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7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NDUCTORES" sheetId="2" state="visible" r:id="rId4"/>
    <sheet name="DETALLE IPRESS" sheetId="3" state="visible" r:id="rId5"/>
    <sheet name="IPRESS" sheetId="4" state="hidden" r:id="rId6"/>
    <sheet name="ENERO 2025" sheetId="5" state="hidden" r:id="rId7"/>
    <sheet name="FEBRERO 2025" sheetId="6" state="hidden" r:id="rId8"/>
    <sheet name="MARZO 2025" sheetId="7" state="hidden" r:id="rId9"/>
    <sheet name="ABRIL 2025" sheetId="8" state="hidden" r:id="rId10"/>
    <sheet name="MAYO 2025" sheetId="9" state="hidden" r:id="rId11"/>
    <sheet name="JUNIO 2025" sheetId="10" state="hidden" r:id="rId12"/>
    <sheet name="JULIO 2025" sheetId="11" state="hidden" r:id="rId13"/>
    <sheet name="AGOSTO 2025" sheetId="12" state="hidden" r:id="rId14"/>
    <sheet name="SETIEMBRE 2025" sheetId="13" state="hidden" r:id="rId15"/>
    <sheet name="OCTUBRE 2025" sheetId="14" state="hidden" r:id="rId16"/>
    <sheet name="NOVIEMBRE 2025" sheetId="15" state="hidden" r:id="rId17"/>
    <sheet name="DICIEMBRE 2025" sheetId="16" state="hidden" r:id="rId18"/>
    <sheet name="ENERO 2026" sheetId="17" state="visible" r:id="rId19"/>
    <sheet name="FEBRERO 2026" sheetId="18" state="visible" r:id="rId20"/>
    <sheet name="MARZO 2026" sheetId="19" state="visible" r:id="rId21"/>
    <sheet name="ABRIL 2026" sheetId="20" state="visible" r:id="rId22"/>
    <sheet name="MAYO 2026" sheetId="21" state="visible" r:id="rId23"/>
    <sheet name="JUNIO 2026" sheetId="22" state="visible" r:id="rId24"/>
    <sheet name="JULIO 2026" sheetId="23" state="visible" r:id="rId25"/>
    <sheet name="AGOSTO 2026" sheetId="24" state="visible" r:id="rId26"/>
    <sheet name="SETIEMBRE 2026" sheetId="25" state="visible" r:id="rId27"/>
    <sheet name="OCTUBRE 2026" sheetId="26" state="hidden" r:id="rId28"/>
    <sheet name="NOVIEMBRE 2026" sheetId="27" state="hidden" r:id="rId29"/>
    <sheet name="DICIEMBRE 2026" sheetId="28" state="hidden" r:id="rId30"/>
    <sheet name="_CALCULO" sheetId="29" state="hidden" r:id="rId31"/>
    <sheet name="SCRIPT_AYUDA" sheetId="30" state="hidden" r:id="rId32"/>
    <sheet name="_PENDIENTES" sheetId="31" state="hidden" r:id="rId33"/>
  </sheets>
  <definedNames>
    <definedName function="false" hidden="true" localSheetId="2" name="_xlnm._FilterDatabase" vbProcedure="false">'DETALLE IPRESS'!$A$6:$M$245</definedName>
    <definedName function="false" hidden="true" localSheetId="16" name="_xlnm._FilterDatabase" vbProcedure="false">'ENERO 2026'!$A$5:$N$99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<sst xmlns="http://schemas.openxmlformats.org/spreadsheetml/2006/main" count="17990" uniqueCount="5193">
  <si>
    <t xml:space="preserve">DASHBOARD DE COMBUSTIBLE - UE 0725 AMAZONAS</t>
  </si>
  <si>
    <t xml:space="preserve">REPORTE 2025</t>
  </si>
  <si>
    <t xml:space="preserve">REPORTE DE COMBUSTIBLE DE FUAS INGRESADAS - 2026</t>
  </si>
  <si>
    <t xml:space="preserve">COMBUSTIBLE</t>
  </si>
  <si>
    <t xml:space="preserve">GALONES</t>
  </si>
  <si>
    <t xml:space="preserve">SOLES S/.</t>
  </si>
  <si>
    <t xml:space="preserve">MES</t>
  </si>
  <si>
    <t xml:space="preserve">TRASLADOS</t>
  </si>
  <si>
    <t xml:space="preserve">GAL PET</t>
  </si>
  <si>
    <t xml:space="preserve">GAL GAS</t>
  </si>
  <si>
    <t xml:space="preserve">TOT GAL</t>
  </si>
  <si>
    <t xml:space="preserve">S/. PET</t>
  </si>
  <si>
    <t xml:space="preserve">S/. GAS</t>
  </si>
  <si>
    <t xml:space="preserve">TOT S/.</t>
  </si>
  <si>
    <t xml:space="preserve">PETROLEO</t>
  </si>
  <si>
    <t xml:space="preserve">ENE</t>
  </si>
  <si>
    <t xml:space="preserve">GASOLINA</t>
  </si>
  <si>
    <t xml:space="preserve">FEB</t>
  </si>
  <si>
    <t xml:space="preserve">TOTAL</t>
  </si>
  <si>
    <t xml:space="preserve">MAR</t>
  </si>
  <si>
    <t xml:space="preserve">ABR</t>
  </si>
  <si>
    <t xml:space="preserve">MAY</t>
  </si>
  <si>
    <t xml:space="preserve">JUN</t>
  </si>
  <si>
    <t xml:space="preserve">REPORTE 2026</t>
  </si>
  <si>
    <t xml:space="preserve">JUL</t>
  </si>
  <si>
    <t xml:space="preserve">AGO</t>
  </si>
  <si>
    <t xml:space="preserve">SET</t>
  </si>
  <si>
    <t xml:space="preserve">OCT</t>
  </si>
  <si>
    <t xml:space="preserve">NOV</t>
  </si>
  <si>
    <t xml:space="preserve">DIC</t>
  </si>
  <si>
    <t xml:space="preserve">⛽  PETROLEO - COMBUSTIBLE ACUMULADO 2026 POR IPRESS</t>
  </si>
  <si>
    <t xml:space="preserve">N°</t>
  </si>
  <si>
    <t xml:space="preserve">IPRESS</t>
  </si>
  <si>
    <t xml:space="preserve">MICRORED</t>
  </si>
  <si>
    <t xml:space="preserve">GALONES
PETROLEO</t>
  </si>
  <si>
    <t xml:space="preserve">SOLES S/.
PETROLEO</t>
  </si>
  <si>
    <t xml:space="preserve">Camporredondo</t>
  </si>
  <si>
    <t xml:space="preserve">CAMPORREDONDO</t>
  </si>
  <si>
    <t xml:space="preserve">Chuquibamba</t>
  </si>
  <si>
    <t xml:space="preserve">LEIMEBAMBA</t>
  </si>
  <si>
    <t xml:space="preserve">Cococho</t>
  </si>
  <si>
    <t xml:space="preserve">Colcamar</t>
  </si>
  <si>
    <t xml:space="preserve">CHACHAPOYAS</t>
  </si>
  <si>
    <t xml:space="preserve">Collonce</t>
  </si>
  <si>
    <t xml:space="preserve">COLLONCE</t>
  </si>
  <si>
    <t xml:space="preserve">Duraznopampa</t>
  </si>
  <si>
    <t xml:space="preserve">YERBABUENA</t>
  </si>
  <si>
    <t xml:space="preserve">Huambo</t>
  </si>
  <si>
    <t xml:space="preserve">HUAMBO</t>
  </si>
  <si>
    <t xml:space="preserve">Jalca Grande</t>
  </si>
  <si>
    <t xml:space="preserve">Jumbilla</t>
  </si>
  <si>
    <t xml:space="preserve">JUMBILLA</t>
  </si>
  <si>
    <t xml:space="preserve">Lamud</t>
  </si>
  <si>
    <t xml:space="preserve">LAMUD</t>
  </si>
  <si>
    <t xml:space="preserve">Leymebamba</t>
  </si>
  <si>
    <t xml:space="preserve">Luya</t>
  </si>
  <si>
    <t xml:space="preserve">LUYA</t>
  </si>
  <si>
    <t xml:space="preserve">Maria</t>
  </si>
  <si>
    <t xml:space="preserve">MARIA</t>
  </si>
  <si>
    <t xml:space="preserve">Maria Auxiliadora</t>
  </si>
  <si>
    <t xml:space="preserve">HOSPITAL MARIA AUXILIADORA</t>
  </si>
  <si>
    <t xml:space="preserve">Mariscal Benavides</t>
  </si>
  <si>
    <t xml:space="preserve">LONGAR</t>
  </si>
  <si>
    <t xml:space="preserve">Nuevo Chirimoto</t>
  </si>
  <si>
    <t xml:space="preserve">NUEVO CHIRIMOTO</t>
  </si>
  <si>
    <t xml:space="preserve">Ocalli</t>
  </si>
  <si>
    <t xml:space="preserve">OCALLI</t>
  </si>
  <si>
    <t xml:space="preserve">Omia</t>
  </si>
  <si>
    <t xml:space="preserve">OMIA</t>
  </si>
  <si>
    <t xml:space="preserve">Pedro Ruiz Gallo</t>
  </si>
  <si>
    <t xml:space="preserve">PEDRO RUIZ GALLO</t>
  </si>
  <si>
    <t xml:space="preserve">Pomacochas</t>
  </si>
  <si>
    <t xml:space="preserve">POMACOCHAS</t>
  </si>
  <si>
    <t xml:space="preserve">San Juan De Ocumal</t>
  </si>
  <si>
    <t xml:space="preserve">San Salvador</t>
  </si>
  <si>
    <t xml:space="preserve">SANTO TOMAS</t>
  </si>
  <si>
    <t xml:space="preserve">Santo Tomas</t>
  </si>
  <si>
    <t xml:space="preserve">Tingo</t>
  </si>
  <si>
    <t xml:space="preserve">TINGO</t>
  </si>
  <si>
    <t xml:space="preserve">Totora</t>
  </si>
  <si>
    <t xml:space="preserve">TOTORA</t>
  </si>
  <si>
    <t xml:space="preserve">Yambrasbamba</t>
  </si>
  <si>
    <t xml:space="preserve">Yaulicachi</t>
  </si>
  <si>
    <t xml:space="preserve">Yerbabuena</t>
  </si>
  <si>
    <t xml:space="preserve">Zarumilla</t>
  </si>
  <si>
    <t xml:space="preserve">ZARUMILLA</t>
  </si>
  <si>
    <t xml:space="preserve">TOTAL GENERAL PETROLEO</t>
  </si>
  <si>
    <t xml:space="preserve">⛽  GASOLINA - COMBUSTIBLE ACUMULADO 2026 POR IPRESS</t>
  </si>
  <si>
    <t xml:space="preserve">GALONES
GASOLINA</t>
  </si>
  <si>
    <t xml:space="preserve">SOLES S/.
GASOLINA</t>
  </si>
  <si>
    <t xml:space="preserve">Buenos Aires</t>
  </si>
  <si>
    <t xml:space="preserve">Cocabamba</t>
  </si>
  <si>
    <t xml:space="preserve">Molinopampa</t>
  </si>
  <si>
    <t xml:space="preserve">MOLINOPAMPA</t>
  </si>
  <si>
    <t xml:space="preserve">Salazar</t>
  </si>
  <si>
    <t xml:space="preserve">TOTAL GENERAL GASOLINA</t>
  </si>
  <si>
    <t xml:space="preserve">↑ Al filtrar por IPRESS el SUBTOTAL se actualiza automáticamente</t>
  </si>
  <si>
    <t xml:space="preserve">N</t>
  </si>
  <si>
    <t xml:space="preserve">CATALOGO DE CONDUCTORES - UE 0725 AMAZONAS</t>
  </si>
  <si>
    <t xml:space="preserve">DNI</t>
  </si>
  <si>
    <t xml:space="preserve">APELLIDOS Y NOMBRES</t>
  </si>
  <si>
    <t xml:space="preserve">N LICENCIA</t>
  </si>
  <si>
    <t xml:space="preserve">CATEGORIA</t>
  </si>
  <si>
    <t xml:space="preserve">MODELO VEHICULO</t>
  </si>
  <si>
    <t xml:space="preserve">PLACA</t>
  </si>
  <si>
    <t xml:space="preserve">TIPO COMBUSTIBLE</t>
  </si>
  <si>
    <t xml:space="preserve">C.S ASIGNADO</t>
  </si>
  <si>
    <t xml:space="preserve">44333747</t>
  </si>
  <si>
    <t xml:space="preserve">GUEVARA VASQUEZ GREIMER MELGAR</t>
  </si>
  <si>
    <t xml:space="preserve">Q 44333747</t>
  </si>
  <si>
    <t xml:space="preserve">A II B</t>
  </si>
  <si>
    <t xml:space="preserve">HILUX 4X4 TIPO II</t>
  </si>
  <si>
    <t xml:space="preserve">EUE 651</t>
  </si>
  <si>
    <t xml:space="preserve">33432847</t>
  </si>
  <si>
    <t xml:space="preserve">BUELOT VISALOT CARLO MAGNO</t>
  </si>
  <si>
    <t xml:space="preserve">W33432847</t>
  </si>
  <si>
    <t xml:space="preserve">ALLB</t>
  </si>
  <si>
    <t xml:space="preserve">TIPO I</t>
  </si>
  <si>
    <t xml:space="preserve">EUD 634</t>
  </si>
  <si>
    <t xml:space="preserve">COLCAMAR</t>
  </si>
  <si>
    <t xml:space="preserve">73602628</t>
  </si>
  <si>
    <t xml:space="preserve">SAUCEDO LOPEZ ELDIN NOLASCO</t>
  </si>
  <si>
    <t xml:space="preserve">Q73602628</t>
  </si>
  <si>
    <t xml:space="preserve">A2B</t>
  </si>
  <si>
    <t xml:space="preserve">TIPO II</t>
  </si>
  <si>
    <t xml:space="preserve">EUH699</t>
  </si>
  <si>
    <t xml:space="preserve">44426318</t>
  </si>
  <si>
    <t xml:space="preserve">ABANTO VALDIVIA HANS MIKKEL</t>
  </si>
  <si>
    <t xml:space="preserve">W44426318</t>
  </si>
  <si>
    <t xml:space="preserve">A LLL C</t>
  </si>
  <si>
    <t xml:space="preserve">TOYOTA HILUX</t>
  </si>
  <si>
    <t xml:space="preserve">EUH 640</t>
  </si>
  <si>
    <t xml:space="preserve">CHUQUIBAMBA</t>
  </si>
  <si>
    <t xml:space="preserve">9990954</t>
  </si>
  <si>
    <t xml:space="preserve">TRIGOSO TAFUR JOSE GILBER</t>
  </si>
  <si>
    <t xml:space="preserve">Q09990954</t>
  </si>
  <si>
    <t xml:space="preserve">NISSAN URBAN</t>
  </si>
  <si>
    <t xml:space="preserve">EUH 421</t>
  </si>
  <si>
    <t xml:space="preserve">MARIA AUXILIADORA</t>
  </si>
  <si>
    <t xml:space="preserve">42333513</t>
  </si>
  <si>
    <t xml:space="preserve">PORTOCARRERO PELAEZ MIGUEL ANTONIO</t>
  </si>
  <si>
    <t xml:space="preserve">W42333513</t>
  </si>
  <si>
    <t xml:space="preserve">A3C</t>
  </si>
  <si>
    <t xml:space="preserve">NISSAN URVAN</t>
  </si>
  <si>
    <t xml:space="preserve">EUH-421</t>
  </si>
  <si>
    <t xml:space="preserve">41785950</t>
  </si>
  <si>
    <t xml:space="preserve">SERNAQUE PELAEZ WILMER</t>
  </si>
  <si>
    <t xml:space="preserve">W417859506</t>
  </si>
  <si>
    <t xml:space="preserve">33402316</t>
  </si>
  <si>
    <t xml:space="preserve">ROJAS ALVARADO BENJAMIN</t>
  </si>
  <si>
    <t xml:space="preserve">W33502316</t>
  </si>
  <si>
    <t xml:space="preserve">A LL B</t>
  </si>
  <si>
    <t xml:space="preserve">421 EUH</t>
  </si>
  <si>
    <t xml:space="preserve">40083507</t>
  </si>
  <si>
    <t xml:space="preserve">LOPEZ HOYOS MIGUEL ANGEL</t>
  </si>
  <si>
    <t xml:space="preserve">W40083507</t>
  </si>
  <si>
    <t xml:space="preserve">AIIIC</t>
  </si>
  <si>
    <t xml:space="preserve">HILUX</t>
  </si>
  <si>
    <t xml:space="preserve">EUH-698</t>
  </si>
  <si>
    <t xml:space="preserve">44894499</t>
  </si>
  <si>
    <t xml:space="preserve">LEIVA LARA JUNIOR</t>
  </si>
  <si>
    <t xml:space="preserve">W44894499</t>
  </si>
  <si>
    <t xml:space="preserve">A LL. B</t>
  </si>
  <si>
    <t xml:space="preserve">TRANSPORTER 2014</t>
  </si>
  <si>
    <t xml:space="preserve">EUC 959</t>
  </si>
  <si>
    <t xml:space="preserve">JALCA GRANDE</t>
  </si>
  <si>
    <t xml:space="preserve">33734466</t>
  </si>
  <si>
    <t xml:space="preserve">BRICENO OXOLON MANUEL</t>
  </si>
  <si>
    <t xml:space="preserve">TRANSPORTER</t>
  </si>
  <si>
    <t xml:space="preserve">EUC976</t>
  </si>
  <si>
    <t xml:space="preserve">45309596</t>
  </si>
  <si>
    <t xml:space="preserve">RUFASTO CHUQUIZUTA JUAN KAROOL</t>
  </si>
  <si>
    <t xml:space="preserve">Q45309596</t>
  </si>
  <si>
    <t xml:space="preserve">TOYOTA HAICE</t>
  </si>
  <si>
    <t xml:space="preserve">EUA963</t>
  </si>
  <si>
    <t xml:space="preserve">41055990</t>
  </si>
  <si>
    <t xml:space="preserve">DANIEL ZELADA TRUJILLO</t>
  </si>
  <si>
    <t xml:space="preserve">W41055990</t>
  </si>
  <si>
    <t xml:space="preserve">A TRES</t>
  </si>
  <si>
    <t xml:space="preserve">TOYOTA HIACE COMMUTER</t>
  </si>
  <si>
    <t xml:space="preserve">EUA-963</t>
  </si>
  <si>
    <t xml:space="preserve">33417227</t>
  </si>
  <si>
    <t xml:space="preserve">SALCEDO ZAGACETA FEDERICO</t>
  </si>
  <si>
    <t xml:space="preserve">W33417227</t>
  </si>
  <si>
    <t xml:space="preserve">TOYOTA HAILUX</t>
  </si>
  <si>
    <t xml:space="preserve">EUH-636</t>
  </si>
  <si>
    <t xml:space="preserve">LEYMEBAMBA</t>
  </si>
  <si>
    <t xml:space="preserve">33400714</t>
  </si>
  <si>
    <t xml:space="preserve">CHAVEZ MORI DIMAS</t>
  </si>
  <si>
    <t xml:space="preserve">W33400714</t>
  </si>
  <si>
    <t xml:space="preserve">TRES C</t>
  </si>
  <si>
    <t xml:space="preserve">EUH 636</t>
  </si>
  <si>
    <t xml:space="preserve">41614368</t>
  </si>
  <si>
    <t xml:space="preserve">ZAGACETA RUIZ GELLER ENRIQUE</t>
  </si>
  <si>
    <t xml:space="preserve">W41226974</t>
  </si>
  <si>
    <t xml:space="preserve">A TRES C</t>
  </si>
  <si>
    <t xml:space="preserve">EUH-717</t>
  </si>
  <si>
    <t xml:space="preserve">33431688</t>
  </si>
  <si>
    <t xml:space="preserve">RUBIO CARO JEYNER</t>
  </si>
  <si>
    <t xml:space="preserve">W33431688</t>
  </si>
  <si>
    <t xml:space="preserve">A III-C</t>
  </si>
  <si>
    <t xml:space="preserve">TOYOTA HILUX 4X4 2023</t>
  </si>
  <si>
    <t xml:space="preserve">47438258</t>
  </si>
  <si>
    <t xml:space="preserve">MACHUCA GARRIDO RIDER ALFONSO</t>
  </si>
  <si>
    <t xml:space="preserve">W47438258</t>
  </si>
  <si>
    <t xml:space="preserve">TRANSPORTE</t>
  </si>
  <si>
    <t xml:space="preserve">EUC 956</t>
  </si>
  <si>
    <t xml:space="preserve">45770781</t>
  </si>
  <si>
    <t xml:space="preserve">VILLA MORI JOSE</t>
  </si>
  <si>
    <t xml:space="preserve">W45770781</t>
  </si>
  <si>
    <t xml:space="preserve">AIIB</t>
  </si>
  <si>
    <t xml:space="preserve">CARAVAN</t>
  </si>
  <si>
    <t xml:space="preserve">EGE-427</t>
  </si>
  <si>
    <t xml:space="preserve">MARISCAL BENAVIDES</t>
  </si>
  <si>
    <t xml:space="preserve">33428213</t>
  </si>
  <si>
    <t xml:space="preserve">MAGNO CULQUIMBOS RUIZ</t>
  </si>
  <si>
    <t xml:space="preserve">W33428213</t>
  </si>
  <si>
    <t xml:space="preserve">TOYOTA HAYLUXS</t>
  </si>
  <si>
    <t xml:space="preserve">EUE-469</t>
  </si>
  <si>
    <t xml:space="preserve">46078402</t>
  </si>
  <si>
    <t xml:space="preserve">JOSE OLMER CUSQUIPOMA MORI</t>
  </si>
  <si>
    <t xml:space="preserve">D46078402</t>
  </si>
  <si>
    <t xml:space="preserve">2B</t>
  </si>
  <si>
    <t xml:space="preserve">TIPO COMBI</t>
  </si>
  <si>
    <t xml:space="preserve">EUC. 682</t>
  </si>
  <si>
    <t xml:space="preserve">33962415</t>
  </si>
  <si>
    <t xml:space="preserve">LOPEZ VARGAS HUBER</t>
  </si>
  <si>
    <t xml:space="preserve">W33962415</t>
  </si>
  <si>
    <t xml:space="preserve">A DOS B</t>
  </si>
  <si>
    <t xml:space="preserve">EUH 634</t>
  </si>
  <si>
    <t xml:space="preserve">33401502</t>
  </si>
  <si>
    <t xml:space="preserve">MUNOZ VERGARAY JORGE ENRRIQUE</t>
  </si>
  <si>
    <t xml:space="preserve">W33401502</t>
  </si>
  <si>
    <t xml:space="preserve">EUH 427</t>
  </si>
  <si>
    <t xml:space="preserve">71640877</t>
  </si>
  <si>
    <t xml:space="preserve">MONTENEGRO RUIZ LUIS MIGUEL</t>
  </si>
  <si>
    <t xml:space="preserve">W71640877</t>
  </si>
  <si>
    <t xml:space="preserve">EUH-427</t>
  </si>
  <si>
    <t xml:space="preserve">42494083</t>
  </si>
  <si>
    <t xml:space="preserve">RIOS CHAVEZ WUILQUE</t>
  </si>
  <si>
    <t xml:space="preserve">W42494083</t>
  </si>
  <si>
    <t xml:space="preserve">HILUX-NISSAN</t>
  </si>
  <si>
    <t xml:space="preserve">EUD360</t>
  </si>
  <si>
    <t xml:space="preserve">33726013</t>
  </si>
  <si>
    <t xml:space="preserve">CHICANA LOPEZ MANUEL HECTOR</t>
  </si>
  <si>
    <t xml:space="preserve">W33726013</t>
  </si>
  <si>
    <t xml:space="preserve">A TRES B</t>
  </si>
  <si>
    <t xml:space="preserve">EUH747</t>
  </si>
  <si>
    <t xml:space="preserve">33727119</t>
  </si>
  <si>
    <t xml:space="preserve">CARRERA ARAUJO JEINER</t>
  </si>
  <si>
    <t xml:space="preserve">W33727119</t>
  </si>
  <si>
    <t xml:space="preserve">A IIIC</t>
  </si>
  <si>
    <t xml:space="preserve">42473516</t>
  </si>
  <si>
    <t xml:space="preserve">JULCA RITUAY ROGER</t>
  </si>
  <si>
    <t xml:space="preserve">W42473516</t>
  </si>
  <si>
    <t xml:space="preserve">ALL B</t>
  </si>
  <si>
    <t xml:space="preserve">EUH 414</t>
  </si>
  <si>
    <t xml:space="preserve">44462598</t>
  </si>
  <si>
    <t xml:space="preserve">EDINSON CARRASCO VELA</t>
  </si>
  <si>
    <t xml:space="preserve">W44462598</t>
  </si>
  <si>
    <t xml:space="preserve">HAY LUX 4X4</t>
  </si>
  <si>
    <t xml:space="preserve">EUE-457</t>
  </si>
  <si>
    <t xml:space="preserve">SALAZAR</t>
  </si>
  <si>
    <t xml:space="preserve">33816046</t>
  </si>
  <si>
    <t xml:space="preserve">VILCARROMERO TORREJON HERMERSON</t>
  </si>
  <si>
    <t xml:space="preserve">W33816046</t>
  </si>
  <si>
    <t xml:space="preserve">HIACE COMMUTER</t>
  </si>
  <si>
    <t xml:space="preserve">EUD-917</t>
  </si>
  <si>
    <t xml:space="preserve">70790222</t>
  </si>
  <si>
    <t xml:space="preserve">VILLA GONGORA RODVIN LUIS</t>
  </si>
  <si>
    <t xml:space="preserve">W70790222</t>
  </si>
  <si>
    <t xml:space="preserve">AII-B</t>
  </si>
  <si>
    <t xml:space="preserve">TOYOTA HILUX 4X4 T-II</t>
  </si>
  <si>
    <t xml:space="preserve">EUD-684</t>
  </si>
  <si>
    <t xml:space="preserve">33725999</t>
  </si>
  <si>
    <t xml:space="preserve">CHICANA VALLE JAIME</t>
  </si>
  <si>
    <t xml:space="preserve">A 2B</t>
  </si>
  <si>
    <t xml:space="preserve">BOXER</t>
  </si>
  <si>
    <t xml:space="preserve">EGU 916</t>
  </si>
  <si>
    <t xml:space="preserve">YAMBRASBAMBA</t>
  </si>
  <si>
    <t xml:space="preserve">40051255</t>
  </si>
  <si>
    <t xml:space="preserve">SANCHEZ CAJO VICENTE</t>
  </si>
  <si>
    <t xml:space="preserve">C40051255</t>
  </si>
  <si>
    <t xml:space="preserve">TOYOTA HIACE</t>
  </si>
  <si>
    <t xml:space="preserve">EGL-296</t>
  </si>
  <si>
    <t xml:space="preserve">46218156</t>
  </si>
  <si>
    <t xml:space="preserve">GEINER ZAVALETA TAFUR</t>
  </si>
  <si>
    <t xml:space="preserve">W46218156</t>
  </si>
  <si>
    <t xml:space="preserve">AMBULANCIA</t>
  </si>
  <si>
    <t xml:space="preserve">NO TIENE</t>
  </si>
  <si>
    <t xml:space="preserve">48515797</t>
  </si>
  <si>
    <t xml:space="preserve">LLUNER ESTEBES MARIN DAMACEN </t>
  </si>
  <si>
    <t xml:space="preserve">W48515797</t>
  </si>
  <si>
    <t xml:space="preserve">TOYOTA HILUX 22R</t>
  </si>
  <si>
    <t xml:space="preserve">EUD-262</t>
  </si>
  <si>
    <t xml:space="preserve">COCABAMBA</t>
  </si>
  <si>
    <t xml:space="preserve">16712192</t>
  </si>
  <si>
    <t xml:space="preserve">ALBERTO FARRO PEREZ</t>
  </si>
  <si>
    <t xml:space="preserve">C16712192</t>
  </si>
  <si>
    <t xml:space="preserve">TOYOYA HILUX</t>
  </si>
  <si>
    <t xml:space="preserve">EGO-124</t>
  </si>
  <si>
    <t xml:space="preserve">44703306</t>
  </si>
  <si>
    <t xml:space="preserve">RONAL SAUCEDO GUEVARA</t>
  </si>
  <si>
    <t xml:space="preserve">W44703306</t>
  </si>
  <si>
    <t xml:space="preserve">EUB-067</t>
  </si>
  <si>
    <t xml:space="preserve">BUENOS AIRES</t>
  </si>
  <si>
    <t xml:space="preserve">75492112</t>
  </si>
  <si>
    <t xml:space="preserve">NAIDER TELLO ESTELA</t>
  </si>
  <si>
    <t xml:space="preserve">Q75492112</t>
  </si>
  <si>
    <t xml:space="preserve">TOYOTA HILUX 4X4</t>
  </si>
  <si>
    <t xml:space="preserve">EUH-708</t>
  </si>
  <si>
    <t xml:space="preserve">COCOCHO</t>
  </si>
  <si>
    <t xml:space="preserve">NOTA: Agregue conductores faltantes al final. Las formulas los reconocen automaticamente.</t>
  </si>
  <si>
    <t xml:space="preserve">DETALLE DE COMBUSTIBLE PENDIENTE DE ENTREGA POR IPRESS - 2026</t>
  </si>
  <si>
    <t xml:space="preserve">Se actualiza automáticamente — Al completar FECHA ENTREGA + OFICIO + O/C desaparece solo</t>
  </si>
  <si>
    <t xml:space="preserve">🔍 SELECCIONAR IPRESS:</t>
  </si>
  <si>
    <t xml:space="preserve">⛽ TOTAL GAL. PETRÓLEO:</t>
  </si>
  <si>
    <t xml:space="preserve">⛽ TOTAL GAL. GASOLINA:</t>
  </si>
  <si>
    <t xml:space="preserve">💰 TOTAL SOLES S/.:</t>
  </si>
  <si>
    <t xml:space="preserve">AFILIADO</t>
  </si>
  <si>
    <t xml:space="preserve">NRO DOC</t>
  </si>
  <si>
    <t xml:space="preserve">FECHA</t>
  </si>
  <si>
    <t xml:space="preserve">TIPO</t>
  </si>
  <si>
    <t xml:space="preserve">TOTAL S/.</t>
  </si>
  <si>
    <t xml:space="preserve">CONDUCTOR</t>
  </si>
  <si>
    <t xml:space="preserve">ESTADO</t>
  </si>
  <si>
    <t xml:space="preserve">ENTREGAR /
DEVOLVER</t>
  </si>
  <si>
    <t xml:space="preserve">IPRESS_KEY</t>
  </si>
  <si>
    <t xml:space="preserve">IPRESS
ORIGEN</t>
  </si>
  <si>
    <t xml:space="preserve">CATALOGO DE IPRESS - UE 0725 (210 EESS)</t>
  </si>
  <si>
    <t xml:space="preserve">CODIGO RENAES</t>
  </si>
  <si>
    <t xml:space="preserve">NOMBRE IPRESS</t>
  </si>
  <si>
    <t xml:space="preserve">6754</t>
  </si>
  <si>
    <t xml:space="preserve">9 DE ENERO</t>
  </si>
  <si>
    <t xml:space="preserve">6990</t>
  </si>
  <si>
    <t xml:space="preserve">ACHAMAL</t>
  </si>
  <si>
    <t xml:space="preserve">7172</t>
  </si>
  <si>
    <t xml:space="preserve">AGUA SANTA</t>
  </si>
  <si>
    <t xml:space="preserve">4912</t>
  </si>
  <si>
    <t xml:space="preserve">ASUNCION GONCHA</t>
  </si>
  <si>
    <t xml:space="preserve">7175</t>
  </si>
  <si>
    <t xml:space="preserve">ATUEN</t>
  </si>
  <si>
    <t xml:space="preserve">27354</t>
  </si>
  <si>
    <t xml:space="preserve">AYLLU SACHAPUYOS</t>
  </si>
  <si>
    <t xml:space="preserve">7206</t>
  </si>
  <si>
    <t xml:space="preserve">BALERIANA</t>
  </si>
  <si>
    <t xml:space="preserve">4856</t>
  </si>
  <si>
    <t xml:space="preserve">BALZAS</t>
  </si>
  <si>
    <t xml:space="preserve">7334</t>
  </si>
  <si>
    <t xml:space="preserve">BUENA VISTA</t>
  </si>
  <si>
    <t xml:space="preserve">4937</t>
  </si>
  <si>
    <t xml:space="preserve">7070</t>
  </si>
  <si>
    <t xml:space="preserve">BUIQUIL</t>
  </si>
  <si>
    <t xml:space="preserve">4845</t>
  </si>
  <si>
    <t xml:space="preserve">CALDERA</t>
  </si>
  <si>
    <t xml:space="preserve">13019</t>
  </si>
  <si>
    <t xml:space="preserve">CAMELIN</t>
  </si>
  <si>
    <t xml:space="preserve">4873</t>
  </si>
  <si>
    <t xml:space="preserve">7176</t>
  </si>
  <si>
    <t xml:space="preserve">CANAAN</t>
  </si>
  <si>
    <t xml:space="preserve">4933</t>
  </si>
  <si>
    <t xml:space="preserve">CARRERA</t>
  </si>
  <si>
    <t xml:space="preserve">9667</t>
  </si>
  <si>
    <t xml:space="preserve">CASMAL</t>
  </si>
  <si>
    <t xml:space="preserve">7153</t>
  </si>
  <si>
    <t xml:space="preserve">CELCHO CUZCO</t>
  </si>
  <si>
    <t xml:space="preserve">7378</t>
  </si>
  <si>
    <t xml:space="preserve">CHAYUYAKU</t>
  </si>
  <si>
    <t xml:space="preserve">4878</t>
  </si>
  <si>
    <t xml:space="preserve">CHETO</t>
  </si>
  <si>
    <t xml:space="preserve">PIPUS</t>
  </si>
  <si>
    <t xml:space="preserve">4860</t>
  </si>
  <si>
    <t xml:space="preserve">CHILCHOS</t>
  </si>
  <si>
    <t xml:space="preserve">4880</t>
  </si>
  <si>
    <t xml:space="preserve">CHILIQUIN</t>
  </si>
  <si>
    <t xml:space="preserve">4953</t>
  </si>
  <si>
    <t xml:space="preserve">CHIRIMOTO</t>
  </si>
  <si>
    <t xml:space="preserve">4915</t>
  </si>
  <si>
    <t xml:space="preserve">CHISQUILLA</t>
  </si>
  <si>
    <t xml:space="preserve">4867</t>
  </si>
  <si>
    <t xml:space="preserve">CHOCTA</t>
  </si>
  <si>
    <t xml:space="preserve">4898</t>
  </si>
  <si>
    <t xml:space="preserve">CHOCTAMAL</t>
  </si>
  <si>
    <t xml:space="preserve">7445</t>
  </si>
  <si>
    <t xml:space="preserve">CHONTAPAMPA DE MILPUC</t>
  </si>
  <si>
    <t xml:space="preserve">7446</t>
  </si>
  <si>
    <t xml:space="preserve">CHONTAPAMPA DE HUAMBO</t>
  </si>
  <si>
    <t xml:space="preserve">6988</t>
  </si>
  <si>
    <t xml:space="preserve">CHONTAPAMPA DE QUINJALCA</t>
  </si>
  <si>
    <t xml:space="preserve">4923</t>
  </si>
  <si>
    <t xml:space="preserve">CHOSGON</t>
  </si>
  <si>
    <t xml:space="preserve">7066</t>
  </si>
  <si>
    <t xml:space="preserve">CHUILON</t>
  </si>
  <si>
    <t xml:space="preserve">7068</t>
  </si>
  <si>
    <t xml:space="preserve">CHUMBOL</t>
  </si>
  <si>
    <t xml:space="preserve">4858</t>
  </si>
  <si>
    <t xml:space="preserve">4919</t>
  </si>
  <si>
    <t xml:space="preserve">CHURUJA</t>
  </si>
  <si>
    <t xml:space="preserve">4885</t>
  </si>
  <si>
    <t xml:space="preserve">4929</t>
  </si>
  <si>
    <t xml:space="preserve">COCACHIMBA</t>
  </si>
  <si>
    <t xml:space="preserve">9670</t>
  </si>
  <si>
    <t xml:space="preserve">COCHA</t>
  </si>
  <si>
    <t xml:space="preserve">7174</t>
  </si>
  <si>
    <t xml:space="preserve">COCHABAMBA</t>
  </si>
  <si>
    <t xml:space="preserve">4942</t>
  </si>
  <si>
    <t xml:space="preserve">COCHAMAL</t>
  </si>
  <si>
    <t xml:space="preserve">4874</t>
  </si>
  <si>
    <t xml:space="preserve">4895</t>
  </si>
  <si>
    <t xml:space="preserve">4843</t>
  </si>
  <si>
    <t xml:space="preserve">7332</t>
  </si>
  <si>
    <t xml:space="preserve">COLMATA</t>
  </si>
  <si>
    <t xml:space="preserve">7260</t>
  </si>
  <si>
    <t xml:space="preserve">COMBOCA</t>
  </si>
  <si>
    <t xml:space="preserve">4863</t>
  </si>
  <si>
    <t xml:space="preserve">CONILA COHECHAN</t>
  </si>
  <si>
    <t xml:space="preserve">7380</t>
  </si>
  <si>
    <t xml:space="preserve">COROBAMBA</t>
  </si>
  <si>
    <t xml:space="preserve">4916</t>
  </si>
  <si>
    <t xml:space="preserve">COROSHA</t>
  </si>
  <si>
    <t xml:space="preserve">7062</t>
  </si>
  <si>
    <t xml:space="preserve">CRUZPATA</t>
  </si>
  <si>
    <t xml:space="preserve">7071</t>
  </si>
  <si>
    <t xml:space="preserve">CUELCHO</t>
  </si>
  <si>
    <t xml:space="preserve">7379</t>
  </si>
  <si>
    <t xml:space="preserve">CUEMAL</t>
  </si>
  <si>
    <t xml:space="preserve">7281</t>
  </si>
  <si>
    <t xml:space="preserve">CUEYQUETA</t>
  </si>
  <si>
    <t xml:space="preserve">4920</t>
  </si>
  <si>
    <t xml:space="preserve">CUISPES</t>
  </si>
  <si>
    <t xml:space="preserve">7261</t>
  </si>
  <si>
    <t xml:space="preserve">DUNIA CHICO</t>
  </si>
  <si>
    <t xml:space="preserve">4907</t>
  </si>
  <si>
    <t xml:space="preserve">DURAZNOPAMPA</t>
  </si>
  <si>
    <t xml:space="preserve">7054</t>
  </si>
  <si>
    <t xml:space="preserve">EL DORADO</t>
  </si>
  <si>
    <t xml:space="preserve">7382</t>
  </si>
  <si>
    <t xml:space="preserve">EL GUAMBO</t>
  </si>
  <si>
    <t xml:space="preserve">6991</t>
  </si>
  <si>
    <t xml:space="preserve">EL LIBANO</t>
  </si>
  <si>
    <t xml:space="preserve">4911</t>
  </si>
  <si>
    <t xml:space="preserve">EL MANGO</t>
  </si>
  <si>
    <t xml:space="preserve">7038</t>
  </si>
  <si>
    <t xml:space="preserve">EL MOLINO</t>
  </si>
  <si>
    <t xml:space="preserve">7181</t>
  </si>
  <si>
    <t xml:space="preserve">EL PALTO</t>
  </si>
  <si>
    <t xml:space="preserve">25129</t>
  </si>
  <si>
    <t xml:space="preserve">EL PUENTE</t>
  </si>
  <si>
    <t xml:space="preserve">7419</t>
  </si>
  <si>
    <t xml:space="preserve">EL REJO</t>
  </si>
  <si>
    <t xml:space="preserve">4952</t>
  </si>
  <si>
    <t xml:space="preserve">EL TRIUNFO</t>
  </si>
  <si>
    <t xml:space="preserve">4921</t>
  </si>
  <si>
    <t xml:space="preserve">FANRRE</t>
  </si>
  <si>
    <t xml:space="preserve">9680</t>
  </si>
  <si>
    <t xml:space="preserve">GARZAYACU</t>
  </si>
  <si>
    <t xml:space="preserve">4857</t>
  </si>
  <si>
    <t xml:space="preserve">GOLLON</t>
  </si>
  <si>
    <t xml:space="preserve">4868</t>
  </si>
  <si>
    <t xml:space="preserve">GRANADA</t>
  </si>
  <si>
    <t xml:space="preserve">4875</t>
  </si>
  <si>
    <t xml:space="preserve">GUADALUPE</t>
  </si>
  <si>
    <t xml:space="preserve">4934</t>
  </si>
  <si>
    <t xml:space="preserve">GUALULO</t>
  </si>
  <si>
    <t xml:space="preserve">7039</t>
  </si>
  <si>
    <t xml:space="preserve">HIGOS URCO</t>
  </si>
  <si>
    <t xml:space="preserve">4943</t>
  </si>
  <si>
    <t xml:space="preserve">4841</t>
  </si>
  <si>
    <t xml:space="preserve">HUANCAS</t>
  </si>
  <si>
    <t xml:space="preserve">4848</t>
  </si>
  <si>
    <t xml:space="preserve">HUARANGUILLO</t>
  </si>
  <si>
    <t xml:space="preserve">4914</t>
  </si>
  <si>
    <t xml:space="preserve">INGENIO</t>
  </si>
  <si>
    <t xml:space="preserve">4864</t>
  </si>
  <si>
    <t xml:space="preserve">INGUILPATA</t>
  </si>
  <si>
    <t xml:space="preserve">29068</t>
  </si>
  <si>
    <t xml:space="preserve">INTEGRAMENTE HUAYABAMBA</t>
  </si>
  <si>
    <t xml:space="preserve">C.S M MENDOZA</t>
  </si>
  <si>
    <t xml:space="preserve">4941</t>
  </si>
  <si>
    <t xml:space="preserve">IZCUCHACA</t>
  </si>
  <si>
    <t xml:space="preserve">4905</t>
  </si>
  <si>
    <t xml:space="preserve">11725</t>
  </si>
  <si>
    <t xml:space="preserve">JAVRULOT</t>
  </si>
  <si>
    <t xml:space="preserve">4917</t>
  </si>
  <si>
    <t xml:space="preserve">7064</t>
  </si>
  <si>
    <t xml:space="preserve">KUELAP</t>
  </si>
  <si>
    <t xml:space="preserve">7052</t>
  </si>
  <si>
    <t xml:space="preserve">LA COCA</t>
  </si>
  <si>
    <t xml:space="preserve">4939</t>
  </si>
  <si>
    <t xml:space="preserve">LA ESPERANZA</t>
  </si>
  <si>
    <t xml:space="preserve">7051</t>
  </si>
  <si>
    <t xml:space="preserve">LA FLORIDA DE SHIPASBAMBA</t>
  </si>
  <si>
    <t xml:space="preserve">7055</t>
  </si>
  <si>
    <t xml:space="preserve">LA FLORIDA DE YAMBRASBAMBA</t>
  </si>
  <si>
    <t xml:space="preserve">7333</t>
  </si>
  <si>
    <t xml:space="preserve">LA LIBERTAD</t>
  </si>
  <si>
    <t xml:space="preserve">7067</t>
  </si>
  <si>
    <t xml:space="preserve">LA MORADA</t>
  </si>
  <si>
    <t xml:space="preserve">7073</t>
  </si>
  <si>
    <t xml:space="preserve">LA PRIMAVERA</t>
  </si>
  <si>
    <t xml:space="preserve">4850</t>
  </si>
  <si>
    <t xml:space="preserve">9679</t>
  </si>
  <si>
    <t xml:space="preserve">LAS PALMAS</t>
  </si>
  <si>
    <t xml:space="preserve">4948</t>
  </si>
  <si>
    <t xml:space="preserve">LEGIA CHICO</t>
  </si>
  <si>
    <t xml:space="preserve">4842</t>
  </si>
  <si>
    <t xml:space="preserve">LEVANTO</t>
  </si>
  <si>
    <t xml:space="preserve">4859</t>
  </si>
  <si>
    <t xml:space="preserve">4955</t>
  </si>
  <si>
    <t xml:space="preserve">LIMABAMBA</t>
  </si>
  <si>
    <t xml:space="preserve">4890</t>
  </si>
  <si>
    <t xml:space="preserve">LLACTAPAMPA</t>
  </si>
  <si>
    <t xml:space="preserve">4944</t>
  </si>
  <si>
    <t xml:space="preserve">4897</t>
  </si>
  <si>
    <t xml:space="preserve">LONGUITA</t>
  </si>
  <si>
    <t xml:space="preserve">4865</t>
  </si>
  <si>
    <t xml:space="preserve">LONYA CHICO</t>
  </si>
  <si>
    <t xml:space="preserve">4866</t>
  </si>
  <si>
    <t xml:space="preserve">4851</t>
  </si>
  <si>
    <t xml:space="preserve">LUYA VIEJO</t>
  </si>
  <si>
    <t xml:space="preserve">7075</t>
  </si>
  <si>
    <t xml:space="preserve">LUZ DEL ORIENTE</t>
  </si>
  <si>
    <t xml:space="preserve">4891</t>
  </si>
  <si>
    <t xml:space="preserve">MAGDALENA</t>
  </si>
  <si>
    <t xml:space="preserve">4892</t>
  </si>
  <si>
    <t xml:space="preserve">MAINO</t>
  </si>
  <si>
    <t xml:space="preserve">4889</t>
  </si>
  <si>
    <t xml:space="preserve">MARAYPATA</t>
  </si>
  <si>
    <t xml:space="preserve">4899</t>
  </si>
  <si>
    <t xml:space="preserve">4950</t>
  </si>
  <si>
    <t xml:space="preserve">27352</t>
  </si>
  <si>
    <t xml:space="preserve">MARIA DOLORES QUISPE VILCHEZ</t>
  </si>
  <si>
    <t xml:space="preserve">4945</t>
  </si>
  <si>
    <t xml:space="preserve">11723</t>
  </si>
  <si>
    <t xml:space="preserve">MASHUYACU</t>
  </si>
  <si>
    <t xml:space="preserve">4930</t>
  </si>
  <si>
    <t xml:space="preserve">MATIAZA RIMACHI</t>
  </si>
  <si>
    <t xml:space="preserve">9894</t>
  </si>
  <si>
    <t xml:space="preserve">MEMBRILLO</t>
  </si>
  <si>
    <t xml:space="preserve">4894</t>
  </si>
  <si>
    <t xml:space="preserve">MENDAN</t>
  </si>
  <si>
    <t xml:space="preserve">7335</t>
  </si>
  <si>
    <t xml:space="preserve">MICHINA</t>
  </si>
  <si>
    <t xml:space="preserve">4956</t>
  </si>
  <si>
    <t xml:space="preserve">MILPUC</t>
  </si>
  <si>
    <t xml:space="preserve">4883</t>
  </si>
  <si>
    <t xml:space="preserve">MITO</t>
  </si>
  <si>
    <t xml:space="preserve">4869</t>
  </si>
  <si>
    <t xml:space="preserve">7074</t>
  </si>
  <si>
    <t xml:space="preserve">MONTEALEGRE</t>
  </si>
  <si>
    <t xml:space="preserve">4909</t>
  </si>
  <si>
    <t xml:space="preserve">MONTEVIDEO</t>
  </si>
  <si>
    <t xml:space="preserve">4951</t>
  </si>
  <si>
    <t xml:space="preserve">NUEVA ESPERANZA</t>
  </si>
  <si>
    <t xml:space="preserve">7076</t>
  </si>
  <si>
    <t xml:space="preserve">NUEVO CHACHAPOYAS</t>
  </si>
  <si>
    <t xml:space="preserve">4947</t>
  </si>
  <si>
    <t xml:space="preserve">7061</t>
  </si>
  <si>
    <t xml:space="preserve">NUEVO CHOTA</t>
  </si>
  <si>
    <t xml:space="preserve">34934</t>
  </si>
  <si>
    <t xml:space="preserve">NUEVO CUMBA</t>
  </si>
  <si>
    <t xml:space="preserve">6989</t>
  </si>
  <si>
    <t xml:space="preserve">NUEVO HORIZONTE</t>
  </si>
  <si>
    <t xml:space="preserve">7274</t>
  </si>
  <si>
    <t xml:space="preserve">NUEVO LUYA</t>
  </si>
  <si>
    <t xml:space="preserve">7421</t>
  </si>
  <si>
    <t xml:space="preserve">NUEVO OLMAL</t>
  </si>
  <si>
    <t xml:space="preserve">11169</t>
  </si>
  <si>
    <t xml:space="preserve">NUEVO OMIA</t>
  </si>
  <si>
    <t xml:space="preserve">4876</t>
  </si>
  <si>
    <t xml:space="preserve">4871</t>
  </si>
  <si>
    <t xml:space="preserve">OLLEROS</t>
  </si>
  <si>
    <t xml:space="preserve">4946</t>
  </si>
  <si>
    <t xml:space="preserve">7282</t>
  </si>
  <si>
    <t xml:space="preserve">OQUISH</t>
  </si>
  <si>
    <t xml:space="preserve">4853</t>
  </si>
  <si>
    <t xml:space="preserve">PACLAS</t>
  </si>
  <si>
    <t xml:space="preserve">14169</t>
  </si>
  <si>
    <t xml:space="preserve">PAUJIL</t>
  </si>
  <si>
    <t xml:space="preserve">7037</t>
  </si>
  <si>
    <t xml:space="preserve">PEDRO CASTRO ALVA</t>
  </si>
  <si>
    <t xml:space="preserve">4922</t>
  </si>
  <si>
    <t xml:space="preserve">7280</t>
  </si>
  <si>
    <t xml:space="preserve">PENGOTE</t>
  </si>
  <si>
    <t xml:space="preserve">7056</t>
  </si>
  <si>
    <t xml:space="preserve">PERLA DE IMAZA</t>
  </si>
  <si>
    <t xml:space="preserve">4881</t>
  </si>
  <si>
    <t xml:space="preserve">4846</t>
  </si>
  <si>
    <t xml:space="preserve">PIRCAPAMPA</t>
  </si>
  <si>
    <t xml:space="preserve">4902</t>
  </si>
  <si>
    <t xml:space="preserve">PISUQUIA</t>
  </si>
  <si>
    <t xml:space="preserve">9130</t>
  </si>
  <si>
    <t xml:space="preserve">PLAYA JUMETH</t>
  </si>
  <si>
    <t xml:space="preserve">4861</t>
  </si>
  <si>
    <t xml:space="preserve">PLAZAPAMPA</t>
  </si>
  <si>
    <t xml:space="preserve">4932</t>
  </si>
  <si>
    <t xml:space="preserve">4896</t>
  </si>
  <si>
    <t xml:space="preserve">PONAYA</t>
  </si>
  <si>
    <t xml:space="preserve">4936</t>
  </si>
  <si>
    <t xml:space="preserve">PROGRESO</t>
  </si>
  <si>
    <t xml:space="preserve">4849</t>
  </si>
  <si>
    <t xml:space="preserve">PROVIDENCIA</t>
  </si>
  <si>
    <t xml:space="preserve">9671</t>
  </si>
  <si>
    <t xml:space="preserve">PUEBLO NUEVO</t>
  </si>
  <si>
    <t xml:space="preserve">7069</t>
  </si>
  <si>
    <t xml:space="preserve">QUELUCAS</t>
  </si>
  <si>
    <t xml:space="preserve">6987</t>
  </si>
  <si>
    <t xml:space="preserve">QUILLILLIC</t>
  </si>
  <si>
    <t xml:space="preserve">4906</t>
  </si>
  <si>
    <t xml:space="preserve">QUILLUNYA</t>
  </si>
  <si>
    <t xml:space="preserve">4872</t>
  </si>
  <si>
    <t xml:space="preserve">QUINJALCA</t>
  </si>
  <si>
    <t xml:space="preserve">4877</t>
  </si>
  <si>
    <t xml:space="preserve">QUISPE</t>
  </si>
  <si>
    <t xml:space="preserve">4893</t>
  </si>
  <si>
    <t xml:space="preserve">QUISQUIS</t>
  </si>
  <si>
    <t xml:space="preserve">7279</t>
  </si>
  <si>
    <t xml:space="preserve">QUITACHI</t>
  </si>
  <si>
    <t xml:space="preserve">4926</t>
  </si>
  <si>
    <t xml:space="preserve">RECTA</t>
  </si>
  <si>
    <t xml:space="preserve">7057</t>
  </si>
  <si>
    <t xml:space="preserve">SALAS</t>
  </si>
  <si>
    <t xml:space="preserve">4913</t>
  </si>
  <si>
    <t xml:space="preserve">7077</t>
  </si>
  <si>
    <t xml:space="preserve">SAN ANTONIO</t>
  </si>
  <si>
    <t xml:space="preserve">4927</t>
  </si>
  <si>
    <t xml:space="preserve">SAN CARLOS</t>
  </si>
  <si>
    <t xml:space="preserve">4852</t>
  </si>
  <si>
    <t xml:space="preserve">SAN CRISTOBAL DE OLTO</t>
  </si>
  <si>
    <t xml:space="preserve">4862</t>
  </si>
  <si>
    <t xml:space="preserve">SAN FRANCISCO DEL YESO</t>
  </si>
  <si>
    <t xml:space="preserve">4931</t>
  </si>
  <si>
    <t xml:space="preserve">SAN ISIDRO DE QUIUCMAL</t>
  </si>
  <si>
    <t xml:space="preserve">4840</t>
  </si>
  <si>
    <t xml:space="preserve">SAN ISIDRO DE UTCUBAMBA</t>
  </si>
  <si>
    <t xml:space="preserve">4924</t>
  </si>
  <si>
    <t xml:space="preserve">SAN JERONIMO</t>
  </si>
  <si>
    <t xml:space="preserve">4870</t>
  </si>
  <si>
    <t xml:space="preserve">SAN JOSE</t>
  </si>
  <si>
    <t xml:space="preserve">21934</t>
  </si>
  <si>
    <t xml:space="preserve">SAN JOSE DE POMACOCHAS</t>
  </si>
  <si>
    <t xml:space="preserve">30972</t>
  </si>
  <si>
    <t xml:space="preserve">SAN JOSE DE YAMBRASBAMBA</t>
  </si>
  <si>
    <t xml:space="preserve">4910</t>
  </si>
  <si>
    <t xml:space="preserve">SAN JUAN DE LOPECANCHA</t>
  </si>
  <si>
    <t xml:space="preserve">4844</t>
  </si>
  <si>
    <t xml:space="preserve">SAN JUAN DE OCUMAL</t>
  </si>
  <si>
    <t xml:space="preserve">9844</t>
  </si>
  <si>
    <t xml:space="preserve">SAN JUAN DE PROVIDENCIA</t>
  </si>
  <si>
    <t xml:space="preserve">4918</t>
  </si>
  <si>
    <t xml:space="preserve">SAN MIGUEL DE LA REYNA</t>
  </si>
  <si>
    <t xml:space="preserve">4847</t>
  </si>
  <si>
    <t xml:space="preserve">SAN MIGUEL DE PORO PORO</t>
  </si>
  <si>
    <t xml:space="preserve">4928</t>
  </si>
  <si>
    <t xml:space="preserve">SAN PABLO DE VALERA</t>
  </si>
  <si>
    <t xml:space="preserve">9674</t>
  </si>
  <si>
    <t xml:space="preserve">SAN PEDRO Y SAN PABLO</t>
  </si>
  <si>
    <t xml:space="preserve">7065</t>
  </si>
  <si>
    <t xml:space="preserve">SAN RAMON</t>
  </si>
  <si>
    <t xml:space="preserve">4888</t>
  </si>
  <si>
    <t xml:space="preserve">SAN SALVADOR</t>
  </si>
  <si>
    <t xml:space="preserve">4854</t>
  </si>
  <si>
    <t xml:space="preserve">SANTA CATALINA</t>
  </si>
  <si>
    <t xml:space="preserve">4957</t>
  </si>
  <si>
    <t xml:space="preserve">SANTA ROSA</t>
  </si>
  <si>
    <t xml:space="preserve">4887</t>
  </si>
  <si>
    <t xml:space="preserve">7201</t>
  </si>
  <si>
    <t xml:space="preserve">SANTO TORIBIO</t>
  </si>
  <si>
    <t xml:space="preserve">7148</t>
  </si>
  <si>
    <t xml:space="preserve">SAULLAMUR</t>
  </si>
  <si>
    <t xml:space="preserve">7072</t>
  </si>
  <si>
    <t xml:space="preserve">SENGACHE</t>
  </si>
  <si>
    <t xml:space="preserve">29271</t>
  </si>
  <si>
    <t xml:space="preserve">SENOR DE GUALAMITA</t>
  </si>
  <si>
    <t xml:space="preserve">13131</t>
  </si>
  <si>
    <t xml:space="preserve">SENOR DE LOS MILAGROS</t>
  </si>
  <si>
    <t xml:space="preserve">4935</t>
  </si>
  <si>
    <t xml:space="preserve">SHISPASBAMBA</t>
  </si>
  <si>
    <t xml:space="preserve">7063</t>
  </si>
  <si>
    <t xml:space="preserve">SHIPATA</t>
  </si>
  <si>
    <t xml:space="preserve">11727</t>
  </si>
  <si>
    <t xml:space="preserve">SHUCUSH</t>
  </si>
  <si>
    <t xml:space="preserve">4882</t>
  </si>
  <si>
    <t xml:space="preserve">SOLOCO</t>
  </si>
  <si>
    <t xml:space="preserve">4884</t>
  </si>
  <si>
    <t xml:space="preserve">SONCHE</t>
  </si>
  <si>
    <t xml:space="preserve">4908</t>
  </si>
  <si>
    <t xml:space="preserve">TACTA</t>
  </si>
  <si>
    <t xml:space="preserve">7059</t>
  </si>
  <si>
    <t xml:space="preserve">TACTAMAL</t>
  </si>
  <si>
    <t xml:space="preserve">4839</t>
  </si>
  <si>
    <t xml:space="preserve">TAQUIA</t>
  </si>
  <si>
    <t xml:space="preserve">4903</t>
  </si>
  <si>
    <t xml:space="preserve">7381</t>
  </si>
  <si>
    <t xml:space="preserve">TINTIN</t>
  </si>
  <si>
    <t xml:space="preserve">4949</t>
  </si>
  <si>
    <t xml:space="preserve">TOCUYA</t>
  </si>
  <si>
    <t xml:space="preserve">4958</t>
  </si>
  <si>
    <t xml:space="preserve">4901</t>
  </si>
  <si>
    <t xml:space="preserve">TRIBULON</t>
  </si>
  <si>
    <t xml:space="preserve">4855</t>
  </si>
  <si>
    <t xml:space="preserve">TRITA</t>
  </si>
  <si>
    <t xml:space="preserve">7058</t>
  </si>
  <si>
    <t xml:space="preserve">VILLA HERMOSA</t>
  </si>
  <si>
    <t xml:space="preserve">35428</t>
  </si>
  <si>
    <t xml:space="preserve">VIRGEN DE ASUNTA</t>
  </si>
  <si>
    <t xml:space="preserve">4940</t>
  </si>
  <si>
    <t xml:space="preserve">VISTA ALEGRE</t>
  </si>
  <si>
    <t xml:space="preserve">7244</t>
  </si>
  <si>
    <t xml:space="preserve">VISTA HERMOSA</t>
  </si>
  <si>
    <t xml:space="preserve">7252</t>
  </si>
  <si>
    <t xml:space="preserve">VISTA HERMOZA DE OMIA</t>
  </si>
  <si>
    <t xml:space="preserve">4879</t>
  </si>
  <si>
    <t xml:space="preserve">VITUYA</t>
  </si>
  <si>
    <t xml:space="preserve">4938</t>
  </si>
  <si>
    <t xml:space="preserve">7060</t>
  </si>
  <si>
    <t xml:space="preserve">YAULICACHI</t>
  </si>
  <si>
    <t xml:space="preserve">4904</t>
  </si>
  <si>
    <t xml:space="preserve">4886</t>
  </si>
  <si>
    <t xml:space="preserve">YOMBLON DE COCABAMBA</t>
  </si>
  <si>
    <t xml:space="preserve">4900</t>
  </si>
  <si>
    <t xml:space="preserve">YOMBLON DE PISUQUIA</t>
  </si>
  <si>
    <t xml:space="preserve">4954</t>
  </si>
  <si>
    <t xml:space="preserve">REPORTE DE TRASLADO DE PACIENTES SIS DEL MES DE ENERO 2025 PARA REPOSICION DE COMBUSTIBLE</t>
  </si>
  <si>
    <t xml:space="preserve">TOTAL PETROLEO (gal):</t>
  </si>
  <si>
    <t xml:space="preserve">TOTAL GASOLINA (gal):</t>
  </si>
  <si>
    <t xml:space="preserve">TOTAL SOLES S/.:</t>
  </si>
  <si>
    <t xml:space="preserve">N TRASLADOS:</t>
  </si>
  <si>
    <t xml:space="preserve">↑ Al filtrar por EESS los totales cambian automáticamente</t>
  </si>
  <si>
    <t xml:space="preserve">DEVOLVER A
(IPRESS DESTINO)</t>
  </si>
  <si>
    <t xml:space="preserve">COLUMNAS EN AZUL = AUTO (no editar) | Ingrese: N, NRO FORMATO, AFILIADO, TIPO DOC, NRO DOC, FECHA TRASLADO, COD RENAES, COD REFERENCIA, DNI CONDUCTOR, PRECIO GAL, GALONES, FECHA ENTREGA, CIE-10, ESTADO FUA, FECHA DIGITACION, OFICIO, O/C, META, OBSERVACION</t>
  </si>
  <si>
    <t xml:space="preserve">NRO FORMATO
ATENCION</t>
  </si>
  <si>
    <t xml:space="preserve">UNIDAD
EJECUTORA</t>
  </si>
  <si>
    <t xml:space="preserve">TIPO
DOC</t>
  </si>
  <si>
    <t xml:space="preserve">NRO
DOCUMENTO</t>
  </si>
  <si>
    <t xml:space="preserve">FECHA
TRASLADO</t>
  </si>
  <si>
    <t xml:space="preserve">COD
RENAES</t>
  </si>
  <si>
    <t xml:space="preserve">DESCRIPCION
EESS</t>
  </si>
  <si>
    <t xml:space="preserve">COD EESS
REFERENCIA</t>
  </si>
  <si>
    <t xml:space="preserve">TIPO DE
COMBUSTIBLE</t>
  </si>
  <si>
    <t xml:space="preserve">PRECIO
GAL S/.</t>
  </si>
  <si>
    <t xml:space="preserve">TOTAL
COMBUSTIBLE S/.</t>
  </si>
  <si>
    <t xml:space="preserve">DNI
CONDUCTOR</t>
  </si>
  <si>
    <t xml:space="preserve">FECHA DE
ENTREGA</t>
  </si>
  <si>
    <t xml:space="preserve">CODIGO DE
DIAGNOSTICO</t>
  </si>
  <si>
    <t xml:space="preserve">ESTADO
FUA</t>
  </si>
  <si>
    <t xml:space="preserve">FECHA
DIGITACION</t>
  </si>
  <si>
    <t xml:space="preserve">OFICIO</t>
  </si>
  <si>
    <t xml:space="preserve">O/C</t>
  </si>
  <si>
    <t xml:space="preserve">META</t>
  </si>
  <si>
    <t xml:space="preserve">OBSERVACION</t>
  </si>
  <si>
    <t xml:space="preserve">00090006</t>
  </si>
  <si>
    <t xml:space="preserve">REGION</t>
  </si>
  <si>
    <t xml:space="preserve">FUANTES LOPEZ ANYELI GABRIELA</t>
  </si>
  <si>
    <t xml:space="preserve">63391895</t>
  </si>
  <si>
    <t xml:space="preserve">4838</t>
  </si>
  <si>
    <t xml:space="preserve">ATENDIDO 01/07/2025</t>
  </si>
  <si>
    <t xml:space="preserve">R100-K802</t>
  </si>
  <si>
    <t xml:space="preserve">APROBADO</t>
  </si>
  <si>
    <t xml:space="preserve">3041-2025</t>
  </si>
  <si>
    <t xml:space="preserve">3479.0</t>
  </si>
  <si>
    <t xml:space="preserve">189.0</t>
  </si>
  <si>
    <t xml:space="preserve">00090007</t>
  </si>
  <si>
    <t xml:space="preserve">BURGA BACA MARLITH</t>
  </si>
  <si>
    <t xml:space="preserve">77063161</t>
  </si>
  <si>
    <t xml:space="preserve">O603</t>
  </si>
  <si>
    <t xml:space="preserve">000000010</t>
  </si>
  <si>
    <t xml:space="preserve">ARRUE IBERICO JUAN FRANCISCO</t>
  </si>
  <si>
    <t xml:space="preserve">48008043</t>
  </si>
  <si>
    <t xml:space="preserve">F99X,F209</t>
  </si>
  <si>
    <t xml:space="preserve">000000008</t>
  </si>
  <si>
    <t xml:space="preserve">RIVA TRIGOSO SEGUNDO GUILLERMO</t>
  </si>
  <si>
    <t xml:space="preserve">33950725</t>
  </si>
  <si>
    <t xml:space="preserve">S223,I939</t>
  </si>
  <si>
    <t xml:space="preserve">000000002</t>
  </si>
  <si>
    <t xml:space="preserve">TAFUR TRUJILLO ESTER</t>
  </si>
  <si>
    <t xml:space="preserve">80695099</t>
  </si>
  <si>
    <t xml:space="preserve">ATENDIDO 09/10/2025</t>
  </si>
  <si>
    <t xml:space="preserve">A059,T784</t>
  </si>
  <si>
    <t xml:space="preserve">000000003</t>
  </si>
  <si>
    <t xml:space="preserve">VALLE CHAVEZ ROMINA MIRSEL</t>
  </si>
  <si>
    <t xml:space="preserve">60229576</t>
  </si>
  <si>
    <t xml:space="preserve">ATENDIDIO 20/06/2025</t>
  </si>
  <si>
    <t xml:space="preserve">O300</t>
  </si>
  <si>
    <t xml:space="preserve">2888-2025</t>
  </si>
  <si>
    <t xml:space="preserve">CONTRATO N° 001-2025 DYT</t>
  </si>
  <si>
    <t xml:space="preserve">267.0</t>
  </si>
  <si>
    <t xml:space="preserve">00000001</t>
  </si>
  <si>
    <t xml:space="preserve">FUENTES COLVAQUE ELIZABETH</t>
  </si>
  <si>
    <t xml:space="preserve">74858351</t>
  </si>
  <si>
    <t xml:space="preserve">ATENDIDO 03-04-2025</t>
  </si>
  <si>
    <t xml:space="preserve">O603,O429</t>
  </si>
  <si>
    <t xml:space="preserve">0000108-ADENDA N° 001-2025DRSA/OEA.OABAST</t>
  </si>
  <si>
    <t xml:space="preserve">2025.0</t>
  </si>
  <si>
    <t xml:space="preserve">256.0</t>
  </si>
  <si>
    <t xml:space="preserve">000000009</t>
  </si>
  <si>
    <t xml:space="preserve">LOJA MORI CECILIA MARGUIT</t>
  </si>
  <si>
    <t xml:space="preserve">73375465</t>
  </si>
  <si>
    <t xml:space="preserve">ATENDIDO 12/05/2025</t>
  </si>
  <si>
    <t xml:space="preserve">Z359-O629</t>
  </si>
  <si>
    <t xml:space="preserve">OFICO  1937-2025</t>
  </si>
  <si>
    <t xml:space="preserve">0000108- ADENDA N°001-2025 DRSA/OEA-O.ABAST</t>
  </si>
  <si>
    <t xml:space="preserve">000000007</t>
  </si>
  <si>
    <t xml:space="preserve">TAFUR BAZAN EMELY ALEXANDRA</t>
  </si>
  <si>
    <t xml:space="preserve">94059688</t>
  </si>
  <si>
    <t xml:space="preserve">R17X-A419</t>
  </si>
  <si>
    <t xml:space="preserve">VALQUI DE BUSTAMANTE MARIA DIONICIA</t>
  </si>
  <si>
    <t xml:space="preserve">33806181</t>
  </si>
  <si>
    <t xml:space="preserve">K819-R101</t>
  </si>
  <si>
    <t xml:space="preserve">CHUQUIPIONDO GUAMAN YBARISTA</t>
  </si>
  <si>
    <t xml:space="preserve">45148187</t>
  </si>
  <si>
    <t xml:space="preserve">ATENDIDO 13/05/2025</t>
  </si>
  <si>
    <t xml:space="preserve">K828</t>
  </si>
  <si>
    <t xml:space="preserve">BARDALES CHUQUIPA JOSE</t>
  </si>
  <si>
    <t xml:space="preserve">33422417</t>
  </si>
  <si>
    <t xml:space="preserve">K922</t>
  </si>
  <si>
    <t xml:space="preserve">OFICIO 1940-2025</t>
  </si>
  <si>
    <t xml:space="preserve">257.0</t>
  </si>
  <si>
    <t xml:space="preserve">00000003</t>
  </si>
  <si>
    <t xml:space="preserve">MONTOYA SOPLA FRANCISCO</t>
  </si>
  <si>
    <t xml:space="preserve">33422421</t>
  </si>
  <si>
    <t xml:space="preserve">J189-J969</t>
  </si>
  <si>
    <t xml:space="preserve">000000004</t>
  </si>
  <si>
    <t xml:space="preserve">SOPLA CULQUI HOMERO</t>
  </si>
  <si>
    <t xml:space="preserve">33426435</t>
  </si>
  <si>
    <t xml:space="preserve">4689</t>
  </si>
  <si>
    <t xml:space="preserve">S029-S099</t>
  </si>
  <si>
    <t xml:space="preserve">00000005</t>
  </si>
  <si>
    <t xml:space="preserve">CADENILLAS ALTAMIRANO LUZ MARITHA</t>
  </si>
  <si>
    <t xml:space="preserve">48683561</t>
  </si>
  <si>
    <t xml:space="preserve">Z359-O639-O234</t>
  </si>
  <si>
    <t xml:space="preserve">OFICIO 1957-2025</t>
  </si>
  <si>
    <t xml:space="preserve">00000006</t>
  </si>
  <si>
    <t xml:space="preserve">ACUÑA MORALES YANALI</t>
  </si>
  <si>
    <t xml:space="preserve">60374095</t>
  </si>
  <si>
    <t xml:space="preserve">O651-O324-Z359</t>
  </si>
  <si>
    <t xml:space="preserve">00000009</t>
  </si>
  <si>
    <t xml:space="preserve">YNGA ARCE ASUNTA</t>
  </si>
  <si>
    <t xml:space="preserve">42056399</t>
  </si>
  <si>
    <t xml:space="preserve">O60X</t>
  </si>
  <si>
    <t xml:space="preserve">00000007</t>
  </si>
  <si>
    <t xml:space="preserve">CERDAN ZAMORA CLEOTILDE</t>
  </si>
  <si>
    <t xml:space="preserve">27564431</t>
  </si>
  <si>
    <t xml:space="preserve">R104-K830</t>
  </si>
  <si>
    <t xml:space="preserve">00000008</t>
  </si>
  <si>
    <t xml:space="preserve">CASTILLO QUIROZ AYLEN ALEXANDRA</t>
  </si>
  <si>
    <t xml:space="preserve">78227119</t>
  </si>
  <si>
    <t xml:space="preserve">K37X</t>
  </si>
  <si>
    <t xml:space="preserve">ALTAMIRANO SANCHEZ PATROCINIA</t>
  </si>
  <si>
    <t xml:space="preserve">80250474</t>
  </si>
  <si>
    <t xml:space="preserve">N111,E119,N739,K830,K359</t>
  </si>
  <si>
    <t xml:space="preserve">CASTREJON HIDALGO MELANY ARIANA</t>
  </si>
  <si>
    <t xml:space="preserve">63396718</t>
  </si>
  <si>
    <t xml:space="preserve">ATENDIDO 14/05/2025</t>
  </si>
  <si>
    <t xml:space="preserve">G510</t>
  </si>
  <si>
    <t xml:space="preserve">RAMIREZ RAMOS JUSTINIANO</t>
  </si>
  <si>
    <t xml:space="preserve">1028346</t>
  </si>
  <si>
    <t xml:space="preserve">S373-R31X-R33X</t>
  </si>
  <si>
    <t xml:space="preserve">HORNA CHAVEZ AMADO ALADINO</t>
  </si>
  <si>
    <t xml:space="preserve">33807660</t>
  </si>
  <si>
    <t xml:space="preserve">S681</t>
  </si>
  <si>
    <t xml:space="preserve">000000006</t>
  </si>
  <si>
    <t xml:space="preserve">VALLEJOS ZUTA MILIAN</t>
  </si>
  <si>
    <t xml:space="preserve">73592967</t>
  </si>
  <si>
    <t xml:space="preserve">ATENDIDO 16/05/2025</t>
  </si>
  <si>
    <t xml:space="preserve">F103</t>
  </si>
  <si>
    <t xml:space="preserve">00000011</t>
  </si>
  <si>
    <t xml:space="preserve">FERNANDEZ POQUIS MAYELIT ISABEL</t>
  </si>
  <si>
    <t xml:space="preserve">75482623</t>
  </si>
  <si>
    <t xml:space="preserve">Z359-O623-O234</t>
  </si>
  <si>
    <t xml:space="preserve">SANCHEZ PISCO DIANA ELIZABETH</t>
  </si>
  <si>
    <t xml:space="preserve">75977944</t>
  </si>
  <si>
    <t xml:space="preserve">R104-K359-K810</t>
  </si>
  <si>
    <t xml:space="preserve">00000010</t>
  </si>
  <si>
    <t xml:space="preserve">LLANOS MEDINA FRANCISCO </t>
  </si>
  <si>
    <t xml:space="preserve">33793261</t>
  </si>
  <si>
    <t xml:space="preserve">S822-I10X-E119</t>
  </si>
  <si>
    <t xml:space="preserve">CUEVA GRANDEZ EDWIN</t>
  </si>
  <si>
    <t xml:space="preserve">7256446</t>
  </si>
  <si>
    <t xml:space="preserve">S701-S730</t>
  </si>
  <si>
    <t xml:space="preserve">POQUIOMA BAUTISTA MILAGRITOS</t>
  </si>
  <si>
    <t xml:space="preserve">60364491</t>
  </si>
  <si>
    <t xml:space="preserve">Z359-O479-O48X</t>
  </si>
  <si>
    <t xml:space="preserve">00000024</t>
  </si>
  <si>
    <t xml:space="preserve">MONTOYA COLLAZOS FRED KEVIN</t>
  </si>
  <si>
    <t xml:space="preserve">46065777</t>
  </si>
  <si>
    <t xml:space="preserve">ATENDIDO 17/06/2025</t>
  </si>
  <si>
    <t xml:space="preserve">T000-I159</t>
  </si>
  <si>
    <t xml:space="preserve">00000025</t>
  </si>
  <si>
    <t xml:space="preserve">HUAMAN VARGAS DAVID ARON</t>
  </si>
  <si>
    <t xml:space="preserve">91537652</t>
  </si>
  <si>
    <t xml:space="preserve">K359</t>
  </si>
  <si>
    <t xml:space="preserve">00000026</t>
  </si>
  <si>
    <t xml:space="preserve">CARRERA ORIHUELA SOFIA</t>
  </si>
  <si>
    <t xml:space="preserve">90782875</t>
  </si>
  <si>
    <t xml:space="preserve">K922-N390</t>
  </si>
  <si>
    <t xml:space="preserve">00000029</t>
  </si>
  <si>
    <t xml:space="preserve">SANTILLAN TOCHON MAYLLURI</t>
  </si>
  <si>
    <t xml:space="preserve">70941307</t>
  </si>
  <si>
    <t xml:space="preserve">S728</t>
  </si>
  <si>
    <t xml:space="preserve">000000027</t>
  </si>
  <si>
    <t xml:space="preserve">ZAMORA PEREZ APOLONIA</t>
  </si>
  <si>
    <t xml:space="preserve">43264292</t>
  </si>
  <si>
    <t xml:space="preserve">S009-S223-S001</t>
  </si>
  <si>
    <t xml:space="preserve">000000028</t>
  </si>
  <si>
    <t xml:space="preserve">ARBILDO MESIA SIMONA</t>
  </si>
  <si>
    <t xml:space="preserve">48245498</t>
  </si>
  <si>
    <t xml:space="preserve">I499</t>
  </si>
  <si>
    <t xml:space="preserve">000000033</t>
  </si>
  <si>
    <t xml:space="preserve">HUAMAN CARO MARIA DOLORES</t>
  </si>
  <si>
    <t xml:space="preserve">47651398</t>
  </si>
  <si>
    <t xml:space="preserve">O364</t>
  </si>
  <si>
    <t xml:space="preserve">000000032</t>
  </si>
  <si>
    <t xml:space="preserve">S270</t>
  </si>
  <si>
    <t xml:space="preserve">000000001</t>
  </si>
  <si>
    <t xml:space="preserve">PEREZ MEJIA FANNY</t>
  </si>
  <si>
    <t xml:space="preserve">45373431</t>
  </si>
  <si>
    <t xml:space="preserve">O429</t>
  </si>
  <si>
    <t xml:space="preserve">285.0</t>
  </si>
  <si>
    <t xml:space="preserve">00000002</t>
  </si>
  <si>
    <t xml:space="preserve">IZQUIERDO RODRIGUEZ FELIPE SANTIAGO</t>
  </si>
  <si>
    <t xml:space="preserve">42214433</t>
  </si>
  <si>
    <t xml:space="preserve">R101-K359</t>
  </si>
  <si>
    <t xml:space="preserve">PEREZ ALVA FRANCISCA KELLY</t>
  </si>
  <si>
    <t xml:space="preserve">76382054</t>
  </si>
  <si>
    <t xml:space="preserve">Z359-O429</t>
  </si>
  <si>
    <t xml:space="preserve">00000004</t>
  </si>
  <si>
    <t xml:space="preserve">QUISPE CAMPOS ROSALIA</t>
  </si>
  <si>
    <t xml:space="preserve">485739823</t>
  </si>
  <si>
    <t xml:space="preserve">I960-I679-I110-I509</t>
  </si>
  <si>
    <t xml:space="preserve">000000005</t>
  </si>
  <si>
    <t xml:space="preserve">ATALAYA CHACON REYDA</t>
  </si>
  <si>
    <t xml:space="preserve">42339499</t>
  </si>
  <si>
    <t xml:space="preserve">S010,S069</t>
  </si>
  <si>
    <t xml:space="preserve">000000019</t>
  </si>
  <si>
    <t xml:space="preserve">DAVILA ALVA JANNA VALERIA</t>
  </si>
  <si>
    <t xml:space="preserve">79577991</t>
  </si>
  <si>
    <t xml:space="preserve">ATENDIDO 18/06/2025</t>
  </si>
  <si>
    <t xml:space="preserve">R103-K359-I880</t>
  </si>
  <si>
    <t xml:space="preserve">00024-2025</t>
  </si>
  <si>
    <t xml:space="preserve">539-2024</t>
  </si>
  <si>
    <t xml:space="preserve">163.0</t>
  </si>
  <si>
    <t xml:space="preserve">BRICEÑO TUESTA JOSE MARTIN</t>
  </si>
  <si>
    <t xml:space="preserve">74627761</t>
  </si>
  <si>
    <t xml:space="preserve">F200</t>
  </si>
  <si>
    <t xml:space="preserve">0041-2025</t>
  </si>
  <si>
    <t xml:space="preserve">AGUILAR SALAZAR PEDRO</t>
  </si>
  <si>
    <t xml:space="preserve">33799034</t>
  </si>
  <si>
    <t xml:space="preserve">G932-H401</t>
  </si>
  <si>
    <t xml:space="preserve">LOPEZ GUADALUPE NARDY FIORELA</t>
  </si>
  <si>
    <t xml:space="preserve">79521364</t>
  </si>
  <si>
    <t xml:space="preserve">D610</t>
  </si>
  <si>
    <t xml:space="preserve">GUEVARA ZUTA MARLITH</t>
  </si>
  <si>
    <t xml:space="preserve">74914342</t>
  </si>
  <si>
    <t xml:space="preserve">Z359-O759</t>
  </si>
  <si>
    <t xml:space="preserve">FERNANDEZ CHUQUIDEN ROSALITH</t>
  </si>
  <si>
    <t xml:space="preserve">73531189</t>
  </si>
  <si>
    <t xml:space="preserve">ATENDIDO 19/05/2025</t>
  </si>
  <si>
    <t xml:space="preserve">Z359-O321-O429</t>
  </si>
  <si>
    <t xml:space="preserve">PUERTA HUAMAN MARLENI</t>
  </si>
  <si>
    <t xml:space="preserve">45735382</t>
  </si>
  <si>
    <t xml:space="preserve">ALVARADO JANAMPA LENIN BENITO</t>
  </si>
  <si>
    <t xml:space="preserve">76187839</t>
  </si>
  <si>
    <t xml:space="preserve">S022-I678</t>
  </si>
  <si>
    <t xml:space="preserve">VERGARAY RAMIREZ NESTOR LUCAS</t>
  </si>
  <si>
    <t xml:space="preserve">33421499</t>
  </si>
  <si>
    <t xml:space="preserve">A419-N170-R601</t>
  </si>
  <si>
    <t xml:space="preserve">HUAMAN ROJAS ROBINSON </t>
  </si>
  <si>
    <t xml:space="preserve">75934907</t>
  </si>
  <si>
    <t xml:space="preserve">T210-G822</t>
  </si>
  <si>
    <t xml:space="preserve">PUERTA GUIOP DUBERLITH</t>
  </si>
  <si>
    <t xml:space="preserve">75056301</t>
  </si>
  <si>
    <t xml:space="preserve">ATENDIDO 19/06/2025</t>
  </si>
  <si>
    <t xml:space="preserve">Z359-0438</t>
  </si>
  <si>
    <t xml:space="preserve">HUAMAN REYNOSO ERMELINDA</t>
  </si>
  <si>
    <t xml:space="preserve">45250156</t>
  </si>
  <si>
    <t xml:space="preserve">Z359-Z368-O429</t>
  </si>
  <si>
    <t xml:space="preserve">HUAMAN CRUZ MANUEL</t>
  </si>
  <si>
    <t xml:space="preserve">33416588</t>
  </si>
  <si>
    <t xml:space="preserve">J159,I639,R060</t>
  </si>
  <si>
    <t xml:space="preserve">EDQUEN MUÑOZ ANA CELY</t>
  </si>
  <si>
    <t xml:space="preserve">48403967</t>
  </si>
  <si>
    <t xml:space="preserve">ATENDIDO 20/06/2025</t>
  </si>
  <si>
    <t xml:space="preserve">Z359,O440,O342</t>
  </si>
  <si>
    <t xml:space="preserve">LLATANCE ACOSTA KEILY</t>
  </si>
  <si>
    <t xml:space="preserve">74428497</t>
  </si>
  <si>
    <t xml:space="preserve">MEDINA ALTAMIRANO EDELITA</t>
  </si>
  <si>
    <t xml:space="preserve">74858358</t>
  </si>
  <si>
    <t xml:space="preserve">ATENDIDO 30/04/2025</t>
  </si>
  <si>
    <t xml:space="preserve">O85X</t>
  </si>
  <si>
    <t xml:space="preserve">OFICIO 1716-2025</t>
  </si>
  <si>
    <t xml:space="preserve">AMPUERO ROJAS MIGUEL ROQUE</t>
  </si>
  <si>
    <t xml:space="preserve">33797700</t>
  </si>
  <si>
    <t xml:space="preserve">ATENDIDO EL 05/05/2025</t>
  </si>
  <si>
    <t xml:space="preserve">K922-J129</t>
  </si>
  <si>
    <t xml:space="preserve">OFICIO 1771-2025</t>
  </si>
  <si>
    <t xml:space="preserve">CHAPPA ROJAS ORLANDO</t>
  </si>
  <si>
    <t xml:space="preserve">46258008</t>
  </si>
  <si>
    <t xml:space="preserve">S069</t>
  </si>
  <si>
    <t xml:space="preserve">RAMIREZ YALTA LUIS</t>
  </si>
  <si>
    <t xml:space="preserve">33792653</t>
  </si>
  <si>
    <t xml:space="preserve">J960-K703-I500</t>
  </si>
  <si>
    <t xml:space="preserve">VELAYARCE SANTILLAN ROBINSON</t>
  </si>
  <si>
    <t xml:space="preserve">73691856</t>
  </si>
  <si>
    <t xml:space="preserve">S564</t>
  </si>
  <si>
    <t xml:space="preserve">GUEVARA CHAVEZ GILMA</t>
  </si>
  <si>
    <t xml:space="preserve">74591222</t>
  </si>
  <si>
    <t xml:space="preserve">ATENDIDO EL 11/04/2025</t>
  </si>
  <si>
    <t xml:space="preserve">O601</t>
  </si>
  <si>
    <t xml:space="preserve">1461-2025</t>
  </si>
  <si>
    <t xml:space="preserve">915-AÑO 2022</t>
  </si>
  <si>
    <t xml:space="preserve">102.0</t>
  </si>
  <si>
    <t xml:space="preserve">HERNANDEZ DELGADO BLANCA ARACELY</t>
  </si>
  <si>
    <t xml:space="preserve">49080611</t>
  </si>
  <si>
    <t xml:space="preserve">R572-A419-J159</t>
  </si>
  <si>
    <t xml:space="preserve">GOMEZ REAP UVELINDA</t>
  </si>
  <si>
    <t xml:space="preserve">46013537</t>
  </si>
  <si>
    <t xml:space="preserve">O034-D509</t>
  </si>
  <si>
    <t xml:space="preserve">CHAUCA MENDOZA LUIS ELIAS</t>
  </si>
  <si>
    <t xml:space="preserve">62692386</t>
  </si>
  <si>
    <t xml:space="preserve">ATENDIDO EL 14/01/2025</t>
  </si>
  <si>
    <t xml:space="preserve">S818-L039-K603</t>
  </si>
  <si>
    <t xml:space="preserve">0026-2025</t>
  </si>
  <si>
    <t xml:space="preserve">TRUJILLO GOMEZ JUSTINA</t>
  </si>
  <si>
    <t xml:space="preserve">33805880</t>
  </si>
  <si>
    <t xml:space="preserve">000000030</t>
  </si>
  <si>
    <t xml:space="preserve">CRUZ ZAGACETA LUIS ENRIQUE</t>
  </si>
  <si>
    <t xml:space="preserve">46403545</t>
  </si>
  <si>
    <t xml:space="preserve">K297-R101-K85</t>
  </si>
  <si>
    <t xml:space="preserve">0025-2025</t>
  </si>
  <si>
    <t xml:space="preserve">000000031</t>
  </si>
  <si>
    <t xml:space="preserve">VELA VILLANUEVA YESSICA</t>
  </si>
  <si>
    <t xml:space="preserve">62002491</t>
  </si>
  <si>
    <t xml:space="preserve">R100-K359</t>
  </si>
  <si>
    <t xml:space="preserve">                                         000000077</t>
  </si>
  <si>
    <t xml:space="preserve">VELA CANLLA GLADYS</t>
  </si>
  <si>
    <t xml:space="preserve">70159556</t>
  </si>
  <si>
    <t xml:space="preserve">ATENDIDO EL 20/01/2025</t>
  </si>
  <si>
    <t xml:space="preserve">O48</t>
  </si>
  <si>
    <t xml:space="preserve">0035-2025</t>
  </si>
  <si>
    <t xml:space="preserve">6.0</t>
  </si>
  <si>
    <t xml:space="preserve">000000078</t>
  </si>
  <si>
    <t xml:space="preserve">VARGAS PORTOCARRERO AGLIBERTO</t>
  </si>
  <si>
    <t xml:space="preserve">33732730</t>
  </si>
  <si>
    <t xml:space="preserve">I64X</t>
  </si>
  <si>
    <t xml:space="preserve">000000079</t>
  </si>
  <si>
    <t xml:space="preserve">CAMPOS DAVILA DAYANNA SAMYRA</t>
  </si>
  <si>
    <t xml:space="preserve">61100452</t>
  </si>
  <si>
    <t xml:space="preserve">O63.</t>
  </si>
  <si>
    <t xml:space="preserve">000000080</t>
  </si>
  <si>
    <t xml:space="preserve">CONCHE ARISTA NILDA</t>
  </si>
  <si>
    <t xml:space="preserve">80249399</t>
  </si>
  <si>
    <t xml:space="preserve">K56</t>
  </si>
  <si>
    <t xml:space="preserve">LLAJA CHASQUIBOL EPIFANIA</t>
  </si>
  <si>
    <t xml:space="preserve">45732355</t>
  </si>
  <si>
    <t xml:space="preserve">O36-O41</t>
  </si>
  <si>
    <t xml:space="preserve">GUADALUPE ALVA FLOR EDELMIRA</t>
  </si>
  <si>
    <t xml:space="preserve">41696252</t>
  </si>
  <si>
    <t xml:space="preserve">Z359-O200</t>
  </si>
  <si>
    <t xml:space="preserve">0036-2025</t>
  </si>
  <si>
    <t xml:space="preserve">000000035</t>
  </si>
  <si>
    <t xml:space="preserve">ZAVALETA CHAVEZ DOMINGO</t>
  </si>
  <si>
    <t xml:space="preserve">33814108</t>
  </si>
  <si>
    <t xml:space="preserve">0034-2025</t>
  </si>
  <si>
    <t xml:space="preserve">000000021</t>
  </si>
  <si>
    <t xml:space="preserve">ENCINA VILCA ARMINDA</t>
  </si>
  <si>
    <t xml:space="preserve">33422834</t>
  </si>
  <si>
    <t xml:space="preserve">ATENDIDO EL 24/01/2025</t>
  </si>
  <si>
    <t xml:space="preserve">0040-2025</t>
  </si>
  <si>
    <t xml:space="preserve">438-2024</t>
  </si>
  <si>
    <t xml:space="preserve">91.0</t>
  </si>
  <si>
    <t xml:space="preserve">LIZARDO GRANDEZ WALDIR DECIDERIO</t>
  </si>
  <si>
    <t xml:space="preserve">33941904</t>
  </si>
  <si>
    <t xml:space="preserve">K359/I10X</t>
  </si>
  <si>
    <t xml:space="preserve">000000018</t>
  </si>
  <si>
    <t xml:space="preserve">RIVA TAFUR IGINIO ANTONIO</t>
  </si>
  <si>
    <t xml:space="preserve">60683760</t>
  </si>
  <si>
    <t xml:space="preserve">N200/L509/B829</t>
  </si>
  <si>
    <t xml:space="preserve">000000020</t>
  </si>
  <si>
    <t xml:space="preserve">MEJIA RUBIO ROSALIA</t>
  </si>
  <si>
    <t xml:space="preserve">60030067</t>
  </si>
  <si>
    <t xml:space="preserve">O411</t>
  </si>
  <si>
    <t xml:space="preserve">000000016</t>
  </si>
  <si>
    <t xml:space="preserve">RODRIGUEZ PORTOCARRERO DANIEL</t>
  </si>
  <si>
    <t xml:space="preserve">77531942</t>
  </si>
  <si>
    <t xml:space="preserve">F232</t>
  </si>
  <si>
    <t xml:space="preserve">000000015</t>
  </si>
  <si>
    <t xml:space="preserve">MUÑOZ SALAZAR MANUEL </t>
  </si>
  <si>
    <t xml:space="preserve">33942255</t>
  </si>
  <si>
    <t xml:space="preserve">K830</t>
  </si>
  <si>
    <t xml:space="preserve">000000014</t>
  </si>
  <si>
    <t xml:space="preserve">OCAÑA BELLASMIN ANDY FIDELINA</t>
  </si>
  <si>
    <t xml:space="preserve">75765426</t>
  </si>
  <si>
    <t xml:space="preserve">O329</t>
  </si>
  <si>
    <t xml:space="preserve">000000013</t>
  </si>
  <si>
    <t xml:space="preserve">HUAMAN HUAMAN EXIQUEL</t>
  </si>
  <si>
    <t xml:space="preserve">80301693</t>
  </si>
  <si>
    <t xml:space="preserve">000000012</t>
  </si>
  <si>
    <t xml:space="preserve">MARIN ALVARADO IAN DARIEL</t>
  </si>
  <si>
    <t xml:space="preserve">92545819</t>
  </si>
  <si>
    <t xml:space="preserve">T172</t>
  </si>
  <si>
    <t xml:space="preserve">000000017</t>
  </si>
  <si>
    <t xml:space="preserve">HERRERA ALVAREZ ANDRIU</t>
  </si>
  <si>
    <t xml:space="preserve">63224416</t>
  </si>
  <si>
    <t xml:space="preserve">K359/A010</t>
  </si>
  <si>
    <t xml:space="preserve">GUERRERO VELASQUEZ MAGALI</t>
  </si>
  <si>
    <t xml:space="preserve">77139134</t>
  </si>
  <si>
    <t xml:space="preserve">ATENDIDO EL 27/01/2025</t>
  </si>
  <si>
    <t xml:space="preserve">R17-K83</t>
  </si>
  <si>
    <t xml:space="preserve">0044-2025</t>
  </si>
  <si>
    <t xml:space="preserve">FERNANDEZ TARRILLO MELQUIADES</t>
  </si>
  <si>
    <t xml:space="preserve">33646370</t>
  </si>
  <si>
    <t xml:space="preserve">A41.9-E11.6</t>
  </si>
  <si>
    <t xml:space="preserve">CALERO MENDOZA DE TORRES MARTHA</t>
  </si>
  <si>
    <t xml:space="preserve">9203576</t>
  </si>
  <si>
    <t xml:space="preserve">J96.0-N10X</t>
  </si>
  <si>
    <t xml:space="preserve">CAMPOS VASQUEZ DELCI YOLA</t>
  </si>
  <si>
    <t xml:space="preserve">45870693</t>
  </si>
  <si>
    <t xml:space="preserve">Z359-O469</t>
  </si>
  <si>
    <t xml:space="preserve">0045-2025</t>
  </si>
  <si>
    <t xml:space="preserve">PEREZ GUEVARA NELVA ARACELI</t>
  </si>
  <si>
    <t xml:space="preserve">61675206</t>
  </si>
  <si>
    <t xml:space="preserve">Z359-O639</t>
  </si>
  <si>
    <t xml:space="preserve">RITUAY MORI MADELEYNE</t>
  </si>
  <si>
    <t xml:space="preserve">61670354</t>
  </si>
  <si>
    <t xml:space="preserve">0043-2025</t>
  </si>
  <si>
    <t xml:space="preserve">YNGA MAS JHISELA </t>
  </si>
  <si>
    <t xml:space="preserve">72803478</t>
  </si>
  <si>
    <t xml:space="preserve">00000022</t>
  </si>
  <si>
    <t xml:space="preserve">ACOSTA GRANDEZ JOSELITO</t>
  </si>
  <si>
    <t xml:space="preserve">43755881</t>
  </si>
  <si>
    <t xml:space="preserve">ATENDIDO EL 28/01/2025</t>
  </si>
  <si>
    <t xml:space="preserve">T793</t>
  </si>
  <si>
    <t xml:space="preserve">0046-2025</t>
  </si>
  <si>
    <t xml:space="preserve">00000023</t>
  </si>
  <si>
    <t xml:space="preserve">NOVOA TAFUR EDITHA CONSUELO</t>
  </si>
  <si>
    <t xml:space="preserve">33951427</t>
  </si>
  <si>
    <t xml:space="preserve">J961-I500</t>
  </si>
  <si>
    <t xml:space="preserve">CULQUI CAJA KELLY LLEZENIA</t>
  </si>
  <si>
    <t xml:space="preserve">60708292</t>
  </si>
  <si>
    <t xml:space="preserve">Z359</t>
  </si>
  <si>
    <t xml:space="preserve">0050-2025</t>
  </si>
  <si>
    <t xml:space="preserve">CULQUI CHOCTALIN KELLY</t>
  </si>
  <si>
    <t xml:space="preserve">47266742</t>
  </si>
  <si>
    <t xml:space="preserve">N939</t>
  </si>
  <si>
    <t xml:space="preserve">SANTILLAN CHAVEZ MICHAEL ELEODOR</t>
  </si>
  <si>
    <t xml:space="preserve">43153211</t>
  </si>
  <si>
    <t xml:space="preserve">J960-R18X-K920</t>
  </si>
  <si>
    <t xml:space="preserve">0054-2025</t>
  </si>
  <si>
    <t xml:space="preserve">CHAVEZ HERRERA LEONIDAS</t>
  </si>
  <si>
    <t xml:space="preserve">33791266</t>
  </si>
  <si>
    <t xml:space="preserve">R100-N324</t>
  </si>
  <si>
    <t xml:space="preserve">CHAPPA CHUQUIZUTA KELY MERCEDES</t>
  </si>
  <si>
    <t xml:space="preserve">73474762</t>
  </si>
  <si>
    <t xml:space="preserve">O342</t>
  </si>
  <si>
    <t xml:space="preserve">MAS GASLAC EINER</t>
  </si>
  <si>
    <t xml:space="preserve">76827194</t>
  </si>
  <si>
    <t xml:space="preserve">S680</t>
  </si>
  <si>
    <t xml:space="preserve">0051-2025</t>
  </si>
  <si>
    <t xml:space="preserve">YANA BRICEÑO SILVIA</t>
  </si>
  <si>
    <t xml:space="preserve">73731630</t>
  </si>
  <si>
    <t xml:space="preserve">R104-K37X</t>
  </si>
  <si>
    <t xml:space="preserve">0053-2025</t>
  </si>
  <si>
    <t xml:space="preserve">GALVEZ IZQUIERDO RN</t>
  </si>
  <si>
    <t xml:space="preserve">10959416</t>
  </si>
  <si>
    <t xml:space="preserve">P073-P050</t>
  </si>
  <si>
    <t xml:space="preserve">0049-2025</t>
  </si>
  <si>
    <t xml:space="preserve">BAZAN GUEVARA ELISABET</t>
  </si>
  <si>
    <t xml:space="preserve">46977938</t>
  </si>
  <si>
    <t xml:space="preserve">O48X</t>
  </si>
  <si>
    <t xml:space="preserve">TENORIO PUELLES YAHAIRA</t>
  </si>
  <si>
    <t xml:space="preserve">74431770</t>
  </si>
  <si>
    <t xml:space="preserve">Z359-O628</t>
  </si>
  <si>
    <t xml:space="preserve">0052-2025</t>
  </si>
  <si>
    <t xml:space="preserve">000009005</t>
  </si>
  <si>
    <t xml:space="preserve">T141</t>
  </si>
  <si>
    <t xml:space="preserve">0048-2025</t>
  </si>
  <si>
    <t xml:space="preserve">SUBTOTAL (cambia al filtrar por EESS) →</t>
  </si>
  <si>
    <t xml:space="preserve">TOTALES DEL MES</t>
  </si>
  <si>
    <t xml:space="preserve">REPORTE DE TRASLADO DE PACIENTES SIS DEL MES DE FEBRERO 2025 PARA REPOSICION DE COMBUSTIBLE</t>
  </si>
  <si>
    <t xml:space="preserve">CRUZ DEZA NELSA LIZET</t>
  </si>
  <si>
    <t xml:space="preserve">62126640</t>
  </si>
  <si>
    <t xml:space="preserve">ATENDIDO 22/04/2025</t>
  </si>
  <si>
    <t xml:space="preserve">A09X,Z359</t>
  </si>
  <si>
    <t xml:space="preserve">1614-2025</t>
  </si>
  <si>
    <t xml:space="preserve">251.0</t>
  </si>
  <si>
    <t xml:space="preserve">RODRIGUEZ TICLLA LUZ THALIA</t>
  </si>
  <si>
    <t xml:space="preserve">76738971</t>
  </si>
  <si>
    <t xml:space="preserve">O623</t>
  </si>
  <si>
    <t xml:space="preserve">CAYAO CASAS ELSA MARILU</t>
  </si>
  <si>
    <t xml:space="preserve">60322673</t>
  </si>
  <si>
    <t xml:space="preserve">Z359,O479,O234</t>
  </si>
  <si>
    <t xml:space="preserve">BUSTAMANTE DE PEREZ EUFEMIA</t>
  </si>
  <si>
    <t xml:space="preserve">27062680</t>
  </si>
  <si>
    <t xml:space="preserve">K539</t>
  </si>
  <si>
    <t xml:space="preserve">CHAVEZ LOPEZ JAMIL DAVILMAR</t>
  </si>
  <si>
    <t xml:space="preserve">60322670</t>
  </si>
  <si>
    <t xml:space="preserve">00000016</t>
  </si>
  <si>
    <t xml:space="preserve">HUAMAN LUMBA ERIKA JHUMERI</t>
  </si>
  <si>
    <t xml:space="preserve">61575071</t>
  </si>
  <si>
    <t xml:space="preserve">ATENDIDO 23/05/2025</t>
  </si>
  <si>
    <t xml:space="preserve">O366</t>
  </si>
  <si>
    <t xml:space="preserve">00000013</t>
  </si>
  <si>
    <t xml:space="preserve">AGUILAR VISALOT ROSIO</t>
  </si>
  <si>
    <t xml:space="preserve">45809943</t>
  </si>
  <si>
    <t xml:space="preserve">ATENDIDO 10-04-2025</t>
  </si>
  <si>
    <t xml:space="preserve">O342,O345</t>
  </si>
  <si>
    <t xml:space="preserve">00000015</t>
  </si>
  <si>
    <t xml:space="preserve">FUNTES COLVAQUE ELIZABETH</t>
  </si>
  <si>
    <t xml:space="preserve">74858371</t>
  </si>
  <si>
    <t xml:space="preserve">Z359,O680,Q209,O331</t>
  </si>
  <si>
    <t xml:space="preserve">CHUQUIMANGO DELGADO ANACELLY</t>
  </si>
  <si>
    <t xml:space="preserve">71825474</t>
  </si>
  <si>
    <t xml:space="preserve">R103,O009</t>
  </si>
  <si>
    <t xml:space="preserve">DELGADO FERNANDEZ ANDREA SAJU</t>
  </si>
  <si>
    <t xml:space="preserve">60596890</t>
  </si>
  <si>
    <t xml:space="preserve">5125</t>
  </si>
  <si>
    <t xml:space="preserve">Z359,O470</t>
  </si>
  <si>
    <t xml:space="preserve">OFICIO 1716-2026</t>
  </si>
  <si>
    <t xml:space="preserve">HEREDIA TANTALEAN LUIS ENRIQUE</t>
  </si>
  <si>
    <t xml:space="preserve">78374131</t>
  </si>
  <si>
    <t xml:space="preserve">T07X,S069,S369</t>
  </si>
  <si>
    <t xml:space="preserve">OFICIO 1716-2027</t>
  </si>
  <si>
    <t xml:space="preserve">HOYOS INGA BEDERCITA</t>
  </si>
  <si>
    <t xml:space="preserve">74758278</t>
  </si>
  <si>
    <t xml:space="preserve">D500,K922</t>
  </si>
  <si>
    <t xml:space="preserve">OFICIO 1716-2028</t>
  </si>
  <si>
    <t xml:space="preserve">00000014</t>
  </si>
  <si>
    <t xml:space="preserve">ALTAMIRANO BUSTAMANTE MARIA</t>
  </si>
  <si>
    <t xml:space="preserve">80403291</t>
  </si>
  <si>
    <t xml:space="preserve">G409,G418,R739</t>
  </si>
  <si>
    <t xml:space="preserve">QUITO YLIQUIN ANTONIA</t>
  </si>
  <si>
    <t xml:space="preserve">33406869</t>
  </si>
  <si>
    <t xml:space="preserve">K429,K566</t>
  </si>
  <si>
    <t xml:space="preserve">ILIQUIN CHAVEZ JUANA</t>
  </si>
  <si>
    <t xml:space="preserve">47009588</t>
  </si>
  <si>
    <t xml:space="preserve">O268</t>
  </si>
  <si>
    <t xml:space="preserve">MENDOZA ZUTA NELSI</t>
  </si>
  <si>
    <t xml:space="preserve">73758592</t>
  </si>
  <si>
    <t xml:space="preserve">LOPEZ CIEZA OLGA MERCEDES</t>
  </si>
  <si>
    <t xml:space="preserve">45737334</t>
  </si>
  <si>
    <t xml:space="preserve">MIRANDA FERNENDEZ MARIA MARIANA</t>
  </si>
  <si>
    <t xml:space="preserve">43967650</t>
  </si>
  <si>
    <t xml:space="preserve">Z359,O342</t>
  </si>
  <si>
    <t xml:space="preserve">CHUGDEN LLATAS WILLIAN</t>
  </si>
  <si>
    <t xml:space="preserve">48598588</t>
  </si>
  <si>
    <t xml:space="preserve">K566,E86X,G710</t>
  </si>
  <si>
    <t xml:space="preserve">VARGAS TUESTA ROICER IVAN</t>
  </si>
  <si>
    <t xml:space="preserve">73178969</t>
  </si>
  <si>
    <t xml:space="preserve">ATENDIDO 25/06/2025</t>
  </si>
  <si>
    <t xml:space="preserve">S829</t>
  </si>
  <si>
    <t xml:space="preserve">HUAMAN HUAMAN FANNY</t>
  </si>
  <si>
    <t xml:space="preserve">60635505</t>
  </si>
  <si>
    <t xml:space="preserve">O639,Z359,P051</t>
  </si>
  <si>
    <t xml:space="preserve">OCAMPO NUNCEVAY YURI</t>
  </si>
  <si>
    <t xml:space="preserve">43039840</t>
  </si>
  <si>
    <t xml:space="preserve">4828</t>
  </si>
  <si>
    <t xml:space="preserve">ATENDIDO 25/04/2025</t>
  </si>
  <si>
    <t xml:space="preserve">O13X,O149</t>
  </si>
  <si>
    <t xml:space="preserve">CAVA MASLUCAN MARIA AMANDA</t>
  </si>
  <si>
    <t xml:space="preserve">33720114</t>
  </si>
  <si>
    <t xml:space="preserve">S700,S720</t>
  </si>
  <si>
    <t xml:space="preserve">00000012</t>
  </si>
  <si>
    <t xml:space="preserve">CRUZ PIZARRO GIOVANI</t>
  </si>
  <si>
    <t xml:space="preserve">46841357</t>
  </si>
  <si>
    <t xml:space="preserve">Z359,O629,O630</t>
  </si>
  <si>
    <t xml:space="preserve">CHUMBE ROJAS MARIA CRUZ</t>
  </si>
  <si>
    <t xml:space="preserve">41396842</t>
  </si>
  <si>
    <t xml:space="preserve">R103,K37X</t>
  </si>
  <si>
    <t xml:space="preserve">Z359,O600,O321</t>
  </si>
  <si>
    <t xml:space="preserve">CORONADO GUEVARA ADITA MARILU</t>
  </si>
  <si>
    <t xml:space="preserve">60031072</t>
  </si>
  <si>
    <t xml:space="preserve">ATENDIDO  17/06/2025</t>
  </si>
  <si>
    <t xml:space="preserve">Z359,629</t>
  </si>
  <si>
    <t xml:space="preserve">ROJAS HERRERA JILMAN ROBERTO</t>
  </si>
  <si>
    <t xml:space="preserve">77377411</t>
  </si>
  <si>
    <t xml:space="preserve">R104,K359</t>
  </si>
  <si>
    <t xml:space="preserve">MARQUEZ RAMIREZ GABRIELA DEL PILAR</t>
  </si>
  <si>
    <t xml:space="preserve">74237437</t>
  </si>
  <si>
    <t xml:space="preserve">O600</t>
  </si>
  <si>
    <t xml:space="preserve">RODRIGUEZ CHAVEZ SANTOS</t>
  </si>
  <si>
    <t xml:space="preserve">43912225</t>
  </si>
  <si>
    <t xml:space="preserve">BUSTAMANTE ATALAYA KEILITA ORTENCIA</t>
  </si>
  <si>
    <t xml:space="preserve">62006947</t>
  </si>
  <si>
    <t xml:space="preserve">O470,Z359</t>
  </si>
  <si>
    <t xml:space="preserve">LOPEZ HUAMAN TEODORICA DE JESUS</t>
  </si>
  <si>
    <t xml:space="preserve">33947133</t>
  </si>
  <si>
    <t xml:space="preserve">D509,R101</t>
  </si>
  <si>
    <t xml:space="preserve">ATENDIDO 05/05/2025</t>
  </si>
  <si>
    <t xml:space="preserve">J189,J960</t>
  </si>
  <si>
    <t xml:space="preserve">ROJAS BUELOT JEYLI MILAGROS</t>
  </si>
  <si>
    <t xml:space="preserve">76356648</t>
  </si>
  <si>
    <t xml:space="preserve">O034</t>
  </si>
  <si>
    <t xml:space="preserve">CHOCA ROJAS SAMUEL</t>
  </si>
  <si>
    <t xml:space="preserve">72708247</t>
  </si>
  <si>
    <t xml:space="preserve">R100,K359</t>
  </si>
  <si>
    <t xml:space="preserve">MEDINA CHALAS CELIA</t>
  </si>
  <si>
    <t xml:space="preserve">77073895</t>
  </si>
  <si>
    <t xml:space="preserve">O639 </t>
  </si>
  <si>
    <t xml:space="preserve">VILCA CHUQUIZUTA LLORDANI</t>
  </si>
  <si>
    <t xml:space="preserve">74412017</t>
  </si>
  <si>
    <t xml:space="preserve">O801</t>
  </si>
  <si>
    <t xml:space="preserve">00000017</t>
  </si>
  <si>
    <t xml:space="preserve">CHUQUIZUTA CHUQUIZUTA MARLENI</t>
  </si>
  <si>
    <t xml:space="preserve">42724860</t>
  </si>
  <si>
    <t xml:space="preserve">O149,O698</t>
  </si>
  <si>
    <t xml:space="preserve">00000018</t>
  </si>
  <si>
    <t xml:space="preserve">MENDOZA CHUQUIZUTA ROSA</t>
  </si>
  <si>
    <t xml:space="preserve">48250069</t>
  </si>
  <si>
    <t xml:space="preserve">S799,S720</t>
  </si>
  <si>
    <t xml:space="preserve">00000045</t>
  </si>
  <si>
    <t xml:space="preserve">TRAUCO POQUIOMA HILDEBRANDO</t>
  </si>
  <si>
    <t xml:space="preserve">33787297</t>
  </si>
  <si>
    <t xml:space="preserve">S223,S019,I318</t>
  </si>
  <si>
    <t xml:space="preserve">00000038</t>
  </si>
  <si>
    <t xml:space="preserve">CASTRO RUIZ TERESITA DEL NIÑO JESUS</t>
  </si>
  <si>
    <t xml:space="preserve">33945444</t>
  </si>
  <si>
    <t xml:space="preserve">ENTREGADO 17/06/2025</t>
  </si>
  <si>
    <t xml:space="preserve">I64X,G819,J189,R33X</t>
  </si>
  <si>
    <t xml:space="preserve">00000035</t>
  </si>
  <si>
    <t xml:space="preserve">S822</t>
  </si>
  <si>
    <t xml:space="preserve">00000036</t>
  </si>
  <si>
    <t xml:space="preserve">MELENDEZ LOPEZ MARIA ASUNTA</t>
  </si>
  <si>
    <t xml:space="preserve">6089097</t>
  </si>
  <si>
    <t xml:space="preserve">R104,K37X</t>
  </si>
  <si>
    <t xml:space="preserve">00000037</t>
  </si>
  <si>
    <t xml:space="preserve">LOPEZ GUEVARA FELIPE</t>
  </si>
  <si>
    <t xml:space="preserve">33788748</t>
  </si>
  <si>
    <t xml:space="preserve">S062</t>
  </si>
  <si>
    <t xml:space="preserve">00000034</t>
  </si>
  <si>
    <t xml:space="preserve">F09X,F209</t>
  </si>
  <si>
    <t xml:space="preserve">00000039</t>
  </si>
  <si>
    <t xml:space="preserve">TAFUR SALDAÑA REYES HOMERO</t>
  </si>
  <si>
    <t xml:space="preserve">33949302</t>
  </si>
  <si>
    <t xml:space="preserve">I209</t>
  </si>
  <si>
    <t xml:space="preserve">00000040</t>
  </si>
  <si>
    <t xml:space="preserve">LOPEZ FERNANDEZ GILMER DOLORES</t>
  </si>
  <si>
    <t xml:space="preserve">33947393</t>
  </si>
  <si>
    <t xml:space="preserve">00000041</t>
  </si>
  <si>
    <t xml:space="preserve">GUEVARA EPIQUEN DOYLA ELVIRA</t>
  </si>
  <si>
    <t xml:space="preserve">45254957</t>
  </si>
  <si>
    <t xml:space="preserve">O234,O141</t>
  </si>
  <si>
    <t xml:space="preserve">00000042</t>
  </si>
  <si>
    <t xml:space="preserve">VELA ENCINA JHEINER</t>
  </si>
  <si>
    <t xml:space="preserve">61670371</t>
  </si>
  <si>
    <t xml:space="preserve">T630</t>
  </si>
  <si>
    <t xml:space="preserve">00000043</t>
  </si>
  <si>
    <t xml:space="preserve">TORRES GOMEZ MANUEL</t>
  </si>
  <si>
    <t xml:space="preserve">33940367</t>
  </si>
  <si>
    <t xml:space="preserve">S720,I10X</t>
  </si>
  <si>
    <t xml:space="preserve">00000044</t>
  </si>
  <si>
    <t xml:space="preserve">D'ARRIGO ALVA LESLY KAREN</t>
  </si>
  <si>
    <t xml:space="preserve">46660766</t>
  </si>
  <si>
    <t xml:space="preserve">O459,O990</t>
  </si>
  <si>
    <t xml:space="preserve">TINEO LOZANO ZARA LUCILA</t>
  </si>
  <si>
    <t xml:space="preserve">40717063</t>
  </si>
  <si>
    <t xml:space="preserve">Z359,O470,O420</t>
  </si>
  <si>
    <t xml:space="preserve">00000046</t>
  </si>
  <si>
    <t xml:space="preserve">HUAMAN ROJAS JILVER</t>
  </si>
  <si>
    <t xml:space="preserve">42319688</t>
  </si>
  <si>
    <t xml:space="preserve">00000047</t>
  </si>
  <si>
    <t xml:space="preserve">ARBILDO TEJADA ALQUIMEDES</t>
  </si>
  <si>
    <t xml:space="preserve">7679458</t>
  </si>
  <si>
    <t xml:space="preserve">S659</t>
  </si>
  <si>
    <t xml:space="preserve">00000048</t>
  </si>
  <si>
    <t xml:space="preserve">MENDOZA ARISTA JOSE ELIAS</t>
  </si>
  <si>
    <t xml:space="preserve">33948279</t>
  </si>
  <si>
    <t xml:space="preserve">N189,I10X</t>
  </si>
  <si>
    <t xml:space="preserve">00000049</t>
  </si>
  <si>
    <t xml:space="preserve">VARGAS ARISTA ADRIEL CAMILO</t>
  </si>
  <si>
    <t xml:space="preserve">93172259</t>
  </si>
  <si>
    <t xml:space="preserve">A09X</t>
  </si>
  <si>
    <t xml:space="preserve">00000050</t>
  </si>
  <si>
    <t xml:space="preserve">LOPEZ LIDIA VICTORIA</t>
  </si>
  <si>
    <t xml:space="preserve">48255595</t>
  </si>
  <si>
    <t xml:space="preserve">I679</t>
  </si>
  <si>
    <t xml:space="preserve">00000051</t>
  </si>
  <si>
    <t xml:space="preserve">SANCHEZ ALTAMIRANO JOSE DILVER</t>
  </si>
  <si>
    <t xml:space="preserve">73254472</t>
  </si>
  <si>
    <t xml:space="preserve">A970</t>
  </si>
  <si>
    <t xml:space="preserve">00000055</t>
  </si>
  <si>
    <t xml:space="preserve">TIRADO VASQUEZ SANTOS YANET</t>
  </si>
  <si>
    <t xml:space="preserve">46838177</t>
  </si>
  <si>
    <t xml:space="preserve">Z348,O479,O639,O69X</t>
  </si>
  <si>
    <t xml:space="preserve">HUAMAN ROJAS REYMON PABLO</t>
  </si>
  <si>
    <t xml:space="preserve">60253183</t>
  </si>
  <si>
    <t xml:space="preserve">BENAL HUAMAN ANABEL</t>
  </si>
  <si>
    <t xml:space="preserve">62112396</t>
  </si>
  <si>
    <t xml:space="preserve">O339</t>
  </si>
  <si>
    <t xml:space="preserve">TISNADO CHALAS FLORECITA</t>
  </si>
  <si>
    <t xml:space="preserve">43035322</t>
  </si>
  <si>
    <t xml:space="preserve">0000019</t>
  </si>
  <si>
    <t xml:space="preserve">ARBILDO TEJADA ALQUIMEDES </t>
  </si>
  <si>
    <t xml:space="preserve">S619,S659</t>
  </si>
  <si>
    <t xml:space="preserve">GARCIA HUAMAN ELGA ROXANA</t>
  </si>
  <si>
    <t xml:space="preserve">48010991</t>
  </si>
  <si>
    <t xml:space="preserve">ATENDIDO 11/04/2025</t>
  </si>
  <si>
    <t xml:space="preserve">O13X,O429</t>
  </si>
  <si>
    <t xml:space="preserve">CARRANZA CERCADO ELISA</t>
  </si>
  <si>
    <t xml:space="preserve">60361453</t>
  </si>
  <si>
    <t xml:space="preserve">GUTIERREZ BUELOT MARINA</t>
  </si>
  <si>
    <t xml:space="preserve">47525669</t>
  </si>
  <si>
    <t xml:space="preserve">O759</t>
  </si>
  <si>
    <t xml:space="preserve">LOPEZ MESTANZA ELITA ESTHER</t>
  </si>
  <si>
    <t xml:space="preserve">62135790</t>
  </si>
  <si>
    <t xml:space="preserve">R104,K37X,R51X</t>
  </si>
  <si>
    <t xml:space="preserve">MALUQUIZ CARRANZA ANI</t>
  </si>
  <si>
    <t xml:space="preserve">78803200</t>
  </si>
  <si>
    <t xml:space="preserve">Z359,O339,O149,O234</t>
  </si>
  <si>
    <t xml:space="preserve">DAVILA MALUQUIZ ALISSON AYTANA KALESSI</t>
  </si>
  <si>
    <t xml:space="preserve">94144933</t>
  </si>
  <si>
    <t xml:space="preserve">P704</t>
  </si>
  <si>
    <t xml:space="preserve">00000019</t>
  </si>
  <si>
    <t xml:space="preserve">TRIGOSO TUESTA SUSANA</t>
  </si>
  <si>
    <t xml:space="preserve">41103560</t>
  </si>
  <si>
    <t xml:space="preserve">I48X,J960,E119</t>
  </si>
  <si>
    <t xml:space="preserve">COMECA SANCHEZ DANIEL</t>
  </si>
  <si>
    <t xml:space="preserve">33730721</t>
  </si>
  <si>
    <t xml:space="preserve">R102,K359</t>
  </si>
  <si>
    <t xml:space="preserve">CARRASCO DAVILA MERLI LUZDINA</t>
  </si>
  <si>
    <t xml:space="preserve">73977905</t>
  </si>
  <si>
    <t xml:space="preserve">J180,J459</t>
  </si>
  <si>
    <t xml:space="preserve">ALARCON SALAS TITO MARCOS</t>
  </si>
  <si>
    <t xml:space="preserve">8649812</t>
  </si>
  <si>
    <t xml:space="preserve">I219</t>
  </si>
  <si>
    <t xml:space="preserve">00000020</t>
  </si>
  <si>
    <t xml:space="preserve">TELLO GUEVARON LEONILDA</t>
  </si>
  <si>
    <t xml:space="preserve">33732096</t>
  </si>
  <si>
    <t xml:space="preserve">M250,S620</t>
  </si>
  <si>
    <t xml:space="preserve">00000067</t>
  </si>
  <si>
    <t xml:space="preserve">ACUÑA MORALES FLOR GLADIS</t>
  </si>
  <si>
    <t xml:space="preserve">74955572</t>
  </si>
  <si>
    <t xml:space="preserve">Z359,O651</t>
  </si>
  <si>
    <t xml:space="preserve">ZUTA VELA ROSA LASTEÑA</t>
  </si>
  <si>
    <t xml:space="preserve">47036916</t>
  </si>
  <si>
    <t xml:space="preserve">Z359,O628</t>
  </si>
  <si>
    <t xml:space="preserve">GOMEZ RITUAY CORINA</t>
  </si>
  <si>
    <t xml:space="preserve">45530648</t>
  </si>
  <si>
    <t xml:space="preserve">O628,O420,Z359</t>
  </si>
  <si>
    <t xml:space="preserve">TRUJILLO ZAVALETA ANGEL</t>
  </si>
  <si>
    <t xml:space="preserve">45367122</t>
  </si>
  <si>
    <t xml:space="preserve">R568,B690,R520</t>
  </si>
  <si>
    <t xml:space="preserve">LOJA MORI MARTINA</t>
  </si>
  <si>
    <t xml:space="preserve">48689798</t>
  </si>
  <si>
    <t xml:space="preserve">R100,K566,K420</t>
  </si>
  <si>
    <t xml:space="preserve">HUAMALCA CHAVEZ EISTEN GABRIEL</t>
  </si>
  <si>
    <t xml:space="preserve">91325760</t>
  </si>
  <si>
    <t xml:space="preserve">S531</t>
  </si>
  <si>
    <t xml:space="preserve">OFICIO1971-2025</t>
  </si>
  <si>
    <t xml:space="preserve">JALCA PICON ARISTIDES VENTURA</t>
  </si>
  <si>
    <t xml:space="preserve">33420096</t>
  </si>
  <si>
    <t xml:space="preserve">I639,G459</t>
  </si>
  <si>
    <t xml:space="preserve">MORI MUÑOZ CLARA MARCELINA</t>
  </si>
  <si>
    <t xml:space="preserve">33431576</t>
  </si>
  <si>
    <t xml:space="preserve">ALVA TORREJON NOEMI</t>
  </si>
  <si>
    <t xml:space="preserve">72919258</t>
  </si>
  <si>
    <t xml:space="preserve">MENDOZA GUEVARA LORENZA</t>
  </si>
  <si>
    <t xml:space="preserve">44320104</t>
  </si>
  <si>
    <t xml:space="preserve">S729</t>
  </si>
  <si>
    <t xml:space="preserve">IRIGOIN DELGADO ALVARINO</t>
  </si>
  <si>
    <t xml:space="preserve">33649369</t>
  </si>
  <si>
    <t xml:space="preserve">C168</t>
  </si>
  <si>
    <t xml:space="preserve">VALLE ARCE OLIVIA</t>
  </si>
  <si>
    <t xml:space="preserve">33731656</t>
  </si>
  <si>
    <t xml:space="preserve">I10X,M545</t>
  </si>
  <si>
    <t xml:space="preserve">VELA GARCIA GLENIS</t>
  </si>
  <si>
    <t xml:space="preserve">75709186</t>
  </si>
  <si>
    <t xml:space="preserve">TUCTO PUSCAN ELEUTERIO</t>
  </si>
  <si>
    <t xml:space="preserve">33416675</t>
  </si>
  <si>
    <t xml:space="preserve">1904</t>
  </si>
  <si>
    <t xml:space="preserve">T060</t>
  </si>
  <si>
    <t xml:space="preserve">ROJAS HUAMAN REGINA</t>
  </si>
  <si>
    <t xml:space="preserve">46481311</t>
  </si>
  <si>
    <t xml:space="preserve">A419,A153</t>
  </si>
  <si>
    <t xml:space="preserve">TOCAS TRUJILLO LUCIANITA</t>
  </si>
  <si>
    <t xml:space="preserve">74622616</t>
  </si>
  <si>
    <t xml:space="preserve">MAICELO LLAJA TEOFINA</t>
  </si>
  <si>
    <t xml:space="preserve">48396585</t>
  </si>
  <si>
    <t xml:space="preserve">J441,I498,N189</t>
  </si>
  <si>
    <t xml:space="preserve">ARRIAGA DE LOPEZ MARIA ERNESTINA</t>
  </si>
  <si>
    <t xml:space="preserve">33946779</t>
  </si>
  <si>
    <t xml:space="preserve">I10X,J189</t>
  </si>
  <si>
    <t xml:space="preserve">VARGAS COLLAZOS MARILI</t>
  </si>
  <si>
    <t xml:space="preserve">48633540</t>
  </si>
  <si>
    <t xml:space="preserve">Z359,O429</t>
  </si>
  <si>
    <t xml:space="preserve">CORDOVA RUIZ SARAI</t>
  </si>
  <si>
    <t xml:space="preserve">46539091</t>
  </si>
  <si>
    <t xml:space="preserve">O200</t>
  </si>
  <si>
    <t xml:space="preserve">REPORTE DE TRASLADO DE PACIENTES SIS DEL MES DE MARZO 2025 PARA REPOSICION DE COMBUSTIBLE</t>
  </si>
  <si>
    <t xml:space="preserve">0000001</t>
  </si>
  <si>
    <t xml:space="preserve">HERNANDEZ VIGO DAYLLELIT</t>
  </si>
  <si>
    <t xml:space="preserve">60297623</t>
  </si>
  <si>
    <t xml:space="preserve">Z359,O034</t>
  </si>
  <si>
    <t xml:space="preserve">0000012</t>
  </si>
  <si>
    <t xml:space="preserve">PEREZ DIAZ LEILA</t>
  </si>
  <si>
    <t xml:space="preserve">46921694</t>
  </si>
  <si>
    <t xml:space="preserve">O622,Z349</t>
  </si>
  <si>
    <t xml:space="preserve">ADENDA N°001-2025 DRSA/OEA-O.ABAST</t>
  </si>
  <si>
    <t xml:space="preserve">0000013</t>
  </si>
  <si>
    <t xml:space="preserve">SILVA TAFUR JHARLENY</t>
  </si>
  <si>
    <t xml:space="preserve">75926417</t>
  </si>
  <si>
    <t xml:space="preserve">0000014</t>
  </si>
  <si>
    <t xml:space="preserve">SALDAÑA GUEVARA ROBER</t>
  </si>
  <si>
    <t xml:space="preserve">43009751</t>
  </si>
  <si>
    <t xml:space="preserve">ATENDIDO 06/05/2026</t>
  </si>
  <si>
    <t xml:space="preserve">S019</t>
  </si>
  <si>
    <t xml:space="preserve">1614-2026</t>
  </si>
  <si>
    <t xml:space="preserve">0000015</t>
  </si>
  <si>
    <t xml:space="preserve">CHAMOLI DE VALLE FLORINDA</t>
  </si>
  <si>
    <t xml:space="preserve">33731590</t>
  </si>
  <si>
    <t xml:space="preserve">ATENDIDO 06/05/2027</t>
  </si>
  <si>
    <t xml:space="preserve">K297</t>
  </si>
  <si>
    <t xml:space="preserve">1786-2025</t>
  </si>
  <si>
    <t xml:space="preserve">0000016</t>
  </si>
  <si>
    <t xml:space="preserve">BAUTISTA NUÑEZ JOSE NICOLAS</t>
  </si>
  <si>
    <t xml:space="preserve">33673698</t>
  </si>
  <si>
    <t xml:space="preserve">ATENDIDO 06/05/2028</t>
  </si>
  <si>
    <t xml:space="preserve">0000018</t>
  </si>
  <si>
    <t xml:space="preserve">GUEVARA DIAZ ROBERT</t>
  </si>
  <si>
    <t xml:space="preserve">47678462</t>
  </si>
  <si>
    <t xml:space="preserve">ATENDIDO 06/05/2029</t>
  </si>
  <si>
    <t xml:space="preserve">K403</t>
  </si>
  <si>
    <t xml:space="preserve">PAISIG ALVARADO MARY LUCERO</t>
  </si>
  <si>
    <t xml:space="preserve">76322879</t>
  </si>
  <si>
    <t xml:space="preserve">Z359,O680,O628</t>
  </si>
  <si>
    <t xml:space="preserve">0000017</t>
  </si>
  <si>
    <t xml:space="preserve">CAMPOS DIAZ ROSA ELVIRA</t>
  </si>
  <si>
    <t xml:space="preserve">33810604</t>
  </si>
  <si>
    <t xml:space="preserve">I64X,R568</t>
  </si>
  <si>
    <t xml:space="preserve">BARRIOS ESTELA MARCIA NOEMI</t>
  </si>
  <si>
    <t xml:space="preserve">62285584</t>
  </si>
  <si>
    <t xml:space="preserve">O021,P95X</t>
  </si>
  <si>
    <t xml:space="preserve">OFICIO N°2021-2025</t>
  </si>
  <si>
    <t xml:space="preserve">GOICOCHEA TAPIA EDWARD ANTONIO</t>
  </si>
  <si>
    <t xml:space="preserve">47439607</t>
  </si>
  <si>
    <t xml:space="preserve">R103,K359</t>
  </si>
  <si>
    <t xml:space="preserve">OFICIO N°2021-2026</t>
  </si>
  <si>
    <t xml:space="preserve">0000023</t>
  </si>
  <si>
    <t xml:space="preserve">ILIQUIN OCAMPO ALCIDES</t>
  </si>
  <si>
    <t xml:space="preserve">73540963</t>
  </si>
  <si>
    <t xml:space="preserve">0000020</t>
  </si>
  <si>
    <t xml:space="preserve">NORIEGA CHQUIMBALQUI MARIA MARLE</t>
  </si>
  <si>
    <t xml:space="preserve">33812049</t>
  </si>
  <si>
    <t xml:space="preserve">J189,J459</t>
  </si>
  <si>
    <t xml:space="preserve">0000022</t>
  </si>
  <si>
    <t xml:space="preserve">AREVALO ZAVALETA GILMA</t>
  </si>
  <si>
    <t xml:space="preserve">73447761</t>
  </si>
  <si>
    <t xml:space="preserve">Z359,P209</t>
  </si>
  <si>
    <t xml:space="preserve">TUESTA POMPA LEIDY CIELITO</t>
  </si>
  <si>
    <t xml:space="preserve">62218283</t>
  </si>
  <si>
    <t xml:space="preserve">K566</t>
  </si>
  <si>
    <t xml:space="preserve">0000003</t>
  </si>
  <si>
    <t xml:space="preserve">LLANOS FERNANDEZ YOSSI PATRICIA</t>
  </si>
  <si>
    <t xml:space="preserve">71780821</t>
  </si>
  <si>
    <t xml:space="preserve">Z348,O149</t>
  </si>
  <si>
    <t xml:space="preserve">0000008</t>
  </si>
  <si>
    <t xml:space="preserve">TAFUR VARGAS JOSE CELIN</t>
  </si>
  <si>
    <t xml:space="preserve">33944669</t>
  </si>
  <si>
    <t xml:space="preserve">J10X</t>
  </si>
  <si>
    <t xml:space="preserve">0000011</t>
  </si>
  <si>
    <t xml:space="preserve">GRANDEZ MELENDEZ LEONILA</t>
  </si>
  <si>
    <t xml:space="preserve">33944243</t>
  </si>
  <si>
    <t xml:space="preserve">A419,J189</t>
  </si>
  <si>
    <t xml:space="preserve">ARISTA DE PORTOCARRERO MARIA TRINIDAD</t>
  </si>
  <si>
    <t xml:space="preserve">33944149</t>
  </si>
  <si>
    <t xml:space="preserve">MONTOYA VDA DE RODRIGUEZ MARIA EDELMIRA</t>
  </si>
  <si>
    <t xml:space="preserve">33944147</t>
  </si>
  <si>
    <t xml:space="preserve">I10X,I509</t>
  </si>
  <si>
    <t xml:space="preserve">0000010</t>
  </si>
  <si>
    <t xml:space="preserve">RUIZ HUAMAN MARIA SANTOS</t>
  </si>
  <si>
    <t xml:space="preserve">48202581</t>
  </si>
  <si>
    <t xml:space="preserve">K59X,N390,K566,D539</t>
  </si>
  <si>
    <t xml:space="preserve">SOPLA CARMEN</t>
  </si>
  <si>
    <t xml:space="preserve">33721258</t>
  </si>
  <si>
    <t xml:space="preserve">I500,E669,I60X</t>
  </si>
  <si>
    <t xml:space="preserve">SALVA GOLAC JHULIZA</t>
  </si>
  <si>
    <t xml:space="preserve">75898246</t>
  </si>
  <si>
    <t xml:space="preserve">ATENDIDO 25/04/2026</t>
  </si>
  <si>
    <t xml:space="preserve">R100,K350</t>
  </si>
  <si>
    <t xml:space="preserve">LLAMOCCA BELLIDO SHORINA</t>
  </si>
  <si>
    <t xml:space="preserve">42690976</t>
  </si>
  <si>
    <t xml:space="preserve">ATENDIDO 25/04/2027</t>
  </si>
  <si>
    <t xml:space="preserve">K819,O269</t>
  </si>
  <si>
    <t xml:space="preserve">ORRILLO CHAVEZ HEYSER</t>
  </si>
  <si>
    <t xml:space="preserve">46632800</t>
  </si>
  <si>
    <t xml:space="preserve">K800</t>
  </si>
  <si>
    <t xml:space="preserve">CHACON CHAVEZ RUTH KARINA</t>
  </si>
  <si>
    <t xml:space="preserve">61951016</t>
  </si>
  <si>
    <t xml:space="preserve">O680</t>
  </si>
  <si>
    <t xml:space="preserve">SALVA ORDOÑEZ QUEYLA AYDE</t>
  </si>
  <si>
    <t xml:space="preserve">46147369</t>
  </si>
  <si>
    <t xml:space="preserve">RAMIREZ REAP WILMER</t>
  </si>
  <si>
    <t xml:space="preserve">48846529</t>
  </si>
  <si>
    <t xml:space="preserve">T07X,S430,S422</t>
  </si>
  <si>
    <t xml:space="preserve">ROJAS ZUTA EGNER</t>
  </si>
  <si>
    <t xml:space="preserve">33800427</t>
  </si>
  <si>
    <t xml:space="preserve">ZUTA VENTURA ELITA</t>
  </si>
  <si>
    <t xml:space="preserve">75789557</t>
  </si>
  <si>
    <t xml:space="preserve">Z359,O600</t>
  </si>
  <si>
    <t xml:space="preserve">0000033</t>
  </si>
  <si>
    <t xml:space="preserve">ARCE CHUGNAS ERMELINDA</t>
  </si>
  <si>
    <t xml:space="preserve">46056914</t>
  </si>
  <si>
    <t xml:space="preserve">O629</t>
  </si>
  <si>
    <t xml:space="preserve">0000037</t>
  </si>
  <si>
    <t xml:space="preserve">AGUILAR MORENO ANGELICA</t>
  </si>
  <si>
    <t xml:space="preserve">33418585</t>
  </si>
  <si>
    <t xml:space="preserve">ENTREGADO 17/06/2026</t>
  </si>
  <si>
    <t xml:space="preserve">F239,I698</t>
  </si>
  <si>
    <t xml:space="preserve">0000038</t>
  </si>
  <si>
    <t xml:space="preserve">ABANTO GARRO ROSITA DEL CARMEN</t>
  </si>
  <si>
    <t xml:space="preserve">47034590</t>
  </si>
  <si>
    <t xml:space="preserve">ENTREGADO 17/06/2027</t>
  </si>
  <si>
    <t xml:space="preserve">R101,K359</t>
  </si>
  <si>
    <t xml:space="preserve">0000034</t>
  </si>
  <si>
    <t xml:space="preserve">MENDOZA DIAZ LEYLI AYDIT</t>
  </si>
  <si>
    <t xml:space="preserve">62134072</t>
  </si>
  <si>
    <t xml:space="preserve">ENTREGADO 17/06/2028</t>
  </si>
  <si>
    <t xml:space="preserve">0000040</t>
  </si>
  <si>
    <t xml:space="preserve">ACOSTA POQUIOMA JHODY RONALDO</t>
  </si>
  <si>
    <t xml:space="preserve">76820130</t>
  </si>
  <si>
    <t xml:space="preserve">ENTREGADO 17/06/2029</t>
  </si>
  <si>
    <t xml:space="preserve">S681,S610</t>
  </si>
  <si>
    <t xml:space="preserve">0000036</t>
  </si>
  <si>
    <t xml:space="preserve">MELENDEZ MARQUEZ FABIANA ADRIANA</t>
  </si>
  <si>
    <t xml:space="preserve">91191910</t>
  </si>
  <si>
    <t xml:space="preserve">ENTREGADO 17/06/2030</t>
  </si>
  <si>
    <t xml:space="preserve">J960,J459</t>
  </si>
  <si>
    <t xml:space="preserve">0000039</t>
  </si>
  <si>
    <t xml:space="preserve">SANCHEZ HOYOS LUZ ANGELICA</t>
  </si>
  <si>
    <t xml:space="preserve">71603371</t>
  </si>
  <si>
    <t xml:space="preserve">ENTREGADO 17/06/2031</t>
  </si>
  <si>
    <t xml:space="preserve">Z359,O860</t>
  </si>
  <si>
    <t xml:space="preserve">ACOSTA POQUIOMA  SHAK FRANCO</t>
  </si>
  <si>
    <t xml:space="preserve">62210640</t>
  </si>
  <si>
    <t xml:space="preserve">ENTREGADO 17/06/2032</t>
  </si>
  <si>
    <t xml:space="preserve">S011,S001,S069</t>
  </si>
  <si>
    <t xml:space="preserve">0000002</t>
  </si>
  <si>
    <t xml:space="preserve">CHUQUITUCTO SANCHEZ SANTOS</t>
  </si>
  <si>
    <t xml:space="preserve">42980327</t>
  </si>
  <si>
    <t xml:space="preserve">LA DEVOLUCION DEL COMBUSTIBLE HACER AL C.S. TOTORA SEGUN INFORME 016-2025</t>
  </si>
  <si>
    <t xml:space="preserve">HUAMAN CHOCTALIN LEYDA YESENIA</t>
  </si>
  <si>
    <t xml:space="preserve">91319317</t>
  </si>
  <si>
    <t xml:space="preserve">T140,S010,S429</t>
  </si>
  <si>
    <t xml:space="preserve">LA DEVOLUCION DEL COMBUSTIBLE HACER AL C.S. TOTORA SEGUN INFORME 017-2025</t>
  </si>
  <si>
    <t xml:space="preserve">CHOCTALIN CHOCA RUTH SAMDRA</t>
  </si>
  <si>
    <t xml:space="preserve">90615337</t>
  </si>
  <si>
    <t xml:space="preserve">ATENDIDO 05-05-2025</t>
  </si>
  <si>
    <t xml:space="preserve">OFICIO 01771-2025</t>
  </si>
  <si>
    <t xml:space="preserve">VASQUEZ TORREJON SANDRA MARILU</t>
  </si>
  <si>
    <t xml:space="preserve">42054051</t>
  </si>
  <si>
    <t xml:space="preserve">ATENDIDO 05-05-2026</t>
  </si>
  <si>
    <t xml:space="preserve">O149</t>
  </si>
  <si>
    <t xml:space="preserve">0000021</t>
  </si>
  <si>
    <t xml:space="preserve">MENDOZA GUELAC ABELINA</t>
  </si>
  <si>
    <t xml:space="preserve">48816214</t>
  </si>
  <si>
    <t xml:space="preserve">ATENDIDO 05-05-2027</t>
  </si>
  <si>
    <t xml:space="preserve">I679,G832</t>
  </si>
  <si>
    <t xml:space="preserve">VALQUI CHAPA DE CACHAY RITA</t>
  </si>
  <si>
    <t xml:space="preserve">33791714</t>
  </si>
  <si>
    <t xml:space="preserve">ATENDIDO 05-05-2028</t>
  </si>
  <si>
    <t xml:space="preserve">0000024</t>
  </si>
  <si>
    <t xml:space="preserve">MENDOZA LOPEZ FLORENTINA</t>
  </si>
  <si>
    <t xml:space="preserve">1021201</t>
  </si>
  <si>
    <t xml:space="preserve">ATENDIDO 05-05-2029</t>
  </si>
  <si>
    <t xml:space="preserve">A021</t>
  </si>
  <si>
    <t xml:space="preserve">0000025</t>
  </si>
  <si>
    <t xml:space="preserve">CHUQUIMBALQUI REYNA HILDA ESPERANZA</t>
  </si>
  <si>
    <t xml:space="preserve">33791268</t>
  </si>
  <si>
    <t xml:space="preserve">ATENDIDO 05-05-2030</t>
  </si>
  <si>
    <t xml:space="preserve">S724</t>
  </si>
  <si>
    <t xml:space="preserve">CHUQUIZUTA MENDOZA SECUNDINO</t>
  </si>
  <si>
    <t xml:space="preserve">33792379</t>
  </si>
  <si>
    <t xml:space="preserve">ATENDIDO 05-05-2031</t>
  </si>
  <si>
    <t xml:space="preserve">X230,S069</t>
  </si>
  <si>
    <t xml:space="preserve">0000026</t>
  </si>
  <si>
    <t xml:space="preserve">OCAMPO MENDOZA MARIA SOLEDAD</t>
  </si>
  <si>
    <t xml:space="preserve">33656705</t>
  </si>
  <si>
    <t xml:space="preserve">ATENDIDO 05-05-2032</t>
  </si>
  <si>
    <t xml:space="preserve">R100,K359,N390</t>
  </si>
  <si>
    <t xml:space="preserve">00000027</t>
  </si>
  <si>
    <t xml:space="preserve">MELENDEZ ORTIZ MARIA TRINIDAD</t>
  </si>
  <si>
    <t xml:space="preserve">33799262</t>
  </si>
  <si>
    <t xml:space="preserve">ATENDIDO 05-05-2033</t>
  </si>
  <si>
    <t xml:space="preserve">J960,J189</t>
  </si>
  <si>
    <t xml:space="preserve">00000028</t>
  </si>
  <si>
    <t xml:space="preserve">CHAPPA SANCHEZ DANIELA ALISON</t>
  </si>
  <si>
    <t xml:space="preserve">936067156</t>
  </si>
  <si>
    <t xml:space="preserve">ATENDIDO 05-05-2034</t>
  </si>
  <si>
    <t xml:space="preserve">R509,L031</t>
  </si>
  <si>
    <t xml:space="preserve">SANCHEZ MICHA ELVA</t>
  </si>
  <si>
    <t xml:space="preserve">47690919</t>
  </si>
  <si>
    <t xml:space="preserve">Z359,O200,O234</t>
  </si>
  <si>
    <t xml:space="preserve">0000053</t>
  </si>
  <si>
    <t xml:space="preserve">CHIQUIN SANCHEZ BRIANA ANTONELLA</t>
  </si>
  <si>
    <t xml:space="preserve">62749008</t>
  </si>
  <si>
    <t xml:space="preserve">0000054</t>
  </si>
  <si>
    <t xml:space="preserve">CONCHA TORRES JHOSLI GREIS</t>
  </si>
  <si>
    <t xml:space="preserve">60620012</t>
  </si>
  <si>
    <t xml:space="preserve">0000056</t>
  </si>
  <si>
    <t xml:space="preserve">PORTOCARRERO SILVA RUTH ARRANY</t>
  </si>
  <si>
    <t xml:space="preserve">79976823</t>
  </si>
  <si>
    <t xml:space="preserve">0000057</t>
  </si>
  <si>
    <t xml:space="preserve">SALAZAR PERALTA ELMER</t>
  </si>
  <si>
    <t xml:space="preserve">45632459</t>
  </si>
  <si>
    <t xml:space="preserve">K550,N390</t>
  </si>
  <si>
    <t xml:space="preserve">0000058</t>
  </si>
  <si>
    <t xml:space="preserve">GONGORA DAZALAURITA</t>
  </si>
  <si>
    <t xml:space="preserve">72611885</t>
  </si>
  <si>
    <t xml:space="preserve">O009,A010,R11X,N390</t>
  </si>
  <si>
    <t xml:space="preserve">0000059</t>
  </si>
  <si>
    <t xml:space="preserve">HUMAN MEDRANO BERNARDINA</t>
  </si>
  <si>
    <t xml:space="preserve">48760784</t>
  </si>
  <si>
    <t xml:space="preserve">I500,J180,J960</t>
  </si>
  <si>
    <t xml:space="preserve">0000060</t>
  </si>
  <si>
    <t xml:space="preserve">VASQUEZ SERVAN ANDERSON SAMUEL</t>
  </si>
  <si>
    <t xml:space="preserve">60031298</t>
  </si>
  <si>
    <t xml:space="preserve">S634</t>
  </si>
  <si>
    <t xml:space="preserve">0000061</t>
  </si>
  <si>
    <t xml:space="preserve">LOPEZ CURI MARIA BERNARDINA</t>
  </si>
  <si>
    <t xml:space="preserve">33951354</t>
  </si>
  <si>
    <t xml:space="preserve">0000062</t>
  </si>
  <si>
    <t xml:space="preserve">RODRIGUEZ SADAMANOS DE CHAVEZ NELVITA</t>
  </si>
  <si>
    <t xml:space="preserve">33962532</t>
  </si>
  <si>
    <t xml:space="preserve">K808,R104,N390</t>
  </si>
  <si>
    <t xml:space="preserve">0000066</t>
  </si>
  <si>
    <t xml:space="preserve">SANCHEZ LOPEZ HILDA CRISTINA</t>
  </si>
  <si>
    <t xml:space="preserve">16675098</t>
  </si>
  <si>
    <t xml:space="preserve">R17X,C240</t>
  </si>
  <si>
    <t xml:space="preserve">0000067</t>
  </si>
  <si>
    <t xml:space="preserve">GRANDEZ TORRES MARIA LETICIA</t>
  </si>
  <si>
    <t xml:space="preserve">75075662</t>
  </si>
  <si>
    <t xml:space="preserve">0000063</t>
  </si>
  <si>
    <t xml:space="preserve">MARIN JULCA YOHANA</t>
  </si>
  <si>
    <t xml:space="preserve">76968186</t>
  </si>
  <si>
    <t xml:space="preserve">0000064</t>
  </si>
  <si>
    <t xml:space="preserve">GONZALES MAZUELOS MILE</t>
  </si>
  <si>
    <t xml:space="preserve">46182804</t>
  </si>
  <si>
    <t xml:space="preserve">O141</t>
  </si>
  <si>
    <t xml:space="preserve">0000065</t>
  </si>
  <si>
    <t xml:space="preserve">0000068</t>
  </si>
  <si>
    <t xml:space="preserve">ARISTA TUESTA DENIS</t>
  </si>
  <si>
    <t xml:space="preserve">45686931</t>
  </si>
  <si>
    <t xml:space="preserve">D696,R041,F103</t>
  </si>
  <si>
    <t xml:space="preserve">0000069</t>
  </si>
  <si>
    <t xml:space="preserve">I500,J960,I269</t>
  </si>
  <si>
    <t xml:space="preserve">0000070</t>
  </si>
  <si>
    <t xml:space="preserve">S020,S010</t>
  </si>
  <si>
    <t xml:space="preserve">0000071</t>
  </si>
  <si>
    <t xml:space="preserve">O420</t>
  </si>
  <si>
    <t xml:space="preserve">00000072</t>
  </si>
  <si>
    <t xml:space="preserve">HUARICAYO GUEVVARA IRMA CAROLAY</t>
  </si>
  <si>
    <t xml:space="preserve">77425311</t>
  </si>
  <si>
    <t xml:space="preserve">O368</t>
  </si>
  <si>
    <t xml:space="preserve">00000073</t>
  </si>
  <si>
    <t xml:space="preserve">VARGAS BECERRA JUSTINA</t>
  </si>
  <si>
    <t xml:space="preserve">27062725</t>
  </si>
  <si>
    <t xml:space="preserve">I679,I10X</t>
  </si>
  <si>
    <t xml:space="preserve">CHAVEZ MAS JORGE</t>
  </si>
  <si>
    <t xml:space="preserve">33423340</t>
  </si>
  <si>
    <t xml:space="preserve">J939,T797</t>
  </si>
  <si>
    <t xml:space="preserve">1940-2025</t>
  </si>
  <si>
    <t xml:space="preserve">ZAMORA RUIZ MARTIN</t>
  </si>
  <si>
    <t xml:space="preserve">41565812</t>
  </si>
  <si>
    <t xml:space="preserve">M665,S823</t>
  </si>
  <si>
    <t xml:space="preserve">1940-2026</t>
  </si>
  <si>
    <t xml:space="preserve">INGA ROJAS SHEYLA STEFANY</t>
  </si>
  <si>
    <t xml:space="preserve">79568804</t>
  </si>
  <si>
    <t xml:space="preserve">CHAVEZ MORI GREYS AMPARO</t>
  </si>
  <si>
    <t xml:space="preserve">62205449</t>
  </si>
  <si>
    <t xml:space="preserve">R520,K359</t>
  </si>
  <si>
    <t xml:space="preserve">0000005</t>
  </si>
  <si>
    <t xml:space="preserve">K819,K850,K290</t>
  </si>
  <si>
    <t xml:space="preserve">DEVOLUCION DE COMBUSTIBLE AMBULANCIA DE OMIA</t>
  </si>
  <si>
    <t xml:space="preserve">TISNADO MELENDEZ ROSMARI</t>
  </si>
  <si>
    <t xml:space="preserve">47281254</t>
  </si>
  <si>
    <t xml:space="preserve">O031,O234</t>
  </si>
  <si>
    <t xml:space="preserve">AGUILAR PIZARRO INES TERESA</t>
  </si>
  <si>
    <t xml:space="preserve">46775777</t>
  </si>
  <si>
    <t xml:space="preserve">ATENDIDO 11-04-2025</t>
  </si>
  <si>
    <t xml:space="preserve">R101,K805,K85X</t>
  </si>
  <si>
    <t xml:space="preserve">GUTIERREZ HERRERA CESAR</t>
  </si>
  <si>
    <t xml:space="preserve">45610162</t>
  </si>
  <si>
    <t xml:space="preserve">SOPLIN MENDOZA DYLAN GABRIEL</t>
  </si>
  <si>
    <t xml:space="preserve">93594060</t>
  </si>
  <si>
    <t xml:space="preserve">E890,K566</t>
  </si>
  <si>
    <t xml:space="preserve">COLLANTES BRIONES LENIN RAYDER</t>
  </si>
  <si>
    <t xml:space="preserve">60391928</t>
  </si>
  <si>
    <t xml:space="preserve">ATENDIDO 19-05-2025</t>
  </si>
  <si>
    <t xml:space="preserve">S020,S069</t>
  </si>
  <si>
    <t xml:space="preserve">0000027</t>
  </si>
  <si>
    <t xml:space="preserve">CENTURION TEPO JUANA MARLENE</t>
  </si>
  <si>
    <t xml:space="preserve">72014102</t>
  </si>
  <si>
    <t xml:space="preserve">Z359,O758</t>
  </si>
  <si>
    <t xml:space="preserve">0000028</t>
  </si>
  <si>
    <t xml:space="preserve">VALQUI ZUMAETA ROSMERI</t>
  </si>
  <si>
    <t xml:space="preserve">60030547</t>
  </si>
  <si>
    <t xml:space="preserve">G410,G409</t>
  </si>
  <si>
    <t xml:space="preserve">0000029</t>
  </si>
  <si>
    <t xml:space="preserve">FLORES GOMEZ WENDY</t>
  </si>
  <si>
    <t xml:space="preserve">77236636</t>
  </si>
  <si>
    <t xml:space="preserve">O363,S301,R569</t>
  </si>
  <si>
    <t xml:space="preserve">GOMEZ QUINTANA BENITO</t>
  </si>
  <si>
    <t xml:space="preserve">80613964</t>
  </si>
  <si>
    <t xml:space="preserve">T600</t>
  </si>
  <si>
    <t xml:space="preserve">LOZANO PUERTA ALESHCA DAYANI</t>
  </si>
  <si>
    <t xml:space="preserve">75501545</t>
  </si>
  <si>
    <t xml:space="preserve">Z359,O429,O324</t>
  </si>
  <si>
    <t xml:space="preserve">00000030</t>
  </si>
  <si>
    <t xml:space="preserve">CONCHE TAFUR MARIA JESUS</t>
  </si>
  <si>
    <t xml:space="preserve">71648890</t>
  </si>
  <si>
    <t xml:space="preserve">O689,O368</t>
  </si>
  <si>
    <t xml:space="preserve">CHAVEZ LOPEZ JAMIL DAVILAMAR</t>
  </si>
  <si>
    <t xml:space="preserve">CAYAO CASAS ELSA MARILY</t>
  </si>
  <si>
    <t xml:space="preserve">Z359,O630</t>
  </si>
  <si>
    <t xml:space="preserve">BRIONES SANCHEZ CELINDA</t>
  </si>
  <si>
    <t xml:space="preserve">33741668</t>
  </si>
  <si>
    <t xml:space="preserve">J960,J189,J459</t>
  </si>
  <si>
    <t xml:space="preserve">INGA CULQUI JHERLIN</t>
  </si>
  <si>
    <t xml:space="preserve">75658553</t>
  </si>
  <si>
    <t xml:space="preserve">0000072</t>
  </si>
  <si>
    <t xml:space="preserve">VALLE RUIZ MEREDITH LEXIE</t>
  </si>
  <si>
    <t xml:space="preserve">92806065</t>
  </si>
  <si>
    <t xml:space="preserve">S009,S069,R11X</t>
  </si>
  <si>
    <t xml:space="preserve">0000073</t>
  </si>
  <si>
    <t xml:space="preserve">VALLE TIRADO CRISTOFER ADRIAN</t>
  </si>
  <si>
    <t xml:space="preserve">81032154</t>
  </si>
  <si>
    <t xml:space="preserve">K37X,N390</t>
  </si>
  <si>
    <t xml:space="preserve">0000074</t>
  </si>
  <si>
    <t xml:space="preserve">DELGADO PALOMINO VICTOR JUNIOR</t>
  </si>
  <si>
    <t xml:space="preserve">63267646</t>
  </si>
  <si>
    <t xml:space="preserve">0000075</t>
  </si>
  <si>
    <t xml:space="preserve">ZAMORA DIAZ FLOR PALMIRA</t>
  </si>
  <si>
    <t xml:space="preserve">48479216</t>
  </si>
  <si>
    <t xml:space="preserve">0000076</t>
  </si>
  <si>
    <t xml:space="preserve">BAUTITA NUÑEZ JOSE NICOLAS</t>
  </si>
  <si>
    <t xml:space="preserve">A010,K359</t>
  </si>
  <si>
    <t xml:space="preserve">CULQUI HUAMAN PAULINO</t>
  </si>
  <si>
    <t xml:space="preserve">33415455</t>
  </si>
  <si>
    <t xml:space="preserve">ALVA ROJAS ARIANA SOFIA</t>
  </si>
  <si>
    <t xml:space="preserve">79550024</t>
  </si>
  <si>
    <t xml:space="preserve">ENTREGADO 22/05/2025</t>
  </si>
  <si>
    <t xml:space="preserve">VALERIN VILCA BERNARDINA</t>
  </si>
  <si>
    <t xml:space="preserve">45884853</t>
  </si>
  <si>
    <t xml:space="preserve">DEL CASTILLO CAMPOJO MISAEL</t>
  </si>
  <si>
    <t xml:space="preserve">80481496</t>
  </si>
  <si>
    <t xml:space="preserve">J189,J969</t>
  </si>
  <si>
    <t xml:space="preserve">RODRIGUEZ YOPLAC JOSE ASUNCION</t>
  </si>
  <si>
    <t xml:space="preserve">80314906</t>
  </si>
  <si>
    <t xml:space="preserve">E162,A919</t>
  </si>
  <si>
    <t xml:space="preserve">VAZQUEZ PEREZ RICARDO ALFONSO</t>
  </si>
  <si>
    <t xml:space="preserve">33804054</t>
  </si>
  <si>
    <t xml:space="preserve">S599,S529</t>
  </si>
  <si>
    <t xml:space="preserve">CHAUCA VELASQUEZ JULETH</t>
  </si>
  <si>
    <t xml:space="preserve">44874521</t>
  </si>
  <si>
    <t xml:space="preserve">O429,O321,Z359</t>
  </si>
  <si>
    <t xml:space="preserve">LOPEZ CRUZ DORALI</t>
  </si>
  <si>
    <t xml:space="preserve">71785944</t>
  </si>
  <si>
    <t xml:space="preserve">14/05/2025</t>
  </si>
  <si>
    <t xml:space="preserve">R100,N209</t>
  </si>
  <si>
    <t xml:space="preserve">MENDOZA DE MAICELO JUANA</t>
  </si>
  <si>
    <t xml:space="preserve">33427046</t>
  </si>
  <si>
    <t xml:space="preserve">J969,R570,J189</t>
  </si>
  <si>
    <t xml:space="preserve">SOPLIN CRUZ ANDY</t>
  </si>
  <si>
    <t xml:space="preserve">72856097</t>
  </si>
  <si>
    <t xml:space="preserve">K808</t>
  </si>
  <si>
    <t xml:space="preserve">HORNA VARGAS MATHEUS JHOULE</t>
  </si>
  <si>
    <t xml:space="preserve">93724824</t>
  </si>
  <si>
    <t xml:space="preserve">J960,J159</t>
  </si>
  <si>
    <t xml:space="preserve">ACOSTA REQUELME DAYRON JOSIEL</t>
  </si>
  <si>
    <t xml:space="preserve">91267248</t>
  </si>
  <si>
    <t xml:space="preserve">J960,J160</t>
  </si>
  <si>
    <t xml:space="preserve"> </t>
  </si>
  <si>
    <t xml:space="preserve">Z875</t>
  </si>
  <si>
    <t xml:space="preserve">FERNANDEZ ZEPEDA KATHERIN</t>
  </si>
  <si>
    <t xml:space="preserve">47188541</t>
  </si>
  <si>
    <t xml:space="preserve">O318</t>
  </si>
  <si>
    <t xml:space="preserve">GUTIERREZ TRUJILLO ROSA LILIANA</t>
  </si>
  <si>
    <t xml:space="preserve">71131461</t>
  </si>
  <si>
    <t xml:space="preserve">O730</t>
  </si>
  <si>
    <t xml:space="preserve">0000035</t>
  </si>
  <si>
    <t xml:space="preserve">SAUCEDO VALQUI URIEL ALEXANDER</t>
  </si>
  <si>
    <t xml:space="preserve">93805257</t>
  </si>
  <si>
    <t xml:space="preserve">J050</t>
  </si>
  <si>
    <t xml:space="preserve">ALVARADO ALVA MANUEL SANTIAGO</t>
  </si>
  <si>
    <t xml:space="preserve">33806868</t>
  </si>
  <si>
    <t xml:space="preserve">S682</t>
  </si>
  <si>
    <t xml:space="preserve">BAZAN CULQUI NAIR HEMELY</t>
  </si>
  <si>
    <t xml:space="preserve">63426875</t>
  </si>
  <si>
    <t xml:space="preserve">PUERTA CULQUI GENARO</t>
  </si>
  <si>
    <t xml:space="preserve">33416222</t>
  </si>
  <si>
    <t xml:space="preserve">A419,J80,J159</t>
  </si>
  <si>
    <t xml:space="preserve">DEVOLUCION DE COMBUSTIBLE AL C.S. TOTORA</t>
  </si>
  <si>
    <t xml:space="preserve">REPORTE DE TRASLADO DE PACIENTES SIS DEL MES DE ABRIL 2025 PARA REPOSICION DE COMBUSTIBLE</t>
  </si>
  <si>
    <t xml:space="preserve">MOSILOT ARCE ELISEO</t>
  </si>
  <si>
    <t xml:space="preserve">33731570</t>
  </si>
  <si>
    <t xml:space="preserve">ENTREGADO 23/05/2025</t>
  </si>
  <si>
    <t xml:space="preserve">K420</t>
  </si>
  <si>
    <t xml:space="preserve">VASQUEZ DIAZ SARITA</t>
  </si>
  <si>
    <t xml:space="preserve">48250682</t>
  </si>
  <si>
    <t xml:space="preserve">K920</t>
  </si>
  <si>
    <t xml:space="preserve">PORTAL  OCAMPO FELIX ARISTEDES</t>
  </si>
  <si>
    <t xml:space="preserve">33412455</t>
  </si>
  <si>
    <t xml:space="preserve">A419</t>
  </si>
  <si>
    <t xml:space="preserve">MONSALVE ROJAS ROSMERY</t>
  </si>
  <si>
    <t xml:space="preserve">76748949</t>
  </si>
  <si>
    <t xml:space="preserve">W140,S069,H570</t>
  </si>
  <si>
    <t xml:space="preserve">RODRIGUEZ SALAZAR FLORENCIA</t>
  </si>
  <si>
    <t xml:space="preserve">44100766</t>
  </si>
  <si>
    <t xml:space="preserve">Z359,O688</t>
  </si>
  <si>
    <t xml:space="preserve">AGUILAR FERNANDEZ MARIA ESTHER</t>
  </si>
  <si>
    <t xml:space="preserve">44387031</t>
  </si>
  <si>
    <t xml:space="preserve">N939,C539,D630</t>
  </si>
  <si>
    <t xml:space="preserve">RODRIGUEZ VASQUEZ LIAN MATEO</t>
  </si>
  <si>
    <t xml:space="preserve">93249768</t>
  </si>
  <si>
    <t xml:space="preserve">T019,S069,S730</t>
  </si>
  <si>
    <t xml:space="preserve">ALVA SALDAÑA EVELYN MILETH</t>
  </si>
  <si>
    <t xml:space="preserve">90330482</t>
  </si>
  <si>
    <t xml:space="preserve">VASQUEZ SALCEDO AIDELI MAGALY</t>
  </si>
  <si>
    <t xml:space="preserve">62146375</t>
  </si>
  <si>
    <t xml:space="preserve">K291,K250,K922</t>
  </si>
  <si>
    <t xml:space="preserve">VISALOT CHUQUIPIONDOLUZDINA</t>
  </si>
  <si>
    <t xml:space="preserve">73532265</t>
  </si>
  <si>
    <t xml:space="preserve">GUEVARA SAUCEDO KARIN YESENIA</t>
  </si>
  <si>
    <t xml:space="preserve">71803936</t>
  </si>
  <si>
    <t xml:space="preserve">K869</t>
  </si>
  <si>
    <t xml:space="preserve">GUEVARA RUIZ JENNY</t>
  </si>
  <si>
    <t xml:space="preserve">74359307</t>
  </si>
  <si>
    <t xml:space="preserve">O322,P059</t>
  </si>
  <si>
    <t xml:space="preserve">DEVOLUCION COMBUSTIBLE CAMIONETA C.S. OCALLI SEGUN INFORME N°021-2025</t>
  </si>
  <si>
    <t xml:space="preserve">LLATAS DELGADO ROBERTINA</t>
  </si>
  <si>
    <t xml:space="preserve">48763700</t>
  </si>
  <si>
    <t xml:space="preserve">K810,J960</t>
  </si>
  <si>
    <t xml:space="preserve">00000074</t>
  </si>
  <si>
    <t xml:space="preserve">VALQUE CHUQUIPIONDO REINA JUDITH</t>
  </si>
  <si>
    <t xml:space="preserve">76954772</t>
  </si>
  <si>
    <t xml:space="preserve">O036,O990</t>
  </si>
  <si>
    <t xml:space="preserve">00000076</t>
  </si>
  <si>
    <t xml:space="preserve">VIGIL DE GALVEZ EVA MARIA</t>
  </si>
  <si>
    <t xml:space="preserve">33954440</t>
  </si>
  <si>
    <t xml:space="preserve">I500,J81X,J159,E162,N390</t>
  </si>
  <si>
    <t xml:space="preserve">00000077</t>
  </si>
  <si>
    <t xml:space="preserve">ROJAS HUAMAN ELDER</t>
  </si>
  <si>
    <t xml:space="preserve">43056535</t>
  </si>
  <si>
    <t xml:space="preserve">S819</t>
  </si>
  <si>
    <t xml:space="preserve">00000078</t>
  </si>
  <si>
    <t xml:space="preserve">RUBIO SALAZAR ALEX JHUNIOR</t>
  </si>
  <si>
    <t xml:space="preserve">82012605</t>
  </si>
  <si>
    <t xml:space="preserve">E86X,E46X,K560,N390,J960</t>
  </si>
  <si>
    <t xml:space="preserve">00000079</t>
  </si>
  <si>
    <t xml:space="preserve">CASTRO FERNANDEZ ROSA MAGALY</t>
  </si>
  <si>
    <t xml:space="preserve">73696686</t>
  </si>
  <si>
    <t xml:space="preserve">N390,A049,E103</t>
  </si>
  <si>
    <t xml:space="preserve">00000080</t>
  </si>
  <si>
    <t xml:space="preserve">VASQUEZ VDA DE RAMIREZ CLEODESVINDA</t>
  </si>
  <si>
    <t xml:space="preserve">33940109</t>
  </si>
  <si>
    <t xml:space="preserve">E117,I10X,N390</t>
  </si>
  <si>
    <t xml:space="preserve">00000081</t>
  </si>
  <si>
    <t xml:space="preserve">VALGUI MARCELO CELINA</t>
  </si>
  <si>
    <t xml:space="preserve">33807388</t>
  </si>
  <si>
    <t xml:space="preserve">A419,I959,R104</t>
  </si>
  <si>
    <t xml:space="preserve">00000082</t>
  </si>
  <si>
    <t xml:space="preserve">PUERTA VASQUEZ SONIA JHUDITH</t>
  </si>
  <si>
    <t xml:space="preserve">74431525</t>
  </si>
  <si>
    <t xml:space="preserve">00000083</t>
  </si>
  <si>
    <t xml:space="preserve">HUAMAN CULQUI ELISA</t>
  </si>
  <si>
    <t xml:space="preserve">75744093</t>
  </si>
  <si>
    <t xml:space="preserve">00000084</t>
  </si>
  <si>
    <t xml:space="preserve">FERNANDEZ ROQUE NERLY</t>
  </si>
  <si>
    <t xml:space="preserve">47074574</t>
  </si>
  <si>
    <t xml:space="preserve">O142,O300</t>
  </si>
  <si>
    <t xml:space="preserve">00000085</t>
  </si>
  <si>
    <t xml:space="preserve">GALOC VALQUI BRITHANY AYLIN</t>
  </si>
  <si>
    <t xml:space="preserve">11038553</t>
  </si>
  <si>
    <t xml:space="preserve">Z380,P073</t>
  </si>
  <si>
    <t xml:space="preserve">00000086</t>
  </si>
  <si>
    <t xml:space="preserve">ROJAS CHAVEZ MANUEL </t>
  </si>
  <si>
    <t xml:space="preserve">33962412</t>
  </si>
  <si>
    <t xml:space="preserve">I10X,G510,G509,N390</t>
  </si>
  <si>
    <t xml:space="preserve">00000087</t>
  </si>
  <si>
    <t xml:space="preserve">CHAVEZ PUITIZA HANSEL JHANDEL</t>
  </si>
  <si>
    <t xml:space="preserve">81949785</t>
  </si>
  <si>
    <t xml:space="preserve">00000088</t>
  </si>
  <si>
    <t xml:space="preserve">UBILLUS BACA ROSITA EDELMIRA</t>
  </si>
  <si>
    <t xml:space="preserve">76648065</t>
  </si>
  <si>
    <t xml:space="preserve">00000089</t>
  </si>
  <si>
    <t xml:space="preserve">CUYAN ACUÑA ROCIO</t>
  </si>
  <si>
    <t xml:space="preserve">48484441</t>
  </si>
  <si>
    <t xml:space="preserve">00000090</t>
  </si>
  <si>
    <t xml:space="preserve">VILCA CASTELO MARIA DEL PILAR</t>
  </si>
  <si>
    <t xml:space="preserve">48160944</t>
  </si>
  <si>
    <t xml:space="preserve">O639,O13X</t>
  </si>
  <si>
    <t xml:space="preserve">00000091</t>
  </si>
  <si>
    <t xml:space="preserve">GAMARRA CUBAS SHEILITA JUDITH</t>
  </si>
  <si>
    <t xml:space="preserve">77160133</t>
  </si>
  <si>
    <t xml:space="preserve">K37X,R104,N390</t>
  </si>
  <si>
    <t xml:space="preserve">00000093</t>
  </si>
  <si>
    <t xml:space="preserve">HIDALGO UGAZ AXEL DAVID</t>
  </si>
  <si>
    <t xml:space="preserve">11044598</t>
  </si>
  <si>
    <t xml:space="preserve">Z380,P704,P369</t>
  </si>
  <si>
    <t xml:space="preserve">00000094</t>
  </si>
  <si>
    <t xml:space="preserve">MACHUCA CASTAÑEDA ROSITA EDITH</t>
  </si>
  <si>
    <t xml:space="preserve">72476138</t>
  </si>
  <si>
    <t xml:space="preserve">O48X,A630</t>
  </si>
  <si>
    <t xml:space="preserve">00000095</t>
  </si>
  <si>
    <t xml:space="preserve">VELA CACIMIRO</t>
  </si>
  <si>
    <t xml:space="preserve">33805787</t>
  </si>
  <si>
    <t xml:space="preserve">R104,K920,K85</t>
  </si>
  <si>
    <t xml:space="preserve">00000096</t>
  </si>
  <si>
    <t xml:space="preserve">AGUILAR VILLA PEDRO GIL</t>
  </si>
  <si>
    <t xml:space="preserve">33944921</t>
  </si>
  <si>
    <t xml:space="preserve">F209</t>
  </si>
  <si>
    <t xml:space="preserve">00000092</t>
  </si>
  <si>
    <t xml:space="preserve">SANCHEZ ACUÑA LIAN GAEL</t>
  </si>
  <si>
    <t xml:space="preserve">92377335</t>
  </si>
  <si>
    <t xml:space="preserve">00000097</t>
  </si>
  <si>
    <t xml:space="preserve">A419,E109,N390</t>
  </si>
  <si>
    <t xml:space="preserve">00000098</t>
  </si>
  <si>
    <t xml:space="preserve">ESPINOZA TAMAYO KELVIN GREGORIO</t>
  </si>
  <si>
    <t xml:space="preserve">63396764</t>
  </si>
  <si>
    <t xml:space="preserve">S311,R571</t>
  </si>
  <si>
    <t xml:space="preserve">00000100</t>
  </si>
  <si>
    <t xml:space="preserve">GUIOP PUIQUIN ROSA RICARDINA</t>
  </si>
  <si>
    <t xml:space="preserve">33416331</t>
  </si>
  <si>
    <t xml:space="preserve">I64X,R001</t>
  </si>
  <si>
    <t xml:space="preserve">00000101</t>
  </si>
  <si>
    <t xml:space="preserve">MATUS MARIA CRUZ</t>
  </si>
  <si>
    <t xml:space="preserve">33945653</t>
  </si>
  <si>
    <t xml:space="preserve">I679,I10X,K920</t>
  </si>
  <si>
    <t xml:space="preserve">00000099</t>
  </si>
  <si>
    <t xml:space="preserve">LOPEZ TAFUR SALVADORA DE JESUS</t>
  </si>
  <si>
    <t xml:space="preserve">48628383</t>
  </si>
  <si>
    <t xml:space="preserve">O990,O051,R571</t>
  </si>
  <si>
    <t xml:space="preserve">00000075</t>
  </si>
  <si>
    <t xml:space="preserve">ARISTA TRUJILLO BRIANA JHULISA</t>
  </si>
  <si>
    <t xml:space="preserve">79994438</t>
  </si>
  <si>
    <t xml:space="preserve">DEVOLVER AMBULANCIA DE OMIA </t>
  </si>
  <si>
    <t xml:space="preserve">R030,R509,R33X</t>
  </si>
  <si>
    <t xml:space="preserve">TAFUR VARGAS MARIA SANTOS</t>
  </si>
  <si>
    <t xml:space="preserve">33945283</t>
  </si>
  <si>
    <t xml:space="preserve">R030,I10X,S005</t>
  </si>
  <si>
    <t xml:space="preserve">J189,R609</t>
  </si>
  <si>
    <t xml:space="preserve">CRUZ MATUS MARIA</t>
  </si>
  <si>
    <t xml:space="preserve">LLAMOCA BELLIDO SHORINA</t>
  </si>
  <si>
    <t xml:space="preserve">NUNURA MALQUI RODRICK GADIEL</t>
  </si>
  <si>
    <t xml:space="preserve">93669654</t>
  </si>
  <si>
    <t xml:space="preserve">SANTILLAN VALQUI ANDRES</t>
  </si>
  <si>
    <t xml:space="preserve">43594049</t>
  </si>
  <si>
    <t xml:space="preserve">J960,J690</t>
  </si>
  <si>
    <t xml:space="preserve">OÑANTES ZEGARRA ALESKA JHAMILET</t>
  </si>
  <si>
    <t xml:space="preserve">79485895</t>
  </si>
  <si>
    <t xml:space="preserve">RENGIFO ESCOBEDO RITA NOEMI</t>
  </si>
  <si>
    <t xml:space="preserve">60215652</t>
  </si>
  <si>
    <t xml:space="preserve">O661</t>
  </si>
  <si>
    <t xml:space="preserve">ZELADA SANCHEZ JESSICA AGRIPINA</t>
  </si>
  <si>
    <t xml:space="preserve">46026492</t>
  </si>
  <si>
    <t xml:space="preserve">CACHAY BARDALES MARITZA FIORELA</t>
  </si>
  <si>
    <t xml:space="preserve">45838743</t>
  </si>
  <si>
    <t xml:space="preserve">O034,D509</t>
  </si>
  <si>
    <t xml:space="preserve">PINEDO GALOC MARLENI</t>
  </si>
  <si>
    <t xml:space="preserve">41125027</t>
  </si>
  <si>
    <t xml:space="preserve">N939,D509</t>
  </si>
  <si>
    <t xml:space="preserve">COLLANTES NARVAEZ CESAR ERBILDO</t>
  </si>
  <si>
    <t xml:space="preserve">33403597</t>
  </si>
  <si>
    <t xml:space="preserve">J80X,J189</t>
  </si>
  <si>
    <t xml:space="preserve">ROJAS PUERTA NERY</t>
  </si>
  <si>
    <t xml:space="preserve">63365878</t>
  </si>
  <si>
    <t xml:space="preserve">VALQUI CHUQUIPIONDO REYNA</t>
  </si>
  <si>
    <t xml:space="preserve">DELGADO SAUCEDO MARIA ELENA</t>
  </si>
  <si>
    <t xml:space="preserve">47654324</t>
  </si>
  <si>
    <t xml:space="preserve">O200,O034,G442</t>
  </si>
  <si>
    <t xml:space="preserve">S311</t>
  </si>
  <si>
    <t xml:space="preserve">DAVILA GUEVARON AMPARITO</t>
  </si>
  <si>
    <t xml:space="preserve">42462905</t>
  </si>
  <si>
    <t xml:space="preserve">O021,O234,R11X</t>
  </si>
  <si>
    <t xml:space="preserve">R104,A09,R100,E86X</t>
  </si>
  <si>
    <t xml:space="preserve">RODRIGUEZ MELENDEZ MARIA NIÑA</t>
  </si>
  <si>
    <t xml:space="preserve">33950589</t>
  </si>
  <si>
    <t xml:space="preserve">W570</t>
  </si>
  <si>
    <t xml:space="preserve">RAMOS VARGAS REYNALDO</t>
  </si>
  <si>
    <t xml:space="preserve">48197610</t>
  </si>
  <si>
    <t xml:space="preserve">ATENTIDO 19/05/2025</t>
  </si>
  <si>
    <t xml:space="preserve">Y910,K292,K250,K920,D509</t>
  </si>
  <si>
    <t xml:space="preserve">CASADO MORALES GUADALUPE</t>
  </si>
  <si>
    <t xml:space="preserve">62949520</t>
  </si>
  <si>
    <t xml:space="preserve">AGUILAR REYES HILARIA</t>
  </si>
  <si>
    <t xml:space="preserve">33405757</t>
  </si>
  <si>
    <t xml:space="preserve">T311,I10X</t>
  </si>
  <si>
    <t xml:space="preserve">00000031</t>
  </si>
  <si>
    <t xml:space="preserve">COLLANTES VASQUEZ MARIA LUCELINA</t>
  </si>
  <si>
    <t xml:space="preserve">46088097</t>
  </si>
  <si>
    <t xml:space="preserve">00000032</t>
  </si>
  <si>
    <t xml:space="preserve">MELENDEZ TAPULLIMA JOISITH</t>
  </si>
  <si>
    <t xml:space="preserve">70358971</t>
  </si>
  <si>
    <t xml:space="preserve">00000033</t>
  </si>
  <si>
    <t xml:space="preserve">FLORES DE MELENDEZ SAYDA</t>
  </si>
  <si>
    <t xml:space="preserve">33732432</t>
  </si>
  <si>
    <t xml:space="preserve">R104,R17X,K810,K830</t>
  </si>
  <si>
    <t xml:space="preserve">VILLAVICENCIO DETQUIZAN JULIO</t>
  </si>
  <si>
    <t xml:space="preserve">33729667</t>
  </si>
  <si>
    <t xml:space="preserve">S22</t>
  </si>
  <si>
    <t xml:space="preserve">TUCTO PUSCAN GLADIZ MARILU</t>
  </si>
  <si>
    <t xml:space="preserve">33422129</t>
  </si>
  <si>
    <t xml:space="preserve">S920,M869</t>
  </si>
  <si>
    <t xml:space="preserve">YALTA TORRES DYLAN</t>
  </si>
  <si>
    <t xml:space="preserve">63501738</t>
  </si>
  <si>
    <t xml:space="preserve">S720</t>
  </si>
  <si>
    <t xml:space="preserve">VALERIN GORMAS ASUNTA</t>
  </si>
  <si>
    <t xml:space="preserve">48497117</t>
  </si>
  <si>
    <t xml:space="preserve">O758,F799</t>
  </si>
  <si>
    <t xml:space="preserve">ROJAS RUBIO AUGUSTO</t>
  </si>
  <si>
    <t xml:space="preserve">828060</t>
  </si>
  <si>
    <t xml:space="preserve">ENGREGADO 13/05/2025</t>
  </si>
  <si>
    <t xml:space="preserve">COPIA OBLITAS EMERITA</t>
  </si>
  <si>
    <t xml:space="preserve">44190057</t>
  </si>
  <si>
    <t xml:space="preserve">O48X,O990</t>
  </si>
  <si>
    <t xml:space="preserve">VASQUEZ PINEDO LIAM RODRIGO</t>
  </si>
  <si>
    <t xml:space="preserve">79206632</t>
  </si>
  <si>
    <t xml:space="preserve">A09X,K359,R104</t>
  </si>
  <si>
    <t xml:space="preserve">ENTREGADO 05/08/2025</t>
  </si>
  <si>
    <t xml:space="preserve">J448,J961</t>
  </si>
  <si>
    <t xml:space="preserve">ORRILLO VERA LEYDE</t>
  </si>
  <si>
    <t xml:space="preserve">47852698</t>
  </si>
  <si>
    <t xml:space="preserve">O364,Z371</t>
  </si>
  <si>
    <t xml:space="preserve">ROJAS JULCA OSCAR</t>
  </si>
  <si>
    <t xml:space="preserve">71785985</t>
  </si>
  <si>
    <t xml:space="preserve">A971,R509</t>
  </si>
  <si>
    <t xml:space="preserve">DEVOLVER A BUENOS AIRES</t>
  </si>
  <si>
    <t xml:space="preserve">PUSCAN SOROE LLISELA</t>
  </si>
  <si>
    <t xml:space="preserve">47675022</t>
  </si>
  <si>
    <t xml:space="preserve">HUAMAN PUIQUIN LIDIA</t>
  </si>
  <si>
    <t xml:space="preserve">75415307</t>
  </si>
  <si>
    <t xml:space="preserve">MEDINA PULCE ROSMERY</t>
  </si>
  <si>
    <t xml:space="preserve">71081038</t>
  </si>
  <si>
    <t xml:space="preserve">O639</t>
  </si>
  <si>
    <t xml:space="preserve">HUAMANTA POQUIOMA YESICA</t>
  </si>
  <si>
    <t xml:space="preserve">72095079</t>
  </si>
  <si>
    <t xml:space="preserve">O60X,O13X</t>
  </si>
  <si>
    <t xml:space="preserve">CANTA MENDOZA TEODOCIO</t>
  </si>
  <si>
    <t xml:space="preserve">33787472</t>
  </si>
  <si>
    <t xml:space="preserve">R100,K358,D649</t>
  </si>
  <si>
    <t xml:space="preserve">O689,F718</t>
  </si>
  <si>
    <t xml:space="preserve">PIZARRO JULCA SEGUNDO REYNALDO</t>
  </si>
  <si>
    <t xml:space="preserve">33801370</t>
  </si>
  <si>
    <t xml:space="preserve">R568,J639,G312</t>
  </si>
  <si>
    <t xml:space="preserve">VALQUI LOJA MAYTEE</t>
  </si>
  <si>
    <t xml:space="preserve">60303848</t>
  </si>
  <si>
    <t xml:space="preserve">R100,O009</t>
  </si>
  <si>
    <t xml:space="preserve">TAFUR PEREZ DAYANA MACIEL</t>
  </si>
  <si>
    <t xml:space="preserve">61807827</t>
  </si>
  <si>
    <t xml:space="preserve">R103,O033</t>
  </si>
  <si>
    <t xml:space="preserve">CHAVEZ RAMOS YERALDIN ENEIDA</t>
  </si>
  <si>
    <t xml:space="preserve">75060667</t>
  </si>
  <si>
    <t xml:space="preserve">F412,R451,Z915</t>
  </si>
  <si>
    <t xml:space="preserve">TRUJILLO BUELOT SEGUNDO JOSE</t>
  </si>
  <si>
    <t xml:space="preserve">40661891</t>
  </si>
  <si>
    <t xml:space="preserve">LOPEZ CUCHCA NERIDA BERTA</t>
  </si>
  <si>
    <t xml:space="preserve">45510103</t>
  </si>
  <si>
    <t xml:space="preserve">RIVERA CASTAÑEDA RUSBEL FRANCISCO</t>
  </si>
  <si>
    <t xml:space="preserve">47588436</t>
  </si>
  <si>
    <t xml:space="preserve">N209</t>
  </si>
  <si>
    <t xml:space="preserve">MENDOZA GARRO ESTEFANY DAYANA</t>
  </si>
  <si>
    <t xml:space="preserve">62692323</t>
  </si>
  <si>
    <t xml:space="preserve">I639,R471</t>
  </si>
  <si>
    <t xml:space="preserve">LOLOC ZUTA JHONN MANUEL</t>
  </si>
  <si>
    <t xml:space="preserve">60031517</t>
  </si>
  <si>
    <t xml:space="preserve">N23X</t>
  </si>
  <si>
    <t xml:space="preserve">N739,N809</t>
  </si>
  <si>
    <t xml:space="preserve">TORREJON RAMIREZ LEILDE</t>
  </si>
  <si>
    <t xml:space="preserve">42055034</t>
  </si>
  <si>
    <t xml:space="preserve">Y050,N939</t>
  </si>
  <si>
    <t xml:space="preserve">VARGAS GARCIA MAXIMO</t>
  </si>
  <si>
    <t xml:space="preserve">33816880</t>
  </si>
  <si>
    <t xml:space="preserve">S099,S021</t>
  </si>
  <si>
    <t xml:space="preserve">PINGUS MENDOZA LUZ CARINA</t>
  </si>
  <si>
    <t xml:space="preserve">78925869</t>
  </si>
  <si>
    <t xml:space="preserve">R568</t>
  </si>
  <si>
    <t xml:space="preserve">PUSCAN PUIQUIN SERGIO SEBASTIAN</t>
  </si>
  <si>
    <t xml:space="preserve">79670145</t>
  </si>
  <si>
    <t xml:space="preserve">T441</t>
  </si>
  <si>
    <t xml:space="preserve">MENACHO SICCHA GLASSELLY CIELO</t>
  </si>
  <si>
    <t xml:space="preserve">74993918</t>
  </si>
  <si>
    <t xml:space="preserve">HUAMAN HUAMAN ELIAZAR MIGUINO</t>
  </si>
  <si>
    <t xml:space="preserve">43032160</t>
  </si>
  <si>
    <t xml:space="preserve">SAAVEDRA CANTA YESENIA DEL CARMEN</t>
  </si>
  <si>
    <t xml:space="preserve">74463681</t>
  </si>
  <si>
    <t xml:space="preserve">B559,K250</t>
  </si>
  <si>
    <t xml:space="preserve">REPORTE DE TRASLADO DE PACIENTES SIS DEL MES DE MAYO 2025 PARA REPOSICION DE COMBUSTIBLE</t>
  </si>
  <si>
    <t xml:space="preserve">SANCHEZ PAZ SIXTO</t>
  </si>
  <si>
    <t xml:space="preserve">33726694</t>
  </si>
  <si>
    <t xml:space="preserve">R310</t>
  </si>
  <si>
    <t xml:space="preserve">OFICIO 2371-2025</t>
  </si>
  <si>
    <t xml:space="preserve">915.0</t>
  </si>
  <si>
    <t xml:space="preserve">PEREZ BUSTAMANTE MELEYLA OLINDA</t>
  </si>
  <si>
    <t xml:space="preserve">71578409</t>
  </si>
  <si>
    <t xml:space="preserve">P036,Z359,O321</t>
  </si>
  <si>
    <t xml:space="preserve">GALOC CHAVEZ INGRID LIZBETH</t>
  </si>
  <si>
    <t xml:space="preserve">74293017</t>
  </si>
  <si>
    <t xml:space="preserve">O479,Z349,N390</t>
  </si>
  <si>
    <t xml:space="preserve">CHAVEZ DE VALLE LUCINDA</t>
  </si>
  <si>
    <t xml:space="preserve">33731600</t>
  </si>
  <si>
    <t xml:space="preserve">G409</t>
  </si>
  <si>
    <t xml:space="preserve">COTRINA AREVALO ANABERLI</t>
  </si>
  <si>
    <t xml:space="preserve">48183179</t>
  </si>
  <si>
    <t xml:space="preserve">O800,Z349</t>
  </si>
  <si>
    <t xml:space="preserve">CHAMORRO SALCEDO MARTHA MARIA</t>
  </si>
  <si>
    <t xml:space="preserve">40980480</t>
  </si>
  <si>
    <t xml:space="preserve">SOLANO RIMAPA PAULINA</t>
  </si>
  <si>
    <t xml:space="preserve">60322682</t>
  </si>
  <si>
    <t xml:space="preserve">PEREZ GUEVARA LADY ESMERALDA</t>
  </si>
  <si>
    <t xml:space="preserve">72935712</t>
  </si>
  <si>
    <t xml:space="preserve">B374</t>
  </si>
  <si>
    <t xml:space="preserve">VASQUEZ WALTER CINTHIA LORENA</t>
  </si>
  <si>
    <t xml:space="preserve">60052890</t>
  </si>
  <si>
    <t xml:space="preserve">O800,Z340</t>
  </si>
  <si>
    <t xml:space="preserve">LLAMO VASQUEZ REYNA ISABEL</t>
  </si>
  <si>
    <t xml:space="preserve">40852279</t>
  </si>
  <si>
    <t xml:space="preserve">T633</t>
  </si>
  <si>
    <t xml:space="preserve">BOCANEGRA DELGADO LASTENIA</t>
  </si>
  <si>
    <t xml:space="preserve">41393650</t>
  </si>
  <si>
    <t xml:space="preserve">O800,Z359</t>
  </si>
  <si>
    <t xml:space="preserve">PISANGO SAURIN MARTHA LUZ</t>
  </si>
  <si>
    <t xml:space="preserve">75807871</t>
  </si>
  <si>
    <t xml:space="preserve">O03X</t>
  </si>
  <si>
    <t xml:space="preserve">ANTICONA TORRES YEILY MEYLI</t>
  </si>
  <si>
    <t xml:space="preserve">77324938</t>
  </si>
  <si>
    <t xml:space="preserve">CORONADO HIDALGO CARMEN ROSA</t>
  </si>
  <si>
    <t xml:space="preserve">48431988</t>
  </si>
  <si>
    <t xml:space="preserve">ALTAMIRANO MEDINA JADE LISBETH</t>
  </si>
  <si>
    <t xml:space="preserve">60130435</t>
  </si>
  <si>
    <t xml:space="preserve">R100,K566,K562</t>
  </si>
  <si>
    <t xml:space="preserve">REGALADO LLANOS RUBI DEL PILAR</t>
  </si>
  <si>
    <t xml:space="preserve">76667453</t>
  </si>
  <si>
    <t xml:space="preserve">Z359,O331,O239</t>
  </si>
  <si>
    <t xml:space="preserve">VEGA PERALTA SEGUNDO AUGUSTO</t>
  </si>
  <si>
    <t xml:space="preserve">33783835</t>
  </si>
  <si>
    <t xml:space="preserve">J960</t>
  </si>
  <si>
    <t xml:space="preserve">VELA CHAVEZ JORGE</t>
  </si>
  <si>
    <t xml:space="preserve">46509580</t>
  </si>
  <si>
    <t xml:space="preserve">S619</t>
  </si>
  <si>
    <t xml:space="preserve">79521369</t>
  </si>
  <si>
    <t xml:space="preserve">D6103</t>
  </si>
  <si>
    <t xml:space="preserve">AGUILAR RAMOS OVER</t>
  </si>
  <si>
    <t xml:space="preserve">61559327</t>
  </si>
  <si>
    <t xml:space="preserve">00000102</t>
  </si>
  <si>
    <t xml:space="preserve">OCAMPO CASTRO ANGHELINA</t>
  </si>
  <si>
    <t xml:space="preserve">62155603</t>
  </si>
  <si>
    <t xml:space="preserve">K359,R11X,N390</t>
  </si>
  <si>
    <t xml:space="preserve">00000103</t>
  </si>
  <si>
    <t xml:space="preserve">TAFUR TRUJILLO NOEMI</t>
  </si>
  <si>
    <t xml:space="preserve">73752922</t>
  </si>
  <si>
    <t xml:space="preserve">K808,K830,D509</t>
  </si>
  <si>
    <t xml:space="preserve">00000104</t>
  </si>
  <si>
    <t xml:space="preserve">QUISPE TUESTA MARYLIN</t>
  </si>
  <si>
    <t xml:space="preserve">73452496</t>
  </si>
  <si>
    <t xml:space="preserve">00000105</t>
  </si>
  <si>
    <t xml:space="preserve">LOPEZ QUINTANA JOSE EDILBERTO</t>
  </si>
  <si>
    <t xml:space="preserve">33952565</t>
  </si>
  <si>
    <t xml:space="preserve">I500,K743,N179</t>
  </si>
  <si>
    <t xml:space="preserve">00000106</t>
  </si>
  <si>
    <t xml:space="preserve">JIMENEZ PINTADO PAULA</t>
  </si>
  <si>
    <t xml:space="preserve">48303232</t>
  </si>
  <si>
    <t xml:space="preserve">K359,A010,N390</t>
  </si>
  <si>
    <t xml:space="preserve">00000107</t>
  </si>
  <si>
    <t xml:space="preserve">DELGADO DIAZ ERIKA</t>
  </si>
  <si>
    <t xml:space="preserve">70792204</t>
  </si>
  <si>
    <t xml:space="preserve">00000108</t>
  </si>
  <si>
    <t xml:space="preserve">MONTOYA MAS FELIX</t>
  </si>
  <si>
    <t xml:space="preserve">33959600</t>
  </si>
  <si>
    <t xml:space="preserve">N390,K922,D509,K746</t>
  </si>
  <si>
    <t xml:space="preserve">00000109</t>
  </si>
  <si>
    <t xml:space="preserve">CULQUI HUAMAN AMELIA</t>
  </si>
  <si>
    <t xml:space="preserve">93490886</t>
  </si>
  <si>
    <t xml:space="preserve">00000110</t>
  </si>
  <si>
    <t xml:space="preserve">CALDERON PORTOCARRERO JUAN BAUTISTA</t>
  </si>
  <si>
    <t xml:space="preserve">33953238</t>
  </si>
  <si>
    <t xml:space="preserve">I64X,I10X,N390</t>
  </si>
  <si>
    <t xml:space="preserve">00000111</t>
  </si>
  <si>
    <t xml:space="preserve">TUCTO GUIOP, GUSTAVO</t>
  </si>
  <si>
    <t xml:space="preserve">40168837</t>
  </si>
  <si>
    <t xml:space="preserve">00000112</t>
  </si>
  <si>
    <t xml:space="preserve">SERVAN MAS DARVIN ALVINO</t>
  </si>
  <si>
    <t xml:space="preserve">47870052</t>
  </si>
  <si>
    <t xml:space="preserve">J960,A160,N390,E249,K729</t>
  </si>
  <si>
    <t xml:space="preserve">00000113</t>
  </si>
  <si>
    <t xml:space="preserve">LOPEZ RODRIGUEZ MARIA INES</t>
  </si>
  <si>
    <t xml:space="preserve">71032511</t>
  </si>
  <si>
    <t xml:space="preserve">O020,O234</t>
  </si>
  <si>
    <t xml:space="preserve">00000114</t>
  </si>
  <si>
    <t xml:space="preserve">RIVA ZAVALETA ESTELA</t>
  </si>
  <si>
    <t xml:space="preserve">47349557</t>
  </si>
  <si>
    <t xml:space="preserve">O366,E669</t>
  </si>
  <si>
    <t xml:space="preserve">00000115</t>
  </si>
  <si>
    <t xml:space="preserve">VARGAS ALVARADO LUIS</t>
  </si>
  <si>
    <t xml:space="preserve">33945312</t>
  </si>
  <si>
    <t xml:space="preserve">I64X,I500</t>
  </si>
  <si>
    <t xml:space="preserve">00000116</t>
  </si>
  <si>
    <t xml:space="preserve">PILCO GALOC MARTIN FILIBERTO</t>
  </si>
  <si>
    <t xml:space="preserve">33425332</t>
  </si>
  <si>
    <t xml:space="preserve">S299</t>
  </si>
  <si>
    <t xml:space="preserve">00000117</t>
  </si>
  <si>
    <t xml:space="preserve">A419,N390,E109,E162</t>
  </si>
  <si>
    <t xml:space="preserve">00000118</t>
  </si>
  <si>
    <t xml:space="preserve">SANTILLAN SANTILLAN MARIA AURORA</t>
  </si>
  <si>
    <t xml:space="preserve">33942122</t>
  </si>
  <si>
    <t xml:space="preserve">K359,R104</t>
  </si>
  <si>
    <t xml:space="preserve">00000120</t>
  </si>
  <si>
    <t xml:space="preserve">YNGA SANCHEZ MARCIAL</t>
  </si>
  <si>
    <t xml:space="preserve">33940537</t>
  </si>
  <si>
    <t xml:space="preserve">I64X,I10X</t>
  </si>
  <si>
    <t xml:space="preserve">00000121</t>
  </si>
  <si>
    <t xml:space="preserve">RODRIGUEZ ACOSTA MELANY</t>
  </si>
  <si>
    <t xml:space="preserve">75075667</t>
  </si>
  <si>
    <t xml:space="preserve">A630,O630</t>
  </si>
  <si>
    <t xml:space="preserve">00000122</t>
  </si>
  <si>
    <t xml:space="preserve">GRANDEZ VARGAS LENIN</t>
  </si>
  <si>
    <t xml:space="preserve">62451450</t>
  </si>
  <si>
    <t xml:space="preserve">S818</t>
  </si>
  <si>
    <t xml:space="preserve">00000123</t>
  </si>
  <si>
    <t xml:space="preserve">MESTANZA GUTIERREZ JUANA</t>
  </si>
  <si>
    <t xml:space="preserve">42493372</t>
  </si>
  <si>
    <t xml:space="preserve">K359,R104,N390</t>
  </si>
  <si>
    <t xml:space="preserve">00000124</t>
  </si>
  <si>
    <t xml:space="preserve">CULQUI SILVA MARIA AMADEA</t>
  </si>
  <si>
    <t xml:space="preserve">33953322</t>
  </si>
  <si>
    <t xml:space="preserve">I64X,J960,R32X</t>
  </si>
  <si>
    <t xml:space="preserve">MONTENEGRO PILCO AFORTUNADO RAMIRO</t>
  </si>
  <si>
    <t xml:space="preserve">33720485</t>
  </si>
  <si>
    <t xml:space="preserve">S069,I64X</t>
  </si>
  <si>
    <t xml:space="preserve">UGAZ SALAZAR ORFELINDA</t>
  </si>
  <si>
    <t xml:space="preserve">33594383</t>
  </si>
  <si>
    <t xml:space="preserve">N939,C539</t>
  </si>
  <si>
    <t xml:space="preserve">PUSCAN GUIOP MAX ADRIEL</t>
  </si>
  <si>
    <t xml:space="preserve">92970079</t>
  </si>
  <si>
    <t xml:space="preserve">J180,J189</t>
  </si>
  <si>
    <t xml:space="preserve">CULQUI TUCTO JHAYDEN GABRIEL</t>
  </si>
  <si>
    <t xml:space="preserve">92887222</t>
  </si>
  <si>
    <t xml:space="preserve">J189</t>
  </si>
  <si>
    <t xml:space="preserve">HUAMAN TUCTO FLORECINDA</t>
  </si>
  <si>
    <t xml:space="preserve">75050754</t>
  </si>
  <si>
    <t xml:space="preserve">C038,F29X</t>
  </si>
  <si>
    <t xml:space="preserve">HUAMAN CULQUI MAVILA</t>
  </si>
  <si>
    <t xml:space="preserve">47351936</t>
  </si>
  <si>
    <t xml:space="preserve">Z359,O342,O809</t>
  </si>
  <si>
    <t xml:space="preserve">VENTURA GOMES LEONARDO</t>
  </si>
  <si>
    <t xml:space="preserve">33781084</t>
  </si>
  <si>
    <t xml:space="preserve">J969,I500,N10X</t>
  </si>
  <si>
    <t xml:space="preserve">INGA DE VELA FACUNDA</t>
  </si>
  <si>
    <t xml:space="preserve">33793269</t>
  </si>
  <si>
    <t xml:space="preserve">J960,I500,J189</t>
  </si>
  <si>
    <t xml:space="preserve">5989-2025</t>
  </si>
  <si>
    <t xml:space="preserve">CONTRATO N° 001-2025</t>
  </si>
  <si>
    <t xml:space="preserve">266.0</t>
  </si>
  <si>
    <t xml:space="preserve">DE LA CRUZ LLANOS ANAMARIA</t>
  </si>
  <si>
    <t xml:space="preserve">43369420</t>
  </si>
  <si>
    <t xml:space="preserve">Z359,O699</t>
  </si>
  <si>
    <t xml:space="preserve">00000021</t>
  </si>
  <si>
    <t xml:space="preserve">O698</t>
  </si>
  <si>
    <t xml:space="preserve">HUAMAN OLIVARES LUCILA</t>
  </si>
  <si>
    <t xml:space="preserve">72134237</t>
  </si>
  <si>
    <t xml:space="preserve">Z359,O48X</t>
  </si>
  <si>
    <t xml:space="preserve">SILVA FLORES MARIBENI</t>
  </si>
  <si>
    <t xml:space="preserve">72262007</t>
  </si>
  <si>
    <t xml:space="preserve">Z359,O321</t>
  </si>
  <si>
    <t xml:space="preserve">CHOCACA BAUTISTA ASUNCIONA</t>
  </si>
  <si>
    <t xml:space="preserve">46298075</t>
  </si>
  <si>
    <t xml:space="preserve">E86X,K922</t>
  </si>
  <si>
    <t xml:space="preserve">GUELAC PELAEZ ROSARIO</t>
  </si>
  <si>
    <t xml:space="preserve">33816435</t>
  </si>
  <si>
    <t xml:space="preserve">R100,K37X</t>
  </si>
  <si>
    <t xml:space="preserve">CARRION ZUTA STEPHANY</t>
  </si>
  <si>
    <t xml:space="preserve">73591161</t>
  </si>
  <si>
    <t xml:space="preserve">Z359,O689</t>
  </si>
  <si>
    <t xml:space="preserve">BARDALES MUÑOZ JUBER</t>
  </si>
  <si>
    <t xml:space="preserve">48554125</t>
  </si>
  <si>
    <t xml:space="preserve">F200,F79X</t>
  </si>
  <si>
    <t xml:space="preserve">CAMACHO CHACON NICANOR</t>
  </si>
  <si>
    <t xml:space="preserve">33417944</t>
  </si>
  <si>
    <t xml:space="preserve">CHAPOÑAN CAMUS THALIA</t>
  </si>
  <si>
    <t xml:space="preserve">73058676</t>
  </si>
  <si>
    <t xml:space="preserve">S369</t>
  </si>
  <si>
    <t xml:space="preserve">MEJIA MICHA LEILA</t>
  </si>
  <si>
    <t xml:space="preserve">62134059</t>
  </si>
  <si>
    <t xml:space="preserve">CRUZ TAFUR MARIA ENCARNACION</t>
  </si>
  <si>
    <t xml:space="preserve">47094771</t>
  </si>
  <si>
    <t xml:space="preserve">Z359,O369,O990,O234,O235</t>
  </si>
  <si>
    <t xml:space="preserve">MENDOZA LOPEZ MARIA NATIVIDAD</t>
  </si>
  <si>
    <t xml:space="preserve">80343144</t>
  </si>
  <si>
    <t xml:space="preserve">K819,K809</t>
  </si>
  <si>
    <t xml:space="preserve">CULQUI HUAMAN LLAJAIRA</t>
  </si>
  <si>
    <t xml:space="preserve">70575707</t>
  </si>
  <si>
    <t xml:space="preserve">Z359.O689</t>
  </si>
  <si>
    <t xml:space="preserve">MEJIA TICLLA ANA LELIS</t>
  </si>
  <si>
    <t xml:space="preserve">48715587</t>
  </si>
  <si>
    <t xml:space="preserve">K810</t>
  </si>
  <si>
    <t xml:space="preserve">ROJAS SOPLA MANUEL SANTOS</t>
  </si>
  <si>
    <t xml:space="preserve">33959318</t>
  </si>
  <si>
    <t xml:space="preserve">J960,J494</t>
  </si>
  <si>
    <t xml:space="preserve">R568,T600</t>
  </si>
  <si>
    <t xml:space="preserve">J159,A16X,R509,E860</t>
  </si>
  <si>
    <t xml:space="preserve">6018-2025</t>
  </si>
  <si>
    <t xml:space="preserve">S421,S223</t>
  </si>
  <si>
    <t xml:space="preserve">SALAZAR FERNANDEZ LUZ FANNY</t>
  </si>
  <si>
    <t xml:space="preserve">74077703</t>
  </si>
  <si>
    <t xml:space="preserve">Z348,O200</t>
  </si>
  <si>
    <t xml:space="preserve">HUAMAN COTRINA MARIA DEL CARMEN</t>
  </si>
  <si>
    <t xml:space="preserve">80400300</t>
  </si>
  <si>
    <t xml:space="preserve">K800,R100</t>
  </si>
  <si>
    <t xml:space="preserve">MARTINEZ DE FERNANDEZ ANITA</t>
  </si>
  <si>
    <t xml:space="preserve">I169</t>
  </si>
  <si>
    <t xml:space="preserve">ALVAREZ ALVAREZ FLORECILA</t>
  </si>
  <si>
    <t xml:space="preserve">70159170</t>
  </si>
  <si>
    <t xml:space="preserve">O021</t>
  </si>
  <si>
    <t xml:space="preserve">POQUIOMA GARCIA GAUDY BELEN</t>
  </si>
  <si>
    <t xml:space="preserve">75070226</t>
  </si>
  <si>
    <t xml:space="preserve">GOÑAS SALVA EDILBERTA</t>
  </si>
  <si>
    <t xml:space="preserve">33722958</t>
  </si>
  <si>
    <t xml:space="preserve">S069,S430,S370</t>
  </si>
  <si>
    <t xml:space="preserve">LOPEZ DE POQUIOMA HERMILA</t>
  </si>
  <si>
    <t xml:space="preserve">33732773</t>
  </si>
  <si>
    <t xml:space="preserve">E86X,A048,N390</t>
  </si>
  <si>
    <t xml:space="preserve">CHUQUIZUTA YALTA ROCIO</t>
  </si>
  <si>
    <t xml:space="preserve">76081526</t>
  </si>
  <si>
    <t xml:space="preserve">O470,R104,N390</t>
  </si>
  <si>
    <t xml:space="preserve">POQUIOMA CHAVEZ JANA VALENTINA</t>
  </si>
  <si>
    <t xml:space="preserve">91058095</t>
  </si>
  <si>
    <t xml:space="preserve">J039,R104</t>
  </si>
  <si>
    <t xml:space="preserve">PIZARRO FERNANDEZ VDA DE ZUTA MARIA DE JESUS</t>
  </si>
  <si>
    <t xml:space="preserve">33724824</t>
  </si>
  <si>
    <t xml:space="preserve">J209,J219</t>
  </si>
  <si>
    <t xml:space="preserve">CHAPPA ZUTA FAUSTA</t>
  </si>
  <si>
    <t xml:space="preserve">46917913</t>
  </si>
  <si>
    <t xml:space="preserve">ENTREGADO 18/06/2025</t>
  </si>
  <si>
    <t xml:space="preserve">N40X,S373</t>
  </si>
  <si>
    <t xml:space="preserve">TARRILLO NAVARRO ROCIO DEL PILAR</t>
  </si>
  <si>
    <t xml:space="preserve">62111699</t>
  </si>
  <si>
    <t xml:space="preserve">D709,C910</t>
  </si>
  <si>
    <t xml:space="preserve">POCLIN INGA FILIBERTO</t>
  </si>
  <si>
    <t xml:space="preserve">44624533</t>
  </si>
  <si>
    <t xml:space="preserve">CAYAO CASAS DILMA ANALU</t>
  </si>
  <si>
    <t xml:space="preserve">60129241</t>
  </si>
  <si>
    <t xml:space="preserve">Z359,O365,O363</t>
  </si>
  <si>
    <t xml:space="preserve">LLATAS DELGADO IRMA</t>
  </si>
  <si>
    <t xml:space="preserve">44320129</t>
  </si>
  <si>
    <t xml:space="preserve">O031</t>
  </si>
  <si>
    <t xml:space="preserve">CABRERA GALVEZ NILVER</t>
  </si>
  <si>
    <t xml:space="preserve">44818473</t>
  </si>
  <si>
    <t xml:space="preserve">SAYAVERDE TIRADO MARINA</t>
  </si>
  <si>
    <t xml:space="preserve">47577516</t>
  </si>
  <si>
    <t xml:space="preserve">Z359,O342,O363</t>
  </si>
  <si>
    <t xml:space="preserve">TORRES OLIVERA NELY</t>
  </si>
  <si>
    <t xml:space="preserve">80249700</t>
  </si>
  <si>
    <t xml:space="preserve">K85X,K802</t>
  </si>
  <si>
    <t xml:space="preserve">IRIGOIN CIEZA DANIEL</t>
  </si>
  <si>
    <t xml:space="preserve">42377497</t>
  </si>
  <si>
    <t xml:space="preserve">R33X,G822</t>
  </si>
  <si>
    <t xml:space="preserve">VASQUEZ MEDINA FELIPE</t>
  </si>
  <si>
    <t xml:space="preserve">27578700</t>
  </si>
  <si>
    <t xml:space="preserve">D649,K279,C189</t>
  </si>
  <si>
    <t xml:space="preserve">VELA OCAMPO FLORA</t>
  </si>
  <si>
    <t xml:space="preserve">80469195</t>
  </si>
  <si>
    <t xml:space="preserve">PEREZ RIMARACHIN GUMERCINDO</t>
  </si>
  <si>
    <t xml:space="preserve">45856102</t>
  </si>
  <si>
    <t xml:space="preserve">CHICANA POZO KENZO ANTONIO</t>
  </si>
  <si>
    <t xml:space="preserve">93951949</t>
  </si>
  <si>
    <t xml:space="preserve">E860,D509,A09X</t>
  </si>
  <si>
    <t xml:space="preserve">TARRILLO GARAY SANTOS ISABEL</t>
  </si>
  <si>
    <t xml:space="preserve">27561350</t>
  </si>
  <si>
    <t xml:space="preserve">MENDOZA NUNURA EMILY YARITH</t>
  </si>
  <si>
    <t xml:space="preserve">81269994</t>
  </si>
  <si>
    <t xml:space="preserve">BAZAN SEGURA JOSE ABAD</t>
  </si>
  <si>
    <t xml:space="preserve">41035005</t>
  </si>
  <si>
    <t xml:space="preserve">S925</t>
  </si>
  <si>
    <t xml:space="preserve">00000052</t>
  </si>
  <si>
    <t xml:space="preserve">VASQUEZ GALLARDO NEIDA MARLENI</t>
  </si>
  <si>
    <t xml:space="preserve">60355237</t>
  </si>
  <si>
    <t xml:space="preserve">O731</t>
  </si>
  <si>
    <t xml:space="preserve">00000053</t>
  </si>
  <si>
    <t xml:space="preserve">DIAZ CHAVEZ WILSON ANTONIO</t>
  </si>
  <si>
    <t xml:space="preserve">33800223</t>
  </si>
  <si>
    <t xml:space="preserve">J159,T826</t>
  </si>
  <si>
    <t xml:space="preserve">00000054</t>
  </si>
  <si>
    <t xml:space="preserve">RODRIGUEZ JULCA ORFELINDA</t>
  </si>
  <si>
    <t xml:space="preserve">42624838</t>
  </si>
  <si>
    <t xml:space="preserve">R100</t>
  </si>
  <si>
    <t xml:space="preserve">ZEVALLOS ROJAS ANITA</t>
  </si>
  <si>
    <t xml:space="preserve">33800007</t>
  </si>
  <si>
    <t xml:space="preserve">S060</t>
  </si>
  <si>
    <t xml:space="preserve">00000056</t>
  </si>
  <si>
    <t xml:space="preserve">BOLAÑOS HIDALGO MARIA YLMER</t>
  </si>
  <si>
    <t xml:space="preserve">49036779</t>
  </si>
  <si>
    <t xml:space="preserve">00000057</t>
  </si>
  <si>
    <t xml:space="preserve">CHAVEZ TRIGOSO ROSA</t>
  </si>
  <si>
    <t xml:space="preserve">48630527</t>
  </si>
  <si>
    <t xml:space="preserve">I509,J960</t>
  </si>
  <si>
    <t xml:space="preserve">00000059</t>
  </si>
  <si>
    <t xml:space="preserve">ACUÑA LEYVA MARCIAL</t>
  </si>
  <si>
    <t xml:space="preserve">48943317</t>
  </si>
  <si>
    <t xml:space="preserve">00000058</t>
  </si>
  <si>
    <t xml:space="preserve">VARGAS ZUMAETA ANGIA JAMIL</t>
  </si>
  <si>
    <t xml:space="preserve">62063500</t>
  </si>
  <si>
    <t xml:space="preserve">O421</t>
  </si>
  <si>
    <t xml:space="preserve">00000060</t>
  </si>
  <si>
    <t xml:space="preserve">VILCA VILLANUEVA ROCIO</t>
  </si>
  <si>
    <t xml:space="preserve">72785012</t>
  </si>
  <si>
    <t xml:space="preserve">R100,K810</t>
  </si>
  <si>
    <t xml:space="preserve">00000061</t>
  </si>
  <si>
    <t xml:space="preserve">VARGAS INGA ROSA</t>
  </si>
  <si>
    <t xml:space="preserve">45023856</t>
  </si>
  <si>
    <t xml:space="preserve">TERRONES CARRERA PEDRO ENCARNACION</t>
  </si>
  <si>
    <t xml:space="preserve">46168872</t>
  </si>
  <si>
    <t xml:space="preserve">LOPEZ TACILLA EDITA</t>
  </si>
  <si>
    <t xml:space="preserve">80562267</t>
  </si>
  <si>
    <t xml:space="preserve">S062,S639</t>
  </si>
  <si>
    <t xml:space="preserve">POQUIOMA BAZAN LETY MELISA</t>
  </si>
  <si>
    <t xml:space="preserve">60031305</t>
  </si>
  <si>
    <t xml:space="preserve">O331</t>
  </si>
  <si>
    <t xml:space="preserve">CIEZA HERNANDEZ MELVA MAVILA</t>
  </si>
  <si>
    <t xml:space="preserve">41823191</t>
  </si>
  <si>
    <t xml:space="preserve">REPORTE DE TRASLADO DE PACIENTES SIS DEL MES DE JUNIO 2025 PARA REPOSICION DE COMBUSTIBLE</t>
  </si>
  <si>
    <t xml:space="preserve">GALOC CHAVEZ INGRID LISBETH</t>
  </si>
  <si>
    <t xml:space="preserve">O800,Z349,Z352</t>
  </si>
  <si>
    <t xml:space="preserve">3691-2025</t>
  </si>
  <si>
    <t xml:space="preserve">adenda 1421-2025</t>
  </si>
  <si>
    <t xml:space="preserve">82.0</t>
  </si>
  <si>
    <t xml:space="preserve">TERRONES BARDALES MARIELA TERECITA</t>
  </si>
  <si>
    <t xml:space="preserve">76966101</t>
  </si>
  <si>
    <t xml:space="preserve">MONTENEGRO CRUZ HEYDY MERCEDES</t>
  </si>
  <si>
    <t xml:space="preserve">63387310</t>
  </si>
  <si>
    <t xml:space="preserve">LLAJA ARCE LIZETT</t>
  </si>
  <si>
    <t xml:space="preserve">70208568</t>
  </si>
  <si>
    <t xml:space="preserve">BECERRA CORREA NICOLAS</t>
  </si>
  <si>
    <t xml:space="preserve">27062849</t>
  </si>
  <si>
    <t xml:space="preserve">X228,X208</t>
  </si>
  <si>
    <t xml:space="preserve">LOPEZ NUNCEVAY YRENE</t>
  </si>
  <si>
    <t xml:space="preserve">833852</t>
  </si>
  <si>
    <t xml:space="preserve">E119,I10X,E111</t>
  </si>
  <si>
    <t xml:space="preserve">POMPA PEREZ ARELITA</t>
  </si>
  <si>
    <t xml:space="preserve">46833533</t>
  </si>
  <si>
    <t xml:space="preserve">ROJAS MARTINEZ ZULY JUDITH</t>
  </si>
  <si>
    <t xml:space="preserve">60354000</t>
  </si>
  <si>
    <t xml:space="preserve">O05X</t>
  </si>
  <si>
    <t xml:space="preserve">PELAEZ MUÑOZ ROSA LUCIDA</t>
  </si>
  <si>
    <t xml:space="preserve">33413364</t>
  </si>
  <si>
    <t xml:space="preserve">K805,K564</t>
  </si>
  <si>
    <t xml:space="preserve">ZABALETA CHANCAHUANA NEISER ROBERT</t>
  </si>
  <si>
    <t xml:space="preserve">33413170</t>
  </si>
  <si>
    <t xml:space="preserve">VERIFICAR POR QUE LO DIERON GASOLINA18/08/2025</t>
  </si>
  <si>
    <t xml:space="preserve">S829,S632</t>
  </si>
  <si>
    <t xml:space="preserve">MAYTA MEJIA ROSA MAGNA</t>
  </si>
  <si>
    <t xml:space="preserve">43773976</t>
  </si>
  <si>
    <t xml:space="preserve">GRANDEZ GUELAC LUCINDA</t>
  </si>
  <si>
    <t xml:space="preserve">60364460</t>
  </si>
  <si>
    <t xml:space="preserve">Z359,P059</t>
  </si>
  <si>
    <t xml:space="preserve">5230-2025</t>
  </si>
  <si>
    <t xml:space="preserve">CONTRATO No 001-2025 DYT</t>
  </si>
  <si>
    <t xml:space="preserve">00000126</t>
  </si>
  <si>
    <t xml:space="preserve">LOPEZ PORTOCARRERO NILSER</t>
  </si>
  <si>
    <t xml:space="preserve">76776977</t>
  </si>
  <si>
    <t xml:space="preserve">S823,S824</t>
  </si>
  <si>
    <t xml:space="preserve">00000125</t>
  </si>
  <si>
    <t xml:space="preserve">AGUILAR COLLAZOS JOSE JULIAN</t>
  </si>
  <si>
    <t xml:space="preserve">33952517</t>
  </si>
  <si>
    <t xml:space="preserve">H440,I10X,J159</t>
  </si>
  <si>
    <t xml:space="preserve">00000127</t>
  </si>
  <si>
    <t xml:space="preserve">ESPICHAN CHUQUIPIONDO CARMEN ROSARIO</t>
  </si>
  <si>
    <t xml:space="preserve">33429636</t>
  </si>
  <si>
    <t xml:space="preserve">00000128</t>
  </si>
  <si>
    <t xml:space="preserve">PORTOCARRERO CALDERON JOSE</t>
  </si>
  <si>
    <t xml:space="preserve">33950485</t>
  </si>
  <si>
    <t xml:space="preserve">J960,I10X,J159</t>
  </si>
  <si>
    <t xml:space="preserve">00000129</t>
  </si>
  <si>
    <t xml:space="preserve">ARISTA TAFUR MARCIA ABIGAIL</t>
  </si>
  <si>
    <t xml:space="preserve">80813236</t>
  </si>
  <si>
    <t xml:space="preserve">00000130</t>
  </si>
  <si>
    <t xml:space="preserve">ANGELES LOPEZ YOVANITA</t>
  </si>
  <si>
    <t xml:space="preserve">76366677</t>
  </si>
  <si>
    <t xml:space="preserve">K359,R14X,R11X</t>
  </si>
  <si>
    <t xml:space="preserve">00000134</t>
  </si>
  <si>
    <t xml:space="preserve">SILVA ESTELA JOSE OSVER</t>
  </si>
  <si>
    <t xml:space="preserve">74656760</t>
  </si>
  <si>
    <t xml:space="preserve">T814</t>
  </si>
  <si>
    <t xml:space="preserve">00000135</t>
  </si>
  <si>
    <t xml:space="preserve">VASQUEZ CAMPOS MARIA IRMA</t>
  </si>
  <si>
    <t xml:space="preserve">45746074</t>
  </si>
  <si>
    <t xml:space="preserve">D509,R104,K590,K566</t>
  </si>
  <si>
    <t xml:space="preserve">00000131</t>
  </si>
  <si>
    <t xml:space="preserve">VASQUEZ GARCIA SEBERINO</t>
  </si>
  <si>
    <t xml:space="preserve">33943203</t>
  </si>
  <si>
    <t xml:space="preserve">S069,H922</t>
  </si>
  <si>
    <t xml:space="preserve">00000132</t>
  </si>
  <si>
    <t xml:space="preserve">MAS ARISTA LUIS ALBERTO</t>
  </si>
  <si>
    <t xml:space="preserve">80345157</t>
  </si>
  <si>
    <t xml:space="preserve">D509,K746</t>
  </si>
  <si>
    <t xml:space="preserve">00000133</t>
  </si>
  <si>
    <t xml:space="preserve">NAVARO GUEVARA MARIA LADIS</t>
  </si>
  <si>
    <t xml:space="preserve">48700492</t>
  </si>
  <si>
    <t xml:space="preserve">M544,M541</t>
  </si>
  <si>
    <t xml:space="preserve">00000136</t>
  </si>
  <si>
    <t xml:space="preserve">ARRIAGA ZELADA WENDY VALERIA</t>
  </si>
  <si>
    <t xml:space="preserve">74627564</t>
  </si>
  <si>
    <t xml:space="preserve">00000137</t>
  </si>
  <si>
    <t xml:space="preserve">RODRIGUEZ PORTOCARRERO THAYRA LINETH</t>
  </si>
  <si>
    <t xml:space="preserve">91404190</t>
  </si>
  <si>
    <t xml:space="preserve">K359,N390</t>
  </si>
  <si>
    <t xml:space="preserve">00000138</t>
  </si>
  <si>
    <t xml:space="preserve">ZELADA RODRIGUEZ MIGUEL ANGEL</t>
  </si>
  <si>
    <t xml:space="preserve">33946940</t>
  </si>
  <si>
    <t xml:space="preserve">J189,R060,I10X</t>
  </si>
  <si>
    <t xml:space="preserve">00000139</t>
  </si>
  <si>
    <t xml:space="preserve">TOCHON PIEROLA VALERIA</t>
  </si>
  <si>
    <t xml:space="preserve">60031255</t>
  </si>
  <si>
    <t xml:space="preserve">00000140</t>
  </si>
  <si>
    <t xml:space="preserve">SILVA CIEZA LENIN</t>
  </si>
  <si>
    <t xml:space="preserve">80798128</t>
  </si>
  <si>
    <t xml:space="preserve">00000142</t>
  </si>
  <si>
    <t xml:space="preserve">MELENDEZ MESIA LILIANA</t>
  </si>
  <si>
    <t xml:space="preserve">62155649</t>
  </si>
  <si>
    <t xml:space="preserve">K359,N390,R104</t>
  </si>
  <si>
    <t xml:space="preserve">00000143</t>
  </si>
  <si>
    <t xml:space="preserve">GUAYAMIS QUISTAN KELI FIORELA</t>
  </si>
  <si>
    <t xml:space="preserve">60030939</t>
  </si>
  <si>
    <t xml:space="preserve">00000145</t>
  </si>
  <si>
    <t xml:space="preserve">RAMIREZ ORRILLO ANA ROSI</t>
  </si>
  <si>
    <t xml:space="preserve">76078287</t>
  </si>
  <si>
    <t xml:space="preserve">00000146</t>
  </si>
  <si>
    <t xml:space="preserve">GARCIA LOPEZ ENEIDA</t>
  </si>
  <si>
    <t xml:space="preserve">74709202</t>
  </si>
  <si>
    <t xml:space="preserve">O019</t>
  </si>
  <si>
    <t xml:space="preserve">00000144</t>
  </si>
  <si>
    <t xml:space="preserve">RODRIGUEZ ARMIJO CEIDY ARECELI</t>
  </si>
  <si>
    <t xml:space="preserve">48840937</t>
  </si>
  <si>
    <t xml:space="preserve">O689,O419</t>
  </si>
  <si>
    <t xml:space="preserve">DEVOLVER EL COMBUSTIBLE A LA IPRES OMIA</t>
  </si>
  <si>
    <t xml:space="preserve">6044-2025</t>
  </si>
  <si>
    <t xml:space="preserve">00000141</t>
  </si>
  <si>
    <t xml:space="preserve">SALON CARUAJULCA ANDER AZIEL</t>
  </si>
  <si>
    <t xml:space="preserve">94179516</t>
  </si>
  <si>
    <t xml:space="preserve">DEVOLUCION AL C.S. HUAMBO</t>
  </si>
  <si>
    <t xml:space="preserve">TAFUR GRANDEZ NILVER</t>
  </si>
  <si>
    <t xml:space="preserve">47508688</t>
  </si>
  <si>
    <t xml:space="preserve">I10X,R51X,G419</t>
  </si>
  <si>
    <t xml:space="preserve">R092,E43X</t>
  </si>
  <si>
    <t xml:space="preserve">HOYOS AGUILAR JOSE ALEJANDRO</t>
  </si>
  <si>
    <t xml:space="preserve">33944907</t>
  </si>
  <si>
    <t xml:space="preserve">I10X,H814,H830</t>
  </si>
  <si>
    <t xml:space="preserve">VEGA HUAMAN ENRIQUE</t>
  </si>
  <si>
    <t xml:space="preserve">45850698</t>
  </si>
  <si>
    <t xml:space="preserve">4058-2025</t>
  </si>
  <si>
    <t xml:space="preserve">CONTRATO 001-2025</t>
  </si>
  <si>
    <t xml:space="preserve">238.0</t>
  </si>
  <si>
    <t xml:space="preserve">PUSCAN PUSCAN EMILY ALEXANDRA</t>
  </si>
  <si>
    <t xml:space="preserve">92806042</t>
  </si>
  <si>
    <t xml:space="preserve">J960,R509,J189,A379</t>
  </si>
  <si>
    <t xml:space="preserve">PUSCAN CULQUI YLARIA</t>
  </si>
  <si>
    <t xml:space="preserve">33416410</t>
  </si>
  <si>
    <t xml:space="preserve">S422,I10X</t>
  </si>
  <si>
    <t xml:space="preserve">IRIGOIN NUNCEVAY DARIEL</t>
  </si>
  <si>
    <t xml:space="preserve">92875047</t>
  </si>
  <si>
    <t xml:space="preserve">5839.0</t>
  </si>
  <si>
    <t xml:space="preserve">R601,J961</t>
  </si>
  <si>
    <t xml:space="preserve">POQUIOMA DE VALQUI AGRIPINA</t>
  </si>
  <si>
    <t xml:space="preserve">33804754</t>
  </si>
  <si>
    <t xml:space="preserve">C229,R601,R18X</t>
  </si>
  <si>
    <t xml:space="preserve">RUITON CHUQUIZUTA ZAIDITA</t>
  </si>
  <si>
    <t xml:space="preserve">73692051</t>
  </si>
  <si>
    <t xml:space="preserve">Z359,O366</t>
  </si>
  <si>
    <t xml:space="preserve">OCAMPO CUEVA NOA ZAIRED</t>
  </si>
  <si>
    <t xml:space="preserve">94051509</t>
  </si>
  <si>
    <t xml:space="preserve">J219,I519,Q909</t>
  </si>
  <si>
    <t xml:space="preserve">ZUTA LLANCA CELESTINO</t>
  </si>
  <si>
    <t xml:space="preserve">33780057</t>
  </si>
  <si>
    <t xml:space="preserve">VARGAS DE VALQUI ANGELINA</t>
  </si>
  <si>
    <t xml:space="preserve">33800656</t>
  </si>
  <si>
    <t xml:space="preserve">I449,G459</t>
  </si>
  <si>
    <t xml:space="preserve">GOSGOTTE PEREZ CINDY DEL PILAR</t>
  </si>
  <si>
    <t xml:space="preserve">75826701</t>
  </si>
  <si>
    <t xml:space="preserve">R101,K810</t>
  </si>
  <si>
    <t xml:space="preserve">VARGAS RODRIGUEZ ADITA MERCEDES</t>
  </si>
  <si>
    <t xml:space="preserve">46456937</t>
  </si>
  <si>
    <t xml:space="preserve">INGA MUÑOZ JUANITA DONATILDE</t>
  </si>
  <si>
    <t xml:space="preserve">72261592</t>
  </si>
  <si>
    <t xml:space="preserve">HURTADO GUPIOC ROSA ELENA</t>
  </si>
  <si>
    <t xml:space="preserve">33780658</t>
  </si>
  <si>
    <t xml:space="preserve">J189,J969,E249</t>
  </si>
  <si>
    <t xml:space="preserve">MUÑOZ FLORES GUILLERMO</t>
  </si>
  <si>
    <t xml:space="preserve">33417752</t>
  </si>
  <si>
    <t xml:space="preserve">TAFUR COLLANTES HELEN VANESSA</t>
  </si>
  <si>
    <t xml:space="preserve">76968148</t>
  </si>
  <si>
    <t xml:space="preserve">LLANOS ATALAYA LUIS RAMIRO</t>
  </si>
  <si>
    <t xml:space="preserve">45357945</t>
  </si>
  <si>
    <t xml:space="preserve">S801,S822,M869</t>
  </si>
  <si>
    <t xml:space="preserve">ACUÑA ZAMORA HILDA</t>
  </si>
  <si>
    <t xml:space="preserve">93722118</t>
  </si>
  <si>
    <t xml:space="preserve">URBINA BUSTAMANTE MARINA ISABEL</t>
  </si>
  <si>
    <t xml:space="preserve">43719451</t>
  </si>
  <si>
    <t xml:space="preserve">R101,J810</t>
  </si>
  <si>
    <t xml:space="preserve">AGUILAR FARJE JOSE ESDRAN </t>
  </si>
  <si>
    <t xml:space="preserve">33417804</t>
  </si>
  <si>
    <t xml:space="preserve">VASQUEZ CARRANZA LUZ NELIDA</t>
  </si>
  <si>
    <t xml:space="preserve">27542871</t>
  </si>
  <si>
    <t xml:space="preserve">S400,S430</t>
  </si>
  <si>
    <t xml:space="preserve">ZUTA CHUQUIZUTA WILFREDO</t>
  </si>
  <si>
    <t xml:space="preserve">72463552</t>
  </si>
  <si>
    <t xml:space="preserve">R100,K800</t>
  </si>
  <si>
    <t xml:space="preserve">3888-2025</t>
  </si>
  <si>
    <t xml:space="preserve">CONTRATTO 001 -2025</t>
  </si>
  <si>
    <t xml:space="preserve">GRANDEZ GOMEZ SHIRLEY MASIEL</t>
  </si>
  <si>
    <t xml:space="preserve">90978812</t>
  </si>
  <si>
    <t xml:space="preserve">S424</t>
  </si>
  <si>
    <t xml:space="preserve">OYARCE CHAVEZ SADITH</t>
  </si>
  <si>
    <t xml:space="preserve">73758588</t>
  </si>
  <si>
    <t xml:space="preserve">O335</t>
  </si>
  <si>
    <t xml:space="preserve">LOPEZ VELA PILAR </t>
  </si>
  <si>
    <t xml:space="preserve">73377126</t>
  </si>
  <si>
    <t xml:space="preserve">GUELAC CANTA LILI</t>
  </si>
  <si>
    <t xml:space="preserve">47531324</t>
  </si>
  <si>
    <t xml:space="preserve">SALDAÑA BUSTAMANTE ERLITA YOVANI</t>
  </si>
  <si>
    <t xml:space="preserve">71588468</t>
  </si>
  <si>
    <t xml:space="preserve">Z359,O639</t>
  </si>
  <si>
    <t xml:space="preserve">OFICIO 3690</t>
  </si>
  <si>
    <t xml:space="preserve">CONTRATO n° 001-2025</t>
  </si>
  <si>
    <t xml:space="preserve">MELENDEZ INGA MIRIAM</t>
  </si>
  <si>
    <t xml:space="preserve">40720061</t>
  </si>
  <si>
    <t xml:space="preserve">K703,G939,D696,D649</t>
  </si>
  <si>
    <t xml:space="preserve">VASQUE MEDINA DENIS</t>
  </si>
  <si>
    <t xml:space="preserve">78804841</t>
  </si>
  <si>
    <t xml:space="preserve">O034,G442</t>
  </si>
  <si>
    <t xml:space="preserve">O200,O033</t>
  </si>
  <si>
    <t xml:space="preserve">VASQUEZ RAMOS CESAR</t>
  </si>
  <si>
    <t xml:space="preserve">33952012</t>
  </si>
  <si>
    <t xml:space="preserve">E119</t>
  </si>
  <si>
    <t xml:space="preserve">VARGAS RODRIGUEZ HILDA MERCEDES</t>
  </si>
  <si>
    <t xml:space="preserve">80468687</t>
  </si>
  <si>
    <t xml:space="preserve">N002</t>
  </si>
  <si>
    <t xml:space="preserve">CASTRO CULLAMPE MARIA NATIVIDAD</t>
  </si>
  <si>
    <t xml:space="preserve">33802348</t>
  </si>
  <si>
    <t xml:space="preserve">J960,J187</t>
  </si>
  <si>
    <t xml:space="preserve">BAZAN CAMAN SALOME</t>
  </si>
  <si>
    <t xml:space="preserve">80602792</t>
  </si>
  <si>
    <t xml:space="preserve">D649,K250,K922,Z10X</t>
  </si>
  <si>
    <t xml:space="preserve">ROJAS VILCA MARIA PETRONILA</t>
  </si>
  <si>
    <t xml:space="preserve">48189607</t>
  </si>
  <si>
    <t xml:space="preserve">A971,N390</t>
  </si>
  <si>
    <t xml:space="preserve">PAREDES ZUTA ELISA</t>
  </si>
  <si>
    <t xml:space="preserve">48524125</t>
  </si>
  <si>
    <t xml:space="preserve">J960,J441,A419</t>
  </si>
  <si>
    <t xml:space="preserve">GUZMAN QUILO CASILDA</t>
  </si>
  <si>
    <t xml:space="preserve">80294064</t>
  </si>
  <si>
    <t xml:space="preserve">A419,J189,E119</t>
  </si>
  <si>
    <t xml:space="preserve">ANGULO AREVALO ALCIDES</t>
  </si>
  <si>
    <t xml:space="preserve">43477255</t>
  </si>
  <si>
    <t xml:space="preserve">N189,J960,I120</t>
  </si>
  <si>
    <t xml:space="preserve">ROJAS MORA ELISA</t>
  </si>
  <si>
    <t xml:space="preserve">73625247</t>
  </si>
  <si>
    <t xml:space="preserve">O470,O239,O235</t>
  </si>
  <si>
    <t xml:space="preserve">BOCANEGRA DAZA MIRIAM FABIANA</t>
  </si>
  <si>
    <t xml:space="preserve">93431705</t>
  </si>
  <si>
    <t xml:space="preserve">R568,S069</t>
  </si>
  <si>
    <t xml:space="preserve">I679,C119,J10X</t>
  </si>
  <si>
    <t xml:space="preserve">HUANCAY JULCA MARIVEL</t>
  </si>
  <si>
    <t xml:space="preserve">44717343</t>
  </si>
  <si>
    <t xml:space="preserve">S866,S823</t>
  </si>
  <si>
    <t xml:space="preserve">CIEZA FUSTAMANTE CELINA</t>
  </si>
  <si>
    <t xml:space="preserve">46628474</t>
  </si>
  <si>
    <t xml:space="preserve">ROJAS GALOC ANEL MAYLIN</t>
  </si>
  <si>
    <t xml:space="preserve">90597581</t>
  </si>
  <si>
    <t xml:space="preserve">J961,I509</t>
  </si>
  <si>
    <t xml:space="preserve">BECERRA MONDRAGON YEIMI RUNEL</t>
  </si>
  <si>
    <t xml:space="preserve">74620340</t>
  </si>
  <si>
    <t xml:space="preserve">Z359,O300,O600</t>
  </si>
  <si>
    <t xml:space="preserve">3692-2025</t>
  </si>
  <si>
    <t xml:space="preserve">CONTRATO N|01-2025</t>
  </si>
  <si>
    <t xml:space="preserve">J159,I10X</t>
  </si>
  <si>
    <t xml:space="preserve">VALLE DE PILCO AMANDA</t>
  </si>
  <si>
    <t xml:space="preserve">33731681</t>
  </si>
  <si>
    <t xml:space="preserve">CERNA JUAREZ CARMEN PATRICIA</t>
  </si>
  <si>
    <t xml:space="preserve">70160340</t>
  </si>
  <si>
    <t xml:space="preserve">O432,O731</t>
  </si>
  <si>
    <t xml:space="preserve">RIVASPLATA GIL MARILYN MARCELA</t>
  </si>
  <si>
    <t xml:space="preserve">77088680</t>
  </si>
  <si>
    <t xml:space="preserve">MEDINA GUEVARA JULIA</t>
  </si>
  <si>
    <t xml:space="preserve">27400707</t>
  </si>
  <si>
    <t xml:space="preserve">R18X,K746</t>
  </si>
  <si>
    <t xml:space="preserve">SANCHEZ TARRILLO YULIZA</t>
  </si>
  <si>
    <t xml:space="preserve">76119275</t>
  </si>
  <si>
    <t xml:space="preserve">Z359,O659</t>
  </si>
  <si>
    <t xml:space="preserve">GONZALES MONTEZA ANA YOSI</t>
  </si>
  <si>
    <t xml:space="preserve">73933759</t>
  </si>
  <si>
    <t xml:space="preserve">Z359,O429,P209</t>
  </si>
  <si>
    <t xml:space="preserve">ZAGACETA MENDOZA PABLO</t>
  </si>
  <si>
    <t xml:space="preserve">33425663</t>
  </si>
  <si>
    <t xml:space="preserve">S097,S017</t>
  </si>
  <si>
    <t xml:space="preserve">DEVOLUCION DE COMBUSTIBLE A C.S. COLLONCE</t>
  </si>
  <si>
    <t xml:space="preserve">LOZANO PEDRAZA LAZARO</t>
  </si>
  <si>
    <t xml:space="preserve">43457775</t>
  </si>
  <si>
    <t xml:space="preserve">E111,K85X</t>
  </si>
  <si>
    <t xml:space="preserve">CHAVEZ GUADALUPE ALFREDO</t>
  </si>
  <si>
    <t xml:space="preserve">33798568</t>
  </si>
  <si>
    <t xml:space="preserve">I743,I10X</t>
  </si>
  <si>
    <t xml:space="preserve">SANCHEZ OCAMPO ANNY JHANELY</t>
  </si>
  <si>
    <t xml:space="preserve">73616025</t>
  </si>
  <si>
    <t xml:space="preserve">Z359,O249</t>
  </si>
  <si>
    <t xml:space="preserve">F321</t>
  </si>
  <si>
    <t xml:space="preserve">GARCIA LOPEZ CARMEN ANABEL</t>
  </si>
  <si>
    <t xml:space="preserve">63357119</t>
  </si>
  <si>
    <t xml:space="preserve">G419,G409</t>
  </si>
  <si>
    <t xml:space="preserve">FLORES DURAN ESTELITA JHANETH</t>
  </si>
  <si>
    <t xml:space="preserve">77276083</t>
  </si>
  <si>
    <t xml:space="preserve">O470</t>
  </si>
  <si>
    <t xml:space="preserve">MEDRANO TAPIA ALISSA VALERIA</t>
  </si>
  <si>
    <t xml:space="preserve">90807562</t>
  </si>
  <si>
    <t xml:space="preserve">DEVOLUCION A C.S. OMIA</t>
  </si>
  <si>
    <t xml:space="preserve">SAUCEDO LOPEZ LLANET</t>
  </si>
  <si>
    <t xml:space="preserve">73695437</t>
  </si>
  <si>
    <t xml:space="preserve">DEVOLVER EL COMBUSTIBLE AL C.S. COLLONCE</t>
  </si>
  <si>
    <t xml:space="preserve">CULQUI CULQUI TEODOCIA</t>
  </si>
  <si>
    <t xml:space="preserve">80301703</t>
  </si>
  <si>
    <t xml:space="preserve">CHAVEZ LEIVA ROMULO</t>
  </si>
  <si>
    <t xml:space="preserve">48503466</t>
  </si>
  <si>
    <t xml:space="preserve">HUAMAN HUAMAN ORFELINDA</t>
  </si>
  <si>
    <t xml:space="preserve">41836418</t>
  </si>
  <si>
    <t xml:space="preserve">O471,Z641,O628</t>
  </si>
  <si>
    <t xml:space="preserve">CULQUI PUERTA GERVACIO</t>
  </si>
  <si>
    <t xml:space="preserve">33415309</t>
  </si>
  <si>
    <t xml:space="preserve">R652,J159</t>
  </si>
  <si>
    <t xml:space="preserve">YNGA TAFUR JOSHUA JASIEL</t>
  </si>
  <si>
    <t xml:space="preserve">92734417</t>
  </si>
  <si>
    <t xml:space="preserve">J129</t>
  </si>
  <si>
    <t xml:space="preserve">BAZAN DE VIGO SULEMA</t>
  </si>
  <si>
    <t xml:space="preserve">33804274</t>
  </si>
  <si>
    <t xml:space="preserve">REPORTE DE TRASLADO DE PACIENTES SIS DEL MES DE JULIO 2025 PARA REPOSICION DE COMBUSTIBLE</t>
  </si>
  <si>
    <t xml:space="preserve">K802</t>
  </si>
  <si>
    <t xml:space="preserve">5258-2025</t>
  </si>
  <si>
    <t xml:space="preserve">ADENDA No 877-2025</t>
  </si>
  <si>
    <t xml:space="preserve">CABANILLAS INGA SHAREN BELEN</t>
  </si>
  <si>
    <t xml:space="preserve">90875009</t>
  </si>
  <si>
    <t xml:space="preserve">BUSTAMANTE HERRERA IRVING MAYCOL</t>
  </si>
  <si>
    <t xml:space="preserve">63124546</t>
  </si>
  <si>
    <t xml:space="preserve">CAMPOS VELA LUCESITA ARACELY</t>
  </si>
  <si>
    <t xml:space="preserve">71780815</t>
  </si>
  <si>
    <t xml:space="preserve">O691</t>
  </si>
  <si>
    <t xml:space="preserve">3969-2025</t>
  </si>
  <si>
    <t xml:space="preserve">AYALA HERRERA CARMEN</t>
  </si>
  <si>
    <t xml:space="preserve">80402483</t>
  </si>
  <si>
    <t xml:space="preserve">R001</t>
  </si>
  <si>
    <t xml:space="preserve">FERNANDEZ ROBLES LENTIN</t>
  </si>
  <si>
    <t xml:space="preserve">62747596</t>
  </si>
  <si>
    <t xml:space="preserve">REQUEJO FARGE ROSAS</t>
  </si>
  <si>
    <t xml:space="preserve">33412547</t>
  </si>
  <si>
    <t xml:space="preserve">K565</t>
  </si>
  <si>
    <t xml:space="preserve">5234-2025</t>
  </si>
  <si>
    <t xml:space="preserve">BACALLA VASQUEZ SECIA ELIZABETH</t>
  </si>
  <si>
    <t xml:space="preserve">92642562</t>
  </si>
  <si>
    <t xml:space="preserve">J800,J202</t>
  </si>
  <si>
    <t xml:space="preserve">OBLITAS MONTENEGRO YALET</t>
  </si>
  <si>
    <t xml:space="preserve">80797262</t>
  </si>
  <si>
    <t xml:space="preserve">J960,J516,S822</t>
  </si>
  <si>
    <t xml:space="preserve">PAREJAS GONZALES LOLIZ MEDALY</t>
  </si>
  <si>
    <t xml:space="preserve">48593644</t>
  </si>
  <si>
    <t xml:space="preserve">K810,K800,R110</t>
  </si>
  <si>
    <t xml:space="preserve">QUILO GOMEZ LUDECINDA</t>
  </si>
  <si>
    <t xml:space="preserve">42410347</t>
  </si>
  <si>
    <t xml:space="preserve">N938</t>
  </si>
  <si>
    <t xml:space="preserve">PAISIC HUAMAN JOSE ROBERTO</t>
  </si>
  <si>
    <t xml:space="preserve">33812597</t>
  </si>
  <si>
    <t xml:space="preserve">CHAMAYA PUERTA CLEMIRA</t>
  </si>
  <si>
    <t xml:space="preserve">80484377</t>
  </si>
  <si>
    <t xml:space="preserve">J129,I10X,D638</t>
  </si>
  <si>
    <t xml:space="preserve">00000147</t>
  </si>
  <si>
    <t xml:space="preserve">TAFUR LOPEZ DELINA</t>
  </si>
  <si>
    <t xml:space="preserve">80495032</t>
  </si>
  <si>
    <t xml:space="preserve">J189,I500,I10X,J848</t>
  </si>
  <si>
    <t xml:space="preserve">00000148</t>
  </si>
  <si>
    <t xml:space="preserve">ZAVALETA LOJA CINTIA PAOLA</t>
  </si>
  <si>
    <t xml:space="preserve">60636146</t>
  </si>
  <si>
    <t xml:space="preserve">O429,O809,O717</t>
  </si>
  <si>
    <t xml:space="preserve">00000151</t>
  </si>
  <si>
    <t xml:space="preserve">ALVARADO PUERTA CELITA</t>
  </si>
  <si>
    <t xml:space="preserve">33952062</t>
  </si>
  <si>
    <t xml:space="preserve">S065,S430</t>
  </si>
  <si>
    <t xml:space="preserve">00000152</t>
  </si>
  <si>
    <t xml:space="preserve">HERRERA DE LA CRUZ ABELINO</t>
  </si>
  <si>
    <t xml:space="preserve">27276649</t>
  </si>
  <si>
    <t xml:space="preserve">00000154</t>
  </si>
  <si>
    <t xml:space="preserve">LOPEZ SALAZAR GEGNER KENDI</t>
  </si>
  <si>
    <t xml:space="preserve">76085834</t>
  </si>
  <si>
    <t xml:space="preserve">00000155</t>
  </si>
  <si>
    <t xml:space="preserve">PINEDO MANANITA DIANA LUZ</t>
  </si>
  <si>
    <t xml:space="preserve">73683220</t>
  </si>
  <si>
    <t xml:space="preserve">O689</t>
  </si>
  <si>
    <t xml:space="preserve">00000156</t>
  </si>
  <si>
    <t xml:space="preserve">GRANDEZ ALVARADO NATIVIDAD</t>
  </si>
  <si>
    <t xml:space="preserve">47613290</t>
  </si>
  <si>
    <t xml:space="preserve">F412,F332,Z915</t>
  </si>
  <si>
    <t xml:space="preserve">00000157</t>
  </si>
  <si>
    <t xml:space="preserve">FERNANDEZ ROJAS JHON GENRI</t>
  </si>
  <si>
    <t xml:space="preserve">78568625</t>
  </si>
  <si>
    <t xml:space="preserve">G419,N390</t>
  </si>
  <si>
    <t xml:space="preserve">00000158</t>
  </si>
  <si>
    <t xml:space="preserve">PUERTA GRANDEZ YOANINE</t>
  </si>
  <si>
    <t xml:space="preserve">43882032</t>
  </si>
  <si>
    <t xml:space="preserve">00000160</t>
  </si>
  <si>
    <t xml:space="preserve">PEREA RODRIGUEZ DENIS CARMELA</t>
  </si>
  <si>
    <t xml:space="preserve">33942070</t>
  </si>
  <si>
    <t xml:space="preserve">K358,R104,E119</t>
  </si>
  <si>
    <t xml:space="preserve">00000161</t>
  </si>
  <si>
    <t xml:space="preserve">CALDERON LLANOS LUZ MARLENY</t>
  </si>
  <si>
    <t xml:space="preserve">46204830</t>
  </si>
  <si>
    <t xml:space="preserve">00000162</t>
  </si>
  <si>
    <t xml:space="preserve">MONTENEGRO GONZALES VICTOR</t>
  </si>
  <si>
    <t xml:space="preserve">75958214</t>
  </si>
  <si>
    <t xml:space="preserve">S099,S122</t>
  </si>
  <si>
    <t xml:space="preserve">00000163</t>
  </si>
  <si>
    <t xml:space="preserve">ALIAGA GUIOP DEYSI TEHANY</t>
  </si>
  <si>
    <t xml:space="preserve">76165043</t>
  </si>
  <si>
    <t xml:space="preserve">00000164</t>
  </si>
  <si>
    <t xml:space="preserve">MARIN BUSTAMANTE DANITZA YARDENI</t>
  </si>
  <si>
    <t xml:space="preserve">60031707</t>
  </si>
  <si>
    <t xml:space="preserve">O699</t>
  </si>
  <si>
    <t xml:space="preserve">00000165</t>
  </si>
  <si>
    <t xml:space="preserve">NOVOA TAFUR EDIHTA CONSUELO</t>
  </si>
  <si>
    <t xml:space="preserve">I500,J960,N185</t>
  </si>
  <si>
    <t xml:space="preserve">00000166</t>
  </si>
  <si>
    <t xml:space="preserve">GUEVARA VARGAS MATHIAS SEBASTIAN</t>
  </si>
  <si>
    <t xml:space="preserve">94108203</t>
  </si>
  <si>
    <t xml:space="preserve">J159,J960,N390</t>
  </si>
  <si>
    <t xml:space="preserve">00000167</t>
  </si>
  <si>
    <t xml:space="preserve">PUSCAN HUAMAN HELEN NICOL</t>
  </si>
  <si>
    <t xml:space="preserve">90775772</t>
  </si>
  <si>
    <t xml:space="preserve">J159,J960</t>
  </si>
  <si>
    <t xml:space="preserve">00000168</t>
  </si>
  <si>
    <t xml:space="preserve">HERRERA HIDALGO TAYLOR ESMID</t>
  </si>
  <si>
    <t xml:space="preserve">62133860</t>
  </si>
  <si>
    <t xml:space="preserve">S202,S223</t>
  </si>
  <si>
    <t xml:space="preserve">00000169</t>
  </si>
  <si>
    <t xml:space="preserve">MARCAS PALOMINO ELBERTINA</t>
  </si>
  <si>
    <t xml:space="preserve">46865433</t>
  </si>
  <si>
    <t xml:space="preserve">O366,O320</t>
  </si>
  <si>
    <t xml:space="preserve">00000170</t>
  </si>
  <si>
    <t xml:space="preserve">IFANTE AQUISE DONATILA</t>
  </si>
  <si>
    <t xml:space="preserve">31487852</t>
  </si>
  <si>
    <t xml:space="preserve">D509,N182</t>
  </si>
  <si>
    <t xml:space="preserve">00000149</t>
  </si>
  <si>
    <t xml:space="preserve">COTRINA LLAMOCTANTA GILMER PERCY</t>
  </si>
  <si>
    <t xml:space="preserve">76768675</t>
  </si>
  <si>
    <t xml:space="preserve">DEVOLUCION AL C.S. OMIA</t>
  </si>
  <si>
    <t xml:space="preserve">00000159</t>
  </si>
  <si>
    <t xml:space="preserve">CASANOVA REYNA MOISES VALENTINO</t>
  </si>
  <si>
    <t xml:space="preserve">11111287</t>
  </si>
  <si>
    <t xml:space="preserve">P369,E162</t>
  </si>
  <si>
    <t xml:space="preserve">DEVOLUCION C.S OMIA</t>
  </si>
  <si>
    <t xml:space="preserve">00000150</t>
  </si>
  <si>
    <t xml:space="preserve">DEVOLUCION C.S. HUAMBO</t>
  </si>
  <si>
    <t xml:space="preserve">HUAMAN CHOCTALIN KELY MEDALITH</t>
  </si>
  <si>
    <t xml:space="preserve">62258658</t>
  </si>
  <si>
    <t xml:space="preserve">W599</t>
  </si>
  <si>
    <t xml:space="preserve">ROJAS HUAMAN SOFIA</t>
  </si>
  <si>
    <t xml:space="preserve">60260431</t>
  </si>
  <si>
    <t xml:space="preserve">00000153</t>
  </si>
  <si>
    <t xml:space="preserve">PUSCAN PUERTA JHEMS KALETH</t>
  </si>
  <si>
    <t xml:space="preserve">90556625</t>
  </si>
  <si>
    <t xml:space="preserve">S069,G419</t>
  </si>
  <si>
    <t xml:space="preserve">TOCHON SANTILLAN MELITON</t>
  </si>
  <si>
    <t xml:space="preserve">33944955</t>
  </si>
  <si>
    <t xml:space="preserve">CHAVEZ VEGA JULY</t>
  </si>
  <si>
    <t xml:space="preserve">44703317</t>
  </si>
  <si>
    <t xml:space="preserve">Z359,O322</t>
  </si>
  <si>
    <t xml:space="preserve">GOMEZ MENDOZA MARISELI</t>
  </si>
  <si>
    <t xml:space="preserve">46582689</t>
  </si>
  <si>
    <t xml:space="preserve">O020,O021</t>
  </si>
  <si>
    <t xml:space="preserve">TOMANGUILLA VALLEJOS HEIDY MEDALITH</t>
  </si>
  <si>
    <t xml:space="preserve">60364474</t>
  </si>
  <si>
    <t xml:space="preserve">Z356,O48X,O365</t>
  </si>
  <si>
    <t xml:space="preserve">GUTIERREZ VILCA OLGA</t>
  </si>
  <si>
    <t xml:space="preserve">33780067</t>
  </si>
  <si>
    <t xml:space="preserve">I679,J960</t>
  </si>
  <si>
    <t xml:space="preserve">CHUQUIZUTA CHAPPA ALBERTINA</t>
  </si>
  <si>
    <t xml:space="preserve">48671326</t>
  </si>
  <si>
    <t xml:space="preserve">Z356,J90X,A419</t>
  </si>
  <si>
    <t xml:space="preserve">GUTIERREZ GUTIERREZ SENOVIO</t>
  </si>
  <si>
    <t xml:space="preserve">48779383</t>
  </si>
  <si>
    <t xml:space="preserve">5985-2025</t>
  </si>
  <si>
    <t xml:space="preserve">N°001-2025</t>
  </si>
  <si>
    <t xml:space="preserve">BARDALES RITUY LUCINDA</t>
  </si>
  <si>
    <t xml:space="preserve">33417621</t>
  </si>
  <si>
    <t xml:space="preserve">K819,K85X</t>
  </si>
  <si>
    <t xml:space="preserve">QUISPE SAYAVERDE ADAN</t>
  </si>
  <si>
    <t xml:space="preserve">45012247</t>
  </si>
  <si>
    <t xml:space="preserve">M879,A480</t>
  </si>
  <si>
    <t xml:space="preserve">RIVERA MALQUI VICTOR RAUL</t>
  </si>
  <si>
    <t xml:space="preserve">33789048</t>
  </si>
  <si>
    <t xml:space="preserve">K564</t>
  </si>
  <si>
    <t xml:space="preserve">CHUQUIZUTA RAFAEL MATIAS</t>
  </si>
  <si>
    <t xml:space="preserve">93988283</t>
  </si>
  <si>
    <t xml:space="preserve">J960,J209</t>
  </si>
  <si>
    <t xml:space="preserve">ZUTA CHIQUIZUTA JUAN</t>
  </si>
  <si>
    <t xml:space="preserve">33811535</t>
  </si>
  <si>
    <t xml:space="preserve">I679,G409</t>
  </si>
  <si>
    <t xml:space="preserve">CRUZ GUELAC JUDITH</t>
  </si>
  <si>
    <t xml:space="preserve">60349376</t>
  </si>
  <si>
    <t xml:space="preserve">G419</t>
  </si>
  <si>
    <t xml:space="preserve">CHUQUIZUTA MENDOZA MAXIMO</t>
  </si>
  <si>
    <t xml:space="preserve">48776596</t>
  </si>
  <si>
    <t xml:space="preserve">K566,R100</t>
  </si>
  <si>
    <t xml:space="preserve">RAFAEL LLANOS PATRICK STIVE</t>
  </si>
  <si>
    <t xml:space="preserve">90831139</t>
  </si>
  <si>
    <t xml:space="preserve">S501,S529</t>
  </si>
  <si>
    <t xml:space="preserve">SANTILLAN GUELAC VICTOR MANUEL</t>
  </si>
  <si>
    <t xml:space="preserve">33804547</t>
  </si>
  <si>
    <t xml:space="preserve">R103,R100</t>
  </si>
  <si>
    <t xml:space="preserve">CHOCA ROJAS MANUEL</t>
  </si>
  <si>
    <t xml:space="preserve">VELAYARCE SANTILLAN FILIZANDRO</t>
  </si>
  <si>
    <t xml:space="preserve">33791998</t>
  </si>
  <si>
    <t xml:space="preserve">S624,S697</t>
  </si>
  <si>
    <t xml:space="preserve">PINGUS BUSTOS ROSA VIRGILIA</t>
  </si>
  <si>
    <t xml:space="preserve">48916265</t>
  </si>
  <si>
    <t xml:space="preserve">S982</t>
  </si>
  <si>
    <t xml:space="preserve">REYNA BRICEÑO ANDRES</t>
  </si>
  <si>
    <t xml:space="preserve">33797877</t>
  </si>
  <si>
    <t xml:space="preserve">TOMANGUILLA CHUQUIZUTA HERMINIO</t>
  </si>
  <si>
    <t xml:space="preserve">33786981</t>
  </si>
  <si>
    <t xml:space="preserve">VERGARAY MUÑOZ KELVIN MOISES</t>
  </si>
  <si>
    <t xml:space="preserve">60031093</t>
  </si>
  <si>
    <t xml:space="preserve">S801,T135,S829</t>
  </si>
  <si>
    <t xml:space="preserve">HIDALGO MUÑOZ NATHALY DEL CARMEN</t>
  </si>
  <si>
    <t xml:space="preserve">47243873</t>
  </si>
  <si>
    <t xml:space="preserve">YNGA TORRES ADOLFINA</t>
  </si>
  <si>
    <t xml:space="preserve">33789849</t>
  </si>
  <si>
    <t xml:space="preserve">S770,S729</t>
  </si>
  <si>
    <t xml:space="preserve">DEVOLUCION C.S.TINGO</t>
  </si>
  <si>
    <t xml:space="preserve">SERVAN HUAMAN ALEX</t>
  </si>
  <si>
    <t xml:space="preserve">60253187</t>
  </si>
  <si>
    <t xml:space="preserve">K35X</t>
  </si>
  <si>
    <t xml:space="preserve">6007-2025</t>
  </si>
  <si>
    <t xml:space="preserve">877.0</t>
  </si>
  <si>
    <t xml:space="preserve">489.0</t>
  </si>
  <si>
    <t xml:space="preserve">CULQUI PEREA REYCER</t>
  </si>
  <si>
    <t xml:space="preserve">70575541</t>
  </si>
  <si>
    <t xml:space="preserve">S099,W27X</t>
  </si>
  <si>
    <t xml:space="preserve">GUAYAMIS OLIVA CELESTINO</t>
  </si>
  <si>
    <t xml:space="preserve">33422756</t>
  </si>
  <si>
    <t xml:space="preserve">S529,S009,W17X</t>
  </si>
  <si>
    <t xml:space="preserve">MORI CUSQUIPOMA EGILDA JUDITH</t>
  </si>
  <si>
    <t xml:space="preserve">47554498</t>
  </si>
  <si>
    <t xml:space="preserve">Z359,O200</t>
  </si>
  <si>
    <t xml:space="preserve">S822,S824</t>
  </si>
  <si>
    <t xml:space="preserve">HUAMAN PUERTA IABEL</t>
  </si>
  <si>
    <t xml:space="preserve">33421714</t>
  </si>
  <si>
    <t xml:space="preserve">I500,R18X</t>
  </si>
  <si>
    <t xml:space="preserve">ALTAMIRANO CHAVEZ LUZ DELDINA</t>
  </si>
  <si>
    <t xml:space="preserve">71827106</t>
  </si>
  <si>
    <t xml:space="preserve">Z348,O60X</t>
  </si>
  <si>
    <t xml:space="preserve">MASLUCAN GOÑAS RN</t>
  </si>
  <si>
    <t xml:space="preserve">11114187</t>
  </si>
  <si>
    <t xml:space="preserve">P599,P551,P369</t>
  </si>
  <si>
    <t xml:space="preserve">ZUTA ALEGRIA ABRAHAM DAVID</t>
  </si>
  <si>
    <t xml:space="preserve">62241732</t>
  </si>
  <si>
    <t xml:space="preserve">00000062</t>
  </si>
  <si>
    <t xml:space="preserve">SHEEN PACHECO JOSE MANUEL</t>
  </si>
  <si>
    <t xml:space="preserve">33732655</t>
  </si>
  <si>
    <t xml:space="preserve">S700,S73X,S729</t>
  </si>
  <si>
    <t xml:space="preserve">00000063</t>
  </si>
  <si>
    <t xml:space="preserve">HERRERA KIM RN</t>
  </si>
  <si>
    <t xml:space="preserve">11125157</t>
  </si>
  <si>
    <t xml:space="preserve">P369</t>
  </si>
  <si>
    <t xml:space="preserve">PORTOCARRERO OCAMPO ELDA ROSA</t>
  </si>
  <si>
    <t xml:space="preserve">6138654</t>
  </si>
  <si>
    <t xml:space="preserve">DELGADO DELGADO KAITLYN PATRICIA</t>
  </si>
  <si>
    <t xml:space="preserve">78095322</t>
  </si>
  <si>
    <t xml:space="preserve">K359,R100</t>
  </si>
  <si>
    <t xml:space="preserve">DEVOLUCION AL C.S. CAMPORREDONDO</t>
  </si>
  <si>
    <t xml:space="preserve">URIARTE MEDINA JACK MILLER</t>
  </si>
  <si>
    <t xml:space="preserve">61650560</t>
  </si>
  <si>
    <t xml:space="preserve">DEVOLVER COMBUSTIBLE C.S. CAMPORREDONDO</t>
  </si>
  <si>
    <t xml:space="preserve">E116</t>
  </si>
  <si>
    <t xml:space="preserve">QUISTAN DE ALVARADO JUANA</t>
  </si>
  <si>
    <t xml:space="preserve">33726098</t>
  </si>
  <si>
    <t xml:space="preserve">J960,J209,J159</t>
  </si>
  <si>
    <t xml:space="preserve">YALTA VDA DE SANTILLAN ROSA MERCEDES</t>
  </si>
  <si>
    <t xml:space="preserve">33724901</t>
  </si>
  <si>
    <t xml:space="preserve">K746,R18X,R601</t>
  </si>
  <si>
    <t xml:space="preserve">TAPIA POMPA RN</t>
  </si>
  <si>
    <t xml:space="preserve">11106632</t>
  </si>
  <si>
    <t xml:space="preserve">Z380,P221,P704,Q172</t>
  </si>
  <si>
    <t xml:space="preserve">DAVILA CHOCHABOT DIANA ESTEFANNY</t>
  </si>
  <si>
    <t xml:space="preserve">73362660</t>
  </si>
  <si>
    <t xml:space="preserve">SEGURA REGALADO NELIDA</t>
  </si>
  <si>
    <t xml:space="preserve">74446340</t>
  </si>
  <si>
    <t xml:space="preserve">Z359,O429,O234</t>
  </si>
  <si>
    <t xml:space="preserve">OBLITAS CAMPOS VICTORIA</t>
  </si>
  <si>
    <t xml:space="preserve">48333994</t>
  </si>
  <si>
    <t xml:space="preserve">N390,N10X,A419</t>
  </si>
  <si>
    <t xml:space="preserve">LEIVA SANCHEZ MARITZA</t>
  </si>
  <si>
    <t xml:space="preserve">62150302</t>
  </si>
  <si>
    <t xml:space="preserve">RODRIGUEZ CHICANA ISRAEL DAVID</t>
  </si>
  <si>
    <t xml:space="preserve">91102919</t>
  </si>
  <si>
    <t xml:space="preserve">OLIVERA SALDAÑA WILMA YANELLI</t>
  </si>
  <si>
    <t xml:space="preserve">63267623</t>
  </si>
  <si>
    <t xml:space="preserve">VASQUEZ DELGADO ANALI</t>
  </si>
  <si>
    <t xml:space="preserve">61678961</t>
  </si>
  <si>
    <t xml:space="preserve">Z359,O331</t>
  </si>
  <si>
    <t xml:space="preserve">CABRERA VASQUEZ ROSMERY LIZET</t>
  </si>
  <si>
    <t xml:space="preserve">60318114</t>
  </si>
  <si>
    <t xml:space="preserve">CHAMAYA VASQUEZ LUZ MILAGRITOS</t>
  </si>
  <si>
    <t xml:space="preserve">77440468</t>
  </si>
  <si>
    <t xml:space="preserve">O721,O711</t>
  </si>
  <si>
    <t xml:space="preserve">J960,I500</t>
  </si>
  <si>
    <t xml:space="preserve">CORONEL CIEZA JOSE PRESENTACION</t>
  </si>
  <si>
    <t xml:space="preserve">27267623</t>
  </si>
  <si>
    <t xml:space="preserve">K85X</t>
  </si>
  <si>
    <t xml:space="preserve">MONTENEGRO AGUILAR LUZ EMERITA</t>
  </si>
  <si>
    <t xml:space="preserve">44467803</t>
  </si>
  <si>
    <t xml:space="preserve">Z359,O149</t>
  </si>
  <si>
    <t xml:space="preserve">FUSTAMANTE MONTENEGRO HAYLINK XIMENA</t>
  </si>
  <si>
    <t xml:space="preserve">92858891</t>
  </si>
  <si>
    <t xml:space="preserve">T316</t>
  </si>
  <si>
    <t xml:space="preserve">DEVOLVER COMBUSTIBLE AL P.S. BUENOS AIRES</t>
  </si>
  <si>
    <t xml:space="preserve">TRUJILLO CUBAS MARDELI</t>
  </si>
  <si>
    <t xml:space="preserve">60297603</t>
  </si>
  <si>
    <t xml:space="preserve">T539</t>
  </si>
  <si>
    <t xml:space="preserve">VARGAS LA TORRE JUSTO GERMAN</t>
  </si>
  <si>
    <t xml:space="preserve">33807669</t>
  </si>
  <si>
    <t xml:space="preserve">N419</t>
  </si>
  <si>
    <t xml:space="preserve">OLASCUAGA VELASQUEZ SANTOS MADAY</t>
  </si>
  <si>
    <t xml:space="preserve">48027501</t>
  </si>
  <si>
    <t xml:space="preserve">DELGADO GARCIA SANTOS ANITA</t>
  </si>
  <si>
    <t xml:space="preserve">47809754</t>
  </si>
  <si>
    <t xml:space="preserve">MICHA SANCHEZ ALBERTO</t>
  </si>
  <si>
    <t xml:space="preserve">43886502</t>
  </si>
  <si>
    <t xml:space="preserve">LOJA MAZUELOS LOYDI</t>
  </si>
  <si>
    <t xml:space="preserve">45833684</t>
  </si>
  <si>
    <t xml:space="preserve">SIPAN PICON MARGE LIZ</t>
  </si>
  <si>
    <t xml:space="preserve">43961362</t>
  </si>
  <si>
    <t xml:space="preserve">G433,Q282</t>
  </si>
  <si>
    <t xml:space="preserve">JULCA MICHA ALFREDO</t>
  </si>
  <si>
    <t xml:space="preserve">45825379</t>
  </si>
  <si>
    <t xml:space="preserve">S641,S628</t>
  </si>
  <si>
    <t xml:space="preserve">CHAVEZ HUAMAN AMELIA</t>
  </si>
  <si>
    <t xml:space="preserve">80302422</t>
  </si>
  <si>
    <t xml:space="preserve">LOPEZ GUEVARA FANNY NORIT</t>
  </si>
  <si>
    <t xml:space="preserve">47076777</t>
  </si>
  <si>
    <t xml:space="preserve">CRUZ HUAMAN REYNALDO</t>
  </si>
  <si>
    <t xml:space="preserve">33807323</t>
  </si>
  <si>
    <t xml:space="preserve">CHAMBA SANTILLAN SEGUNDO MAXIMO</t>
  </si>
  <si>
    <t xml:space="preserve">62174067</t>
  </si>
  <si>
    <t xml:space="preserve">VASQUEZ TORREJON MELANI</t>
  </si>
  <si>
    <t xml:space="preserve">60031536</t>
  </si>
  <si>
    <t xml:space="preserve">CRUZ PINPINGOS BICTORIANO</t>
  </si>
  <si>
    <t xml:space="preserve">33807621</t>
  </si>
  <si>
    <t xml:space="preserve">W548,S818</t>
  </si>
  <si>
    <t xml:space="preserve">MICHAN LOPEZ FELICITA</t>
  </si>
  <si>
    <t xml:space="preserve">73702350</t>
  </si>
  <si>
    <t xml:space="preserve">O630</t>
  </si>
  <si>
    <t xml:space="preserve">TAFUR ALVARADO JHESICA</t>
  </si>
  <si>
    <t xml:space="preserve">46344043</t>
  </si>
  <si>
    <t xml:space="preserve">Z359.O063</t>
  </si>
  <si>
    <t xml:space="preserve">HUAMANBAL MARRUFO ABEL</t>
  </si>
  <si>
    <t xml:space="preserve">33662063</t>
  </si>
  <si>
    <t xml:space="preserve">X2091</t>
  </si>
  <si>
    <t xml:space="preserve">OLANO MARTINEZ JOSE EDILBERTO</t>
  </si>
  <si>
    <t xml:space="preserve">27662491</t>
  </si>
  <si>
    <t xml:space="preserve">ESCOBAL GALLARDO MARIA IDUVINA</t>
  </si>
  <si>
    <t xml:space="preserve">45449366</t>
  </si>
  <si>
    <t xml:space="preserve">BUSTOS LOJA ROSITA</t>
  </si>
  <si>
    <t xml:space="preserve">48864581</t>
  </si>
  <si>
    <t xml:space="preserve">REPORTE DE TRASLADO DE PACIENTES SIS DEL MES DE AGOSTO 2025 PARA REPOSICION DE COMBUSTIBLE</t>
  </si>
  <si>
    <t xml:space="preserve">ORTIZ IDROGO KAREN YAMILA</t>
  </si>
  <si>
    <t xml:space="preserve">80692089</t>
  </si>
  <si>
    <t xml:space="preserve">
ADENDA No 877-2025</t>
  </si>
  <si>
    <t xml:space="preserve">UGARTE VALLE ERIKA</t>
  </si>
  <si>
    <t xml:space="preserve">77218837</t>
  </si>
  <si>
    <t xml:space="preserve">Z359,O471,P550,D990</t>
  </si>
  <si>
    <t xml:space="preserve">CADENILLAS DELGADO MARILIN</t>
  </si>
  <si>
    <t xml:space="preserve">71653036</t>
  </si>
  <si>
    <t xml:space="preserve">Z359,O471,O234</t>
  </si>
  <si>
    <t xml:space="preserve">VALLE MAS CARMELA</t>
  </si>
  <si>
    <t xml:space="preserve">43874149</t>
  </si>
  <si>
    <t xml:space="preserve">Z355,O632,Z354</t>
  </si>
  <si>
    <t xml:space="preserve">Z349,O622</t>
  </si>
  <si>
    <t xml:space="preserve">FERNANDEZ CASTAÑEDA KARIN JHULISA</t>
  </si>
  <si>
    <t xml:space="preserve">62112476</t>
  </si>
  <si>
    <t xml:space="preserve">T819</t>
  </si>
  <si>
    <t xml:space="preserve">CASTAÑEDA CABRERA ORFELINDA</t>
  </si>
  <si>
    <t xml:space="preserve">60135433</t>
  </si>
  <si>
    <t xml:space="preserve">Z359,O629</t>
  </si>
  <si>
    <t xml:space="preserve">SAAVEDRA RAMOS LEYSI NAVANY</t>
  </si>
  <si>
    <t xml:space="preserve">75982453</t>
  </si>
  <si>
    <t xml:space="preserve">GUEVARA ALTAMIRANO NAOMI ESMERALDA</t>
  </si>
  <si>
    <t xml:space="preserve">81906532</t>
  </si>
  <si>
    <t xml:space="preserve">J960,J189,Q909</t>
  </si>
  <si>
    <t xml:space="preserve">TUESTA CARBAJAL MARELYN NICOLE</t>
  </si>
  <si>
    <t xml:space="preserve">60229598</t>
  </si>
  <si>
    <t xml:space="preserve">O998</t>
  </si>
  <si>
    <t xml:space="preserve">PINGUS ILIQUIN KEILY EDELITH</t>
  </si>
  <si>
    <t xml:space="preserve">62002537</t>
  </si>
  <si>
    <t xml:space="preserve">K564,K590</t>
  </si>
  <si>
    <t xml:space="preserve">FERNANDEZ VILCAMANGO MARIA NEIRA</t>
  </si>
  <si>
    <t xml:space="preserve">47292466</t>
  </si>
  <si>
    <t xml:space="preserve">Z349,O342</t>
  </si>
  <si>
    <t xml:space="preserve">DEVOLUCION DE COMBUSTIBLE A C.S. COCOCHO</t>
  </si>
  <si>
    <t xml:space="preserve">00000171</t>
  </si>
  <si>
    <t xml:space="preserve">LOPES MORI TEODORA</t>
  </si>
  <si>
    <t xml:space="preserve">33784767</t>
  </si>
  <si>
    <t xml:space="preserve">00000172</t>
  </si>
  <si>
    <t xml:space="preserve">FERNANDEZ NUÑEZ HOBERT ELVIS</t>
  </si>
  <si>
    <t xml:space="preserve">76581316</t>
  </si>
  <si>
    <t xml:space="preserve">K351</t>
  </si>
  <si>
    <t xml:space="preserve">00000173</t>
  </si>
  <si>
    <t xml:space="preserve">GUTIERREZ EPQUIN BEYVI</t>
  </si>
  <si>
    <t xml:space="preserve">46791254</t>
  </si>
  <si>
    <t xml:space="preserve">00000174</t>
  </si>
  <si>
    <t xml:space="preserve">ZUTA CHAVEZ MILTON</t>
  </si>
  <si>
    <t xml:space="preserve">76658434</t>
  </si>
  <si>
    <t xml:space="preserve">I609,G419</t>
  </si>
  <si>
    <t xml:space="preserve">00000175</t>
  </si>
  <si>
    <t xml:space="preserve">LOJA DE MESTANZA HORTENCIA PRIMITIVA</t>
  </si>
  <si>
    <t xml:space="preserve">33949411</t>
  </si>
  <si>
    <t xml:space="preserve">J159,A419</t>
  </si>
  <si>
    <t xml:space="preserve">00000176</t>
  </si>
  <si>
    <t xml:space="preserve">CHUQUIZUTA LLAJA ARACELY</t>
  </si>
  <si>
    <t xml:space="preserve">73587292</t>
  </si>
  <si>
    <t xml:space="preserve">00000178</t>
  </si>
  <si>
    <t xml:space="preserve">CRUZ RODRIGUEZ NESTOR RAMOS</t>
  </si>
  <si>
    <t xml:space="preserve">33947137</t>
  </si>
  <si>
    <t xml:space="preserve">S534</t>
  </si>
  <si>
    <t xml:space="preserve">00000179</t>
  </si>
  <si>
    <t xml:space="preserve">VASQUEZ CARHUAJULCA FRANCISCO</t>
  </si>
  <si>
    <t xml:space="preserve">27554292</t>
  </si>
  <si>
    <t xml:space="preserve">K400</t>
  </si>
  <si>
    <t xml:space="preserve">00000180</t>
  </si>
  <si>
    <t xml:space="preserve">SANTILLAN SALAZAR EDITH NOEMI</t>
  </si>
  <si>
    <t xml:space="preserve">76748422</t>
  </si>
  <si>
    <t xml:space="preserve">00000184</t>
  </si>
  <si>
    <t xml:space="preserve">GRANDEZ PORTOCARRERO LUIS HUMBERTO</t>
  </si>
  <si>
    <t xml:space="preserve">33944708</t>
  </si>
  <si>
    <t xml:space="preserve">A419,R02X,N189,I702</t>
  </si>
  <si>
    <t xml:space="preserve">00000185</t>
  </si>
  <si>
    <t xml:space="preserve">MUÑOZ GUEVARA ANITA MELCHORA</t>
  </si>
  <si>
    <t xml:space="preserve">45698579</t>
  </si>
  <si>
    <t xml:space="preserve">O009</t>
  </si>
  <si>
    <t xml:space="preserve">00000186</t>
  </si>
  <si>
    <t xml:space="preserve">MAS MAS VIRGILIO</t>
  </si>
  <si>
    <t xml:space="preserve">33425144</t>
  </si>
  <si>
    <t xml:space="preserve">00000187</t>
  </si>
  <si>
    <t xml:space="preserve">OLIVERA BUSTAMANTE FABRICIO CALEK</t>
  </si>
  <si>
    <t xml:space="preserve">78767726</t>
  </si>
  <si>
    <t xml:space="preserve">00000188</t>
  </si>
  <si>
    <t xml:space="preserve">LAPIZ PINEDO FLORECINDA</t>
  </si>
  <si>
    <t xml:space="preserve">43079054</t>
  </si>
  <si>
    <t xml:space="preserve">X208</t>
  </si>
  <si>
    <t xml:space="preserve">00000189</t>
  </si>
  <si>
    <t xml:space="preserve">VARGAS FARFAN ANA GABRIEL</t>
  </si>
  <si>
    <t xml:space="preserve">63038936</t>
  </si>
  <si>
    <t xml:space="preserve">R104,N385</t>
  </si>
  <si>
    <t xml:space="preserve">00000190</t>
  </si>
  <si>
    <t xml:space="preserve">JIMENEZ VILLANUEVA JHARLIN YOSVITH</t>
  </si>
  <si>
    <t xml:space="preserve">80751823</t>
  </si>
  <si>
    <t xml:space="preserve">R104,A419</t>
  </si>
  <si>
    <t xml:space="preserve">00000191</t>
  </si>
  <si>
    <t xml:space="preserve">MUÑOZ VASQUEZ ELEAZAR</t>
  </si>
  <si>
    <t xml:space="preserve">47800180</t>
  </si>
  <si>
    <t xml:space="preserve">S069,S029,H922</t>
  </si>
  <si>
    <t xml:space="preserve">00000192</t>
  </si>
  <si>
    <t xml:space="preserve">GRANDEZ LOPEZ MARCELINDA</t>
  </si>
  <si>
    <t xml:space="preserve">48887033</t>
  </si>
  <si>
    <t xml:space="preserve">00000194</t>
  </si>
  <si>
    <t xml:space="preserve">SANTILLAN LABAJOS DALILA</t>
  </si>
  <si>
    <t xml:space="preserve">46269042</t>
  </si>
  <si>
    <t xml:space="preserve">00000195</t>
  </si>
  <si>
    <t xml:space="preserve">ULISES ARISTA PEDRO </t>
  </si>
  <si>
    <t xml:space="preserve">33944095</t>
  </si>
  <si>
    <t xml:space="preserve">C169,K922,D500,11X</t>
  </si>
  <si>
    <t xml:space="preserve">00000196</t>
  </si>
  <si>
    <t xml:space="preserve">ACOSTA SANTILLAN JOSE JOSE CILO</t>
  </si>
  <si>
    <t xml:space="preserve">33944276</t>
  </si>
  <si>
    <t xml:space="preserve">E141,I10X,E878,N390</t>
  </si>
  <si>
    <t xml:space="preserve">00000177</t>
  </si>
  <si>
    <t xml:space="preserve">CHOCTALIN SOROE LUIS ALBERTO</t>
  </si>
  <si>
    <t xml:space="preserve">40432392</t>
  </si>
  <si>
    <t xml:space="preserve">K703</t>
  </si>
  <si>
    <t xml:space="preserve">DEVOLUCION DE COMBUSTIBLE AL C.S. OMIA</t>
  </si>
  <si>
    <t xml:space="preserve">00000183</t>
  </si>
  <si>
    <t xml:space="preserve">CALDERON GRANDEZ SEGUNDO EMILIANO</t>
  </si>
  <si>
    <t xml:space="preserve">33962868</t>
  </si>
  <si>
    <t xml:space="preserve">I64X,I609,R568</t>
  </si>
  <si>
    <t xml:space="preserve">ACOSTA TEJADA ROXANA</t>
  </si>
  <si>
    <t xml:space="preserve">73426619</t>
  </si>
  <si>
    <t xml:space="preserve">HUAMAN GUIOP IRMA</t>
  </si>
  <si>
    <t xml:space="preserve">73228125</t>
  </si>
  <si>
    <t xml:space="preserve">S531,S424,S520</t>
  </si>
  <si>
    <t xml:space="preserve">ALVARADO HUAMAN CLARIZA</t>
  </si>
  <si>
    <t xml:space="preserve">70126969</t>
  </si>
  <si>
    <t xml:space="preserve">D080</t>
  </si>
  <si>
    <t xml:space="preserve">CLAUDIO PUERTA EXILDA FLORIS</t>
  </si>
  <si>
    <t xml:space="preserve">60354211</t>
  </si>
  <si>
    <t xml:space="preserve">O809,Z359</t>
  </si>
  <si>
    <t xml:space="preserve">MEDINA SAAVEDRA ADELI</t>
  </si>
  <si>
    <t xml:space="preserve">60052860</t>
  </si>
  <si>
    <t xml:space="preserve">O651</t>
  </si>
  <si>
    <t xml:space="preserve">CALANGOS AGUILAR JORGE ANTONIO</t>
  </si>
  <si>
    <t xml:space="preserve">33720842</t>
  </si>
  <si>
    <t xml:space="preserve">K566,C189</t>
  </si>
  <si>
    <t xml:space="preserve">MASLUCAN DE VISALOT JUANA</t>
  </si>
  <si>
    <t xml:space="preserve">33720469</t>
  </si>
  <si>
    <t xml:space="preserve">POQUIS CUIPAL FLORDELI</t>
  </si>
  <si>
    <t xml:space="preserve">74620308</t>
  </si>
  <si>
    <t xml:space="preserve">TROGOSO ALVARADO LUZ MILA</t>
  </si>
  <si>
    <t xml:space="preserve">60397879</t>
  </si>
  <si>
    <t xml:space="preserve">R103,R100,N23X</t>
  </si>
  <si>
    <t xml:space="preserve">VELA MENDOZA MAICOL JHUNIOR</t>
  </si>
  <si>
    <t xml:space="preserve">60032136</t>
  </si>
  <si>
    <t xml:space="preserve">CUEVA OLIVARES ASHLEY NICOLE</t>
  </si>
  <si>
    <t xml:space="preserve">92819826</t>
  </si>
  <si>
    <t xml:space="preserve">CAMAN FARJE GILMER</t>
  </si>
  <si>
    <t xml:space="preserve">33417924</t>
  </si>
  <si>
    <t xml:space="preserve">I500,J80X</t>
  </si>
  <si>
    <t xml:space="preserve">HUAMAN VEGA EVELIN MARLYN</t>
  </si>
  <si>
    <t xml:space="preserve">61613704</t>
  </si>
  <si>
    <t xml:space="preserve">ATALAYA IZQUERDO FRANCISCO</t>
  </si>
  <si>
    <t xml:space="preserve">46145345</t>
  </si>
  <si>
    <t xml:space="preserve">S099,S420</t>
  </si>
  <si>
    <t xml:space="preserve">ROJAS BARDALES MANOLITH ZOILITA</t>
  </si>
  <si>
    <t xml:space="preserve">73697031</t>
  </si>
  <si>
    <t xml:space="preserve">O601,O342</t>
  </si>
  <si>
    <t xml:space="preserve">ALVITRES TERRONES SERGIO</t>
  </si>
  <si>
    <t xml:space="preserve">27165048</t>
  </si>
  <si>
    <t xml:space="preserve">ZUMAETA ALVA DERSI</t>
  </si>
  <si>
    <t xml:space="preserve">74627687</t>
  </si>
  <si>
    <t xml:space="preserve">O365</t>
  </si>
  <si>
    <t xml:space="preserve">MENDOZA DE CHUQUIZUTA ZACARIAS</t>
  </si>
  <si>
    <t xml:space="preserve">33790841</t>
  </si>
  <si>
    <t xml:space="preserve">K922,J960</t>
  </si>
  <si>
    <t xml:space="preserve">MAYLLE TRAUCO JUANITA</t>
  </si>
  <si>
    <t xml:space="preserve">42564269</t>
  </si>
  <si>
    <t xml:space="preserve">O365,O429</t>
  </si>
  <si>
    <t xml:space="preserve">CRUZ AGUILAR KATERIN LUCIA</t>
  </si>
  <si>
    <t xml:space="preserve">76627601</t>
  </si>
  <si>
    <t xml:space="preserve">MENDOZA VALLEJOS LEYDITH</t>
  </si>
  <si>
    <t xml:space="preserve">74616286</t>
  </si>
  <si>
    <t xml:space="preserve">O639,O698</t>
  </si>
  <si>
    <t xml:space="preserve">MUÑOZ RUIZ ALICIA MERCEDES</t>
  </si>
  <si>
    <t xml:space="preserve">6868752</t>
  </si>
  <si>
    <t xml:space="preserve">K250,K920</t>
  </si>
  <si>
    <t xml:space="preserve">SANTILLAN POQUIOMA RN</t>
  </si>
  <si>
    <t xml:space="preserve">11138644</t>
  </si>
  <si>
    <t xml:space="preserve">E162</t>
  </si>
  <si>
    <t xml:space="preserve">VENTURA DE CHUQUIZUTA LUCINDA</t>
  </si>
  <si>
    <t xml:space="preserve">33791543</t>
  </si>
  <si>
    <t xml:space="preserve">E86X,K564</t>
  </si>
  <si>
    <t xml:space="preserve">ZUMAETA MENDOZA RONAL JESUS</t>
  </si>
  <si>
    <t xml:space="preserve">47243933</t>
  </si>
  <si>
    <t xml:space="preserve">S648,S617</t>
  </si>
  <si>
    <t xml:space="preserve">GRANDES MENDOZA FAUSTINA</t>
  </si>
  <si>
    <t xml:space="preserve">33787101</t>
  </si>
  <si>
    <t xml:space="preserve">ROJAS ZUTA HERMELINDA</t>
  </si>
  <si>
    <t xml:space="preserve">75374962</t>
  </si>
  <si>
    <t xml:space="preserve">O200,O211</t>
  </si>
  <si>
    <t xml:space="preserve">CHAVEZ GOMEZ LIDIO</t>
  </si>
  <si>
    <t xml:space="preserve">33785537</t>
  </si>
  <si>
    <t xml:space="preserve">D649,C182</t>
  </si>
  <si>
    <t xml:space="preserve">TUESTA GUADALUPE ELITA</t>
  </si>
  <si>
    <t xml:space="preserve">46714690</t>
  </si>
  <si>
    <t xml:space="preserve">Z354</t>
  </si>
  <si>
    <t xml:space="preserve">GUEVARA TUESTA MARLENI</t>
  </si>
  <si>
    <t xml:space="preserve">33813061</t>
  </si>
  <si>
    <t xml:space="preserve">6009-2025</t>
  </si>
  <si>
    <t xml:space="preserve">CONTRATO N°001-2025</t>
  </si>
  <si>
    <t xml:space="preserve">VARGAS HUAMAN MARISA DOLORES</t>
  </si>
  <si>
    <t xml:space="preserve">46373869</t>
  </si>
  <si>
    <t xml:space="preserve">OLIVARES COTRINA YANET</t>
  </si>
  <si>
    <t xml:space="preserve">47394209</t>
  </si>
  <si>
    <t xml:space="preserve">GOMEZ ROJAS SAIDI</t>
  </si>
  <si>
    <t xml:space="preserve">2152935</t>
  </si>
  <si>
    <t xml:space="preserve">D013</t>
  </si>
  <si>
    <t xml:space="preserve">R51X,G430,J67X,G932,K568</t>
  </si>
  <si>
    <t xml:space="preserve">ROJAS GALLARDO KARIN LARISA</t>
  </si>
  <si>
    <t xml:space="preserve">48250353</t>
  </si>
  <si>
    <t xml:space="preserve">CHAVEZ CHACON DILMA</t>
  </si>
  <si>
    <t xml:space="preserve">76674213</t>
  </si>
  <si>
    <t xml:space="preserve">Z6350,O620,O990</t>
  </si>
  <si>
    <t xml:space="preserve">R51X,A010</t>
  </si>
  <si>
    <t xml:space="preserve">HUAMAN PUSCAN DILMER</t>
  </si>
  <si>
    <t xml:space="preserve">75050765</t>
  </si>
  <si>
    <t xml:space="preserve">CHAVEZ VEGA ODALIS STEFANY</t>
  </si>
  <si>
    <t xml:space="preserve">73532308</t>
  </si>
  <si>
    <t xml:space="preserve">DEVOLVER EL COMBUSTIBLE A C.S. CAMPORREDONDO</t>
  </si>
  <si>
    <t xml:space="preserve">CALDERON SANTILLAN ANA MARIA</t>
  </si>
  <si>
    <t xml:space="preserve">33950478</t>
  </si>
  <si>
    <t xml:space="preserve">F109</t>
  </si>
  <si>
    <t xml:space="preserve">R104</t>
  </si>
  <si>
    <t xml:space="preserve">00000064</t>
  </si>
  <si>
    <t xml:space="preserve">ZAGACETA ZUTA NANCY</t>
  </si>
  <si>
    <t xml:space="preserve">62425853</t>
  </si>
  <si>
    <t xml:space="preserve">Z359,O335,O90X</t>
  </si>
  <si>
    <t xml:space="preserve">00000065</t>
  </si>
  <si>
    <t xml:space="preserve">MORENO GARCIA WILLIAM</t>
  </si>
  <si>
    <t xml:space="preserve">44571231</t>
  </si>
  <si>
    <t xml:space="preserve">S660</t>
  </si>
  <si>
    <t xml:space="preserve">00000066</t>
  </si>
  <si>
    <t xml:space="preserve">CHICHIPE VARGAS KEYLI ROSAURA</t>
  </si>
  <si>
    <t xml:space="preserve">61744766</t>
  </si>
  <si>
    <t xml:space="preserve">SABEDRA ZUTA ANGEL SEGUNDO</t>
  </si>
  <si>
    <t xml:space="preserve">45715136</t>
  </si>
  <si>
    <t xml:space="preserve">S069,J690,E512</t>
  </si>
  <si>
    <t xml:space="preserve">00000068</t>
  </si>
  <si>
    <t xml:space="preserve">CORREA PERALTA LEYDI DIANA</t>
  </si>
  <si>
    <t xml:space="preserve">76741949</t>
  </si>
  <si>
    <t xml:space="preserve">00000069</t>
  </si>
  <si>
    <t xml:space="preserve">DIAZ CHUMBE JORGE LUIS</t>
  </si>
  <si>
    <t xml:space="preserve">81004054</t>
  </si>
  <si>
    <t xml:space="preserve">S069,S820,S202</t>
  </si>
  <si>
    <t xml:space="preserve">00000070</t>
  </si>
  <si>
    <t xml:space="preserve">CUIPAL DE OCAMPO MARIA MERCEDES</t>
  </si>
  <si>
    <t xml:space="preserve">33802352</t>
  </si>
  <si>
    <t xml:space="preserve">I10X,I670</t>
  </si>
  <si>
    <t xml:space="preserve">00000071</t>
  </si>
  <si>
    <t xml:space="preserve">HUAMAN TORREJON EMILIANA</t>
  </si>
  <si>
    <t xml:space="preserve">33732537</t>
  </si>
  <si>
    <t xml:space="preserve">J960,J159,N390,I60X</t>
  </si>
  <si>
    <t xml:space="preserve">FERNANDEZ PEREZ DORIS MARLI</t>
  </si>
  <si>
    <t xml:space="preserve">80815937</t>
  </si>
  <si>
    <t xml:space="preserve">GARCIA MEGO RN</t>
  </si>
  <si>
    <t xml:space="preserve">11130524</t>
  </si>
  <si>
    <t xml:space="preserve">P073,P285</t>
  </si>
  <si>
    <t xml:space="preserve">VEGA GUERRERO ANITA</t>
  </si>
  <si>
    <t xml:space="preserve">27665359</t>
  </si>
  <si>
    <t xml:space="preserve">I169,G510</t>
  </si>
  <si>
    <t xml:space="preserve">AGUILAR COLUNCHE NILSER</t>
  </si>
  <si>
    <t xml:space="preserve">46556860</t>
  </si>
  <si>
    <t xml:space="preserve">N44X</t>
  </si>
  <si>
    <t xml:space="preserve">VITON CUSMA ROSA MERY</t>
  </si>
  <si>
    <t xml:space="preserve">42409157</t>
  </si>
  <si>
    <t xml:space="preserve">Z359,O210,O234</t>
  </si>
  <si>
    <t xml:space="preserve">TARRILLO SANCHEZ DEISI ANABELI</t>
  </si>
  <si>
    <t xml:space="preserve">60155892</t>
  </si>
  <si>
    <t xml:space="preserve">Z359,O698,O368</t>
  </si>
  <si>
    <t xml:space="preserve">Z359,O360</t>
  </si>
  <si>
    <t xml:space="preserve">LOZADA RODRIGUEZ LISVED CAROL</t>
  </si>
  <si>
    <t xml:space="preserve">77128318</t>
  </si>
  <si>
    <t xml:space="preserve">Z359,O987</t>
  </si>
  <si>
    <t xml:space="preserve">YDROGO BURGA JAIME EDUARDO</t>
  </si>
  <si>
    <t xml:space="preserve">41515566</t>
  </si>
  <si>
    <t xml:space="preserve">S610</t>
  </si>
  <si>
    <t xml:space="preserve">CORDOVA SARABIA DIANA ADELAIDA</t>
  </si>
  <si>
    <t xml:space="preserve">62133580</t>
  </si>
  <si>
    <t xml:space="preserve">Z359,O332</t>
  </si>
  <si>
    <t xml:space="preserve">CABALLERO VASQUEZ LANDI NOCOL</t>
  </si>
  <si>
    <t xml:space="preserve">75836822</t>
  </si>
  <si>
    <t xml:space="preserve">Z359,O342,O368</t>
  </si>
  <si>
    <t xml:space="preserve">MAS JULCA AMIR</t>
  </si>
  <si>
    <t xml:space="preserve">94361404</t>
  </si>
  <si>
    <t xml:space="preserve">P599,P051</t>
  </si>
  <si>
    <t xml:space="preserve">SALDAÑA TUESTA LLOSELYN HERMELITA</t>
  </si>
  <si>
    <t xml:space="preserve">72123548</t>
  </si>
  <si>
    <t xml:space="preserve">HORNA RODRIGO JHORVIN GAEL</t>
  </si>
  <si>
    <t xml:space="preserve">92553366</t>
  </si>
  <si>
    <t xml:space="preserve">CHAVEZ VARGAS JESUS</t>
  </si>
  <si>
    <t xml:space="preserve">48947296</t>
  </si>
  <si>
    <t xml:space="preserve">I672</t>
  </si>
  <si>
    <t xml:space="preserve">SERBAN CHAVEZ GIL HUMBERTO</t>
  </si>
  <si>
    <t xml:space="preserve">62198558</t>
  </si>
  <si>
    <t xml:space="preserve">CHAMAY POMATANTA YOIDER YOAN</t>
  </si>
  <si>
    <t xml:space="preserve">93564481</t>
  </si>
  <si>
    <t xml:space="preserve">T300</t>
  </si>
  <si>
    <t xml:space="preserve">VELASQUEZ PEREIRA MODESTO</t>
  </si>
  <si>
    <t xml:space="preserve">33807220</t>
  </si>
  <si>
    <t xml:space="preserve">LOZANO VARGAS OLIVER ANDRE</t>
  </si>
  <si>
    <t xml:space="preserve">94261914</t>
  </si>
  <si>
    <t xml:space="preserve">DE LA CRUZ  LUCANA LLENINSON</t>
  </si>
  <si>
    <t xml:space="preserve">63396710</t>
  </si>
  <si>
    <t xml:space="preserve">F230</t>
  </si>
  <si>
    <t xml:space="preserve">VARGAS ZAGACETA EDSON DANILO</t>
  </si>
  <si>
    <t xml:space="preserve">60032708</t>
  </si>
  <si>
    <t xml:space="preserve">F323</t>
  </si>
  <si>
    <t xml:space="preserve">VELASQUEZ ROMERO MAYLLURI SAYURI</t>
  </si>
  <si>
    <t xml:space="preserve">63396733</t>
  </si>
  <si>
    <t xml:space="preserve">ZAGACETA CHAVEZ JAIR</t>
  </si>
  <si>
    <t xml:space="preserve">73562042</t>
  </si>
  <si>
    <t xml:space="preserve">S626</t>
  </si>
  <si>
    <t xml:space="preserve">BARBOZA CHAVEZ IRMA YASELY</t>
  </si>
  <si>
    <t xml:space="preserve">80813091</t>
  </si>
  <si>
    <t xml:space="preserve">S800</t>
  </si>
  <si>
    <t xml:space="preserve">GARRIDO PORTOCARRERO MARBELLE BELEN</t>
  </si>
  <si>
    <t xml:space="preserve">91364091</t>
  </si>
  <si>
    <t xml:space="preserve">S069,T07X</t>
  </si>
  <si>
    <t xml:space="preserve">JULCA ILATOMA MARIBEL</t>
  </si>
  <si>
    <t xml:space="preserve">48767705</t>
  </si>
  <si>
    <t xml:space="preserve">Z390</t>
  </si>
  <si>
    <t xml:space="preserve">I110</t>
  </si>
  <si>
    <t xml:space="preserve">EPEQUIN BUSTAMANTE ROBER TOMAS</t>
  </si>
  <si>
    <t xml:space="preserve">42254449</t>
  </si>
  <si>
    <t xml:space="preserve">R100,S301</t>
  </si>
  <si>
    <t xml:space="preserve">OCMIN BARRERA JULIO GUSTAVO</t>
  </si>
  <si>
    <t xml:space="preserve">33421792</t>
  </si>
  <si>
    <t xml:space="preserve">PAIMA AYAMBO MARVITA TEZALIA</t>
  </si>
  <si>
    <t xml:space="preserve">48394903</t>
  </si>
  <si>
    <t xml:space="preserve">REPORTE DE TRASLADO DE PACIENTES SIS DEL MES DE SETIEMBRE 2025 PARA REPOSICION DE COMBUSTIBLE</t>
  </si>
  <si>
    <t xml:space="preserve">VASQUEZ DIAZ ANSELMA</t>
  </si>
  <si>
    <t xml:space="preserve">45748568</t>
  </si>
  <si>
    <t xml:space="preserve">CORTEZ SIFUENTES FIDELINA</t>
  </si>
  <si>
    <t xml:space="preserve">71813104</t>
  </si>
  <si>
    <t xml:space="preserve">SILVA TORRES GABY</t>
  </si>
  <si>
    <t xml:space="preserve">71815796</t>
  </si>
  <si>
    <t xml:space="preserve">O369,O699</t>
  </si>
  <si>
    <t xml:space="preserve">GOICOCHEA ESTELA ANGELITA</t>
  </si>
  <si>
    <t xml:space="preserve">75505651</t>
  </si>
  <si>
    <t xml:space="preserve">Z348,O630</t>
  </si>
  <si>
    <t xml:space="preserve">DEVOLUCION COMBUSTIBLE AL C.S. COCOCHO</t>
  </si>
  <si>
    <t xml:space="preserve">00000197</t>
  </si>
  <si>
    <t xml:space="preserve">CASTILLO LOJA JANETH</t>
  </si>
  <si>
    <t xml:space="preserve">44154537</t>
  </si>
  <si>
    <t xml:space="preserve">00000198</t>
  </si>
  <si>
    <t xml:space="preserve">CALDERON FERNANDEZ SEGUNDO EUCEBIO</t>
  </si>
  <si>
    <t xml:space="preserve">33950491</t>
  </si>
  <si>
    <t xml:space="preserve">J91X</t>
  </si>
  <si>
    <t xml:space="preserve">00000199</t>
  </si>
  <si>
    <t xml:space="preserve">MARIN HUAMAN NELITA SONALI</t>
  </si>
  <si>
    <t xml:space="preserve">73448831</t>
  </si>
  <si>
    <t xml:space="preserve">O324,O335,O429</t>
  </si>
  <si>
    <t xml:space="preserve">00000200</t>
  </si>
  <si>
    <t xml:space="preserve">LOZANO COTRINA MARIO ANTONIO</t>
  </si>
  <si>
    <t xml:space="preserve">33951397</t>
  </si>
  <si>
    <t xml:space="preserve">J960,Y95X,N390</t>
  </si>
  <si>
    <t xml:space="preserve">00000202</t>
  </si>
  <si>
    <t xml:space="preserve">URBINA VARGAS JHEISON</t>
  </si>
  <si>
    <t xml:space="preserve">61656010</t>
  </si>
  <si>
    <t xml:space="preserve">00000203</t>
  </si>
  <si>
    <t xml:space="preserve">VASQUEZ RUIBIO EULISES</t>
  </si>
  <si>
    <t xml:space="preserve">74433390</t>
  </si>
  <si>
    <t xml:space="preserve">S578</t>
  </si>
  <si>
    <t xml:space="preserve">00000204</t>
  </si>
  <si>
    <t xml:space="preserve">VASQUEZ HUAMAN JASIEL</t>
  </si>
  <si>
    <t xml:space="preserve">60636109</t>
  </si>
  <si>
    <t xml:space="preserve">00000205</t>
  </si>
  <si>
    <t xml:space="preserve">PINEDO TRIGOSO VDA DE TRAUCO ASUNCIONA </t>
  </si>
  <si>
    <t xml:space="preserve">33949570</t>
  </si>
  <si>
    <t xml:space="preserve">00000206</t>
  </si>
  <si>
    <t xml:space="preserve">CALDERON CHUMBE PIERO STEFANO</t>
  </si>
  <si>
    <t xml:space="preserve">93561821</t>
  </si>
  <si>
    <t xml:space="preserve">R104,K561,A09X</t>
  </si>
  <si>
    <t xml:space="preserve">00000207</t>
  </si>
  <si>
    <t xml:space="preserve">ARISTA ARISTA NIÑA ANGELICA</t>
  </si>
  <si>
    <t xml:space="preserve">33948462</t>
  </si>
  <si>
    <t xml:space="preserve">E142,N390</t>
  </si>
  <si>
    <t xml:space="preserve">00000208</t>
  </si>
  <si>
    <t xml:space="preserve">TRUJILLO VALQUI JUSTO</t>
  </si>
  <si>
    <t xml:space="preserve">33944562</t>
  </si>
  <si>
    <t xml:space="preserve">D509,C61X,M069</t>
  </si>
  <si>
    <t xml:space="preserve">00000209</t>
  </si>
  <si>
    <t xml:space="preserve">ZELADA RIVA ARCENIO</t>
  </si>
  <si>
    <t xml:space="preserve">33946967</t>
  </si>
  <si>
    <t xml:space="preserve">S069,S021</t>
  </si>
  <si>
    <t xml:space="preserve">00000210</t>
  </si>
  <si>
    <t xml:space="preserve">O630,O142</t>
  </si>
  <si>
    <t xml:space="preserve">00000211</t>
  </si>
  <si>
    <t xml:space="preserve">RAMOS MEDINA NELVI MARITA</t>
  </si>
  <si>
    <t xml:space="preserve">44019999</t>
  </si>
  <si>
    <t xml:space="preserve">O441</t>
  </si>
  <si>
    <t xml:space="preserve">00000212</t>
  </si>
  <si>
    <t xml:space="preserve">ESTELA TACILLA JOSE SHILMER</t>
  </si>
  <si>
    <t xml:space="preserve">48775153</t>
  </si>
  <si>
    <t xml:space="preserve">T543,R104,K920</t>
  </si>
  <si>
    <t xml:space="preserve">00000213</t>
  </si>
  <si>
    <t xml:space="preserve">YRIGOIN BUSTAMANTE ALBINA CRUZ</t>
  </si>
  <si>
    <t xml:space="preserve">71628253</t>
  </si>
  <si>
    <t xml:space="preserve">K359,R11X,R104,N390</t>
  </si>
  <si>
    <t xml:space="preserve">00000214</t>
  </si>
  <si>
    <t xml:space="preserve">ROJAS RODRIGUEZ MARIA DOMITILA</t>
  </si>
  <si>
    <t xml:space="preserve">49053254</t>
  </si>
  <si>
    <t xml:space="preserve">E111,I639,J690</t>
  </si>
  <si>
    <t xml:space="preserve">00000215</t>
  </si>
  <si>
    <t xml:space="preserve">MAMANI SILVA ARIANA FABIOLA</t>
  </si>
  <si>
    <t xml:space="preserve">91644654</t>
  </si>
  <si>
    <t xml:space="preserve">00000217</t>
  </si>
  <si>
    <t xml:space="preserve">VELA CUBAS JHOVANY</t>
  </si>
  <si>
    <t xml:space="preserve">60526366</t>
  </si>
  <si>
    <t xml:space="preserve">F412</t>
  </si>
  <si>
    <t xml:space="preserve">00000218</t>
  </si>
  <si>
    <t xml:space="preserve">VARGAS VALQUI LEYDY SADIT</t>
  </si>
  <si>
    <t xml:space="preserve">60032654</t>
  </si>
  <si>
    <t xml:space="preserve">00000219</t>
  </si>
  <si>
    <t xml:space="preserve">LOZANO COLLAZOS LAUNNY JHANELL</t>
  </si>
  <si>
    <t xml:space="preserve">78167496</t>
  </si>
  <si>
    <t xml:space="preserve">N835,N83,R104,N390</t>
  </si>
  <si>
    <t xml:space="preserve">00000220</t>
  </si>
  <si>
    <t xml:space="preserve">VARGAS PORTOCARRERO ANGELES AURORA</t>
  </si>
  <si>
    <t xml:space="preserve">44693685</t>
  </si>
  <si>
    <t xml:space="preserve">O429,O234</t>
  </si>
  <si>
    <t xml:space="preserve">00000221</t>
  </si>
  <si>
    <t xml:space="preserve">PUSCAN PUIQUIN ROSA VICTORIA</t>
  </si>
  <si>
    <t xml:space="preserve">33961924</t>
  </si>
  <si>
    <t xml:space="preserve">N939,N851,N390,Z320</t>
  </si>
  <si>
    <t xml:space="preserve">00000222</t>
  </si>
  <si>
    <t xml:space="preserve">SANTILLAN VARGAS HOMERO</t>
  </si>
  <si>
    <t xml:space="preserve">33949429</t>
  </si>
  <si>
    <t xml:space="preserve">I634,I490,I10X,R11X</t>
  </si>
  <si>
    <t xml:space="preserve">00000223</t>
  </si>
  <si>
    <t xml:space="preserve">BOBADILLA HUAMAN LIAN IZAC</t>
  </si>
  <si>
    <t xml:space="preserve">93354749</t>
  </si>
  <si>
    <t xml:space="preserve">R560,G409,T175,A010</t>
  </si>
  <si>
    <t xml:space="preserve">00000224</t>
  </si>
  <si>
    <t xml:space="preserve">GRANDES GRANDES ROMELIO</t>
  </si>
  <si>
    <t xml:space="preserve">33948077</t>
  </si>
  <si>
    <t xml:space="preserve">S809</t>
  </si>
  <si>
    <t xml:space="preserve">00000216</t>
  </si>
  <si>
    <t xml:space="preserve">HANS SCHLEIFFER</t>
  </si>
  <si>
    <t xml:space="preserve">1960971</t>
  </si>
  <si>
    <t xml:space="preserve">I633,I10X,J690</t>
  </si>
  <si>
    <t xml:space="preserve">DEVOLVER COMBUSTIBLE AL C.S. HUAMBO</t>
  </si>
  <si>
    <t xml:space="preserve">00000201</t>
  </si>
  <si>
    <t xml:space="preserve">RODRIGUEZ NOVOA CONSTANTINO</t>
  </si>
  <si>
    <t xml:space="preserve">33953440</t>
  </si>
  <si>
    <t xml:space="preserve">M870,J960,R502</t>
  </si>
  <si>
    <t xml:space="preserve">CASTRO RODRIGUEZ CLORILDA</t>
  </si>
  <si>
    <t xml:space="preserve">47940395</t>
  </si>
  <si>
    <t xml:space="preserve">O210</t>
  </si>
  <si>
    <t xml:space="preserve">OCAMPO ARISTA MARIBEL DE JESUS</t>
  </si>
  <si>
    <t xml:space="preserve">47580780</t>
  </si>
  <si>
    <t xml:space="preserve">O369</t>
  </si>
  <si>
    <t xml:space="preserve">PUERTA FERNANDEZ WISNLEY</t>
  </si>
  <si>
    <t xml:space="preserve">74359244</t>
  </si>
  <si>
    <t xml:space="preserve">S420</t>
  </si>
  <si>
    <t xml:space="preserve">PUSCAN HUAMAN MAURA</t>
  </si>
  <si>
    <t xml:space="preserve">33416919</t>
  </si>
  <si>
    <t xml:space="preserve">N10X,K359</t>
  </si>
  <si>
    <t xml:space="preserve">ARCE SOPLA MELY JHENS</t>
  </si>
  <si>
    <t xml:space="preserve">60304185</t>
  </si>
  <si>
    <t xml:space="preserve">O468,O450</t>
  </si>
  <si>
    <t xml:space="preserve">VISALOT CHOCHABOT MELISA</t>
  </si>
  <si>
    <t xml:space="preserve">73544922</t>
  </si>
  <si>
    <t xml:space="preserve">BURGA ROJAS KATHERIN FABIOLA</t>
  </si>
  <si>
    <t xml:space="preserve">60338467</t>
  </si>
  <si>
    <t xml:space="preserve">K37X,B282</t>
  </si>
  <si>
    <t xml:space="preserve">HUAMAN HUAMAN DANIEL</t>
  </si>
  <si>
    <t xml:space="preserve">33416278</t>
  </si>
  <si>
    <t xml:space="preserve">J90X,J13X,I110,I10X</t>
  </si>
  <si>
    <t xml:space="preserve">HUAMAN HUAMAN JUANA BAUTISTA</t>
  </si>
  <si>
    <t xml:space="preserve">80301705</t>
  </si>
  <si>
    <t xml:space="preserve">J441</t>
  </si>
  <si>
    <t xml:space="preserve">ROJAS LLAJA JHEMEYLITH</t>
  </si>
  <si>
    <t xml:space="preserve">60708337</t>
  </si>
  <si>
    <t xml:space="preserve">DE LA CRUZ CHUMBE, JUAN BAUTISTA</t>
  </si>
  <si>
    <t xml:space="preserve">72238376</t>
  </si>
  <si>
    <t xml:space="preserve">VALQUI GUELAC IRAIDA</t>
  </si>
  <si>
    <t xml:space="preserve">60349373</t>
  </si>
  <si>
    <t xml:space="preserve">GOMEZ YNGA MATEO</t>
  </si>
  <si>
    <t xml:space="preserve">33793229</t>
  </si>
  <si>
    <t xml:space="preserve">MENDOZA CHUQUIZUTA BERTA</t>
  </si>
  <si>
    <t xml:space="preserve">33808515</t>
  </si>
  <si>
    <t xml:space="preserve">HUAMAN DE MEDINA MARIA ASUNTA</t>
  </si>
  <si>
    <t xml:space="preserve">33417527</t>
  </si>
  <si>
    <t xml:space="preserve">LLANOS ROCHA ZENAIDA</t>
  </si>
  <si>
    <t xml:space="preserve">48353633</t>
  </si>
  <si>
    <t xml:space="preserve">R101,N835,K359</t>
  </si>
  <si>
    <t xml:space="preserve">SANTILLAN MARIN YUNSU YAMILETH</t>
  </si>
  <si>
    <t xml:space="preserve">78545006</t>
  </si>
  <si>
    <t xml:space="preserve">T638,M796</t>
  </si>
  <si>
    <t xml:space="preserve">TRUJILLO REYNA ELIAN GISSELA</t>
  </si>
  <si>
    <t xml:space="preserve">74607476</t>
  </si>
  <si>
    <t xml:space="preserve">CHUQUIZUTA COMECA LIA KALESSY SOFIA</t>
  </si>
  <si>
    <t xml:space="preserve">93333355</t>
  </si>
  <si>
    <t xml:space="preserve">J969,J159</t>
  </si>
  <si>
    <t xml:space="preserve">JARA PEREZ CALIXTO</t>
  </si>
  <si>
    <t xml:space="preserve">80347512</t>
  </si>
  <si>
    <t xml:space="preserve">S092,S055</t>
  </si>
  <si>
    <t xml:space="preserve">ANGELES CACHAY CARMELA</t>
  </si>
  <si>
    <t xml:space="preserve">33404777</t>
  </si>
  <si>
    <t xml:space="preserve">S324,S730</t>
  </si>
  <si>
    <t xml:space="preserve">CHAVEZ ZUTA SILVIA</t>
  </si>
  <si>
    <t xml:space="preserve">47034651</t>
  </si>
  <si>
    <t xml:space="preserve">O339,O366</t>
  </si>
  <si>
    <t xml:space="preserve">QUINTANA OLIVARES UDBELINDA</t>
  </si>
  <si>
    <t xml:space="preserve">44226513</t>
  </si>
  <si>
    <t xml:space="preserve">P95X,O364</t>
  </si>
  <si>
    <t xml:space="preserve">REVILLA MENDOZA RAMON</t>
  </si>
  <si>
    <t xml:space="preserve">70198493</t>
  </si>
  <si>
    <t xml:space="preserve">LATORRE YALTA, TOMAS FLORES</t>
  </si>
  <si>
    <t xml:space="preserve">45316120</t>
  </si>
  <si>
    <t xml:space="preserve">GARRIDO MONTENEGRO RAFAEL</t>
  </si>
  <si>
    <t xml:space="preserve">33794114</t>
  </si>
  <si>
    <t xml:space="preserve">ZUMAETA TRIGOSO FRANCISCO JABIER</t>
  </si>
  <si>
    <t xml:space="preserve">33794088</t>
  </si>
  <si>
    <t xml:space="preserve">DEZA MARIN MARIA ELENA</t>
  </si>
  <si>
    <t xml:space="preserve">48420227</t>
  </si>
  <si>
    <t xml:space="preserve">Z348,O342</t>
  </si>
  <si>
    <t xml:space="preserve">CONGO HUALANCHO MARICEL</t>
  </si>
  <si>
    <t xml:space="preserve">73048259</t>
  </si>
  <si>
    <t xml:space="preserve">TORRES ARAUJO CARLA MIRIAM</t>
  </si>
  <si>
    <t xml:space="preserve">75076148</t>
  </si>
  <si>
    <t xml:space="preserve">CHUAN CARRANZA ARMANDO</t>
  </si>
  <si>
    <t xml:space="preserve">33951956</t>
  </si>
  <si>
    <t xml:space="preserve">S61X</t>
  </si>
  <si>
    <t xml:space="preserve">J960,E117,N189</t>
  </si>
  <si>
    <t xml:space="preserve">CHAVEZ DE QUIROS CECILIA</t>
  </si>
  <si>
    <t xml:space="preserve">33728492</t>
  </si>
  <si>
    <t xml:space="preserve">E649</t>
  </si>
  <si>
    <t xml:space="preserve">QUISTAN RAMOS RN</t>
  </si>
  <si>
    <t xml:space="preserve">11154570</t>
  </si>
  <si>
    <t xml:space="preserve">MAS ALVA DANINA</t>
  </si>
  <si>
    <t xml:space="preserve">44788791</t>
  </si>
  <si>
    <t xml:space="preserve">O16X,O140</t>
  </si>
  <si>
    <t xml:space="preserve">CORREA GUELAC SAYDA EDITH</t>
  </si>
  <si>
    <t xml:space="preserve">77905513</t>
  </si>
  <si>
    <t xml:space="preserve">CHUQUIMANGO TERRONES AURICIO</t>
  </si>
  <si>
    <t xml:space="preserve">27255852</t>
  </si>
  <si>
    <t xml:space="preserve">A419,J969,J189</t>
  </si>
  <si>
    <t xml:space="preserve">NAVARRO TORREJON RENE</t>
  </si>
  <si>
    <t xml:space="preserve">9616350</t>
  </si>
  <si>
    <t xml:space="preserve">SANCHEZ ZUTA ELIANIT</t>
  </si>
  <si>
    <t xml:space="preserve">78970104</t>
  </si>
  <si>
    <t xml:space="preserve">20/09/0258</t>
  </si>
  <si>
    <t xml:space="preserve">CHASQUIBOL DOLIG EFRAIN</t>
  </si>
  <si>
    <t xml:space="preserve">24252970</t>
  </si>
  <si>
    <t xml:space="preserve">K746,K659,R180</t>
  </si>
  <si>
    <t xml:space="preserve">QUISPE SALDAÑA EDELINA</t>
  </si>
  <si>
    <t xml:space="preserve">75726326</t>
  </si>
  <si>
    <t xml:space="preserve">Z359,O300</t>
  </si>
  <si>
    <t xml:space="preserve">JAMBO EUGENIO BERTILA</t>
  </si>
  <si>
    <t xml:space="preserve">41566130</t>
  </si>
  <si>
    <t xml:space="preserve">IRIGOIN HERRERA CELIA</t>
  </si>
  <si>
    <t xml:space="preserve">47009140</t>
  </si>
  <si>
    <t xml:space="preserve">SAMANIEGO SHIMBUCA LUZ MARIA</t>
  </si>
  <si>
    <t xml:space="preserve">75937609</t>
  </si>
  <si>
    <t xml:space="preserve">Z359,</t>
  </si>
  <si>
    <t xml:space="preserve">VALLE ARCE GILMER</t>
  </si>
  <si>
    <t xml:space="preserve">33731482</t>
  </si>
  <si>
    <t xml:space="preserve">I679,J690</t>
  </si>
  <si>
    <t xml:space="preserve">MONDRAGON HEREDIA BRENDA ESTEFANI</t>
  </si>
  <si>
    <t xml:space="preserve">79459573</t>
  </si>
  <si>
    <t xml:space="preserve">R251,G409</t>
  </si>
  <si>
    <t xml:space="preserve">VASQUEZ GUEVARA ROSA</t>
  </si>
  <si>
    <t xml:space="preserve">48809979</t>
  </si>
  <si>
    <t xml:space="preserve">O689,O48X</t>
  </si>
  <si>
    <t xml:space="preserve">MEGO CARUAJULCA AMELITA</t>
  </si>
  <si>
    <t xml:space="preserve">33741306</t>
  </si>
  <si>
    <t xml:space="preserve">S224,S223,S628</t>
  </si>
  <si>
    <t xml:space="preserve">COLLANTES OBLITAS ADAEL</t>
  </si>
  <si>
    <t xml:space="preserve">94116304</t>
  </si>
  <si>
    <t xml:space="preserve">TERRONES ORTIZ PEDRO</t>
  </si>
  <si>
    <t xml:space="preserve">33738164</t>
  </si>
  <si>
    <t xml:space="preserve">S324</t>
  </si>
  <si>
    <t xml:space="preserve">OLANO GUEVARA ELOY</t>
  </si>
  <si>
    <t xml:space="preserve">44999396</t>
  </si>
  <si>
    <t xml:space="preserve">VELA HERRERA YARITA LISETH</t>
  </si>
  <si>
    <t xml:space="preserve">93981661</t>
  </si>
  <si>
    <t xml:space="preserve">J159,J969</t>
  </si>
  <si>
    <t xml:space="preserve">MESTANZA VARGAS MERY</t>
  </si>
  <si>
    <t xml:space="preserve">74566629</t>
  </si>
  <si>
    <t xml:space="preserve">O230,O470</t>
  </si>
  <si>
    <t xml:space="preserve">LAURENCIO GARCIA LUIS ANGEL</t>
  </si>
  <si>
    <t xml:space="preserve">93822895</t>
  </si>
  <si>
    <t xml:space="preserve">J969</t>
  </si>
  <si>
    <t xml:space="preserve">ECHAIZ MENDOZA JOSE LUIS</t>
  </si>
  <si>
    <t xml:space="preserve">77813795</t>
  </si>
  <si>
    <t xml:space="preserve">S670,S925</t>
  </si>
  <si>
    <t xml:space="preserve">RAMIRES RAMOS JUSTINIANO</t>
  </si>
  <si>
    <t xml:space="preserve">R33X</t>
  </si>
  <si>
    <t xml:space="preserve">CHAVEZ DELGADO JORGE LUIS</t>
  </si>
  <si>
    <t xml:space="preserve">61645330</t>
  </si>
  <si>
    <t xml:space="preserve">K403,S302,N459</t>
  </si>
  <si>
    <t xml:space="preserve">DEVOLUCION DE COMBUSTIBLE AL C.S. COLLONCE</t>
  </si>
  <si>
    <t xml:space="preserve">ACUÑA DAMACEN NALLU</t>
  </si>
  <si>
    <t xml:space="preserve">77689648</t>
  </si>
  <si>
    <t xml:space="preserve">OYARCE VARGAS EDUARDO</t>
  </si>
  <si>
    <t xml:space="preserve">33784420</t>
  </si>
  <si>
    <t xml:space="preserve">J690</t>
  </si>
  <si>
    <t xml:space="preserve">OYARCE CHAVEZ ELIZA TRINIDAD</t>
  </si>
  <si>
    <t xml:space="preserve">47205993</t>
  </si>
  <si>
    <t xml:space="preserve">CHANTA NAYRA ROGELIA</t>
  </si>
  <si>
    <t xml:space="preserve">33962231</t>
  </si>
  <si>
    <t xml:space="preserve">R568,I10X,I639</t>
  </si>
  <si>
    <t xml:space="preserve">DEVOLVER EL COMBUSTIBLE AL C.S. OMIA</t>
  </si>
  <si>
    <t xml:space="preserve">R560,G409,T175</t>
  </si>
  <si>
    <t xml:space="preserve">REPORTE DE TRASLADO DE PACIENTES SIS DEL MES DE OCTUBRE 2025 PARA REPOSICION DE COMBUSTIBLE</t>
  </si>
  <si>
    <t xml:space="preserve">RUIZ TAPIA NOE</t>
  </si>
  <si>
    <t xml:space="preserve">40051144</t>
  </si>
  <si>
    <t xml:space="preserve">DEVOLVER AL C.S. COCOBAMBA</t>
  </si>
  <si>
    <t xml:space="preserve">LOBATO FERNANDEZ OSCAR DEMETRIO</t>
  </si>
  <si>
    <t xml:space="preserve">33798656</t>
  </si>
  <si>
    <t xml:space="preserve">J128,A419</t>
  </si>
  <si>
    <t xml:space="preserve">DEVOLVER A COCOCHO</t>
  </si>
  <si>
    <t xml:space="preserve">GONZALES GAONA EDILBERTO</t>
  </si>
  <si>
    <t xml:space="preserve">27746035</t>
  </si>
  <si>
    <t xml:space="preserve">DEVOLVER EL COMBUSTIBLE AL C.S. COCOCHO</t>
  </si>
  <si>
    <t xml:space="preserve">ZAMORA PELAEZ EXIQUEL</t>
  </si>
  <si>
    <t xml:space="preserve">33412405</t>
  </si>
  <si>
    <t xml:space="preserve">H402,I10X</t>
  </si>
  <si>
    <t xml:space="preserve">PULCE POQUIOMA MONICA MARIA</t>
  </si>
  <si>
    <t xml:space="preserve">77059820</t>
  </si>
  <si>
    <t xml:space="preserve">O200,O034</t>
  </si>
  <si>
    <t xml:space="preserve">6090-2025</t>
  </si>
  <si>
    <t xml:space="preserve">NIÑO CHUQUIPATA JUAN</t>
  </si>
  <si>
    <t xml:space="preserve">33783721</t>
  </si>
  <si>
    <t xml:space="preserve">J969,J13X</t>
  </si>
  <si>
    <t xml:space="preserve">VASQUEZ FLORES MEDALY</t>
  </si>
  <si>
    <t xml:space="preserve">76749169</t>
  </si>
  <si>
    <t xml:space="preserve">Z359,P95X</t>
  </si>
  <si>
    <t xml:space="preserve">PERALTA RODRIGUEZ LISBETH JHOVANI</t>
  </si>
  <si>
    <t xml:space="preserve">76393656</t>
  </si>
  <si>
    <t xml:space="preserve">Z359,O420</t>
  </si>
  <si>
    <t xml:space="preserve">SAUCEDO ALVA KELLY</t>
  </si>
  <si>
    <t xml:space="preserve">40910994</t>
  </si>
  <si>
    <t xml:space="preserve">AGUILAR PAREDES DELIVETH</t>
  </si>
  <si>
    <t xml:space="preserve">75192562</t>
  </si>
  <si>
    <t xml:space="preserve">Z359,O459,O468</t>
  </si>
  <si>
    <t xml:space="preserve">BAZAN ESCOBEDO MARIANO JESUS</t>
  </si>
  <si>
    <t xml:space="preserve">33423614</t>
  </si>
  <si>
    <t xml:space="preserve">DEVOLVER EL COMBUSTIBLE A C.S. YERBABUENA</t>
  </si>
  <si>
    <t xml:space="preserve">00000225</t>
  </si>
  <si>
    <t xml:space="preserve">TAFUR CISNEROS JOSE FIDEL</t>
  </si>
  <si>
    <t xml:space="preserve">33941769</t>
  </si>
  <si>
    <t xml:space="preserve">D649,K625,C140</t>
  </si>
  <si>
    <t xml:space="preserve">00000226</t>
  </si>
  <si>
    <t xml:space="preserve">NOVOA TAFUR ABEL</t>
  </si>
  <si>
    <t xml:space="preserve">33951696</t>
  </si>
  <si>
    <t xml:space="preserve">K922,J690,J960,N19X</t>
  </si>
  <si>
    <t xml:space="preserve">00000227</t>
  </si>
  <si>
    <t xml:space="preserve">TOLEDO OCAMPO MATEO THIAGO</t>
  </si>
  <si>
    <t xml:space="preserve">94269629</t>
  </si>
  <si>
    <t xml:space="preserve">J219</t>
  </si>
  <si>
    <t xml:space="preserve">00000228</t>
  </si>
  <si>
    <t xml:space="preserve">GONGORA RUIZ ELIAS</t>
  </si>
  <si>
    <t xml:space="preserve">43123548</t>
  </si>
  <si>
    <t xml:space="preserve">S824</t>
  </si>
  <si>
    <t xml:space="preserve">00000229</t>
  </si>
  <si>
    <t xml:space="preserve">PEREYRA CHAVEZ MAICOL ALEXANDER</t>
  </si>
  <si>
    <t xml:space="preserve">47526433</t>
  </si>
  <si>
    <t xml:space="preserve">00000230</t>
  </si>
  <si>
    <t xml:space="preserve">F209,F919</t>
  </si>
  <si>
    <t xml:space="preserve">00000231</t>
  </si>
  <si>
    <t xml:space="preserve">ENCINA GOMES LLOLEISY</t>
  </si>
  <si>
    <t xml:space="preserve">76237660</t>
  </si>
  <si>
    <t xml:space="preserve">O335,O691</t>
  </si>
  <si>
    <t xml:space="preserve">00000232</t>
  </si>
  <si>
    <t xml:space="preserve">VALQUI OCAMPO ORLANDO</t>
  </si>
  <si>
    <t xml:space="preserve">33815819</t>
  </si>
  <si>
    <t xml:space="preserve">K830,A010,R11X,R509</t>
  </si>
  <si>
    <t xml:space="preserve">DEVOLVER AL C.S. HUAMBO</t>
  </si>
  <si>
    <t xml:space="preserve">00000234</t>
  </si>
  <si>
    <t xml:space="preserve">CHACON LOPEZ YOBANI ELIZABETH</t>
  </si>
  <si>
    <t xml:space="preserve">47653387</t>
  </si>
  <si>
    <t xml:space="preserve">O649,O429</t>
  </si>
  <si>
    <t xml:space="preserve">DEVOLVER A MARISCAL BENAVIDES</t>
  </si>
  <si>
    <t xml:space="preserve">00000233</t>
  </si>
  <si>
    <t xml:space="preserve">SALAZAR NAVARRO ISIDRO</t>
  </si>
  <si>
    <t xml:space="preserve">33951937</t>
  </si>
  <si>
    <t xml:space="preserve">00000235</t>
  </si>
  <si>
    <t xml:space="preserve">TAFUR COLLAZOS SHEILA VANESSA</t>
  </si>
  <si>
    <t xml:space="preserve">43907581</t>
  </si>
  <si>
    <t xml:space="preserve">K579,Z320</t>
  </si>
  <si>
    <t xml:space="preserve">00000236</t>
  </si>
  <si>
    <t xml:space="preserve">BACALLA CALAMPA JOSE JESUS</t>
  </si>
  <si>
    <t xml:space="preserve">33422897</t>
  </si>
  <si>
    <t xml:space="preserve">00000237</t>
  </si>
  <si>
    <t xml:space="preserve">MENA MEJIA DIANA</t>
  </si>
  <si>
    <t xml:space="preserve">60391910</t>
  </si>
  <si>
    <t xml:space="preserve">00000238</t>
  </si>
  <si>
    <t xml:space="preserve">GRANDEZ LOPEZ EDINSON</t>
  </si>
  <si>
    <t xml:space="preserve">46770690</t>
  </si>
  <si>
    <t xml:space="preserve">I620</t>
  </si>
  <si>
    <t xml:space="preserve">DEVOLVER A OMIA</t>
  </si>
  <si>
    <t xml:space="preserve">00000239</t>
  </si>
  <si>
    <t xml:space="preserve">QUISPE MAURIOLA ALEJANDRO TEODORO</t>
  </si>
  <si>
    <t xml:space="preserve">42620983</t>
  </si>
  <si>
    <t xml:space="preserve">I612,S020,S009,R11X</t>
  </si>
  <si>
    <t xml:space="preserve">00000240</t>
  </si>
  <si>
    <t xml:space="preserve">RODRIGUEZ HIDALGO LUCY MAGALY</t>
  </si>
  <si>
    <t xml:space="preserve">46816356</t>
  </si>
  <si>
    <t xml:space="preserve">O324</t>
  </si>
  <si>
    <t xml:space="preserve">00000241</t>
  </si>
  <si>
    <t xml:space="preserve">PORTOCARRERO ARISTA LUIS ALBERTO</t>
  </si>
  <si>
    <t xml:space="preserve">33944019</t>
  </si>
  <si>
    <t xml:space="preserve">K922,N390,K802</t>
  </si>
  <si>
    <t xml:space="preserve">00000242</t>
  </si>
  <si>
    <t xml:space="preserve">VASQUEZ DIAZ SEGUNDO GILMER</t>
  </si>
  <si>
    <t xml:space="preserve">48645326</t>
  </si>
  <si>
    <t xml:space="preserve">00000243</t>
  </si>
  <si>
    <t xml:space="preserve">TORRES VALQUI MARIA PASION</t>
  </si>
  <si>
    <t xml:space="preserve">33952444</t>
  </si>
  <si>
    <t xml:space="preserve">S069,I612,T07X</t>
  </si>
  <si>
    <t xml:space="preserve">00000244</t>
  </si>
  <si>
    <t xml:space="preserve">ARISTA MUÑOZ JOSE WILIBAN</t>
  </si>
  <si>
    <t xml:space="preserve">40571960</t>
  </si>
  <si>
    <t xml:space="preserve">G569,S611</t>
  </si>
  <si>
    <t xml:space="preserve">00000245</t>
  </si>
  <si>
    <t xml:space="preserve">BAUTISTA DIAZ ROGELIO</t>
  </si>
  <si>
    <t xml:space="preserve">80131130</t>
  </si>
  <si>
    <t xml:space="preserve">J960,I679,J690</t>
  </si>
  <si>
    <t xml:space="preserve">FERNANDEZ CULQUI DISNEY</t>
  </si>
  <si>
    <t xml:space="preserve">60635522</t>
  </si>
  <si>
    <t xml:space="preserve">T230</t>
  </si>
  <si>
    <t xml:space="preserve">CHOCTALIN TUCTO MARIA MERCEDES </t>
  </si>
  <si>
    <t xml:space="preserve">75060443</t>
  </si>
  <si>
    <t xml:space="preserve">O342 </t>
  </si>
  <si>
    <t xml:space="preserve">HUAYAMA CHICANA DADNE ARLET</t>
  </si>
  <si>
    <t xml:space="preserve">60030399</t>
  </si>
  <si>
    <t xml:space="preserve">K859,B159</t>
  </si>
  <si>
    <t xml:space="preserve">VENTURA VENTURA LOYDI</t>
  </si>
  <si>
    <t xml:space="preserve">71229078</t>
  </si>
  <si>
    <t xml:space="preserve">O322</t>
  </si>
  <si>
    <t xml:space="preserve">ZUTA CHAPPA LUZDINA</t>
  </si>
  <si>
    <t xml:space="preserve">33804607</t>
  </si>
  <si>
    <t xml:space="preserve">I639</t>
  </si>
  <si>
    <t xml:space="preserve">GRANDEZ ZUTA PATROCINIA</t>
  </si>
  <si>
    <t xml:space="preserve">44088496</t>
  </si>
  <si>
    <t xml:space="preserve">LLANOS VENTURA ATZEL AZAD</t>
  </si>
  <si>
    <t xml:space="preserve">93625740</t>
  </si>
  <si>
    <t xml:space="preserve">T234,L030</t>
  </si>
  <si>
    <t xml:space="preserve">CACHAY SERVAN FELIPE SANTIAGO</t>
  </si>
  <si>
    <t xml:space="preserve">33402869</t>
  </si>
  <si>
    <t xml:space="preserve">K403,R33X</t>
  </si>
  <si>
    <t xml:space="preserve">SANTILLAN AGUILAR ESTELA DEL PILAR</t>
  </si>
  <si>
    <t xml:space="preserve">44662291</t>
  </si>
  <si>
    <t xml:space="preserve">ACOSTA CATALAN MILKA</t>
  </si>
  <si>
    <t xml:space="preserve">45715345</t>
  </si>
  <si>
    <t xml:space="preserve">O990,O758</t>
  </si>
  <si>
    <t xml:space="preserve">HUAMAN GORMAS FANI MERCEDES</t>
  </si>
  <si>
    <t xml:space="preserve">47179225</t>
  </si>
  <si>
    <t xml:space="preserve">O631</t>
  </si>
  <si>
    <t xml:space="preserve">J90X</t>
  </si>
  <si>
    <t xml:space="preserve">GUEVARA LOVATO LUZ MERY</t>
  </si>
  <si>
    <t xml:space="preserve">45098294</t>
  </si>
  <si>
    <t xml:space="preserve">BRICEÑO ALVA ESTEBAN</t>
  </si>
  <si>
    <t xml:space="preserve">33788640</t>
  </si>
  <si>
    <t xml:space="preserve">T293</t>
  </si>
  <si>
    <t xml:space="preserve">MENDOZA SANTILLAN DE MUÑOZ MAGDALENA</t>
  </si>
  <si>
    <t xml:space="preserve">33791668</t>
  </si>
  <si>
    <t xml:space="preserve">I500</t>
  </si>
  <si>
    <t xml:space="preserve">RAMOS VELA LUSDINA</t>
  </si>
  <si>
    <t xml:space="preserve">44300550</t>
  </si>
  <si>
    <t xml:space="preserve">HUAMAN VALLEJOS EXTROJILDA</t>
  </si>
  <si>
    <t xml:space="preserve">48961470</t>
  </si>
  <si>
    <t xml:space="preserve">X496</t>
  </si>
  <si>
    <t xml:space="preserve">VALQUI ROJAS MELISA</t>
  </si>
  <si>
    <t xml:space="preserve">60229638</t>
  </si>
  <si>
    <t xml:space="preserve">REYNA DE MENDOZA BEATRIZ</t>
  </si>
  <si>
    <t xml:space="preserve">33790729</t>
  </si>
  <si>
    <t xml:space="preserve">T312</t>
  </si>
  <si>
    <t xml:space="preserve">ZUTA CACHAY LIAM FREDERICK</t>
  </si>
  <si>
    <t xml:space="preserve">92301038</t>
  </si>
  <si>
    <t xml:space="preserve">S599</t>
  </si>
  <si>
    <t xml:space="preserve">6038-2025</t>
  </si>
  <si>
    <t xml:space="preserve">ZUTA DE GUELAC ADELINA</t>
  </si>
  <si>
    <t xml:space="preserve">33808428</t>
  </si>
  <si>
    <t xml:space="preserve">CHAVEZ MENDOZA LIVANI</t>
  </si>
  <si>
    <t xml:space="preserve">47071329</t>
  </si>
  <si>
    <t xml:space="preserve">RAMOS CALAMPA DYLAN ANTONIO</t>
  </si>
  <si>
    <t xml:space="preserve">92785788</t>
  </si>
  <si>
    <t xml:space="preserve">R560</t>
  </si>
  <si>
    <t xml:space="preserve">YALTA TUESTA NORBERTO</t>
  </si>
  <si>
    <t xml:space="preserve">48194352</t>
  </si>
  <si>
    <t xml:space="preserve">T07X</t>
  </si>
  <si>
    <t xml:space="preserve">VALLEJOS PULCE MARISOL</t>
  </si>
  <si>
    <t xml:space="preserve">93644902</t>
  </si>
  <si>
    <t xml:space="preserve">T171</t>
  </si>
  <si>
    <t xml:space="preserve">PUSCAN CHUQUIZUTA MARIA SANTOS</t>
  </si>
  <si>
    <t xml:space="preserve">41835261</t>
  </si>
  <si>
    <t xml:space="preserve">Z354,O438</t>
  </si>
  <si>
    <t xml:space="preserve">O757</t>
  </si>
  <si>
    <t xml:space="preserve">LOPEZ TORRES DE GUERRA MARGARITA</t>
  </si>
  <si>
    <t xml:space="preserve">33951779</t>
  </si>
  <si>
    <t xml:space="preserve">I160</t>
  </si>
  <si>
    <t xml:space="preserve">CHAVEZ GARCIA SARITA</t>
  </si>
  <si>
    <t xml:space="preserve">48501229</t>
  </si>
  <si>
    <t xml:space="preserve">O721,O730,O234</t>
  </si>
  <si>
    <t xml:space="preserve">VILLANUEVA GOZALES ANGELICA</t>
  </si>
  <si>
    <t xml:space="preserve">60238235</t>
  </si>
  <si>
    <t xml:space="preserve">42252970</t>
  </si>
  <si>
    <t xml:space="preserve">R104,R18X,K746</t>
  </si>
  <si>
    <t xml:space="preserve">TOMANGUILLA HUABLOCHO ROSA</t>
  </si>
  <si>
    <t xml:space="preserve">46810175</t>
  </si>
  <si>
    <t xml:space="preserve">6071-2025</t>
  </si>
  <si>
    <t xml:space="preserve">SANTILLAN CUZCO CIRILO</t>
  </si>
  <si>
    <t xml:space="preserve">33409260</t>
  </si>
  <si>
    <t xml:space="preserve">T609</t>
  </si>
  <si>
    <t xml:space="preserve">LOPEZ DAZA DEYSSY HANETT</t>
  </si>
  <si>
    <t xml:space="preserve">43981548</t>
  </si>
  <si>
    <t xml:space="preserve">O60,O109</t>
  </si>
  <si>
    <t xml:space="preserve">VASQUEZ CHUQUIPUL JULIANA</t>
  </si>
  <si>
    <t xml:space="preserve">46780653</t>
  </si>
  <si>
    <t xml:space="preserve">O342,O149</t>
  </si>
  <si>
    <t xml:space="preserve">SANTILLAN ZARATE BUENAVENTURA SEGUNDO</t>
  </si>
  <si>
    <t xml:space="preserve">33782100</t>
  </si>
  <si>
    <t xml:space="preserve">S069,S029</t>
  </si>
  <si>
    <t xml:space="preserve">LUCANO CALDERON LUIS RODRIGO</t>
  </si>
  <si>
    <t xml:space="preserve">81285067</t>
  </si>
  <si>
    <t xml:space="preserve">S525</t>
  </si>
  <si>
    <t xml:space="preserve">I10X,I639</t>
  </si>
  <si>
    <t xml:space="preserve">HIDALGO TAFUR DEYSI LIDOVINA</t>
  </si>
  <si>
    <t xml:space="preserve">60031709</t>
  </si>
  <si>
    <t xml:space="preserve">S300,S341</t>
  </si>
  <si>
    <t xml:space="preserve">PUERTA ROJAS SAMIR STEFFANO</t>
  </si>
  <si>
    <t xml:space="preserve">63398570</t>
  </si>
  <si>
    <t xml:space="preserve">DAZA TUESTA JENNIFER</t>
  </si>
  <si>
    <t xml:space="preserve">70207427</t>
  </si>
  <si>
    <t xml:space="preserve">O039</t>
  </si>
  <si>
    <t xml:space="preserve">CAHUAZA SANCHEZ ELVA</t>
  </si>
  <si>
    <t xml:space="preserve">60478130</t>
  </si>
  <si>
    <t xml:space="preserve">SALVA ARCE R/N</t>
  </si>
  <si>
    <t xml:space="preserve">11177302</t>
  </si>
  <si>
    <t xml:space="preserve">P073</t>
  </si>
  <si>
    <t xml:space="preserve">J960,J159,I509</t>
  </si>
  <si>
    <t xml:space="preserve">LARA BUSTAMANTE FIORELA DEL PILAR</t>
  </si>
  <si>
    <t xml:space="preserve">60030615</t>
  </si>
  <si>
    <t xml:space="preserve">R103,K358,N390</t>
  </si>
  <si>
    <t xml:space="preserve">CAPTO CHICANA NATALY</t>
  </si>
  <si>
    <t xml:space="preserve">74445477</t>
  </si>
  <si>
    <t xml:space="preserve">O033</t>
  </si>
  <si>
    <t xml:space="preserve">AGUILAR DIAZ MARIO</t>
  </si>
  <si>
    <t xml:space="preserve">48467648</t>
  </si>
  <si>
    <t xml:space="preserve">CORONEL FERNANDEZ DEYSI CORALI</t>
  </si>
  <si>
    <t xml:space="preserve">48022892</t>
  </si>
  <si>
    <t xml:space="preserve">O441,Z359</t>
  </si>
  <si>
    <t xml:space="preserve">CAPTO INGA HERNAN</t>
  </si>
  <si>
    <t xml:space="preserve">33738170</t>
  </si>
  <si>
    <t xml:space="preserve">F100,F29X,F16X</t>
  </si>
  <si>
    <t xml:space="preserve">MATA VILCHEZ MARIBEL</t>
  </si>
  <si>
    <t xml:space="preserve">45736471</t>
  </si>
  <si>
    <t xml:space="preserve">O044</t>
  </si>
  <si>
    <t xml:space="preserve">REGALADO MEGO MARYUDITH</t>
  </si>
  <si>
    <t xml:space="preserve">78803405</t>
  </si>
  <si>
    <t xml:space="preserve">O48X,O439</t>
  </si>
  <si>
    <t xml:space="preserve">CANTA HUAMAN TALIA RUBY</t>
  </si>
  <si>
    <t xml:space="preserve">62210529</t>
  </si>
  <si>
    <t xml:space="preserve">ROJAS ZUTA JOSE</t>
  </si>
  <si>
    <t xml:space="preserve">33804470</t>
  </si>
  <si>
    <t xml:space="preserve">G459,G932</t>
  </si>
  <si>
    <t xml:space="preserve">CHICHIPE BARRERA ANTONIO</t>
  </si>
  <si>
    <t xml:space="preserve">33805475</t>
  </si>
  <si>
    <t xml:space="preserve">I10X,J189,R103</t>
  </si>
  <si>
    <t xml:space="preserve">DEVOLUCION EL COMBUSTIBLE A SANTO TOMAS</t>
  </si>
  <si>
    <t xml:space="preserve">MONTENEGRO BRIONES GERMAN</t>
  </si>
  <si>
    <t xml:space="preserve">33805495</t>
  </si>
  <si>
    <t xml:space="preserve">J960,I10X,J45X</t>
  </si>
  <si>
    <t xml:space="preserve">OCAMPO REYES SERAPIO</t>
  </si>
  <si>
    <t xml:space="preserve">33805454</t>
  </si>
  <si>
    <t xml:space="preserve">K566,R104</t>
  </si>
  <si>
    <t xml:space="preserve">VIGO REYES MIGUEL</t>
  </si>
  <si>
    <t xml:space="preserve">48882630</t>
  </si>
  <si>
    <t xml:space="preserve">K566 </t>
  </si>
  <si>
    <t xml:space="preserve">AYALA CISNEROS KIMBERLY YADHIRA</t>
  </si>
  <si>
    <t xml:space="preserve">60742025</t>
  </si>
  <si>
    <t xml:space="preserve">O479,O234,Z359</t>
  </si>
  <si>
    <t xml:space="preserve">B690</t>
  </si>
  <si>
    <t xml:space="preserve">YOPLAC OCAMPO LUIS MIGUEL</t>
  </si>
  <si>
    <t xml:space="preserve">91953841</t>
  </si>
  <si>
    <t xml:space="preserve">S423</t>
  </si>
  <si>
    <t xml:space="preserve">03/10/0205</t>
  </si>
  <si>
    <t xml:space="preserve">J180,A419</t>
  </si>
  <si>
    <t xml:space="preserve">AMASIFUEN AREVALO LESLY</t>
  </si>
  <si>
    <t xml:space="preserve">75316236</t>
  </si>
  <si>
    <t xml:space="preserve">O701,O623</t>
  </si>
  <si>
    <t xml:space="preserve">CASTILLO TOCTO JUAN FRANCISCO</t>
  </si>
  <si>
    <t xml:space="preserve">33816025</t>
  </si>
  <si>
    <t xml:space="preserve">G934,J841</t>
  </si>
  <si>
    <t xml:space="preserve">SALAZAR BUSTAMANTE TAMAR</t>
  </si>
  <si>
    <t xml:space="preserve">72923347</t>
  </si>
  <si>
    <t xml:space="preserve">R10,K353</t>
  </si>
  <si>
    <t xml:space="preserve">PEREZ HIDALGO FABRICIO MATHIAS</t>
  </si>
  <si>
    <t xml:space="preserve">78995329</t>
  </si>
  <si>
    <t xml:space="preserve">E86,A09</t>
  </si>
  <si>
    <t xml:space="preserve">CULQUI ARCE VERLUIS</t>
  </si>
  <si>
    <t xml:space="preserve">43103301</t>
  </si>
  <si>
    <t xml:space="preserve">S912</t>
  </si>
  <si>
    <t xml:space="preserve">CIEZA TONGO ELIZABETH</t>
  </si>
  <si>
    <t xml:space="preserve">77096270</t>
  </si>
  <si>
    <t xml:space="preserve">Z349</t>
  </si>
  <si>
    <t xml:space="preserve">HIDALGO CHUQUIMBALQUI PATRICIA</t>
  </si>
  <si>
    <t xml:space="preserve">61559341</t>
  </si>
  <si>
    <t xml:space="preserve">DEVOLVER AL C.S. COLLONCE</t>
  </si>
  <si>
    <t xml:space="preserve">SILVA RODRIGUEZ MARCELA</t>
  </si>
  <si>
    <t xml:space="preserve">46365853</t>
  </si>
  <si>
    <t xml:space="preserve">DEVOLVER AL C.S. COCABAMBA</t>
  </si>
  <si>
    <t xml:space="preserve">REPORTE DE TRASLADO DE PACIENTES SIS DEL MES DE NOVIEMBRE 2025 PARA REPOSICION DE COMBUSTIBLE</t>
  </si>
  <si>
    <t xml:space="preserve">LLANCA OCAMPO GLENY</t>
  </si>
  <si>
    <t xml:space="preserve">47820872</t>
  </si>
  <si>
    <t xml:space="preserve">HUAMAN DE ARCE OTILIA</t>
  </si>
  <si>
    <t xml:space="preserve">33731694</t>
  </si>
  <si>
    <t xml:space="preserve">S607</t>
  </si>
  <si>
    <t xml:space="preserve">DE LA CRUZ ROJAS PEDRO</t>
  </si>
  <si>
    <t xml:space="preserve">33780782</t>
  </si>
  <si>
    <t xml:space="preserve">N40X,N111</t>
  </si>
  <si>
    <t xml:space="preserve">ZETA RIVAS YURITH YOLANDA</t>
  </si>
  <si>
    <t xml:space="preserve">44871893</t>
  </si>
  <si>
    <t xml:space="preserve">O669</t>
  </si>
  <si>
    <t xml:space="preserve">CUEVA GRANDEZ ADELIZ</t>
  </si>
  <si>
    <t xml:space="preserve">72259252</t>
  </si>
  <si>
    <t xml:space="preserve">O759,O149</t>
  </si>
  <si>
    <t xml:space="preserve">HUAMAN MENDOZA ELESSANDRA SAYURY</t>
  </si>
  <si>
    <t xml:space="preserve">81331104</t>
  </si>
  <si>
    <t xml:space="preserve">R252,R290</t>
  </si>
  <si>
    <t xml:space="preserve">CHICANA POCLIN JOVITA</t>
  </si>
  <si>
    <t xml:space="preserve">33725966</t>
  </si>
  <si>
    <t xml:space="preserve">LACHIRA INGA PAULO CESAR</t>
  </si>
  <si>
    <t xml:space="preserve">44700966</t>
  </si>
  <si>
    <t xml:space="preserve">S800,S820</t>
  </si>
  <si>
    <t xml:space="preserve">6069-2025</t>
  </si>
  <si>
    <t xml:space="preserve">GUEVARA PILCO MAICON</t>
  </si>
  <si>
    <t xml:space="preserve">44737180</t>
  </si>
  <si>
    <t xml:space="preserve">DIAZ ZAMORA FLOR YANET</t>
  </si>
  <si>
    <t xml:space="preserve">75726340</t>
  </si>
  <si>
    <t xml:space="preserve">HOYOS FLORES GILBERTO</t>
  </si>
  <si>
    <t xml:space="preserve">33783673</t>
  </si>
  <si>
    <t xml:space="preserve">SANCHEZ NICODEMUS LEICY RAQUEL</t>
  </si>
  <si>
    <t xml:space="preserve">60129166</t>
  </si>
  <si>
    <t xml:space="preserve">O149,Z359</t>
  </si>
  <si>
    <t xml:space="preserve">000000921</t>
  </si>
  <si>
    <t xml:space="preserve">CAPTO VALLE JESUS MARINO</t>
  </si>
  <si>
    <t xml:space="preserve">33726031</t>
  </si>
  <si>
    <t xml:space="preserve">G934,R31X,C61X</t>
  </si>
  <si>
    <t xml:space="preserve">00000246</t>
  </si>
  <si>
    <t xml:space="preserve">CHERRES SANTIESTEBAN ANTHONY LORENZO</t>
  </si>
  <si>
    <t xml:space="preserve">74308898</t>
  </si>
  <si>
    <t xml:space="preserve">00000247</t>
  </si>
  <si>
    <t xml:space="preserve">TONGO MOLOCHO ERMELINDA</t>
  </si>
  <si>
    <t xml:space="preserve">48710097</t>
  </si>
  <si>
    <t xml:space="preserve">S721</t>
  </si>
  <si>
    <t xml:space="preserve">00000248</t>
  </si>
  <si>
    <t xml:space="preserve">RODAS TAFUR LIZ CRISTINA</t>
  </si>
  <si>
    <t xml:space="preserve">33963008</t>
  </si>
  <si>
    <t xml:space="preserve">K922,R571</t>
  </si>
  <si>
    <t xml:space="preserve">GUIOP TUCTO LILIANA</t>
  </si>
  <si>
    <t xml:space="preserve">73228134</t>
  </si>
  <si>
    <t xml:space="preserve">DEVOLVER EL COMBUSTIBLE AL CENTRO DE SALUD JALCA GRANDE</t>
  </si>
  <si>
    <t xml:space="preserve">00000249</t>
  </si>
  <si>
    <t xml:space="preserve">I639,J690,J841</t>
  </si>
  <si>
    <t xml:space="preserve">00000250</t>
  </si>
  <si>
    <t xml:space="preserve">UBILLUS BACA SARA</t>
  </si>
  <si>
    <t xml:space="preserve">75902339</t>
  </si>
  <si>
    <t xml:space="preserve">O321</t>
  </si>
  <si>
    <t xml:space="preserve">HUAÑAMBAL CAHUAZA ENRIQUE</t>
  </si>
  <si>
    <t xml:space="preserve">60128492</t>
  </si>
  <si>
    <t xml:space="preserve">S010,S020,S065</t>
  </si>
  <si>
    <t xml:space="preserve">TUESTA PEREZ MIGUEL</t>
  </si>
  <si>
    <t xml:space="preserve">42902058</t>
  </si>
  <si>
    <t xml:space="preserve">ROJAS CULQUI ROSA</t>
  </si>
  <si>
    <t xml:space="preserve">45165592</t>
  </si>
  <si>
    <t xml:space="preserve">VILCA DE HUAMAN SHAVICA</t>
  </si>
  <si>
    <t xml:space="preserve">33962597</t>
  </si>
  <si>
    <t xml:space="preserve">SANCHEZ BECERRA PORFIRIO</t>
  </si>
  <si>
    <t xml:space="preserve">33731949</t>
  </si>
  <si>
    <t xml:space="preserve">H113</t>
  </si>
  <si>
    <t xml:space="preserve">CORDOVA DIAZ EVELY</t>
  </si>
  <si>
    <t xml:space="preserve">75698526</t>
  </si>
  <si>
    <t xml:space="preserve">O211,Z359</t>
  </si>
  <si>
    <t xml:space="preserve">ARISTA DIAPIZ ETELVINA</t>
  </si>
  <si>
    <t xml:space="preserve">80348066</t>
  </si>
  <si>
    <t xml:space="preserve">00000251</t>
  </si>
  <si>
    <t xml:space="preserve">CHUQUIPIONDO CAMAN INGRID ZELIDETH</t>
  </si>
  <si>
    <t xml:space="preserve">61728356</t>
  </si>
  <si>
    <t xml:space="preserve">O230,O990,O991</t>
  </si>
  <si>
    <t xml:space="preserve">CACHAY TUESTA JUDITH</t>
  </si>
  <si>
    <t xml:space="preserve">60393249</t>
  </si>
  <si>
    <t xml:space="preserve">O688,O365</t>
  </si>
  <si>
    <t xml:space="preserve">TONGO FERNENDEZ DAGOBERTO</t>
  </si>
  <si>
    <t xml:space="preserve">33652676</t>
  </si>
  <si>
    <t xml:space="preserve">I209,I219,I10X</t>
  </si>
  <si>
    <t xml:space="preserve">VITON DELGADO EDITA</t>
  </si>
  <si>
    <t xml:space="preserve">33738126</t>
  </si>
  <si>
    <t xml:space="preserve">CHUMBE OLIVARES MARIA JESUS</t>
  </si>
  <si>
    <t xml:space="preserve">33781471</t>
  </si>
  <si>
    <t xml:space="preserve">G919</t>
  </si>
  <si>
    <t xml:space="preserve">00000252</t>
  </si>
  <si>
    <t xml:space="preserve">RAMOS GOICOCHEA LUZ HERLITA</t>
  </si>
  <si>
    <t xml:space="preserve">77486057</t>
  </si>
  <si>
    <t xml:space="preserve">O420,O234</t>
  </si>
  <si>
    <t xml:space="preserve">GOÑAS DE VALLE ENEDINA</t>
  </si>
  <si>
    <t xml:space="preserve">33732666</t>
  </si>
  <si>
    <t xml:space="preserve">I10X,I674</t>
  </si>
  <si>
    <t xml:space="preserve">00000253</t>
  </si>
  <si>
    <t xml:space="preserve">PUERTA SOPLA LEYBER MARCELINO</t>
  </si>
  <si>
    <t xml:space="preserve">60030832</t>
  </si>
  <si>
    <t xml:space="preserve">PUSCAN HUAMAN FERNANDO</t>
  </si>
  <si>
    <t xml:space="preserve">33436144</t>
  </si>
  <si>
    <t xml:space="preserve">S818,S823</t>
  </si>
  <si>
    <t xml:space="preserve">VILCA OCAMPO MARIA ROSARIO</t>
  </si>
  <si>
    <t xml:space="preserve">47651509</t>
  </si>
  <si>
    <t xml:space="preserve">MENDOZA LOPEZ NEYRA PAMELA</t>
  </si>
  <si>
    <t xml:space="preserve">61645327</t>
  </si>
  <si>
    <t xml:space="preserve">MORI CUMBIA EXALTACION CRUZ</t>
  </si>
  <si>
    <t xml:space="preserve">33729640</t>
  </si>
  <si>
    <t xml:space="preserve">J64X,J10X</t>
  </si>
  <si>
    <t xml:space="preserve">00000254</t>
  </si>
  <si>
    <t xml:space="preserve">LOPEZ LOPEZ DE VEGA ADILIA MERCEDES</t>
  </si>
  <si>
    <t xml:space="preserve">33789648</t>
  </si>
  <si>
    <t xml:space="preserve">K830,C221,D649</t>
  </si>
  <si>
    <t xml:space="preserve">ACUÑA VARGAS JON JONATAN</t>
  </si>
  <si>
    <t xml:space="preserve">81032177</t>
  </si>
  <si>
    <t xml:space="preserve">S069,S108</t>
  </si>
  <si>
    <t xml:space="preserve">TUCTO GUIOP DANNY</t>
  </si>
  <si>
    <t xml:space="preserve">72732497</t>
  </si>
  <si>
    <t xml:space="preserve">VALQUI VENTURA LUCILA ZADIHT</t>
  </si>
  <si>
    <t xml:space="preserve">46851509</t>
  </si>
  <si>
    <t xml:space="preserve">P059</t>
  </si>
  <si>
    <t xml:space="preserve">00000255</t>
  </si>
  <si>
    <t xml:space="preserve">BACA MALDONADO PERCY</t>
  </si>
  <si>
    <t xml:space="preserve">77473851</t>
  </si>
  <si>
    <t xml:space="preserve">I871,R220,I10X</t>
  </si>
  <si>
    <t xml:space="preserve">RUIZ LOPEZ ELSA VALENTINA</t>
  </si>
  <si>
    <t xml:space="preserve">90639035</t>
  </si>
  <si>
    <t xml:space="preserve">MEDINA CUBAS ELIZABETH</t>
  </si>
  <si>
    <t xml:space="preserve">48721179</t>
  </si>
  <si>
    <t xml:space="preserve">SALVA DIAZ LIDUVINA</t>
  </si>
  <si>
    <t xml:space="preserve">43331641</t>
  </si>
  <si>
    <t xml:space="preserve">00000256</t>
  </si>
  <si>
    <t xml:space="preserve">TAFUR DE LOPEZ CELINDA ROSA</t>
  </si>
  <si>
    <t xml:space="preserve">33949713</t>
  </si>
  <si>
    <t xml:space="preserve">S723</t>
  </si>
  <si>
    <t xml:space="preserve">VENTURA POQUIOMA NELSON</t>
  </si>
  <si>
    <t xml:space="preserve">33792420</t>
  </si>
  <si>
    <t xml:space="preserve">BRIONES ORTIZ JOSE ERNESTO</t>
  </si>
  <si>
    <t xml:space="preserve">33423941</t>
  </si>
  <si>
    <t xml:space="preserve">S069,S065</t>
  </si>
  <si>
    <t xml:space="preserve">HUAMAN BECERRIL LUIS FERNANDO</t>
  </si>
  <si>
    <t xml:space="preserve">70173675</t>
  </si>
  <si>
    <t xml:space="preserve">N23X,K851</t>
  </si>
  <si>
    <t xml:space="preserve">PEREZ ALARCON ALICIA</t>
  </si>
  <si>
    <t xml:space="preserve">77085087</t>
  </si>
  <si>
    <t xml:space="preserve">HUAMURO TONGO DIANA</t>
  </si>
  <si>
    <t xml:space="preserve">71653020</t>
  </si>
  <si>
    <t xml:space="preserve">00000257</t>
  </si>
  <si>
    <t xml:space="preserve">DEVOLVER AL C.S. OMIA</t>
  </si>
  <si>
    <t xml:space="preserve">PUERTA MAS DIMPINA</t>
  </si>
  <si>
    <t xml:space="preserve">48748757</t>
  </si>
  <si>
    <t xml:space="preserve">R520,Y889</t>
  </si>
  <si>
    <t xml:space="preserve">VILCHEZ CHAVEZ NANCY MARLOT</t>
  </si>
  <si>
    <t xml:space="preserve">78007552</t>
  </si>
  <si>
    <t xml:space="preserve">O48X,O363</t>
  </si>
  <si>
    <t xml:space="preserve">RAMOS VENTURA ROGER ANTONIO</t>
  </si>
  <si>
    <t xml:space="preserve">48218225</t>
  </si>
  <si>
    <t xml:space="preserve">J180</t>
  </si>
  <si>
    <t xml:space="preserve">VASQUEZ TERRONES YENI YUDITH</t>
  </si>
  <si>
    <t xml:space="preserve">60031737</t>
  </si>
  <si>
    <t xml:space="preserve">00000258</t>
  </si>
  <si>
    <t xml:space="preserve">ALMEIDA FERNANDEZ PEDRO CARLOS ALEJANDRO</t>
  </si>
  <si>
    <t xml:space="preserve">61843350</t>
  </si>
  <si>
    <t xml:space="preserve">T439,Z915</t>
  </si>
  <si>
    <t xml:space="preserve">GALLARDO LOZANO EMILY</t>
  </si>
  <si>
    <t xml:space="preserve">94212182</t>
  </si>
  <si>
    <t xml:space="preserve">D649,C959</t>
  </si>
  <si>
    <t xml:space="preserve">TAFUR HOYOS ROSA LIDIA</t>
  </si>
  <si>
    <t xml:space="preserve">33739130</t>
  </si>
  <si>
    <t xml:space="preserve">G409,G419,J969</t>
  </si>
  <si>
    <t xml:space="preserve">00000259</t>
  </si>
  <si>
    <t xml:space="preserve">GUEVARA ESCOBAR MARIA ELENA</t>
  </si>
  <si>
    <t xml:space="preserve">41953338</t>
  </si>
  <si>
    <t xml:space="preserve">O60X,O100</t>
  </si>
  <si>
    <t xml:space="preserve">RUBIO TUESTA NOE</t>
  </si>
  <si>
    <t xml:space="preserve">33427124</t>
  </si>
  <si>
    <t xml:space="preserve">VILCHEZ CASTRO JUAN NELSON</t>
  </si>
  <si>
    <t xml:space="preserve">42955104</t>
  </si>
  <si>
    <t xml:space="preserve">0000006</t>
  </si>
  <si>
    <t xml:space="preserve">MONTEZA QUISPE VANESA LEIDE</t>
  </si>
  <si>
    <t xml:space="preserve">47495535</t>
  </si>
  <si>
    <t xml:space="preserve">DEVOLVER AL C.S. COCOCHO</t>
  </si>
  <si>
    <t xml:space="preserve">0000264</t>
  </si>
  <si>
    <t xml:space="preserve">SOROE PUERTA VICENTE</t>
  </si>
  <si>
    <t xml:space="preserve">76604384</t>
  </si>
  <si>
    <t xml:space="preserve">N390,A090,E86X,N179</t>
  </si>
  <si>
    <t xml:space="preserve">FONSECA FUENTES MARCELINA</t>
  </si>
  <si>
    <t xml:space="preserve">48471792</t>
  </si>
  <si>
    <t xml:space="preserve">O990,K922</t>
  </si>
  <si>
    <t xml:space="preserve">REPORTE DE TRASLADO DE PACIENTES SIS DEL MES DE DICIEMBRE 2025 PARA REPOSICION DE COMBUSTIBLE</t>
  </si>
  <si>
    <t xml:space="preserve">0000099</t>
  </si>
  <si>
    <t xml:space="preserve">MORI GARCIA FLOR KELI</t>
  </si>
  <si>
    <t xml:space="preserve">48751322</t>
  </si>
  <si>
    <t xml:space="preserve">0000100</t>
  </si>
  <si>
    <t xml:space="preserve">TIRADO VASQUEZ MARIA ELVA</t>
  </si>
  <si>
    <t xml:space="preserve">27427047</t>
  </si>
  <si>
    <t xml:space="preserve">N939,D62X,N800</t>
  </si>
  <si>
    <t xml:space="preserve">0000111</t>
  </si>
  <si>
    <t xml:space="preserve">VENTURA DAZA MOISES</t>
  </si>
  <si>
    <t xml:space="preserve">41323837</t>
  </si>
  <si>
    <t xml:space="preserve">J960,J90X</t>
  </si>
  <si>
    <t xml:space="preserve">0000110</t>
  </si>
  <si>
    <t xml:space="preserve">TELLO GUEVARON LEONBILDA</t>
  </si>
  <si>
    <t xml:space="preserve">D649,N189,K25X</t>
  </si>
  <si>
    <t xml:space="preserve">0000108</t>
  </si>
  <si>
    <t xml:space="preserve">JAUREGUI CAMPOS LEIDY GABRIELITA</t>
  </si>
  <si>
    <t xml:space="preserve">60730344</t>
  </si>
  <si>
    <t xml:space="preserve">O239,K37X</t>
  </si>
  <si>
    <t xml:space="preserve">PIZARRO VENTURA ROSA</t>
  </si>
  <si>
    <t xml:space="preserve">76287013</t>
  </si>
  <si>
    <t xml:space="preserve">L029</t>
  </si>
  <si>
    <t xml:space="preserve">0000098</t>
  </si>
  <si>
    <t xml:space="preserve">HERNANDEZ SHIPIAMA INIKA PATRICIA</t>
  </si>
  <si>
    <t xml:space="preserve">91498186</t>
  </si>
  <si>
    <t xml:space="preserve">0000052</t>
  </si>
  <si>
    <t xml:space="preserve">CHAVEZ RUBIO MARIA LUISA</t>
  </si>
  <si>
    <t xml:space="preserve">33807463</t>
  </si>
  <si>
    <t xml:space="preserve">R33X,N390,I500</t>
  </si>
  <si>
    <t xml:space="preserve">CHAVEZ ROJAS JUANITA</t>
  </si>
  <si>
    <t xml:space="preserve">44341093</t>
  </si>
  <si>
    <t xml:space="preserve">0000107</t>
  </si>
  <si>
    <t xml:space="preserve">OCAMPO VILLACORTA GLICERIA</t>
  </si>
  <si>
    <t xml:space="preserve">48406564</t>
  </si>
  <si>
    <t xml:space="preserve">ALVAREZ PINO NITZI NICOLLE</t>
  </si>
  <si>
    <t xml:space="preserve">73621069</t>
  </si>
  <si>
    <t xml:space="preserve">Z359,O689,O990</t>
  </si>
  <si>
    <t xml:space="preserve">BUSTAMANTE MAYTA GUILLERMINA</t>
  </si>
  <si>
    <t xml:space="preserve">47559118</t>
  </si>
  <si>
    <t xml:space="preserve">CRUZ ZABARBURU DIEGO ALEXIS</t>
  </si>
  <si>
    <t xml:space="preserve">71844910</t>
  </si>
  <si>
    <t xml:space="preserve">S930,S82X</t>
  </si>
  <si>
    <t xml:space="preserve">0000273</t>
  </si>
  <si>
    <t xml:space="preserve">HUAMAN DIAZ GABRIEL</t>
  </si>
  <si>
    <t xml:space="preserve">49009348</t>
  </si>
  <si>
    <t xml:space="preserve">K566,N179</t>
  </si>
  <si>
    <t xml:space="preserve">0000272</t>
  </si>
  <si>
    <t xml:space="preserve">RABANAL TEJADA CRUZ</t>
  </si>
  <si>
    <t xml:space="preserve">33940444</t>
  </si>
  <si>
    <t xml:space="preserve">0000269</t>
  </si>
  <si>
    <t xml:space="preserve">GUTIERREZ MESIA ALICIA</t>
  </si>
  <si>
    <t xml:space="preserve">33945863</t>
  </si>
  <si>
    <t xml:space="preserve">0000270</t>
  </si>
  <si>
    <t xml:space="preserve">LOPEZ NOVOA OLIVER</t>
  </si>
  <si>
    <t xml:space="preserve">41441733</t>
  </si>
  <si>
    <t xml:space="preserve">K922,D649</t>
  </si>
  <si>
    <t xml:space="preserve">0000267</t>
  </si>
  <si>
    <t xml:space="preserve">PUIQUIN PUERTA FRANCISCO</t>
  </si>
  <si>
    <t xml:space="preserve">33960143</t>
  </si>
  <si>
    <t xml:space="preserve">0000262</t>
  </si>
  <si>
    <t xml:space="preserve">CONCHE GOÑAS LUZ ANGELICA</t>
  </si>
  <si>
    <t xml:space="preserve">70164452</t>
  </si>
  <si>
    <t xml:space="preserve">S009,T07X.S011</t>
  </si>
  <si>
    <t xml:space="preserve">0000261</t>
  </si>
  <si>
    <t xml:space="preserve">MACHUCA MARTOS JESSY KATERINE</t>
  </si>
  <si>
    <t xml:space="preserve">91349062</t>
  </si>
  <si>
    <t xml:space="preserve">0000263</t>
  </si>
  <si>
    <t xml:space="preserve">33951387</t>
  </si>
  <si>
    <t xml:space="preserve">J440,J960,A419</t>
  </si>
  <si>
    <t xml:space="preserve">0000260</t>
  </si>
  <si>
    <t xml:space="preserve">HUMAN ROJAS LUZ ELITA</t>
  </si>
  <si>
    <t xml:space="preserve">60708263</t>
  </si>
  <si>
    <t xml:space="preserve">CHOCTALIN TUCTO JHEIDI SANDRITA</t>
  </si>
  <si>
    <t xml:space="preserve">75067879</t>
  </si>
  <si>
    <t xml:space="preserve">SAAVEDRA VELAYSOSA ELVIS</t>
  </si>
  <si>
    <t xml:space="preserve">60349397</t>
  </si>
  <si>
    <t xml:space="preserve">A971</t>
  </si>
  <si>
    <t xml:space="preserve">0000109</t>
  </si>
  <si>
    <t xml:space="preserve">CHASQUIBOL CALONGOS MARILU</t>
  </si>
  <si>
    <t xml:space="preserve">33723007</t>
  </si>
  <si>
    <t xml:space="preserve">N10X,A419</t>
  </si>
  <si>
    <t xml:space="preserve">0000112</t>
  </si>
  <si>
    <t xml:space="preserve">YOMONA PIZARRO MARCO ANTONIO</t>
  </si>
  <si>
    <t xml:space="preserve">61301045</t>
  </si>
  <si>
    <t xml:space="preserve">0000113</t>
  </si>
  <si>
    <t xml:space="preserve">QUIROZ TOLENTINO HANNO JHOHANSON</t>
  </si>
  <si>
    <t xml:space="preserve">92400177</t>
  </si>
  <si>
    <t xml:space="preserve">L500,T887</t>
  </si>
  <si>
    <t xml:space="preserve">0000044</t>
  </si>
  <si>
    <t xml:space="preserve">MEDINA MAMANI IRIS MANUELA</t>
  </si>
  <si>
    <t xml:space="preserve">77326347</t>
  </si>
  <si>
    <t xml:space="preserve">O471,O342</t>
  </si>
  <si>
    <t xml:space="preserve">0000043</t>
  </si>
  <si>
    <t xml:space="preserve">MAICELO LLAJA APOLINAR</t>
  </si>
  <si>
    <t xml:space="preserve">33421416</t>
  </si>
  <si>
    <t xml:space="preserve">0000047</t>
  </si>
  <si>
    <t xml:space="preserve">O360</t>
  </si>
  <si>
    <t xml:space="preserve">0000042</t>
  </si>
  <si>
    <t xml:space="preserve">CHOCTALIN BUSTOS SARITA</t>
  </si>
  <si>
    <t xml:space="preserve">72807509</t>
  </si>
  <si>
    <t xml:space="preserve">0000045</t>
  </si>
  <si>
    <t xml:space="preserve">VELA LARA DORIS</t>
  </si>
  <si>
    <t xml:space="preserve">45168608</t>
  </si>
  <si>
    <t xml:space="preserve">O031,R571</t>
  </si>
  <si>
    <t xml:space="preserve">BARRERA TOMAMGUILLA JAVIER</t>
  </si>
  <si>
    <t xml:space="preserve">33816078</t>
  </si>
  <si>
    <t xml:space="preserve">S099,I620</t>
  </si>
  <si>
    <t xml:space="preserve">TAUMA CHEVEZ DE PUSCAN LIZALITA</t>
  </si>
  <si>
    <t xml:space="preserve">42528301</t>
  </si>
  <si>
    <t xml:space="preserve">K810,R100</t>
  </si>
  <si>
    <t xml:space="preserve">0000055</t>
  </si>
  <si>
    <t xml:space="preserve">HUAMAN HUAMAN ROSALI</t>
  </si>
  <si>
    <t xml:space="preserve">33807210</t>
  </si>
  <si>
    <t xml:space="preserve">R310,D649,N23X</t>
  </si>
  <si>
    <t xml:space="preserve">FERNANDEZ RAMIREZ CARLOS ALBERTO</t>
  </si>
  <si>
    <t xml:space="preserve">18069238</t>
  </si>
  <si>
    <t xml:space="preserve">R030,I472</t>
  </si>
  <si>
    <t xml:space="preserve">REVILLA CASTREJON ROSA ALEJANDRINA</t>
  </si>
  <si>
    <t xml:space="preserve">72926269</t>
  </si>
  <si>
    <t xml:space="preserve">GALLARDO DE SOTO DORIS</t>
  </si>
  <si>
    <t xml:space="preserve">16540098</t>
  </si>
  <si>
    <t xml:space="preserve">S345,S799,S299</t>
  </si>
  <si>
    <t xml:space="preserve">0000266</t>
  </si>
  <si>
    <t xml:space="preserve">HANS SCHLEIFER</t>
  </si>
  <si>
    <t xml:space="preserve">A419,J960,K720,N179</t>
  </si>
  <si>
    <t xml:space="preserve">DEVOLVER EL COMBUSTIBLE AL C.S. HUAMBO</t>
  </si>
  <si>
    <t xml:space="preserve">0000271</t>
  </si>
  <si>
    <t xml:space="preserve">MELENDEZ DE MONTANO MARIA DEL CARMEN</t>
  </si>
  <si>
    <t xml:space="preserve">33948376</t>
  </si>
  <si>
    <t xml:space="preserve">J159,R739,E111</t>
  </si>
  <si>
    <t xml:space="preserve">0000276</t>
  </si>
  <si>
    <t xml:space="preserve">PORTOCARRERO PORTOCARRERO KELVIN ABRAHAM</t>
  </si>
  <si>
    <t xml:space="preserve">62139925</t>
  </si>
  <si>
    <t xml:space="preserve">0000277</t>
  </si>
  <si>
    <t xml:space="preserve">LOPEZ TORRES JUAN JOSE</t>
  </si>
  <si>
    <t xml:space="preserve">33941317</t>
  </si>
  <si>
    <t xml:space="preserve">I500,N19X,J81X</t>
  </si>
  <si>
    <t xml:space="preserve">0000279</t>
  </si>
  <si>
    <t xml:space="preserve">LLANOS MEGO LUZ MARIA</t>
  </si>
  <si>
    <t xml:space="preserve">71599750</t>
  </si>
  <si>
    <t xml:space="preserve">O469,O459</t>
  </si>
  <si>
    <t xml:space="preserve">0000009</t>
  </si>
  <si>
    <t xml:space="preserve">VARGAS QUINTANA LUCIANA</t>
  </si>
  <si>
    <t xml:space="preserve">33813841</t>
  </si>
  <si>
    <t xml:space="preserve">N739,N719</t>
  </si>
  <si>
    <t xml:space="preserve">PINGUS QUILO WILFREDO</t>
  </si>
  <si>
    <t xml:space="preserve">33786229</t>
  </si>
  <si>
    <t xml:space="preserve">T608,Y911</t>
  </si>
  <si>
    <t xml:space="preserve">CUBAS MUÑOZ GUISELA</t>
  </si>
  <si>
    <t xml:space="preserve">70121274</t>
  </si>
  <si>
    <t xml:space="preserve">SABOYA RODRIGUEZ GAYLENI</t>
  </si>
  <si>
    <t xml:space="preserve">63144001</t>
  </si>
  <si>
    <t xml:space="preserve">ACOSTA ACOSTA SEGUNDO JUAN</t>
  </si>
  <si>
    <t xml:space="preserve">33944470</t>
  </si>
  <si>
    <t xml:space="preserve">VARGAS TUESTA DELIZ MARLI</t>
  </si>
  <si>
    <t xml:space="preserve">44064439</t>
  </si>
  <si>
    <t xml:space="preserve">K819</t>
  </si>
  <si>
    <t xml:space="preserve">0000265</t>
  </si>
  <si>
    <t xml:space="preserve">YAHUARCANI TELLO DANIELA ELISA</t>
  </si>
  <si>
    <t xml:space="preserve">74362940</t>
  </si>
  <si>
    <t xml:space="preserve">0000268</t>
  </si>
  <si>
    <t xml:space="preserve">VALQUE ARBILDO EVANGELINA</t>
  </si>
  <si>
    <t xml:space="preserve">33952512</t>
  </si>
  <si>
    <t xml:space="preserve">I64X,J960,I10X</t>
  </si>
  <si>
    <t xml:space="preserve">0000274</t>
  </si>
  <si>
    <t xml:space="preserve">QUISPE MEJIA FRANCISCO</t>
  </si>
  <si>
    <t xml:space="preserve">33942846</t>
  </si>
  <si>
    <t xml:space="preserve">K560,K566,K565</t>
  </si>
  <si>
    <t xml:space="preserve">0000280</t>
  </si>
  <si>
    <t xml:space="preserve">ZUMAETA VILLA OLINDA ANGELICA</t>
  </si>
  <si>
    <t xml:space="preserve">43410541</t>
  </si>
  <si>
    <t xml:space="preserve">S729,J189,I10X</t>
  </si>
  <si>
    <t xml:space="preserve">0000281</t>
  </si>
  <si>
    <t xml:space="preserve">OLIVARES GUAYAMIS CARMEN LUISA</t>
  </si>
  <si>
    <t xml:space="preserve">1782107</t>
  </si>
  <si>
    <t xml:space="preserve">CLAVO BUSTOS AITANA PAULETT</t>
  </si>
  <si>
    <t xml:space="preserve">94401732</t>
  </si>
  <si>
    <t xml:space="preserve">0000084</t>
  </si>
  <si>
    <t xml:space="preserve">LOPEZ VELAYSOSA ELIANITA</t>
  </si>
  <si>
    <t xml:space="preserve">75422301</t>
  </si>
  <si>
    <t xml:space="preserve">0000085</t>
  </si>
  <si>
    <t xml:space="preserve">MENDOZA DIAPIZ CAROLINA</t>
  </si>
  <si>
    <t xml:space="preserve">40259423</t>
  </si>
  <si>
    <t xml:space="preserve">0000086</t>
  </si>
  <si>
    <t xml:space="preserve">VENTURA BOBADILLA CLEMENTINA </t>
  </si>
  <si>
    <t xml:space="preserve">47070501</t>
  </si>
  <si>
    <t xml:space="preserve">0000083</t>
  </si>
  <si>
    <t xml:space="preserve">INGA TORREJON CELENY</t>
  </si>
  <si>
    <t xml:space="preserve">73348816</t>
  </si>
  <si>
    <t xml:space="preserve">S524</t>
  </si>
  <si>
    <t xml:space="preserve">0000282</t>
  </si>
  <si>
    <t xml:space="preserve">OYARCE VALVERDE FRAN NOILER</t>
  </si>
  <si>
    <t xml:space="preserve">76963669</t>
  </si>
  <si>
    <t xml:space="preserve">K359,K750,Z888</t>
  </si>
  <si>
    <t xml:space="preserve">0000283</t>
  </si>
  <si>
    <t xml:space="preserve">TEFUR GRANDEZ GERARDO SEGUNDO</t>
  </si>
  <si>
    <t xml:space="preserve">33941430</t>
  </si>
  <si>
    <t xml:space="preserve">A419,N390,J189</t>
  </si>
  <si>
    <t xml:space="preserve">REVILLA CAMAN ASTRID THALIA</t>
  </si>
  <si>
    <t xml:space="preserve">92089239</t>
  </si>
  <si>
    <t xml:space="preserve">S429</t>
  </si>
  <si>
    <t xml:space="preserve">YNGA MAS JHISELA</t>
  </si>
  <si>
    <t xml:space="preserve">Z359,O063</t>
  </si>
  <si>
    <t xml:space="preserve">CHAVEZ CHUQUIPINDO CLARIBEL</t>
  </si>
  <si>
    <t xml:space="preserve">73540942</t>
  </si>
  <si>
    <t xml:space="preserve">RODRIGUEZ URIARTE ESTHER</t>
  </si>
  <si>
    <t xml:space="preserve">33784097</t>
  </si>
  <si>
    <t xml:space="preserve">CHALAS GUERRA MARIA JESUS</t>
  </si>
  <si>
    <t xml:space="preserve">81418138</t>
  </si>
  <si>
    <t xml:space="preserve">J459,J960</t>
  </si>
  <si>
    <t xml:space="preserve">GRANDEZ CUIPAL EUFEMIA</t>
  </si>
  <si>
    <t xml:space="preserve">33781437</t>
  </si>
  <si>
    <t xml:space="preserve">S523</t>
  </si>
  <si>
    <t xml:space="preserve">HUAMAN LLANCA MILAGRITOS</t>
  </si>
  <si>
    <t xml:space="preserve">72261583</t>
  </si>
  <si>
    <t xml:space="preserve">O422</t>
  </si>
  <si>
    <t xml:space="preserve">BARDALES ECHAIZ ELIAM</t>
  </si>
  <si>
    <t xml:space="preserve">72240374</t>
  </si>
  <si>
    <t xml:space="preserve">FARJE VARGAS SESI YANELA</t>
  </si>
  <si>
    <t xml:space="preserve">70968953</t>
  </si>
  <si>
    <t xml:space="preserve">TASILLA LOPEZ LUZ AURORA</t>
  </si>
  <si>
    <t xml:space="preserve">47382699</t>
  </si>
  <si>
    <t xml:space="preserve">I828,N200,E119</t>
  </si>
  <si>
    <t xml:space="preserve">0000101</t>
  </si>
  <si>
    <t xml:space="preserve">NINA SONCCO ELSA JUSTA</t>
  </si>
  <si>
    <t xml:space="preserve">40563198</t>
  </si>
  <si>
    <t xml:space="preserve">0000102</t>
  </si>
  <si>
    <t xml:space="preserve">HUAMANTA DIAZ EDILMER</t>
  </si>
  <si>
    <t xml:space="preserve">62150318</t>
  </si>
  <si>
    <t xml:space="preserve">S925,S971</t>
  </si>
  <si>
    <t xml:space="preserve">0000103</t>
  </si>
  <si>
    <t xml:space="preserve">0000104</t>
  </si>
  <si>
    <t xml:space="preserve">ALVIS CHICANA JOSE LUIS</t>
  </si>
  <si>
    <t xml:space="preserve">33738227</t>
  </si>
  <si>
    <t xml:space="preserve">R104,K859,K802</t>
  </si>
  <si>
    <t xml:space="preserve">BUSTOS PUSCAN AQUELINO</t>
  </si>
  <si>
    <t xml:space="preserve">46606439</t>
  </si>
  <si>
    <t xml:space="preserve">S202,S420</t>
  </si>
  <si>
    <t xml:space="preserve">0000105</t>
  </si>
  <si>
    <t xml:space="preserve">BUSTAMANTE BAUTISTA RICHARRD JEFERSON</t>
  </si>
  <si>
    <t xml:space="preserve">81032122</t>
  </si>
  <si>
    <t xml:space="preserve">VELASQUEZ GALLARDO NEYDA MARLENI</t>
  </si>
  <si>
    <t xml:space="preserve">R310,K85X,K810</t>
  </si>
  <si>
    <t xml:space="preserve">0000106</t>
  </si>
  <si>
    <t xml:space="preserve">MEJIA BURGA MARY SELENI</t>
  </si>
  <si>
    <t xml:space="preserve">47979856</t>
  </si>
  <si>
    <t xml:space="preserve">O459,Z359</t>
  </si>
  <si>
    <t xml:space="preserve">TUCTO HORNA MERCY MELISA</t>
  </si>
  <si>
    <t xml:space="preserve">62147932</t>
  </si>
  <si>
    <t xml:space="preserve">Z356,O809</t>
  </si>
  <si>
    <t xml:space="preserve">CHAVEZ HUAMAN MARISOL</t>
  </si>
  <si>
    <t xml:space="preserve">75050762</t>
  </si>
  <si>
    <t xml:space="preserve">SANCHEZ PAISIG SILVIA</t>
  </si>
  <si>
    <t xml:space="preserve">47679685</t>
  </si>
  <si>
    <t xml:space="preserve">Z348,O471,O990</t>
  </si>
  <si>
    <t xml:space="preserve">ROMERO PELAEZ JESUS MAXIMILIANO</t>
  </si>
  <si>
    <t xml:space="preserve">81686231</t>
  </si>
  <si>
    <t xml:space="preserve">DEVOLUCION AL C.S. LEYMEBAMBA</t>
  </si>
  <si>
    <t xml:space="preserve">ROJAS MARIN DENIS VIDELINA</t>
  </si>
  <si>
    <t xml:space="preserve">46025820</t>
  </si>
  <si>
    <t xml:space="preserve">P209</t>
  </si>
  <si>
    <t xml:space="preserve">GUEVARA RIVERA JUAN</t>
  </si>
  <si>
    <t xml:space="preserve">80402470</t>
  </si>
  <si>
    <t xml:space="preserve">K358</t>
  </si>
  <si>
    <t xml:space="preserve">REPORTE DE TRASLADO DE PACIENTES SIS DEL MES DE ENERO 2026 PARA REPOSICION DE COMBUSTIBLE</t>
  </si>
  <si>
    <t xml:space="preserve">NOMBRE
CONDUCTOR</t>
  </si>
  <si>
    <t xml:space="preserve">ESTADO
COMPLETADO</t>
  </si>
  <si>
    <t xml:space="preserve">CIEZA RIOS AYLANI ELIZABETH</t>
  </si>
  <si>
    <t xml:space="preserve">94063517</t>
  </si>
  <si>
    <t xml:space="preserve">R509,R560</t>
  </si>
  <si>
    <t xml:space="preserve">DIAZ MESIA DIANELIT THALIA</t>
  </si>
  <si>
    <t xml:space="preserve">75729771</t>
  </si>
  <si>
    <t xml:space="preserve">0000284</t>
  </si>
  <si>
    <t xml:space="preserve">ZELADA SANTILLAN EWHAN ADIEL</t>
  </si>
  <si>
    <t xml:space="preserve">92682700</t>
  </si>
  <si>
    <t xml:space="preserve">K359,R509,N390</t>
  </si>
  <si>
    <t xml:space="preserve">0000285</t>
  </si>
  <si>
    <t xml:space="preserve">RODRIGUEZ CALDERON JESUS SALVADOR</t>
  </si>
  <si>
    <t xml:space="preserve">33950773</t>
  </si>
  <si>
    <t xml:space="preserve">K659,N189,I10X</t>
  </si>
  <si>
    <t xml:space="preserve">0000286</t>
  </si>
  <si>
    <t xml:space="preserve">HUAMAN HUAMAN LUZ CLARITA</t>
  </si>
  <si>
    <t xml:space="preserve">73632523</t>
  </si>
  <si>
    <t xml:space="preserve">N390,G419,A419</t>
  </si>
  <si>
    <t xml:space="preserve">GUSMAN ALVARADO CESAR</t>
  </si>
  <si>
    <t xml:space="preserve">45825389</t>
  </si>
  <si>
    <t xml:space="preserve">0000287</t>
  </si>
  <si>
    <t xml:space="preserve">PORTOCARRERO GRANDEZ GLORIA VILMITA</t>
  </si>
  <si>
    <t xml:space="preserve">43504295</t>
  </si>
  <si>
    <t xml:space="preserve">O689,O366</t>
  </si>
  <si>
    <t xml:space="preserve">0000288</t>
  </si>
  <si>
    <t xml:space="preserve">VARGAS TUESTA BRISTYN PAOLO</t>
  </si>
  <si>
    <t xml:space="preserve">91225101</t>
  </si>
  <si>
    <t xml:space="preserve">S069,H540</t>
  </si>
  <si>
    <t xml:space="preserve">LEON DELGADO EIMI YAMILET</t>
  </si>
  <si>
    <t xml:space="preserve">61561896</t>
  </si>
  <si>
    <t xml:space="preserve">0000289</t>
  </si>
  <si>
    <t xml:space="preserve">TAFUR LOPEZ SEGUNDO PACIFICO</t>
  </si>
  <si>
    <t xml:space="preserve">44932120</t>
  </si>
  <si>
    <t xml:space="preserve">S819,I10X</t>
  </si>
  <si>
    <t xml:space="preserve">0000290</t>
  </si>
  <si>
    <t xml:space="preserve">VILLA LOPEZ NEILI DANITZA</t>
  </si>
  <si>
    <t xml:space="preserve">44401644</t>
  </si>
  <si>
    <t xml:space="preserve">0000291</t>
  </si>
  <si>
    <t xml:space="preserve">FERNANDEZ LOPEZ GIL AUGUSTO</t>
  </si>
  <si>
    <t xml:space="preserve">33946545</t>
  </si>
  <si>
    <t xml:space="preserve">K922,I850,K703</t>
  </si>
  <si>
    <t xml:space="preserve">0000292</t>
  </si>
  <si>
    <t xml:space="preserve">ARANA LOPEZ MARILIZ MISHEL</t>
  </si>
  <si>
    <t xml:space="preserve">78095143</t>
  </si>
  <si>
    <t xml:space="preserve">O050</t>
  </si>
  <si>
    <t xml:space="preserve">0000293</t>
  </si>
  <si>
    <t xml:space="preserve">LUCERO TUESTA MARBELI</t>
  </si>
  <si>
    <t xml:space="preserve">63365856</t>
  </si>
  <si>
    <t xml:space="preserve">O600,O420</t>
  </si>
  <si>
    <t xml:space="preserve">REYES VASQUEZ JOAO YADIEL</t>
  </si>
  <si>
    <t xml:space="preserve">94359638</t>
  </si>
  <si>
    <t xml:space="preserve">A419,J159</t>
  </si>
  <si>
    <t xml:space="preserve">0000294</t>
  </si>
  <si>
    <t xml:space="preserve">CASTRO DE VARGAS JUSTINA</t>
  </si>
  <si>
    <t xml:space="preserve">33944106</t>
  </si>
  <si>
    <t xml:space="preserve">A419,K922,J960</t>
  </si>
  <si>
    <t xml:space="preserve">OBLITAS VASQUEZ YENNY</t>
  </si>
  <si>
    <t xml:space="preserve">77346512</t>
  </si>
  <si>
    <t xml:space="preserve">0000295</t>
  </si>
  <si>
    <t xml:space="preserve">TAFUR SALDAÑA JUAN ALBERTO</t>
  </si>
  <si>
    <t xml:space="preserve">33941504</t>
  </si>
  <si>
    <t xml:space="preserve">J960,A156,C349</t>
  </si>
  <si>
    <t xml:space="preserve">0000297</t>
  </si>
  <si>
    <t xml:space="preserve">LOPEZ VILCAROMERO MARIKELI</t>
  </si>
  <si>
    <t xml:space="preserve">60526420</t>
  </si>
  <si>
    <t xml:space="preserve">CHAVEZ AREVALO FLORES MILA</t>
  </si>
  <si>
    <t xml:space="preserve">72686690</t>
  </si>
  <si>
    <t xml:space="preserve">R100,R359</t>
  </si>
  <si>
    <t xml:space="preserve">0000298</t>
  </si>
  <si>
    <t xml:space="preserve">SANCHEZ REVILLA JHOSELI MANUELITA</t>
  </si>
  <si>
    <t xml:space="preserve">60035393</t>
  </si>
  <si>
    <t xml:space="preserve">Z359,O420,O470</t>
  </si>
  <si>
    <t xml:space="preserve">SILVA TAFUR DEICY MADAY</t>
  </si>
  <si>
    <t xml:space="preserve">40662457</t>
  </si>
  <si>
    <t xml:space="preserve">CRUZ CRUZ HILDA MERCEDES</t>
  </si>
  <si>
    <t xml:space="preserve">33420344</t>
  </si>
  <si>
    <t xml:space="preserve">S528</t>
  </si>
  <si>
    <t xml:space="preserve">0000300</t>
  </si>
  <si>
    <t xml:space="preserve">MUÑOZ BUSTAMANTE MARINA MELANIA</t>
  </si>
  <si>
    <t xml:space="preserve">47349553</t>
  </si>
  <si>
    <t xml:space="preserve">O469,O459,O470</t>
  </si>
  <si>
    <t xml:space="preserve">0000301</t>
  </si>
  <si>
    <t xml:space="preserve">GOMEZ AQUINO CIELO IRAHY</t>
  </si>
  <si>
    <t xml:space="preserve">90953258</t>
  </si>
  <si>
    <t xml:space="preserve">G402,J159,R509</t>
  </si>
  <si>
    <t xml:space="preserve">0000030</t>
  </si>
  <si>
    <t xml:space="preserve">ROJAS SANCHEZ TEODOLIO</t>
  </si>
  <si>
    <t xml:space="preserve">33415767</t>
  </si>
  <si>
    <t xml:space="preserve">J80X,J441,J180</t>
  </si>
  <si>
    <t xml:space="preserve">0000031</t>
  </si>
  <si>
    <t xml:space="preserve">HUAMAN HUAMAN MARLENI</t>
  </si>
  <si>
    <t xml:space="preserve">43609007</t>
  </si>
  <si>
    <t xml:space="preserve">E86X,R100,K803</t>
  </si>
  <si>
    <t xml:space="preserve">ZAGACETA RAMOS NICOLAS MARTIN</t>
  </si>
  <si>
    <t xml:space="preserve">80812524</t>
  </si>
  <si>
    <t xml:space="preserve">S099</t>
  </si>
  <si>
    <t xml:space="preserve">MAS MONTOYA ROSA VICTORIA</t>
  </si>
  <si>
    <t xml:space="preserve">33423243</t>
  </si>
  <si>
    <t xml:space="preserve">J960,R739,S018</t>
  </si>
  <si>
    <t xml:space="preserve">CANLLA GEBOL CELIDONIA</t>
  </si>
  <si>
    <t xml:space="preserve">48797632</t>
  </si>
  <si>
    <t xml:space="preserve">N950,D500,R11X</t>
  </si>
  <si>
    <t xml:space="preserve">ROJAS VARGAS MARIA CARMEN</t>
  </si>
  <si>
    <t xml:space="preserve">47181498</t>
  </si>
  <si>
    <t xml:space="preserve">IZQUERDO CORDOVA LUZ MERY</t>
  </si>
  <si>
    <t xml:space="preserve">46555340</t>
  </si>
  <si>
    <t xml:space="preserve">0000048</t>
  </si>
  <si>
    <t xml:space="preserve">CHAVEZ LLANOS MILAGRO JHUDITH</t>
  </si>
  <si>
    <t xml:space="preserve">78374986</t>
  </si>
  <si>
    <t xml:space="preserve">0000049</t>
  </si>
  <si>
    <t xml:space="preserve">ROJAS SILVA JOSE ALVINO</t>
  </si>
  <si>
    <t xml:space="preserve">33417523</t>
  </si>
  <si>
    <t xml:space="preserve">J90X,J969</t>
  </si>
  <si>
    <t xml:space="preserve">0000050</t>
  </si>
  <si>
    <t xml:space="preserve">HERAS TRAUCO MAYRITH ELIZABETH</t>
  </si>
  <si>
    <t xml:space="preserve">75528172</t>
  </si>
  <si>
    <t xml:space="preserve">OLASCUAGA ALVA GILVER</t>
  </si>
  <si>
    <t xml:space="preserve">33813117</t>
  </si>
  <si>
    <t xml:space="preserve">S707,S397</t>
  </si>
  <si>
    <t xml:space="preserve">LOPEZ CHAVEZ MARIA</t>
  </si>
  <si>
    <t xml:space="preserve">SOPLIN CRUZ ITALA</t>
  </si>
  <si>
    <t xml:space="preserve">46091617</t>
  </si>
  <si>
    <t xml:space="preserve">REVILLA CASTREJO ROSA</t>
  </si>
  <si>
    <t xml:space="preserve">O318,O429</t>
  </si>
  <si>
    <t xml:space="preserve">SUCASACA GOMEZ MILAGROS SOFIA</t>
  </si>
  <si>
    <t xml:space="preserve">77664061</t>
  </si>
  <si>
    <t xml:space="preserve">O324,P051</t>
  </si>
  <si>
    <t xml:space="preserve">0000114</t>
  </si>
  <si>
    <t xml:space="preserve">CULQUI LOPEZHAYA EMILIO</t>
  </si>
  <si>
    <t xml:space="preserve">33729630</t>
  </si>
  <si>
    <t xml:space="preserve">R100,K661</t>
  </si>
  <si>
    <t xml:space="preserve">OBLITAS SOLANO NILO</t>
  </si>
  <si>
    <t xml:space="preserve">33784375</t>
  </si>
  <si>
    <t xml:space="preserve">K703,E161</t>
  </si>
  <si>
    <t xml:space="preserve">0000115</t>
  </si>
  <si>
    <t xml:space="preserve">GALOC CHAVEZ MAYLI LEONOR</t>
  </si>
  <si>
    <t xml:space="preserve">60030450</t>
  </si>
  <si>
    <t xml:space="preserve">VILLAVICENCIO HERNANDEZ WIDMER</t>
  </si>
  <si>
    <t xml:space="preserve">42347377</t>
  </si>
  <si>
    <t xml:space="preserve">G459,I64X</t>
  </si>
  <si>
    <t xml:space="preserve">VARGAS GRANDEZ GUSTAVO</t>
  </si>
  <si>
    <t xml:space="preserve">33944112</t>
  </si>
  <si>
    <t xml:space="preserve">0000118</t>
  </si>
  <si>
    <t xml:space="preserve">CHAVEZ YOMONA MILTON</t>
  </si>
  <si>
    <t xml:space="preserve">33738999</t>
  </si>
  <si>
    <t xml:space="preserve">0000119</t>
  </si>
  <si>
    <t xml:space="preserve">MEZA GUERRA SEBASTIAN LUIS ALEXANDER</t>
  </si>
  <si>
    <t xml:space="preserve">91006502</t>
  </si>
  <si>
    <t xml:space="preserve">R509,D728,R590</t>
  </si>
  <si>
    <t xml:space="preserve">LOPEZ RIVA KELLY</t>
  </si>
  <si>
    <t xml:space="preserve">75083848</t>
  </si>
  <si>
    <t xml:space="preserve">Z358,O120,O13X</t>
  </si>
  <si>
    <t xml:space="preserve">0000120</t>
  </si>
  <si>
    <t xml:space="preserve">CASAS AGUILAR JUAN</t>
  </si>
  <si>
    <t xml:space="preserve">80233101</t>
  </si>
  <si>
    <t xml:space="preserve">D500,K922,K270</t>
  </si>
  <si>
    <t xml:space="preserve">0000004</t>
  </si>
  <si>
    <t xml:space="preserve">HUAMAN LOPEZ FIDENCIO ARTEMIO</t>
  </si>
  <si>
    <t xml:space="preserve">33946769</t>
  </si>
  <si>
    <t xml:space="preserve">I509</t>
  </si>
  <si>
    <t xml:space="preserve">EDQUEN IDROGO MAXIMILIANO</t>
  </si>
  <si>
    <t xml:space="preserve">33431626</t>
  </si>
  <si>
    <t xml:space="preserve">HERNANDEZ DE LOPEZ CLOTILDE</t>
  </si>
  <si>
    <t xml:space="preserve">33945367</t>
  </si>
  <si>
    <t xml:space="preserve">S729,I10X</t>
  </si>
  <si>
    <t xml:space="preserve">0000121</t>
  </si>
  <si>
    <t xml:space="preserve">DAZA CHASQUIBOL KARINA</t>
  </si>
  <si>
    <t xml:space="preserve">42056398</t>
  </si>
  <si>
    <t xml:space="preserve">AGUIRRE CHUQUIPIONDO ELIZABETH</t>
  </si>
  <si>
    <t xml:space="preserve">60229552</t>
  </si>
  <si>
    <t xml:space="preserve">VALLE HIDALGO JULIA CONSUELO</t>
  </si>
  <si>
    <t xml:space="preserve">33421228</t>
  </si>
  <si>
    <t xml:space="preserve">S922</t>
  </si>
  <si>
    <t xml:space="preserve">D649,R101</t>
  </si>
  <si>
    <t xml:space="preserve">0000122</t>
  </si>
  <si>
    <t xml:space="preserve">TORRES CANTA FRANCE YOSELIN</t>
  </si>
  <si>
    <t xml:space="preserve">76059052</t>
  </si>
  <si>
    <t xml:space="preserve">0000307</t>
  </si>
  <si>
    <t xml:space="preserve">O342,O469,O459</t>
  </si>
  <si>
    <t xml:space="preserve">PORTOCARRERO PORTOCARRERO MARIA</t>
  </si>
  <si>
    <t xml:space="preserve">46109691</t>
  </si>
  <si>
    <t xml:space="preserve">Z359,O141</t>
  </si>
  <si>
    <t xml:space="preserve">VALLEJOS FERNANDEZ SEILI DEL CARMEN</t>
  </si>
  <si>
    <t xml:space="preserve">76650410</t>
  </si>
  <si>
    <t xml:space="preserve">GOMEZ GOMEZ MAYCOL LLAMPIER</t>
  </si>
  <si>
    <t xml:space="preserve">60032138</t>
  </si>
  <si>
    <t xml:space="preserve">S009,S017</t>
  </si>
  <si>
    <t xml:space="preserve">SANTILLAN YALTA SEGUNDO MELQUIADES</t>
  </si>
  <si>
    <t xml:space="preserve">41690429</t>
  </si>
  <si>
    <t xml:space="preserve">S517,S301,S700</t>
  </si>
  <si>
    <t xml:space="preserve">RODRIGUEZ CHAVEZ RELI JHUDIT</t>
  </si>
  <si>
    <t xml:space="preserve">48765807</t>
  </si>
  <si>
    <t xml:space="preserve">O369,O210</t>
  </si>
  <si>
    <t xml:space="preserve">0000116</t>
  </si>
  <si>
    <t xml:space="preserve">ESPARRAGA CASTILLO KEYNE MICHEL</t>
  </si>
  <si>
    <t xml:space="preserve">94051643</t>
  </si>
  <si>
    <t xml:space="preserve">E86X,R11X,R509</t>
  </si>
  <si>
    <t xml:space="preserve">VALLEJOS FUENTES ROYMER</t>
  </si>
  <si>
    <t xml:space="preserve">41151923</t>
  </si>
  <si>
    <t xml:space="preserve">S469</t>
  </si>
  <si>
    <t xml:space="preserve">GUADALUPE MELENDEZ SILVIA MERCEDES</t>
  </si>
  <si>
    <t xml:space="preserve">80399218</t>
  </si>
  <si>
    <t xml:space="preserve">LOPEZ RAMOS YOBANITA</t>
  </si>
  <si>
    <t xml:space="preserve">61683414</t>
  </si>
  <si>
    <t xml:space="preserve">LEIVA AGUILAR SABINA</t>
  </si>
  <si>
    <t xml:space="preserve">70208555</t>
  </si>
  <si>
    <t xml:space="preserve">FERNANDEZ GUEVARA DELA MARIBEL</t>
  </si>
  <si>
    <t xml:space="preserve">43009631</t>
  </si>
  <si>
    <t xml:space="preserve">I160,I499,E878</t>
  </si>
  <si>
    <t xml:space="preserve">HERRERA VASQUEZ MARY LUZ</t>
  </si>
  <si>
    <t xml:space="preserve">71622319</t>
  </si>
  <si>
    <t xml:space="preserve">Z390,O730</t>
  </si>
  <si>
    <t xml:space="preserve">VASQUEZ ABANTO YRAIDA</t>
  </si>
  <si>
    <t xml:space="preserve">45514612</t>
  </si>
  <si>
    <t xml:space="preserve">0000305</t>
  </si>
  <si>
    <t xml:space="preserve">NEYRA ROMAN ELENITA</t>
  </si>
  <si>
    <t xml:space="preserve">60462057</t>
  </si>
  <si>
    <t xml:space="preserve">0000296</t>
  </si>
  <si>
    <t xml:space="preserve">HUAMAN HIDALGO MARILACI</t>
  </si>
  <si>
    <t xml:space="preserve">61644056</t>
  </si>
  <si>
    <t xml:space="preserve">O365,O471</t>
  </si>
  <si>
    <t xml:space="preserve">0000299</t>
  </si>
  <si>
    <t xml:space="preserve">DIAZ HERRERA MARIA LUZVINDA</t>
  </si>
  <si>
    <t xml:space="preserve">80585000</t>
  </si>
  <si>
    <t xml:space="preserve">I21X</t>
  </si>
  <si>
    <t xml:space="preserve">0000117</t>
  </si>
  <si>
    <t xml:space="preserve">DIAZ VEGA NICANOR</t>
  </si>
  <si>
    <t xml:space="preserve">48772344</t>
  </si>
  <si>
    <t xml:space="preserve">HERRERA OBLITAS VRIJIDA</t>
  </si>
  <si>
    <t xml:space="preserve">48797626</t>
  </si>
  <si>
    <t xml:space="preserve">CARRANZA CACHAY LUZ AURORA</t>
  </si>
  <si>
    <t xml:space="preserve">46007941</t>
  </si>
  <si>
    <t xml:space="preserve">O60X,O429</t>
  </si>
  <si>
    <t xml:space="preserve">VARGAS PITA WILFREDO</t>
  </si>
  <si>
    <t xml:space="preserve">42749598</t>
  </si>
  <si>
    <t xml:space="preserve">ROJAS BAUTISTA ILDA</t>
  </si>
  <si>
    <t xml:space="preserve">71257561</t>
  </si>
  <si>
    <t xml:space="preserve">Z359,O998</t>
  </si>
  <si>
    <t xml:space="preserve">TRUJILLO LUCANA DANITZA DAYANA</t>
  </si>
  <si>
    <t xml:space="preserve">75078001</t>
  </si>
  <si>
    <t xml:space="preserve">I509,Q249</t>
  </si>
  <si>
    <t xml:space="preserve">0000123</t>
  </si>
  <si>
    <t xml:space="preserve">VILCA AGUILAR EDWUIN HILARIO</t>
  </si>
  <si>
    <t xml:space="preserve">9622495</t>
  </si>
  <si>
    <t xml:space="preserve">A049,R11X,N390,K359</t>
  </si>
  <si>
    <t xml:space="preserve">POQUIOMA CHAVEZ ENOMI</t>
  </si>
  <si>
    <t xml:space="preserve">43914122</t>
  </si>
  <si>
    <t xml:space="preserve">O064</t>
  </si>
  <si>
    <t xml:space="preserve">0000304</t>
  </si>
  <si>
    <t xml:space="preserve">ARISTA SALAZAR JULIAN</t>
  </si>
  <si>
    <t xml:space="preserve">33948728</t>
  </si>
  <si>
    <t xml:space="preserve">K566,A010</t>
  </si>
  <si>
    <t xml:space="preserve">RIVA MUÑOZ ALIPIO</t>
  </si>
  <si>
    <t xml:space="preserve">33948299</t>
  </si>
  <si>
    <t xml:space="preserve">I500,R011,N188</t>
  </si>
  <si>
    <t xml:space="preserve">REPORTE DE TRASLADO DE PACIENTES SIS DEL MES DE FEBRERO 2026 PARA REPOSICION DE COMBUSTIBLE</t>
  </si>
  <si>
    <t xml:space="preserve">CHOCA CHAPPA LIS JHISENIA</t>
  </si>
  <si>
    <t xml:space="preserve">77292793</t>
  </si>
  <si>
    <t xml:space="preserve">ANGELES BAUTISTA MARIA NATIVIDAD</t>
  </si>
  <si>
    <t xml:space="preserve">33780891</t>
  </si>
  <si>
    <t xml:space="preserve">ROJAS MENDOZA ESTHER</t>
  </si>
  <si>
    <t xml:space="preserve">61751899</t>
  </si>
  <si>
    <t xml:space="preserve">LOJA ALVA KEISY BRIGITH</t>
  </si>
  <si>
    <t xml:space="preserve">77571420</t>
  </si>
  <si>
    <t xml:space="preserve">SAUCEDO RODRIGUEZ ISOLINA</t>
  </si>
  <si>
    <t xml:space="preserve">60268271</t>
  </si>
  <si>
    <t xml:space="preserve">Z359,O10X</t>
  </si>
  <si>
    <t xml:space="preserve">00000308</t>
  </si>
  <si>
    <t xml:space="preserve"> MORAN CASTILLO ROSA YOLANDA</t>
  </si>
  <si>
    <t xml:space="preserve">16578620</t>
  </si>
  <si>
    <t xml:space="preserve">A419,E162,E119</t>
  </si>
  <si>
    <t xml:space="preserve">PEREZ BERNILLA GERSON JHAIMIR</t>
  </si>
  <si>
    <t xml:space="preserve">60302054</t>
  </si>
  <si>
    <t xml:space="preserve">S300,S320</t>
  </si>
  <si>
    <t xml:space="preserve">HUAMAN PUERTA EIMY LUCIANA</t>
  </si>
  <si>
    <t xml:space="preserve">94533673</t>
  </si>
  <si>
    <t xml:space="preserve">GUEVARA FUENTES NAJAT</t>
  </si>
  <si>
    <t xml:space="preserve">90945709</t>
  </si>
  <si>
    <t xml:space="preserve">TUESTA AÑASCO MATEO SMITH</t>
  </si>
  <si>
    <t xml:space="preserve">93920953</t>
  </si>
  <si>
    <t xml:space="preserve">00000119</t>
  </si>
  <si>
    <t xml:space="preserve">60368271</t>
  </si>
  <si>
    <t xml:space="preserve">Z359,O149,O688</t>
  </si>
  <si>
    <t xml:space="preserve">VASQUEZ FASABI AILANY DANITZA</t>
  </si>
  <si>
    <t xml:space="preserve">94484594</t>
  </si>
  <si>
    <t xml:space="preserve">L500,N390</t>
  </si>
  <si>
    <t xml:space="preserve">JULCA RAMOS ERLIN ALEXANDER</t>
  </si>
  <si>
    <t xml:space="preserve">62198629</t>
  </si>
  <si>
    <t xml:space="preserve">00000309</t>
  </si>
  <si>
    <t xml:space="preserve">TORRES ALFREDO</t>
  </si>
  <si>
    <t xml:space="preserve">49022631</t>
  </si>
  <si>
    <t xml:space="preserve">ROJAS GUELAC ALEXANDRA</t>
  </si>
  <si>
    <t xml:space="preserve">60302212</t>
  </si>
  <si>
    <t xml:space="preserve">O200,O064</t>
  </si>
  <si>
    <t xml:space="preserve">BARDALES RITUAY LUCINDA</t>
  </si>
  <si>
    <t xml:space="preserve">ANGELES DELCRUS JUANA</t>
  </si>
  <si>
    <t xml:space="preserve">48671328</t>
  </si>
  <si>
    <t xml:space="preserve">00000310</t>
  </si>
  <si>
    <t xml:space="preserve">ESPICHAN VARGAS PEDRO PABLO</t>
  </si>
  <si>
    <t xml:space="preserve">46532820</t>
  </si>
  <si>
    <t xml:space="preserve">CARUAJULCA LEYVA LUSDINA</t>
  </si>
  <si>
    <t xml:space="preserve">42474105</t>
  </si>
  <si>
    <t xml:space="preserve">00000311</t>
  </si>
  <si>
    <t xml:space="preserve">LOZANO ARCE EVA</t>
  </si>
  <si>
    <t xml:space="preserve">44739103</t>
  </si>
  <si>
    <t xml:space="preserve">TUESTA VALQUI NELIDA ASUNTA</t>
  </si>
  <si>
    <t xml:space="preserve">43352386</t>
  </si>
  <si>
    <t xml:space="preserve">I10X,G419</t>
  </si>
  <si>
    <t xml:space="preserve">F449</t>
  </si>
  <si>
    <t xml:space="preserve">CASTAÑEDA POQUIOMA MIRTA</t>
  </si>
  <si>
    <t xml:space="preserve">70318112</t>
  </si>
  <si>
    <t xml:space="preserve">O141,O221</t>
  </si>
  <si>
    <t xml:space="preserve">RAMOS BARRERA LUZ DELINDA</t>
  </si>
  <si>
    <t xml:space="preserve">62219395</t>
  </si>
  <si>
    <t xml:space="preserve">Z359,O759</t>
  </si>
  <si>
    <t xml:space="preserve">NUÑEZ VILCA DALIA NOEMI</t>
  </si>
  <si>
    <t xml:space="preserve">74419174</t>
  </si>
  <si>
    <t xml:space="preserve">O064,D509</t>
  </si>
  <si>
    <t xml:space="preserve">00000312</t>
  </si>
  <si>
    <t xml:space="preserve">VARGAS AGUILAR JOSE EULER</t>
  </si>
  <si>
    <t xml:space="preserve">40472594</t>
  </si>
  <si>
    <t xml:space="preserve">I10X,I499,I500</t>
  </si>
  <si>
    <t xml:space="preserve">HUAMAN CHUQUIZUTA EDWARS</t>
  </si>
  <si>
    <t xml:space="preserve">63397123</t>
  </si>
  <si>
    <t xml:space="preserve">S611,S625</t>
  </si>
  <si>
    <t xml:space="preserve">VALLE MONTENEGRO JHEYCO</t>
  </si>
  <si>
    <t xml:space="preserve">72807396</t>
  </si>
  <si>
    <t xml:space="preserve">K358,N390</t>
  </si>
  <si>
    <t xml:space="preserve">00000313</t>
  </si>
  <si>
    <t xml:space="preserve">J441,I500</t>
  </si>
  <si>
    <t xml:space="preserve">CRUZ PIZAN KEIKO MAGALY</t>
  </si>
  <si>
    <t xml:space="preserve">73309506</t>
  </si>
  <si>
    <t xml:space="preserve">SIFUENTES MENDOZA JULIANA NAOMI</t>
  </si>
  <si>
    <t xml:space="preserve">70700554</t>
  </si>
  <si>
    <t xml:space="preserve">O150</t>
  </si>
  <si>
    <t xml:space="preserve">FLORINDEZ ROJAS GHERAL</t>
  </si>
  <si>
    <t xml:space="preserve">90033095</t>
  </si>
  <si>
    <t xml:space="preserve">NUNCEVAY ORDOÑEZ LALLY AMPARO</t>
  </si>
  <si>
    <t xml:space="preserve">75658490</t>
  </si>
  <si>
    <t xml:space="preserve">00000314</t>
  </si>
  <si>
    <t xml:space="preserve">HUAMAN HUAMAN JUAN JOSE</t>
  </si>
  <si>
    <t xml:space="preserve">33960724</t>
  </si>
  <si>
    <t xml:space="preserve">J960,J441,I509</t>
  </si>
  <si>
    <t xml:space="preserve">CHAVEZ ZABALETA EULOGIA</t>
  </si>
  <si>
    <t xml:space="preserve">33789829</t>
  </si>
  <si>
    <t xml:space="preserve">I509,N390</t>
  </si>
  <si>
    <t xml:space="preserve">FLORES DE OLIVARES MAGNOLIA</t>
  </si>
  <si>
    <t xml:space="preserve">33802091</t>
  </si>
  <si>
    <t xml:space="preserve">R104,N390,K729,N179,J960</t>
  </si>
  <si>
    <t xml:space="preserve">PUSCAN HUAMAN NORIT IRAKCE</t>
  </si>
  <si>
    <t xml:space="preserve">60708321</t>
  </si>
  <si>
    <t xml:space="preserve">I609</t>
  </si>
  <si>
    <t xml:space="preserve">VIGIL CUBAS MARTHA RENE</t>
  </si>
  <si>
    <t xml:space="preserve">72708806</t>
  </si>
  <si>
    <t xml:space="preserve">Z359,O691</t>
  </si>
  <si>
    <t xml:space="preserve">LEIVA MARRUFO ELVA MAYANI</t>
  </si>
  <si>
    <t xml:space="preserve">48313315</t>
  </si>
  <si>
    <t xml:space="preserve">Z349,O200</t>
  </si>
  <si>
    <t xml:space="preserve">00000315</t>
  </si>
  <si>
    <t xml:space="preserve">LOPEZ TORRES YURI KATERIN</t>
  </si>
  <si>
    <t xml:space="preserve">71962443</t>
  </si>
  <si>
    <t xml:space="preserve">SILVA VASQUEZ ESTER</t>
  </si>
  <si>
    <t xml:space="preserve">62174169</t>
  </si>
  <si>
    <t xml:space="preserve">HERRERA CULLAMPE DINA</t>
  </si>
  <si>
    <t xml:space="preserve">60349371</t>
  </si>
  <si>
    <t xml:space="preserve">YOPLAC TRUJILLO VILMA</t>
  </si>
  <si>
    <t xml:space="preserve">48771580</t>
  </si>
  <si>
    <t xml:space="preserve">O429,Z359</t>
  </si>
  <si>
    <t xml:space="preserve">00000316</t>
  </si>
  <si>
    <t xml:space="preserve">ROMAN MORETO DANY MARLITH</t>
  </si>
  <si>
    <t xml:space="preserve">74938552</t>
  </si>
  <si>
    <t xml:space="preserve">O600,O234</t>
  </si>
  <si>
    <t xml:space="preserve">HERRERA GUELAC ABIGAIL</t>
  </si>
  <si>
    <t xml:space="preserve">60229616</t>
  </si>
  <si>
    <t xml:space="preserve">O639,O234</t>
  </si>
  <si>
    <t xml:space="preserve">MASLUCAN FIGUEROA LISBETH MILENE</t>
  </si>
  <si>
    <t xml:space="preserve">75958106</t>
  </si>
  <si>
    <t xml:space="preserve">R571,O031,S019</t>
  </si>
  <si>
    <t xml:space="preserve">O368,O234</t>
  </si>
  <si>
    <t xml:space="preserve">INGA FLORES ZULEMA</t>
  </si>
  <si>
    <t xml:space="preserve">75257960</t>
  </si>
  <si>
    <t xml:space="preserve">O439,O48X</t>
  </si>
  <si>
    <t xml:space="preserve">HUAMAN GUELAC MARBELIT</t>
  </si>
  <si>
    <t xml:space="preserve">72110655</t>
  </si>
  <si>
    <t xml:space="preserve">CHAVEZ HUAYAMIS MERCEDES</t>
  </si>
  <si>
    <t xml:space="preserve">63296418</t>
  </si>
  <si>
    <t xml:space="preserve">BARBOZA VASQUEZ SEGUNDO LEONIDAS</t>
  </si>
  <si>
    <t xml:space="preserve">33741567</t>
  </si>
  <si>
    <t xml:space="preserve">R104,K358</t>
  </si>
  <si>
    <t xml:space="preserve">LOPEZ CORONEL RN</t>
  </si>
  <si>
    <t xml:space="preserve">11281148</t>
  </si>
  <si>
    <t xml:space="preserve">P073,Q792</t>
  </si>
  <si>
    <t xml:space="preserve">SILVA RODRIGUEZ CORY</t>
  </si>
  <si>
    <t xml:space="preserve">44358617</t>
  </si>
  <si>
    <t xml:space="preserve">O440</t>
  </si>
  <si>
    <t xml:space="preserve">YNGA YARANGA FELICITA</t>
  </si>
  <si>
    <t xml:space="preserve">19872702</t>
  </si>
  <si>
    <t xml:space="preserve">A010,K85X,R100</t>
  </si>
  <si>
    <t xml:space="preserve">I509,I742</t>
  </si>
  <si>
    <t xml:space="preserve">TRUJILLO LLANOS ROSALIA</t>
  </si>
  <si>
    <t xml:space="preserve">48280579</t>
  </si>
  <si>
    <t xml:space="preserve">HERRERA MARIÑO INGRID CRISTINA</t>
  </si>
  <si>
    <t xml:space="preserve">77216339</t>
  </si>
  <si>
    <t xml:space="preserve">QUISPE CHUQUICUSMA ROXANA</t>
  </si>
  <si>
    <t xml:space="preserve">61811745</t>
  </si>
  <si>
    <t xml:space="preserve">AVILA SANCHEZ LUIS GIANFRANCO</t>
  </si>
  <si>
    <t xml:space="preserve">79865822</t>
  </si>
  <si>
    <t xml:space="preserve">VILCA VALQUI AGUIDA</t>
  </si>
  <si>
    <t xml:space="preserve">33800782</t>
  </si>
  <si>
    <t xml:space="preserve">S529</t>
  </si>
  <si>
    <t xml:space="preserve">JULON CAMPOS DEISI MIRELA</t>
  </si>
  <si>
    <t xml:space="preserve">72458211</t>
  </si>
  <si>
    <t xml:space="preserve">Z359,O480</t>
  </si>
  <si>
    <t xml:space="preserve">VALQUI DE HUAMAN ELISA</t>
  </si>
  <si>
    <t xml:space="preserve">33800690</t>
  </si>
  <si>
    <t xml:space="preserve">SANCHEZ SILVA MARIA IVON</t>
  </si>
  <si>
    <t xml:space="preserve">74700539</t>
  </si>
  <si>
    <t xml:space="preserve">O234,O429</t>
  </si>
  <si>
    <t xml:space="preserve">RODRIGUEZ FERNANDEZ MARIA ESTHER</t>
  </si>
  <si>
    <t xml:space="preserve">43963947</t>
  </si>
  <si>
    <t xml:space="preserve">LOPEZ PORTOCARRERO LEOVIGILDO</t>
  </si>
  <si>
    <t xml:space="preserve">33944247</t>
  </si>
  <si>
    <t xml:space="preserve">I10X,S098</t>
  </si>
  <si>
    <t xml:space="preserve">TAFUR LOPEZ JOSE GIL</t>
  </si>
  <si>
    <t xml:space="preserve">33945002</t>
  </si>
  <si>
    <t xml:space="preserve">JULCA BARRERA LILIANA</t>
  </si>
  <si>
    <t xml:space="preserve">47467877</t>
  </si>
  <si>
    <t xml:space="preserve">O409</t>
  </si>
  <si>
    <t xml:space="preserve">CAMPOVERDE RIVERA TEMISTO</t>
  </si>
  <si>
    <t xml:space="preserve">23170863</t>
  </si>
  <si>
    <t xml:space="preserve">PORTOCARRERO PORTOCARRERO MARIA CRUZ</t>
  </si>
  <si>
    <t xml:space="preserve">N719</t>
  </si>
  <si>
    <t xml:space="preserve">HERRERA IBERICO THALIA</t>
  </si>
  <si>
    <t xml:space="preserve">72304779</t>
  </si>
  <si>
    <t xml:space="preserve">MARIÑAS FERNENDEZ MARITSA</t>
  </si>
  <si>
    <t xml:space="preserve">47444684</t>
  </si>
  <si>
    <t xml:space="preserve">S823</t>
  </si>
  <si>
    <t xml:space="preserve">LOPEZ SANTILLAN AYSEL AMARA</t>
  </si>
  <si>
    <t xml:space="preserve">94185790</t>
  </si>
  <si>
    <t xml:space="preserve">J159</t>
  </si>
  <si>
    <t xml:space="preserve">PEREZ AGUILAR WILSON</t>
  </si>
  <si>
    <t xml:space="preserve">33783927</t>
  </si>
  <si>
    <t xml:space="preserve">R072,I219,I10X</t>
  </si>
  <si>
    <t xml:space="preserve">VILLANUEVA SAYAVERDE CARMELITA</t>
  </si>
  <si>
    <t xml:space="preserve">73693426</t>
  </si>
  <si>
    <t xml:space="preserve">CHUQUIMANGO GOICOCHEA JHONER LUGO</t>
  </si>
  <si>
    <t xml:space="preserve">63289165</t>
  </si>
  <si>
    <t xml:space="preserve">CULQUE CAMAN APOLINAR</t>
  </si>
  <si>
    <t xml:space="preserve">48968517</t>
  </si>
  <si>
    <t xml:space="preserve">N179</t>
  </si>
  <si>
    <t xml:space="preserve">ROCHA PORTOCARRERO JHONER</t>
  </si>
  <si>
    <t xml:space="preserve">62461300</t>
  </si>
  <si>
    <t xml:space="preserve">S913</t>
  </si>
  <si>
    <t xml:space="preserve">SANCHEZ DE GONGORA ZOILA FRANCISCA</t>
  </si>
  <si>
    <t xml:space="preserve">33940132</t>
  </si>
  <si>
    <t xml:space="preserve">K566,I10X,E119</t>
  </si>
  <si>
    <t xml:space="preserve">MONTOYA DETT ANDY ROMAIN</t>
  </si>
  <si>
    <t xml:space="preserve">77022003</t>
  </si>
  <si>
    <t xml:space="preserve">GOSGOT DAZA ELODY STEISY</t>
  </si>
  <si>
    <t xml:space="preserve">94527453</t>
  </si>
  <si>
    <t xml:space="preserve">A09X,P073</t>
  </si>
  <si>
    <t xml:space="preserve">IRURETA QUINDE CLEYDI ELIZABETH</t>
  </si>
  <si>
    <t xml:space="preserve">73497114</t>
  </si>
  <si>
    <t xml:space="preserve">Z359,S822</t>
  </si>
  <si>
    <t xml:space="preserve">GRANDEZ RODRIGUEZ JOSE JOVITO</t>
  </si>
  <si>
    <t xml:space="preserve">33942395</t>
  </si>
  <si>
    <t xml:space="preserve">S069,S021,I10X</t>
  </si>
  <si>
    <t xml:space="preserve">PUSCAN PUERTA DANITZA</t>
  </si>
  <si>
    <t xml:space="preserve">75050753</t>
  </si>
  <si>
    <t xml:space="preserve">R102,N939</t>
  </si>
  <si>
    <t xml:space="preserve">CRUZ DE CORTEGANA FLORINDA</t>
  </si>
  <si>
    <t xml:space="preserve">33426858</t>
  </si>
  <si>
    <t xml:space="preserve">K85X,K803</t>
  </si>
  <si>
    <t xml:space="preserve">TRUJILLO VIERA EDISA</t>
  </si>
  <si>
    <t xml:space="preserve">44027111</t>
  </si>
  <si>
    <t xml:space="preserve">R702,I200</t>
  </si>
  <si>
    <t xml:space="preserve">ROJAS RIMARACHIN JAYDEN GADIEL</t>
  </si>
  <si>
    <t xml:space="preserve">94267570</t>
  </si>
  <si>
    <t xml:space="preserve">R560,J020</t>
  </si>
  <si>
    <t xml:space="preserve">ARBILDO VILLA JOSE PORFIRIO</t>
  </si>
  <si>
    <t xml:space="preserve">33952707</t>
  </si>
  <si>
    <t xml:space="preserve">S069,S223,T07X</t>
  </si>
  <si>
    <t xml:space="preserve">LOPEZ MONTOYA JOSE ALCIDES </t>
  </si>
  <si>
    <t xml:space="preserve">33952489</t>
  </si>
  <si>
    <t xml:space="preserve">SALAZAR SALAZAR YSIDORO</t>
  </si>
  <si>
    <t xml:space="preserve">33940526</t>
  </si>
  <si>
    <t xml:space="preserve">MORAN CASERES DORA BEATRIZ</t>
  </si>
  <si>
    <t xml:space="preserve">46693174</t>
  </si>
  <si>
    <t xml:space="preserve">O60X,O235,O234</t>
  </si>
  <si>
    <t xml:space="preserve">HUAMAN SALON ELIFIA</t>
  </si>
  <si>
    <t xml:space="preserve">72732503</t>
  </si>
  <si>
    <t xml:space="preserve">MONTENEGRO VARGAS SHARON MAITE</t>
  </si>
  <si>
    <t xml:space="preserve">80810803</t>
  </si>
  <si>
    <t xml:space="preserve">R103,K358</t>
  </si>
  <si>
    <t xml:space="preserve">VELA TAFUR HAMERLY</t>
  </si>
  <si>
    <t xml:space="preserve">63380142</t>
  </si>
  <si>
    <t xml:space="preserve">MILLA QUINTANA JORGE</t>
  </si>
  <si>
    <t xml:space="preserve">9514524</t>
  </si>
  <si>
    <t xml:space="preserve">E111</t>
  </si>
  <si>
    <t xml:space="preserve">DIPIZ ROJAS DANNA ANTONELA</t>
  </si>
  <si>
    <t xml:space="preserve">33787219</t>
  </si>
  <si>
    <t xml:space="preserve">REPORTE DE TRASLADO DE PACIENTES SIS DEL MES DE MARZO 2026 PARA REPOSICION DE COMBUSTIBLE</t>
  </si>
  <si>
    <t xml:space="preserve">LOJA ACOSTA LEILY ADRIANA</t>
  </si>
  <si>
    <t xml:space="preserve">61642771</t>
  </si>
  <si>
    <t xml:space="preserve">O149,O234</t>
  </si>
  <si>
    <t xml:space="preserve">ALTAMIRANO AYAY SALATIEL</t>
  </si>
  <si>
    <t xml:space="preserve">71734120</t>
  </si>
  <si>
    <t xml:space="preserve">HORNA GUIOP ANA VICTORIA</t>
  </si>
  <si>
    <t xml:space="preserve">33416390</t>
  </si>
  <si>
    <t xml:space="preserve">E15X,E162,J189</t>
  </si>
  <si>
    <t xml:space="preserve">GUEVARA CUBAS ORLANDO JESUS</t>
  </si>
  <si>
    <t xml:space="preserve">80251775</t>
  </si>
  <si>
    <t xml:space="preserve">F104</t>
  </si>
  <si>
    <t xml:space="preserve">SEGURA BUSTAMANTE AIDEE</t>
  </si>
  <si>
    <t xml:space="preserve">47664874</t>
  </si>
  <si>
    <t xml:space="preserve">DIAPIZ ROJAS DANNA ANTONELA</t>
  </si>
  <si>
    <t xml:space="preserve">93906119</t>
  </si>
  <si>
    <t xml:space="preserve">T202</t>
  </si>
  <si>
    <t xml:space="preserve">MUÑOZ LLANOS JUANA</t>
  </si>
  <si>
    <t xml:space="preserve">49071793</t>
  </si>
  <si>
    <t xml:space="preserve">K922,D649,N390</t>
  </si>
  <si>
    <t xml:space="preserve">VASQUEZ BENAVIDES FRANCISCO</t>
  </si>
  <si>
    <t xml:space="preserve">27547313</t>
  </si>
  <si>
    <t xml:space="preserve">TEJADA TUESTA JUANA</t>
  </si>
  <si>
    <t xml:space="preserve">33945273</t>
  </si>
  <si>
    <t xml:space="preserve">S628,S619</t>
  </si>
  <si>
    <t xml:space="preserve">REYNALDO HUAMAN CULQUI</t>
  </si>
  <si>
    <t xml:space="preserve">80538348</t>
  </si>
  <si>
    <t xml:space="preserve">K704,K766,K746</t>
  </si>
  <si>
    <t xml:space="preserve">PEREZ DIAZ MARIA NELLY</t>
  </si>
  <si>
    <t xml:space="preserve">76236830</t>
  </si>
  <si>
    <t xml:space="preserve">HUERTA ORIHUELA FIORELA ISABEL</t>
  </si>
  <si>
    <t xml:space="preserve">47598878</t>
  </si>
  <si>
    <t xml:space="preserve">BARRANTES TAFUR SEBASTIAN</t>
  </si>
  <si>
    <t xml:space="preserve">91328245</t>
  </si>
  <si>
    <t xml:space="preserve">R509,R11X,A419</t>
  </si>
  <si>
    <t xml:space="preserve">GUZMAN LLANOS GLORIELA</t>
  </si>
  <si>
    <t xml:space="preserve">48615157</t>
  </si>
  <si>
    <t xml:space="preserve">SALAZAR RUIZ SAMUEL</t>
  </si>
  <si>
    <t xml:space="preserve">33436255</t>
  </si>
  <si>
    <t xml:space="preserve">R652</t>
  </si>
  <si>
    <t xml:space="preserve">CHUQUIZUTA VALQUI ANTONIA</t>
  </si>
  <si>
    <t xml:space="preserve">72106519</t>
  </si>
  <si>
    <t xml:space="preserve">PORTAL AÑASCO DENISE IBONE</t>
  </si>
  <si>
    <t xml:space="preserve">33733965</t>
  </si>
  <si>
    <t xml:space="preserve">L032,L020</t>
  </si>
  <si>
    <t xml:space="preserve">TAFUR LOPEZ RITA TRINIDAD</t>
  </si>
  <si>
    <t xml:space="preserve">33949640</t>
  </si>
  <si>
    <t xml:space="preserve">K922,D509</t>
  </si>
  <si>
    <t xml:space="preserve">ARENAS HERNANDEZ NATALY</t>
  </si>
  <si>
    <t xml:space="preserve">43793289</t>
  </si>
  <si>
    <t xml:space="preserve">O620</t>
  </si>
  <si>
    <t xml:space="preserve">CHAVEZ PELAEZ MARINA</t>
  </si>
  <si>
    <t xml:space="preserve">49019221</t>
  </si>
  <si>
    <t xml:space="preserve">I480,I219,I500</t>
  </si>
  <si>
    <t xml:space="preserve">FONSECA MARTINEZ JHIANINA</t>
  </si>
  <si>
    <t xml:space="preserve">75524926</t>
  </si>
  <si>
    <t xml:space="preserve">MUÑOZ VILLALOVOS JUAN</t>
  </si>
  <si>
    <t xml:space="preserve">3686526</t>
  </si>
  <si>
    <t xml:space="preserve">S320,T07X</t>
  </si>
  <si>
    <t xml:space="preserve">K800,J158</t>
  </si>
  <si>
    <t xml:space="preserve">CHALAS TISNADO NANCY RAQUEL</t>
  </si>
  <si>
    <t xml:space="preserve">44592948</t>
  </si>
  <si>
    <t xml:space="preserve">CASAS RAMOS FLORECINDA</t>
  </si>
  <si>
    <t xml:space="preserve">48437939</t>
  </si>
  <si>
    <t xml:space="preserve">JARA ALIAGA ALDAIR ANTENOR</t>
  </si>
  <si>
    <t xml:space="preserve">63721070</t>
  </si>
  <si>
    <t xml:space="preserve">MENDOZA ZUTA VICTOR</t>
  </si>
  <si>
    <t xml:space="preserve">33725852</t>
  </si>
  <si>
    <t xml:space="preserve">D509,J960,C629</t>
  </si>
  <si>
    <t xml:space="preserve">MEJIA DOMINGUEZ LILI LLOVANI</t>
  </si>
  <si>
    <t xml:space="preserve">74448692</t>
  </si>
  <si>
    <t xml:space="preserve">O429,O339</t>
  </si>
  <si>
    <t xml:space="preserve">MUÑOZ NAYERLY CARLOS</t>
  </si>
  <si>
    <t xml:space="preserve">78203690</t>
  </si>
  <si>
    <t xml:space="preserve">O363</t>
  </si>
  <si>
    <t xml:space="preserve">VALDEZ MORI HERMILA</t>
  </si>
  <si>
    <t xml:space="preserve">33804235</t>
  </si>
  <si>
    <t xml:space="preserve">PORTOCARRERO ARISTA ROSA SOFIA</t>
  </si>
  <si>
    <t xml:space="preserve">33944625</t>
  </si>
  <si>
    <t xml:space="preserve">LLATANCE HERRERA DYLAN MOISES</t>
  </si>
  <si>
    <t xml:space="preserve">93419545</t>
  </si>
  <si>
    <t xml:space="preserve">MORI VALQUI YOHAN FABIAN</t>
  </si>
  <si>
    <t xml:space="preserve">80813086</t>
  </si>
  <si>
    <t xml:space="preserve">OLANO YLATOLA BARBARITA</t>
  </si>
  <si>
    <t xml:space="preserve">48983008</t>
  </si>
  <si>
    <t xml:space="preserve">R072,I489,I219</t>
  </si>
  <si>
    <t xml:space="preserve">VILLA HUAMAN VILMA</t>
  </si>
  <si>
    <t xml:space="preserve">47363507</t>
  </si>
  <si>
    <t xml:space="preserve">PUSCAN HUAMAN AGUSTINA</t>
  </si>
  <si>
    <t xml:space="preserve">44706561</t>
  </si>
  <si>
    <t xml:space="preserve">GUEVARA ALTAMIRANO JHOANA</t>
  </si>
  <si>
    <t xml:space="preserve">10819</t>
  </si>
  <si>
    <t xml:space="preserve">O429,O349</t>
  </si>
  <si>
    <t xml:space="preserve">RABANAL MELENDEZ LENYN EDUARDO</t>
  </si>
  <si>
    <t xml:space="preserve">63245633</t>
  </si>
  <si>
    <t xml:space="preserve">MASLUCAN GUALAMBO NATIVIDAD</t>
  </si>
  <si>
    <t xml:space="preserve">33732915</t>
  </si>
  <si>
    <t xml:space="preserve">R104,R11X,K358,K810</t>
  </si>
  <si>
    <t xml:space="preserve">CULQUI SOROE IRMA JESUS</t>
  </si>
  <si>
    <t xml:space="preserve">77230784</t>
  </si>
  <si>
    <t xml:space="preserve">VASQUEZ MEGO MAGNO</t>
  </si>
  <si>
    <t xml:space="preserve">27433717</t>
  </si>
  <si>
    <t xml:space="preserve">K703,K922</t>
  </si>
  <si>
    <t xml:space="preserve">PORTOCARRERO PORTOCARRERO ANGEL RICARDO</t>
  </si>
  <si>
    <t xml:space="preserve">63391882</t>
  </si>
  <si>
    <t xml:space="preserve">TORREJON ARCE VICTOR GERARDO</t>
  </si>
  <si>
    <t xml:space="preserve">33739096</t>
  </si>
  <si>
    <t xml:space="preserve">J960,J189,E860,N390,A971</t>
  </si>
  <si>
    <t xml:space="preserve">INGA PEREZ ELMER</t>
  </si>
  <si>
    <t xml:space="preserve">46744861</t>
  </si>
  <si>
    <t xml:space="preserve">S611,S626</t>
  </si>
  <si>
    <t xml:space="preserve">TARRILLO SANCHEZ MARIA CELIDA</t>
  </si>
  <si>
    <t xml:space="preserve">44198440</t>
  </si>
  <si>
    <t xml:space="preserve">Z374,O420,O600</t>
  </si>
  <si>
    <t xml:space="preserve">I743,Y442</t>
  </si>
  <si>
    <t xml:space="preserve">HUAMAN VELAYSOSA DAYRON YAMIL</t>
  </si>
  <si>
    <t xml:space="preserve">91555177</t>
  </si>
  <si>
    <t xml:space="preserve">PORTOCARRERO OLIVA DAYRON ZAGUIR</t>
  </si>
  <si>
    <t xml:space="preserve">78862771</t>
  </si>
  <si>
    <t xml:space="preserve">K359,R104,R11X</t>
  </si>
  <si>
    <t xml:space="preserve">ARISTA DE ARISTA MARIA OTLIA</t>
  </si>
  <si>
    <t xml:space="preserve">33944792</t>
  </si>
  <si>
    <t xml:space="preserve">J960,J441,I679</t>
  </si>
  <si>
    <t xml:space="preserve">REPORTE DE TRASLADO DE PACIENTES SIS DEL MES DE ABRIL 2026 PARA REPOSICION DE COMBUSTIBLE</t>
  </si>
  <si>
    <t xml:space="preserve">REPORTE DE TRASLADO DE PACIENTES SIS DEL MES DE MAYO 2026 PARA REPOSICION DE COMBUSTIBLE</t>
  </si>
  <si>
    <t xml:space="preserve">REPORTE DE TRASLADO DE PACIENTES SIS DEL MES DE JUNIO 2026 PARA REPOSICION DE COMBUSTIBLE</t>
  </si>
  <si>
    <t xml:space="preserve">REPORTE DE TRASLADO DE PACIENTES SIS DEL MES DE JULIO 2026 PARA REPOSICION DE COMBUSTIBLE</t>
  </si>
  <si>
    <t xml:space="preserve">REPORTE DE TRASLADO DE PACIENTES SIS DEL MES DE AGOSTO 2026 PARA REPOSICION DE COMBUSTIBLE</t>
  </si>
  <si>
    <t xml:space="preserve">REPORTE DE TRASLADO DE PACIENTES SIS DEL MES DE SETIEMBRE 2026 PARA REPOSICION DE COMBUSTIBLE</t>
  </si>
  <si>
    <t xml:space="preserve">REPORTE DE TRASLADO DE PACIENTES SIS DEL MES DE OCTUBRE 2026 PARA REPOSICION DE COMBUSTIBLE</t>
  </si>
  <si>
    <t xml:space="preserve">REPORTE DE TRASLADO DE PACIENTES SIS DEL MES DE NOVIEMBRE 2026 PARA REPOSICION DE COMBUSTIBLE</t>
  </si>
  <si>
    <t xml:space="preserve">REPORTE DE TRASLADO DE PACIENTES SIS DEL MES DE DICIEMBRE 2026 PARA REPOSICION DE COMBUSTIBLE</t>
  </si>
  <si>
    <t xml:space="preserve">GAL_PET</t>
  </si>
  <si>
    <t xml:space="preserve">SOL_PET</t>
  </si>
  <si>
    <t xml:space="preserve">GAL_GAS</t>
  </si>
  <si>
    <t xml:space="preserve">SOL_GAS</t>
  </si>
  <si>
    <t xml:space="preserve">ENERO 2026</t>
  </si>
  <si>
    <t xml:space="preserve">FEBRERO 2026</t>
  </si>
  <si>
    <t xml:space="preserve">MARZO 2026</t>
  </si>
  <si>
    <t xml:space="preserve">ABRIL 2026</t>
  </si>
  <si>
    <t xml:space="preserve">MAYO 2026</t>
  </si>
  <si>
    <t xml:space="preserve">JUNIO 2026</t>
  </si>
  <si>
    <t xml:space="preserve">JULIO 2026</t>
  </si>
  <si>
    <t xml:space="preserve">AGOSTO 2026</t>
  </si>
  <si>
    <t xml:space="preserve">SETIEMBRE 2026</t>
  </si>
  <si>
    <t xml:space="preserve">OCTUBRE 2026</t>
  </si>
  <si>
    <t xml:space="preserve">NOVIEMBRE 2026</t>
  </si>
  <si>
    <t xml:space="preserve">DICIEMBRE 2026</t>
  </si>
  <si>
    <t xml:space="preserve">CODIGO APPS SCRIPT — Copiar y pegar en Extensiones → Apps Script</t>
  </si>
  <si>
    <t xml:space="preserve">PASO 1: Con el archivo abierto en Google Sheets, ve al menú: Extensiones → Apps Script</t>
  </si>
  <si>
    <t xml:space="preserve">PASO 2: Se abre el editor. Borra TODO lo que haya y pega el código de abajo</t>
  </si>
  <si>
    <t xml:space="preserve">PASO 3: Presiona Ctrl+S para guardar</t>
  </si>
  <si>
    <t xml:space="preserve">PASO 4: Cierra el editor y vuelve al Sheets</t>
  </si>
  <si>
    <t xml:space="preserve">PASO 5: La primera vez que cambies E3, puede pedir permiso — acepta todos los permisos</t>
  </si>
  <si>
    <t xml:space="preserve">PASO 6: Listo. Al cambiar IPRESS en E3 solo verás esa IPRESS sin filas vacías</t>
  </si>
  <si>
    <t xml:space="preserve">           Si seleccionas '-- TODOS --' verás todos los registros</t>
  </si>
  <si>
    <t xml:space="preserve">══════ CÓDIGO A PEGAR EN APPS SCRIPT ══════</t>
  </si>
  <si>
    <t xml:space="preserve">function onEdit(e) {
  var sheet = e.source.getActiveSheet();
  if (sheet.getName() !== "DETALLE IPRESS") return;
  var range = e.range;
  if (range.getRow() !== 3 || range.getColumn() &lt; 5 || range.getColumn() &gt; 10) return;
  filtrarIPRESS(sheet);
}
function filtrarIPRESS(sheet) {
  if (!sheet) {
    sheet = SpreadsheetApp.getActiveSpreadsheet()
              .getSheetByName("DETALLE IPRESS");
  }
  var ipressSel = sheet.getRange("E3").getValue().toString().trim();
  var dataStart = 8;
  // Encontrar ultima fila con datos en col M
  var lastRow = dataStart;
  var colM = sheet.getRange(dataStart, 13, 300, 1).getValues();
  for (var i = 0; i &lt; colM.length; i++) {
    if (colM[i][0] !== "") lastRow = dataStart + i;
    else break;
  }
  // Primero mostrar todas las filas
  sheet.showRows(dataStart, lastRow - dataStart + 1);
  // Si es TODOS, no ocultar nada
  if (ipressSel === "-- TODOS --" || ipressSel === "") return;
  // Ocultar filas que no coinciden
  var toHide = [];
  for (var r = dataStart; r &lt;= lastRow; r++) {
    var ipressRow = sheet.getRange(r, 13).getValue().toString().trim();
    if (ipressRow !== ipressSel) {
      toHide.push(r);
    }
  }
  // Ocultar en bloques para mejor rendimiento
  if (toHide.length &gt; 0) {
    var start = toHide[0], prev = toHide[0];
    for (var j = 1; j &lt;= toHide.length; j++) {
      if (j === toHide.length || toHide[j] !== prev + 1) {
        sheet.hideRows(start, prev - start + 1);
        if (j &lt; toHide.length) { start = toHide[j]; prev = toHide[j]; }
      } else {
        prev = toHide[j];
      }
    }
  }
}
// Ejecutar manualmente desde el menu
function filtrarManual() {
  filtrarIPRESS(null);
}</t>
  </si>
  <si>
    <t xml:space="preserve">NRO_DOC</t>
  </si>
  <si>
    <t xml:space="preserve">FECHA_TRASLADO</t>
  </si>
  <si>
    <t xml:space="preserve">TOTAL_SOL</t>
  </si>
  <si>
    <t xml:space="preserve">DEVOLVER_A</t>
  </si>
  <si>
    <t xml:space="preserve">IPRESS_ORIGEN</t>
  </si>
  <si>
    <t xml:space="preserve">-- TODOS --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</si>
</sst>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General"/>
    <numFmt numFmtId="167" formatCode="&quot;S/ &quot;#,##0.00"/>
    <numFmt numFmtId="168" formatCode="@"/>
    <numFmt numFmtId="169" formatCode="dd/mm/yyyy"/>
    <numFmt numFmtId="170" formatCode="#,##0"/>
  </numFmts>
  <fonts count="4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7"/>
      <color theme="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444444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7"/>
      <color rgb="FF2E75B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2E75B6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3"/>
      <color rgb="FF843C0C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7"/>
      <color rgb="FF1F3864"/>
      <name val="Arial"/>
      <family val="0"/>
      <charset val="1"/>
    </font>
    <font>
      <sz val="8"/>
      <color rgb="FF444444"/>
      <name val="Arial"/>
      <family val="0"/>
      <charset val="1"/>
    </font>
    <font>
      <b val="true"/>
      <sz val="10"/>
      <color theme="1"/>
      <name val="Arial"/>
      <family val="0"/>
      <charset val="1"/>
    </font>
    <font>
      <i val="true"/>
      <sz val="7"/>
      <color rgb="FF1F3864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9"/>
      <color rgb="FFFF66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7"/>
      <color rgb="FF1F3864"/>
      <name val="Arial"/>
      <family val="0"/>
      <charset val="1"/>
    </font>
    <font>
      <sz val="8"/>
      <name val="Arial"/>
      <family val="0"/>
      <charset val="1"/>
    </font>
    <font>
      <sz val="9"/>
      <color theme="1"/>
      <name val="Courier New"/>
      <family val="0"/>
      <charset val="1"/>
    </font>
    <font>
      <b val="true"/>
      <sz val="8"/>
      <color theme="1"/>
      <name val="Arial"/>
      <family val="0"/>
      <charset val="1"/>
    </font>
    <font>
      <sz val="8"/>
      <color theme="1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FFF"/>
        <bgColor rgb="FFF8F9FA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F8F9FA"/>
      </patternFill>
    </fill>
    <fill>
      <patternFill patternType="solid">
        <fgColor rgb="FFFFD966"/>
        <bgColor rgb="FFFFE699"/>
      </patternFill>
    </fill>
    <fill>
      <patternFill patternType="solid">
        <fgColor rgb="FF7030A0"/>
        <bgColor rgb="FF993366"/>
      </patternFill>
    </fill>
    <fill>
      <patternFill patternType="solid">
        <fgColor rgb="FF1F4E79"/>
        <bgColor rgb="FF1F3864"/>
      </patternFill>
    </fill>
    <fill>
      <patternFill patternType="solid">
        <fgColor rgb="FF843C0C"/>
        <bgColor rgb="FF7F6000"/>
      </patternFill>
    </fill>
    <fill>
      <patternFill patternType="solid">
        <fgColor rgb="FFDEEAF1"/>
        <bgColor rgb="FFE8F0FE"/>
      </patternFill>
    </fill>
    <fill>
      <patternFill patternType="solid">
        <fgColor rgb="FFFCE4D6"/>
        <bgColor rgb="FFFFE4CC"/>
      </patternFill>
    </fill>
    <fill>
      <patternFill patternType="solid">
        <fgColor rgb="FFFF6600"/>
        <bgColor rgb="FFFF9900"/>
      </patternFill>
    </fill>
    <fill>
      <patternFill patternType="solid">
        <fgColor rgb="FFE8F0FE"/>
        <bgColor rgb="FFF2F2F2"/>
      </patternFill>
    </fill>
    <fill>
      <patternFill patternType="solid">
        <fgColor rgb="FF375623"/>
        <bgColor rgb="FF444444"/>
      </patternFill>
    </fill>
    <fill>
      <patternFill patternType="solid">
        <fgColor rgb="FFBDD7EE"/>
        <bgColor rgb="FFC6EFCE"/>
      </patternFill>
    </fill>
    <fill>
      <patternFill patternType="solid">
        <fgColor rgb="FFC6EFCE"/>
        <bgColor rgb="FFDEEAF1"/>
      </patternFill>
    </fill>
    <fill>
      <patternFill patternType="solid">
        <fgColor rgb="FF4472C4"/>
        <bgColor rgb="FF2E75B6"/>
      </patternFill>
    </fill>
    <fill>
      <patternFill patternType="solid">
        <fgColor rgb="FFFFE4CC"/>
        <bgColor rgb="FFFCE4D6"/>
      </patternFill>
    </fill>
    <fill>
      <patternFill patternType="solid">
        <fgColor rgb="FFFFF2CC"/>
        <bgColor rgb="FFFFE4CC"/>
      </patternFill>
    </fill>
    <fill>
      <patternFill patternType="solid">
        <fgColor rgb="FFFFE699"/>
        <bgColor rgb="FFFFE4CC"/>
      </patternFill>
    </fill>
    <fill>
      <patternFill patternType="solid">
        <fgColor rgb="FFF8F9FA"/>
        <bgColor rgb="FFFFFF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thin">
        <color rgb="FFBBBBBB"/>
      </bottom>
      <diagonal/>
    </border>
    <border diagonalUp="false" diagonalDown="false">
      <left style="medium">
        <color rgb="FF1F3864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medium">
        <color rgb="FF1F3864"/>
      </right>
      <top style="thin">
        <color rgb="FFBBBBBB"/>
      </top>
      <bottom style="thin">
        <color rgb="FFBBBBBB"/>
      </bottom>
      <diagonal/>
    </border>
    <border diagonalUp="false" diagonalDown="false">
      <left style="medium">
        <color rgb="FF1F3864"/>
      </left>
      <right style="thin">
        <color rgb="FFBBBBBB"/>
      </right>
      <top style="thin">
        <color rgb="FFBBBBBB"/>
      </top>
      <bottom style="medium">
        <color rgb="FF1F3864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medium">
        <color rgb="FF1F3864"/>
      </bottom>
      <diagonal/>
    </border>
    <border diagonalUp="false" diagonalDown="false">
      <left style="thin">
        <color rgb="FFBBBBBB"/>
      </left>
      <right style="medium">
        <color rgb="FF1F3864"/>
      </right>
      <top style="thin">
        <color rgb="FFBBBBBB"/>
      </top>
      <bottom style="medium">
        <color rgb="FF1F3864"/>
      </bottom>
      <diagonal/>
    </border>
    <border diagonalUp="false" diagonalDown="false">
      <left style="medium">
        <color rgb="FF1F3864"/>
      </left>
      <right style="thin">
        <color rgb="FFBBBBBB"/>
      </right>
      <top style="medium">
        <color rgb="FF1F3864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medium">
        <color rgb="FF1F3864"/>
      </top>
      <bottom style="thin">
        <color rgb="FFBBBBBB"/>
      </bottom>
      <diagonal/>
    </border>
    <border diagonalUp="false" diagonalDown="false">
      <left style="thin">
        <color rgb="FFBBBBBB"/>
      </left>
      <right style="medium">
        <color rgb="FF1F3864"/>
      </right>
      <top style="medium">
        <color rgb="FF1F3864"/>
      </top>
      <bottom style="thin">
        <color rgb="FFBBBBBB"/>
      </bottom>
      <diagonal/>
    </border>
    <border diagonalUp="false" diagonalDown="false">
      <left style="medium">
        <color rgb="FF1F3864"/>
      </left>
      <right style="thin">
        <color rgb="FFBBBBBB"/>
      </right>
      <top style="thin">
        <color rgb="FFBBBBBB"/>
      </top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/>
      <diagonal/>
    </border>
    <border diagonalUp="false" diagonalDown="false">
      <left style="thin">
        <color rgb="FFBBBBBB"/>
      </left>
      <right style="medium">
        <color rgb="FF1F3864"/>
      </right>
      <top style="thin">
        <color rgb="FFBBBBBB"/>
      </top>
      <bottom/>
      <diagonal/>
    </border>
    <border diagonalUp="false" diagonalDown="false">
      <left style="medium">
        <color rgb="FF1F3864"/>
      </left>
      <right style="thin">
        <color rgb="FFBBBBBB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BBBBB"/>
      </left>
      <right style="thin">
        <color rgb="FFBBBBBB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BBBBB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1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6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21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name val="Arial"/>
        <charset val="1"/>
        <family val="0"/>
        <b val="1"/>
        <color rgb="FF375623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843C0C"/>
        <sz val="9"/>
      </font>
      <fill>
        <patternFill>
          <bgColor rgb="FFFCE4D6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6600"/>
          <bgColor rgb="FF000000"/>
        </patternFill>
      </fill>
    </dxf>
    <dxf>
      <font>
        <name val="Arial"/>
        <charset val="1"/>
        <family val="0"/>
        <b val="1"/>
        <color rgb="FFC00000"/>
        <sz val="9"/>
      </font>
      <fill>
        <patternFill>
          <bgColor rgb="FFFFCCCC"/>
        </patternFill>
      </fill>
    </dxf>
    <dxf>
      <font>
        <name val="Arial"/>
        <charset val="1"/>
        <family val="0"/>
        <b val="1"/>
        <color rgb="FF7F6000"/>
        <sz val="9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FF6600"/>
        <sz val="9"/>
      </font>
      <fill>
        <patternFill>
          <bgColor rgb="FFFFE4CC"/>
        </patternFill>
      </fill>
    </dxf>
    <dxf>
      <fill>
        <patternFill patternType="solid">
          <fgColor rgb="FFFFE4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8F9FA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808080"/>
      <rgbColor rgb="FF9999FF"/>
      <rgbColor rgb="FF7030A0"/>
      <rgbColor rgb="FFFFF2CC"/>
      <rgbColor rgb="FFE8F0FE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699"/>
      <rgbColor rgb="FFF2F2F2"/>
      <rgbColor rgb="FFFFE4CC"/>
      <rgbColor rgb="FFFCE4D6"/>
      <rgbColor rgb="FFFFCCCC"/>
      <rgbColor rgb="FF4472C4"/>
      <rgbColor rgb="FF33CCCC"/>
      <rgbColor rgb="FF99CC00"/>
      <rgbColor rgb="FFFFD966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843C0C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4" min="3" style="1" width="22"/>
    <col collapsed="false" customWidth="true" hidden="false" outlineLevel="0" max="6" min="5" style="1" width="16"/>
    <col collapsed="false" customWidth="true" hidden="false" outlineLevel="0" max="9" min="7" style="1" width="6"/>
    <col collapsed="false" customWidth="true" hidden="false" outlineLevel="0" max="12" min="10" style="1" width="11"/>
    <col collapsed="false" customWidth="true" hidden="false" outlineLevel="0" max="14" min="13" style="1" width="14"/>
    <col collapsed="false" customWidth="true" hidden="false" outlineLevel="0" max="15" min="15" style="1" width="8"/>
    <col collapsed="false" customWidth="true" hidden="false" outlineLevel="0" max="17" min="16" style="1" width="12"/>
    <col collapsed="false" customWidth="true" hidden="false" outlineLevel="0" max="19" min="18" style="1" width="13"/>
    <col collapsed="false" customWidth="true" hidden="false" outlineLevel="0" max="21" min="20" style="1" width="8.71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V1" s="1"/>
      <c r="W1" s="1"/>
      <c r="X1" s="1"/>
      <c r="Y1" s="1"/>
      <c r="Z1" s="1"/>
    </row>
    <row r="2" customFormat="false" ht="15" hidden="false" customHeight="true" outlineLevel="0" collapsed="false">
      <c r="O2" s="3"/>
      <c r="P2" s="3"/>
      <c r="Q2" s="3"/>
      <c r="R2" s="3"/>
      <c r="S2" s="3"/>
      <c r="T2" s="4"/>
      <c r="U2" s="4"/>
      <c r="V2" s="1"/>
      <c r="W2" s="1"/>
      <c r="X2" s="1"/>
      <c r="Y2" s="1"/>
      <c r="Z2" s="1"/>
    </row>
    <row r="3" customFormat="false" ht="24" hidden="false" customHeight="true" outlineLevel="0" collapsed="false">
      <c r="A3" s="5" t="s">
        <v>1</v>
      </c>
      <c r="B3" s="5"/>
      <c r="C3" s="5"/>
      <c r="D3" s="5"/>
      <c r="F3" s="5" t="s">
        <v>2</v>
      </c>
      <c r="G3" s="5"/>
      <c r="H3" s="5"/>
      <c r="I3" s="5"/>
      <c r="J3" s="5"/>
      <c r="K3" s="5"/>
      <c r="L3" s="5"/>
      <c r="M3" s="5"/>
      <c r="N3" s="5"/>
      <c r="O3" s="6"/>
      <c r="P3" s="6"/>
      <c r="Q3" s="6"/>
      <c r="R3" s="6"/>
      <c r="S3" s="6"/>
      <c r="T3" s="4"/>
      <c r="U3" s="4"/>
      <c r="V3" s="1"/>
      <c r="W3" s="1"/>
      <c r="X3" s="1"/>
      <c r="Y3" s="1"/>
      <c r="Z3" s="1"/>
    </row>
    <row r="4" customFormat="false" ht="21.75" hidden="false" customHeight="true" outlineLevel="0" collapsed="false">
      <c r="A4" s="7" t="s">
        <v>3</v>
      </c>
      <c r="B4" s="8" t="s">
        <v>4</v>
      </c>
      <c r="C4" s="9" t="s">
        <v>5</v>
      </c>
      <c r="F4" s="10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2" t="s">
        <v>13</v>
      </c>
      <c r="O4" s="6"/>
      <c r="P4" s="6"/>
      <c r="Q4" s="6"/>
      <c r="R4" s="6"/>
      <c r="S4" s="6"/>
      <c r="T4" s="4"/>
      <c r="U4" s="4"/>
      <c r="V4" s="1"/>
      <c r="W4" s="1"/>
      <c r="X4" s="1"/>
      <c r="Y4" s="1"/>
      <c r="Z4" s="1"/>
    </row>
    <row r="5" customFormat="false" ht="18" hidden="false" customHeight="true" outlineLevel="0" collapsed="false">
      <c r="A5" s="13" t="s">
        <v>14</v>
      </c>
      <c r="B5" s="14" t="n">
        <v>8761</v>
      </c>
      <c r="C5" s="15" t="n">
        <v>164087.8</v>
      </c>
      <c r="F5" s="16" t="s">
        <v>15</v>
      </c>
      <c r="G5" s="17" t="n">
        <f aca="false">IFERROR(COUNTA('ENERO 2026'!A6:A119),0)</f>
        <v>94</v>
      </c>
      <c r="H5" s="18" t="n">
        <f aca="false">IFERROR(SUMIFS('ENERO 2026'!M6:M119,'ENERO 2026'!K6:K119,"PETROLEO"),0)</f>
        <v>630.55</v>
      </c>
      <c r="I5" s="18" t="n">
        <f aca="false">IFERROR(SUMIFS('ENERO 2026'!M6:M119,'ENERO 2026'!K6:K119,"GASOLINA"),0)</f>
        <v>36</v>
      </c>
      <c r="J5" s="18" t="n">
        <f aca="false">H5+I5</f>
        <v>666.55</v>
      </c>
      <c r="K5" s="18" t="n">
        <f aca="false">IFERROR(SUMIFS('ENERO 2026'!N6:N119,'ENERO 2026'!K6:K119,"PETROLEO"),0)</f>
        <v>11876.4675</v>
      </c>
      <c r="L5" s="18" t="n">
        <f aca="false">IFERROR(SUMIFS('ENERO 2026'!N6:N119,'ENERO 2026'!K6:K119,"GASOLINA"),0)</f>
        <v>646.2</v>
      </c>
      <c r="M5" s="19" t="n">
        <f aca="false">K5+L5</f>
        <v>12522.6675</v>
      </c>
      <c r="O5" s="6"/>
      <c r="P5" s="6"/>
      <c r="Q5" s="6"/>
      <c r="R5" s="6"/>
      <c r="S5" s="6"/>
      <c r="T5" s="4"/>
      <c r="U5" s="4"/>
      <c r="V5" s="1"/>
      <c r="W5" s="1"/>
      <c r="X5" s="1"/>
      <c r="Y5" s="1"/>
      <c r="Z5" s="1"/>
    </row>
    <row r="6" customFormat="false" ht="18" hidden="false" customHeight="true" outlineLevel="0" collapsed="false">
      <c r="A6" s="20" t="s">
        <v>16</v>
      </c>
      <c r="B6" s="21" t="n">
        <v>1274</v>
      </c>
      <c r="C6" s="22" t="n">
        <v>22870.2</v>
      </c>
      <c r="F6" s="23" t="s">
        <v>17</v>
      </c>
      <c r="G6" s="24" t="n">
        <f aca="false">IFERROR(COUNTA('FEBRERO 2026'!A6:A124),0)</f>
        <v>99</v>
      </c>
      <c r="H6" s="25" t="n">
        <f aca="false">IFERROR(SUMIFS('FEBRERO 2026'!M6:M124,'FEBRERO 2026'!K6:K124,"PETROLEO"),0)</f>
        <v>676.09</v>
      </c>
      <c r="I6" s="25" t="n">
        <f aca="false">IFERROR(SUMIFS('FEBRERO 2026'!M6:M124,'FEBRERO 2026'!K6:K124,"GASOLINA"),0)</f>
        <v>138</v>
      </c>
      <c r="J6" s="25" t="n">
        <f aca="false">H6+I6</f>
        <v>814.09</v>
      </c>
      <c r="K6" s="25" t="n">
        <f aca="false">IFERROR(SUMIFS('FEBRERO 2026'!N6:N124,'FEBRERO 2026'!K6:K124,"PETROLEO"),0)</f>
        <v>12648.2325</v>
      </c>
      <c r="L6" s="25" t="n">
        <f aca="false">IFERROR(SUMIFS('FEBRERO 2026'!N6:N124,'FEBRERO 2026'!K6:K124,"GASOLINA"),0)</f>
        <v>2477.1</v>
      </c>
      <c r="M6" s="26" t="n">
        <f aca="false">K6+L6</f>
        <v>15125.3325</v>
      </c>
      <c r="O6" s="6"/>
      <c r="P6" s="6"/>
      <c r="Q6" s="6"/>
      <c r="R6" s="6"/>
      <c r="S6" s="6"/>
      <c r="T6" s="4"/>
      <c r="U6" s="4"/>
      <c r="V6" s="1"/>
      <c r="W6" s="1"/>
      <c r="X6" s="1"/>
      <c r="Y6" s="1"/>
      <c r="Z6" s="1"/>
    </row>
    <row r="7" customFormat="false" ht="18" hidden="false" customHeight="true" outlineLevel="0" collapsed="false">
      <c r="A7" s="27" t="s">
        <v>18</v>
      </c>
      <c r="B7" s="28" t="n">
        <v>10035</v>
      </c>
      <c r="C7" s="29" t="n">
        <v>186958</v>
      </c>
      <c r="F7" s="16" t="s">
        <v>19</v>
      </c>
      <c r="G7" s="17" t="n">
        <f aca="false">IFERROR(COUNTA('MARZO 2026'!A6:A119),0)</f>
        <v>94</v>
      </c>
      <c r="H7" s="18" t="n">
        <f aca="false">IFERROR(SUMIFS('MARZO 2026'!M6:M119,'MARZO 2026'!K6:K119,"PETROLEO"),0)</f>
        <v>330.16</v>
      </c>
      <c r="I7" s="18" t="n">
        <f aca="false">IFERROR(SUMIFS('MARZO 2026'!M6:M119,'MARZO 2026'!K6:K119,"GASOLINA"),0)</f>
        <v>55</v>
      </c>
      <c r="J7" s="18" t="n">
        <f aca="false">H7+I7</f>
        <v>385.16</v>
      </c>
      <c r="K7" s="18" t="n">
        <f aca="false">IFERROR(SUMIFS('MARZO 2026'!N6:N119,'MARZO 2026'!K6:K119,"PETROLEO"),0)</f>
        <v>6263.46</v>
      </c>
      <c r="L7" s="18" t="n">
        <f aca="false">IFERROR(SUMIFS('MARZO 2026'!N6:N119,'MARZO 2026'!K6:K119,"GASOLINA"),0)</f>
        <v>987.25</v>
      </c>
      <c r="M7" s="19" t="n">
        <f aca="false">K7+L7</f>
        <v>7250.71</v>
      </c>
      <c r="O7" s="6"/>
      <c r="P7" s="6"/>
      <c r="Q7" s="6"/>
      <c r="R7" s="6"/>
      <c r="S7" s="6"/>
      <c r="T7" s="4"/>
      <c r="U7" s="4"/>
      <c r="V7" s="1"/>
      <c r="W7" s="1"/>
      <c r="X7" s="1"/>
      <c r="Y7" s="1"/>
      <c r="Z7" s="1"/>
    </row>
    <row r="8" customFormat="false" ht="18" hidden="false" customHeight="true" outlineLevel="0" collapsed="false">
      <c r="F8" s="23" t="s">
        <v>20</v>
      </c>
      <c r="G8" s="24" t="n">
        <f aca="false">IFERROR(COUNTA('ABRIL 2026'!A6:A119),0)</f>
        <v>94</v>
      </c>
      <c r="H8" s="25" t="n">
        <f aca="false">IFERROR(SUMIFS('ABRIL 2026'!M6:M119,'ABRIL 2026'!K6:K119,"PETROLEO"),0)</f>
        <v>0</v>
      </c>
      <c r="I8" s="25" t="n">
        <f aca="false">IFERROR(SUMIFS('ABRIL 2026'!M6:M119,'ABRIL 2026'!K6:K119,"GASOLINA"),0)</f>
        <v>0</v>
      </c>
      <c r="J8" s="25" t="n">
        <f aca="false">H8+I8</f>
        <v>0</v>
      </c>
      <c r="K8" s="25" t="n">
        <f aca="false">IFERROR(SUMIFS('ABRIL 2026'!N6:N119,'ABRIL 2026'!K6:K119,"PETROLEO"),0)</f>
        <v>0</v>
      </c>
      <c r="L8" s="25" t="n">
        <f aca="false">IFERROR(SUMIFS('ABRIL 2026'!N6:N119,'ABRIL 2026'!K6:K119,"GASOLINA"),0)</f>
        <v>0</v>
      </c>
      <c r="M8" s="26" t="n">
        <f aca="false">K8+L8</f>
        <v>0</v>
      </c>
      <c r="O8" s="6"/>
      <c r="P8" s="6"/>
      <c r="Q8" s="6"/>
      <c r="R8" s="6"/>
      <c r="S8" s="6"/>
      <c r="T8" s="4"/>
      <c r="U8" s="4"/>
      <c r="V8" s="1"/>
      <c r="W8" s="1"/>
      <c r="X8" s="1"/>
      <c r="Y8" s="1"/>
      <c r="Z8" s="1"/>
    </row>
    <row r="9" customFormat="false" ht="18" hidden="false" customHeight="true" outlineLevel="0" collapsed="false">
      <c r="F9" s="16" t="s">
        <v>21</v>
      </c>
      <c r="G9" s="17" t="n">
        <f aca="false">IFERROR(COUNTA('MAYO 2026'!A6:A110),0)</f>
        <v>0</v>
      </c>
      <c r="H9" s="18" t="n">
        <f aca="false">IFERROR(SUMIFS('MAYO 2026'!M6:M110,'MAYO 2026'!K6:K110,"PETROLEO"),0)</f>
        <v>0</v>
      </c>
      <c r="I9" s="18" t="n">
        <f aca="false">IFERROR(SUMIFS('MAYO 2026'!M6:M110,'MAYO 2026'!K6:K110,"GASOLINA"),0)</f>
        <v>0</v>
      </c>
      <c r="J9" s="18" t="n">
        <f aca="false">H9+I9</f>
        <v>0</v>
      </c>
      <c r="K9" s="18" t="n">
        <f aca="false">IFERROR(SUMIFS('MAYO 2026'!N6:N110,'MAYO 2026'!K6:K110,"PETROLEO"),0)</f>
        <v>0</v>
      </c>
      <c r="L9" s="18" t="n">
        <f aca="false">IFERROR(SUMIFS('MAYO 2026'!N6:N110,'MAYO 2026'!K6:K110,"GASOLINA"),0)</f>
        <v>0</v>
      </c>
      <c r="M9" s="19" t="n">
        <f aca="false">K9+L9</f>
        <v>0</v>
      </c>
      <c r="O9" s="6"/>
      <c r="P9" s="6"/>
      <c r="Q9" s="6"/>
      <c r="R9" s="6"/>
      <c r="S9" s="6"/>
      <c r="T9" s="4"/>
      <c r="U9" s="4"/>
      <c r="V9" s="1"/>
      <c r="W9" s="1"/>
      <c r="X9" s="1"/>
      <c r="Y9" s="1"/>
      <c r="Z9" s="1"/>
    </row>
    <row r="10" customFormat="false" ht="18" hidden="false" customHeight="true" outlineLevel="0" collapsed="false">
      <c r="F10" s="23" t="s">
        <v>22</v>
      </c>
      <c r="G10" s="24" t="n">
        <f aca="false">IFERROR(COUNTA('JUNIO 2026'!A6:A110),0)</f>
        <v>0</v>
      </c>
      <c r="H10" s="25" t="n">
        <f aca="false">IFERROR(SUMIFS('JUNIO 2026'!M6:M110,'JUNIO 2026'!K6:K110,"PETROLEO"),0)</f>
        <v>0</v>
      </c>
      <c r="I10" s="25" t="n">
        <f aca="false">IFERROR(SUMIFS('JUNIO 2026'!M6:M110,'JUNIO 2026'!K6:K110,"GASOLINA"),0)</f>
        <v>0</v>
      </c>
      <c r="J10" s="25" t="n">
        <f aca="false">H10+I10</f>
        <v>0</v>
      </c>
      <c r="K10" s="25" t="n">
        <f aca="false">IFERROR(SUMIFS('JUNIO 2026'!N6:N110,'JUNIO 2026'!K6:K110,"PETROLEO"),0)</f>
        <v>0</v>
      </c>
      <c r="L10" s="25" t="n">
        <f aca="false">IFERROR(SUMIFS('JUNIO 2026'!N6:N110,'JUNIO 2026'!K6:K110,"GASOLINA"),0)</f>
        <v>0</v>
      </c>
      <c r="M10" s="26" t="n">
        <f aca="false">K10+L10</f>
        <v>0</v>
      </c>
      <c r="O10" s="6"/>
      <c r="P10" s="6"/>
      <c r="Q10" s="6"/>
      <c r="R10" s="6"/>
      <c r="S10" s="6"/>
      <c r="T10" s="4"/>
      <c r="U10" s="4"/>
      <c r="V10" s="1"/>
      <c r="W10" s="1"/>
      <c r="X10" s="1"/>
      <c r="Y10" s="1"/>
      <c r="Z10" s="1"/>
    </row>
    <row r="11" customFormat="false" ht="18" hidden="false" customHeight="true" outlineLevel="0" collapsed="false">
      <c r="A11" s="30" t="s">
        <v>23</v>
      </c>
      <c r="B11" s="30"/>
      <c r="C11" s="30"/>
      <c r="D11" s="30"/>
      <c r="F11" s="16" t="s">
        <v>24</v>
      </c>
      <c r="G11" s="17" t="n">
        <f aca="false">IFERROR(COUNTA('JULIO 2026'!A6:A110),0)</f>
        <v>0</v>
      </c>
      <c r="H11" s="18" t="n">
        <f aca="false">IFERROR(SUMIFS('JULIO 2026'!M6:M110,'JULIO 2026'!K6:K110,"PETROLEO"),0)</f>
        <v>0</v>
      </c>
      <c r="I11" s="18" t="n">
        <f aca="false">IFERROR(SUMIFS('JULIO 2026'!M6:M110,'JULIO 2026'!K6:K110,"GASOLINA"),0)</f>
        <v>0</v>
      </c>
      <c r="J11" s="18" t="n">
        <f aca="false">H11+I11</f>
        <v>0</v>
      </c>
      <c r="K11" s="18" t="n">
        <f aca="false">IFERROR(SUMIFS('JULIO 2026'!N6:N110,'JULIO 2026'!K6:K110,"PETROLEO"),0)</f>
        <v>0</v>
      </c>
      <c r="L11" s="18" t="n">
        <f aca="false">IFERROR(SUMIFS('JULIO 2026'!N6:N110,'JULIO 2026'!K6:K110,"GASOLINA"),0)</f>
        <v>0</v>
      </c>
      <c r="M11" s="19" t="n">
        <f aca="false">K11+L11</f>
        <v>0</v>
      </c>
      <c r="O11" s="6"/>
      <c r="P11" s="6"/>
      <c r="Q11" s="6"/>
      <c r="R11" s="6"/>
      <c r="S11" s="6"/>
      <c r="T11" s="4"/>
      <c r="U11" s="4"/>
      <c r="V11" s="1"/>
      <c r="W11" s="1"/>
      <c r="X11" s="1"/>
      <c r="Y11" s="1"/>
      <c r="Z11" s="1"/>
    </row>
    <row r="12" customFormat="false" ht="18" hidden="false" customHeight="true" outlineLevel="0" collapsed="false">
      <c r="A12" s="31" t="s">
        <v>3</v>
      </c>
      <c r="B12" s="32" t="s">
        <v>4</v>
      </c>
      <c r="C12" s="33" t="s">
        <v>5</v>
      </c>
      <c r="F12" s="23" t="s">
        <v>25</v>
      </c>
      <c r="G12" s="24" t="n">
        <f aca="false">IFERROR(COUNTA('AGOSTO 2026'!A6:A110),0)</f>
        <v>0</v>
      </c>
      <c r="H12" s="25" t="n">
        <f aca="false">IFERROR(SUMIFS('AGOSTO 2026'!M6:M110,'AGOSTO 2026'!K6:K110,"PETROLEO"),0)</f>
        <v>0</v>
      </c>
      <c r="I12" s="25" t="n">
        <f aca="false">IFERROR(SUMIFS('AGOSTO 2026'!M6:M110,'AGOSTO 2026'!K6:K110,"GASOLINA"),0)</f>
        <v>0</v>
      </c>
      <c r="J12" s="25" t="n">
        <f aca="false">H12+I12</f>
        <v>0</v>
      </c>
      <c r="K12" s="25" t="n">
        <f aca="false">IFERROR(SUMIFS('AGOSTO 2026'!N6:N110,'AGOSTO 2026'!K6:K110,"PETROLEO"),0)</f>
        <v>0</v>
      </c>
      <c r="L12" s="25" t="n">
        <f aca="false">IFERROR(SUMIFS('AGOSTO 2026'!N6:N110,'AGOSTO 2026'!K6:K110,"GASOLINA"),0)</f>
        <v>0</v>
      </c>
      <c r="M12" s="26" t="n">
        <f aca="false">K12+L12</f>
        <v>0</v>
      </c>
      <c r="O12" s="6"/>
      <c r="P12" s="6"/>
      <c r="Q12" s="6"/>
      <c r="R12" s="6"/>
      <c r="S12" s="6"/>
      <c r="T12" s="4"/>
      <c r="U12" s="4"/>
      <c r="V12" s="1"/>
      <c r="W12" s="1"/>
      <c r="X12" s="1"/>
      <c r="Y12" s="1"/>
      <c r="Z12" s="1"/>
    </row>
    <row r="13" customFormat="false" ht="18" hidden="false" customHeight="true" outlineLevel="0" collapsed="false">
      <c r="A13" s="13" t="s">
        <v>14</v>
      </c>
      <c r="B13" s="18" t="n">
        <f aca="false">SUM(H5:H16)</f>
        <v>1636.8</v>
      </c>
      <c r="C13" s="19" t="n">
        <f aca="false">SUM(K5:K16)</f>
        <v>30788.16</v>
      </c>
      <c r="F13" s="16" t="s">
        <v>26</v>
      </c>
      <c r="G13" s="17" t="n">
        <f aca="false">IFERROR(COUNTA('SETIEMBRE 2026'!A6:A110),0)</f>
        <v>0</v>
      </c>
      <c r="H13" s="18" t="n">
        <f aca="false">IFERROR(SUMIFS('SETIEMBRE 2026'!M6:M110,'SETIEMBRE 2026'!K6:K110,"PETROLEO"),0)</f>
        <v>0</v>
      </c>
      <c r="I13" s="18" t="n">
        <f aca="false">IFERROR(SUMIFS('SETIEMBRE 2026'!M6:M110,'SETIEMBRE 2026'!K6:K110,"GASOLINA"),0)</f>
        <v>0</v>
      </c>
      <c r="J13" s="18" t="n">
        <f aca="false">H13+I13</f>
        <v>0</v>
      </c>
      <c r="K13" s="18" t="n">
        <f aca="false">IFERROR(SUMIFS('SETIEMBRE 2026'!N6:N110,'SETIEMBRE 2026'!K6:K110,"PETROLEO"),0)</f>
        <v>0</v>
      </c>
      <c r="L13" s="18" t="n">
        <f aca="false">IFERROR(SUMIFS('SETIEMBRE 2026'!N6:N110,'SETIEMBRE 2026'!K6:K110,"GASOLINA"),0)</f>
        <v>0</v>
      </c>
      <c r="M13" s="19" t="n">
        <f aca="false">K13+L13</f>
        <v>0</v>
      </c>
      <c r="O13" s="6"/>
      <c r="P13" s="6"/>
      <c r="Q13" s="6"/>
      <c r="R13" s="6"/>
      <c r="S13" s="6"/>
      <c r="T13" s="4"/>
      <c r="U13" s="4"/>
      <c r="V13" s="1"/>
      <c r="W13" s="1"/>
      <c r="X13" s="1"/>
      <c r="Y13" s="1"/>
      <c r="Z13" s="1"/>
    </row>
    <row r="14" customFormat="false" ht="18" hidden="false" customHeight="true" outlineLevel="0" collapsed="false">
      <c r="A14" s="20" t="s">
        <v>16</v>
      </c>
      <c r="B14" s="25" t="n">
        <f aca="false">SUM(I5:I16)</f>
        <v>229</v>
      </c>
      <c r="C14" s="26" t="n">
        <f aca="false">SUM(L5:L16)</f>
        <v>4110.55</v>
      </c>
      <c r="F14" s="23" t="s">
        <v>27</v>
      </c>
      <c r="G14" s="24" t="n">
        <f aca="false">IFERROR(COUNTA('OCTUBRE 2026'!A6:A110),0)</f>
        <v>0</v>
      </c>
      <c r="H14" s="25" t="n">
        <f aca="false">IFERROR(SUMIFS('OCTUBRE 2026'!M6:M110,'OCTUBRE 2026'!K6:K110,"PETROLEO"),0)</f>
        <v>0</v>
      </c>
      <c r="I14" s="25" t="n">
        <f aca="false">IFERROR(SUMIFS('OCTUBRE 2026'!M6:M110,'OCTUBRE 2026'!K6:K110,"GASOLINA"),0)</f>
        <v>0</v>
      </c>
      <c r="J14" s="25" t="n">
        <f aca="false">H14+I14</f>
        <v>0</v>
      </c>
      <c r="K14" s="25" t="n">
        <f aca="false">IFERROR(SUMIFS('OCTUBRE 2026'!N6:N110,'OCTUBRE 2026'!K6:K110,"PETROLEO"),0)</f>
        <v>0</v>
      </c>
      <c r="L14" s="25" t="n">
        <f aca="false">IFERROR(SUMIFS('OCTUBRE 2026'!N6:N110,'OCTUBRE 2026'!K6:K110,"GASOLINA"),0)</f>
        <v>0</v>
      </c>
      <c r="M14" s="26" t="n">
        <f aca="false">K14+L14</f>
        <v>0</v>
      </c>
      <c r="O14" s="6"/>
      <c r="P14" s="6"/>
      <c r="Q14" s="6"/>
      <c r="R14" s="6"/>
      <c r="S14" s="6"/>
      <c r="T14" s="4"/>
      <c r="U14" s="4"/>
      <c r="V14" s="1"/>
      <c r="W14" s="1"/>
      <c r="X14" s="1"/>
      <c r="Y14" s="1"/>
      <c r="Z14" s="1"/>
    </row>
    <row r="15" customFormat="false" ht="18" hidden="false" customHeight="true" outlineLevel="0" collapsed="false">
      <c r="A15" s="27" t="s">
        <v>18</v>
      </c>
      <c r="B15" s="34" t="n">
        <f aca="false">B13+B14</f>
        <v>1865.8</v>
      </c>
      <c r="C15" s="35" t="n">
        <f aca="false">C13+C14</f>
        <v>34898.71</v>
      </c>
      <c r="F15" s="16" t="s">
        <v>28</v>
      </c>
      <c r="G15" s="17" t="n">
        <f aca="false">IFERROR(COUNTA('NOVIEMBRE 2026'!A6:A110),0)</f>
        <v>0</v>
      </c>
      <c r="H15" s="18" t="n">
        <f aca="false">IFERROR(SUMIFS('NOVIEMBRE 2026'!M6:M110,'NOVIEMBRE 2026'!K6:K110,"PETROLEO"),0)</f>
        <v>0</v>
      </c>
      <c r="I15" s="18" t="n">
        <f aca="false">IFERROR(SUMIFS('NOVIEMBRE 2026'!M6:M110,'NOVIEMBRE 2026'!K6:K110,"GASOLINA"),0)</f>
        <v>0</v>
      </c>
      <c r="J15" s="18" t="n">
        <f aca="false">H15+I15</f>
        <v>0</v>
      </c>
      <c r="K15" s="18" t="n">
        <f aca="false">IFERROR(SUMIFS('NOVIEMBRE 2026'!N6:N110,'NOVIEMBRE 2026'!K6:K110,"PETROLEO"),0)</f>
        <v>0</v>
      </c>
      <c r="L15" s="18" t="n">
        <f aca="false">IFERROR(SUMIFS('NOVIEMBRE 2026'!N6:N110,'NOVIEMBRE 2026'!K6:K110,"GASOLINA"),0)</f>
        <v>0</v>
      </c>
      <c r="M15" s="19" t="n">
        <f aca="false">K15+L15</f>
        <v>0</v>
      </c>
      <c r="O15" s="4"/>
      <c r="P15" s="4"/>
      <c r="Q15" s="4"/>
      <c r="R15" s="4"/>
      <c r="S15" s="4"/>
      <c r="T15" s="4"/>
      <c r="U15" s="4"/>
      <c r="V15" s="1"/>
      <c r="W15" s="1"/>
      <c r="X15" s="1"/>
      <c r="Y15" s="1"/>
      <c r="Z15" s="1"/>
    </row>
    <row r="16" customFormat="false" ht="18" hidden="false" customHeight="true" outlineLevel="0" collapsed="false">
      <c r="F16" s="23" t="s">
        <v>29</v>
      </c>
      <c r="G16" s="24" t="n">
        <f aca="false">IFERROR(COUNTA('DICIEMBRE 2026'!A6:A110),0)</f>
        <v>0</v>
      </c>
      <c r="H16" s="25" t="n">
        <f aca="false">IFERROR(SUMIFS('DICIEMBRE 2026'!M6:M110,'DICIEMBRE 2026'!K6:K110,"PETROLEO"),0)</f>
        <v>0</v>
      </c>
      <c r="I16" s="25" t="n">
        <f aca="false">IFERROR(SUMIFS('DICIEMBRE 2026'!M6:M110,'DICIEMBRE 2026'!K6:K110,"GASOLINA"),0)</f>
        <v>0</v>
      </c>
      <c r="J16" s="25" t="n">
        <f aca="false">H16+I16</f>
        <v>0</v>
      </c>
      <c r="K16" s="25" t="n">
        <f aca="false">IFERROR(SUMIFS('DICIEMBRE 2026'!N6:N110,'DICIEMBRE 2026'!K6:K110,"PETROLEO"),0)</f>
        <v>0</v>
      </c>
      <c r="L16" s="25" t="n">
        <f aca="false">IFERROR(SUMIFS('DICIEMBRE 2026'!N6:N110,'DICIEMBRE 2026'!K6:K110,"GASOLINA"),0)</f>
        <v>0</v>
      </c>
      <c r="M16" s="26" t="n">
        <f aca="false">K16+L16</f>
        <v>0</v>
      </c>
      <c r="O16" s="4"/>
      <c r="P16" s="4"/>
      <c r="Q16" s="4"/>
      <c r="R16" s="4"/>
      <c r="S16" s="4"/>
      <c r="T16" s="4"/>
      <c r="U16" s="4"/>
      <c r="V16" s="1"/>
      <c r="W16" s="1"/>
      <c r="X16" s="1"/>
      <c r="Y16" s="1"/>
      <c r="Z16" s="1"/>
    </row>
    <row r="17" customFormat="false" ht="21.75" hidden="false" customHeight="true" outlineLevel="0" collapsed="false">
      <c r="F17" s="36" t="s">
        <v>18</v>
      </c>
      <c r="G17" s="34" t="n">
        <f aca="false">SUM(G5:G16)</f>
        <v>381</v>
      </c>
      <c r="H17" s="34" t="n">
        <f aca="false">SUM(H5:H16)</f>
        <v>1636.8</v>
      </c>
      <c r="I17" s="34" t="n">
        <f aca="false">SUM(I5:I16)</f>
        <v>229</v>
      </c>
      <c r="J17" s="34" t="n">
        <f aca="false">SUM(J5:J16)</f>
        <v>1865.8</v>
      </c>
      <c r="K17" s="34" t="n">
        <f aca="false">SUM(K5:K16)</f>
        <v>30788.16</v>
      </c>
      <c r="L17" s="34" t="n">
        <f aca="false">SUM(L5:L16)</f>
        <v>4110.55</v>
      </c>
      <c r="M17" s="35" t="n">
        <f aca="false">SUM(M5:M16)</f>
        <v>34898.71</v>
      </c>
      <c r="O17" s="4"/>
      <c r="P17" s="4"/>
      <c r="Q17" s="4"/>
      <c r="R17" s="4"/>
      <c r="S17" s="4"/>
      <c r="T17" s="4"/>
      <c r="U17" s="4"/>
      <c r="V17" s="1"/>
      <c r="W17" s="1"/>
      <c r="X17" s="1"/>
      <c r="Y17" s="1"/>
      <c r="Z17" s="1"/>
    </row>
    <row r="18" customFormat="false" ht="1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4"/>
      <c r="U18" s="4"/>
      <c r="V18" s="1"/>
      <c r="W18" s="1"/>
      <c r="X18" s="1"/>
      <c r="Y18" s="1"/>
      <c r="Z18" s="1"/>
    </row>
    <row r="19" customFormat="false" ht="1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4"/>
      <c r="U19" s="4"/>
      <c r="V19" s="1"/>
      <c r="W19" s="1"/>
      <c r="X19" s="1"/>
      <c r="Y19" s="1"/>
      <c r="Z19" s="1"/>
    </row>
    <row r="20" customFormat="false" ht="24" hidden="false" customHeight="true" outlineLevel="0" collapsed="false">
      <c r="A20" s="38" t="s">
        <v>30</v>
      </c>
      <c r="B20" s="38"/>
      <c r="C20" s="38"/>
      <c r="D20" s="38"/>
      <c r="E20" s="38"/>
      <c r="N20" s="37"/>
      <c r="O20" s="37"/>
      <c r="P20" s="37"/>
      <c r="Q20" s="37"/>
      <c r="R20" s="37"/>
      <c r="S20" s="37"/>
      <c r="V20" s="1"/>
      <c r="W20" s="1"/>
      <c r="X20" s="1"/>
      <c r="Y20" s="1"/>
      <c r="Z20" s="1"/>
    </row>
    <row r="21" customFormat="false" ht="25.5" hidden="false" customHeight="true" outlineLevel="0" collapsed="false">
      <c r="A21" s="39" t="s">
        <v>31</v>
      </c>
      <c r="B21" s="39" t="s">
        <v>32</v>
      </c>
      <c r="C21" s="39" t="s">
        <v>33</v>
      </c>
      <c r="D21" s="39" t="s">
        <v>34</v>
      </c>
      <c r="E21" s="39" t="s">
        <v>35</v>
      </c>
      <c r="G21" s="40"/>
      <c r="H21" s="40"/>
      <c r="I21" s="40"/>
      <c r="J21" s="40"/>
      <c r="K21" s="40"/>
      <c r="L21" s="40"/>
      <c r="M21" s="37"/>
      <c r="N21" s="37"/>
      <c r="O21" s="37"/>
      <c r="P21" s="37"/>
      <c r="Q21" s="37"/>
      <c r="R21" s="37"/>
      <c r="S21" s="37"/>
      <c r="V21" s="1"/>
      <c r="W21" s="1"/>
      <c r="X21" s="1"/>
      <c r="Y21" s="1"/>
      <c r="Z21" s="1"/>
    </row>
    <row r="22" customFormat="false" ht="15.75" hidden="false" customHeight="true" outlineLevel="0" collapsed="false">
      <c r="A22" s="41" t="n">
        <v>1</v>
      </c>
      <c r="B22" s="42" t="s">
        <v>36</v>
      </c>
      <c r="C22" s="43" t="s">
        <v>37</v>
      </c>
      <c r="D22" s="44" t="n">
        <f aca="false">IFERROR(SUMIF(_CALCULO!$A$2:$A$397,"CAMPORREDONDO",_CALCULO!$C$2:$C$397),0)</f>
        <v>40</v>
      </c>
      <c r="E22" s="44" t="n">
        <f aca="false">IFERROR(SUMIF(_CALCULO!$A$2:$A$397,"CAMPORREDONDO",_CALCULO!$D$2:$D$397),0)</f>
        <v>727.2</v>
      </c>
      <c r="F22" s="45"/>
      <c r="G22" s="46"/>
      <c r="H22" s="46"/>
      <c r="I22" s="44"/>
      <c r="J22" s="44"/>
      <c r="K22" s="46"/>
      <c r="L22" s="46"/>
      <c r="M22" s="37"/>
      <c r="N22" s="37"/>
      <c r="O22" s="37"/>
      <c r="P22" s="37"/>
      <c r="Q22" s="37"/>
      <c r="R22" s="37"/>
      <c r="S22" s="37"/>
      <c r="V22" s="1"/>
      <c r="W22" s="1"/>
      <c r="X22" s="1"/>
      <c r="Y22" s="1"/>
      <c r="Z22" s="1"/>
    </row>
    <row r="23" customFormat="false" ht="15.75" hidden="false" customHeight="true" outlineLevel="0" collapsed="false">
      <c r="A23" s="47" t="n">
        <v>2</v>
      </c>
      <c r="B23" s="48" t="s">
        <v>38</v>
      </c>
      <c r="C23" s="49" t="s">
        <v>39</v>
      </c>
      <c r="D23" s="50" t="n">
        <f aca="false">IFERROR(SUMIF(_CALCULO!$A$2:$A$397,"CHUQUIBAMBA",_CALCULO!$C$2:$C$397),0)</f>
        <v>15</v>
      </c>
      <c r="E23" s="50" t="n">
        <f aca="false">IFERROR(SUMIF(_CALCULO!$A$2:$A$397,"CHUQUIBAMBA",_CALCULO!$D$2:$D$397),0)</f>
        <v>272.7</v>
      </c>
      <c r="F23" s="45"/>
      <c r="G23" s="46"/>
      <c r="H23" s="46"/>
      <c r="I23" s="44"/>
      <c r="J23" s="44"/>
      <c r="K23" s="46"/>
      <c r="L23" s="46"/>
      <c r="M23" s="37"/>
      <c r="N23" s="37"/>
      <c r="O23" s="37"/>
      <c r="P23" s="37"/>
      <c r="Q23" s="37"/>
      <c r="R23" s="37"/>
      <c r="S23" s="37"/>
      <c r="V23" s="1"/>
      <c r="W23" s="1"/>
      <c r="X23" s="1"/>
      <c r="Y23" s="1"/>
      <c r="Z23" s="1"/>
    </row>
    <row r="24" customFormat="false" ht="15.75" hidden="false" customHeight="true" outlineLevel="0" collapsed="false">
      <c r="A24" s="41" t="n">
        <v>3</v>
      </c>
      <c r="B24" s="42" t="s">
        <v>40</v>
      </c>
      <c r="C24" s="43" t="s">
        <v>37</v>
      </c>
      <c r="D24" s="44" t="n">
        <f aca="false">IFERROR(SUMIF(_CALCULO!$A$2:$A$397,"COCOCHO",_CALCULO!$C$2:$C$397),0)</f>
        <v>62</v>
      </c>
      <c r="E24" s="44" t="n">
        <f aca="false">IFERROR(SUMIF(_CALCULO!$A$2:$A$397,"COCOCHO",_CALCULO!$D$2:$D$397),0)</f>
        <v>1127.16</v>
      </c>
      <c r="F24" s="45"/>
      <c r="G24" s="46"/>
      <c r="H24" s="46"/>
      <c r="I24" s="44"/>
      <c r="J24" s="44"/>
      <c r="K24" s="46"/>
      <c r="L24" s="46"/>
      <c r="M24" s="37"/>
      <c r="N24" s="37"/>
      <c r="O24" s="37"/>
      <c r="P24" s="37"/>
      <c r="Q24" s="37"/>
      <c r="R24" s="37"/>
      <c r="S24" s="37"/>
      <c r="V24" s="1"/>
      <c r="W24" s="1"/>
      <c r="X24" s="1"/>
      <c r="Y24" s="1"/>
      <c r="Z24" s="1"/>
    </row>
    <row r="25" customFormat="false" ht="15.75" hidden="false" customHeight="true" outlineLevel="0" collapsed="false">
      <c r="A25" s="47" t="n">
        <v>4</v>
      </c>
      <c r="B25" s="48" t="s">
        <v>41</v>
      </c>
      <c r="C25" s="49" t="s">
        <v>42</v>
      </c>
      <c r="D25" s="50" t="n">
        <f aca="false">IFERROR(SUMIF(_CALCULO!$A$2:$A$397,"COLCAMAR",_CALCULO!$C$2:$C$397),0)</f>
        <v>28</v>
      </c>
      <c r="E25" s="50" t="n">
        <f aca="false">IFERROR(SUMIF(_CALCULO!$A$2:$A$397,"COLCAMAR",_CALCULO!$D$2:$D$397),0)</f>
        <v>509.04</v>
      </c>
      <c r="F25" s="45"/>
      <c r="G25" s="46"/>
      <c r="H25" s="46"/>
      <c r="I25" s="44"/>
      <c r="J25" s="44"/>
      <c r="K25" s="46"/>
      <c r="L25" s="46"/>
      <c r="M25" s="37"/>
      <c r="N25" s="37"/>
      <c r="O25" s="37"/>
      <c r="P25" s="37"/>
      <c r="Q25" s="37"/>
      <c r="R25" s="37"/>
      <c r="S25" s="37"/>
      <c r="V25" s="1"/>
      <c r="W25" s="1"/>
      <c r="X25" s="1"/>
      <c r="Y25" s="1"/>
      <c r="Z25" s="1"/>
    </row>
    <row r="26" customFormat="false" ht="15.75" hidden="false" customHeight="true" outlineLevel="0" collapsed="false">
      <c r="A26" s="41" t="n">
        <v>5</v>
      </c>
      <c r="B26" s="42" t="s">
        <v>43</v>
      </c>
      <c r="C26" s="43" t="s">
        <v>44</v>
      </c>
      <c r="D26" s="44" t="n">
        <f aca="false">IFERROR(SUMIF(_CALCULO!$A$2:$A$397,"COLLONCE",_CALCULO!$C$2:$C$397),0)</f>
        <v>100</v>
      </c>
      <c r="E26" s="44" t="n">
        <f aca="false">IFERROR(SUMIF(_CALCULO!$A$2:$A$397,"COLLONCE",_CALCULO!$D$2:$D$397),0)</f>
        <v>1818</v>
      </c>
      <c r="F26" s="45"/>
      <c r="G26" s="46"/>
      <c r="H26" s="46"/>
      <c r="I26" s="44"/>
      <c r="J26" s="44"/>
      <c r="K26" s="46"/>
      <c r="L26" s="46"/>
      <c r="M26" s="37"/>
      <c r="N26" s="37"/>
      <c r="O26" s="37"/>
      <c r="P26" s="37"/>
      <c r="Q26" s="37"/>
      <c r="R26" s="37"/>
      <c r="S26" s="37"/>
      <c r="V26" s="1"/>
      <c r="W26" s="1"/>
      <c r="X26" s="1"/>
      <c r="Y26" s="1"/>
      <c r="Z26" s="1"/>
    </row>
    <row r="27" customFormat="false" ht="15.75" hidden="false" customHeight="true" outlineLevel="0" collapsed="false">
      <c r="A27" s="47" t="n">
        <v>6</v>
      </c>
      <c r="B27" s="48" t="s">
        <v>45</v>
      </c>
      <c r="C27" s="49" t="s">
        <v>46</v>
      </c>
      <c r="D27" s="50" t="n">
        <f aca="false">IFERROR(SUMIF(_CALCULO!$A$2:$A$397,"DURAZNOPAMPA",_CALCULO!$C$2:$C$397),0)</f>
        <v>7</v>
      </c>
      <c r="E27" s="50" t="n">
        <f aca="false">IFERROR(SUMIF(_CALCULO!$A$2:$A$397,"DURAZNOPAMPA",_CALCULO!$D$2:$D$397),0)</f>
        <v>127.26</v>
      </c>
      <c r="F27" s="45"/>
      <c r="G27" s="46"/>
      <c r="H27" s="46"/>
      <c r="I27" s="44"/>
      <c r="J27" s="44"/>
      <c r="K27" s="46"/>
      <c r="L27" s="46"/>
      <c r="M27" s="37"/>
      <c r="N27" s="37"/>
      <c r="O27" s="37"/>
      <c r="P27" s="37"/>
      <c r="Q27" s="37"/>
      <c r="R27" s="37"/>
      <c r="S27" s="37"/>
      <c r="V27" s="1"/>
      <c r="W27" s="1"/>
      <c r="X27" s="1"/>
      <c r="Y27" s="1"/>
      <c r="Z27" s="1"/>
    </row>
    <row r="28" customFormat="false" ht="15.75" hidden="false" customHeight="true" outlineLevel="0" collapsed="false">
      <c r="A28" s="41" t="n">
        <v>7</v>
      </c>
      <c r="B28" s="42" t="s">
        <v>47</v>
      </c>
      <c r="C28" s="43" t="s">
        <v>48</v>
      </c>
      <c r="D28" s="44" t="n">
        <f aca="false">IFERROR(SUMIF(_CALCULO!$A$2:$A$397,"HUAMBO",_CALCULO!$C$2:$C$397),0)</f>
        <v>45</v>
      </c>
      <c r="E28" s="44" t="n">
        <f aca="false">IFERROR(SUMIF(_CALCULO!$A$2:$A$397,"HUAMBO",_CALCULO!$D$2:$D$397),0)</f>
        <v>911.25</v>
      </c>
      <c r="F28" s="45"/>
      <c r="G28" s="46"/>
      <c r="H28" s="46"/>
      <c r="I28" s="44"/>
      <c r="J28" s="44"/>
      <c r="K28" s="46"/>
      <c r="L28" s="46"/>
      <c r="M28" s="37"/>
      <c r="N28" s="37"/>
      <c r="O28" s="37"/>
      <c r="P28" s="37"/>
      <c r="Q28" s="37"/>
      <c r="R28" s="37"/>
      <c r="S28" s="37"/>
      <c r="V28" s="1"/>
      <c r="W28" s="1"/>
      <c r="X28" s="1"/>
      <c r="Y28" s="1"/>
      <c r="Z28" s="1"/>
    </row>
    <row r="29" customFormat="false" ht="15.75" hidden="false" customHeight="true" outlineLevel="0" collapsed="false">
      <c r="A29" s="47" t="n">
        <v>8</v>
      </c>
      <c r="B29" s="48" t="s">
        <v>49</v>
      </c>
      <c r="C29" s="49" t="s">
        <v>46</v>
      </c>
      <c r="D29" s="50" t="n">
        <f aca="false">IFERROR(SUMIF(_CALCULO!$A$2:$A$397,"JALCA GRANDE",_CALCULO!$C$2:$C$397),0)</f>
        <v>49</v>
      </c>
      <c r="E29" s="50" t="n">
        <f aca="false">IFERROR(SUMIF(_CALCULO!$A$2:$A$397,"JALCA GRANDE",_CALCULO!$D$2:$D$397),0)</f>
        <v>890.82</v>
      </c>
      <c r="F29" s="45"/>
      <c r="G29" s="46"/>
      <c r="H29" s="46"/>
      <c r="I29" s="44"/>
      <c r="J29" s="44"/>
      <c r="K29" s="46"/>
      <c r="L29" s="46"/>
      <c r="M29" s="37"/>
      <c r="N29" s="37"/>
      <c r="O29" s="37"/>
      <c r="P29" s="37"/>
      <c r="Q29" s="37"/>
      <c r="R29" s="37"/>
      <c r="S29" s="37"/>
      <c r="V29" s="1"/>
      <c r="W29" s="1"/>
      <c r="X29" s="1"/>
      <c r="Y29" s="1"/>
      <c r="Z29" s="1"/>
    </row>
    <row r="30" customFormat="false" ht="15.75" hidden="false" customHeight="true" outlineLevel="0" collapsed="false">
      <c r="A30" s="41" t="n">
        <v>9</v>
      </c>
      <c r="B30" s="42" t="s">
        <v>50</v>
      </c>
      <c r="C30" s="43" t="s">
        <v>51</v>
      </c>
      <c r="D30" s="44" t="n">
        <f aca="false">IFERROR(SUMIF(_CALCULO!$A$2:$A$397,"JUMBILLA",_CALCULO!$C$2:$C$397),0)</f>
        <v>34</v>
      </c>
      <c r="E30" s="44" t="n">
        <f aca="false">IFERROR(SUMIF(_CALCULO!$A$2:$A$397,"JUMBILLA",_CALCULO!$D$2:$D$397),0)</f>
        <v>618.12</v>
      </c>
      <c r="F30" s="45"/>
      <c r="G30" s="46"/>
      <c r="H30" s="46"/>
      <c r="I30" s="44"/>
      <c r="J30" s="44"/>
      <c r="K30" s="46"/>
      <c r="L30" s="46"/>
      <c r="M30" s="37"/>
      <c r="N30" s="37"/>
      <c r="O30" s="37"/>
      <c r="P30" s="37"/>
      <c r="Q30" s="37"/>
      <c r="R30" s="37"/>
      <c r="S30" s="37"/>
      <c r="V30" s="1"/>
      <c r="W30" s="1"/>
      <c r="X30" s="1"/>
      <c r="Y30" s="1"/>
      <c r="Z30" s="1"/>
    </row>
    <row r="31" customFormat="false" ht="15.75" hidden="false" customHeight="true" outlineLevel="0" collapsed="false">
      <c r="A31" s="47" t="n">
        <v>10</v>
      </c>
      <c r="B31" s="48" t="s">
        <v>52</v>
      </c>
      <c r="C31" s="49" t="s">
        <v>53</v>
      </c>
      <c r="D31" s="50" t="n">
        <f aca="false">IFERROR(SUMIF(_CALCULO!$A$2:$A$397,"LAMUD",_CALCULO!$C$2:$C$397),0)</f>
        <v>52</v>
      </c>
      <c r="E31" s="50" t="n">
        <f aca="false">IFERROR(SUMIF(_CALCULO!$A$2:$A$397,"LAMUD",_CALCULO!$D$2:$D$397),0)</f>
        <v>945.36</v>
      </c>
      <c r="F31" s="45"/>
      <c r="G31" s="46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V31" s="1"/>
      <c r="W31" s="1"/>
      <c r="X31" s="1"/>
      <c r="Y31" s="1"/>
      <c r="Z31" s="1"/>
    </row>
    <row r="32" customFormat="false" ht="15.75" hidden="false" customHeight="true" outlineLevel="0" collapsed="false">
      <c r="A32" s="41" t="n">
        <v>11</v>
      </c>
      <c r="B32" s="42" t="s">
        <v>54</v>
      </c>
      <c r="C32" s="43" t="s">
        <v>39</v>
      </c>
      <c r="D32" s="44" t="n">
        <f aca="false">IFERROR(SUMIF(_CALCULO!$A$2:$A$397,"LEYMEBAMBA",_CALCULO!$C$2:$C$397),0)</f>
        <v>36</v>
      </c>
      <c r="E32" s="44" t="n">
        <f aca="false">IFERROR(SUMIF(_CALCULO!$A$2:$A$397,"LEYMEBAMBA",_CALCULO!$D$2:$D$397),0)</f>
        <v>654.48</v>
      </c>
      <c r="F32" s="45"/>
      <c r="G32" s="46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V32" s="1"/>
      <c r="W32" s="1"/>
      <c r="X32" s="1"/>
      <c r="Y32" s="1"/>
      <c r="Z32" s="1"/>
    </row>
    <row r="33" customFormat="false" ht="15.75" hidden="false" customHeight="true" outlineLevel="0" collapsed="false">
      <c r="A33" s="47" t="n">
        <v>12</v>
      </c>
      <c r="B33" s="48" t="s">
        <v>55</v>
      </c>
      <c r="C33" s="49" t="s">
        <v>56</v>
      </c>
      <c r="D33" s="50" t="n">
        <f aca="false">IFERROR(SUMIF(_CALCULO!$A$2:$A$397,"LUYA",_CALCULO!$C$2:$C$397),0)</f>
        <v>28</v>
      </c>
      <c r="E33" s="50" t="n">
        <f aca="false">IFERROR(SUMIF(_CALCULO!$A$2:$A$397,"LUYA",_CALCULO!$D$2:$D$397),0)</f>
        <v>509.04</v>
      </c>
      <c r="F33" s="45"/>
      <c r="G33" s="46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V33" s="1"/>
      <c r="W33" s="1"/>
      <c r="X33" s="1"/>
      <c r="Y33" s="1"/>
      <c r="Z33" s="1"/>
    </row>
    <row r="34" customFormat="false" ht="15.75" hidden="false" customHeight="true" outlineLevel="0" collapsed="false">
      <c r="A34" s="41" t="n">
        <v>13</v>
      </c>
      <c r="B34" s="42" t="s">
        <v>57</v>
      </c>
      <c r="C34" s="43" t="s">
        <v>58</v>
      </c>
      <c r="D34" s="44" t="n">
        <f aca="false">IFERROR(SUMIF(_CALCULO!$A$2:$A$397,"MARIA",_CALCULO!$C$2:$C$397),0)</f>
        <v>48</v>
      </c>
      <c r="E34" s="44" t="n">
        <f aca="false">IFERROR(SUMIF(_CALCULO!$A$2:$A$397,"MARIA",_CALCULO!$D$2:$D$397),0)</f>
        <v>872.64</v>
      </c>
      <c r="F34" s="45"/>
      <c r="G34" s="46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V34" s="1"/>
      <c r="W34" s="1"/>
      <c r="X34" s="1"/>
      <c r="Y34" s="1"/>
      <c r="Z34" s="1"/>
    </row>
    <row r="35" customFormat="false" ht="15.75" hidden="false" customHeight="true" outlineLevel="0" collapsed="false">
      <c r="A35" s="47" t="n">
        <v>14</v>
      </c>
      <c r="B35" s="48" t="s">
        <v>59</v>
      </c>
      <c r="C35" s="49" t="s">
        <v>60</v>
      </c>
      <c r="D35" s="50" t="n">
        <f aca="false">IFERROR(SUMIF(_CALCULO!$A$2:$A$397,"MARIA AUXILIADORA",_CALCULO!$C$2:$C$397),0)</f>
        <v>381.8</v>
      </c>
      <c r="E35" s="50" t="n">
        <f aca="false">IFERROR(SUMIF(_CALCULO!$A$2:$A$397,"MARIA AUXILIADORA",_CALCULO!$D$2:$D$397),0)</f>
        <v>7710.75</v>
      </c>
      <c r="F35" s="45"/>
      <c r="G35" s="46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V35" s="1"/>
      <c r="W35" s="1"/>
      <c r="X35" s="1"/>
      <c r="Y35" s="1"/>
      <c r="Z35" s="1"/>
    </row>
    <row r="36" customFormat="false" ht="15.75" hidden="false" customHeight="true" outlineLevel="0" collapsed="false">
      <c r="A36" s="41" t="n">
        <v>15</v>
      </c>
      <c r="B36" s="42" t="s">
        <v>61</v>
      </c>
      <c r="C36" s="43" t="s">
        <v>62</v>
      </c>
      <c r="D36" s="44" t="n">
        <f aca="false">IFERROR(SUMIF(_CALCULO!$A$2:$A$397,"MARISCAL BENAVIDES",_CALCULO!$C$2:$C$397),0)</f>
        <v>0</v>
      </c>
      <c r="E36" s="44" t="n">
        <f aca="false">IFERROR(SUMIF(_CALCULO!$A$2:$A$397,"MARISCAL BENAVIDES",_CALCULO!$D$2:$D$397),0)</f>
        <v>0</v>
      </c>
      <c r="F36" s="45"/>
      <c r="G36" s="46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V36" s="1"/>
      <c r="W36" s="1"/>
      <c r="X36" s="1"/>
      <c r="Y36" s="1"/>
      <c r="Z36" s="1"/>
    </row>
    <row r="37" customFormat="false" ht="15.75" hidden="false" customHeight="true" outlineLevel="0" collapsed="false">
      <c r="A37" s="47" t="n">
        <v>16</v>
      </c>
      <c r="B37" s="48" t="s">
        <v>63</v>
      </c>
      <c r="C37" s="49" t="s">
        <v>64</v>
      </c>
      <c r="D37" s="50" t="n">
        <f aca="false">IFERROR(SUMIF(_CALCULO!$A$2:$A$397,"NUEVO CHIRIMOTO",_CALCULO!$C$2:$C$397),0)</f>
        <v>0</v>
      </c>
      <c r="E37" s="50" t="n">
        <f aca="false">IFERROR(SUMIF(_CALCULO!$A$2:$A$397,"NUEVO CHIRIMOTO",_CALCULO!$D$2:$D$397),0)</f>
        <v>0</v>
      </c>
      <c r="F37" s="45"/>
      <c r="G37" s="46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V37" s="1"/>
      <c r="W37" s="1"/>
      <c r="X37" s="1"/>
      <c r="Y37" s="1"/>
      <c r="Z37" s="1"/>
    </row>
    <row r="38" customFormat="false" ht="15.75" hidden="false" customHeight="true" outlineLevel="0" collapsed="false">
      <c r="A38" s="41" t="n">
        <v>17</v>
      </c>
      <c r="B38" s="42" t="s">
        <v>65</v>
      </c>
      <c r="C38" s="43" t="s">
        <v>66</v>
      </c>
      <c r="D38" s="44" t="n">
        <f aca="false">IFERROR(SUMIF(_CALCULO!$A$2:$A$397,"OCALLI",_CALCULO!$C$2:$C$397),0)</f>
        <v>128</v>
      </c>
      <c r="E38" s="44" t="n">
        <f aca="false">IFERROR(SUMIF(_CALCULO!$A$2:$A$397,"OCALLI",_CALCULO!$D$2:$D$397),0)</f>
        <v>2327.04</v>
      </c>
      <c r="F38" s="45"/>
      <c r="G38" s="46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V38" s="1"/>
      <c r="W38" s="1"/>
      <c r="X38" s="1"/>
      <c r="Y38" s="1"/>
      <c r="Z38" s="1"/>
    </row>
    <row r="39" customFormat="false" ht="15.75" hidden="false" customHeight="true" outlineLevel="0" collapsed="false">
      <c r="A39" s="47" t="n">
        <v>18</v>
      </c>
      <c r="B39" s="48" t="s">
        <v>67</v>
      </c>
      <c r="C39" s="49" t="s">
        <v>68</v>
      </c>
      <c r="D39" s="50" t="n">
        <f aca="false">IFERROR(SUMIF(_CALCULO!$A$2:$A$397,"OMIA",_CALCULO!$C$2:$C$397),0)</f>
        <v>46</v>
      </c>
      <c r="E39" s="50" t="n">
        <f aca="false">IFERROR(SUMIF(_CALCULO!$A$2:$A$397,"OMIA",_CALCULO!$D$2:$D$397),0)</f>
        <v>931.5</v>
      </c>
      <c r="F39" s="45"/>
      <c r="G39" s="46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V39" s="1"/>
      <c r="W39" s="1"/>
      <c r="X39" s="1"/>
      <c r="Y39" s="1"/>
      <c r="Z39" s="1"/>
    </row>
    <row r="40" customFormat="false" ht="15.75" hidden="false" customHeight="true" outlineLevel="0" collapsed="false">
      <c r="A40" s="41" t="n">
        <v>19</v>
      </c>
      <c r="B40" s="42" t="s">
        <v>69</v>
      </c>
      <c r="C40" s="43" t="s">
        <v>70</v>
      </c>
      <c r="D40" s="44" t="n">
        <f aca="false">IFERROR(SUMIF(_CALCULO!$A$2:$A$397,"PEDRO RUIZ GALLO",_CALCULO!$C$2:$C$397),0)</f>
        <v>116</v>
      </c>
      <c r="E40" s="44" t="n">
        <f aca="false">IFERROR(SUMIF(_CALCULO!$A$2:$A$397,"PEDRO RUIZ GALLO",_CALCULO!$D$2:$D$397),0)</f>
        <v>2107.5</v>
      </c>
      <c r="F40" s="45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V40" s="1"/>
      <c r="W40" s="1"/>
      <c r="X40" s="1"/>
      <c r="Y40" s="1"/>
      <c r="Z40" s="1"/>
    </row>
    <row r="41" customFormat="false" ht="15.75" hidden="false" customHeight="true" outlineLevel="0" collapsed="false">
      <c r="A41" s="47" t="n">
        <v>20</v>
      </c>
      <c r="B41" s="48" t="s">
        <v>71</v>
      </c>
      <c r="C41" s="49" t="s">
        <v>72</v>
      </c>
      <c r="D41" s="50" t="n">
        <f aca="false">IFERROR(SUMIF(_CALCULO!$A$2:$A$397,"POMACOCHAS",_CALCULO!$C$2:$C$397),0)</f>
        <v>162</v>
      </c>
      <c r="E41" s="50" t="n">
        <f aca="false">IFERROR(SUMIF(_CALCULO!$A$2:$A$397,"POMACOCHAS",_CALCULO!$D$2:$D$397),0)</f>
        <v>2945.16</v>
      </c>
      <c r="F41" s="45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V41" s="1"/>
      <c r="W41" s="1"/>
      <c r="X41" s="1"/>
      <c r="Y41" s="1"/>
      <c r="Z41" s="1"/>
    </row>
    <row r="42" customFormat="false" ht="15.75" hidden="false" customHeight="true" outlineLevel="0" collapsed="false">
      <c r="A42" s="41" t="n">
        <v>21</v>
      </c>
      <c r="B42" s="42" t="s">
        <v>73</v>
      </c>
      <c r="C42" s="43" t="s">
        <v>44</v>
      </c>
      <c r="D42" s="44" t="n">
        <f aca="false">IFERROR(SUMIF(_CALCULO!$A$2:$A$397,"SAN JUAN DE OCUMAL",_CALCULO!$C$2:$C$397),0)</f>
        <v>20</v>
      </c>
      <c r="E42" s="44" t="n">
        <f aca="false">IFERROR(SUMIF(_CALCULO!$A$2:$A$397,"SAN JUAN DE OCUMAL",_CALCULO!$D$2:$D$397),0)</f>
        <v>363.6</v>
      </c>
      <c r="F42" s="45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V42" s="1"/>
      <c r="W42" s="1"/>
      <c r="X42" s="1"/>
      <c r="Y42" s="1"/>
      <c r="Z42" s="1"/>
    </row>
    <row r="43" customFormat="false" ht="15.75" hidden="false" customHeight="true" outlineLevel="0" collapsed="false">
      <c r="A43" s="47" t="n">
        <v>22</v>
      </c>
      <c r="B43" s="48" t="s">
        <v>74</v>
      </c>
      <c r="C43" s="49" t="s">
        <v>75</v>
      </c>
      <c r="D43" s="50" t="n">
        <f aca="false">IFERROR(SUMIF(_CALCULO!$A$2:$A$397,"SAN SALVADOR",_CALCULO!$C$2:$C$397),0)</f>
        <v>10</v>
      </c>
      <c r="E43" s="50" t="n">
        <f aca="false">IFERROR(SUMIF(_CALCULO!$A$2:$A$397,"SAN SALVADOR",_CALCULO!$D$2:$D$397),0)</f>
        <v>181.8</v>
      </c>
      <c r="F43" s="45"/>
      <c r="G43" s="40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V43" s="1"/>
      <c r="W43" s="1"/>
      <c r="X43" s="1"/>
      <c r="Y43" s="1"/>
      <c r="Z43" s="1"/>
    </row>
    <row r="44" customFormat="false" ht="15.75" hidden="false" customHeight="true" outlineLevel="0" collapsed="false">
      <c r="A44" s="41" t="n">
        <v>23</v>
      </c>
      <c r="B44" s="42" t="s">
        <v>76</v>
      </c>
      <c r="C44" s="43" t="s">
        <v>75</v>
      </c>
      <c r="D44" s="44" t="n">
        <f aca="false">IFERROR(SUMIF(_CALCULO!$A$2:$A$397,"SANTO TOMAS",_CALCULO!$C$2:$C$397),0)</f>
        <v>30</v>
      </c>
      <c r="E44" s="44" t="n">
        <f aca="false">IFERROR(SUMIF(_CALCULO!$A$2:$A$397,"SANTO TOMAS",_CALCULO!$D$2:$D$397),0)</f>
        <v>545.4</v>
      </c>
      <c r="F44" s="45"/>
      <c r="G44" s="46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V44" s="1"/>
      <c r="W44" s="1"/>
      <c r="X44" s="1"/>
      <c r="Y44" s="1"/>
      <c r="Z44" s="1"/>
    </row>
    <row r="45" customFormat="false" ht="15.75" hidden="false" customHeight="true" outlineLevel="0" collapsed="false">
      <c r="A45" s="47" t="n">
        <v>24</v>
      </c>
      <c r="B45" s="48" t="s">
        <v>77</v>
      </c>
      <c r="C45" s="49" t="s">
        <v>78</v>
      </c>
      <c r="D45" s="50" t="n">
        <f aca="false">IFERROR(SUMIF(_CALCULO!$A$2:$A$397,"TINGO",_CALCULO!$C$2:$C$397),0)</f>
        <v>55</v>
      </c>
      <c r="E45" s="50" t="n">
        <f aca="false">IFERROR(SUMIF(_CALCULO!$A$2:$A$397,"TINGO",_CALCULO!$D$2:$D$397),0)</f>
        <v>999.9</v>
      </c>
      <c r="F45" s="45"/>
      <c r="G45" s="46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V45" s="1"/>
      <c r="W45" s="1"/>
      <c r="X45" s="1"/>
      <c r="Y45" s="1"/>
      <c r="Z45" s="1"/>
    </row>
    <row r="46" customFormat="false" ht="15.75" hidden="false" customHeight="true" outlineLevel="0" collapsed="false">
      <c r="A46" s="41" t="n">
        <v>25</v>
      </c>
      <c r="B46" s="42" t="s">
        <v>79</v>
      </c>
      <c r="C46" s="43" t="s">
        <v>80</v>
      </c>
      <c r="D46" s="44" t="n">
        <f aca="false">IFERROR(SUMIF(_CALCULO!$A$2:$A$397,"TOTORA",_CALCULO!$C$2:$C$397),0)</f>
        <v>36</v>
      </c>
      <c r="E46" s="44" t="n">
        <f aca="false">IFERROR(SUMIF(_CALCULO!$A$2:$A$397,"TOTORA",_CALCULO!$D$2:$D$397),0)</f>
        <v>729</v>
      </c>
      <c r="F46" s="45"/>
      <c r="G46" s="46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V46" s="1"/>
      <c r="W46" s="1"/>
      <c r="X46" s="1"/>
      <c r="Y46" s="1"/>
      <c r="Z46" s="1"/>
    </row>
    <row r="47" customFormat="false" ht="15.75" hidden="false" customHeight="true" outlineLevel="0" collapsed="false">
      <c r="A47" s="47" t="n">
        <v>26</v>
      </c>
      <c r="B47" s="48" t="s">
        <v>81</v>
      </c>
      <c r="C47" s="49" t="s">
        <v>72</v>
      </c>
      <c r="D47" s="50" t="n">
        <f aca="false">IFERROR(SUMIF(_CALCULO!$A$2:$A$397,"YAMBRASBAMBA",_CALCULO!$C$2:$C$397),0)</f>
        <v>12</v>
      </c>
      <c r="E47" s="50" t="n">
        <f aca="false">IFERROR(SUMIF(_CALCULO!$A$2:$A$397,"YAMBRASBAMBA",_CALCULO!$D$2:$D$397),0)</f>
        <v>218.16</v>
      </c>
      <c r="F47" s="45"/>
      <c r="G47" s="46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V47" s="1"/>
      <c r="W47" s="1"/>
      <c r="X47" s="1"/>
      <c r="Y47" s="1"/>
      <c r="Z47" s="1"/>
    </row>
    <row r="48" customFormat="false" ht="15.75" hidden="false" customHeight="true" outlineLevel="0" collapsed="false">
      <c r="A48" s="41" t="n">
        <v>27</v>
      </c>
      <c r="B48" s="42" t="s">
        <v>82</v>
      </c>
      <c r="C48" s="43" t="s">
        <v>44</v>
      </c>
      <c r="D48" s="44" t="n">
        <f aca="false">IFERROR(SUMIF(_CALCULO!$A$2:$A$397,"YAULICACHI",_CALCULO!$C$2:$C$397),0)</f>
        <v>20</v>
      </c>
      <c r="E48" s="44" t="n">
        <f aca="false">IFERROR(SUMIF(_CALCULO!$A$2:$A$397,"YAULICACHI",_CALCULO!$D$2:$D$397),0)</f>
        <v>363.6</v>
      </c>
      <c r="F48" s="45"/>
      <c r="G48" s="46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V48" s="1"/>
      <c r="W48" s="1"/>
      <c r="X48" s="1"/>
      <c r="Y48" s="1"/>
      <c r="Z48" s="1"/>
    </row>
    <row r="49" customFormat="false" ht="15.75" hidden="false" customHeight="true" outlineLevel="0" collapsed="false">
      <c r="A49" s="47" t="n">
        <v>28</v>
      </c>
      <c r="B49" s="48" t="s">
        <v>83</v>
      </c>
      <c r="C49" s="49" t="s">
        <v>46</v>
      </c>
      <c r="D49" s="50" t="n">
        <f aca="false">IFERROR(SUMIF(_CALCULO!$A$2:$A$397,"YERBABUENA",_CALCULO!$C$2:$C$397),0)</f>
        <v>76</v>
      </c>
      <c r="E49" s="50" t="n">
        <f aca="false">IFERROR(SUMIF(_CALCULO!$A$2:$A$397,"YERBABUENA",_CALCULO!$D$2:$D$397),0)</f>
        <v>1381.68</v>
      </c>
      <c r="F49" s="51"/>
      <c r="G49" s="46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V49" s="1"/>
      <c r="W49" s="1"/>
      <c r="X49" s="1"/>
      <c r="Y49" s="1"/>
      <c r="Z49" s="1"/>
    </row>
    <row r="50" customFormat="false" ht="15.75" hidden="false" customHeight="true" outlineLevel="0" collapsed="false">
      <c r="A50" s="41" t="n">
        <v>29</v>
      </c>
      <c r="B50" s="42" t="s">
        <v>84</v>
      </c>
      <c r="C50" s="43" t="s">
        <v>85</v>
      </c>
      <c r="D50" s="44" t="n">
        <f aca="false">IFERROR(SUMIF(_CALCULO!$A$2:$A$397,"ZARUMILLA",_CALCULO!$C$2:$C$397),0)</f>
        <v>0</v>
      </c>
      <c r="E50" s="44" t="n">
        <f aca="false">IFERROR(SUMIF(_CALCULO!$A$2:$A$397,"ZARUMILLA",_CALCULO!$D$2:$D$397),0)</f>
        <v>0</v>
      </c>
      <c r="G50" s="46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V50" s="1"/>
      <c r="W50" s="1"/>
      <c r="X50" s="1"/>
      <c r="Y50" s="1"/>
      <c r="Z50" s="1"/>
    </row>
    <row r="51" customFormat="false" ht="24" hidden="false" customHeight="true" outlineLevel="0" collapsed="false">
      <c r="A51" s="52" t="s">
        <v>86</v>
      </c>
      <c r="B51" s="52"/>
      <c r="C51" s="52"/>
      <c r="D51" s="53" t="n">
        <f aca="false">SUBTOTAL(9,D22:D50)</f>
        <v>1636.8</v>
      </c>
      <c r="E51" s="54" t="n">
        <f aca="false">SUBTOTAL(9,E22:E50)</f>
        <v>30788.16</v>
      </c>
      <c r="G51" s="46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V51" s="1"/>
      <c r="W51" s="1"/>
      <c r="X51" s="1"/>
      <c r="Y51" s="1"/>
      <c r="Z51" s="1"/>
    </row>
    <row r="52" customFormat="false" ht="24" hidden="false" customHeight="true" outlineLevel="0" collapsed="false">
      <c r="A52" s="45"/>
      <c r="B52" s="51"/>
      <c r="C52" s="51"/>
      <c r="D52" s="51"/>
      <c r="E52" s="51"/>
      <c r="F52" s="45"/>
      <c r="G52" s="46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V52" s="1"/>
      <c r="W52" s="1"/>
      <c r="X52" s="1"/>
      <c r="Y52" s="1"/>
      <c r="Z52" s="1"/>
    </row>
    <row r="53" customFormat="false" ht="25.5" hidden="false" customHeight="true" outlineLevel="0" collapsed="false">
      <c r="A53" s="55"/>
      <c r="B53" s="55"/>
      <c r="C53" s="55"/>
      <c r="D53" s="56"/>
      <c r="E53" s="56"/>
      <c r="F53" s="45"/>
      <c r="G53" s="46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V53" s="1"/>
      <c r="W53" s="1"/>
      <c r="X53" s="1"/>
      <c r="Y53" s="1"/>
      <c r="Z53" s="1"/>
    </row>
    <row r="54" customFormat="false" ht="24" hidden="false" customHeight="true" outlineLevel="0" collapsed="false">
      <c r="A54" s="57" t="s">
        <v>87</v>
      </c>
      <c r="B54" s="57"/>
      <c r="C54" s="57"/>
      <c r="D54" s="57"/>
      <c r="E54" s="57"/>
      <c r="F54" s="51"/>
      <c r="G54" s="46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V54" s="1"/>
      <c r="W54" s="1"/>
      <c r="X54" s="1"/>
      <c r="Y54" s="1"/>
      <c r="Z54" s="1"/>
    </row>
    <row r="55" customFormat="false" ht="25.5" hidden="false" customHeight="true" outlineLevel="0" collapsed="false">
      <c r="A55" s="58" t="s">
        <v>31</v>
      </c>
      <c r="B55" s="58" t="s">
        <v>32</v>
      </c>
      <c r="C55" s="58" t="s">
        <v>33</v>
      </c>
      <c r="D55" s="59" t="s">
        <v>88</v>
      </c>
      <c r="E55" s="59" t="s">
        <v>89</v>
      </c>
      <c r="F55" s="51"/>
      <c r="G55" s="46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V55" s="1"/>
      <c r="W55" s="1"/>
      <c r="X55" s="1"/>
      <c r="Y55" s="1"/>
      <c r="Z55" s="1"/>
    </row>
    <row r="56" customFormat="false" ht="15.75" hidden="false" customHeight="true" outlineLevel="0" collapsed="false">
      <c r="A56" s="41" t="n">
        <v>1</v>
      </c>
      <c r="B56" s="42" t="s">
        <v>90</v>
      </c>
      <c r="C56" s="43" t="s">
        <v>72</v>
      </c>
      <c r="D56" s="44" t="n">
        <f aca="false">IFERROR(SUMIF(_CALCULO!$A$2:$A$397,"BUENOS AIRES",_CALCULO!$E$2:$E$397),0)</f>
        <v>30</v>
      </c>
      <c r="E56" s="44" t="n">
        <f aca="false">IFERROR(SUMIF(_CALCULO!$A$2:$A$397,"BUENOS AIRES",_CALCULO!$F$2:$F$397),0)</f>
        <v>538.5</v>
      </c>
      <c r="F56" s="45"/>
      <c r="G56" s="46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V56" s="1"/>
      <c r="W56" s="1"/>
      <c r="X56" s="1"/>
      <c r="Y56" s="1"/>
      <c r="Z56" s="1"/>
    </row>
    <row r="57" customFormat="false" ht="15.75" hidden="false" customHeight="true" outlineLevel="0" collapsed="false">
      <c r="A57" s="47" t="n">
        <v>2</v>
      </c>
      <c r="B57" s="48" t="s">
        <v>91</v>
      </c>
      <c r="C57" s="49" t="s">
        <v>58</v>
      </c>
      <c r="D57" s="50" t="n">
        <f aca="false">IFERROR(SUMIF(_CALCULO!$A$2:$A$397,"COCABAMBA",_CALCULO!$E$2:$E$397),0)</f>
        <v>26</v>
      </c>
      <c r="E57" s="50" t="n">
        <f aca="false">IFERROR(SUMIF(_CALCULO!$A$2:$A$397,"COCABAMBA",_CALCULO!$F$2:$F$397),0)</f>
        <v>466.7</v>
      </c>
      <c r="F57" s="45"/>
      <c r="G57" s="46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V57" s="1"/>
      <c r="W57" s="1"/>
      <c r="X57" s="1"/>
      <c r="Y57" s="1"/>
      <c r="Z57" s="1"/>
    </row>
    <row r="58" customFormat="false" ht="15.75" hidden="false" customHeight="true" outlineLevel="0" collapsed="false">
      <c r="A58" s="41" t="n">
        <v>3</v>
      </c>
      <c r="B58" s="42" t="s">
        <v>92</v>
      </c>
      <c r="C58" s="43" t="s">
        <v>93</v>
      </c>
      <c r="D58" s="44" t="n">
        <f aca="false">IFERROR(SUMIF(_CALCULO!$A$2:$A$397,"MOLINOPAMPA",_CALCULO!$E$2:$E$397),0)</f>
        <v>24</v>
      </c>
      <c r="E58" s="44" t="n">
        <f aca="false">IFERROR(SUMIF(_CALCULO!$A$2:$A$397,"MOLINOPAMPA",_CALCULO!$F$2:$F$397),0)</f>
        <v>430.8</v>
      </c>
      <c r="F58" s="45"/>
      <c r="G58" s="46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V58" s="1"/>
      <c r="W58" s="1"/>
      <c r="X58" s="1"/>
      <c r="Y58" s="1"/>
      <c r="Z58" s="1"/>
    </row>
    <row r="59" customFormat="false" ht="15.75" hidden="false" customHeight="true" outlineLevel="0" collapsed="false">
      <c r="A59" s="47" t="n">
        <v>4</v>
      </c>
      <c r="B59" s="48" t="s">
        <v>69</v>
      </c>
      <c r="C59" s="49" t="s">
        <v>70</v>
      </c>
      <c r="D59" s="50" t="n">
        <f aca="false">IFERROR(SUMIF(_CALCULO!$A$2:$A$397,"PEDRO RUIZ GALLO",_CALCULO!$E$2:$E$397),0)</f>
        <v>54</v>
      </c>
      <c r="E59" s="50" t="n">
        <f aca="false">IFERROR(SUMIF(_CALCULO!$A$2:$A$397,"PEDRO RUIZ GALLO",_CALCULO!$F$2:$F$397),0)</f>
        <v>969.3</v>
      </c>
      <c r="F59" s="45"/>
      <c r="G59" s="46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V59" s="1"/>
      <c r="W59" s="1"/>
      <c r="X59" s="1"/>
      <c r="Y59" s="1"/>
      <c r="Z59" s="1"/>
    </row>
    <row r="60" customFormat="false" ht="15.75" hidden="false" customHeight="true" outlineLevel="0" collapsed="false">
      <c r="A60" s="41" t="n">
        <v>5</v>
      </c>
      <c r="B60" s="42" t="s">
        <v>71</v>
      </c>
      <c r="C60" s="43" t="s">
        <v>72</v>
      </c>
      <c r="D60" s="44" t="n">
        <f aca="false">IFERROR(SUMIF(_CALCULO!$A$2:$A$397,"POMACOCHAS",_CALCULO!$E$2:$E$397),0)</f>
        <v>11</v>
      </c>
      <c r="E60" s="44" t="n">
        <f aca="false">IFERROR(SUMIF(_CALCULO!$A$2:$A$397,"POMACOCHAS",_CALCULO!$F$2:$F$397),0)</f>
        <v>197.45</v>
      </c>
      <c r="F60" s="45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V60" s="1"/>
      <c r="W60" s="1"/>
      <c r="X60" s="1"/>
      <c r="Y60" s="1"/>
      <c r="Z60" s="1"/>
    </row>
    <row r="61" customFormat="false" ht="15.75" hidden="false" customHeight="true" outlineLevel="0" collapsed="false">
      <c r="A61" s="47" t="n">
        <v>6</v>
      </c>
      <c r="B61" s="48" t="s">
        <v>94</v>
      </c>
      <c r="C61" s="49" t="s">
        <v>70</v>
      </c>
      <c r="D61" s="50" t="n">
        <f aca="false">IFERROR(SUMIF(_CALCULO!$A$2:$A$397,"SALAZAR",_CALCULO!$E$2:$E$397),0)</f>
        <v>84</v>
      </c>
      <c r="E61" s="50" t="n">
        <f aca="false">IFERROR(SUMIF(_CALCULO!$A$2:$A$397,"SALAZAR",_CALCULO!$F$2:$F$397),0)</f>
        <v>1507.8</v>
      </c>
      <c r="F61" s="45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V61" s="1"/>
      <c r="W61" s="1"/>
      <c r="X61" s="1"/>
      <c r="Y61" s="1"/>
      <c r="Z61" s="1"/>
    </row>
    <row r="62" customFormat="false" ht="24" hidden="false" customHeight="true" outlineLevel="0" collapsed="false">
      <c r="A62" s="60" t="s">
        <v>95</v>
      </c>
      <c r="B62" s="60"/>
      <c r="C62" s="60"/>
      <c r="D62" s="53" t="n">
        <f aca="false">SUBTOTAL(9,D56:D61)</f>
        <v>229</v>
      </c>
      <c r="E62" s="54" t="n">
        <f aca="false">SUBTOTAL(9,E56:E61)</f>
        <v>4110.55</v>
      </c>
      <c r="F62" s="45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V62" s="1"/>
      <c r="W62" s="1"/>
      <c r="X62" s="1"/>
      <c r="Y62" s="1"/>
      <c r="Z62" s="1"/>
    </row>
    <row r="63" customFormat="false" ht="24" hidden="false" customHeight="true" outlineLevel="0" collapsed="false">
      <c r="A63" s="45"/>
      <c r="B63" s="51"/>
      <c r="C63" s="51"/>
      <c r="D63" s="61"/>
      <c r="E63" s="62"/>
      <c r="F63" s="45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V63" s="1"/>
      <c r="W63" s="1"/>
      <c r="X63" s="1"/>
      <c r="Y63" s="1"/>
      <c r="Z63" s="1"/>
    </row>
    <row r="64" customFormat="false" ht="15.75" hidden="false" customHeight="true" outlineLevel="0" collapsed="false">
      <c r="A64" s="45"/>
      <c r="B64" s="63"/>
      <c r="C64" s="45"/>
      <c r="D64" s="61"/>
      <c r="E64" s="61"/>
      <c r="F64" s="45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V64" s="1"/>
      <c r="W64" s="1"/>
      <c r="X64" s="1"/>
      <c r="Y64" s="1"/>
      <c r="Z64" s="1"/>
    </row>
    <row r="65" customFormat="false" ht="15.75" hidden="false" customHeight="true" outlineLevel="0" collapsed="false">
      <c r="A65" s="45"/>
      <c r="B65" s="63"/>
      <c r="C65" s="45"/>
      <c r="D65" s="61"/>
      <c r="E65" s="61"/>
      <c r="F65" s="45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V65" s="1"/>
      <c r="W65" s="1"/>
      <c r="X65" s="1"/>
      <c r="Y65" s="1"/>
      <c r="Z65" s="1"/>
    </row>
    <row r="66" customFormat="false" ht="15.75" hidden="false" customHeight="true" outlineLevel="0" collapsed="false">
      <c r="A66" s="45"/>
      <c r="B66" s="63"/>
      <c r="C66" s="45"/>
      <c r="D66" s="61"/>
      <c r="E66" s="61"/>
      <c r="F66" s="45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V66" s="1"/>
      <c r="W66" s="1"/>
      <c r="X66" s="1"/>
      <c r="Y66" s="1"/>
      <c r="Z66" s="1"/>
    </row>
    <row r="67" customFormat="false" ht="15.75" hidden="false" customHeight="true" outlineLevel="0" collapsed="false">
      <c r="A67" s="45"/>
      <c r="B67" s="63"/>
      <c r="C67" s="45"/>
      <c r="D67" s="61"/>
      <c r="E67" s="61"/>
      <c r="F67" s="45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V67" s="1"/>
      <c r="W67" s="1"/>
      <c r="X67" s="1"/>
      <c r="Y67" s="1"/>
      <c r="Z67" s="1"/>
    </row>
    <row r="68" customFormat="false" ht="15.75" hidden="false" customHeight="true" outlineLevel="0" collapsed="false">
      <c r="A68" s="45"/>
      <c r="B68" s="63"/>
      <c r="C68" s="45"/>
      <c r="D68" s="61"/>
      <c r="E68" s="61"/>
      <c r="F68" s="45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V68" s="1"/>
      <c r="W68" s="1"/>
      <c r="X68" s="1"/>
      <c r="Y68" s="1"/>
      <c r="Z68" s="1"/>
    </row>
    <row r="69" customFormat="false" ht="15.75" hidden="false" customHeight="true" outlineLevel="0" collapsed="false">
      <c r="A69" s="45"/>
      <c r="B69" s="63"/>
      <c r="C69" s="45"/>
      <c r="D69" s="61"/>
      <c r="E69" s="61"/>
      <c r="F69" s="45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V69" s="1"/>
      <c r="W69" s="1"/>
      <c r="X69" s="1"/>
      <c r="Y69" s="1"/>
      <c r="Z69" s="1"/>
    </row>
    <row r="70" customFormat="false" ht="15.75" hidden="false" customHeight="true" outlineLevel="0" collapsed="false">
      <c r="A70" s="45"/>
      <c r="B70" s="63"/>
      <c r="C70" s="45"/>
      <c r="D70" s="61"/>
      <c r="E70" s="61"/>
      <c r="F70" s="45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V70" s="1"/>
      <c r="W70" s="1"/>
      <c r="X70" s="1"/>
      <c r="Y70" s="1"/>
      <c r="Z70" s="1"/>
    </row>
    <row r="71" customFormat="false" ht="15.75" hidden="false" customHeight="true" outlineLevel="0" collapsed="false">
      <c r="A71" s="45"/>
      <c r="B71" s="63"/>
      <c r="C71" s="45"/>
      <c r="D71" s="61"/>
      <c r="E71" s="61"/>
      <c r="F71" s="45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V71" s="1"/>
      <c r="W71" s="1"/>
      <c r="X71" s="1"/>
      <c r="Y71" s="1"/>
      <c r="Z71" s="1"/>
    </row>
    <row r="72" customFormat="false" ht="15.75" hidden="false" customHeight="true" outlineLevel="0" collapsed="false">
      <c r="A72" s="45"/>
      <c r="B72" s="63"/>
      <c r="C72" s="45"/>
      <c r="D72" s="61"/>
      <c r="E72" s="61"/>
      <c r="F72" s="45"/>
      <c r="V72" s="1"/>
      <c r="W72" s="1"/>
      <c r="X72" s="1"/>
      <c r="Y72" s="1"/>
      <c r="Z72" s="1"/>
    </row>
    <row r="73" customFormat="false" ht="15.75" hidden="false" customHeight="true" outlineLevel="0" collapsed="false">
      <c r="A73" s="45"/>
      <c r="B73" s="63"/>
      <c r="C73" s="45"/>
      <c r="D73" s="61"/>
      <c r="E73" s="61"/>
      <c r="F73" s="45"/>
      <c r="V73" s="1"/>
      <c r="W73" s="1"/>
      <c r="X73" s="1"/>
      <c r="Y73" s="1"/>
      <c r="Z73" s="1"/>
    </row>
    <row r="74" customFormat="false" ht="15.75" hidden="false" customHeight="true" outlineLevel="0" collapsed="false">
      <c r="A74" s="45"/>
      <c r="B74" s="63"/>
      <c r="C74" s="45"/>
      <c r="D74" s="61"/>
      <c r="E74" s="61"/>
      <c r="F74" s="45"/>
      <c r="V74" s="1"/>
      <c r="W74" s="1"/>
      <c r="X74" s="1"/>
      <c r="Y74" s="1"/>
      <c r="Z74" s="1"/>
    </row>
    <row r="75" customFormat="false" ht="15.75" hidden="false" customHeight="true" outlineLevel="0" collapsed="false">
      <c r="A75" s="45"/>
      <c r="B75" s="63"/>
      <c r="C75" s="45"/>
      <c r="D75" s="61"/>
      <c r="E75" s="61"/>
      <c r="F75" s="45"/>
      <c r="V75" s="1"/>
      <c r="W75" s="1"/>
      <c r="X75" s="1"/>
      <c r="Y75" s="1"/>
      <c r="Z75" s="1"/>
    </row>
    <row r="76" customFormat="false" ht="15.75" hidden="false" customHeight="true" outlineLevel="0" collapsed="false">
      <c r="A76" s="45"/>
      <c r="B76" s="63"/>
      <c r="C76" s="45"/>
      <c r="D76" s="61"/>
      <c r="E76" s="61"/>
      <c r="F76" s="45"/>
      <c r="V76" s="1"/>
      <c r="W76" s="1"/>
      <c r="X76" s="1"/>
      <c r="Y76" s="1"/>
      <c r="Z76" s="1"/>
    </row>
    <row r="77" customFormat="false" ht="15.75" hidden="false" customHeight="true" outlineLevel="0" collapsed="false">
      <c r="A77" s="45"/>
      <c r="B77" s="63"/>
      <c r="C77" s="45"/>
      <c r="D77" s="61"/>
      <c r="E77" s="61"/>
      <c r="F77" s="45"/>
      <c r="V77" s="1"/>
      <c r="W77" s="1"/>
      <c r="X77" s="1"/>
      <c r="Y77" s="1"/>
      <c r="Z77" s="1"/>
    </row>
    <row r="78" customFormat="false" ht="15.75" hidden="false" customHeight="true" outlineLevel="0" collapsed="false">
      <c r="A78" s="45"/>
      <c r="B78" s="63"/>
      <c r="C78" s="45"/>
      <c r="D78" s="61"/>
      <c r="E78" s="61"/>
      <c r="F78" s="45"/>
      <c r="V78" s="1"/>
      <c r="W78" s="1"/>
      <c r="X78" s="1"/>
      <c r="Y78" s="1"/>
      <c r="Z78" s="1"/>
    </row>
    <row r="79" customFormat="false" ht="15.75" hidden="false" customHeight="true" outlineLevel="0" collapsed="false">
      <c r="A79" s="45"/>
      <c r="B79" s="63"/>
      <c r="C79" s="45"/>
      <c r="D79" s="61"/>
      <c r="E79" s="61"/>
      <c r="F79" s="45"/>
      <c r="V79" s="1"/>
      <c r="W79" s="1"/>
      <c r="X79" s="1"/>
      <c r="Y79" s="1"/>
      <c r="Z79" s="1"/>
    </row>
    <row r="80" customFormat="false" ht="15.75" hidden="false" customHeight="true" outlineLevel="0" collapsed="false">
      <c r="A80" s="45"/>
      <c r="B80" s="63"/>
      <c r="C80" s="45"/>
      <c r="D80" s="61"/>
      <c r="E80" s="61"/>
      <c r="F80" s="45"/>
      <c r="V80" s="1"/>
      <c r="W80" s="1"/>
      <c r="X80" s="1"/>
      <c r="Y80" s="1"/>
      <c r="Z80" s="1"/>
    </row>
    <row r="81" customFormat="false" ht="15.75" hidden="false" customHeight="true" outlineLevel="0" collapsed="false">
      <c r="A81" s="45"/>
      <c r="B81" s="63"/>
      <c r="C81" s="45"/>
      <c r="D81" s="61"/>
      <c r="E81" s="61"/>
      <c r="F81" s="45"/>
      <c r="V81" s="1"/>
      <c r="W81" s="1"/>
      <c r="X81" s="1"/>
      <c r="Y81" s="1"/>
      <c r="Z81" s="1"/>
    </row>
    <row r="82" customFormat="false" ht="15.75" hidden="false" customHeight="true" outlineLevel="0" collapsed="false">
      <c r="A82" s="45"/>
      <c r="B82" s="63"/>
      <c r="C82" s="45"/>
      <c r="D82" s="61"/>
      <c r="E82" s="61"/>
      <c r="F82" s="45"/>
      <c r="V82" s="1"/>
      <c r="W82" s="1"/>
      <c r="X82" s="1"/>
      <c r="Y82" s="1"/>
      <c r="Z82" s="1"/>
    </row>
    <row r="83" customFormat="false" ht="15.75" hidden="false" customHeight="true" outlineLevel="0" collapsed="false">
      <c r="A83" s="45"/>
      <c r="B83" s="63"/>
      <c r="C83" s="45"/>
      <c r="D83" s="61"/>
      <c r="E83" s="61"/>
      <c r="F83" s="45"/>
      <c r="V83" s="1"/>
      <c r="W83" s="1"/>
      <c r="X83" s="1"/>
      <c r="Y83" s="1"/>
      <c r="Z83" s="1"/>
    </row>
    <row r="84" customFormat="false" ht="15.75" hidden="false" customHeight="true" outlineLevel="0" collapsed="false">
      <c r="A84" s="45"/>
      <c r="B84" s="63"/>
      <c r="C84" s="45"/>
      <c r="D84" s="61"/>
      <c r="E84" s="61"/>
      <c r="F84" s="45"/>
      <c r="V84" s="1"/>
      <c r="W84" s="1"/>
      <c r="X84" s="1"/>
      <c r="Y84" s="1"/>
      <c r="Z84" s="1"/>
    </row>
    <row r="85" customFormat="false" ht="15.75" hidden="false" customHeight="true" outlineLevel="0" collapsed="false">
      <c r="A85" s="45"/>
      <c r="B85" s="63"/>
      <c r="C85" s="45"/>
      <c r="D85" s="61"/>
      <c r="E85" s="61"/>
      <c r="F85" s="45"/>
      <c r="V85" s="1"/>
      <c r="W85" s="1"/>
      <c r="X85" s="1"/>
      <c r="Y85" s="1"/>
      <c r="Z85" s="1"/>
    </row>
    <row r="86" customFormat="false" ht="15.75" hidden="false" customHeight="true" outlineLevel="0" collapsed="false">
      <c r="A86" s="45"/>
      <c r="B86" s="63"/>
      <c r="C86" s="45"/>
      <c r="D86" s="61"/>
      <c r="E86" s="61"/>
      <c r="F86" s="45"/>
      <c r="V86" s="1"/>
      <c r="W86" s="1"/>
      <c r="X86" s="1"/>
      <c r="Y86" s="1"/>
      <c r="Z86" s="1"/>
    </row>
    <row r="87" customFormat="false" ht="15.75" hidden="false" customHeight="true" outlineLevel="0" collapsed="false">
      <c r="A87" s="45"/>
      <c r="B87" s="51"/>
      <c r="C87" s="51"/>
      <c r="D87" s="61"/>
      <c r="E87" s="61"/>
      <c r="F87" s="5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45"/>
      <c r="B88" s="51"/>
      <c r="C88" s="51"/>
      <c r="D88" s="61"/>
      <c r="E88" s="61"/>
      <c r="F88" s="5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45"/>
      <c r="B89" s="63"/>
      <c r="C89" s="45"/>
      <c r="D89" s="61"/>
      <c r="E89" s="61"/>
      <c r="F89" s="5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45"/>
      <c r="B90" s="63"/>
      <c r="C90" s="45"/>
      <c r="D90" s="61"/>
      <c r="E90" s="61"/>
      <c r="F90" s="5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45"/>
      <c r="B91" s="63"/>
      <c r="C91" s="45"/>
      <c r="D91" s="61"/>
      <c r="E91" s="61"/>
      <c r="F91" s="5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45"/>
      <c r="B92" s="63"/>
      <c r="C92" s="45"/>
      <c r="D92" s="61"/>
      <c r="E92" s="61"/>
      <c r="F92" s="5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45"/>
      <c r="B93" s="63"/>
      <c r="C93" s="45"/>
      <c r="D93" s="61"/>
      <c r="E93" s="61"/>
      <c r="F93" s="5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45"/>
      <c r="B94" s="63"/>
      <c r="C94" s="45"/>
      <c r="D94" s="61"/>
      <c r="E94" s="61"/>
      <c r="F94" s="5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45"/>
      <c r="B95" s="63"/>
      <c r="C95" s="45"/>
      <c r="D95" s="61"/>
      <c r="E95" s="61"/>
      <c r="F95" s="5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45"/>
      <c r="B96" s="63"/>
      <c r="C96" s="45"/>
      <c r="D96" s="61"/>
      <c r="E96" s="61"/>
      <c r="F96" s="5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45"/>
      <c r="B97" s="63"/>
      <c r="C97" s="45"/>
      <c r="D97" s="61"/>
      <c r="E97" s="61"/>
      <c r="F97" s="5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45"/>
      <c r="B98" s="63"/>
      <c r="C98" s="45"/>
      <c r="D98" s="61"/>
      <c r="E98" s="61"/>
      <c r="F98" s="5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45"/>
      <c r="B99" s="63"/>
      <c r="C99" s="45"/>
      <c r="D99" s="61"/>
      <c r="E99" s="61"/>
      <c r="F99" s="5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45"/>
      <c r="B100" s="63"/>
      <c r="C100" s="45"/>
      <c r="D100" s="61"/>
      <c r="E100" s="61"/>
      <c r="F100" s="5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45"/>
      <c r="B101" s="63"/>
      <c r="C101" s="45"/>
      <c r="D101" s="61"/>
      <c r="E101" s="61"/>
      <c r="F101" s="5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45"/>
      <c r="B102" s="63"/>
      <c r="C102" s="45"/>
      <c r="D102" s="61"/>
      <c r="E102" s="61"/>
      <c r="F102" s="5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45"/>
      <c r="B103" s="63"/>
      <c r="C103" s="45"/>
      <c r="D103" s="61"/>
      <c r="E103" s="61"/>
      <c r="F103" s="5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45"/>
      <c r="B104" s="63"/>
      <c r="C104" s="45"/>
      <c r="D104" s="61"/>
      <c r="E104" s="61"/>
      <c r="F104" s="5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45"/>
      <c r="B105" s="63"/>
      <c r="C105" s="45"/>
      <c r="D105" s="61"/>
      <c r="E105" s="61"/>
      <c r="F105" s="5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45"/>
      <c r="B106" s="63"/>
      <c r="C106" s="45"/>
      <c r="D106" s="61"/>
      <c r="E106" s="61"/>
      <c r="F106" s="5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45"/>
      <c r="B107" s="63"/>
      <c r="C107" s="45"/>
      <c r="D107" s="61"/>
      <c r="E107" s="61"/>
      <c r="F107" s="5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45"/>
      <c r="B108" s="63"/>
      <c r="C108" s="45"/>
      <c r="D108" s="61"/>
      <c r="E108" s="61"/>
      <c r="F108" s="5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45"/>
      <c r="B109" s="63"/>
      <c r="C109" s="45"/>
      <c r="D109" s="61"/>
      <c r="E109" s="61"/>
      <c r="F109" s="5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45"/>
      <c r="B110" s="63"/>
      <c r="C110" s="45"/>
      <c r="D110" s="61"/>
      <c r="E110" s="61"/>
      <c r="F110" s="5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45"/>
      <c r="B111" s="63"/>
      <c r="C111" s="45"/>
      <c r="D111" s="61"/>
      <c r="E111" s="61"/>
      <c r="F111" s="5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45"/>
      <c r="B112" s="63"/>
      <c r="C112" s="45"/>
      <c r="D112" s="61"/>
      <c r="E112" s="61"/>
      <c r="F112" s="5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45"/>
      <c r="B113" s="63"/>
      <c r="C113" s="45"/>
      <c r="D113" s="61"/>
      <c r="E113" s="61"/>
      <c r="F113" s="5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45"/>
      <c r="B114" s="63"/>
      <c r="C114" s="45"/>
      <c r="D114" s="61"/>
      <c r="E114" s="61"/>
      <c r="F114" s="5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45"/>
      <c r="B115" s="63"/>
      <c r="C115" s="45"/>
      <c r="D115" s="61"/>
      <c r="E115" s="61"/>
      <c r="F115" s="5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45"/>
      <c r="B116" s="63"/>
      <c r="C116" s="45"/>
      <c r="D116" s="61"/>
      <c r="E116" s="61"/>
      <c r="F116" s="5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45"/>
      <c r="B117" s="63"/>
      <c r="C117" s="45"/>
      <c r="D117" s="61"/>
      <c r="E117" s="61"/>
      <c r="F117" s="5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45"/>
      <c r="B118" s="63"/>
      <c r="C118" s="45"/>
      <c r="D118" s="61"/>
      <c r="E118" s="61"/>
      <c r="F118" s="5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45"/>
      <c r="B119" s="63"/>
      <c r="C119" s="45"/>
      <c r="D119" s="61"/>
      <c r="E119" s="61"/>
      <c r="F119" s="5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45"/>
      <c r="B120" s="63"/>
      <c r="C120" s="45"/>
      <c r="D120" s="61"/>
      <c r="E120" s="61"/>
      <c r="F120" s="5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45"/>
      <c r="B121" s="63"/>
      <c r="C121" s="45"/>
      <c r="D121" s="61"/>
      <c r="E121" s="61"/>
      <c r="F121" s="5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45"/>
      <c r="B122" s="63"/>
      <c r="C122" s="45"/>
      <c r="D122" s="61"/>
      <c r="E122" s="61"/>
      <c r="F122" s="5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45"/>
      <c r="B123" s="63"/>
      <c r="C123" s="45"/>
      <c r="D123" s="61"/>
      <c r="E123" s="61"/>
      <c r="F123" s="5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45"/>
      <c r="B124" s="63"/>
      <c r="C124" s="45"/>
      <c r="D124" s="61"/>
      <c r="E124" s="61"/>
      <c r="F124" s="5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45"/>
      <c r="B125" s="63"/>
      <c r="C125" s="45"/>
      <c r="D125" s="61"/>
      <c r="E125" s="61"/>
      <c r="F125" s="5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45"/>
      <c r="B126" s="63"/>
      <c r="C126" s="45"/>
      <c r="D126" s="61"/>
      <c r="E126" s="61"/>
      <c r="F126" s="5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45"/>
      <c r="B127" s="63"/>
      <c r="C127" s="45"/>
      <c r="D127" s="61"/>
      <c r="E127" s="61"/>
      <c r="F127" s="5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45"/>
      <c r="B128" s="63"/>
      <c r="C128" s="45"/>
      <c r="D128" s="61"/>
      <c r="E128" s="61"/>
      <c r="F128" s="5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45"/>
      <c r="B129" s="63"/>
      <c r="C129" s="45"/>
      <c r="D129" s="61"/>
      <c r="E129" s="61"/>
      <c r="F129" s="5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47" t="n">
        <v>108</v>
      </c>
      <c r="B130" s="48" t="s">
        <v>54</v>
      </c>
      <c r="C130" s="49" t="s">
        <v>39</v>
      </c>
      <c r="D130" s="50" t="n">
        <f aca="false">IFERROR(SUMIF(_CALCULO!$A$2:$A$1525,UPPER(B130),_CALCULO!$C$2:$C$1525),0)</f>
        <v>72</v>
      </c>
      <c r="E130" s="50" t="n">
        <f aca="false">IFERROR(SUMIF(_CALCULO!$A$2:$A$1525,UPPER(B130),_CALCULO!$D$2:$D$1525),0)</f>
        <v>927.18</v>
      </c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41" t="n">
        <v>109</v>
      </c>
      <c r="B131" s="42" t="s">
        <v>55</v>
      </c>
      <c r="C131" s="43" t="s">
        <v>56</v>
      </c>
      <c r="D131" s="44" t="n">
        <f aca="false">IFERROR(SUMIF(_CALCULO!$A$2:$A$1525,UPPER(B131),_CALCULO!$C$2:$C$1525),0)</f>
        <v>56</v>
      </c>
      <c r="E131" s="44" t="n">
        <f aca="false">IFERROR(SUMIF(_CALCULO!$A$2:$A$1525,UPPER(B131),_CALCULO!$D$2:$D$1525),0)</f>
        <v>945.36</v>
      </c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47" t="n">
        <v>110</v>
      </c>
      <c r="B132" s="48" t="s">
        <v>57</v>
      </c>
      <c r="C132" s="49" t="s">
        <v>58</v>
      </c>
      <c r="D132" s="50" t="n">
        <f aca="false">IFERROR(SUMIF(_CALCULO!$A$2:$A$1525,UPPER(B132),_CALCULO!$C$2:$C$1525),0)</f>
        <v>96</v>
      </c>
      <c r="E132" s="50" t="n">
        <f aca="false">IFERROR(SUMIF(_CALCULO!$A$2:$A$1525,UPPER(B132),_CALCULO!$D$2:$D$1525),0)</f>
        <v>1527.12</v>
      </c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41" t="n">
        <v>111</v>
      </c>
      <c r="B133" s="42" t="s">
        <v>59</v>
      </c>
      <c r="C133" s="43" t="s">
        <v>60</v>
      </c>
      <c r="D133" s="44" t="n">
        <f aca="false">IFERROR(SUMIF(_CALCULO!$A$2:$A$1525,UPPER(B133),_CALCULO!$C$2:$C$1525),0)</f>
        <v>763.6</v>
      </c>
      <c r="E133" s="44" t="n">
        <f aca="false">IFERROR(SUMIF(_CALCULO!$A$2:$A$1525,UPPER(B133),_CALCULO!$D$2:$D$1525),0)</f>
        <v>10202.8725</v>
      </c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47" t="n">
        <v>112</v>
      </c>
      <c r="B134" s="48" t="s">
        <v>61</v>
      </c>
      <c r="C134" s="49" t="s">
        <v>62</v>
      </c>
      <c r="D134" s="50" t="n">
        <f aca="false">IFERROR(SUMIF(_CALCULO!$A$2:$A$1525,UPPER(B134),_CALCULO!$C$2:$C$1525),0)</f>
        <v>0</v>
      </c>
      <c r="E134" s="50" t="n">
        <f aca="false">IFERROR(SUMIF(_CALCULO!$A$2:$A$1525,UPPER(B134),_CALCULO!$D$2:$D$1525),0)</f>
        <v>0</v>
      </c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41" t="n">
        <v>113</v>
      </c>
      <c r="B135" s="42" t="s">
        <v>92</v>
      </c>
      <c r="C135" s="43" t="s">
        <v>93</v>
      </c>
      <c r="D135" s="44" t="n">
        <f aca="false">IFERROR(SUMIF(_CALCULO!$A$2:$A$1525,UPPER(B135),_CALCULO!$C$2:$C$1525),0)</f>
        <v>0</v>
      </c>
      <c r="E135" s="44" t="n">
        <f aca="false">IFERROR(SUMIF(_CALCULO!$A$2:$A$1525,UPPER(B135),_CALCULO!$D$2:$D$1525),0)</f>
        <v>0</v>
      </c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47" t="n">
        <v>114</v>
      </c>
      <c r="B136" s="48" t="s">
        <v>65</v>
      </c>
      <c r="C136" s="49" t="s">
        <v>66</v>
      </c>
      <c r="D136" s="50" t="n">
        <f aca="false">IFERROR(SUMIF(_CALCULO!$A$2:$A$1525,UPPER(B136),_CALCULO!$C$2:$C$1525),0)</f>
        <v>256</v>
      </c>
      <c r="E136" s="50" t="n">
        <f aca="false">IFERROR(SUMIF(_CALCULO!$A$2:$A$1525,UPPER(B136),_CALCULO!$D$2:$D$1525),0)</f>
        <v>3163.32</v>
      </c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41" t="n">
        <v>115</v>
      </c>
      <c r="B137" s="42" t="s">
        <v>67</v>
      </c>
      <c r="C137" s="43" t="s">
        <v>68</v>
      </c>
      <c r="D137" s="44" t="n">
        <f aca="false">IFERROR(SUMIF(_CALCULO!$A$2:$A$1525,UPPER(B137),_CALCULO!$C$2:$C$1525),0)</f>
        <v>92</v>
      </c>
      <c r="E137" s="44" t="n">
        <f aca="false">IFERROR(SUMIF(_CALCULO!$A$2:$A$1525,UPPER(B137),_CALCULO!$D$2:$D$1525),0)</f>
        <v>1599.75</v>
      </c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47" t="n">
        <v>116</v>
      </c>
      <c r="B138" s="48" t="s">
        <v>69</v>
      </c>
      <c r="C138" s="49" t="s">
        <v>70</v>
      </c>
      <c r="D138" s="50" t="n">
        <f aca="false">IFERROR(SUMIF(_CALCULO!$A$2:$A$1525,UPPER(B138),_CALCULO!$C$2:$C$1525),0)</f>
        <v>232</v>
      </c>
      <c r="E138" s="50" t="n">
        <f aca="false">IFERROR(SUMIF(_CALCULO!$A$2:$A$1525,UPPER(B138),_CALCULO!$D$2:$D$1525),0)</f>
        <v>3215.1</v>
      </c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41" t="n">
        <v>117</v>
      </c>
      <c r="B139" s="42" t="s">
        <v>71</v>
      </c>
      <c r="C139" s="43" t="s">
        <v>72</v>
      </c>
      <c r="D139" s="44" t="n">
        <f aca="false">IFERROR(SUMIF(_CALCULO!$A$2:$A$1525,UPPER(B139),_CALCULO!$C$2:$C$1525),0)</f>
        <v>324</v>
      </c>
      <c r="E139" s="44" t="n">
        <f aca="false">IFERROR(SUMIF(_CALCULO!$A$2:$A$1525,UPPER(B139),_CALCULO!$D$2:$D$1525),0)</f>
        <v>4145.04</v>
      </c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47" t="n">
        <v>118</v>
      </c>
      <c r="B140" s="48" t="s">
        <v>94</v>
      </c>
      <c r="C140" s="49" t="s">
        <v>70</v>
      </c>
      <c r="D140" s="50" t="n">
        <f aca="false">IFERROR(SUMIF(_CALCULO!$A$2:$A$1525,UPPER(B140),_CALCULO!$C$2:$C$1525),0)</f>
        <v>0</v>
      </c>
      <c r="E140" s="50" t="n">
        <f aca="false">IFERROR(SUMIF(_CALCULO!$A$2:$A$1525,UPPER(B140),_CALCULO!$D$2:$D$1525),0)</f>
        <v>0</v>
      </c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41" t="n">
        <v>119</v>
      </c>
      <c r="B141" s="42" t="s">
        <v>76</v>
      </c>
      <c r="C141" s="43" t="s">
        <v>75</v>
      </c>
      <c r="D141" s="44" t="n">
        <f aca="false">IFERROR(SUMIF(_CALCULO!$A$2:$A$1525,UPPER(B141),_CALCULO!$C$2:$C$1525),0)</f>
        <v>60</v>
      </c>
      <c r="E141" s="44" t="n">
        <f aca="false">IFERROR(SUMIF(_CALCULO!$A$2:$A$1525,UPPER(B141),_CALCULO!$D$2:$D$1525),0)</f>
        <v>727.2</v>
      </c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47" t="n">
        <v>120</v>
      </c>
      <c r="B142" s="48" t="s">
        <v>77</v>
      </c>
      <c r="C142" s="49" t="s">
        <v>78</v>
      </c>
      <c r="D142" s="50" t="n">
        <f aca="false">IFERROR(SUMIF(_CALCULO!$A$2:$A$1525,UPPER(B142),_CALCULO!$C$2:$C$1525),0)</f>
        <v>110</v>
      </c>
      <c r="E142" s="50" t="n">
        <f aca="false">IFERROR(SUMIF(_CALCULO!$A$2:$A$1525,UPPER(B142),_CALCULO!$D$2:$D$1525),0)</f>
        <v>1181.7</v>
      </c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41" t="n">
        <v>121</v>
      </c>
      <c r="B143" s="42" t="s">
        <v>79</v>
      </c>
      <c r="C143" s="43" t="s">
        <v>80</v>
      </c>
      <c r="D143" s="44" t="n">
        <f aca="false">IFERROR(SUMIF(_CALCULO!$A$2:$A$1525,UPPER(B143),_CALCULO!$C$2:$C$1525),0)</f>
        <v>72</v>
      </c>
      <c r="E143" s="44" t="n">
        <f aca="false">IFERROR(SUMIF(_CALCULO!$A$2:$A$1525,UPPER(B143),_CALCULO!$D$2:$D$1525),0)</f>
        <v>729</v>
      </c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47" t="n">
        <v>122</v>
      </c>
      <c r="B144" s="48" t="s">
        <v>83</v>
      </c>
      <c r="C144" s="49" t="s">
        <v>46</v>
      </c>
      <c r="D144" s="50" t="n">
        <f aca="false">IFERROR(SUMIF(_CALCULO!$A$2:$A$1525,UPPER(B144),_CALCULO!$C$2:$C$1525),0)</f>
        <v>152</v>
      </c>
      <c r="E144" s="50" t="n">
        <f aca="false">IFERROR(SUMIF(_CALCULO!$A$2:$A$1525,UPPER(B144),_CALCULO!$D$2:$D$1525),0)</f>
        <v>1927.08</v>
      </c>
      <c r="V144" s="1"/>
      <c r="W144" s="1"/>
      <c r="X144" s="1"/>
      <c r="Y144" s="1"/>
      <c r="Z144" s="1"/>
    </row>
    <row r="145" customFormat="false" ht="24" hidden="false" customHeight="true" outlineLevel="0" collapsed="false">
      <c r="A145" s="52" t="s">
        <v>86</v>
      </c>
      <c r="B145" s="52"/>
      <c r="C145" s="52"/>
      <c r="D145" s="53" t="n">
        <f aca="false">SUBTOTAL(9,D23:D144)</f>
        <v>4111.4</v>
      </c>
      <c r="E145" s="54" t="n">
        <f aca="false">SUBTOTAL(9,E23:E144)</f>
        <v>64462.2325</v>
      </c>
      <c r="V145" s="1"/>
      <c r="W145" s="1"/>
      <c r="X145" s="1"/>
      <c r="Y145" s="1"/>
      <c r="Z145" s="1"/>
    </row>
    <row r="146" customFormat="false" ht="15.75" hidden="false" customHeight="true" outlineLevel="0" collapsed="false">
      <c r="V146" s="1"/>
      <c r="W146" s="1"/>
      <c r="X146" s="1"/>
      <c r="Y146" s="1"/>
      <c r="Z146" s="1"/>
    </row>
    <row r="147" customFormat="false" ht="15.75" hidden="false" customHeight="true" outlineLevel="0" collapsed="false">
      <c r="V147" s="1"/>
      <c r="W147" s="1"/>
      <c r="X147" s="1"/>
      <c r="Y147" s="1"/>
      <c r="Z147" s="1"/>
    </row>
    <row r="148" customFormat="false" ht="24" hidden="false" customHeight="true" outlineLevel="0" collapsed="false">
      <c r="A148" s="57" t="s">
        <v>87</v>
      </c>
      <c r="B148" s="57"/>
      <c r="C148" s="57"/>
      <c r="D148" s="57"/>
      <c r="E148" s="57"/>
      <c r="F148" s="57"/>
      <c r="V148" s="1"/>
      <c r="W148" s="1"/>
      <c r="X148" s="1"/>
      <c r="Y148" s="1"/>
      <c r="Z148" s="1"/>
    </row>
    <row r="149" customFormat="false" ht="13.5" hidden="false" customHeight="true" outlineLevel="0" collapsed="false">
      <c r="A149" s="64" t="s">
        <v>96</v>
      </c>
      <c r="B149" s="64"/>
      <c r="C149" s="64"/>
      <c r="D149" s="64"/>
      <c r="E149" s="64"/>
      <c r="F149" s="64"/>
      <c r="V149" s="1"/>
      <c r="W149" s="1"/>
      <c r="X149" s="1"/>
      <c r="Y149" s="1"/>
      <c r="Z149" s="1"/>
    </row>
    <row r="150" customFormat="false" ht="25.5" hidden="false" customHeight="true" outlineLevel="0" collapsed="false">
      <c r="A150" s="58" t="s">
        <v>97</v>
      </c>
      <c r="B150" s="58" t="s">
        <v>32</v>
      </c>
      <c r="C150" s="58" t="s">
        <v>33</v>
      </c>
      <c r="D150" s="58" t="s">
        <v>88</v>
      </c>
      <c r="E150" s="58" t="s">
        <v>89</v>
      </c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41" t="n">
        <v>1</v>
      </c>
      <c r="B151" s="42" t="str">
        <f aca="false">IFERROR(VLOOKUP(TEXT(H10,"0"),IPRESS!$A$3:$B$212,2,0),"")</f>
        <v/>
      </c>
      <c r="C151" s="43"/>
      <c r="D151" s="44" t="n">
        <f aca="false">IFERROR(SUMIF(_CALCULO!$A$2:$A$1525,UPPER(B151),_CALCULO!$E$2:$E$1525),0)</f>
        <v>0</v>
      </c>
      <c r="E151" s="44" t="n">
        <f aca="false">IFERROR(SUMIF(_CALCULO!$A$2:$A$1525,UPPER(B151),_CALCULO!$F$2:$F$1525),0)</f>
        <v>0</v>
      </c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47" t="n">
        <v>2</v>
      </c>
      <c r="B152" s="48" t="str">
        <f aca="false">IFERROR(VLOOKUP(TEXT(H18,"0"),IPRESS!$A$3:$B$212,2,0),"")</f>
        <v/>
      </c>
      <c r="C152" s="49"/>
      <c r="D152" s="50" t="n">
        <f aca="false">IFERROR(SUMIF(_CALCULO!$A$2:$A$1525,UPPER(B152),_CALCULO!$E$2:$E$1525),0)</f>
        <v>0</v>
      </c>
      <c r="E152" s="50" t="n">
        <f aca="false">IFERROR(SUMIF(_CALCULO!$A$2:$A$1525,UPPER(B152),_CALCULO!$F$2:$F$1525),0)</f>
        <v>0</v>
      </c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41" t="n">
        <v>3</v>
      </c>
      <c r="B153" s="42" t="str">
        <f aca="false">IFERROR(VLOOKUP(TEXT(H21,"0"),IPRESS!$A$3:$B$212,2,0),"")</f>
        <v/>
      </c>
      <c r="C153" s="43"/>
      <c r="D153" s="44" t="n">
        <f aca="false">IFERROR(SUMIF(_CALCULO!$A$2:$A$1525,UPPER(B153),_CALCULO!$E$2:$E$1525),0)</f>
        <v>0</v>
      </c>
      <c r="E153" s="44" t="n">
        <f aca="false">IFERROR(SUMIF(_CALCULO!$A$2:$A$1525,UPPER(B153),_CALCULO!$F$2:$F$1525),0)</f>
        <v>0</v>
      </c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47" t="n">
        <v>4</v>
      </c>
      <c r="B154" s="48" t="str">
        <f aca="false">IFERROR(VLOOKUP(TEXT(H22,"0"),IPRESS!$A$3:$B$212,2,0),"")</f>
        <v/>
      </c>
      <c r="C154" s="49"/>
      <c r="D154" s="50" t="n">
        <f aca="false">IFERROR(SUMIF(_CALCULO!$A$2:$A$1525,UPPER(B154),_CALCULO!$E$2:$E$1525),0)</f>
        <v>0</v>
      </c>
      <c r="E154" s="50" t="n">
        <f aca="false">IFERROR(SUMIF(_CALCULO!$A$2:$A$1525,UPPER(B154),_CALCULO!$F$2:$F$1525),0)</f>
        <v>0</v>
      </c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41" t="n">
        <v>5</v>
      </c>
      <c r="B155" s="42" t="str">
        <f aca="false">IFERROR(VLOOKUP(TEXT(H33,"0"),IPRESS!$A$3:$B$212,2,0),"")</f>
        <v/>
      </c>
      <c r="C155" s="43"/>
      <c r="D155" s="44" t="n">
        <f aca="false">IFERROR(SUMIF(_CALCULO!$A$2:$A$1525,UPPER(B155),_CALCULO!$E$2:$E$1525),0)</f>
        <v>0</v>
      </c>
      <c r="E155" s="44" t="n">
        <f aca="false">IFERROR(SUMIF(_CALCULO!$A$2:$A$1525,UPPER(B155),_CALCULO!$F$2:$F$1525),0)</f>
        <v>0</v>
      </c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47" t="n">
        <v>6</v>
      </c>
      <c r="B156" s="48" t="str">
        <f aca="false">IFERROR(VLOOKUP(TEXT(H34,"0"),IPRESS!$A$3:$B$212,2,0),"")</f>
        <v/>
      </c>
      <c r="C156" s="49"/>
      <c r="D156" s="50" t="n">
        <f aca="false">IFERROR(SUMIF(_CALCULO!$A$2:$A$1525,UPPER(B156),_CALCULO!$E$2:$E$1525),0)</f>
        <v>0</v>
      </c>
      <c r="E156" s="50" t="n">
        <f aca="false">IFERROR(SUMIF(_CALCULO!$A$2:$A$1525,UPPER(B156),_CALCULO!$F$2:$F$1525),0)</f>
        <v>0</v>
      </c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41" t="n">
        <v>7</v>
      </c>
      <c r="B157" s="42" t="str">
        <f aca="false">IFERROR(VLOOKUP(TEXT(H35,"0"),IPRESS!$A$3:$B$212,2,0),"")</f>
        <v/>
      </c>
      <c r="C157" s="43"/>
      <c r="D157" s="44" t="n">
        <f aca="false">IFERROR(SUMIF(_CALCULO!$A$2:$A$1525,UPPER(B157),_CALCULO!$E$2:$E$1525),0)</f>
        <v>0</v>
      </c>
      <c r="E157" s="44" t="n">
        <f aca="false">IFERROR(SUMIF(_CALCULO!$A$2:$A$1525,UPPER(B157),_CALCULO!$F$2:$F$1525),0)</f>
        <v>0</v>
      </c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47" t="n">
        <v>8</v>
      </c>
      <c r="B158" s="48" t="str">
        <f aca="false">IFERROR(VLOOKUP(TEXT(H37,"0"),IPRESS!$A$3:$B$212,2,0),"")</f>
        <v/>
      </c>
      <c r="C158" s="49"/>
      <c r="D158" s="50" t="n">
        <f aca="false">IFERROR(SUMIF(_CALCULO!$A$2:$A$1525,UPPER(B158),_CALCULO!$E$2:$E$1525),0)</f>
        <v>0</v>
      </c>
      <c r="E158" s="50" t="n">
        <f aca="false">IFERROR(SUMIF(_CALCULO!$A$2:$A$1525,UPPER(B158),_CALCULO!$F$2:$F$1525),0)</f>
        <v>0</v>
      </c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41" t="n">
        <v>9</v>
      </c>
      <c r="B159" s="42" t="str">
        <f aca="false">IFERROR(VLOOKUP(TEXT(H45,"0"),IPRESS!$A$3:$B$212,2,0),"")</f>
        <v/>
      </c>
      <c r="C159" s="43"/>
      <c r="D159" s="44" t="n">
        <f aca="false">IFERROR(SUMIF(_CALCULO!$A$2:$A$1525,UPPER(B159),_CALCULO!$E$2:$E$1525),0)</f>
        <v>0</v>
      </c>
      <c r="E159" s="44" t="n">
        <f aca="false">IFERROR(SUMIF(_CALCULO!$A$2:$A$1525,UPPER(B159),_CALCULO!$F$2:$F$1525),0)</f>
        <v>0</v>
      </c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47" t="n">
        <v>10</v>
      </c>
      <c r="B160" s="48" t="str">
        <f aca="false">IFERROR(VLOOKUP(TEXT(H49,"0"),IPRESS!$A$3:$B$212,2,0),"")</f>
        <v/>
      </c>
      <c r="C160" s="49"/>
      <c r="D160" s="50" t="n">
        <f aca="false">IFERROR(SUMIF(_CALCULO!$A$2:$A$1525,UPPER(B160),_CALCULO!$E$2:$E$1525),0)</f>
        <v>0</v>
      </c>
      <c r="E160" s="50" t="n">
        <f aca="false">IFERROR(SUMIF(_CALCULO!$A$2:$A$1525,UPPER(B160),_CALCULO!$F$2:$F$1525),0)</f>
        <v>0</v>
      </c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41" t="n">
        <v>11</v>
      </c>
      <c r="B161" s="42" t="str">
        <f aca="false">IFERROR(VLOOKUP(TEXT(H51,"0"),IPRESS!$A$3:$B$212,2,0),"")</f>
        <v/>
      </c>
      <c r="C161" s="43"/>
      <c r="D161" s="44" t="n">
        <f aca="false">IFERROR(SUMIF(_CALCULO!$A$2:$A$1525,UPPER(B161),_CALCULO!$E$2:$E$1525),0)</f>
        <v>0</v>
      </c>
      <c r="E161" s="44" t="n">
        <f aca="false">IFERROR(SUMIF(_CALCULO!$A$2:$A$1525,UPPER(B161),_CALCULO!$F$2:$F$1525),0)</f>
        <v>0</v>
      </c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47" t="n">
        <v>12</v>
      </c>
      <c r="B162" s="48" t="str">
        <f aca="false">IFERROR(VLOOKUP(TEXT(H52,"0"),IPRESS!$A$3:$B$212,2,0),"")</f>
        <v/>
      </c>
      <c r="C162" s="49"/>
      <c r="D162" s="50" t="n">
        <f aca="false">IFERROR(SUMIF(_CALCULO!$A$2:$A$1525,UPPER(B162),_CALCULO!$E$2:$E$1525),0)</f>
        <v>0</v>
      </c>
      <c r="E162" s="50" t="n">
        <f aca="false">IFERROR(SUMIF(_CALCULO!$A$2:$A$1525,UPPER(B162),_CALCULO!$F$2:$F$1525),0)</f>
        <v>0</v>
      </c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41" t="n">
        <v>13</v>
      </c>
      <c r="B163" s="42" t="str">
        <f aca="false">IFERROR(VLOOKUP(TEXT(H53,"0"),IPRESS!$A$3:$B$212,2,0),"")</f>
        <v/>
      </c>
      <c r="C163" s="43"/>
      <c r="D163" s="44" t="n">
        <f aca="false">IFERROR(SUMIF(_CALCULO!$A$2:$A$1525,UPPER(B163),_CALCULO!$E$2:$E$1525),0)</f>
        <v>0</v>
      </c>
      <c r="E163" s="44" t="n">
        <f aca="false">IFERROR(SUMIF(_CALCULO!$A$2:$A$1525,UPPER(B163),_CALCULO!$F$2:$F$1525),0)</f>
        <v>0</v>
      </c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47" t="n">
        <v>14</v>
      </c>
      <c r="B164" s="48" t="str">
        <f aca="false">IFERROR(VLOOKUP(TEXT(H55,"0"),IPRESS!$A$3:$B$212,2,0),"")</f>
        <v/>
      </c>
      <c r="C164" s="49"/>
      <c r="D164" s="50" t="n">
        <f aca="false">IFERROR(SUMIF(_CALCULO!$A$2:$A$1525,UPPER(B164),_CALCULO!$E$2:$E$1525),0)</f>
        <v>0</v>
      </c>
      <c r="E164" s="50" t="n">
        <f aca="false">IFERROR(SUMIF(_CALCULO!$A$2:$A$1525,UPPER(B164),_CALCULO!$F$2:$F$1525),0)</f>
        <v>0</v>
      </c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41" t="n">
        <v>15</v>
      </c>
      <c r="B165" s="42" t="str">
        <f aca="false">IFERROR(VLOOKUP(TEXT(H56,"0"),IPRESS!$A$3:$B$212,2,0),"")</f>
        <v/>
      </c>
      <c r="C165" s="43"/>
      <c r="D165" s="44" t="n">
        <f aca="false">IFERROR(SUMIF(_CALCULO!$A$2:$A$1525,UPPER(B165),_CALCULO!$E$2:$E$1525),0)</f>
        <v>0</v>
      </c>
      <c r="E165" s="44" t="n">
        <f aca="false">IFERROR(SUMIF(_CALCULO!$A$2:$A$1525,UPPER(B165),_CALCULO!$F$2:$F$1525),0)</f>
        <v>0</v>
      </c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47" t="n">
        <v>16</v>
      </c>
      <c r="B166" s="48" t="str">
        <f aca="false">IFERROR(VLOOKUP(TEXT(H6,"0"),IPRESS!$A$3:$B$212,2,0),"")</f>
        <v/>
      </c>
      <c r="C166" s="49"/>
      <c r="D166" s="50" t="n">
        <f aca="false">IFERROR(SUMIF(_CALCULO!$A$2:$A$1525,UPPER(B166),_CALCULO!$E$2:$E$1525),0)</f>
        <v>0</v>
      </c>
      <c r="E166" s="50" t="n">
        <f aca="false">IFERROR(SUMIF(_CALCULO!$A$2:$A$1525,UPPER(B166),_CALCULO!$F$2:$F$1525),0)</f>
        <v>0</v>
      </c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41" t="n">
        <v>17</v>
      </c>
      <c r="B167" s="42" t="str">
        <f aca="false">IFERROR(VLOOKUP(TEXT(H73,"0"),IPRESS!$A$3:$B$212,2,0),"")</f>
        <v/>
      </c>
      <c r="C167" s="43"/>
      <c r="D167" s="44" t="n">
        <f aca="false">IFERROR(SUMIF(_CALCULO!$A$2:$A$1525,UPPER(B167),_CALCULO!$E$2:$E$1525),0)</f>
        <v>0</v>
      </c>
      <c r="E167" s="44" t="n">
        <f aca="false">IFERROR(SUMIF(_CALCULO!$A$2:$A$1525,UPPER(B167),_CALCULO!$F$2:$F$1525),0)</f>
        <v>0</v>
      </c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47" t="n">
        <v>18</v>
      </c>
      <c r="B168" s="48" t="str">
        <f aca="false">IFERROR(VLOOKUP(TEXT(H76,"0"),IPRESS!$A$3:$B$212,2,0),"")</f>
        <v/>
      </c>
      <c r="C168" s="49"/>
      <c r="D168" s="50" t="n">
        <f aca="false">IFERROR(SUMIF(_CALCULO!$A$2:$A$1525,UPPER(B168),_CALCULO!$E$2:$E$1525),0)</f>
        <v>0</v>
      </c>
      <c r="E168" s="50" t="n">
        <f aca="false">IFERROR(SUMIF(_CALCULO!$A$2:$A$1525,UPPER(B168),_CALCULO!$F$2:$F$1525),0)</f>
        <v>0</v>
      </c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41" t="n">
        <v>19</v>
      </c>
      <c r="B169" s="42" t="str">
        <f aca="false">IFERROR(VLOOKUP(TEXT(H8,"0"),IPRESS!$A$3:$B$212,2,0),"")</f>
        <v/>
      </c>
      <c r="C169" s="43"/>
      <c r="D169" s="44" t="n">
        <f aca="false">IFERROR(SUMIF(_CALCULO!$A$2:$A$1525,UPPER(B169),_CALCULO!$E$2:$E$1525),0)</f>
        <v>0</v>
      </c>
      <c r="E169" s="44" t="n">
        <f aca="false">IFERROR(SUMIF(_CALCULO!$A$2:$A$1525,UPPER(B169),_CALCULO!$F$2:$F$1525),0)</f>
        <v>0</v>
      </c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47" t="n">
        <v>20</v>
      </c>
      <c r="B170" s="48" t="str">
        <f aca="false">IFERROR(VLOOKUP(TEXT(H82,"0"),IPRESS!$A$3:$B$212,2,0),"")</f>
        <v/>
      </c>
      <c r="C170" s="49"/>
      <c r="D170" s="50" t="n">
        <f aca="false">IFERROR(SUMIF(_CALCULO!$A$2:$A$1525,UPPER(B170),_CALCULO!$E$2:$E$1525),0)</f>
        <v>0</v>
      </c>
      <c r="E170" s="50" t="n">
        <f aca="false">IFERROR(SUMIF(_CALCULO!$A$2:$A$1525,UPPER(B170),_CALCULO!$F$2:$F$1525),0)</f>
        <v>0</v>
      </c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41" t="n">
        <v>21</v>
      </c>
      <c r="B171" s="42" t="str">
        <f aca="false">IFERROR(VLOOKUP(TEXT(H88,"0"),IPRESS!$A$3:$B$212,2,0),"")</f>
        <v/>
      </c>
      <c r="C171" s="43"/>
      <c r="D171" s="44" t="n">
        <f aca="false">IFERROR(SUMIF(_CALCULO!$A$2:$A$1525,UPPER(B171),_CALCULO!$E$2:$E$1525),0)</f>
        <v>0</v>
      </c>
      <c r="E171" s="44" t="n">
        <f aca="false">IFERROR(SUMIF(_CALCULO!$A$2:$A$1525,UPPER(B171),_CALCULO!$F$2:$F$1525),0)</f>
        <v>0</v>
      </c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47" t="n">
        <v>22</v>
      </c>
      <c r="B172" s="48" t="str">
        <f aca="false">IFERROR(VLOOKUP(TEXT(H91,"0"),IPRESS!$A$3:$B$212,2,0),"")</f>
        <v/>
      </c>
      <c r="C172" s="49"/>
      <c r="D172" s="50" t="n">
        <f aca="false">IFERROR(SUMIF(_CALCULO!$A$2:$A$1525,UPPER(B172),_CALCULO!$E$2:$E$1525),0)</f>
        <v>0</v>
      </c>
      <c r="E172" s="50" t="n">
        <f aca="false">IFERROR(SUMIF(_CALCULO!$A$2:$A$1525,UPPER(B172),_CALCULO!$F$2:$F$1525),0)</f>
        <v>0</v>
      </c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41" t="n">
        <v>23</v>
      </c>
      <c r="B173" s="42" t="s">
        <v>90</v>
      </c>
      <c r="C173" s="43" t="s">
        <v>72</v>
      </c>
      <c r="D173" s="44" t="n">
        <f aca="false">IFERROR(SUMIF(_CALCULO!$A$2:$A$1525,UPPER(B173),_CALCULO!$E$2:$E$1525),0)</f>
        <v>60</v>
      </c>
      <c r="E173" s="44" t="n">
        <f aca="false">IFERROR(SUMIF(_CALCULO!$A$2:$A$1525,UPPER(B173),_CALCULO!$F$2:$F$1525),0)</f>
        <v>718</v>
      </c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47" t="n">
        <v>24</v>
      </c>
      <c r="B174" s="48" t="s">
        <v>91</v>
      </c>
      <c r="C174" s="49" t="s">
        <v>58</v>
      </c>
      <c r="D174" s="50" t="n">
        <f aca="false">IFERROR(SUMIF(_CALCULO!$A$2:$A$1525,UPPER(B174),_CALCULO!$E$2:$E$1525),0)</f>
        <v>52</v>
      </c>
      <c r="E174" s="50" t="n">
        <f aca="false">IFERROR(SUMIF(_CALCULO!$A$2:$A$1525,UPPER(B174),_CALCULO!$F$2:$F$1525),0)</f>
        <v>933.4</v>
      </c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41" t="n">
        <v>25</v>
      </c>
      <c r="B175" s="42" t="s">
        <v>63</v>
      </c>
      <c r="C175" s="43" t="s">
        <v>64</v>
      </c>
      <c r="D175" s="44" t="n">
        <f aca="false">IFERROR(SUMIF(_CALCULO!$A$2:$A$1525,UPPER(B175),_CALCULO!$E$2:$E$1525),0)</f>
        <v>0</v>
      </c>
      <c r="E175" s="44" t="n">
        <f aca="false">IFERROR(SUMIF(_CALCULO!$A$2:$A$1525,UPPER(B175),_CALCULO!$F$2:$F$1525),0)</f>
        <v>0</v>
      </c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47" t="n">
        <v>26</v>
      </c>
      <c r="B176" s="48" t="s">
        <v>94</v>
      </c>
      <c r="C176" s="49" t="s">
        <v>70</v>
      </c>
      <c r="D176" s="50" t="n">
        <f aca="false">IFERROR(SUMIF(_CALCULO!$A$2:$A$1525,UPPER(B176),_CALCULO!$E$2:$E$1525),0)</f>
        <v>168</v>
      </c>
      <c r="E176" s="50" t="n">
        <f aca="false">IFERROR(SUMIF(_CALCULO!$A$2:$A$1525,UPPER(B176),_CALCULO!$F$2:$F$1525),0)</f>
        <v>3015.6</v>
      </c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41" t="n">
        <v>27</v>
      </c>
      <c r="B177" s="42" t="s">
        <v>81</v>
      </c>
      <c r="C177" s="43" t="s">
        <v>72</v>
      </c>
      <c r="D177" s="44" t="n">
        <f aca="false">IFERROR(SUMIF(_CALCULO!$A$2:$A$1525,UPPER(B177),_CALCULO!$E$2:$E$1525),0)</f>
        <v>0</v>
      </c>
      <c r="E177" s="44" t="n">
        <f aca="false">IFERROR(SUMIF(_CALCULO!$A$2:$A$1525,UPPER(B177),_CALCULO!$F$2:$F$1525),0)</f>
        <v>0</v>
      </c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47" t="n">
        <v>28</v>
      </c>
      <c r="B178" s="48" t="s">
        <v>84</v>
      </c>
      <c r="C178" s="49" t="s">
        <v>85</v>
      </c>
      <c r="D178" s="50" t="n">
        <f aca="false">IFERROR(SUMIF(_CALCULO!$A$2:$A$1525,UPPER(B178),_CALCULO!$E$2:$E$1525),0)</f>
        <v>0</v>
      </c>
      <c r="E178" s="50" t="n">
        <f aca="false">IFERROR(SUMIF(_CALCULO!$A$2:$A$1525,UPPER(B178),_CALCULO!$F$2:$F$1525),0)</f>
        <v>0</v>
      </c>
      <c r="V178" s="1"/>
      <c r="W178" s="1"/>
      <c r="X178" s="1"/>
      <c r="Y178" s="1"/>
      <c r="Z178" s="1"/>
    </row>
    <row r="179" customFormat="false" ht="24" hidden="false" customHeight="true" outlineLevel="0" collapsed="false">
      <c r="A179" s="60" t="s">
        <v>95</v>
      </c>
      <c r="B179" s="60"/>
      <c r="C179" s="60"/>
      <c r="D179" s="53" t="n">
        <f aca="false">SUBTOTAL(9,D151:D178)</f>
        <v>280</v>
      </c>
      <c r="E179" s="54" t="n">
        <f aca="false">SUBTOTAL(9,E151:E178)</f>
        <v>4667</v>
      </c>
      <c r="V179" s="1"/>
      <c r="W179" s="1"/>
      <c r="X179" s="1"/>
      <c r="Y179" s="1"/>
      <c r="Z179" s="1"/>
    </row>
    <row r="180" customFormat="false" ht="15.75" hidden="false" customHeight="true" outlineLevel="0" collapsed="false">
      <c r="V180" s="1"/>
      <c r="W180" s="1"/>
      <c r="X180" s="1"/>
      <c r="Y180" s="1"/>
      <c r="Z180" s="1"/>
    </row>
    <row r="181" customFormat="false" ht="15.75" hidden="false" customHeight="true" outlineLevel="0" collapsed="false">
      <c r="V181" s="1"/>
      <c r="W181" s="1"/>
      <c r="X181" s="1"/>
      <c r="Y181" s="1"/>
      <c r="Z181" s="1"/>
    </row>
    <row r="182" customFormat="false" ht="15.75" hidden="false" customHeight="true" outlineLevel="0" collapsed="false">
      <c r="V182" s="1"/>
      <c r="W182" s="1"/>
      <c r="X182" s="1"/>
      <c r="Y182" s="1"/>
      <c r="Z182" s="1"/>
    </row>
    <row r="183" customFormat="false" ht="15.75" hidden="false" customHeight="true" outlineLevel="0" collapsed="false">
      <c r="V183" s="1"/>
      <c r="W183" s="1"/>
      <c r="X183" s="1"/>
      <c r="Y183" s="1"/>
      <c r="Z183" s="1"/>
    </row>
    <row r="184" customFormat="false" ht="15.75" hidden="false" customHeight="true" outlineLevel="0" collapsed="false">
      <c r="V184" s="1"/>
      <c r="W184" s="1"/>
      <c r="X184" s="1"/>
      <c r="Y184" s="1"/>
      <c r="Z184" s="1"/>
    </row>
    <row r="185" customFormat="false" ht="15.75" hidden="false" customHeight="true" outlineLevel="0" collapsed="false">
      <c r="V185" s="1"/>
      <c r="W185" s="1"/>
      <c r="X185" s="1"/>
      <c r="Y185" s="1"/>
      <c r="Z185" s="1"/>
    </row>
    <row r="186" customFormat="false" ht="15.75" hidden="false" customHeight="true" outlineLevel="0" collapsed="false">
      <c r="V186" s="1"/>
      <c r="W186" s="1"/>
      <c r="X186" s="1"/>
      <c r="Y186" s="1"/>
      <c r="Z186" s="1"/>
    </row>
    <row r="187" customFormat="false" ht="15.75" hidden="false" customHeight="true" outlineLevel="0" collapsed="false">
      <c r="V187" s="1"/>
      <c r="W187" s="1"/>
      <c r="X187" s="1"/>
      <c r="Y187" s="1"/>
      <c r="Z187" s="1"/>
    </row>
    <row r="188" customFormat="false" ht="15.75" hidden="false" customHeight="true" outlineLevel="0" collapsed="false">
      <c r="V188" s="1"/>
      <c r="W188" s="1"/>
      <c r="X188" s="1"/>
      <c r="Y188" s="1"/>
      <c r="Z188" s="1"/>
    </row>
    <row r="189" customFormat="false" ht="15.75" hidden="false" customHeight="true" outlineLevel="0" collapsed="false">
      <c r="V189" s="1"/>
      <c r="W189" s="1"/>
      <c r="X189" s="1"/>
      <c r="Y189" s="1"/>
      <c r="Z189" s="1"/>
    </row>
    <row r="190" customFormat="false" ht="15.75" hidden="false" customHeight="true" outlineLevel="0" collapsed="false">
      <c r="V190" s="1"/>
      <c r="W190" s="1"/>
      <c r="X190" s="1"/>
      <c r="Y190" s="1"/>
      <c r="Z190" s="1"/>
    </row>
    <row r="191" customFormat="false" ht="15.75" hidden="false" customHeight="true" outlineLevel="0" collapsed="false">
      <c r="V191" s="1"/>
      <c r="W191" s="1"/>
      <c r="X191" s="1"/>
      <c r="Y191" s="1"/>
      <c r="Z191" s="1"/>
    </row>
    <row r="192" customFormat="false" ht="15.75" hidden="false" customHeight="true" outlineLevel="0" collapsed="false">
      <c r="V192" s="1"/>
      <c r="W192" s="1"/>
      <c r="X192" s="1"/>
      <c r="Y192" s="1"/>
      <c r="Z192" s="1"/>
    </row>
    <row r="193" customFormat="false" ht="15.75" hidden="false" customHeight="true" outlineLevel="0" collapsed="false">
      <c r="V193" s="1"/>
      <c r="W193" s="1"/>
      <c r="X193" s="1"/>
      <c r="Y193" s="1"/>
      <c r="Z193" s="1"/>
    </row>
    <row r="194" customFormat="false" ht="15.75" hidden="false" customHeight="true" outlineLevel="0" collapsed="false">
      <c r="V194" s="1"/>
      <c r="W194" s="1"/>
      <c r="X194" s="1"/>
      <c r="Y194" s="1"/>
      <c r="Z194" s="1"/>
    </row>
    <row r="195" customFormat="false" ht="15.75" hidden="false" customHeight="true" outlineLevel="0" collapsed="false">
      <c r="V195" s="1"/>
      <c r="W195" s="1"/>
      <c r="X195" s="1"/>
      <c r="Y195" s="1"/>
      <c r="Z195" s="1"/>
    </row>
    <row r="196" customFormat="false" ht="15.75" hidden="false" customHeight="true" outlineLevel="0" collapsed="false">
      <c r="V196" s="1"/>
      <c r="W196" s="1"/>
      <c r="X196" s="1"/>
      <c r="Y196" s="1"/>
      <c r="Z196" s="1"/>
    </row>
    <row r="197" customFormat="false" ht="15.75" hidden="false" customHeight="true" outlineLevel="0" collapsed="false">
      <c r="V197" s="1"/>
      <c r="W197" s="1"/>
      <c r="X197" s="1"/>
      <c r="Y197" s="1"/>
      <c r="Z197" s="1"/>
    </row>
    <row r="198" customFormat="false" ht="15.75" hidden="false" customHeight="true" outlineLevel="0" collapsed="false">
      <c r="V198" s="1"/>
      <c r="W198" s="1"/>
      <c r="X198" s="1"/>
      <c r="Y198" s="1"/>
      <c r="Z198" s="1"/>
    </row>
    <row r="199" customFormat="false" ht="15.75" hidden="false" customHeight="true" outlineLevel="0" collapsed="false">
      <c r="V199" s="1"/>
      <c r="W199" s="1"/>
      <c r="X199" s="1"/>
      <c r="Y199" s="1"/>
      <c r="Z199" s="1"/>
    </row>
    <row r="200" customFormat="false" ht="15.75" hidden="false" customHeight="true" outlineLevel="0" collapsed="false">
      <c r="V200" s="1"/>
      <c r="W200" s="1"/>
      <c r="X200" s="1"/>
      <c r="Y200" s="1"/>
      <c r="Z200" s="1"/>
    </row>
    <row r="201" customFormat="false" ht="15.75" hidden="false" customHeight="true" outlineLevel="0" collapsed="false">
      <c r="V201" s="1"/>
      <c r="W201" s="1"/>
      <c r="X201" s="1"/>
      <c r="Y201" s="1"/>
      <c r="Z201" s="1"/>
    </row>
    <row r="202" customFormat="false" ht="15.75" hidden="false" customHeight="true" outlineLevel="0" collapsed="false">
      <c r="V202" s="1"/>
      <c r="W202" s="1"/>
      <c r="X202" s="1"/>
      <c r="Y202" s="1"/>
      <c r="Z202" s="1"/>
    </row>
    <row r="203" customFormat="false" ht="15.75" hidden="false" customHeight="true" outlineLevel="0" collapsed="false">
      <c r="V203" s="1"/>
      <c r="W203" s="1"/>
      <c r="X203" s="1"/>
      <c r="Y203" s="1"/>
      <c r="Z203" s="1"/>
    </row>
    <row r="204" customFormat="false" ht="15.75" hidden="false" customHeight="true" outlineLevel="0" collapsed="false">
      <c r="V204" s="1"/>
      <c r="W204" s="1"/>
      <c r="X204" s="1"/>
      <c r="Y204" s="1"/>
      <c r="Z204" s="1"/>
    </row>
    <row r="205" customFormat="false" ht="15.75" hidden="false" customHeight="true" outlineLevel="0" collapsed="false">
      <c r="V205" s="1"/>
      <c r="W205" s="1"/>
      <c r="X205" s="1"/>
      <c r="Y205" s="1"/>
      <c r="Z205" s="1"/>
    </row>
    <row r="206" customFormat="false" ht="15.75" hidden="false" customHeight="true" outlineLevel="0" collapsed="false">
      <c r="V206" s="1"/>
      <c r="W206" s="1"/>
      <c r="X206" s="1"/>
      <c r="Y206" s="1"/>
      <c r="Z206" s="1"/>
    </row>
    <row r="207" customFormat="false" ht="15.75" hidden="false" customHeight="true" outlineLevel="0" collapsed="false">
      <c r="V207" s="1"/>
      <c r="W207" s="1"/>
      <c r="X207" s="1"/>
      <c r="Y207" s="1"/>
      <c r="Z207" s="1"/>
    </row>
    <row r="208" customFormat="false" ht="15.75" hidden="false" customHeight="true" outlineLevel="0" collapsed="false">
      <c r="V208" s="1"/>
      <c r="W208" s="1"/>
      <c r="X208" s="1"/>
      <c r="Y208" s="1"/>
      <c r="Z208" s="1"/>
    </row>
    <row r="209" customFormat="false" ht="15.75" hidden="false" customHeight="true" outlineLevel="0" collapsed="false">
      <c r="V209" s="1"/>
      <c r="W209" s="1"/>
      <c r="X209" s="1"/>
      <c r="Y209" s="1"/>
      <c r="Z209" s="1"/>
    </row>
    <row r="210" customFormat="false" ht="15.75" hidden="false" customHeight="true" outlineLevel="0" collapsed="false">
      <c r="V210" s="1"/>
      <c r="W210" s="1"/>
      <c r="X210" s="1"/>
      <c r="Y210" s="1"/>
      <c r="Z210" s="1"/>
    </row>
    <row r="211" customFormat="false" ht="15.75" hidden="false" customHeight="true" outlineLevel="0" collapsed="false">
      <c r="V211" s="1"/>
      <c r="W211" s="1"/>
      <c r="X211" s="1"/>
      <c r="Y211" s="1"/>
      <c r="Z211" s="1"/>
    </row>
    <row r="212" customFormat="false" ht="15.75" hidden="false" customHeight="true" outlineLevel="0" collapsed="false">
      <c r="V212" s="1"/>
      <c r="W212" s="1"/>
      <c r="X212" s="1"/>
      <c r="Y212" s="1"/>
      <c r="Z212" s="1"/>
    </row>
    <row r="213" customFormat="false" ht="15.75" hidden="false" customHeight="true" outlineLevel="0" collapsed="false">
      <c r="V213" s="1"/>
      <c r="W213" s="1"/>
      <c r="X213" s="1"/>
      <c r="Y213" s="1"/>
      <c r="Z213" s="1"/>
    </row>
    <row r="214" customFormat="false" ht="15.75" hidden="false" customHeight="true" outlineLevel="0" collapsed="false">
      <c r="V214" s="1"/>
      <c r="W214" s="1"/>
      <c r="X214" s="1"/>
      <c r="Y214" s="1"/>
      <c r="Z214" s="1"/>
    </row>
    <row r="215" customFormat="false" ht="15.75" hidden="false" customHeight="true" outlineLevel="0" collapsed="false">
      <c r="V215" s="1"/>
      <c r="W215" s="1"/>
      <c r="X215" s="1"/>
      <c r="Y215" s="1"/>
      <c r="Z215" s="1"/>
    </row>
    <row r="216" customFormat="false" ht="15.75" hidden="false" customHeight="true" outlineLevel="0" collapsed="false">
      <c r="V216" s="1"/>
      <c r="W216" s="1"/>
      <c r="X216" s="1"/>
      <c r="Y216" s="1"/>
      <c r="Z216" s="1"/>
    </row>
    <row r="217" customFormat="false" ht="15.75" hidden="false" customHeight="true" outlineLevel="0" collapsed="false">
      <c r="V217" s="1"/>
      <c r="W217" s="1"/>
      <c r="X217" s="1"/>
      <c r="Y217" s="1"/>
      <c r="Z217" s="1"/>
    </row>
    <row r="218" customFormat="false" ht="15.75" hidden="false" customHeight="true" outlineLevel="0" collapsed="false">
      <c r="V218" s="1"/>
      <c r="W218" s="1"/>
      <c r="X218" s="1"/>
      <c r="Y218" s="1"/>
      <c r="Z218" s="1"/>
    </row>
    <row r="219" customFormat="false" ht="15.75" hidden="false" customHeight="true" outlineLevel="0" collapsed="false">
      <c r="V219" s="1"/>
      <c r="W219" s="1"/>
      <c r="X219" s="1"/>
      <c r="Y219" s="1"/>
      <c r="Z219" s="1"/>
    </row>
    <row r="220" customFormat="false" ht="15.75" hidden="false" customHeight="true" outlineLevel="0" collapsed="false">
      <c r="V220" s="1"/>
      <c r="W220" s="1"/>
      <c r="X220" s="1"/>
      <c r="Y220" s="1"/>
      <c r="Z220" s="1"/>
    </row>
    <row r="221" customFormat="false" ht="15.75" hidden="false" customHeight="true" outlineLevel="0" collapsed="false">
      <c r="V221" s="1"/>
      <c r="W221" s="1"/>
      <c r="X221" s="1"/>
      <c r="Y221" s="1"/>
      <c r="Z221" s="1"/>
    </row>
    <row r="222" customFormat="false" ht="15.75" hidden="false" customHeight="true" outlineLevel="0" collapsed="false">
      <c r="V222" s="1"/>
      <c r="W222" s="1"/>
      <c r="X222" s="1"/>
      <c r="Y222" s="1"/>
      <c r="Z222" s="1"/>
    </row>
    <row r="223" customFormat="false" ht="15.75" hidden="false" customHeight="true" outlineLevel="0" collapsed="false">
      <c r="V223" s="1"/>
      <c r="W223" s="1"/>
      <c r="X223" s="1"/>
      <c r="Y223" s="1"/>
      <c r="Z223" s="1"/>
    </row>
    <row r="224" customFormat="false" ht="15.75" hidden="false" customHeight="true" outlineLevel="0" collapsed="false">
      <c r="V224" s="1"/>
      <c r="W224" s="1"/>
      <c r="X224" s="1"/>
      <c r="Y224" s="1"/>
      <c r="Z224" s="1"/>
    </row>
    <row r="225" customFormat="false" ht="15.75" hidden="false" customHeight="true" outlineLevel="0" collapsed="false">
      <c r="V225" s="1"/>
      <c r="W225" s="1"/>
      <c r="X225" s="1"/>
      <c r="Y225" s="1"/>
      <c r="Z225" s="1"/>
    </row>
    <row r="226" customFormat="false" ht="15.75" hidden="false" customHeight="true" outlineLevel="0" collapsed="false">
      <c r="V226" s="1"/>
      <c r="W226" s="1"/>
      <c r="X226" s="1"/>
      <c r="Y226" s="1"/>
      <c r="Z226" s="1"/>
    </row>
    <row r="227" customFormat="false" ht="15.75" hidden="false" customHeight="true" outlineLevel="0" collapsed="false">
      <c r="V227" s="1"/>
      <c r="W227" s="1"/>
      <c r="X227" s="1"/>
      <c r="Y227" s="1"/>
      <c r="Z227" s="1"/>
    </row>
    <row r="228" customFormat="false" ht="15.75" hidden="false" customHeight="true" outlineLevel="0" collapsed="false">
      <c r="V228" s="1"/>
      <c r="W228" s="1"/>
      <c r="X228" s="1"/>
      <c r="Y228" s="1"/>
      <c r="Z228" s="1"/>
    </row>
    <row r="229" customFormat="false" ht="15.75" hidden="false" customHeight="true" outlineLevel="0" collapsed="false">
      <c r="V229" s="1"/>
      <c r="W229" s="1"/>
      <c r="X229" s="1"/>
      <c r="Y229" s="1"/>
      <c r="Z229" s="1"/>
    </row>
    <row r="230" customFormat="false" ht="15.75" hidden="false" customHeight="true" outlineLevel="0" collapsed="false">
      <c r="V230" s="1"/>
      <c r="W230" s="1"/>
      <c r="X230" s="1"/>
      <c r="Y230" s="1"/>
      <c r="Z230" s="1"/>
    </row>
    <row r="231" customFormat="false" ht="15.75" hidden="false" customHeight="true" outlineLevel="0" collapsed="false">
      <c r="V231" s="1"/>
      <c r="W231" s="1"/>
      <c r="X231" s="1"/>
      <c r="Y231" s="1"/>
      <c r="Z231" s="1"/>
    </row>
    <row r="232" customFormat="false" ht="15.75" hidden="false" customHeight="true" outlineLevel="0" collapsed="false">
      <c r="V232" s="1"/>
      <c r="W232" s="1"/>
      <c r="X232" s="1"/>
      <c r="Y232" s="1"/>
      <c r="Z232" s="1"/>
    </row>
    <row r="233" customFormat="false" ht="15.75" hidden="false" customHeight="true" outlineLevel="0" collapsed="false">
      <c r="V233" s="1"/>
      <c r="W233" s="1"/>
      <c r="X233" s="1"/>
      <c r="Y233" s="1"/>
      <c r="Z233" s="1"/>
    </row>
    <row r="234" customFormat="false" ht="15.75" hidden="false" customHeight="true" outlineLevel="0" collapsed="false">
      <c r="V234" s="1"/>
      <c r="W234" s="1"/>
      <c r="X234" s="1"/>
      <c r="Y234" s="1"/>
      <c r="Z234" s="1"/>
    </row>
    <row r="235" customFormat="false" ht="15.75" hidden="false" customHeight="true" outlineLevel="0" collapsed="false">
      <c r="V235" s="1"/>
      <c r="W235" s="1"/>
      <c r="X235" s="1"/>
      <c r="Y235" s="1"/>
      <c r="Z235" s="1"/>
    </row>
    <row r="236" customFormat="false" ht="15.75" hidden="false" customHeight="true" outlineLevel="0" collapsed="false">
      <c r="V236" s="1"/>
      <c r="W236" s="1"/>
      <c r="X236" s="1"/>
      <c r="Y236" s="1"/>
      <c r="Z236" s="1"/>
    </row>
    <row r="237" customFormat="false" ht="15.75" hidden="false" customHeight="true" outlineLevel="0" collapsed="false">
      <c r="V237" s="1"/>
      <c r="W237" s="1"/>
      <c r="X237" s="1"/>
      <c r="Y237" s="1"/>
      <c r="Z237" s="1"/>
    </row>
    <row r="238" customFormat="false" ht="15.75" hidden="false" customHeight="true" outlineLevel="0" collapsed="false">
      <c r="V238" s="1"/>
      <c r="W238" s="1"/>
      <c r="X238" s="1"/>
      <c r="Y238" s="1"/>
      <c r="Z238" s="1"/>
    </row>
    <row r="239" customFormat="false" ht="15.75" hidden="false" customHeight="true" outlineLevel="0" collapsed="false">
      <c r="V239" s="1"/>
      <c r="W239" s="1"/>
      <c r="X239" s="1"/>
      <c r="Y239" s="1"/>
      <c r="Z239" s="1"/>
    </row>
    <row r="240" customFormat="false" ht="15.75" hidden="false" customHeight="true" outlineLevel="0" collapsed="false">
      <c r="V240" s="1"/>
      <c r="W240" s="1"/>
      <c r="X240" s="1"/>
      <c r="Y240" s="1"/>
      <c r="Z240" s="1"/>
    </row>
    <row r="241" customFormat="false" ht="15.75" hidden="false" customHeight="true" outlineLevel="0" collapsed="false">
      <c r="V241" s="1"/>
      <c r="W241" s="1"/>
      <c r="X241" s="1"/>
      <c r="Y241" s="1"/>
      <c r="Z241" s="1"/>
    </row>
    <row r="242" customFormat="false" ht="15.75" hidden="false" customHeight="true" outlineLevel="0" collapsed="false">
      <c r="V242" s="1"/>
      <c r="W242" s="1"/>
      <c r="X242" s="1"/>
      <c r="Y242" s="1"/>
      <c r="Z242" s="1"/>
    </row>
    <row r="243" customFormat="false" ht="15.75" hidden="false" customHeight="true" outlineLevel="0" collapsed="false">
      <c r="V243" s="1"/>
      <c r="W243" s="1"/>
      <c r="X243" s="1"/>
      <c r="Y243" s="1"/>
      <c r="Z243" s="1"/>
    </row>
    <row r="244" customFormat="false" ht="15.75" hidden="false" customHeight="true" outlineLevel="0" collapsed="false">
      <c r="V244" s="1"/>
      <c r="W244" s="1"/>
      <c r="X244" s="1"/>
      <c r="Y244" s="1"/>
      <c r="Z244" s="1"/>
    </row>
    <row r="245" customFormat="false" ht="15.75" hidden="false" customHeight="true" outlineLevel="0" collapsed="false">
      <c r="V245" s="1"/>
      <c r="W245" s="1"/>
      <c r="X245" s="1"/>
      <c r="Y245" s="1"/>
      <c r="Z245" s="1"/>
    </row>
    <row r="246" customFormat="false" ht="15.75" hidden="false" customHeight="true" outlineLevel="0" collapsed="false">
      <c r="V246" s="1"/>
      <c r="W246" s="1"/>
      <c r="X246" s="1"/>
      <c r="Y246" s="1"/>
      <c r="Z246" s="1"/>
    </row>
    <row r="247" customFormat="false" ht="15.75" hidden="false" customHeight="true" outlineLevel="0" collapsed="false">
      <c r="V247" s="1"/>
      <c r="W247" s="1"/>
      <c r="X247" s="1"/>
      <c r="Y247" s="1"/>
      <c r="Z247" s="1"/>
    </row>
    <row r="248" customFormat="false" ht="15.75" hidden="false" customHeight="true" outlineLevel="0" collapsed="false">
      <c r="V248" s="1"/>
      <c r="W248" s="1"/>
      <c r="X248" s="1"/>
      <c r="Y248" s="1"/>
      <c r="Z248" s="1"/>
    </row>
    <row r="249" customFormat="false" ht="15.75" hidden="false" customHeight="true" outlineLevel="0" collapsed="false">
      <c r="V249" s="1"/>
      <c r="W249" s="1"/>
      <c r="X249" s="1"/>
      <c r="Y249" s="1"/>
      <c r="Z249" s="1"/>
    </row>
    <row r="250" customFormat="false" ht="15.75" hidden="false" customHeight="true" outlineLevel="0" collapsed="false">
      <c r="V250" s="1"/>
      <c r="W250" s="1"/>
      <c r="X250" s="1"/>
      <c r="Y250" s="1"/>
      <c r="Z250" s="1"/>
    </row>
    <row r="251" customFormat="false" ht="15.75" hidden="false" customHeight="true" outlineLevel="0" collapsed="false">
      <c r="V251" s="1"/>
      <c r="W251" s="1"/>
      <c r="X251" s="1"/>
      <c r="Y251" s="1"/>
      <c r="Z251" s="1"/>
    </row>
    <row r="252" customFormat="false" ht="15.75" hidden="false" customHeight="true" outlineLevel="0" collapsed="false">
      <c r="V252" s="1"/>
      <c r="W252" s="1"/>
      <c r="X252" s="1"/>
      <c r="Y252" s="1"/>
      <c r="Z252" s="1"/>
    </row>
    <row r="253" customFormat="false" ht="15.75" hidden="false" customHeight="true" outlineLevel="0" collapsed="false">
      <c r="V253" s="1"/>
      <c r="W253" s="1"/>
      <c r="X253" s="1"/>
      <c r="Y253" s="1"/>
      <c r="Z253" s="1"/>
    </row>
    <row r="254" customFormat="false" ht="15.75" hidden="false" customHeight="true" outlineLevel="0" collapsed="false">
      <c r="V254" s="1"/>
      <c r="W254" s="1"/>
      <c r="X254" s="1"/>
      <c r="Y254" s="1"/>
      <c r="Z254" s="1"/>
    </row>
    <row r="255" customFormat="false" ht="15.75" hidden="false" customHeight="true" outlineLevel="0" collapsed="false">
      <c r="V255" s="1"/>
      <c r="W255" s="1"/>
      <c r="X255" s="1"/>
      <c r="Y255" s="1"/>
      <c r="Z255" s="1"/>
    </row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12">
    <mergeCell ref="A1:P1"/>
    <mergeCell ref="A3:D3"/>
    <mergeCell ref="F3:N3"/>
    <mergeCell ref="A11:D11"/>
    <mergeCell ref="A20:E20"/>
    <mergeCell ref="A51:C51"/>
    <mergeCell ref="A54:E54"/>
    <mergeCell ref="A62:C62"/>
    <mergeCell ref="A145:C145"/>
    <mergeCell ref="A148:F148"/>
    <mergeCell ref="A149:F149"/>
    <mergeCell ref="A179:C179"/>
  </mergeCells>
  <conditionalFormatting sqref="F22:F39">
    <cfRule type="expression" priority="2" aboveAverage="0" equalAverage="0" bottom="0" percent="0" rank="0" text="" dxfId="0">
      <formula>EXACT(F22,"ACTIVO")</formula>
    </cfRule>
  </conditionalFormatting>
  <conditionalFormatting sqref="F44:F59">
    <cfRule type="expression" priority="3" aboveAverage="0" equalAverage="0" bottom="0" percent="0" rank="0" text="" dxfId="1">
      <formula>EXACT(F44,"ACTIVO")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6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5" min="5" style="1" width="2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23.29"/>
  </cols>
  <sheetData>
    <row r="1" customFormat="false" ht="27.75" hidden="false" customHeight="true" outlineLevel="0" collapsed="false">
      <c r="A1" s="65" t="s">
        <v>98</v>
      </c>
      <c r="B1" s="65"/>
      <c r="C1" s="65"/>
      <c r="D1" s="65"/>
      <c r="E1" s="65"/>
      <c r="F1" s="65"/>
      <c r="G1" s="65"/>
      <c r="H1" s="6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A2" s="66" t="s">
        <v>99</v>
      </c>
      <c r="B2" s="67" t="s">
        <v>100</v>
      </c>
      <c r="C2" s="67" t="s">
        <v>101</v>
      </c>
      <c r="D2" s="67" t="s">
        <v>102</v>
      </c>
      <c r="E2" s="67" t="s">
        <v>103</v>
      </c>
      <c r="F2" s="67" t="s">
        <v>104</v>
      </c>
      <c r="G2" s="67" t="s">
        <v>105</v>
      </c>
      <c r="H2" s="68" t="s">
        <v>106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69" t="s">
        <v>107</v>
      </c>
      <c r="B3" s="70" t="s">
        <v>108</v>
      </c>
      <c r="C3" s="24" t="s">
        <v>109</v>
      </c>
      <c r="D3" s="24" t="s">
        <v>110</v>
      </c>
      <c r="E3" s="24" t="s">
        <v>111</v>
      </c>
      <c r="F3" s="24" t="s">
        <v>112</v>
      </c>
      <c r="G3" s="24" t="s">
        <v>14</v>
      </c>
      <c r="H3" s="71" t="s">
        <v>37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72" t="s">
        <v>113</v>
      </c>
      <c r="B4" s="73" t="s">
        <v>114</v>
      </c>
      <c r="C4" s="17" t="s">
        <v>115</v>
      </c>
      <c r="D4" s="17" t="s">
        <v>116</v>
      </c>
      <c r="E4" s="17" t="s">
        <v>117</v>
      </c>
      <c r="F4" s="17" t="s">
        <v>118</v>
      </c>
      <c r="G4" s="17" t="s">
        <v>14</v>
      </c>
      <c r="H4" s="74" t="s">
        <v>119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69" t="s">
        <v>120</v>
      </c>
      <c r="B5" s="70" t="s">
        <v>121</v>
      </c>
      <c r="C5" s="24" t="s">
        <v>122</v>
      </c>
      <c r="D5" s="24" t="s">
        <v>123</v>
      </c>
      <c r="E5" s="24" t="s">
        <v>124</v>
      </c>
      <c r="F5" s="24" t="s">
        <v>125</v>
      </c>
      <c r="G5" s="24" t="s">
        <v>14</v>
      </c>
      <c r="H5" s="71" t="s">
        <v>44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72" t="s">
        <v>126</v>
      </c>
      <c r="B6" s="73" t="s">
        <v>127</v>
      </c>
      <c r="C6" s="17" t="s">
        <v>128</v>
      </c>
      <c r="D6" s="17" t="s">
        <v>129</v>
      </c>
      <c r="E6" s="17" t="s">
        <v>130</v>
      </c>
      <c r="F6" s="17" t="s">
        <v>131</v>
      </c>
      <c r="G6" s="17" t="s">
        <v>14</v>
      </c>
      <c r="H6" s="74" t="s">
        <v>132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69" t="s">
        <v>133</v>
      </c>
      <c r="B7" s="70" t="s">
        <v>134</v>
      </c>
      <c r="C7" s="24" t="s">
        <v>135</v>
      </c>
      <c r="D7" s="24" t="s">
        <v>129</v>
      </c>
      <c r="E7" s="24" t="s">
        <v>136</v>
      </c>
      <c r="F7" s="24" t="s">
        <v>137</v>
      </c>
      <c r="G7" s="24" t="s">
        <v>14</v>
      </c>
      <c r="H7" s="71" t="s">
        <v>138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72" t="s">
        <v>139</v>
      </c>
      <c r="B8" s="73" t="s">
        <v>140</v>
      </c>
      <c r="C8" s="17" t="s">
        <v>141</v>
      </c>
      <c r="D8" s="17" t="s">
        <v>142</v>
      </c>
      <c r="E8" s="17" t="s">
        <v>143</v>
      </c>
      <c r="F8" s="17" t="s">
        <v>144</v>
      </c>
      <c r="G8" s="17" t="s">
        <v>14</v>
      </c>
      <c r="H8" s="74" t="s">
        <v>138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69" t="s">
        <v>145</v>
      </c>
      <c r="B9" s="70" t="s">
        <v>146</v>
      </c>
      <c r="C9" s="24" t="s">
        <v>147</v>
      </c>
      <c r="D9" s="24" t="s">
        <v>123</v>
      </c>
      <c r="E9" s="24" t="s">
        <v>124</v>
      </c>
      <c r="F9" s="24" t="s">
        <v>144</v>
      </c>
      <c r="G9" s="24" t="s">
        <v>14</v>
      </c>
      <c r="H9" s="71" t="s">
        <v>138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72" t="s">
        <v>148</v>
      </c>
      <c r="B10" s="73" t="s">
        <v>149</v>
      </c>
      <c r="C10" s="17" t="s">
        <v>150</v>
      </c>
      <c r="D10" s="17" t="s">
        <v>151</v>
      </c>
      <c r="E10" s="17" t="s">
        <v>143</v>
      </c>
      <c r="F10" s="17" t="s">
        <v>152</v>
      </c>
      <c r="G10" s="17" t="s">
        <v>14</v>
      </c>
      <c r="H10" s="74" t="s">
        <v>138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69" t="s">
        <v>153</v>
      </c>
      <c r="B11" s="70" t="s">
        <v>154</v>
      </c>
      <c r="C11" s="24" t="s">
        <v>155</v>
      </c>
      <c r="D11" s="24" t="s">
        <v>156</v>
      </c>
      <c r="E11" s="24" t="s">
        <v>157</v>
      </c>
      <c r="F11" s="24" t="s">
        <v>158</v>
      </c>
      <c r="G11" s="24" t="s">
        <v>14</v>
      </c>
      <c r="H11" s="71" t="s">
        <v>48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72" t="s">
        <v>159</v>
      </c>
      <c r="B12" s="73" t="s">
        <v>160</v>
      </c>
      <c r="C12" s="17" t="s">
        <v>161</v>
      </c>
      <c r="D12" s="17" t="s">
        <v>162</v>
      </c>
      <c r="E12" s="17" t="s">
        <v>163</v>
      </c>
      <c r="F12" s="17" t="s">
        <v>164</v>
      </c>
      <c r="G12" s="17" t="s">
        <v>14</v>
      </c>
      <c r="H12" s="74" t="s">
        <v>165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69" t="s">
        <v>166</v>
      </c>
      <c r="B13" s="70" t="s">
        <v>167</v>
      </c>
      <c r="C13" s="24" t="s">
        <v>166</v>
      </c>
      <c r="D13" s="24" t="s">
        <v>156</v>
      </c>
      <c r="E13" s="24" t="s">
        <v>168</v>
      </c>
      <c r="F13" s="24" t="s">
        <v>169</v>
      </c>
      <c r="G13" s="24" t="s">
        <v>14</v>
      </c>
      <c r="H13" s="71" t="s">
        <v>51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72" t="s">
        <v>170</v>
      </c>
      <c r="B14" s="73" t="s">
        <v>171</v>
      </c>
      <c r="C14" s="17" t="s">
        <v>172</v>
      </c>
      <c r="D14" s="17" t="s">
        <v>123</v>
      </c>
      <c r="E14" s="17" t="s">
        <v>173</v>
      </c>
      <c r="F14" s="17" t="s">
        <v>174</v>
      </c>
      <c r="G14" s="17" t="s">
        <v>14</v>
      </c>
      <c r="H14" s="74" t="s">
        <v>53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69" t="s">
        <v>175</v>
      </c>
      <c r="B15" s="70" t="s">
        <v>176</v>
      </c>
      <c r="C15" s="24" t="s">
        <v>177</v>
      </c>
      <c r="D15" s="24" t="s">
        <v>178</v>
      </c>
      <c r="E15" s="24" t="s">
        <v>179</v>
      </c>
      <c r="F15" s="24" t="s">
        <v>180</v>
      </c>
      <c r="G15" s="24" t="s">
        <v>14</v>
      </c>
      <c r="H15" s="71" t="s">
        <v>53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72" t="s">
        <v>181</v>
      </c>
      <c r="B16" s="73" t="s">
        <v>182</v>
      </c>
      <c r="C16" s="17" t="s">
        <v>183</v>
      </c>
      <c r="D16" s="17" t="s">
        <v>123</v>
      </c>
      <c r="E16" s="17" t="s">
        <v>184</v>
      </c>
      <c r="F16" s="17" t="s">
        <v>185</v>
      </c>
      <c r="G16" s="17" t="s">
        <v>14</v>
      </c>
      <c r="H16" s="74" t="s">
        <v>186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69" t="s">
        <v>187</v>
      </c>
      <c r="B17" s="70" t="s">
        <v>188</v>
      </c>
      <c r="C17" s="24" t="s">
        <v>189</v>
      </c>
      <c r="D17" s="24" t="s">
        <v>190</v>
      </c>
      <c r="E17" s="24" t="s">
        <v>157</v>
      </c>
      <c r="F17" s="24" t="s">
        <v>191</v>
      </c>
      <c r="G17" s="24" t="s">
        <v>14</v>
      </c>
      <c r="H17" s="71" t="s">
        <v>186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72" t="s">
        <v>192</v>
      </c>
      <c r="B18" s="73" t="s">
        <v>193</v>
      </c>
      <c r="C18" s="17" t="s">
        <v>194</v>
      </c>
      <c r="D18" s="17" t="s">
        <v>195</v>
      </c>
      <c r="E18" s="17" t="s">
        <v>184</v>
      </c>
      <c r="F18" s="17" t="s">
        <v>196</v>
      </c>
      <c r="G18" s="17" t="s">
        <v>14</v>
      </c>
      <c r="H18" s="74" t="s">
        <v>56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69" t="s">
        <v>197</v>
      </c>
      <c r="B19" s="70" t="s">
        <v>198</v>
      </c>
      <c r="C19" s="24" t="s">
        <v>199</v>
      </c>
      <c r="D19" s="24" t="s">
        <v>200</v>
      </c>
      <c r="E19" s="24" t="s">
        <v>201</v>
      </c>
      <c r="F19" s="24" t="s">
        <v>196</v>
      </c>
      <c r="G19" s="24" t="s">
        <v>14</v>
      </c>
      <c r="H19" s="71" t="s">
        <v>56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72" t="s">
        <v>202</v>
      </c>
      <c r="B20" s="73" t="s">
        <v>203</v>
      </c>
      <c r="C20" s="17" t="s">
        <v>204</v>
      </c>
      <c r="D20" s="17" t="s">
        <v>116</v>
      </c>
      <c r="E20" s="17" t="s">
        <v>205</v>
      </c>
      <c r="F20" s="17" t="s">
        <v>206</v>
      </c>
      <c r="G20" s="17" t="s">
        <v>14</v>
      </c>
      <c r="H20" s="74" t="s">
        <v>58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69" t="s">
        <v>207</v>
      </c>
      <c r="B21" s="70" t="s">
        <v>208</v>
      </c>
      <c r="C21" s="24" t="s">
        <v>209</v>
      </c>
      <c r="D21" s="24" t="s">
        <v>210</v>
      </c>
      <c r="E21" s="24" t="s">
        <v>211</v>
      </c>
      <c r="F21" s="24" t="s">
        <v>212</v>
      </c>
      <c r="G21" s="24" t="s">
        <v>14</v>
      </c>
      <c r="H21" s="71" t="s">
        <v>213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72" t="s">
        <v>214</v>
      </c>
      <c r="B22" s="73" t="s">
        <v>215</v>
      </c>
      <c r="C22" s="17" t="s">
        <v>216</v>
      </c>
      <c r="D22" s="17" t="s">
        <v>142</v>
      </c>
      <c r="E22" s="17" t="s">
        <v>217</v>
      </c>
      <c r="F22" s="17" t="s">
        <v>218</v>
      </c>
      <c r="G22" s="75" t="s">
        <v>16</v>
      </c>
      <c r="H22" s="74" t="s">
        <v>93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69" t="s">
        <v>219</v>
      </c>
      <c r="B23" s="70" t="s">
        <v>220</v>
      </c>
      <c r="C23" s="24" t="s">
        <v>221</v>
      </c>
      <c r="D23" s="24" t="s">
        <v>222</v>
      </c>
      <c r="E23" s="24" t="s">
        <v>223</v>
      </c>
      <c r="F23" s="24" t="s">
        <v>224</v>
      </c>
      <c r="G23" s="76" t="s">
        <v>14</v>
      </c>
      <c r="H23" s="71" t="s">
        <v>64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72" t="s">
        <v>225</v>
      </c>
      <c r="B24" s="73" t="s">
        <v>226</v>
      </c>
      <c r="C24" s="17" t="s">
        <v>227</v>
      </c>
      <c r="D24" s="17" t="s">
        <v>228</v>
      </c>
      <c r="E24" s="17" t="s">
        <v>130</v>
      </c>
      <c r="F24" s="17" t="s">
        <v>229</v>
      </c>
      <c r="G24" s="17" t="s">
        <v>14</v>
      </c>
      <c r="H24" s="74" t="s">
        <v>68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69" t="s">
        <v>230</v>
      </c>
      <c r="B25" s="70" t="s">
        <v>231</v>
      </c>
      <c r="C25" s="24" t="s">
        <v>232</v>
      </c>
      <c r="D25" s="24" t="s">
        <v>142</v>
      </c>
      <c r="E25" s="24" t="s">
        <v>143</v>
      </c>
      <c r="F25" s="24" t="s">
        <v>233</v>
      </c>
      <c r="G25" s="76" t="s">
        <v>16</v>
      </c>
      <c r="H25" s="71" t="s">
        <v>70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72" t="s">
        <v>234</v>
      </c>
      <c r="B26" s="73" t="s">
        <v>235</v>
      </c>
      <c r="C26" s="17" t="s">
        <v>236</v>
      </c>
      <c r="D26" s="17" t="s">
        <v>123</v>
      </c>
      <c r="E26" s="17" t="s">
        <v>143</v>
      </c>
      <c r="F26" s="17" t="s">
        <v>237</v>
      </c>
      <c r="G26" s="17" t="s">
        <v>14</v>
      </c>
      <c r="H26" s="74" t="s">
        <v>70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69" t="s">
        <v>238</v>
      </c>
      <c r="B27" s="70" t="s">
        <v>239</v>
      </c>
      <c r="C27" s="24" t="s">
        <v>240</v>
      </c>
      <c r="D27" s="24" t="s">
        <v>129</v>
      </c>
      <c r="E27" s="24" t="s">
        <v>241</v>
      </c>
      <c r="F27" s="24" t="s">
        <v>242</v>
      </c>
      <c r="G27" s="24" t="s">
        <v>14</v>
      </c>
      <c r="H27" s="71" t="s">
        <v>70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72" t="s">
        <v>243</v>
      </c>
      <c r="B28" s="73" t="s">
        <v>244</v>
      </c>
      <c r="C28" s="17" t="s">
        <v>245</v>
      </c>
      <c r="D28" s="17" t="s">
        <v>246</v>
      </c>
      <c r="E28" s="17" t="s">
        <v>157</v>
      </c>
      <c r="F28" s="17" t="s">
        <v>247</v>
      </c>
      <c r="G28" s="17" t="s">
        <v>14</v>
      </c>
      <c r="H28" s="74" t="s">
        <v>72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69" t="s">
        <v>248</v>
      </c>
      <c r="B29" s="70" t="s">
        <v>249</v>
      </c>
      <c r="C29" s="24" t="s">
        <v>250</v>
      </c>
      <c r="D29" s="24" t="s">
        <v>251</v>
      </c>
      <c r="E29" s="24" t="s">
        <v>157</v>
      </c>
      <c r="F29" s="24" t="s">
        <v>247</v>
      </c>
      <c r="G29" s="24" t="s">
        <v>14</v>
      </c>
      <c r="H29" s="71" t="s">
        <v>72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A30" s="72" t="s">
        <v>252</v>
      </c>
      <c r="B30" s="73" t="s">
        <v>253</v>
      </c>
      <c r="C30" s="17" t="s">
        <v>254</v>
      </c>
      <c r="D30" s="17" t="s">
        <v>255</v>
      </c>
      <c r="E30" s="17" t="s">
        <v>130</v>
      </c>
      <c r="F30" s="17" t="s">
        <v>256</v>
      </c>
      <c r="G30" s="17" t="s">
        <v>14</v>
      </c>
      <c r="H30" s="74" t="s">
        <v>75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true" outlineLevel="0" collapsed="false">
      <c r="A31" s="69" t="s">
        <v>257</v>
      </c>
      <c r="B31" s="70" t="s">
        <v>258</v>
      </c>
      <c r="C31" s="24" t="s">
        <v>259</v>
      </c>
      <c r="D31" s="24" t="s">
        <v>123</v>
      </c>
      <c r="E31" s="24" t="s">
        <v>260</v>
      </c>
      <c r="F31" s="24" t="s">
        <v>261</v>
      </c>
      <c r="G31" s="76" t="s">
        <v>16</v>
      </c>
      <c r="H31" s="71" t="s">
        <v>262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true" outlineLevel="0" collapsed="false">
      <c r="A32" s="72" t="s">
        <v>263</v>
      </c>
      <c r="B32" s="73" t="s">
        <v>264</v>
      </c>
      <c r="C32" s="17" t="s">
        <v>265</v>
      </c>
      <c r="D32" s="17" t="s">
        <v>190</v>
      </c>
      <c r="E32" s="17" t="s">
        <v>266</v>
      </c>
      <c r="F32" s="17" t="s">
        <v>267</v>
      </c>
      <c r="G32" s="17" t="s">
        <v>14</v>
      </c>
      <c r="H32" s="74" t="s">
        <v>78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true" outlineLevel="0" collapsed="false">
      <c r="A33" s="69" t="s">
        <v>268</v>
      </c>
      <c r="B33" s="70" t="s">
        <v>269</v>
      </c>
      <c r="C33" s="24" t="s">
        <v>270</v>
      </c>
      <c r="D33" s="24" t="s">
        <v>271</v>
      </c>
      <c r="E33" s="24" t="s">
        <v>272</v>
      </c>
      <c r="F33" s="24" t="s">
        <v>273</v>
      </c>
      <c r="G33" s="24" t="s">
        <v>14</v>
      </c>
      <c r="H33" s="71" t="s">
        <v>80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true" outlineLevel="0" collapsed="false">
      <c r="A34" s="72" t="s">
        <v>274</v>
      </c>
      <c r="B34" s="73" t="s">
        <v>275</v>
      </c>
      <c r="C34" s="17"/>
      <c r="D34" s="17" t="s">
        <v>276</v>
      </c>
      <c r="E34" s="17" t="s">
        <v>277</v>
      </c>
      <c r="F34" s="17" t="s">
        <v>278</v>
      </c>
      <c r="G34" s="75" t="s">
        <v>14</v>
      </c>
      <c r="H34" s="74" t="s">
        <v>279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true" outlineLevel="0" collapsed="false">
      <c r="A35" s="69" t="s">
        <v>280</v>
      </c>
      <c r="B35" s="70" t="s">
        <v>281</v>
      </c>
      <c r="C35" s="24" t="s">
        <v>282</v>
      </c>
      <c r="D35" s="24" t="s">
        <v>123</v>
      </c>
      <c r="E35" s="24" t="s">
        <v>283</v>
      </c>
      <c r="F35" s="24" t="s">
        <v>284</v>
      </c>
      <c r="G35" s="24" t="s">
        <v>14</v>
      </c>
      <c r="H35" s="71" t="s">
        <v>46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72" t="s">
        <v>285</v>
      </c>
      <c r="B36" s="73" t="s">
        <v>286</v>
      </c>
      <c r="C36" s="17" t="s">
        <v>287</v>
      </c>
      <c r="D36" s="17" t="s">
        <v>123</v>
      </c>
      <c r="E36" s="17" t="s">
        <v>288</v>
      </c>
      <c r="F36" s="17" t="s">
        <v>289</v>
      </c>
      <c r="G36" s="75" t="s">
        <v>14</v>
      </c>
      <c r="H36" s="74" t="s">
        <v>85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true" outlineLevel="0" collapsed="false">
      <c r="A37" s="77" t="s">
        <v>290</v>
      </c>
      <c r="B37" s="78" t="s">
        <v>291</v>
      </c>
      <c r="C37" s="79" t="s">
        <v>292</v>
      </c>
      <c r="D37" s="79" t="s">
        <v>123</v>
      </c>
      <c r="E37" s="79" t="s">
        <v>293</v>
      </c>
      <c r="F37" s="79" t="s">
        <v>294</v>
      </c>
      <c r="G37" s="79" t="s">
        <v>16</v>
      </c>
      <c r="H37" s="80" t="s">
        <v>295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true" outlineLevel="0" collapsed="false">
      <c r="A38" s="77" t="s">
        <v>296</v>
      </c>
      <c r="B38" s="78" t="s">
        <v>297</v>
      </c>
      <c r="C38" s="79" t="s">
        <v>298</v>
      </c>
      <c r="D38" s="79" t="s">
        <v>123</v>
      </c>
      <c r="E38" s="79" t="s">
        <v>299</v>
      </c>
      <c r="F38" s="79" t="s">
        <v>300</v>
      </c>
      <c r="G38" s="79" t="s">
        <v>14</v>
      </c>
      <c r="H38" s="80" t="s">
        <v>66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true" outlineLevel="0" collapsed="false">
      <c r="A39" s="77" t="s">
        <v>301</v>
      </c>
      <c r="B39" s="78" t="s">
        <v>302</v>
      </c>
      <c r="C39" s="79" t="s">
        <v>303</v>
      </c>
      <c r="D39" s="79" t="s">
        <v>123</v>
      </c>
      <c r="E39" s="79" t="s">
        <v>117</v>
      </c>
      <c r="F39" s="79" t="s">
        <v>304</v>
      </c>
      <c r="G39" s="79" t="s">
        <v>16</v>
      </c>
      <c r="H39" s="80" t="s">
        <v>305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true" outlineLevel="0" collapsed="false">
      <c r="A40" s="81" t="s">
        <v>306</v>
      </c>
      <c r="B40" s="82" t="s">
        <v>307</v>
      </c>
      <c r="C40" s="83" t="s">
        <v>308</v>
      </c>
      <c r="D40" s="83" t="s">
        <v>123</v>
      </c>
      <c r="E40" s="83" t="s">
        <v>309</v>
      </c>
      <c r="F40" s="83" t="s">
        <v>310</v>
      </c>
      <c r="G40" s="83" t="s">
        <v>14</v>
      </c>
      <c r="H40" s="84" t="s">
        <v>311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85"/>
      <c r="B41" s="86"/>
      <c r="C41" s="85"/>
      <c r="D41" s="85"/>
      <c r="E41" s="85"/>
      <c r="F41" s="85"/>
      <c r="G41" s="85"/>
      <c r="H41" s="8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true" outlineLevel="0" collapsed="false">
      <c r="A43" s="87" t="s">
        <v>312</v>
      </c>
      <c r="B43" s="87"/>
      <c r="C43" s="87"/>
      <c r="D43" s="87"/>
      <c r="E43" s="87"/>
      <c r="F43" s="87"/>
      <c r="G43" s="87"/>
      <c r="H43" s="8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H1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B9" activeCellId="0" sqref="B9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.29"/>
    <col collapsed="false" customWidth="true" hidden="false" outlineLevel="0" max="3" min="3" style="1" width="37"/>
    <col collapsed="false" customWidth="true" hidden="false" outlineLevel="0" max="6" min="4" style="1" width="14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26"/>
    <col collapsed="false" customWidth="true" hidden="false" outlineLevel="0" max="10" min="10" style="1" width="12"/>
    <col collapsed="false" customWidth="true" hidden="false" outlineLevel="0" max="11" min="11" style="1" width="22.29"/>
    <col collapsed="false" customWidth="true" hidden="false" outlineLevel="0" max="12" min="12" style="1" width="25.43"/>
    <col collapsed="false" customWidth="true" hidden="true" outlineLevel="0" max="13" min="13" style="1" width="12"/>
    <col collapsed="false" customWidth="true" hidden="false" outlineLevel="0" max="14" min="14" style="1" width="22"/>
    <col collapsed="false" customWidth="true" hidden="false" outlineLevel="0" max="19" min="15" style="1" width="8.71"/>
  </cols>
  <sheetData>
    <row r="1" customFormat="false" ht="30" hidden="false" customHeight="true" outlineLevel="0" collapsed="false">
      <c r="A1" s="88" t="s">
        <v>313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9"/>
      <c r="N1" s="89"/>
      <c r="O1" s="89"/>
      <c r="P1" s="89"/>
      <c r="Q1" s="89"/>
      <c r="R1" s="89"/>
      <c r="S1" s="89"/>
    </row>
    <row r="2" customFormat="false" ht="18" hidden="false" customHeight="true" outlineLevel="0" collapsed="false">
      <c r="A2" s="90" t="s">
        <v>314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89"/>
      <c r="N2" s="89"/>
      <c r="O2" s="89"/>
      <c r="P2" s="89"/>
      <c r="Q2" s="89"/>
      <c r="R2" s="89"/>
      <c r="S2" s="89"/>
    </row>
    <row r="3" customFormat="false" ht="30" hidden="false" customHeight="true" outlineLevel="0" collapsed="false">
      <c r="A3" s="91" t="s">
        <v>315</v>
      </c>
      <c r="B3" s="91"/>
      <c r="C3" s="91"/>
      <c r="D3" s="91"/>
      <c r="E3" s="92" t="s">
        <v>68</v>
      </c>
      <c r="F3" s="92"/>
      <c r="G3" s="92"/>
      <c r="H3" s="92"/>
      <c r="I3" s="92"/>
      <c r="J3" s="92"/>
      <c r="K3" s="93"/>
      <c r="L3" s="89"/>
      <c r="M3" s="89"/>
      <c r="N3" s="89"/>
      <c r="O3" s="89"/>
      <c r="P3" s="89"/>
      <c r="Q3" s="89"/>
      <c r="R3" s="89"/>
      <c r="S3" s="89"/>
    </row>
    <row r="4" customFormat="false" ht="3.75" hidden="false" customHeight="true" outlineLevel="0" collapsed="false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89"/>
      <c r="N4" s="89"/>
      <c r="O4" s="89"/>
      <c r="P4" s="89"/>
      <c r="Q4" s="89"/>
      <c r="R4" s="89"/>
      <c r="S4" s="89"/>
    </row>
    <row r="5" customFormat="false" ht="30" hidden="false" customHeight="true" outlineLevel="0" collapsed="false">
      <c r="A5" s="95" t="s">
        <v>316</v>
      </c>
      <c r="B5" s="95"/>
      <c r="C5" s="96" t="n">
        <f aca="false">IF($E$3="-- TODOS --",IFERROR(SUMPRODUCT((_PENDIENTES!$F$2:$F$1261="PETROLEO")*(_PENDIENTES!$G$2:$G$1261)),0),IFERROR(SUMPRODUCT((_PENDIENTES!$B$2:$B$1261=$E$3)*(_PENDIENTES!$F$2:$F$1261="PETROLEO")*(_PENDIENTES!$G$2:$G$1261)),0))</f>
        <v>0</v>
      </c>
      <c r="D5" s="96"/>
      <c r="E5" s="97" t="s">
        <v>317</v>
      </c>
      <c r="F5" s="97"/>
      <c r="G5" s="98" t="n">
        <f aca="false">IF($E$3="-- TODOS --",IFERROR(SUMPRODUCT((_PENDIENTES!$F$2:$F$1261="GASOLINA")*(_PENDIENTES!$G$2:$G$1261)),0),IFERROR(SUMPRODUCT((_PENDIENTES!$B$2:$B$1261=$E$3)*(_PENDIENTES!$F$2:$F$1261="GASOLINA")*(_PENDIENTES!$G$2:$G$1261)),0))</f>
        <v>0</v>
      </c>
      <c r="H5" s="98"/>
      <c r="I5" s="99" t="s">
        <v>318</v>
      </c>
      <c r="J5" s="99"/>
      <c r="K5" s="100" t="n">
        <f aca="false">IF($E$3="-- TODOS --",IFERROR(SUM(_PENDIENTES!$H$2:$H$1261),0),IFERROR(SUMPRODUCT((_PENDIENTES!$B$2:$B$1261=$E$3)*(_PENDIENTES!$H$2:$H$1261)),0))</f>
        <v>0</v>
      </c>
      <c r="L5" s="100"/>
      <c r="M5" s="89"/>
      <c r="N5" s="89"/>
      <c r="O5" s="89"/>
      <c r="P5" s="89"/>
      <c r="Q5" s="89"/>
      <c r="R5" s="89"/>
      <c r="S5" s="89"/>
    </row>
    <row r="6" customFormat="false" ht="3.75" hidden="false" customHeight="true" outlineLevel="0" collapsed="false">
      <c r="A6" s="101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85"/>
      <c r="N6" s="89"/>
      <c r="O6" s="89"/>
      <c r="P6" s="89"/>
      <c r="Q6" s="89"/>
      <c r="R6" s="89"/>
      <c r="S6" s="89"/>
    </row>
    <row r="7" customFormat="false" ht="27.75" hidden="false" customHeight="true" outlineLevel="0" collapsed="false">
      <c r="A7" s="102" t="s">
        <v>31</v>
      </c>
      <c r="B7" s="102" t="s">
        <v>6</v>
      </c>
      <c r="C7" s="102" t="s">
        <v>319</v>
      </c>
      <c r="D7" s="102" t="s">
        <v>320</v>
      </c>
      <c r="E7" s="102" t="s">
        <v>321</v>
      </c>
      <c r="F7" s="102" t="s">
        <v>322</v>
      </c>
      <c r="G7" s="102" t="s">
        <v>4</v>
      </c>
      <c r="H7" s="102" t="s">
        <v>323</v>
      </c>
      <c r="I7" s="102" t="s">
        <v>324</v>
      </c>
      <c r="J7" s="102" t="s">
        <v>104</v>
      </c>
      <c r="K7" s="102" t="s">
        <v>325</v>
      </c>
      <c r="L7" s="103" t="s">
        <v>326</v>
      </c>
      <c r="M7" s="104" t="s">
        <v>327</v>
      </c>
      <c r="N7" s="105" t="s">
        <v>328</v>
      </c>
      <c r="O7" s="89"/>
      <c r="P7" s="89"/>
      <c r="Q7" s="89"/>
      <c r="R7" s="89"/>
      <c r="S7" s="89"/>
    </row>
    <row r="8" customFormat="false" ht="15.75" hidden="true" customHeight="true" outlineLevel="0" collapsed="false">
      <c r="A8" s="106" t="n">
        <f aca="false">IF(_PENDIENTES!$B$2&lt;&gt;"",1,"")</f>
        <v>1</v>
      </c>
      <c r="B8" s="47" t="str">
        <f aca="false">IF(_PENDIENTES!$B$2&lt;&gt;"",_PENDIENTES!$A$2,"")</f>
        <v>ENE</v>
      </c>
      <c r="C8" s="107" t="str">
        <f aca="false">IF(_PENDIENTES!$B$2&lt;&gt;"",_PENDIENTES!$C$2,"")</f>
        <v>CIEZA RIOS AYLANI ELIZABETH</v>
      </c>
      <c r="D8" s="106" t="str">
        <f aca="false">IF(_PENDIENTES!$B$2&lt;&gt;"",_PENDIENTES!$D$2,"")</f>
        <v>94063517</v>
      </c>
      <c r="E8" s="106" t="str">
        <f aca="false">IF(_PENDIENTES!$B$2&lt;&gt;"",_PENDIENTES!$E$2,"")</f>
        <v>01/01/2026</v>
      </c>
      <c r="F8" s="106" t="str">
        <f aca="false">IF(_PENDIENTES!$B$2&lt;&gt;"",_PENDIENTES!$F$2,"")</f>
        <v>PETROLEO</v>
      </c>
      <c r="G8" s="50" t="n">
        <f aca="false">IF(_PENDIENTES!$B$2&lt;&gt;"",_PENDIENTES!$G$2,"")</f>
        <v>6</v>
      </c>
      <c r="H8" s="50" t="n">
        <f aca="false">IF(_PENDIENTES!$B$2&lt;&gt;"",_PENDIENTES!$H$2,"")</f>
        <v>109.08</v>
      </c>
      <c r="I8" s="108" t="str">
        <f aca="false">IF(_PENDIENTES!$B$2&lt;&gt;"",_PENDIENTES!$I$2,"")</f>
        <v>CARRERA ARAUJO JEINER</v>
      </c>
      <c r="J8" s="50" t="str">
        <f aca="false">IF(_PENDIENTES!$B$2&lt;&gt;"",_PENDIENTES!$J$2,"")</f>
        <v>EUH747</v>
      </c>
      <c r="K8" s="106" t="str">
        <f aca="false">IF(_PENDIENTES!$B$2&lt;&gt;"","POR RECOGER","")</f>
        <v>POR RECOGER</v>
      </c>
      <c r="L8" s="107" t="n">
        <f aca="false">IF(_PENDIENTES!$B$2&lt;&gt;"",_PENDIENTES!$K$2,"")</f>
        <v>0</v>
      </c>
      <c r="M8" s="85" t="str">
        <f aca="false">IF(_PENDIENTES!$B$2&lt;&gt;"",_PENDIENTES!$B$2,"")</f>
        <v>POMACOCHAS</v>
      </c>
      <c r="N8" s="109" t="str">
        <f aca="false">IF(_PENDIENTES!$B$2&lt;&gt;"",_PENDIENTES!$L$2,"")</f>
        <v>POMACOCHAS</v>
      </c>
      <c r="O8" s="89"/>
      <c r="P8" s="89"/>
      <c r="Q8" s="89"/>
      <c r="R8" s="89"/>
      <c r="S8" s="89"/>
    </row>
    <row r="9" customFormat="false" ht="15.75" hidden="true" customHeight="true" outlineLevel="0" collapsed="false">
      <c r="A9" s="46" t="n">
        <f aca="false">IF(_PENDIENTES!$B$3&lt;&gt;"",2,"")</f>
        <v>2</v>
      </c>
      <c r="B9" s="41" t="str">
        <f aca="false">IF(_PENDIENTES!$B$3&lt;&gt;"",_PENDIENTES!$A$3,"")</f>
        <v>ENE</v>
      </c>
      <c r="C9" s="110" t="str">
        <f aca="false">IF(_PENDIENTES!$B$3&lt;&gt;"",_PENDIENTES!$C$3,"")</f>
        <v>DIAZ MESIA DIANELIT THALIA</v>
      </c>
      <c r="D9" s="46" t="str">
        <f aca="false">IF(_PENDIENTES!$B$3&lt;&gt;"",_PENDIENTES!$D$3,"")</f>
        <v>75729771</v>
      </c>
      <c r="E9" s="46" t="str">
        <f aca="false">IF(_PENDIENTES!$B$3&lt;&gt;"",_PENDIENTES!$E$3,"")</f>
        <v>02/01/2026</v>
      </c>
      <c r="F9" s="46" t="str">
        <f aca="false">IF(_PENDIENTES!$B$3&lt;&gt;"",_PENDIENTES!$F$3,"")</f>
        <v>PETROLEO</v>
      </c>
      <c r="G9" s="44" t="n">
        <f aca="false">IF(_PENDIENTES!$B$3&lt;&gt;"",_PENDIENTES!$G$3,"")</f>
        <v>7</v>
      </c>
      <c r="H9" s="44" t="n">
        <f aca="false">IF(_PENDIENTES!$B$3&lt;&gt;"",_PENDIENTES!$H$3,"")</f>
        <v>127.26</v>
      </c>
      <c r="I9" s="110" t="str">
        <f aca="false">IF(_PENDIENTES!$B$3&lt;&gt;"",_PENDIENTES!$I$3,"")</f>
        <v>BUELOT VISALOT CARLO MAGNO</v>
      </c>
      <c r="J9" s="46" t="str">
        <f aca="false">IF(_PENDIENTES!$B$3&lt;&gt;"",_PENDIENTES!$J$3,"")</f>
        <v>EUD 634</v>
      </c>
      <c r="K9" s="46" t="str">
        <f aca="false">IF(_PENDIENTES!$B$3&lt;&gt;"","POR RECOGER","")</f>
        <v>POR RECOGER</v>
      </c>
      <c r="L9" s="110" t="n">
        <f aca="false">IF(_PENDIENTES!$B$3&lt;&gt;"",_PENDIENTES!$K$3,"")</f>
        <v>0</v>
      </c>
      <c r="M9" s="85" t="str">
        <f aca="false">IF(_PENDIENTES!$B$3&lt;&gt;"",_PENDIENTES!$B$3,"")</f>
        <v>COLCAMAR</v>
      </c>
      <c r="N9" s="109" t="str">
        <f aca="false">IF(_PENDIENTES!$B$3&lt;&gt;"",_PENDIENTES!$L$3,"")</f>
        <v>COLCAMAR</v>
      </c>
      <c r="O9" s="89"/>
      <c r="P9" s="89"/>
      <c r="Q9" s="89"/>
      <c r="R9" s="89"/>
      <c r="S9" s="89"/>
    </row>
    <row r="10" customFormat="false" ht="15.75" hidden="true" customHeight="true" outlineLevel="0" collapsed="false">
      <c r="A10" s="106" t="n">
        <f aca="false">IF(_PENDIENTES!$B$4&lt;&gt;"",3,"")</f>
        <v>3</v>
      </c>
      <c r="B10" s="47" t="str">
        <f aca="false">IF(_PENDIENTES!$B$4&lt;&gt;"",_PENDIENTES!$A$4,"")</f>
        <v>ENE</v>
      </c>
      <c r="C10" s="107" t="str">
        <f aca="false">IF(_PENDIENTES!$B$4&lt;&gt;"",_PENDIENTES!$C$4,"")</f>
        <v>ZELADA SANTILLAN EWHAN ADIEL</v>
      </c>
      <c r="D10" s="106" t="str">
        <f aca="false">IF(_PENDIENTES!$B$4&lt;&gt;"",_PENDIENTES!$D$4,"")</f>
        <v>92682700</v>
      </c>
      <c r="E10" s="111" t="str">
        <f aca="false">IF(_PENDIENTES!$B$4&lt;&gt;"",_PENDIENTES!$E$4,"")</f>
        <v>02/01/2026</v>
      </c>
      <c r="F10" s="106" t="str">
        <f aca="false">IF(_PENDIENTES!$B$4&lt;&gt;"",_PENDIENTES!$F$4,"")</f>
        <v>PETROLEO</v>
      </c>
      <c r="G10" s="50" t="n">
        <f aca="false">IF(_PENDIENTES!$B$4&lt;&gt;"",_PENDIENTES!$G$4,"")</f>
        <v>7</v>
      </c>
      <c r="H10" s="50" t="n">
        <f aca="false">IF(_PENDIENTES!$B$4&lt;&gt;"",_PENDIENTES!$H$4,"")</f>
        <v>141.75</v>
      </c>
      <c r="I10" s="108" t="str">
        <f aca="false">IF(_PENDIENTES!$B$4&lt;&gt;"",_PENDIENTES!$I$4,"")</f>
        <v>SERNAQUE PELAEZ WILMER</v>
      </c>
      <c r="J10" s="50" t="str">
        <f aca="false">IF(_PENDIENTES!$B$4&lt;&gt;"",_PENDIENTES!$J$4,"")</f>
        <v>EUH-421</v>
      </c>
      <c r="K10" s="106" t="str">
        <f aca="false">IF(_PENDIENTES!$B$4&lt;&gt;"","POR RECOGER","")</f>
        <v>POR RECOGER</v>
      </c>
      <c r="L10" s="107" t="n">
        <f aca="false">IF(_PENDIENTES!$B$4&lt;&gt;"",_PENDIENTES!$K$4,"")</f>
        <v>0</v>
      </c>
      <c r="M10" s="85" t="str">
        <f aca="false">IF(_PENDIENTES!$B$4&lt;&gt;"",_PENDIENTES!$B$4,"")</f>
        <v>MARIA AUXILIADORA</v>
      </c>
      <c r="N10" s="109" t="str">
        <f aca="false">IF(_PENDIENTES!$B$4&lt;&gt;"",_PENDIENTES!$L$4,"")</f>
        <v>MARIA AUXILIADORA</v>
      </c>
      <c r="O10" s="89"/>
      <c r="P10" s="89"/>
      <c r="Q10" s="89"/>
      <c r="R10" s="89"/>
      <c r="S10" s="89"/>
    </row>
    <row r="11" customFormat="false" ht="15.75" hidden="true" customHeight="true" outlineLevel="0" collapsed="false">
      <c r="A11" s="46" t="n">
        <f aca="false">IF(_PENDIENTES!$B$5&lt;&gt;"",4,"")</f>
        <v>4</v>
      </c>
      <c r="B11" s="41" t="str">
        <f aca="false">IF(_PENDIENTES!$B$5&lt;&gt;"",_PENDIENTES!$A$5,"")</f>
        <v>ENE</v>
      </c>
      <c r="C11" s="110" t="str">
        <f aca="false">IF(_PENDIENTES!$B$5&lt;&gt;"",_PENDIENTES!$C$5,"")</f>
        <v>RODRIGUEZ CALDERON JESUS SALVADOR</v>
      </c>
      <c r="D11" s="46" t="str">
        <f aca="false">IF(_PENDIENTES!$B$5&lt;&gt;"",_PENDIENTES!$D$5,"")</f>
        <v>33950773</v>
      </c>
      <c r="E11" s="112" t="str">
        <f aca="false">IF(_PENDIENTES!$B$5&lt;&gt;"",_PENDIENTES!$E$5,"")</f>
        <v>03/01/2026</v>
      </c>
      <c r="F11" s="46" t="str">
        <f aca="false">IF(_PENDIENTES!$B$5&lt;&gt;"",_PENDIENTES!$F$5,"")</f>
        <v>PETROLEO</v>
      </c>
      <c r="G11" s="44" t="n">
        <f aca="false">IF(_PENDIENTES!$B$5&lt;&gt;"",_PENDIENTES!$G$5,"")</f>
        <v>7</v>
      </c>
      <c r="H11" s="44" t="n">
        <f aca="false">IF(_PENDIENTES!$B$5&lt;&gt;"",_PENDIENTES!$H$5,"")</f>
        <v>141.75</v>
      </c>
      <c r="I11" s="113" t="str">
        <f aca="false">IF(_PENDIENTES!$B$5&lt;&gt;"",_PENDIENTES!$I$5,"")</f>
        <v/>
      </c>
      <c r="J11" s="44" t="str">
        <f aca="false">IF(_PENDIENTES!$B$5&lt;&gt;"",_PENDIENTES!$J$5,"")</f>
        <v/>
      </c>
      <c r="K11" s="46" t="str">
        <f aca="false">IF(_PENDIENTES!$B$5&lt;&gt;"","POR RECOGER","")</f>
        <v>POR RECOGER</v>
      </c>
      <c r="L11" s="110" t="n">
        <f aca="false">IF(_PENDIENTES!$B$5&lt;&gt;"",_PENDIENTES!$K$5,"")</f>
        <v>0</v>
      </c>
      <c r="M11" s="85" t="str">
        <f aca="false">IF(_PENDIENTES!$B$5&lt;&gt;"",_PENDIENTES!$B$5,"")</f>
        <v>MARIA AUXILIADORA</v>
      </c>
      <c r="N11" s="109" t="str">
        <f aca="false">IF(_PENDIENTES!$B$5&lt;&gt;"",_PENDIENTES!$L$5,"")</f>
        <v>MARIA AUXILIADORA</v>
      </c>
      <c r="O11" s="89"/>
      <c r="P11" s="89"/>
      <c r="Q11" s="89"/>
      <c r="R11" s="89"/>
      <c r="S11" s="89"/>
    </row>
    <row r="12" customFormat="false" ht="15.75" hidden="true" customHeight="true" outlineLevel="0" collapsed="false">
      <c r="A12" s="106" t="n">
        <f aca="false">IF(_PENDIENTES!$B$6&lt;&gt;"",5,"")</f>
        <v>5</v>
      </c>
      <c r="B12" s="47" t="str">
        <f aca="false">IF(_PENDIENTES!$B$6&lt;&gt;"",_PENDIENTES!$A$6,"")</f>
        <v>ENE</v>
      </c>
      <c r="C12" s="107" t="str">
        <f aca="false">IF(_PENDIENTES!$B$6&lt;&gt;"",_PENDIENTES!$C$6,"")</f>
        <v>HUAMAN HUAMAN LUZ CLARITA</v>
      </c>
      <c r="D12" s="106" t="str">
        <f aca="false">IF(_PENDIENTES!$B$6&lt;&gt;"",_PENDIENTES!$D$6,"")</f>
        <v>73632523</v>
      </c>
      <c r="E12" s="111" t="str">
        <f aca="false">IF(_PENDIENTES!$B$6&lt;&gt;"",_PENDIENTES!$E$6,"")</f>
        <v>04/01/2026</v>
      </c>
      <c r="F12" s="106" t="str">
        <f aca="false">IF(_PENDIENTES!$B$6&lt;&gt;"",_PENDIENTES!$F$6,"")</f>
        <v>PETROLEO</v>
      </c>
      <c r="G12" s="50" t="n">
        <f aca="false">IF(_PENDIENTES!$B$6&lt;&gt;"",_PENDIENTES!$G$6,"")</f>
        <v>7</v>
      </c>
      <c r="H12" s="50" t="n">
        <f aca="false">IF(_PENDIENTES!$B$6&lt;&gt;"",_PENDIENTES!$H$6,"")</f>
        <v>141.75</v>
      </c>
      <c r="I12" s="108" t="str">
        <f aca="false">IF(_PENDIENTES!$B$6&lt;&gt;"",_PENDIENTES!$I$6,"")</f>
        <v>ROJAS ALVARADO BENJAMIN</v>
      </c>
      <c r="J12" s="50" t="str">
        <f aca="false">IF(_PENDIENTES!$B$6&lt;&gt;"",_PENDIENTES!$J$6,"")</f>
        <v>421 EUH</v>
      </c>
      <c r="K12" s="106" t="str">
        <f aca="false">IF(_PENDIENTES!$B$6&lt;&gt;"","POR RECOGER","")</f>
        <v>POR RECOGER</v>
      </c>
      <c r="L12" s="107" t="n">
        <f aca="false">IF(_PENDIENTES!$B$6&lt;&gt;"",_PENDIENTES!$K$6,"")</f>
        <v>0</v>
      </c>
      <c r="M12" s="85" t="str">
        <f aca="false">IF(_PENDIENTES!$B$6&lt;&gt;"",_PENDIENTES!$B$6,"")</f>
        <v>MARIA AUXILIADORA</v>
      </c>
      <c r="N12" s="109" t="str">
        <f aca="false">IF(_PENDIENTES!$B$6&lt;&gt;"",_PENDIENTES!$L$6,"")</f>
        <v>MARIA AUXILIADORA</v>
      </c>
      <c r="O12" s="89"/>
      <c r="P12" s="89"/>
      <c r="Q12" s="89"/>
      <c r="R12" s="89"/>
      <c r="S12" s="89"/>
    </row>
    <row r="13" customFormat="false" ht="15.75" hidden="true" customHeight="true" outlineLevel="0" collapsed="false">
      <c r="A13" s="46" t="n">
        <f aca="false">IF(_PENDIENTES!$B$7&lt;&gt;"",6,"")</f>
        <v>6</v>
      </c>
      <c r="B13" s="41" t="str">
        <f aca="false">IF(_PENDIENTES!$B$7&lt;&gt;"",_PENDIENTES!$A$7,"")</f>
        <v>ENE</v>
      </c>
      <c r="C13" s="110" t="str">
        <f aca="false">IF(_PENDIENTES!$B$7&lt;&gt;"",_PENDIENTES!$C$7,"")</f>
        <v>GUSMAN ALVARADO CESAR</v>
      </c>
      <c r="D13" s="46" t="str">
        <f aca="false">IF(_PENDIENTES!$B$7&lt;&gt;"",_PENDIENTES!$D$7,"")</f>
        <v>45825389</v>
      </c>
      <c r="E13" s="112" t="str">
        <f aca="false">IF(_PENDIENTES!$B$7&lt;&gt;"",_PENDIENTES!$E$7,"")</f>
        <v>05/01/2026</v>
      </c>
      <c r="F13" s="46" t="str">
        <f aca="false">IF(_PENDIENTES!$B$7&lt;&gt;"",_PENDIENTES!$F$7,"")</f>
        <v>PETROLEO</v>
      </c>
      <c r="G13" s="44" t="n">
        <f aca="false">IF(_PENDIENTES!$B$7&lt;&gt;"",_PENDIENTES!$G$7,"")</f>
        <v>7</v>
      </c>
      <c r="H13" s="44" t="n">
        <f aca="false">IF(_PENDIENTES!$B$7&lt;&gt;"",_PENDIENTES!$H$7,"")</f>
        <v>127.26</v>
      </c>
      <c r="I13" s="113" t="str">
        <f aca="false">IF(_PENDIENTES!$B$7&lt;&gt;"",_PENDIENTES!$I$7,"")</f>
        <v>BUELOT VISALOT CARLO MAGNO</v>
      </c>
      <c r="J13" s="44" t="str">
        <f aca="false">IF(_PENDIENTES!$B$7&lt;&gt;"",_PENDIENTES!$J$7,"")</f>
        <v>EUD 634</v>
      </c>
      <c r="K13" s="46" t="str">
        <f aca="false">IF(_PENDIENTES!$B$7&lt;&gt;"","POR RECOGER","")</f>
        <v>POR RECOGER</v>
      </c>
      <c r="L13" s="110" t="n">
        <f aca="false">IF(_PENDIENTES!$B$7&lt;&gt;"",_PENDIENTES!$K$7,"")</f>
        <v>0</v>
      </c>
      <c r="M13" s="85" t="str">
        <f aca="false">IF(_PENDIENTES!$B$7&lt;&gt;"",_PENDIENTES!$B$7,"")</f>
        <v>COLCAMAR</v>
      </c>
      <c r="N13" s="109" t="str">
        <f aca="false">IF(_PENDIENTES!$B$7&lt;&gt;"",_PENDIENTES!$L$7,"")</f>
        <v>COLCAMAR</v>
      </c>
      <c r="O13" s="89"/>
      <c r="P13" s="89"/>
      <c r="Q13" s="89"/>
      <c r="R13" s="89"/>
      <c r="S13" s="89"/>
    </row>
    <row r="14" customFormat="false" ht="15.75" hidden="true" customHeight="true" outlineLevel="0" collapsed="false">
      <c r="A14" s="106" t="n">
        <f aca="false">IF(_PENDIENTES!$B$8&lt;&gt;"",7,"")</f>
        <v>7</v>
      </c>
      <c r="B14" s="47" t="str">
        <f aca="false">IF(_PENDIENTES!$B$8&lt;&gt;"",_PENDIENTES!$A$8,"")</f>
        <v>ENE</v>
      </c>
      <c r="C14" s="107" t="str">
        <f aca="false">IF(_PENDIENTES!$B$8&lt;&gt;"",_PENDIENTES!$C$8,"")</f>
        <v>PORTOCARRERO GRANDEZ GLORIA VILMITA</v>
      </c>
      <c r="D14" s="106" t="str">
        <f aca="false">IF(_PENDIENTES!$B$8&lt;&gt;"",_PENDIENTES!$D$8,"")</f>
        <v>43504295</v>
      </c>
      <c r="E14" s="111" t="str">
        <f aca="false">IF(_PENDIENTES!$B$8&lt;&gt;"",_PENDIENTES!$E$8,"")</f>
        <v>05/01/2026</v>
      </c>
      <c r="F14" s="106" t="str">
        <f aca="false">IF(_PENDIENTES!$B$8&lt;&gt;"",_PENDIENTES!$F$8,"")</f>
        <v>PETROLEO</v>
      </c>
      <c r="G14" s="50" t="n">
        <f aca="false">IF(_PENDIENTES!$B$8&lt;&gt;"",_PENDIENTES!$G$8,"")</f>
        <v>7</v>
      </c>
      <c r="H14" s="50" t="n">
        <f aca="false">IF(_PENDIENTES!$B$8&lt;&gt;"",_PENDIENTES!$H$8,"")</f>
        <v>141.75</v>
      </c>
      <c r="I14" s="108" t="str">
        <f aca="false">IF(_PENDIENTES!$B$8&lt;&gt;"",_PENDIENTES!$I$8,"")</f>
        <v/>
      </c>
      <c r="J14" s="50" t="str">
        <f aca="false">IF(_PENDIENTES!$B$8&lt;&gt;"",_PENDIENTES!$J$8,"")</f>
        <v/>
      </c>
      <c r="K14" s="106" t="str">
        <f aca="false">IF(_PENDIENTES!$B$8&lt;&gt;"","POR RECOGER","")</f>
        <v>POR RECOGER</v>
      </c>
      <c r="L14" s="107" t="n">
        <f aca="false">IF(_PENDIENTES!$B$8&lt;&gt;"",_PENDIENTES!$K$8,"")</f>
        <v>0</v>
      </c>
      <c r="M14" s="85" t="str">
        <f aca="false">IF(_PENDIENTES!$B$8&lt;&gt;"",_PENDIENTES!$B$8,"")</f>
        <v>MARIA AUXILIADORA</v>
      </c>
      <c r="N14" s="109" t="str">
        <f aca="false">IF(_PENDIENTES!$B$8&lt;&gt;"",_PENDIENTES!$L$8,"")</f>
        <v>MARIA AUXILIADORA</v>
      </c>
      <c r="O14" s="89"/>
      <c r="P14" s="89"/>
      <c r="Q14" s="89"/>
      <c r="R14" s="89"/>
      <c r="S14" s="89"/>
    </row>
    <row r="15" customFormat="false" ht="15.75" hidden="true" customHeight="true" outlineLevel="0" collapsed="false">
      <c r="A15" s="46" t="n">
        <f aca="false">IF(_PENDIENTES!$B$9&lt;&gt;"",8,"")</f>
        <v>8</v>
      </c>
      <c r="B15" s="41" t="str">
        <f aca="false">IF(_PENDIENTES!$B$9&lt;&gt;"",_PENDIENTES!$A$9,"")</f>
        <v>ENE</v>
      </c>
      <c r="C15" s="110" t="str">
        <f aca="false">IF(_PENDIENTES!$B$9&lt;&gt;"",_PENDIENTES!$C$9,"")</f>
        <v>VARGAS TUESTA BRISTYN PAOLO</v>
      </c>
      <c r="D15" s="46" t="str">
        <f aca="false">IF(_PENDIENTES!$B$9&lt;&gt;"",_PENDIENTES!$D$9,"")</f>
        <v>91225101</v>
      </c>
      <c r="E15" s="112" t="str">
        <f aca="false">IF(_PENDIENTES!$B$9&lt;&gt;"",_PENDIENTES!$E$9,"")</f>
        <v>06/01/2026</v>
      </c>
      <c r="F15" s="46" t="str">
        <f aca="false">IF(_PENDIENTES!$B$9&lt;&gt;"",_PENDIENTES!$F$9,"")</f>
        <v>PETROLEO</v>
      </c>
      <c r="G15" s="44" t="n">
        <f aca="false">IF(_PENDIENTES!$B$9&lt;&gt;"",_PENDIENTES!$G$9,"")</f>
        <v>10</v>
      </c>
      <c r="H15" s="44" t="n">
        <f aca="false">IF(_PENDIENTES!$B$9&lt;&gt;"",_PENDIENTES!$H$9,"")</f>
        <v>202.5</v>
      </c>
      <c r="I15" s="113" t="str">
        <f aca="false">IF(_PENDIENTES!$B$9&lt;&gt;"",_PENDIENTES!$I$9,"")</f>
        <v>LOPEZ HOYOS MIGUEL ANGEL</v>
      </c>
      <c r="J15" s="44" t="str">
        <f aca="false">IF(_PENDIENTES!$B$9&lt;&gt;"",_PENDIENTES!$J$9,"")</f>
        <v>EUH-698</v>
      </c>
      <c r="K15" s="46" t="str">
        <f aca="false">IF(_PENDIENTES!$B$9&lt;&gt;"","POR RECOGER","")</f>
        <v>POR RECOGER</v>
      </c>
      <c r="L15" s="110" t="str">
        <f aca="false">IF(_PENDIENTES!$B$9&lt;&gt;"",_PENDIENTES!$K$9,"")</f>
        <v>HUAMBO</v>
      </c>
      <c r="M15" s="85" t="str">
        <f aca="false">IF(_PENDIENTES!$B$9&lt;&gt;"",_PENDIENTES!$B$9,"")</f>
        <v>HUAMBO</v>
      </c>
      <c r="N15" s="109" t="str">
        <f aca="false">IF(_PENDIENTES!$B$9&lt;&gt;"",_PENDIENTES!$L$9,"")</f>
        <v>MARIA AUXILIADORA</v>
      </c>
      <c r="O15" s="89"/>
      <c r="P15" s="89"/>
      <c r="Q15" s="89"/>
      <c r="R15" s="89"/>
      <c r="S15" s="89"/>
    </row>
    <row r="16" customFormat="false" ht="15.75" hidden="true" customHeight="true" outlineLevel="0" collapsed="false">
      <c r="A16" s="106" t="n">
        <f aca="false">IF(_PENDIENTES!$B$10&lt;&gt;"",9,"")</f>
        <v>9</v>
      </c>
      <c r="B16" s="47" t="str">
        <f aca="false">IF(_PENDIENTES!$B$10&lt;&gt;"",_PENDIENTES!$A$10,"")</f>
        <v>ENE</v>
      </c>
      <c r="C16" s="107" t="str">
        <f aca="false">IF(_PENDIENTES!$B$10&lt;&gt;"",_PENDIENTES!$C$10,"")</f>
        <v>LEON DELGADO EIMI YAMILET</v>
      </c>
      <c r="D16" s="106" t="str">
        <f aca="false">IF(_PENDIENTES!$B$10&lt;&gt;"",_PENDIENTES!$D$10,"")</f>
        <v>61561896</v>
      </c>
      <c r="E16" s="111" t="str">
        <f aca="false">IF(_PENDIENTES!$B$10&lt;&gt;"",_PENDIENTES!$E$10,"")</f>
        <v>06/01/2025</v>
      </c>
      <c r="F16" s="106" t="str">
        <f aca="false">IF(_PENDIENTES!$B$10&lt;&gt;"",_PENDIENTES!$F$10,"")</f>
        <v>PETROLEO</v>
      </c>
      <c r="G16" s="50" t="n">
        <f aca="false">IF(_PENDIENTES!$B$10&lt;&gt;"",_PENDIENTES!$G$10,"")</f>
        <v>5</v>
      </c>
      <c r="H16" s="50" t="n">
        <f aca="false">IF(_PENDIENTES!$B$10&lt;&gt;"",_PENDIENTES!$H$10,"")</f>
        <v>90.9</v>
      </c>
      <c r="I16" s="108" t="str">
        <f aca="false">IF(_PENDIENTES!$B$10&lt;&gt;"",_PENDIENTES!$I$10,"")</f>
        <v>BRICENO OXOLON MANUEL</v>
      </c>
      <c r="J16" s="50" t="str">
        <f aca="false">IF(_PENDIENTES!$B$10&lt;&gt;"",_PENDIENTES!$J$10,"")</f>
        <v>EUC976</v>
      </c>
      <c r="K16" s="106" t="str">
        <f aca="false">IF(_PENDIENTES!$B$10&lt;&gt;"","POR RECOGER","")</f>
        <v>POR RECOGER</v>
      </c>
      <c r="L16" s="107" t="n">
        <f aca="false">IF(_PENDIENTES!$B$10&lt;&gt;"",_PENDIENTES!$K$10,"")</f>
        <v>0</v>
      </c>
      <c r="M16" s="85" t="str">
        <f aca="false">IF(_PENDIENTES!$B$10&lt;&gt;"",_PENDIENTES!$B$10,"")</f>
        <v>JUMBILLA</v>
      </c>
      <c r="N16" s="109" t="str">
        <f aca="false">IF(_PENDIENTES!$B$10&lt;&gt;"",_PENDIENTES!$L$10,"")</f>
        <v>JUMBILLA</v>
      </c>
      <c r="O16" s="89"/>
      <c r="P16" s="89"/>
      <c r="Q16" s="89"/>
      <c r="R16" s="89"/>
      <c r="S16" s="89"/>
    </row>
    <row r="17" customFormat="false" ht="15.75" hidden="true" customHeight="true" outlineLevel="0" collapsed="false">
      <c r="A17" s="46" t="n">
        <f aca="false">IF(_PENDIENTES!$B$11&lt;&gt;"",10,"")</f>
        <v>10</v>
      </c>
      <c r="B17" s="41" t="str">
        <f aca="false">IF(_PENDIENTES!$B$11&lt;&gt;"",_PENDIENTES!$A$11,"")</f>
        <v>ENE</v>
      </c>
      <c r="C17" s="110" t="str">
        <f aca="false">IF(_PENDIENTES!$B$11&lt;&gt;"",_PENDIENTES!$C$11,"")</f>
        <v>TAFUR LOPEZ SEGUNDO PACIFICO</v>
      </c>
      <c r="D17" s="46" t="str">
        <f aca="false">IF(_PENDIENTES!$B$11&lt;&gt;"",_PENDIENTES!$D$11,"")</f>
        <v>44932120</v>
      </c>
      <c r="E17" s="112" t="str">
        <f aca="false">IF(_PENDIENTES!$B$11&lt;&gt;"",_PENDIENTES!$E$11,"")</f>
        <v>07/01/2026</v>
      </c>
      <c r="F17" s="46" t="str">
        <f aca="false">IF(_PENDIENTES!$B$11&lt;&gt;"",_PENDIENTES!$F$11,"")</f>
        <v>PETROLEO</v>
      </c>
      <c r="G17" s="44" t="n">
        <f aca="false">IF(_PENDIENTES!$B$11&lt;&gt;"",_PENDIENTES!$G$11,"")</f>
        <v>7</v>
      </c>
      <c r="H17" s="44" t="n">
        <f aca="false">IF(_PENDIENTES!$B$11&lt;&gt;"",_PENDIENTES!$H$11,"")</f>
        <v>141.75</v>
      </c>
      <c r="I17" s="113" t="str">
        <f aca="false">IF(_PENDIENTES!$B$11&lt;&gt;"",_PENDIENTES!$I$11,"")</f>
        <v/>
      </c>
      <c r="J17" s="44" t="str">
        <f aca="false">IF(_PENDIENTES!$B$11&lt;&gt;"",_PENDIENTES!$J$11,"")</f>
        <v/>
      </c>
      <c r="K17" s="46" t="str">
        <f aca="false">IF(_PENDIENTES!$B$11&lt;&gt;"","POR RECOGER","")</f>
        <v>POR RECOGER</v>
      </c>
      <c r="L17" s="110" t="n">
        <f aca="false">IF(_PENDIENTES!$B$11&lt;&gt;"",_PENDIENTES!$K$11,"")</f>
        <v>0</v>
      </c>
      <c r="M17" s="85" t="str">
        <f aca="false">IF(_PENDIENTES!$B$11&lt;&gt;"",_PENDIENTES!$B$11,"")</f>
        <v>MARIA AUXILIADORA</v>
      </c>
      <c r="N17" s="109" t="str">
        <f aca="false">IF(_PENDIENTES!$B$11&lt;&gt;"",_PENDIENTES!$L$11,"")</f>
        <v>MARIA AUXILIADORA</v>
      </c>
      <c r="O17" s="89"/>
      <c r="P17" s="89"/>
      <c r="Q17" s="89"/>
      <c r="R17" s="89"/>
      <c r="S17" s="89"/>
    </row>
    <row r="18" customFormat="false" ht="15.75" hidden="true" customHeight="true" outlineLevel="0" collapsed="false">
      <c r="A18" s="106" t="n">
        <f aca="false">IF(_PENDIENTES!$B$12&lt;&gt;"",11,"")</f>
        <v>11</v>
      </c>
      <c r="B18" s="47" t="str">
        <f aca="false">IF(_PENDIENTES!$B$12&lt;&gt;"",_PENDIENTES!$A$12,"")</f>
        <v>ENE</v>
      </c>
      <c r="C18" s="107" t="str">
        <f aca="false">IF(_PENDIENTES!$B$12&lt;&gt;"",_PENDIENTES!$C$12,"")</f>
        <v>VILLA LOPEZ NEILI DANITZA</v>
      </c>
      <c r="D18" s="106" t="str">
        <f aca="false">IF(_PENDIENTES!$B$12&lt;&gt;"",_PENDIENTES!$D$12,"")</f>
        <v>44401644</v>
      </c>
      <c r="E18" s="111" t="str">
        <f aca="false">IF(_PENDIENTES!$B$12&lt;&gt;"",_PENDIENTES!$E$12,"")</f>
        <v>08/01/2026</v>
      </c>
      <c r="F18" s="106" t="str">
        <f aca="false">IF(_PENDIENTES!$B$12&lt;&gt;"",_PENDIENTES!$F$12,"")</f>
        <v>PETROLEO</v>
      </c>
      <c r="G18" s="50" t="n">
        <f aca="false">IF(_PENDIENTES!$B$12&lt;&gt;"",_PENDIENTES!$G$12,"")</f>
        <v>7</v>
      </c>
      <c r="H18" s="50" t="n">
        <f aca="false">IF(_PENDIENTES!$B$12&lt;&gt;"",_PENDIENTES!$H$12,"")</f>
        <v>141.75</v>
      </c>
      <c r="I18" s="108" t="str">
        <f aca="false">IF(_PENDIENTES!$B$12&lt;&gt;"",_PENDIENTES!$I$12,"")</f>
        <v>ROJAS ALVARADO BENJAMIN</v>
      </c>
      <c r="J18" s="50" t="str">
        <f aca="false">IF(_PENDIENTES!$B$12&lt;&gt;"",_PENDIENTES!$J$12,"")</f>
        <v>421 EUH</v>
      </c>
      <c r="K18" s="106" t="str">
        <f aca="false">IF(_PENDIENTES!$B$12&lt;&gt;"","POR RECOGER","")</f>
        <v>POR RECOGER</v>
      </c>
      <c r="L18" s="107" t="n">
        <f aca="false">IF(_PENDIENTES!$B$12&lt;&gt;"",_PENDIENTES!$K$12,"")</f>
        <v>0</v>
      </c>
      <c r="M18" s="85" t="str">
        <f aca="false">IF(_PENDIENTES!$B$12&lt;&gt;"",_PENDIENTES!$B$12,"")</f>
        <v>MARIA AUXILIADORA</v>
      </c>
      <c r="N18" s="109" t="str">
        <f aca="false">IF(_PENDIENTES!$B$12&lt;&gt;"",_PENDIENTES!$L$12,"")</f>
        <v>MARIA AUXILIADORA</v>
      </c>
      <c r="O18" s="89"/>
      <c r="P18" s="89"/>
      <c r="Q18" s="89"/>
      <c r="R18" s="89"/>
      <c r="S18" s="89"/>
    </row>
    <row r="19" customFormat="false" ht="15.75" hidden="true" customHeight="true" outlineLevel="0" collapsed="false">
      <c r="A19" s="46" t="n">
        <f aca="false">IF(_PENDIENTES!$B$13&lt;&gt;"",12,"")</f>
        <v>12</v>
      </c>
      <c r="B19" s="41" t="str">
        <f aca="false">IF(_PENDIENTES!$B$13&lt;&gt;"",_PENDIENTES!$A$13,"")</f>
        <v>ENE</v>
      </c>
      <c r="C19" s="110" t="str">
        <f aca="false">IF(_PENDIENTES!$B$13&lt;&gt;"",_PENDIENTES!$C$13,"")</f>
        <v>FERNANDEZ LOPEZ GIL AUGUSTO</v>
      </c>
      <c r="D19" s="46" t="str">
        <f aca="false">IF(_PENDIENTES!$B$13&lt;&gt;"",_PENDIENTES!$D$13,"")</f>
        <v>33946545</v>
      </c>
      <c r="E19" s="112" t="str">
        <f aca="false">IF(_PENDIENTES!$B$13&lt;&gt;"",_PENDIENTES!$E$13,"")</f>
        <v>09/01/2026</v>
      </c>
      <c r="F19" s="46" t="str">
        <f aca="false">IF(_PENDIENTES!$B$13&lt;&gt;"",_PENDIENTES!$F$13,"")</f>
        <v>PETROLEO</v>
      </c>
      <c r="G19" s="44" t="n">
        <f aca="false">IF(_PENDIENTES!$B$13&lt;&gt;"",_PENDIENTES!$G$13,"")</f>
        <v>7</v>
      </c>
      <c r="H19" s="44" t="n">
        <f aca="false">IF(_PENDIENTES!$B$13&lt;&gt;"",_PENDIENTES!$H$13,"")</f>
        <v>141.75</v>
      </c>
      <c r="I19" s="113" t="str">
        <f aca="false">IF(_PENDIENTES!$B$13&lt;&gt;"",_PENDIENTES!$I$13,"")</f>
        <v>TRIGOSO TAFUR JOSE GILBER</v>
      </c>
      <c r="J19" s="44" t="str">
        <f aca="false">IF(_PENDIENTES!$B$13&lt;&gt;"",_PENDIENTES!$J$13,"")</f>
        <v>EUH 421</v>
      </c>
      <c r="K19" s="46" t="str">
        <f aca="false">IF(_PENDIENTES!$B$13&lt;&gt;"","POR RECOGER","")</f>
        <v>POR RECOGER</v>
      </c>
      <c r="L19" s="110" t="n">
        <f aca="false">IF(_PENDIENTES!$B$13&lt;&gt;"",_PENDIENTES!$K$13,"")</f>
        <v>0</v>
      </c>
      <c r="M19" s="85" t="str">
        <f aca="false">IF(_PENDIENTES!$B$13&lt;&gt;"",_PENDIENTES!$B$13,"")</f>
        <v>MARIA AUXILIADORA</v>
      </c>
      <c r="N19" s="109" t="str">
        <f aca="false">IF(_PENDIENTES!$B$13&lt;&gt;"",_PENDIENTES!$L$13,"")</f>
        <v>MARIA AUXILIADORA</v>
      </c>
      <c r="O19" s="89"/>
      <c r="P19" s="89"/>
      <c r="Q19" s="89"/>
      <c r="R19" s="89"/>
      <c r="S19" s="89"/>
    </row>
    <row r="20" customFormat="false" ht="15.75" hidden="true" customHeight="true" outlineLevel="0" collapsed="false">
      <c r="A20" s="106" t="n">
        <f aca="false">IF(_PENDIENTES!$B$14&lt;&gt;"",13,"")</f>
        <v>13</v>
      </c>
      <c r="B20" s="47" t="str">
        <f aca="false">IF(_PENDIENTES!$B$14&lt;&gt;"",_PENDIENTES!$A$14,"")</f>
        <v>ENE</v>
      </c>
      <c r="C20" s="107" t="str">
        <f aca="false">IF(_PENDIENTES!$B$14&lt;&gt;"",_PENDIENTES!$C$14,"")</f>
        <v>ARANA LOPEZ MARILIZ MISHEL</v>
      </c>
      <c r="D20" s="106" t="str">
        <f aca="false">IF(_PENDIENTES!$B$14&lt;&gt;"",_PENDIENTES!$D$14,"")</f>
        <v>78095143</v>
      </c>
      <c r="E20" s="111" t="str">
        <f aca="false">IF(_PENDIENTES!$B$14&lt;&gt;"",_PENDIENTES!$E$14,"")</f>
        <v>10/01/2026</v>
      </c>
      <c r="F20" s="106" t="str">
        <f aca="false">IF(_PENDIENTES!$B$14&lt;&gt;"",_PENDIENTES!$F$14,"")</f>
        <v>PETROLEO</v>
      </c>
      <c r="G20" s="50" t="n">
        <f aca="false">IF(_PENDIENTES!$B$14&lt;&gt;"",_PENDIENTES!$G$14,"")</f>
        <v>6.8</v>
      </c>
      <c r="H20" s="50" t="n">
        <f aca="false">IF(_PENDIENTES!$B$14&lt;&gt;"",_PENDIENTES!$H$14,"")</f>
        <v>137.7</v>
      </c>
      <c r="I20" s="108" t="str">
        <f aca="false">IF(_PENDIENTES!$B$14&lt;&gt;"",_PENDIENTES!$I$14,"")</f>
        <v>TRIGOSO TAFUR JOSE GILBER</v>
      </c>
      <c r="J20" s="50" t="str">
        <f aca="false">IF(_PENDIENTES!$B$14&lt;&gt;"",_PENDIENTES!$J$14,"")</f>
        <v>EUH 421</v>
      </c>
      <c r="K20" s="106" t="str">
        <f aca="false">IF(_PENDIENTES!$B$14&lt;&gt;"","POR RECOGER","")</f>
        <v>POR RECOGER</v>
      </c>
      <c r="L20" s="107" t="n">
        <f aca="false">IF(_PENDIENTES!$B$14&lt;&gt;"",_PENDIENTES!$K$14,"")</f>
        <v>0</v>
      </c>
      <c r="M20" s="85" t="str">
        <f aca="false">IF(_PENDIENTES!$B$14&lt;&gt;"",_PENDIENTES!$B$14,"")</f>
        <v>MARIA AUXILIADORA</v>
      </c>
      <c r="N20" s="109" t="str">
        <f aca="false">IF(_PENDIENTES!$B$14&lt;&gt;"",_PENDIENTES!$L$14,"")</f>
        <v>MARIA AUXILIADORA</v>
      </c>
      <c r="O20" s="89"/>
      <c r="P20" s="89"/>
      <c r="Q20" s="89"/>
      <c r="R20" s="89"/>
      <c r="S20" s="89"/>
    </row>
    <row r="21" customFormat="false" ht="15.75" hidden="true" customHeight="true" outlineLevel="0" collapsed="false">
      <c r="A21" s="46" t="n">
        <f aca="false">IF(_PENDIENTES!$B$15&lt;&gt;"",14,"")</f>
        <v>14</v>
      </c>
      <c r="B21" s="41" t="str">
        <f aca="false">IF(_PENDIENTES!$B$15&lt;&gt;"",_PENDIENTES!$A$15,"")</f>
        <v>ENE</v>
      </c>
      <c r="C21" s="110" t="str">
        <f aca="false">IF(_PENDIENTES!$B$15&lt;&gt;"",_PENDIENTES!$C$15,"")</f>
        <v>LUCERO TUESTA MARBELI</v>
      </c>
      <c r="D21" s="46" t="str">
        <f aca="false">IF(_PENDIENTES!$B$15&lt;&gt;"",_PENDIENTES!$D$15,"")</f>
        <v>63365856</v>
      </c>
      <c r="E21" s="112" t="str">
        <f aca="false">IF(_PENDIENTES!$B$15&lt;&gt;"",_PENDIENTES!$E$15,"")</f>
        <v>12/01/2026</v>
      </c>
      <c r="F21" s="46" t="str">
        <f aca="false">IF(_PENDIENTES!$B$15&lt;&gt;"",_PENDIENTES!$F$15,"")</f>
        <v>PETROLEO</v>
      </c>
      <c r="G21" s="44" t="n">
        <f aca="false">IF(_PENDIENTES!$B$15&lt;&gt;"",_PENDIENTES!$G$15,"")</f>
        <v>5</v>
      </c>
      <c r="H21" s="44" t="n">
        <f aca="false">IF(_PENDIENTES!$B$15&lt;&gt;"",_PENDIENTES!$H$15,"")</f>
        <v>101.25</v>
      </c>
      <c r="I21" s="113" t="str">
        <f aca="false">IF(_PENDIENTES!$B$15&lt;&gt;"",_PENDIENTES!$I$15,"")</f>
        <v>ROJAS ALVARADO BENJAMIN</v>
      </c>
      <c r="J21" s="44" t="str">
        <f aca="false">IF(_PENDIENTES!$B$15&lt;&gt;"",_PENDIENTES!$J$15,"")</f>
        <v>421 EUH</v>
      </c>
      <c r="K21" s="46" t="str">
        <f aca="false">IF(_PENDIENTES!$B$15&lt;&gt;"","POR RECOGER","")</f>
        <v>POR RECOGER</v>
      </c>
      <c r="L21" s="110" t="n">
        <f aca="false">IF(_PENDIENTES!$B$15&lt;&gt;"",_PENDIENTES!$K$15,"")</f>
        <v>0</v>
      </c>
      <c r="M21" s="85" t="str">
        <f aca="false">IF(_PENDIENTES!$B$15&lt;&gt;"",_PENDIENTES!$B$15,"")</f>
        <v>MARIA AUXILIADORA</v>
      </c>
      <c r="N21" s="109" t="str">
        <f aca="false">IF(_PENDIENTES!$B$15&lt;&gt;"",_PENDIENTES!$L$15,"")</f>
        <v>MARIA AUXILIADORA</v>
      </c>
      <c r="O21" s="89"/>
      <c r="P21" s="89"/>
      <c r="Q21" s="89"/>
      <c r="R21" s="89"/>
      <c r="S21" s="89"/>
    </row>
    <row r="22" customFormat="false" ht="15.75" hidden="true" customHeight="true" outlineLevel="0" collapsed="false">
      <c r="A22" s="106" t="n">
        <f aca="false">IF(_PENDIENTES!$B$16&lt;&gt;"",15,"")</f>
        <v>15</v>
      </c>
      <c r="B22" s="47" t="str">
        <f aca="false">IF(_PENDIENTES!$B$16&lt;&gt;"",_PENDIENTES!$A$16,"")</f>
        <v>ENE</v>
      </c>
      <c r="C22" s="107" t="str">
        <f aca="false">IF(_PENDIENTES!$B$16&lt;&gt;"",_PENDIENTES!$C$16,"")</f>
        <v>REYES VASQUEZ JOAO YADIEL</v>
      </c>
      <c r="D22" s="106" t="str">
        <f aca="false">IF(_PENDIENTES!$B$16&lt;&gt;"",_PENDIENTES!$D$16,"")</f>
        <v>94359638</v>
      </c>
      <c r="E22" s="111" t="str">
        <f aca="false">IF(_PENDIENTES!$B$16&lt;&gt;"",_PENDIENTES!$E$16,"")</f>
        <v>14/01/2026</v>
      </c>
      <c r="F22" s="106" t="str">
        <f aca="false">IF(_PENDIENTES!$B$16&lt;&gt;"",_PENDIENTES!$F$16,"")</f>
        <v>PETROLEO</v>
      </c>
      <c r="G22" s="50" t="n">
        <f aca="false">IF(_PENDIENTES!$B$16&lt;&gt;"",_PENDIENTES!$G$16,"")</f>
        <v>6</v>
      </c>
      <c r="H22" s="50" t="n">
        <f aca="false">IF(_PENDIENTES!$B$16&lt;&gt;"",_PENDIENTES!$H$16,"")</f>
        <v>109.08</v>
      </c>
      <c r="I22" s="108" t="str">
        <f aca="false">IF(_PENDIENTES!$B$16&lt;&gt;"",_PENDIENTES!$I$16,"")</f>
        <v>CARRERA ARAUJO JEINER</v>
      </c>
      <c r="J22" s="50" t="str">
        <f aca="false">IF(_PENDIENTES!$B$16&lt;&gt;"",_PENDIENTES!$J$16,"")</f>
        <v>EUH747</v>
      </c>
      <c r="K22" s="106" t="str">
        <f aca="false">IF(_PENDIENTES!$B$16&lt;&gt;"","POR RECOGER","")</f>
        <v>POR RECOGER</v>
      </c>
      <c r="L22" s="107" t="n">
        <f aca="false">IF(_PENDIENTES!$B$16&lt;&gt;"",_PENDIENTES!$K$16,"")</f>
        <v>0</v>
      </c>
      <c r="M22" s="85" t="str">
        <f aca="false">IF(_PENDIENTES!$B$16&lt;&gt;"",_PENDIENTES!$B$16,"")</f>
        <v>POMACOCHAS</v>
      </c>
      <c r="N22" s="109" t="str">
        <f aca="false">IF(_PENDIENTES!$B$16&lt;&gt;"",_PENDIENTES!$L$16,"")</f>
        <v>POMACOCHAS</v>
      </c>
      <c r="O22" s="89"/>
      <c r="P22" s="89"/>
      <c r="Q22" s="89"/>
      <c r="R22" s="89"/>
      <c r="S22" s="89"/>
    </row>
    <row r="23" customFormat="false" ht="15.75" hidden="true" customHeight="true" outlineLevel="0" collapsed="false">
      <c r="A23" s="46" t="n">
        <f aca="false">IF(_PENDIENTES!$B$17&lt;&gt;"",16,"")</f>
        <v>16</v>
      </c>
      <c r="B23" s="41" t="str">
        <f aca="false">IF(_PENDIENTES!$B$17&lt;&gt;"",_PENDIENTES!$A$17,"")</f>
        <v>ENE</v>
      </c>
      <c r="C23" s="110" t="str">
        <f aca="false">IF(_PENDIENTES!$B$17&lt;&gt;"",_PENDIENTES!$C$17,"")</f>
        <v>CASTRO DE VARGAS JUSTINA</v>
      </c>
      <c r="D23" s="46" t="str">
        <f aca="false">IF(_PENDIENTES!$B$17&lt;&gt;"",_PENDIENTES!$D$17,"")</f>
        <v>33944106</v>
      </c>
      <c r="E23" s="112" t="str">
        <f aca="false">IF(_PENDIENTES!$B$17&lt;&gt;"",_PENDIENTES!$E$17,"")</f>
        <v>14/01/2026</v>
      </c>
      <c r="F23" s="46" t="str">
        <f aca="false">IF(_PENDIENTES!$B$17&lt;&gt;"",_PENDIENTES!$F$17,"")</f>
        <v>PETROLEO</v>
      </c>
      <c r="G23" s="44" t="n">
        <f aca="false">IF(_PENDIENTES!$B$17&lt;&gt;"",_PENDIENTES!$G$17,"")</f>
        <v>7</v>
      </c>
      <c r="H23" s="44" t="n">
        <f aca="false">IF(_PENDIENTES!$B$17&lt;&gt;"",_PENDIENTES!$H$17,"")</f>
        <v>141.75</v>
      </c>
      <c r="I23" s="113" t="str">
        <f aca="false">IF(_PENDIENTES!$B$17&lt;&gt;"",_PENDIENTES!$I$17,"")</f>
        <v>TRIGOSO TAFUR JOSE GILBER</v>
      </c>
      <c r="J23" s="44" t="str">
        <f aca="false">IF(_PENDIENTES!$B$17&lt;&gt;"",_PENDIENTES!$J$17,"")</f>
        <v>EUH 421</v>
      </c>
      <c r="K23" s="46" t="str">
        <f aca="false">IF(_PENDIENTES!$B$17&lt;&gt;"","POR RECOGER","")</f>
        <v>POR RECOGER</v>
      </c>
      <c r="L23" s="110" t="n">
        <f aca="false">IF(_PENDIENTES!$B$17&lt;&gt;"",_PENDIENTES!$K$17,"")</f>
        <v>0</v>
      </c>
      <c r="M23" s="85" t="str">
        <f aca="false">IF(_PENDIENTES!$B$17&lt;&gt;"",_PENDIENTES!$B$17,"")</f>
        <v>MARIA AUXILIADORA</v>
      </c>
      <c r="N23" s="109" t="str">
        <f aca="false">IF(_PENDIENTES!$B$17&lt;&gt;"",_PENDIENTES!$L$17,"")</f>
        <v>MARIA AUXILIADORA</v>
      </c>
      <c r="O23" s="89"/>
      <c r="P23" s="89"/>
      <c r="Q23" s="89"/>
      <c r="R23" s="89"/>
      <c r="S23" s="89"/>
    </row>
    <row r="24" customFormat="false" ht="15.75" hidden="true" customHeight="true" outlineLevel="0" collapsed="false">
      <c r="A24" s="106" t="n">
        <f aca="false">IF(_PENDIENTES!$B$18&lt;&gt;"",17,"")</f>
        <v>17</v>
      </c>
      <c r="B24" s="47" t="str">
        <f aca="false">IF(_PENDIENTES!$B$18&lt;&gt;"",_PENDIENTES!$A$18,"")</f>
        <v>ENE</v>
      </c>
      <c r="C24" s="107" t="str">
        <f aca="false">IF(_PENDIENTES!$B$18&lt;&gt;"",_PENDIENTES!$C$18,"")</f>
        <v>OBLITAS VASQUEZ YENNY</v>
      </c>
      <c r="D24" s="106" t="str">
        <f aca="false">IF(_PENDIENTES!$B$18&lt;&gt;"",_PENDIENTES!$D$18,"")</f>
        <v>77346512</v>
      </c>
      <c r="E24" s="111" t="str">
        <f aca="false">IF(_PENDIENTES!$B$18&lt;&gt;"",_PENDIENTES!$E$18,"")</f>
        <v>17/01/2026</v>
      </c>
      <c r="F24" s="106" t="str">
        <f aca="false">IF(_PENDIENTES!$B$18&lt;&gt;"",_PENDIENTES!$F$18,"")</f>
        <v>PETROLEO</v>
      </c>
      <c r="G24" s="50" t="n">
        <f aca="false">IF(_PENDIENTES!$B$18&lt;&gt;"",_PENDIENTES!$G$18,"")</f>
        <v>6</v>
      </c>
      <c r="H24" s="50" t="n">
        <f aca="false">IF(_PENDIENTES!$B$18&lt;&gt;"",_PENDIENTES!$H$18,"")</f>
        <v>109.08</v>
      </c>
      <c r="I24" s="108" t="str">
        <f aca="false">IF(_PENDIENTES!$B$18&lt;&gt;"",_PENDIENTES!$I$18,"")</f>
        <v>CARRERA ARAUJO JEINER</v>
      </c>
      <c r="J24" s="50" t="str">
        <f aca="false">IF(_PENDIENTES!$B$18&lt;&gt;"",_PENDIENTES!$J$18,"")</f>
        <v>EUH747</v>
      </c>
      <c r="K24" s="106" t="str">
        <f aca="false">IF(_PENDIENTES!$B$18&lt;&gt;"","POR RECOGER","")</f>
        <v>POR RECOGER</v>
      </c>
      <c r="L24" s="107" t="n">
        <f aca="false">IF(_PENDIENTES!$B$18&lt;&gt;"",_PENDIENTES!$K$18,"")</f>
        <v>0</v>
      </c>
      <c r="M24" s="85" t="str">
        <f aca="false">IF(_PENDIENTES!$B$18&lt;&gt;"",_PENDIENTES!$B$18,"")</f>
        <v>POMACOCHAS</v>
      </c>
      <c r="N24" s="109" t="str">
        <f aca="false">IF(_PENDIENTES!$B$18&lt;&gt;"",_PENDIENTES!$L$18,"")</f>
        <v>POMACOCHAS</v>
      </c>
      <c r="O24" s="89"/>
      <c r="P24" s="89"/>
      <c r="Q24" s="89"/>
      <c r="R24" s="89"/>
      <c r="S24" s="89"/>
    </row>
    <row r="25" customFormat="false" ht="15.75" hidden="true" customHeight="true" outlineLevel="0" collapsed="false">
      <c r="A25" s="46" t="n">
        <f aca="false">IF(_PENDIENTES!$B$19&lt;&gt;"",18,"")</f>
        <v>18</v>
      </c>
      <c r="B25" s="41" t="str">
        <f aca="false">IF(_PENDIENTES!$B$19&lt;&gt;"",_PENDIENTES!$A$19,"")</f>
        <v>ENE</v>
      </c>
      <c r="C25" s="110" t="str">
        <f aca="false">IF(_PENDIENTES!$B$19&lt;&gt;"",_PENDIENTES!$C$19,"")</f>
        <v>TAFUR SALDAÑA JUAN ALBERTO</v>
      </c>
      <c r="D25" s="46" t="str">
        <f aca="false">IF(_PENDIENTES!$B$19&lt;&gt;"",_PENDIENTES!$D$19,"")</f>
        <v>33941504</v>
      </c>
      <c r="E25" s="112" t="str">
        <f aca="false">IF(_PENDIENTES!$B$19&lt;&gt;"",_PENDIENTES!$E$19,"")</f>
        <v>17/01/2026</v>
      </c>
      <c r="F25" s="46" t="str">
        <f aca="false">IF(_PENDIENTES!$B$19&lt;&gt;"",_PENDIENTES!$F$19,"")</f>
        <v>PETROLEO</v>
      </c>
      <c r="G25" s="44" t="n">
        <f aca="false">IF(_PENDIENTES!$B$19&lt;&gt;"",_PENDIENTES!$G$19,"")</f>
        <v>7</v>
      </c>
      <c r="H25" s="44" t="n">
        <f aca="false">IF(_PENDIENTES!$B$19&lt;&gt;"",_PENDIENTES!$H$19,"")</f>
        <v>141.75</v>
      </c>
      <c r="I25" s="113" t="str">
        <f aca="false">IF(_PENDIENTES!$B$19&lt;&gt;"",_PENDIENTES!$I$19,"")</f>
        <v>TRIGOSO TAFUR JOSE GILBER</v>
      </c>
      <c r="J25" s="44" t="str">
        <f aca="false">IF(_PENDIENTES!$B$19&lt;&gt;"",_PENDIENTES!$J$19,"")</f>
        <v>EUH 421</v>
      </c>
      <c r="K25" s="46" t="str">
        <f aca="false">IF(_PENDIENTES!$B$19&lt;&gt;"","POR RECOGER","")</f>
        <v>POR RECOGER</v>
      </c>
      <c r="L25" s="110" t="n">
        <f aca="false">IF(_PENDIENTES!$B$19&lt;&gt;"",_PENDIENTES!$K$19,"")</f>
        <v>0</v>
      </c>
      <c r="M25" s="85" t="str">
        <f aca="false">IF(_PENDIENTES!$B$19&lt;&gt;"",_PENDIENTES!$B$19,"")</f>
        <v>MARIA AUXILIADORA</v>
      </c>
      <c r="N25" s="109" t="str">
        <f aca="false">IF(_PENDIENTES!$B$19&lt;&gt;"",_PENDIENTES!$L$19,"")</f>
        <v>MARIA AUXILIADORA</v>
      </c>
      <c r="O25" s="89"/>
      <c r="P25" s="89"/>
      <c r="Q25" s="89"/>
      <c r="R25" s="89"/>
      <c r="S25" s="89"/>
    </row>
    <row r="26" customFormat="false" ht="15.75" hidden="true" customHeight="true" outlineLevel="0" collapsed="false">
      <c r="A26" s="106" t="n">
        <f aca="false">IF(_PENDIENTES!$B$20&lt;&gt;"",19,"")</f>
        <v>19</v>
      </c>
      <c r="B26" s="47" t="str">
        <f aca="false">IF(_PENDIENTES!$B$20&lt;&gt;"",_PENDIENTES!$A$20,"")</f>
        <v>ENE</v>
      </c>
      <c r="C26" s="107" t="str">
        <f aca="false">IF(_PENDIENTES!$B$20&lt;&gt;"",_PENDIENTES!$C$20,"")</f>
        <v>LOPEZ VILCAROMERO MARIKELI</v>
      </c>
      <c r="D26" s="106" t="str">
        <f aca="false">IF(_PENDIENTES!$B$20&lt;&gt;"",_PENDIENTES!$D$20,"")</f>
        <v>60526420</v>
      </c>
      <c r="E26" s="111" t="str">
        <f aca="false">IF(_PENDIENTES!$B$20&lt;&gt;"",_PENDIENTES!$E$20,"")</f>
        <v>18/01/2026</v>
      </c>
      <c r="F26" s="106" t="str">
        <f aca="false">IF(_PENDIENTES!$B$20&lt;&gt;"",_PENDIENTES!$F$20,"")</f>
        <v>PETROLEO</v>
      </c>
      <c r="G26" s="50" t="n">
        <f aca="false">IF(_PENDIENTES!$B$20&lt;&gt;"",_PENDIENTES!$G$20,"")</f>
        <v>6</v>
      </c>
      <c r="H26" s="50" t="n">
        <f aca="false">IF(_PENDIENTES!$B$20&lt;&gt;"",_PENDIENTES!$H$20,"")</f>
        <v>121.5</v>
      </c>
      <c r="I26" s="108" t="str">
        <f aca="false">IF(_PENDIENTES!$B$20&lt;&gt;"",_PENDIENTES!$I$20,"")</f>
        <v>SERNAQUE PELAEZ WILMER</v>
      </c>
      <c r="J26" s="50" t="str">
        <f aca="false">IF(_PENDIENTES!$B$20&lt;&gt;"",_PENDIENTES!$J$20,"")</f>
        <v>EUH-421</v>
      </c>
      <c r="K26" s="106" t="str">
        <f aca="false">IF(_PENDIENTES!$B$20&lt;&gt;"","POR RECOGER","")</f>
        <v>POR RECOGER</v>
      </c>
      <c r="L26" s="107" t="n">
        <f aca="false">IF(_PENDIENTES!$B$20&lt;&gt;"",_PENDIENTES!$K$20,"")</f>
        <v>0</v>
      </c>
      <c r="M26" s="85" t="str">
        <f aca="false">IF(_PENDIENTES!$B$20&lt;&gt;"",_PENDIENTES!$B$20,"")</f>
        <v>MARIA AUXILIADORA</v>
      </c>
      <c r="N26" s="109" t="str">
        <f aca="false">IF(_PENDIENTES!$B$20&lt;&gt;"",_PENDIENTES!$L$20,"")</f>
        <v>MARIA AUXILIADORA</v>
      </c>
      <c r="O26" s="89"/>
      <c r="P26" s="89"/>
      <c r="Q26" s="89"/>
      <c r="R26" s="89"/>
      <c r="S26" s="89"/>
    </row>
    <row r="27" customFormat="false" ht="15.75" hidden="true" customHeight="true" outlineLevel="0" collapsed="false">
      <c r="A27" s="46" t="n">
        <f aca="false">IF(_PENDIENTES!$B$21&lt;&gt;"",20,"")</f>
        <v>20</v>
      </c>
      <c r="B27" s="41" t="str">
        <f aca="false">IF(_PENDIENTES!$B$21&lt;&gt;"",_PENDIENTES!$A$21,"")</f>
        <v>ENE</v>
      </c>
      <c r="C27" s="110" t="str">
        <f aca="false">IF(_PENDIENTES!$B$21&lt;&gt;"",_PENDIENTES!$C$21,"")</f>
        <v>CHAVEZ AREVALO FLORES MILA</v>
      </c>
      <c r="D27" s="46" t="str">
        <f aca="false">IF(_PENDIENTES!$B$21&lt;&gt;"",_PENDIENTES!$D$21,"")</f>
        <v>72686690</v>
      </c>
      <c r="E27" s="112" t="str">
        <f aca="false">IF(_PENDIENTES!$B$21&lt;&gt;"",_PENDIENTES!$E$21,"")</f>
        <v>19/01/2026</v>
      </c>
      <c r="F27" s="46" t="str">
        <f aca="false">IF(_PENDIENTES!$B$21&lt;&gt;"",_PENDIENTES!$F$21,"")</f>
        <v>PETROLEO</v>
      </c>
      <c r="G27" s="44" t="n">
        <f aca="false">IF(_PENDIENTES!$B$21&lt;&gt;"",_PENDIENTES!$G$21,"")</f>
        <v>5</v>
      </c>
      <c r="H27" s="44" t="n">
        <f aca="false">IF(_PENDIENTES!$B$21&lt;&gt;"",_PENDIENTES!$H$21,"")</f>
        <v>90.9</v>
      </c>
      <c r="I27" s="113" t="str">
        <f aca="false">IF(_PENDIENTES!$B$21&lt;&gt;"",_PENDIENTES!$I$21,"")</f>
        <v>VILCARROMERO TORREJON HERMERSON</v>
      </c>
      <c r="J27" s="44" t="str">
        <f aca="false">IF(_PENDIENTES!$B$21&lt;&gt;"",_PENDIENTES!$J$21,"")</f>
        <v>EUD-917</v>
      </c>
      <c r="K27" s="46" t="str">
        <f aca="false">IF(_PENDIENTES!$B$21&lt;&gt;"","POR RECOGER","")</f>
        <v>POR RECOGER</v>
      </c>
      <c r="L27" s="110" t="n">
        <f aca="false">IF(_PENDIENTES!$B$21&lt;&gt;"",_PENDIENTES!$K$21,"")</f>
        <v>0</v>
      </c>
      <c r="M27" s="85" t="str">
        <f aca="false">IF(_PENDIENTES!$B$21&lt;&gt;"",_PENDIENTES!$B$21,"")</f>
        <v>TINGO</v>
      </c>
      <c r="N27" s="109" t="str">
        <f aca="false">IF(_PENDIENTES!$B$21&lt;&gt;"",_PENDIENTES!$L$21,"")</f>
        <v>TINGO</v>
      </c>
      <c r="O27" s="89"/>
      <c r="P27" s="89"/>
      <c r="Q27" s="89"/>
      <c r="R27" s="89"/>
      <c r="S27" s="89"/>
    </row>
    <row r="28" customFormat="false" ht="15.75" hidden="true" customHeight="true" outlineLevel="0" collapsed="false">
      <c r="A28" s="106" t="n">
        <f aca="false">IF(_PENDIENTES!$B$22&lt;&gt;"",21,"")</f>
        <v>21</v>
      </c>
      <c r="B28" s="47" t="str">
        <f aca="false">IF(_PENDIENTES!$B$22&lt;&gt;"",_PENDIENTES!$A$22,"")</f>
        <v>ENE</v>
      </c>
      <c r="C28" s="107" t="str">
        <f aca="false">IF(_PENDIENTES!$B$22&lt;&gt;"",_PENDIENTES!$C$22,"")</f>
        <v>SANCHEZ REVILLA JHOSELI MANUELITA</v>
      </c>
      <c r="D28" s="106" t="str">
        <f aca="false">IF(_PENDIENTES!$B$22&lt;&gt;"",_PENDIENTES!$D$22,"")</f>
        <v>60035393</v>
      </c>
      <c r="E28" s="111" t="str">
        <f aca="false">IF(_PENDIENTES!$B$22&lt;&gt;"",_PENDIENTES!$E$22,"")</f>
        <v>19/01/2026</v>
      </c>
      <c r="F28" s="106" t="str">
        <f aca="false">IF(_PENDIENTES!$B$22&lt;&gt;"",_PENDIENTES!$F$22,"")</f>
        <v>PETROLEO</v>
      </c>
      <c r="G28" s="50" t="n">
        <f aca="false">IF(_PENDIENTES!$B$22&lt;&gt;"",_PENDIENTES!$G$22,"")</f>
        <v>7</v>
      </c>
      <c r="H28" s="50" t="n">
        <f aca="false">IF(_PENDIENTES!$B$22&lt;&gt;"",_PENDIENTES!$H$22,"")</f>
        <v>141.75</v>
      </c>
      <c r="I28" s="108" t="str">
        <f aca="false">IF(_PENDIENTES!$B$22&lt;&gt;"",_PENDIENTES!$I$22,"")</f>
        <v>TRIGOSO TAFUR JOSE GILBER</v>
      </c>
      <c r="J28" s="50" t="str">
        <f aca="false">IF(_PENDIENTES!$B$22&lt;&gt;"",_PENDIENTES!$J$22,"")</f>
        <v>EUH 421</v>
      </c>
      <c r="K28" s="106" t="str">
        <f aca="false">IF(_PENDIENTES!$B$22&lt;&gt;"","POR RECOGER","")</f>
        <v>POR RECOGER</v>
      </c>
      <c r="L28" s="107" t="n">
        <f aca="false">IF(_PENDIENTES!$B$22&lt;&gt;"",_PENDIENTES!$K$22,"")</f>
        <v>0</v>
      </c>
      <c r="M28" s="85" t="str">
        <f aca="false">IF(_PENDIENTES!$B$22&lt;&gt;"",_PENDIENTES!$B$22,"")</f>
        <v>MARIA AUXILIADORA</v>
      </c>
      <c r="N28" s="109" t="str">
        <f aca="false">IF(_PENDIENTES!$B$22&lt;&gt;"",_PENDIENTES!$L$22,"")</f>
        <v>MARIA AUXILIADORA</v>
      </c>
      <c r="O28" s="89"/>
      <c r="P28" s="89"/>
      <c r="Q28" s="89"/>
      <c r="R28" s="89"/>
      <c r="S28" s="89"/>
    </row>
    <row r="29" customFormat="false" ht="15.75" hidden="true" customHeight="true" outlineLevel="0" collapsed="false">
      <c r="A29" s="46" t="n">
        <f aca="false">IF(_PENDIENTES!$B$23&lt;&gt;"",22,"")</f>
        <v>22</v>
      </c>
      <c r="B29" s="41" t="str">
        <f aca="false">IF(_PENDIENTES!$B$23&lt;&gt;"",_PENDIENTES!$A$23,"")</f>
        <v>ENE</v>
      </c>
      <c r="C29" s="110" t="str">
        <f aca="false">IF(_PENDIENTES!$B$23&lt;&gt;"",_PENDIENTES!$C$23,"")</f>
        <v>SILVA TAFUR DEICY MADAY</v>
      </c>
      <c r="D29" s="46" t="str">
        <f aca="false">IF(_PENDIENTES!$B$23&lt;&gt;"",_PENDIENTES!$D$23,"")</f>
        <v>40662457</v>
      </c>
      <c r="E29" s="112" t="str">
        <f aca="false">IF(_PENDIENTES!$B$23&lt;&gt;"",_PENDIENTES!$E$23,"")</f>
        <v>20/01/2026</v>
      </c>
      <c r="F29" s="46" t="str">
        <f aca="false">IF(_PENDIENTES!$B$23&lt;&gt;"",_PENDIENTES!$F$23,"")</f>
        <v>PETROLEO</v>
      </c>
      <c r="G29" s="44" t="n">
        <f aca="false">IF(_PENDIENTES!$B$23&lt;&gt;"",_PENDIENTES!$G$23,"")</f>
        <v>5</v>
      </c>
      <c r="H29" s="44" t="n">
        <f aca="false">IF(_PENDIENTES!$B$23&lt;&gt;"",_PENDIENTES!$H$23,"")</f>
        <v>90.9</v>
      </c>
      <c r="I29" s="113" t="str">
        <f aca="false">IF(_PENDIENTES!$B$23&lt;&gt;"",_PENDIENTES!$I$23,"")</f>
        <v>VILCARROMERO TORREJON HERMERSON</v>
      </c>
      <c r="J29" s="44" t="str">
        <f aca="false">IF(_PENDIENTES!$B$23&lt;&gt;"",_PENDIENTES!$J$23,"")</f>
        <v>EUD-917</v>
      </c>
      <c r="K29" s="46" t="str">
        <f aca="false">IF(_PENDIENTES!$B$23&lt;&gt;"","POR RECOGER","")</f>
        <v>POR RECOGER</v>
      </c>
      <c r="L29" s="110" t="n">
        <f aca="false">IF(_PENDIENTES!$B$23&lt;&gt;"",_PENDIENTES!$K$23,"")</f>
        <v>0</v>
      </c>
      <c r="M29" s="85" t="str">
        <f aca="false">IF(_PENDIENTES!$B$23&lt;&gt;"",_PENDIENTES!$B$23,"")</f>
        <v>TINGO</v>
      </c>
      <c r="N29" s="109" t="str">
        <f aca="false">IF(_PENDIENTES!$B$23&lt;&gt;"",_PENDIENTES!$L$23,"")</f>
        <v>TINGO</v>
      </c>
      <c r="O29" s="89"/>
      <c r="P29" s="89"/>
      <c r="Q29" s="89"/>
      <c r="R29" s="89"/>
      <c r="S29" s="89"/>
    </row>
    <row r="30" customFormat="false" ht="15.75" hidden="true" customHeight="true" outlineLevel="0" collapsed="false">
      <c r="A30" s="106" t="n">
        <f aca="false">IF(_PENDIENTES!$B$24&lt;&gt;"",23,"")</f>
        <v>23</v>
      </c>
      <c r="B30" s="47" t="str">
        <f aca="false">IF(_PENDIENTES!$B$24&lt;&gt;"",_PENDIENTES!$A$24,"")</f>
        <v>ENE</v>
      </c>
      <c r="C30" s="107" t="str">
        <f aca="false">IF(_PENDIENTES!$B$24&lt;&gt;"",_PENDIENTES!$C$24,"")</f>
        <v>CRUZ CRUZ HILDA MERCEDES</v>
      </c>
      <c r="D30" s="106" t="str">
        <f aca="false">IF(_PENDIENTES!$B$24&lt;&gt;"",_PENDIENTES!$D$24,"")</f>
        <v>33420344</v>
      </c>
      <c r="E30" s="111" t="str">
        <f aca="false">IF(_PENDIENTES!$B$24&lt;&gt;"",_PENDIENTES!$E$24,"")</f>
        <v>20/01/2026</v>
      </c>
      <c r="F30" s="106" t="str">
        <f aca="false">IF(_PENDIENTES!$B$24&lt;&gt;"",_PENDIENTES!$F$24,"")</f>
        <v>PETROLEO</v>
      </c>
      <c r="G30" s="50" t="n">
        <f aca="false">IF(_PENDIENTES!$B$24&lt;&gt;"",_PENDIENTES!$G$24,"")</f>
        <v>5</v>
      </c>
      <c r="H30" s="50" t="n">
        <f aca="false">IF(_PENDIENTES!$B$24&lt;&gt;"",_PENDIENTES!$H$24,"")</f>
        <v>90.9</v>
      </c>
      <c r="I30" s="108" t="str">
        <f aca="false">IF(_PENDIENTES!$B$24&lt;&gt;"",_PENDIENTES!$I$24,"")</f>
        <v>VILCARROMERO TORREJON HERMERSON</v>
      </c>
      <c r="J30" s="50" t="str">
        <f aca="false">IF(_PENDIENTES!$B$24&lt;&gt;"",_PENDIENTES!$J$24,"")</f>
        <v>EUD-917</v>
      </c>
      <c r="K30" s="106" t="str">
        <f aca="false">IF(_PENDIENTES!$B$24&lt;&gt;"","POR RECOGER","")</f>
        <v>POR RECOGER</v>
      </c>
      <c r="L30" s="107" t="n">
        <f aca="false">IF(_PENDIENTES!$B$24&lt;&gt;"",_PENDIENTES!$K$24,"")</f>
        <v>0</v>
      </c>
      <c r="M30" s="85" t="str">
        <f aca="false">IF(_PENDIENTES!$B$24&lt;&gt;"",_PENDIENTES!$B$24,"")</f>
        <v>TINGO</v>
      </c>
      <c r="N30" s="109" t="str">
        <f aca="false">IF(_PENDIENTES!$B$24&lt;&gt;"",_PENDIENTES!$L$24,"")</f>
        <v>TINGO</v>
      </c>
      <c r="O30" s="89"/>
      <c r="P30" s="89"/>
      <c r="Q30" s="89"/>
      <c r="R30" s="89"/>
      <c r="S30" s="89"/>
    </row>
    <row r="31" customFormat="false" ht="15.75" hidden="true" customHeight="true" outlineLevel="0" collapsed="false">
      <c r="A31" s="46" t="n">
        <f aca="false">IF(_PENDIENTES!$B$25&lt;&gt;"",24,"")</f>
        <v>24</v>
      </c>
      <c r="B31" s="41" t="str">
        <f aca="false">IF(_PENDIENTES!$B$25&lt;&gt;"",_PENDIENTES!$A$25,"")</f>
        <v>ENE</v>
      </c>
      <c r="C31" s="110" t="str">
        <f aca="false">IF(_PENDIENTES!$B$25&lt;&gt;"",_PENDIENTES!$C$25,"")</f>
        <v>MUÑOZ BUSTAMANTE MARINA MELANIA</v>
      </c>
      <c r="D31" s="46" t="str">
        <f aca="false">IF(_PENDIENTES!$B$25&lt;&gt;"",_PENDIENTES!$D$25,"")</f>
        <v>47349553</v>
      </c>
      <c r="E31" s="112" t="str">
        <f aca="false">IF(_PENDIENTES!$B$25&lt;&gt;"",_PENDIENTES!$E$25,"")</f>
        <v>21/01/2026</v>
      </c>
      <c r="F31" s="46" t="str">
        <f aca="false">IF(_PENDIENTES!$B$25&lt;&gt;"",_PENDIENTES!$F$25,"")</f>
        <v>PETROLEO</v>
      </c>
      <c r="G31" s="44" t="n">
        <f aca="false">IF(_PENDIENTES!$B$25&lt;&gt;"",_PENDIENTES!$G$25,"")</f>
        <v>7</v>
      </c>
      <c r="H31" s="44" t="n">
        <f aca="false">IF(_PENDIENTES!$B$25&lt;&gt;"",_PENDIENTES!$H$25,"")</f>
        <v>141.75</v>
      </c>
      <c r="I31" s="113" t="str">
        <f aca="false">IF(_PENDIENTES!$B$25&lt;&gt;"",_PENDIENTES!$I$25,"")</f>
        <v>TRIGOSO TAFUR JOSE GILBER</v>
      </c>
      <c r="J31" s="44" t="str">
        <f aca="false">IF(_PENDIENTES!$B$25&lt;&gt;"",_PENDIENTES!$J$25,"")</f>
        <v>EUH 421</v>
      </c>
      <c r="K31" s="46" t="str">
        <f aca="false">IF(_PENDIENTES!$B$25&lt;&gt;"","POR RECOGER","")</f>
        <v>POR RECOGER</v>
      </c>
      <c r="L31" s="110" t="n">
        <f aca="false">IF(_PENDIENTES!$B$25&lt;&gt;"",_PENDIENTES!$K$25,"")</f>
        <v>0</v>
      </c>
      <c r="M31" s="85" t="str">
        <f aca="false">IF(_PENDIENTES!$B$25&lt;&gt;"",_PENDIENTES!$B$25,"")</f>
        <v>MARIA AUXILIADORA</v>
      </c>
      <c r="N31" s="109" t="str">
        <f aca="false">IF(_PENDIENTES!$B$25&lt;&gt;"",_PENDIENTES!$L$25,"")</f>
        <v>MARIA AUXILIADORA</v>
      </c>
      <c r="O31" s="89"/>
      <c r="P31" s="89"/>
      <c r="Q31" s="89"/>
      <c r="R31" s="89"/>
      <c r="S31" s="89"/>
    </row>
    <row r="32" customFormat="false" ht="15.75" hidden="true" customHeight="true" outlineLevel="0" collapsed="false">
      <c r="A32" s="106" t="n">
        <f aca="false">IF(_PENDIENTES!$B$26&lt;&gt;"",25,"")</f>
        <v>25</v>
      </c>
      <c r="B32" s="47" t="str">
        <f aca="false">IF(_PENDIENTES!$B$26&lt;&gt;"",_PENDIENTES!$A$26,"")</f>
        <v>ENE</v>
      </c>
      <c r="C32" s="107" t="str">
        <f aca="false">IF(_PENDIENTES!$B$26&lt;&gt;"",_PENDIENTES!$C$26,"")</f>
        <v>GOMEZ AQUINO CIELO IRAHY</v>
      </c>
      <c r="D32" s="106" t="str">
        <f aca="false">IF(_PENDIENTES!$B$26&lt;&gt;"",_PENDIENTES!$D$26,"")</f>
        <v>90953258</v>
      </c>
      <c r="E32" s="111" t="str">
        <f aca="false">IF(_PENDIENTES!$B$26&lt;&gt;"",_PENDIENTES!$E$26,"")</f>
        <v>21/01/2026</v>
      </c>
      <c r="F32" s="106" t="str">
        <f aca="false">IF(_PENDIENTES!$B$26&lt;&gt;"",_PENDIENTES!$F$26,"")</f>
        <v>PETROLEO</v>
      </c>
      <c r="G32" s="50" t="n">
        <f aca="false">IF(_PENDIENTES!$B$26&lt;&gt;"",_PENDIENTES!$G$26,"")</f>
        <v>6.55</v>
      </c>
      <c r="H32" s="50" t="n">
        <f aca="false">IF(_PENDIENTES!$B$26&lt;&gt;"",_PENDIENTES!$H$26,"")</f>
        <v>132.6375</v>
      </c>
      <c r="I32" s="108" t="str">
        <f aca="false">IF(_PENDIENTES!$B$26&lt;&gt;"",_PENDIENTES!$I$26,"")</f>
        <v>ROJAS ALVARADO BENJAMIN</v>
      </c>
      <c r="J32" s="50" t="str">
        <f aca="false">IF(_PENDIENTES!$B$26&lt;&gt;"",_PENDIENTES!$J$26,"")</f>
        <v>421 EUH</v>
      </c>
      <c r="K32" s="106" t="str">
        <f aca="false">IF(_PENDIENTES!$B$26&lt;&gt;"","POR RECOGER","")</f>
        <v>POR RECOGER</v>
      </c>
      <c r="L32" s="107" t="n">
        <f aca="false">IF(_PENDIENTES!$B$26&lt;&gt;"",_PENDIENTES!$K$26,"")</f>
        <v>0</v>
      </c>
      <c r="M32" s="85" t="str">
        <f aca="false">IF(_PENDIENTES!$B$26&lt;&gt;"",_PENDIENTES!$B$26,"")</f>
        <v>MARIA AUXILIADORA</v>
      </c>
      <c r="N32" s="109" t="str">
        <f aca="false">IF(_PENDIENTES!$B$26&lt;&gt;"",_PENDIENTES!$L$26,"")</f>
        <v>MARIA AUXILIADORA</v>
      </c>
      <c r="O32" s="89"/>
      <c r="P32" s="89"/>
      <c r="Q32" s="89"/>
      <c r="R32" s="89"/>
      <c r="S32" s="89"/>
    </row>
    <row r="33" customFormat="false" ht="15.75" hidden="true" customHeight="true" outlineLevel="0" collapsed="false">
      <c r="A33" s="46" t="n">
        <f aca="false">IF(_PENDIENTES!$B$27&lt;&gt;"",26,"")</f>
        <v>26</v>
      </c>
      <c r="B33" s="41" t="str">
        <f aca="false">IF(_PENDIENTES!$B$27&lt;&gt;"",_PENDIENTES!$A$27,"")</f>
        <v>ENE</v>
      </c>
      <c r="C33" s="110" t="str">
        <f aca="false">IF(_PENDIENTES!$B$27&lt;&gt;"",_PENDIENTES!$C$27,"")</f>
        <v>ROJAS SANCHEZ TEODOLIO</v>
      </c>
      <c r="D33" s="46" t="str">
        <f aca="false">IF(_PENDIENTES!$B$27&lt;&gt;"",_PENDIENTES!$D$27,"")</f>
        <v>33415767</v>
      </c>
      <c r="E33" s="112" t="str">
        <f aca="false">IF(_PENDIENTES!$B$27&lt;&gt;"",_PENDIENTES!$E$27,"")</f>
        <v>03/01/2026</v>
      </c>
      <c r="F33" s="46" t="str">
        <f aca="false">IF(_PENDIENTES!$B$27&lt;&gt;"",_PENDIENTES!$F$27,"")</f>
        <v>PETROLEO</v>
      </c>
      <c r="G33" s="44" t="n">
        <f aca="false">IF(_PENDIENTES!$B$27&lt;&gt;"",_PENDIENTES!$G$27,"")</f>
        <v>7</v>
      </c>
      <c r="H33" s="44" t="n">
        <f aca="false">IF(_PENDIENTES!$B$27&lt;&gt;"",_PENDIENTES!$H$27,"")</f>
        <v>127.26</v>
      </c>
      <c r="I33" s="113" t="str">
        <f aca="false">IF(_PENDIENTES!$B$27&lt;&gt;"",_PENDIENTES!$I$27,"")</f>
        <v>LEIVA LARA JUNIOR</v>
      </c>
      <c r="J33" s="44" t="str">
        <f aca="false">IF(_PENDIENTES!$B$27&lt;&gt;"",_PENDIENTES!$J$27,"")</f>
        <v>EUC 959</v>
      </c>
      <c r="K33" s="46" t="str">
        <f aca="false">IF(_PENDIENTES!$B$27&lt;&gt;"","POR RECOGER","")</f>
        <v>POR RECOGER</v>
      </c>
      <c r="L33" s="110" t="n">
        <f aca="false">IF(_PENDIENTES!$B$27&lt;&gt;"",_PENDIENTES!$K$27,"")</f>
        <v>0</v>
      </c>
      <c r="M33" s="85" t="str">
        <f aca="false">IF(_PENDIENTES!$B$27&lt;&gt;"",_PENDIENTES!$B$27,"")</f>
        <v>JALCA GRANDE</v>
      </c>
      <c r="N33" s="109" t="str">
        <f aca="false">IF(_PENDIENTES!$B$27&lt;&gt;"",_PENDIENTES!$L$27,"")</f>
        <v>JALCA GRANDE</v>
      </c>
      <c r="O33" s="89"/>
      <c r="P33" s="89"/>
      <c r="Q33" s="89"/>
      <c r="R33" s="89"/>
      <c r="S33" s="89"/>
    </row>
    <row r="34" customFormat="false" ht="15.75" hidden="true" customHeight="true" outlineLevel="0" collapsed="false">
      <c r="A34" s="106" t="n">
        <f aca="false">IF(_PENDIENTES!$B$28&lt;&gt;"",27,"")</f>
        <v>27</v>
      </c>
      <c r="B34" s="47" t="str">
        <f aca="false">IF(_PENDIENTES!$B$28&lt;&gt;"",_PENDIENTES!$A$28,"")</f>
        <v>ENE</v>
      </c>
      <c r="C34" s="107" t="str">
        <f aca="false">IF(_PENDIENTES!$B$28&lt;&gt;"",_PENDIENTES!$C$28,"")</f>
        <v>HUAMAN HUAMAN MARLENI</v>
      </c>
      <c r="D34" s="106" t="str">
        <f aca="false">IF(_PENDIENTES!$B$28&lt;&gt;"",_PENDIENTES!$D$28,"")</f>
        <v>43609007</v>
      </c>
      <c r="E34" s="111" t="str">
        <f aca="false">IF(_PENDIENTES!$B$28&lt;&gt;"",_PENDIENTES!$E$28,"")</f>
        <v>19/01/2026</v>
      </c>
      <c r="F34" s="106" t="str">
        <f aca="false">IF(_PENDIENTES!$B$28&lt;&gt;"",_PENDIENTES!$F$28,"")</f>
        <v>PETROLEO</v>
      </c>
      <c r="G34" s="50" t="n">
        <f aca="false">IF(_PENDIENTES!$B$28&lt;&gt;"",_PENDIENTES!$G$28,"")</f>
        <v>7</v>
      </c>
      <c r="H34" s="50" t="n">
        <f aca="false">IF(_PENDIENTES!$B$28&lt;&gt;"",_PENDIENTES!$H$28,"")</f>
        <v>127.26</v>
      </c>
      <c r="I34" s="108" t="str">
        <f aca="false">IF(_PENDIENTES!$B$28&lt;&gt;"",_PENDIENTES!$I$28,"")</f>
        <v>LEIVA LARA JUNIOR</v>
      </c>
      <c r="J34" s="50" t="str">
        <f aca="false">IF(_PENDIENTES!$B$28&lt;&gt;"",_PENDIENTES!$J$28,"")</f>
        <v>EUC 959</v>
      </c>
      <c r="K34" s="106" t="str">
        <f aca="false">IF(_PENDIENTES!$B$28&lt;&gt;"","POR RECOGER","")</f>
        <v>POR RECOGER</v>
      </c>
      <c r="L34" s="107" t="n">
        <f aca="false">IF(_PENDIENTES!$B$28&lt;&gt;"",_PENDIENTES!$K$28,"")</f>
        <v>0</v>
      </c>
      <c r="M34" s="85" t="str">
        <f aca="false">IF(_PENDIENTES!$B$28&lt;&gt;"",_PENDIENTES!$B$28,"")</f>
        <v>JALCA GRANDE</v>
      </c>
      <c r="N34" s="109" t="str">
        <f aca="false">IF(_PENDIENTES!$B$28&lt;&gt;"",_PENDIENTES!$L$28,"")</f>
        <v>JALCA GRANDE</v>
      </c>
      <c r="O34" s="89"/>
      <c r="P34" s="89"/>
      <c r="Q34" s="89"/>
      <c r="R34" s="89"/>
      <c r="S34" s="89"/>
    </row>
    <row r="35" customFormat="false" ht="15.75" hidden="true" customHeight="true" outlineLevel="0" collapsed="false">
      <c r="A35" s="46" t="n">
        <f aca="false">IF(_PENDIENTES!$B$29&lt;&gt;"",28,"")</f>
        <v>28</v>
      </c>
      <c r="B35" s="41" t="str">
        <f aca="false">IF(_PENDIENTES!$B$29&lt;&gt;"",_PENDIENTES!$A$29,"")</f>
        <v>ENE</v>
      </c>
      <c r="C35" s="110" t="str">
        <f aca="false">IF(_PENDIENTES!$B$29&lt;&gt;"",_PENDIENTES!$C$29,"")</f>
        <v>ZAGACETA RAMOS NICOLAS MARTIN</v>
      </c>
      <c r="D35" s="46" t="str">
        <f aca="false">IF(_PENDIENTES!$B$29&lt;&gt;"",_PENDIENTES!$D$29,"")</f>
        <v>80812524</v>
      </c>
      <c r="E35" s="112" t="str">
        <f aca="false">IF(_PENDIENTES!$B$29&lt;&gt;"",_PENDIENTES!$E$29,"")</f>
        <v>26/01/2025</v>
      </c>
      <c r="F35" s="46" t="str">
        <f aca="false">IF(_PENDIENTES!$B$29&lt;&gt;"",_PENDIENTES!$F$29,"")</f>
        <v>PETROLEO</v>
      </c>
      <c r="G35" s="44" t="n">
        <f aca="false">IF(_PENDIENTES!$B$29&lt;&gt;"",_PENDIENTES!$G$29,"")</f>
        <v>12</v>
      </c>
      <c r="H35" s="44" t="n">
        <f aca="false">IF(_PENDIENTES!$B$29&lt;&gt;"",_PENDIENTES!$H$29,"")</f>
        <v>218.16</v>
      </c>
      <c r="I35" s="113" t="str">
        <f aca="false">IF(_PENDIENTES!$B$29&lt;&gt;"",_PENDIENTES!$I$29,"")</f>
        <v>MACHUCA GARRIDO RIDER ALFONSO</v>
      </c>
      <c r="J35" s="44" t="str">
        <f aca="false">IF(_PENDIENTES!$B$29&lt;&gt;"",_PENDIENTES!$J$29,"")</f>
        <v>EUC 956</v>
      </c>
      <c r="K35" s="46" t="str">
        <f aca="false">IF(_PENDIENTES!$B$29&lt;&gt;"","POR RECOGER","")</f>
        <v>POR RECOGER</v>
      </c>
      <c r="L35" s="110" t="n">
        <f aca="false">IF(_PENDIENTES!$B$29&lt;&gt;"",_PENDIENTES!$K$29,"")</f>
        <v>0</v>
      </c>
      <c r="M35" s="85" t="str">
        <f aca="false">IF(_PENDIENTES!$B$29&lt;&gt;"",_PENDIENTES!$B$29,"")</f>
        <v>MARIA</v>
      </c>
      <c r="N35" s="109" t="str">
        <f aca="false">IF(_PENDIENTES!$B$29&lt;&gt;"",_PENDIENTES!$L$29,"")</f>
        <v>MARIA</v>
      </c>
      <c r="O35" s="89"/>
      <c r="P35" s="89"/>
      <c r="Q35" s="89"/>
      <c r="R35" s="89"/>
      <c r="S35" s="89"/>
    </row>
    <row r="36" customFormat="false" ht="15.75" hidden="true" customHeight="true" outlineLevel="0" collapsed="false">
      <c r="A36" s="106" t="n">
        <f aca="false">IF(_PENDIENTES!$B$30&lt;&gt;"",29,"")</f>
        <v>29</v>
      </c>
      <c r="B36" s="47" t="str">
        <f aca="false">IF(_PENDIENTES!$B$30&lt;&gt;"",_PENDIENTES!$A$30,"")</f>
        <v>ENE</v>
      </c>
      <c r="C36" s="107" t="str">
        <f aca="false">IF(_PENDIENTES!$B$30&lt;&gt;"",_PENDIENTES!$C$30,"")</f>
        <v>MAS MONTOYA ROSA VICTORIA</v>
      </c>
      <c r="D36" s="106" t="str">
        <f aca="false">IF(_PENDIENTES!$B$30&lt;&gt;"",_PENDIENTES!$D$30,"")</f>
        <v>33423243</v>
      </c>
      <c r="E36" s="111" t="str">
        <f aca="false">IF(_PENDIENTES!$B$30&lt;&gt;"",_PENDIENTES!$E$30,"")</f>
        <v>03/01/2026</v>
      </c>
      <c r="F36" s="106" t="str">
        <f aca="false">IF(_PENDIENTES!$B$30&lt;&gt;"",_PENDIENTES!$F$30,"")</f>
        <v>GASOLINA</v>
      </c>
      <c r="G36" s="50" t="n">
        <f aca="false">IF(_PENDIENTES!$B$30&lt;&gt;"",_PENDIENTES!$G$30,"")</f>
        <v>8</v>
      </c>
      <c r="H36" s="50" t="n">
        <f aca="false">IF(_PENDIENTES!$B$30&lt;&gt;"",_PENDIENTES!$H$30,"")</f>
        <v>143.6</v>
      </c>
      <c r="I36" s="108" t="str">
        <f aca="false">IF(_PENDIENTES!$B$30&lt;&gt;"",_PENDIENTES!$I$30,"")</f>
        <v>MAGNO CULQUIMBOS RUIZ</v>
      </c>
      <c r="J36" s="50" t="str">
        <f aca="false">IF(_PENDIENTES!$B$30&lt;&gt;"",_PENDIENTES!$J$30,"")</f>
        <v>EUE-469</v>
      </c>
      <c r="K36" s="106" t="str">
        <f aca="false">IF(_PENDIENTES!$B$30&lt;&gt;"","POR RECOGER","")</f>
        <v>POR RECOGER</v>
      </c>
      <c r="L36" s="107" t="n">
        <f aca="false">IF(_PENDIENTES!$B$30&lt;&gt;"",_PENDIENTES!$K$30,"")</f>
        <v>0</v>
      </c>
      <c r="M36" s="85" t="str">
        <f aca="false">IF(_PENDIENTES!$B$30&lt;&gt;"",_PENDIENTES!$B$30,"")</f>
        <v>MOLINOPAMPA</v>
      </c>
      <c r="N36" s="109" t="str">
        <f aca="false">IF(_PENDIENTES!$B$30&lt;&gt;"",_PENDIENTES!$L$30,"")</f>
        <v>MOLINOPAMPA</v>
      </c>
      <c r="O36" s="89"/>
      <c r="P36" s="89"/>
      <c r="Q36" s="89"/>
      <c r="R36" s="89"/>
      <c r="S36" s="89"/>
    </row>
    <row r="37" customFormat="false" ht="15.75" hidden="true" customHeight="true" outlineLevel="0" collapsed="false">
      <c r="A37" s="46" t="n">
        <f aca="false">IF(_PENDIENTES!$B$31&lt;&gt;"",30,"")</f>
        <v>30</v>
      </c>
      <c r="B37" s="41" t="str">
        <f aca="false">IF(_PENDIENTES!$B$31&lt;&gt;"",_PENDIENTES!$A$31,"")</f>
        <v>ENE</v>
      </c>
      <c r="C37" s="110" t="str">
        <f aca="false">IF(_PENDIENTES!$B$31&lt;&gt;"",_PENDIENTES!$C$31,"")</f>
        <v>CANLLA GEBOL CELIDONIA</v>
      </c>
      <c r="D37" s="46" t="str">
        <f aca="false">IF(_PENDIENTES!$B$31&lt;&gt;"",_PENDIENTES!$D$31,"")</f>
        <v>48797632</v>
      </c>
      <c r="E37" s="112" t="str">
        <f aca="false">IF(_PENDIENTES!$B$31&lt;&gt;"",_PENDIENTES!$E$31,"")</f>
        <v>07/01/2026</v>
      </c>
      <c r="F37" s="46" t="str">
        <f aca="false">IF(_PENDIENTES!$B$31&lt;&gt;"",_PENDIENTES!$F$31,"")</f>
        <v>GASOLINA</v>
      </c>
      <c r="G37" s="44" t="n">
        <f aca="false">IF(_PENDIENTES!$B$31&lt;&gt;"",_PENDIENTES!$G$31,"")</f>
        <v>8</v>
      </c>
      <c r="H37" s="44" t="n">
        <f aca="false">IF(_PENDIENTES!$B$31&lt;&gt;"",_PENDIENTES!$H$31,"")</f>
        <v>143.6</v>
      </c>
      <c r="I37" s="113" t="str">
        <f aca="false">IF(_PENDIENTES!$B$31&lt;&gt;"",_PENDIENTES!$I$31,"")</f>
        <v>MAGNO CULQUIMBOS RUIZ</v>
      </c>
      <c r="J37" s="44" t="str">
        <f aca="false">IF(_PENDIENTES!$B$31&lt;&gt;"",_PENDIENTES!$J$31,"")</f>
        <v>EUE-469</v>
      </c>
      <c r="K37" s="46" t="str">
        <f aca="false">IF(_PENDIENTES!$B$31&lt;&gt;"","POR RECOGER","")</f>
        <v>POR RECOGER</v>
      </c>
      <c r="L37" s="110" t="n">
        <f aca="false">IF(_PENDIENTES!$B$31&lt;&gt;"",_PENDIENTES!$K$31,"")</f>
        <v>0</v>
      </c>
      <c r="M37" s="85" t="str">
        <f aca="false">IF(_PENDIENTES!$B$31&lt;&gt;"",_PENDIENTES!$B$31,"")</f>
        <v>MOLINOPAMPA</v>
      </c>
      <c r="N37" s="109" t="str">
        <f aca="false">IF(_PENDIENTES!$B$31&lt;&gt;"",_PENDIENTES!$L$31,"")</f>
        <v>MOLINOPAMPA</v>
      </c>
      <c r="O37" s="89"/>
      <c r="P37" s="89"/>
      <c r="Q37" s="89"/>
      <c r="R37" s="89"/>
      <c r="S37" s="89"/>
    </row>
    <row r="38" customFormat="false" ht="15.75" hidden="true" customHeight="true" outlineLevel="0" collapsed="false">
      <c r="A38" s="106" t="n">
        <f aca="false">IF(_PENDIENTES!$B$32&lt;&gt;"",31,"")</f>
        <v>31</v>
      </c>
      <c r="B38" s="47" t="str">
        <f aca="false">IF(_PENDIENTES!$B$32&lt;&gt;"",_PENDIENTES!$A$32,"")</f>
        <v>ENE</v>
      </c>
      <c r="C38" s="107" t="str">
        <f aca="false">IF(_PENDIENTES!$B$32&lt;&gt;"",_PENDIENTES!$C$32,"")</f>
        <v>LOPEZ GUADALUPE NARDY FIORELA</v>
      </c>
      <c r="D38" s="106" t="str">
        <f aca="false">IF(_PENDIENTES!$B$32&lt;&gt;"",_PENDIENTES!$D$32,"")</f>
        <v>79521364</v>
      </c>
      <c r="E38" s="111" t="str">
        <f aca="false">IF(_PENDIENTES!$B$32&lt;&gt;"",_PENDIENTES!$E$32,"")</f>
        <v>13/01/2026</v>
      </c>
      <c r="F38" s="106" t="str">
        <f aca="false">IF(_PENDIENTES!$B$32&lt;&gt;"",_PENDIENTES!$F$32,"")</f>
        <v>PETROLEO</v>
      </c>
      <c r="G38" s="50" t="n">
        <f aca="false">IF(_PENDIENTES!$B$32&lt;&gt;"",_PENDIENTES!$G$32,"")</f>
        <v>20</v>
      </c>
      <c r="H38" s="50" t="n">
        <f aca="false">IF(_PENDIENTES!$B$32&lt;&gt;"",_PENDIENTES!$H$32,"")</f>
        <v>363.6</v>
      </c>
      <c r="I38" s="108" t="str">
        <f aca="false">IF(_PENDIENTES!$B$32&lt;&gt;"",_PENDIENTES!$I$32,"")</f>
        <v>SAUCEDO LOPEZ ELDIN NOLASCO</v>
      </c>
      <c r="J38" s="50" t="str">
        <f aca="false">IF(_PENDIENTES!$B$32&lt;&gt;"",_PENDIENTES!$J$32,"")</f>
        <v>EUH699</v>
      </c>
      <c r="K38" s="106" t="str">
        <f aca="false">IF(_PENDIENTES!$B$32&lt;&gt;"","POR RECOGER","")</f>
        <v>POR RECOGER</v>
      </c>
      <c r="L38" s="107" t="n">
        <f aca="false">IF(_PENDIENTES!$B$32&lt;&gt;"",_PENDIENTES!$K$32,"")</f>
        <v>0</v>
      </c>
      <c r="M38" s="85" t="str">
        <f aca="false">IF(_PENDIENTES!$B$32&lt;&gt;"",_PENDIENTES!$B$32,"")</f>
        <v>COLLONCE</v>
      </c>
      <c r="N38" s="109" t="str">
        <f aca="false">IF(_PENDIENTES!$B$32&lt;&gt;"",_PENDIENTES!$L$32,"")</f>
        <v>COLLONCE</v>
      </c>
      <c r="O38" s="89"/>
      <c r="P38" s="89"/>
      <c r="Q38" s="89"/>
      <c r="R38" s="89"/>
      <c r="S38" s="89"/>
    </row>
    <row r="39" customFormat="false" ht="15.75" hidden="true" customHeight="true" outlineLevel="0" collapsed="false">
      <c r="A39" s="46" t="n">
        <f aca="false">IF(_PENDIENTES!$B$33&lt;&gt;"",32,"")</f>
        <v>32</v>
      </c>
      <c r="B39" s="41" t="str">
        <f aca="false">IF(_PENDIENTES!$B$33&lt;&gt;"",_PENDIENTES!$A$33,"")</f>
        <v>ENE</v>
      </c>
      <c r="C39" s="110" t="str">
        <f aca="false">IF(_PENDIENTES!$B$33&lt;&gt;"",_PENDIENTES!$C$33,"")</f>
        <v>ROJAS VARGAS MARIA CARMEN</v>
      </c>
      <c r="D39" s="46" t="str">
        <f aca="false">IF(_PENDIENTES!$B$33&lt;&gt;"",_PENDIENTES!$D$33,"")</f>
        <v>47181498</v>
      </c>
      <c r="E39" s="112" t="str">
        <f aca="false">IF(_PENDIENTES!$B$33&lt;&gt;"",_PENDIENTES!$E$33,"")</f>
        <v>19/01/2026</v>
      </c>
      <c r="F39" s="46" t="str">
        <f aca="false">IF(_PENDIENTES!$B$33&lt;&gt;"",_PENDIENTES!$F$33,"")</f>
        <v>GASOLINA</v>
      </c>
      <c r="G39" s="44" t="n">
        <f aca="false">IF(_PENDIENTES!$B$33&lt;&gt;"",_PENDIENTES!$G$33,"")</f>
        <v>8</v>
      </c>
      <c r="H39" s="44" t="n">
        <f aca="false">IF(_PENDIENTES!$B$33&lt;&gt;"",_PENDIENTES!$H$33,"")</f>
        <v>143.6</v>
      </c>
      <c r="I39" s="113" t="str">
        <f aca="false">IF(_PENDIENTES!$B$33&lt;&gt;"",_PENDIENTES!$I$33,"")</f>
        <v>MAGNO CULQUIMBOS RUIZ</v>
      </c>
      <c r="J39" s="44" t="str">
        <f aca="false">IF(_PENDIENTES!$B$33&lt;&gt;"",_PENDIENTES!$J$33,"")</f>
        <v>EUE-469</v>
      </c>
      <c r="K39" s="46" t="str">
        <f aca="false">IF(_PENDIENTES!$B$33&lt;&gt;"","POR RECOGER","")</f>
        <v>POR RECOGER</v>
      </c>
      <c r="L39" s="110" t="n">
        <f aca="false">IF(_PENDIENTES!$B$33&lt;&gt;"",_PENDIENTES!$K$33,"")</f>
        <v>0</v>
      </c>
      <c r="M39" s="85" t="str">
        <f aca="false">IF(_PENDIENTES!$B$33&lt;&gt;"",_PENDIENTES!$B$33,"")</f>
        <v>MOLINOPAMPA</v>
      </c>
      <c r="N39" s="109" t="str">
        <f aca="false">IF(_PENDIENTES!$B$33&lt;&gt;"",_PENDIENTES!$L$33,"")</f>
        <v>MOLINOPAMPA</v>
      </c>
      <c r="O39" s="89"/>
      <c r="P39" s="89"/>
      <c r="Q39" s="89"/>
      <c r="R39" s="89"/>
      <c r="S39" s="89"/>
    </row>
    <row r="40" customFormat="false" ht="15.75" hidden="true" customHeight="true" outlineLevel="0" collapsed="false">
      <c r="A40" s="106" t="n">
        <f aca="false">IF(_PENDIENTES!$B$34&lt;&gt;"",33,"")</f>
        <v>33</v>
      </c>
      <c r="B40" s="47" t="str">
        <f aca="false">IF(_PENDIENTES!$B$34&lt;&gt;"",_PENDIENTES!$A$34,"")</f>
        <v>ENE</v>
      </c>
      <c r="C40" s="107" t="str">
        <f aca="false">IF(_PENDIENTES!$B$34&lt;&gt;"",_PENDIENTES!$C$34,"")</f>
        <v>IZQUERDO CORDOVA LUZ MERY</v>
      </c>
      <c r="D40" s="106" t="str">
        <f aca="false">IF(_PENDIENTES!$B$34&lt;&gt;"",_PENDIENTES!$D$34,"")</f>
        <v>46555340</v>
      </c>
      <c r="E40" s="111" t="str">
        <f aca="false">IF(_PENDIENTES!$B$34&lt;&gt;"",_PENDIENTES!$E$34,"")</f>
        <v>20/01/2026</v>
      </c>
      <c r="F40" s="106" t="str">
        <f aca="false">IF(_PENDIENTES!$B$34&lt;&gt;"",_PENDIENTES!$F$34,"")</f>
        <v>PETROLEO</v>
      </c>
      <c r="G40" s="50" t="n">
        <f aca="false">IF(_PENDIENTES!$B$34&lt;&gt;"",_PENDIENTES!$G$34,"")</f>
        <v>20</v>
      </c>
      <c r="H40" s="50" t="n">
        <f aca="false">IF(_PENDIENTES!$B$34&lt;&gt;"",_PENDIENTES!$H$34,"")</f>
        <v>363.6</v>
      </c>
      <c r="I40" s="108" t="str">
        <f aca="false">IF(_PENDIENTES!$B$34&lt;&gt;"",_PENDIENTES!$I$34,"")</f>
        <v>SAUCEDO LOPEZ ELDIN NOLASCO</v>
      </c>
      <c r="J40" s="50" t="str">
        <f aca="false">IF(_PENDIENTES!$B$34&lt;&gt;"",_PENDIENTES!$J$34,"")</f>
        <v>EUH699</v>
      </c>
      <c r="K40" s="106" t="str">
        <f aca="false">IF(_PENDIENTES!$B$34&lt;&gt;"","POR RECOGER","")</f>
        <v>POR RECOGER</v>
      </c>
      <c r="L40" s="107" t="str">
        <f aca="false">IF(_PENDIENTES!$B$34&lt;&gt;"",_PENDIENTES!$K$34,"")</f>
        <v>COLLONCE</v>
      </c>
      <c r="M40" s="85" t="str">
        <f aca="false">IF(_PENDIENTES!$B$34&lt;&gt;"",_PENDIENTES!$B$34,"")</f>
        <v>COLLONCE</v>
      </c>
      <c r="N40" s="109" t="str">
        <f aca="false">IF(_PENDIENTES!$B$34&lt;&gt;"",_PENDIENTES!$L$34,"")</f>
        <v>YAULICACHI</v>
      </c>
      <c r="O40" s="89"/>
      <c r="P40" s="89"/>
      <c r="Q40" s="89"/>
      <c r="R40" s="89"/>
      <c r="S40" s="89"/>
    </row>
    <row r="41" customFormat="false" ht="15.75" hidden="true" customHeight="true" outlineLevel="0" collapsed="false">
      <c r="A41" s="46" t="n">
        <f aca="false">IF(_PENDIENTES!$B$35&lt;&gt;"",34,"")</f>
        <v>34</v>
      </c>
      <c r="B41" s="41" t="str">
        <f aca="false">IF(_PENDIENTES!$B$35&lt;&gt;"",_PENDIENTES!$A$35,"")</f>
        <v>ENE</v>
      </c>
      <c r="C41" s="110" t="str">
        <f aca="false">IF(_PENDIENTES!$B$35&lt;&gt;"",_PENDIENTES!$C$35,"")</f>
        <v>CHAVEZ LLANOS MILAGRO JHUDITH</v>
      </c>
      <c r="D41" s="46" t="str">
        <f aca="false">IF(_PENDIENTES!$B$35&lt;&gt;"",_PENDIENTES!$D$35,"")</f>
        <v>78374986</v>
      </c>
      <c r="E41" s="112" t="str">
        <f aca="false">IF(_PENDIENTES!$B$35&lt;&gt;"",_PENDIENTES!$E$35,"")</f>
        <v>02/01/2026</v>
      </c>
      <c r="F41" s="46" t="str">
        <f aca="false">IF(_PENDIENTES!$B$35&lt;&gt;"",_PENDIENTES!$F$35,"")</f>
        <v>PETROLEO</v>
      </c>
      <c r="G41" s="44" t="n">
        <f aca="false">IF(_PENDIENTES!$B$35&lt;&gt;"",_PENDIENTES!$G$35,"")</f>
        <v>7.5</v>
      </c>
      <c r="H41" s="44" t="n">
        <f aca="false">IF(_PENDIENTES!$B$35&lt;&gt;"",_PENDIENTES!$H$35,"")</f>
        <v>136.35</v>
      </c>
      <c r="I41" s="113" t="str">
        <f aca="false">IF(_PENDIENTES!$B$35&lt;&gt;"",_PENDIENTES!$I$35,"")</f>
        <v>CHAVEZ MORI DIMAS</v>
      </c>
      <c r="J41" s="44" t="str">
        <f aca="false">IF(_PENDIENTES!$B$35&lt;&gt;"",_PENDIENTES!$J$35,"")</f>
        <v>EUH 636</v>
      </c>
      <c r="K41" s="46" t="str">
        <f aca="false">IF(_PENDIENTES!$B$35&lt;&gt;"","POR RECOGER","")</f>
        <v>POR RECOGER</v>
      </c>
      <c r="L41" s="110" t="n">
        <f aca="false">IF(_PENDIENTES!$B$35&lt;&gt;"",_PENDIENTES!$K$35,"")</f>
        <v>0</v>
      </c>
      <c r="M41" s="85" t="str">
        <f aca="false">IF(_PENDIENTES!$B$35&lt;&gt;"",_PENDIENTES!$B$35,"")</f>
        <v>LEYMEBAMBA</v>
      </c>
      <c r="N41" s="109" t="str">
        <f aca="false">IF(_PENDIENTES!$B$35&lt;&gt;"",_PENDIENTES!$L$35,"")</f>
        <v>LEYMEBAMBA</v>
      </c>
      <c r="O41" s="89"/>
      <c r="P41" s="89"/>
      <c r="Q41" s="89"/>
      <c r="R41" s="89"/>
      <c r="S41" s="89"/>
    </row>
    <row r="42" customFormat="false" ht="15.75" hidden="true" customHeight="true" outlineLevel="0" collapsed="false">
      <c r="A42" s="106" t="n">
        <f aca="false">IF(_PENDIENTES!$B$36&lt;&gt;"",35,"")</f>
        <v>35</v>
      </c>
      <c r="B42" s="47" t="str">
        <f aca="false">IF(_PENDIENTES!$B$36&lt;&gt;"",_PENDIENTES!$A$36,"")</f>
        <v>ENE</v>
      </c>
      <c r="C42" s="107" t="str">
        <f aca="false">IF(_PENDIENTES!$B$36&lt;&gt;"",_PENDIENTES!$C$36,"")</f>
        <v>ROJAS SILVA JOSE ALVINO</v>
      </c>
      <c r="D42" s="106" t="str">
        <f aca="false">IF(_PENDIENTES!$B$36&lt;&gt;"",_PENDIENTES!$D$36,"")</f>
        <v>33417523</v>
      </c>
      <c r="E42" s="111" t="str">
        <f aca="false">IF(_PENDIENTES!$B$36&lt;&gt;"",_PENDIENTES!$E$36,"")</f>
        <v>09/01/2026</v>
      </c>
      <c r="F42" s="106" t="str">
        <f aca="false">IF(_PENDIENTES!$B$36&lt;&gt;"",_PENDIENTES!$F$36,"")</f>
        <v>PETROLEO</v>
      </c>
      <c r="G42" s="50" t="n">
        <f aca="false">IF(_PENDIENTES!$B$36&lt;&gt;"",_PENDIENTES!$G$36,"")</f>
        <v>6</v>
      </c>
      <c r="H42" s="50" t="n">
        <f aca="false">IF(_PENDIENTES!$B$36&lt;&gt;"",_PENDIENTES!$H$36,"")</f>
        <v>109.08</v>
      </c>
      <c r="I42" s="108" t="str">
        <f aca="false">IF(_PENDIENTES!$B$36&lt;&gt;"",_PENDIENTES!$I$36,"")</f>
        <v>SALCEDO ZAGACETA FEDERICO</v>
      </c>
      <c r="J42" s="50" t="str">
        <f aca="false">IF(_PENDIENTES!$B$36&lt;&gt;"",_PENDIENTES!$J$36,"")</f>
        <v>EUH-636</v>
      </c>
      <c r="K42" s="106" t="str">
        <f aca="false">IF(_PENDIENTES!$B$36&lt;&gt;"","POR RECOGER","")</f>
        <v>POR RECOGER</v>
      </c>
      <c r="L42" s="107" t="n">
        <f aca="false">IF(_PENDIENTES!$B$36&lt;&gt;"",_PENDIENTES!$K$36,"")</f>
        <v>0</v>
      </c>
      <c r="M42" s="85" t="str">
        <f aca="false">IF(_PENDIENTES!$B$36&lt;&gt;"",_PENDIENTES!$B$36,"")</f>
        <v>LEYMEBAMBA</v>
      </c>
      <c r="N42" s="109" t="str">
        <f aca="false">IF(_PENDIENTES!$B$36&lt;&gt;"",_PENDIENTES!$L$36,"")</f>
        <v>LEYMEBAMBA</v>
      </c>
      <c r="O42" s="89"/>
      <c r="P42" s="89"/>
      <c r="Q42" s="89"/>
      <c r="R42" s="89"/>
      <c r="S42" s="89"/>
    </row>
    <row r="43" customFormat="false" ht="15.75" hidden="true" customHeight="true" outlineLevel="0" collapsed="false">
      <c r="A43" s="46" t="n">
        <f aca="false">IF(_PENDIENTES!$B$37&lt;&gt;"",36,"")</f>
        <v>36</v>
      </c>
      <c r="B43" s="41" t="str">
        <f aca="false">IF(_PENDIENTES!$B$37&lt;&gt;"",_PENDIENTES!$A$37,"")</f>
        <v>ENE</v>
      </c>
      <c r="C43" s="110" t="str">
        <f aca="false">IF(_PENDIENTES!$B$37&lt;&gt;"",_PENDIENTES!$C$37,"")</f>
        <v>HERAS TRAUCO MAYRITH ELIZABETH</v>
      </c>
      <c r="D43" s="46" t="str">
        <f aca="false">IF(_PENDIENTES!$B$37&lt;&gt;"",_PENDIENTES!$D$37,"")</f>
        <v>75528172</v>
      </c>
      <c r="E43" s="112" t="str">
        <f aca="false">IF(_PENDIENTES!$B$37&lt;&gt;"",_PENDIENTES!$E$37,"")</f>
        <v>19/01/2026</v>
      </c>
      <c r="F43" s="46" t="str">
        <f aca="false">IF(_PENDIENTES!$B$37&lt;&gt;"",_PENDIENTES!$F$37,"")</f>
        <v>PETROLEO</v>
      </c>
      <c r="G43" s="44" t="n">
        <f aca="false">IF(_PENDIENTES!$B$37&lt;&gt;"",_PENDIENTES!$G$37,"")</f>
        <v>7.5</v>
      </c>
      <c r="H43" s="44" t="n">
        <f aca="false">IF(_PENDIENTES!$B$37&lt;&gt;"",_PENDIENTES!$H$37,"")</f>
        <v>136.35</v>
      </c>
      <c r="I43" s="113" t="str">
        <f aca="false">IF(_PENDIENTES!$B$37&lt;&gt;"",_PENDIENTES!$I$37,"")</f>
        <v>SALCEDO ZAGACETA FEDERICO</v>
      </c>
      <c r="J43" s="44" t="str">
        <f aca="false">IF(_PENDIENTES!$B$37&lt;&gt;"",_PENDIENTES!$J$37,"")</f>
        <v>EUH-636</v>
      </c>
      <c r="K43" s="46" t="str">
        <f aca="false">IF(_PENDIENTES!$B$37&lt;&gt;"","POR RECOGER","")</f>
        <v>POR RECOGER</v>
      </c>
      <c r="L43" s="110" t="n">
        <f aca="false">IF(_PENDIENTES!$B$37&lt;&gt;"",_PENDIENTES!$K$37,"")</f>
        <v>0</v>
      </c>
      <c r="M43" s="85" t="str">
        <f aca="false">IF(_PENDIENTES!$B$37&lt;&gt;"",_PENDIENTES!$B$37,"")</f>
        <v>LEYMEBAMBA</v>
      </c>
      <c r="N43" s="109" t="str">
        <f aca="false">IF(_PENDIENTES!$B$37&lt;&gt;"",_PENDIENTES!$L$37,"")</f>
        <v>LEYMEBAMBA</v>
      </c>
      <c r="O43" s="89"/>
      <c r="P43" s="89"/>
      <c r="Q43" s="89"/>
      <c r="R43" s="89"/>
      <c r="S43" s="89"/>
    </row>
    <row r="44" customFormat="false" ht="15.75" hidden="true" customHeight="true" outlineLevel="0" collapsed="false">
      <c r="A44" s="106" t="n">
        <f aca="false">IF(_PENDIENTES!$B$38&lt;&gt;"",37,"")</f>
        <v>37</v>
      </c>
      <c r="B44" s="47" t="str">
        <f aca="false">IF(_PENDIENTES!$B$38&lt;&gt;"",_PENDIENTES!$A$38,"")</f>
        <v>ENE</v>
      </c>
      <c r="C44" s="107" t="str">
        <f aca="false">IF(_PENDIENTES!$B$38&lt;&gt;"",_PENDIENTES!$C$38,"")</f>
        <v>OLASCUAGA ALVA GILVER</v>
      </c>
      <c r="D44" s="106" t="str">
        <f aca="false">IF(_PENDIENTES!$B$38&lt;&gt;"",_PENDIENTES!$D$38,"")</f>
        <v>33813117</v>
      </c>
      <c r="E44" s="111" t="str">
        <f aca="false">IF(_PENDIENTES!$B$38&lt;&gt;"",_PENDIENTES!$E$38,"")</f>
        <v>23/01/2026</v>
      </c>
      <c r="F44" s="106" t="str">
        <f aca="false">IF(_PENDIENTES!$B$38&lt;&gt;"",_PENDIENTES!$F$38,"")</f>
        <v>PETROLEO</v>
      </c>
      <c r="G44" s="50" t="n">
        <f aca="false">IF(_PENDIENTES!$B$38&lt;&gt;"",_PENDIENTES!$G$38,"")</f>
        <v>20</v>
      </c>
      <c r="H44" s="50" t="n">
        <f aca="false">IF(_PENDIENTES!$B$38&lt;&gt;"",_PENDIENTES!$H$38,"")</f>
        <v>363.6</v>
      </c>
      <c r="I44" s="108" t="str">
        <f aca="false">IF(_PENDIENTES!$B$38&lt;&gt;"",_PENDIENTES!$I$38,"")</f>
        <v>SAUCEDO LOPEZ ELDIN NOLASCO</v>
      </c>
      <c r="J44" s="50" t="str">
        <f aca="false">IF(_PENDIENTES!$B$38&lt;&gt;"",_PENDIENTES!$J$38,"")</f>
        <v>EUH699</v>
      </c>
      <c r="K44" s="106" t="str">
        <f aca="false">IF(_PENDIENTES!$B$38&lt;&gt;"","POR RECOGER","")</f>
        <v>POR RECOGER</v>
      </c>
      <c r="L44" s="107" t="str">
        <f aca="false">IF(_PENDIENTES!$B$38&lt;&gt;"",_PENDIENTES!$K$38,"")</f>
        <v>COLLONCE</v>
      </c>
      <c r="M44" s="85" t="str">
        <f aca="false">IF(_PENDIENTES!$B$38&lt;&gt;"",_PENDIENTES!$B$38,"")</f>
        <v>COLLONCE</v>
      </c>
      <c r="N44" s="109" t="str">
        <f aca="false">IF(_PENDIENTES!$B$38&lt;&gt;"",_PENDIENTES!$L$38,"")</f>
        <v>SAN JUAN DE OCUMAL</v>
      </c>
      <c r="O44" s="89"/>
      <c r="P44" s="89"/>
      <c r="Q44" s="89"/>
      <c r="R44" s="89"/>
      <c r="S44" s="89"/>
    </row>
    <row r="45" customFormat="false" ht="15.75" hidden="true" customHeight="true" outlineLevel="0" collapsed="false">
      <c r="A45" s="46" t="n">
        <f aca="false">IF(_PENDIENTES!$B$39&lt;&gt;"",38,"")</f>
        <v>38</v>
      </c>
      <c r="B45" s="41" t="str">
        <f aca="false">IF(_PENDIENTES!$B$39&lt;&gt;"",_PENDIENTES!$A$39,"")</f>
        <v>ENE</v>
      </c>
      <c r="C45" s="110" t="str">
        <f aca="false">IF(_PENDIENTES!$B$39&lt;&gt;"",_PENDIENTES!$C$39,"")</f>
        <v>LOPEZ CHAVEZ MARIA</v>
      </c>
      <c r="D45" s="46" t="str">
        <f aca="false">IF(_PENDIENTES!$B$39&lt;&gt;"",_PENDIENTES!$D$39,"")</f>
        <v>46555340</v>
      </c>
      <c r="E45" s="112" t="str">
        <f aca="false">IF(_PENDIENTES!$B$39&lt;&gt;"",_PENDIENTES!$E$39,"")</f>
        <v>26/01/2026</v>
      </c>
      <c r="F45" s="46" t="str">
        <f aca="false">IF(_PENDIENTES!$B$39&lt;&gt;"",_PENDIENTES!$F$39,"")</f>
        <v>PETROLEO</v>
      </c>
      <c r="G45" s="44" t="n">
        <f aca="false">IF(_PENDIENTES!$B$39&lt;&gt;"",_PENDIENTES!$G$39,"")</f>
        <v>20</v>
      </c>
      <c r="H45" s="44" t="n">
        <f aca="false">IF(_PENDIENTES!$B$39&lt;&gt;"",_PENDIENTES!$H$39,"")</f>
        <v>363.6</v>
      </c>
      <c r="I45" s="113" t="str">
        <f aca="false">IF(_PENDIENTES!$B$39&lt;&gt;"",_PENDIENTES!$I$39,"")</f>
        <v>SAUCEDO LOPEZ ELDIN NOLASCO</v>
      </c>
      <c r="J45" s="44" t="str">
        <f aca="false">IF(_PENDIENTES!$B$39&lt;&gt;"",_PENDIENTES!$J$39,"")</f>
        <v>EUH699</v>
      </c>
      <c r="K45" s="46" t="str">
        <f aca="false">IF(_PENDIENTES!$B$39&lt;&gt;"","POR RECOGER","")</f>
        <v>POR RECOGER</v>
      </c>
      <c r="L45" s="110" t="str">
        <f aca="false">IF(_PENDIENTES!$B$39&lt;&gt;"",_PENDIENTES!$K$39,"")</f>
        <v>COLLONCE</v>
      </c>
      <c r="M45" s="85" t="str">
        <f aca="false">IF(_PENDIENTES!$B$39&lt;&gt;"",_PENDIENTES!$B$39,"")</f>
        <v>COLLONCE</v>
      </c>
      <c r="N45" s="109" t="str">
        <f aca="false">IF(_PENDIENTES!$B$39&lt;&gt;"",_PENDIENTES!$L$39,"")</f>
        <v>YAULICACHI</v>
      </c>
      <c r="O45" s="89"/>
      <c r="P45" s="89"/>
      <c r="Q45" s="89"/>
      <c r="R45" s="89"/>
      <c r="S45" s="89"/>
    </row>
    <row r="46" customFormat="false" ht="15.75" hidden="true" customHeight="true" outlineLevel="0" collapsed="false">
      <c r="A46" s="106" t="n">
        <f aca="false">IF(_PENDIENTES!$B$40&lt;&gt;"",39,"")</f>
        <v>39</v>
      </c>
      <c r="B46" s="47" t="str">
        <f aca="false">IF(_PENDIENTES!$B$40&lt;&gt;"",_PENDIENTES!$A$40,"")</f>
        <v>ENE</v>
      </c>
      <c r="C46" s="107" t="str">
        <f aca="false">IF(_PENDIENTES!$B$40&lt;&gt;"",_PENDIENTES!$C$40,"")</f>
        <v>SOPLIN CRUZ ITALA</v>
      </c>
      <c r="D46" s="106" t="str">
        <f aca="false">IF(_PENDIENTES!$B$40&lt;&gt;"",_PENDIENTES!$D$40,"")</f>
        <v>46091617</v>
      </c>
      <c r="E46" s="111" t="str">
        <f aca="false">IF(_PENDIENTES!$B$40&lt;&gt;"",_PENDIENTES!$E$40,"")</f>
        <v>12/01/2026</v>
      </c>
      <c r="F46" s="106" t="str">
        <f aca="false">IF(_PENDIENTES!$B$40&lt;&gt;"",_PENDIENTES!$F$40,"")</f>
        <v>PETROLEO</v>
      </c>
      <c r="G46" s="50" t="n">
        <f aca="false">IF(_PENDIENTES!$B$40&lt;&gt;"",_PENDIENTES!$G$40,"")</f>
        <v>5</v>
      </c>
      <c r="H46" s="50" t="n">
        <f aca="false">IF(_PENDIENTES!$B$40&lt;&gt;"",_PENDIENTES!$H$40,"")</f>
        <v>90.9</v>
      </c>
      <c r="I46" s="108" t="str">
        <f aca="false">IF(_PENDIENTES!$B$40&lt;&gt;"",_PENDIENTES!$I$40,"")</f>
        <v>VILCARROMERO TORREJON HERMERSON</v>
      </c>
      <c r="J46" s="50" t="str">
        <f aca="false">IF(_PENDIENTES!$B$40&lt;&gt;"",_PENDIENTES!$J$40,"")</f>
        <v>EUD-917</v>
      </c>
      <c r="K46" s="106" t="str">
        <f aca="false">IF(_PENDIENTES!$B$40&lt;&gt;"","POR RECOGER","")</f>
        <v>POR RECOGER</v>
      </c>
      <c r="L46" s="107" t="n">
        <f aca="false">IF(_PENDIENTES!$B$40&lt;&gt;"",_PENDIENTES!$K$40,"")</f>
        <v>0</v>
      </c>
      <c r="M46" s="85" t="str">
        <f aca="false">IF(_PENDIENTES!$B$40&lt;&gt;"",_PENDIENTES!$B$40,"")</f>
        <v>TINGO</v>
      </c>
      <c r="N46" s="109" t="str">
        <f aca="false">IF(_PENDIENTES!$B$40&lt;&gt;"",_PENDIENTES!$L$40,"")</f>
        <v>TINGO</v>
      </c>
      <c r="O46" s="89"/>
      <c r="P46" s="89"/>
      <c r="Q46" s="89"/>
      <c r="R46" s="89"/>
      <c r="S46" s="89"/>
    </row>
    <row r="47" customFormat="false" ht="15.75" hidden="true" customHeight="true" outlineLevel="0" collapsed="false">
      <c r="A47" s="46" t="n">
        <f aca="false">IF(_PENDIENTES!$B$41&lt;&gt;"",40,"")</f>
        <v>40</v>
      </c>
      <c r="B47" s="41" t="str">
        <f aca="false">IF(_PENDIENTES!$B$41&lt;&gt;"",_PENDIENTES!$A$41,"")</f>
        <v>ENE</v>
      </c>
      <c r="C47" s="110" t="str">
        <f aca="false">IF(_PENDIENTES!$B$41&lt;&gt;"",_PENDIENTES!$C$41,"")</f>
        <v>REVILLA CASTREJO ROSA</v>
      </c>
      <c r="D47" s="46" t="str">
        <f aca="false">IF(_PENDIENTES!$B$41&lt;&gt;"",_PENDIENTES!$D$41,"")</f>
        <v>72926269</v>
      </c>
      <c r="E47" s="112" t="str">
        <f aca="false">IF(_PENDIENTES!$B$41&lt;&gt;"",_PENDIENTES!$E$41,"")</f>
        <v>24/01/2026</v>
      </c>
      <c r="F47" s="46" t="str">
        <f aca="false">IF(_PENDIENTES!$B$41&lt;&gt;"",_PENDIENTES!$F$41,"")</f>
        <v>PETROLEO</v>
      </c>
      <c r="G47" s="44" t="n">
        <f aca="false">IF(_PENDIENTES!$B$41&lt;&gt;"",_PENDIENTES!$G$41,"")</f>
        <v>5</v>
      </c>
      <c r="H47" s="44" t="n">
        <f aca="false">IF(_PENDIENTES!$B$41&lt;&gt;"",_PENDIENTES!$H$41,"")</f>
        <v>90.9</v>
      </c>
      <c r="I47" s="113" t="str">
        <f aca="false">IF(_PENDIENTES!$B$41&lt;&gt;"",_PENDIENTES!$I$41,"")</f>
        <v>VILCARROMERO TORREJON HERMERSON</v>
      </c>
      <c r="J47" s="44" t="str">
        <f aca="false">IF(_PENDIENTES!$B$41&lt;&gt;"",_PENDIENTES!$J$41,"")</f>
        <v>EUD-917</v>
      </c>
      <c r="K47" s="46" t="str">
        <f aca="false">IF(_PENDIENTES!$B$41&lt;&gt;"","POR RECOGER","")</f>
        <v>POR RECOGER</v>
      </c>
      <c r="L47" s="110" t="n">
        <f aca="false">IF(_PENDIENTES!$B$41&lt;&gt;"",_PENDIENTES!$K$41,"")</f>
        <v>0</v>
      </c>
      <c r="M47" s="85" t="str">
        <f aca="false">IF(_PENDIENTES!$B$41&lt;&gt;"",_PENDIENTES!$B$41,"")</f>
        <v>TINGO</v>
      </c>
      <c r="N47" s="109" t="str">
        <f aca="false">IF(_PENDIENTES!$B$41&lt;&gt;"",_PENDIENTES!$L$41,"")</f>
        <v>TINGO</v>
      </c>
      <c r="O47" s="89"/>
      <c r="P47" s="89"/>
      <c r="Q47" s="89"/>
      <c r="R47" s="89"/>
      <c r="S47" s="89"/>
    </row>
    <row r="48" customFormat="false" ht="15.75" hidden="true" customHeight="true" outlineLevel="0" collapsed="false">
      <c r="A48" s="106" t="n">
        <f aca="false">IF(_PENDIENTES!$B$42&lt;&gt;"",41,"")</f>
        <v>41</v>
      </c>
      <c r="B48" s="47" t="str">
        <f aca="false">IF(_PENDIENTES!$B$42&lt;&gt;"",_PENDIENTES!$A$42,"")</f>
        <v>ENE</v>
      </c>
      <c r="C48" s="107" t="str">
        <f aca="false">IF(_PENDIENTES!$B$42&lt;&gt;"",_PENDIENTES!$C$42,"")</f>
        <v>SUCASACA GOMEZ MILAGROS SOFIA</v>
      </c>
      <c r="D48" s="106" t="str">
        <f aca="false">IF(_PENDIENTES!$B$42&lt;&gt;"",_PENDIENTES!$D$42,"")</f>
        <v>77664061</v>
      </c>
      <c r="E48" s="111" t="str">
        <f aca="false">IF(_PENDIENTES!$B$42&lt;&gt;"",_PENDIENTES!$E$42,"")</f>
        <v>04/01/2026</v>
      </c>
      <c r="F48" s="106" t="str">
        <f aca="false">IF(_PENDIENTES!$B$42&lt;&gt;"",_PENDIENTES!$F$42,"")</f>
        <v>PETROLEO</v>
      </c>
      <c r="G48" s="50" t="n">
        <f aca="false">IF(_PENDIENTES!$B$42&lt;&gt;"",_PENDIENTES!$G$42,"")</f>
        <v>4</v>
      </c>
      <c r="H48" s="50" t="n">
        <f aca="false">IF(_PENDIENTES!$B$42&lt;&gt;"",_PENDIENTES!$H$42,"")</f>
        <v>72.72</v>
      </c>
      <c r="I48" s="108" t="str">
        <f aca="false">IF(_PENDIENTES!$B$42&lt;&gt;"",_PENDIENTES!$I$42,"")</f>
        <v>DANIEL ZELADA TRUJILLO</v>
      </c>
      <c r="J48" s="50" t="str">
        <f aca="false">IF(_PENDIENTES!$B$42&lt;&gt;"",_PENDIENTES!$J$42,"")</f>
        <v>EUA-963</v>
      </c>
      <c r="K48" s="106" t="str">
        <f aca="false">IF(_PENDIENTES!$B$42&lt;&gt;"","POR RECOGER","")</f>
        <v>POR RECOGER</v>
      </c>
      <c r="L48" s="107" t="n">
        <f aca="false">IF(_PENDIENTES!$B$42&lt;&gt;"",_PENDIENTES!$K$42,"")</f>
        <v>0</v>
      </c>
      <c r="M48" s="85" t="str">
        <f aca="false">IF(_PENDIENTES!$B$42&lt;&gt;"",_PENDIENTES!$B$42,"")</f>
        <v>LAMUD</v>
      </c>
      <c r="N48" s="109" t="str">
        <f aca="false">IF(_PENDIENTES!$B$42&lt;&gt;"",_PENDIENTES!$L$42,"")</f>
        <v>LAMUD</v>
      </c>
      <c r="O48" s="89"/>
      <c r="P48" s="89"/>
      <c r="Q48" s="89"/>
      <c r="R48" s="89"/>
      <c r="S48" s="89"/>
    </row>
    <row r="49" customFormat="false" ht="15.75" hidden="true" customHeight="true" outlineLevel="0" collapsed="false">
      <c r="A49" s="46" t="n">
        <f aca="false">IF(_PENDIENTES!$B$43&lt;&gt;"",42,"")</f>
        <v>42</v>
      </c>
      <c r="B49" s="41" t="str">
        <f aca="false">IF(_PENDIENTES!$B$43&lt;&gt;"",_PENDIENTES!$A$43,"")</f>
        <v>ENE</v>
      </c>
      <c r="C49" s="110" t="str">
        <f aca="false">IF(_PENDIENTES!$B$43&lt;&gt;"",_PENDIENTES!$C$43,"")</f>
        <v>CULQUI LOPEZHAYA EMILIO</v>
      </c>
      <c r="D49" s="46" t="str">
        <f aca="false">IF(_PENDIENTES!$B$43&lt;&gt;"",_PENDIENTES!$D$43,"")</f>
        <v>33729630</v>
      </c>
      <c r="E49" s="112" t="str">
        <f aca="false">IF(_PENDIENTES!$B$43&lt;&gt;"",_PENDIENTES!$E$43,"")</f>
        <v>02/01/2026</v>
      </c>
      <c r="F49" s="46" t="str">
        <f aca="false">IF(_PENDIENTES!$B$43&lt;&gt;"",_PENDIENTES!$F$43,"")</f>
        <v>PETROLEO</v>
      </c>
      <c r="G49" s="44" t="n">
        <f aca="false">IF(_PENDIENTES!$B$43&lt;&gt;"",_PENDIENTES!$G$43,"")</f>
        <v>5</v>
      </c>
      <c r="H49" s="44" t="n">
        <f aca="false">IF(_PENDIENTES!$B$43&lt;&gt;"",_PENDIENTES!$H$43,"")</f>
        <v>90.9</v>
      </c>
      <c r="I49" s="113" t="str">
        <f aca="false">IF(_PENDIENTES!$B$43&lt;&gt;"",_PENDIENTES!$I$43,"")</f>
        <v>RIOS CHAVEZ WUILQUE</v>
      </c>
      <c r="J49" s="44" t="str">
        <f aca="false">IF(_PENDIENTES!$B$43&lt;&gt;"",_PENDIENTES!$J$43,"")</f>
        <v>EUD360</v>
      </c>
      <c r="K49" s="46" t="str">
        <f aca="false">IF(_PENDIENTES!$B$43&lt;&gt;"","POR RECOGER","")</f>
        <v>POR RECOGER</v>
      </c>
      <c r="L49" s="110" t="n">
        <f aca="false">IF(_PENDIENTES!$B$43&lt;&gt;"",_PENDIENTES!$K$43,"")</f>
        <v>0</v>
      </c>
      <c r="M49" s="85" t="str">
        <f aca="false">IF(_PENDIENTES!$B$43&lt;&gt;"",_PENDIENTES!$B$43,"")</f>
        <v>PEDRO RUIZ GALLO</v>
      </c>
      <c r="N49" s="109" t="str">
        <f aca="false">IF(_PENDIENTES!$B$43&lt;&gt;"",_PENDIENTES!$L$43,"")</f>
        <v>PEDRO RUIZ GALLO</v>
      </c>
      <c r="O49" s="89"/>
      <c r="P49" s="89"/>
      <c r="Q49" s="89"/>
      <c r="R49" s="89"/>
      <c r="S49" s="89"/>
    </row>
    <row r="50" customFormat="false" ht="15.75" hidden="true" customHeight="true" outlineLevel="0" collapsed="false">
      <c r="A50" s="106" t="n">
        <f aca="false">IF(_PENDIENTES!$B$44&lt;&gt;"",43,"")</f>
        <v>43</v>
      </c>
      <c r="B50" s="47" t="str">
        <f aca="false">IF(_PENDIENTES!$B$44&lt;&gt;"",_PENDIENTES!$A$44,"")</f>
        <v>ENE</v>
      </c>
      <c r="C50" s="107" t="str">
        <f aca="false">IF(_PENDIENTES!$B$44&lt;&gt;"",_PENDIENTES!$C$44,"")</f>
        <v>OBLITAS SOLANO NILO</v>
      </c>
      <c r="D50" s="106" t="str">
        <f aca="false">IF(_PENDIENTES!$B$44&lt;&gt;"",_PENDIENTES!$D$44,"")</f>
        <v>33784375</v>
      </c>
      <c r="E50" s="111" t="str">
        <f aca="false">IF(_PENDIENTES!$B$44&lt;&gt;"",_PENDIENTES!$E$44,"")</f>
        <v>05/01/2026</v>
      </c>
      <c r="F50" s="106" t="str">
        <f aca="false">IF(_PENDIENTES!$B$44&lt;&gt;"",_PENDIENTES!$F$44,"")</f>
        <v>PETROLEO</v>
      </c>
      <c r="G50" s="50" t="n">
        <f aca="false">IF(_PENDIENTES!$B$44&lt;&gt;"",_PENDIENTES!$G$44,"")</f>
        <v>20</v>
      </c>
      <c r="H50" s="50" t="n">
        <f aca="false">IF(_PENDIENTES!$B$44&lt;&gt;"",_PENDIENTES!$H$44,"")</f>
        <v>363.6</v>
      </c>
      <c r="I50" s="108" t="str">
        <f aca="false">IF(_PENDIENTES!$B$44&lt;&gt;"",_PENDIENTES!$I$44,"")</f>
        <v>GUEVARA VASQUEZ GREIMER MELGAR</v>
      </c>
      <c r="J50" s="50" t="str">
        <f aca="false">IF(_PENDIENTES!$B$44&lt;&gt;"",_PENDIENTES!$J$44,"")</f>
        <v>EUE 651</v>
      </c>
      <c r="K50" s="106" t="str">
        <f aca="false">IF(_PENDIENTES!$B$44&lt;&gt;"","POR RECOGER","")</f>
        <v>POR RECOGER</v>
      </c>
      <c r="L50" s="107" t="n">
        <f aca="false">IF(_PENDIENTES!$B$44&lt;&gt;"",_PENDIENTES!$K$44,"")</f>
        <v>0</v>
      </c>
      <c r="M50" s="85" t="str">
        <f aca="false">IF(_PENDIENTES!$B$44&lt;&gt;"",_PENDIENTES!$B$44,"")</f>
        <v>CAMPORREDONDO</v>
      </c>
      <c r="N50" s="109" t="str">
        <f aca="false">IF(_PENDIENTES!$B$44&lt;&gt;"",_PENDIENTES!$L$44,"")</f>
        <v>CAMPORREDONDO</v>
      </c>
      <c r="O50" s="89"/>
      <c r="P50" s="89"/>
      <c r="Q50" s="89"/>
      <c r="R50" s="89"/>
      <c r="S50" s="89"/>
    </row>
    <row r="51" customFormat="false" ht="15.75" hidden="true" customHeight="true" outlineLevel="0" collapsed="false">
      <c r="A51" s="46" t="n">
        <f aca="false">IF(_PENDIENTES!$B$45&lt;&gt;"",44,"")</f>
        <v>44</v>
      </c>
      <c r="B51" s="41" t="str">
        <f aca="false">IF(_PENDIENTES!$B$45&lt;&gt;"",_PENDIENTES!$A$45,"")</f>
        <v>ENE</v>
      </c>
      <c r="C51" s="110" t="str">
        <f aca="false">IF(_PENDIENTES!$B$45&lt;&gt;"",_PENDIENTES!$C$45,"")</f>
        <v>GALOC CHAVEZ MAYLI LEONOR</v>
      </c>
      <c r="D51" s="46" t="str">
        <f aca="false">IF(_PENDIENTES!$B$45&lt;&gt;"",_PENDIENTES!$D$45,"")</f>
        <v>60030450</v>
      </c>
      <c r="E51" s="112" t="str">
        <f aca="false">IF(_PENDIENTES!$B$45&lt;&gt;"",_PENDIENTES!$E$45,"")</f>
        <v>08/01/2026</v>
      </c>
      <c r="F51" s="46" t="str">
        <f aca="false">IF(_PENDIENTES!$B$45&lt;&gt;"",_PENDIENTES!$F$45,"")</f>
        <v>PETROLEO</v>
      </c>
      <c r="G51" s="44" t="n">
        <f aca="false">IF(_PENDIENTES!$B$45&lt;&gt;"",_PENDIENTES!$G$45,"")</f>
        <v>5</v>
      </c>
      <c r="H51" s="44" t="n">
        <f aca="false">IF(_PENDIENTES!$B$45&lt;&gt;"",_PENDIENTES!$H$45,"")</f>
        <v>90.9</v>
      </c>
      <c r="I51" s="113" t="str">
        <f aca="false">IF(_PENDIENTES!$B$45&lt;&gt;"",_PENDIENTES!$I$45,"")</f>
        <v>RIOS CHAVEZ WUILQUE</v>
      </c>
      <c r="J51" s="44" t="str">
        <f aca="false">IF(_PENDIENTES!$B$45&lt;&gt;"",_PENDIENTES!$J$45,"")</f>
        <v>EUD360</v>
      </c>
      <c r="K51" s="46" t="str">
        <f aca="false">IF(_PENDIENTES!$B$45&lt;&gt;"","POR RECOGER","")</f>
        <v>POR RECOGER</v>
      </c>
      <c r="L51" s="110" t="n">
        <f aca="false">IF(_PENDIENTES!$B$45&lt;&gt;"",_PENDIENTES!$K$45,"")</f>
        <v>0</v>
      </c>
      <c r="M51" s="85" t="str">
        <f aca="false">IF(_PENDIENTES!$B$45&lt;&gt;"",_PENDIENTES!$B$45,"")</f>
        <v>PEDRO RUIZ GALLO</v>
      </c>
      <c r="N51" s="109" t="str">
        <f aca="false">IF(_PENDIENTES!$B$45&lt;&gt;"",_PENDIENTES!$L$45,"")</f>
        <v>PEDRO RUIZ GALLO</v>
      </c>
      <c r="O51" s="89"/>
      <c r="P51" s="89"/>
      <c r="Q51" s="89"/>
      <c r="R51" s="89"/>
      <c r="S51" s="89"/>
    </row>
    <row r="52" customFormat="false" ht="15.75" hidden="true" customHeight="true" outlineLevel="0" collapsed="false">
      <c r="A52" s="106" t="n">
        <f aca="false">IF(_PENDIENTES!$B$46&lt;&gt;"",45,"")</f>
        <v>45</v>
      </c>
      <c r="B52" s="47" t="str">
        <f aca="false">IF(_PENDIENTES!$B$46&lt;&gt;"",_PENDIENTES!$A$46,"")</f>
        <v>ENE</v>
      </c>
      <c r="C52" s="107" t="str">
        <f aca="false">IF(_PENDIENTES!$B$46&lt;&gt;"",_PENDIENTES!$C$46,"")</f>
        <v>ARANA LOPEZ MARILIZ MISHEL</v>
      </c>
      <c r="D52" s="106" t="str">
        <f aca="false">IF(_PENDIENTES!$B$46&lt;&gt;"",_PENDIENTES!$D$46,"")</f>
        <v>78095143</v>
      </c>
      <c r="E52" s="111" t="str">
        <f aca="false">IF(_PENDIENTES!$B$46&lt;&gt;"",_PENDIENTES!$E$46,"")</f>
        <v>10/01/2026</v>
      </c>
      <c r="F52" s="106" t="str">
        <f aca="false">IF(_PENDIENTES!$B$46&lt;&gt;"",_PENDIENTES!$F$46,"")</f>
        <v>PETROLEO</v>
      </c>
      <c r="G52" s="50" t="n">
        <f aca="false">IF(_PENDIENTES!$B$46&lt;&gt;"",_PENDIENTES!$G$46,"")</f>
        <v>12</v>
      </c>
      <c r="H52" s="50" t="n">
        <f aca="false">IF(_PENDIENTES!$B$46&lt;&gt;"",_PENDIENTES!$H$46,"")</f>
        <v>243</v>
      </c>
      <c r="I52" s="108" t="str">
        <f aca="false">IF(_PENDIENTES!$B$46&lt;&gt;"",_PENDIENTES!$I$46,"")</f>
        <v>VILLA GONGORA RODVIN LUIS</v>
      </c>
      <c r="J52" s="50" t="str">
        <f aca="false">IF(_PENDIENTES!$B$46&lt;&gt;"",_PENDIENTES!$J$46,"")</f>
        <v>EUD-684</v>
      </c>
      <c r="K52" s="106" t="str">
        <f aca="false">IF(_PENDIENTES!$B$46&lt;&gt;"","POR RECOGER","")</f>
        <v>POR RECOGER</v>
      </c>
      <c r="L52" s="107" t="str">
        <f aca="false">IF(_PENDIENTES!$B$46&lt;&gt;"",_PENDIENTES!$K$46,"")</f>
        <v>TOTORA</v>
      </c>
      <c r="M52" s="85" t="str">
        <f aca="false">IF(_PENDIENTES!$B$46&lt;&gt;"",_PENDIENTES!$B$46,"")</f>
        <v>TOTORA</v>
      </c>
      <c r="N52" s="109" t="str">
        <f aca="false">IF(_PENDIENTES!$B$46&lt;&gt;"",_PENDIENTES!$L$46,"")</f>
        <v>EL TRIUNFO</v>
      </c>
      <c r="O52" s="89"/>
      <c r="P52" s="89"/>
      <c r="Q52" s="89"/>
      <c r="R52" s="89"/>
      <c r="S52" s="89"/>
    </row>
    <row r="53" customFormat="false" ht="15.75" hidden="true" customHeight="true" outlineLevel="0" collapsed="false">
      <c r="A53" s="46" t="n">
        <f aca="false">IF(_PENDIENTES!$B$47&lt;&gt;"",46,"")</f>
        <v>46</v>
      </c>
      <c r="B53" s="41" t="str">
        <f aca="false">IF(_PENDIENTES!$B$47&lt;&gt;"",_PENDIENTES!$A$47,"")</f>
        <v>ENE</v>
      </c>
      <c r="C53" s="110" t="str">
        <f aca="false">IF(_PENDIENTES!$B$47&lt;&gt;"",_PENDIENTES!$C$47,"")</f>
        <v>VILLAVICENCIO HERNANDEZ WIDMER</v>
      </c>
      <c r="D53" s="46" t="str">
        <f aca="false">IF(_PENDIENTES!$B$47&lt;&gt;"",_PENDIENTES!$D$47,"")</f>
        <v>42347377</v>
      </c>
      <c r="E53" s="112" t="str">
        <f aca="false">IF(_PENDIENTES!$B$47&lt;&gt;"",_PENDIENTES!$E$47,"")</f>
        <v>12/01/2026</v>
      </c>
      <c r="F53" s="46" t="str">
        <f aca="false">IF(_PENDIENTES!$B$47&lt;&gt;"",_PENDIENTES!$F$47,"")</f>
        <v>PETROLEO</v>
      </c>
      <c r="G53" s="44" t="n">
        <f aca="false">IF(_PENDIENTES!$B$47&lt;&gt;"",_PENDIENTES!$G$47,"")</f>
        <v>6</v>
      </c>
      <c r="H53" s="44" t="n">
        <f aca="false">IF(_PENDIENTES!$B$47&lt;&gt;"",_PENDIENTES!$H$47,"")</f>
        <v>121.5</v>
      </c>
      <c r="I53" s="113" t="str">
        <f aca="false">IF(_PENDIENTES!$B$47&lt;&gt;"",_PENDIENTES!$I$47,"")</f>
        <v>VILLA GONGORA RODVIN LUIS</v>
      </c>
      <c r="J53" s="44" t="str">
        <f aca="false">IF(_PENDIENTES!$B$47&lt;&gt;"",_PENDIENTES!$J$47,"")</f>
        <v>EUD-684</v>
      </c>
      <c r="K53" s="46" t="str">
        <f aca="false">IF(_PENDIENTES!$B$47&lt;&gt;"","POR RECOGER","")</f>
        <v>POR RECOGER</v>
      </c>
      <c r="L53" s="110" t="n">
        <f aca="false">IF(_PENDIENTES!$B$47&lt;&gt;"",_PENDIENTES!$K$47,"")</f>
        <v>0</v>
      </c>
      <c r="M53" s="85" t="str">
        <f aca="false">IF(_PENDIENTES!$B$47&lt;&gt;"",_PENDIENTES!$B$47,"")</f>
        <v>TOTORA</v>
      </c>
      <c r="N53" s="109" t="str">
        <f aca="false">IF(_PENDIENTES!$B$47&lt;&gt;"",_PENDIENTES!$L$47,"")</f>
        <v>TOTORA</v>
      </c>
      <c r="O53" s="89"/>
      <c r="P53" s="89"/>
      <c r="Q53" s="89"/>
      <c r="R53" s="89"/>
      <c r="S53" s="89"/>
    </row>
    <row r="54" customFormat="false" ht="15.75" hidden="true" customHeight="true" outlineLevel="0" collapsed="false">
      <c r="A54" s="106" t="n">
        <f aca="false">IF(_PENDIENTES!$B$48&lt;&gt;"",47,"")</f>
        <v>47</v>
      </c>
      <c r="B54" s="47" t="str">
        <f aca="false">IF(_PENDIENTES!$B$48&lt;&gt;"",_PENDIENTES!$A$48,"")</f>
        <v>ENE</v>
      </c>
      <c r="C54" s="107" t="str">
        <f aca="false">IF(_PENDIENTES!$B$48&lt;&gt;"",_PENDIENTES!$C$48,"")</f>
        <v>VARGAS GRANDEZ GUSTAVO</v>
      </c>
      <c r="D54" s="106" t="str">
        <f aca="false">IF(_PENDIENTES!$B$48&lt;&gt;"",_PENDIENTES!$D$48,"")</f>
        <v>33944112</v>
      </c>
      <c r="E54" s="111" t="str">
        <f aca="false">IF(_PENDIENTES!$B$48&lt;&gt;"",_PENDIENTES!$E$48,"")</f>
        <v>15/01/2026</v>
      </c>
      <c r="F54" s="106" t="str">
        <f aca="false">IF(_PENDIENTES!$B$48&lt;&gt;"",_PENDIENTES!$F$48,"")</f>
        <v>PETROLEO</v>
      </c>
      <c r="G54" s="50" t="n">
        <f aca="false">IF(_PENDIENTES!$B$48&lt;&gt;"",_PENDIENTES!$G$48,"")</f>
        <v>3</v>
      </c>
      <c r="H54" s="50" t="n">
        <f aca="false">IF(_PENDIENTES!$B$48&lt;&gt;"",_PENDIENTES!$H$48,"")</f>
        <v>60.75</v>
      </c>
      <c r="I54" s="108" t="str">
        <f aca="false">IF(_PENDIENTES!$B$48&lt;&gt;"",_PENDIENTES!$I$48,"")</f>
        <v>LOPEZ HOYOS MIGUEL ANGEL</v>
      </c>
      <c r="J54" s="50" t="str">
        <f aca="false">IF(_PENDIENTES!$B$48&lt;&gt;"",_PENDIENTES!$J$48,"")</f>
        <v>EUH-698</v>
      </c>
      <c r="K54" s="106" t="str">
        <f aca="false">IF(_PENDIENTES!$B$48&lt;&gt;"","POR RECOGER","")</f>
        <v>POR RECOGER</v>
      </c>
      <c r="L54" s="107" t="n">
        <f aca="false">IF(_PENDIENTES!$B$48&lt;&gt;"",_PENDIENTES!$K$48,"")</f>
        <v>0</v>
      </c>
      <c r="M54" s="85" t="str">
        <f aca="false">IF(_PENDIENTES!$B$48&lt;&gt;"",_PENDIENTES!$B$48,"")</f>
        <v>HUAMBO</v>
      </c>
      <c r="N54" s="109" t="str">
        <f aca="false">IF(_PENDIENTES!$B$48&lt;&gt;"",_PENDIENTES!$L$48,"")</f>
        <v>HUAMBO</v>
      </c>
      <c r="O54" s="89"/>
      <c r="P54" s="89"/>
      <c r="Q54" s="89"/>
      <c r="R54" s="89"/>
      <c r="S54" s="89"/>
    </row>
    <row r="55" customFormat="false" ht="15.75" hidden="true" customHeight="true" outlineLevel="0" collapsed="false">
      <c r="A55" s="46" t="n">
        <f aca="false">IF(_PENDIENTES!$B$49&lt;&gt;"",48,"")</f>
        <v>48</v>
      </c>
      <c r="B55" s="41" t="str">
        <f aca="false">IF(_PENDIENTES!$B$49&lt;&gt;"",_PENDIENTES!$A$49,"")</f>
        <v>ENE</v>
      </c>
      <c r="C55" s="110" t="str">
        <f aca="false">IF(_PENDIENTES!$B$49&lt;&gt;"",_PENDIENTES!$C$49,"")</f>
        <v>CHAVEZ YOMONA MILTON</v>
      </c>
      <c r="D55" s="46" t="str">
        <f aca="false">IF(_PENDIENTES!$B$49&lt;&gt;"",_PENDIENTES!$D$49,"")</f>
        <v>33738999</v>
      </c>
      <c r="E55" s="112" t="str">
        <f aca="false">IF(_PENDIENTES!$B$49&lt;&gt;"",_PENDIENTES!$E$49,"")</f>
        <v>20/01/2026</v>
      </c>
      <c r="F55" s="46" t="str">
        <f aca="false">IF(_PENDIENTES!$B$49&lt;&gt;"",_PENDIENTES!$F$49,"")</f>
        <v>GASOLINA</v>
      </c>
      <c r="G55" s="44" t="n">
        <f aca="false">IF(_PENDIENTES!$B$49&lt;&gt;"",_PENDIENTES!$G$49,"")</f>
        <v>6</v>
      </c>
      <c r="H55" s="44" t="n">
        <f aca="false">IF(_PENDIENTES!$B$49&lt;&gt;"",_PENDIENTES!$H$49,"")</f>
        <v>107.7</v>
      </c>
      <c r="I55" s="113" t="str">
        <f aca="false">IF(_PENDIENTES!$B$49&lt;&gt;"",_PENDIENTES!$I$49,"")</f>
        <v>RIOS CHAVEZ WUILQUE</v>
      </c>
      <c r="J55" s="44" t="str">
        <f aca="false">IF(_PENDIENTES!$B$49&lt;&gt;"",_PENDIENTES!$J$49,"")</f>
        <v>EUD360</v>
      </c>
      <c r="K55" s="46" t="str">
        <f aca="false">IF(_PENDIENTES!$B$49&lt;&gt;"","POR RECOGER","")</f>
        <v>POR RECOGER</v>
      </c>
      <c r="L55" s="110" t="n">
        <f aca="false">IF(_PENDIENTES!$B$49&lt;&gt;"",_PENDIENTES!$K$49,"")</f>
        <v>0</v>
      </c>
      <c r="M55" s="85" t="str">
        <f aca="false">IF(_PENDIENTES!$B$49&lt;&gt;"",_PENDIENTES!$B$49,"")</f>
        <v>PEDRO RUIZ GALLO</v>
      </c>
      <c r="N55" s="109" t="str">
        <f aca="false">IF(_PENDIENTES!$B$49&lt;&gt;"",_PENDIENTES!$L$49,"")</f>
        <v>PEDRO RUIZ GALLO</v>
      </c>
      <c r="O55" s="89"/>
      <c r="P55" s="89"/>
      <c r="Q55" s="89"/>
      <c r="R55" s="89"/>
      <c r="S55" s="89"/>
    </row>
    <row r="56" customFormat="false" ht="15.75" hidden="true" customHeight="true" outlineLevel="0" collapsed="false">
      <c r="A56" s="106" t="n">
        <f aca="false">IF(_PENDIENTES!$B$50&lt;&gt;"",49,"")</f>
        <v>49</v>
      </c>
      <c r="B56" s="47" t="str">
        <f aca="false">IF(_PENDIENTES!$B$50&lt;&gt;"",_PENDIENTES!$A$50,"")</f>
        <v>ENE</v>
      </c>
      <c r="C56" s="107" t="str">
        <f aca="false">IF(_PENDIENTES!$B$50&lt;&gt;"",_PENDIENTES!$C$50,"")</f>
        <v>MEZA GUERRA SEBASTIAN LUIS ALEXANDER</v>
      </c>
      <c r="D56" s="106" t="str">
        <f aca="false">IF(_PENDIENTES!$B$50&lt;&gt;"",_PENDIENTES!$D$50,"")</f>
        <v>91006502</v>
      </c>
      <c r="E56" s="111" t="str">
        <f aca="false">IF(_PENDIENTES!$B$50&lt;&gt;"",_PENDIENTES!$E$50,"")</f>
        <v>20/01/2026</v>
      </c>
      <c r="F56" s="106" t="str">
        <f aca="false">IF(_PENDIENTES!$B$50&lt;&gt;"",_PENDIENTES!$F$50,"")</f>
        <v>PETROLEO</v>
      </c>
      <c r="G56" s="50" t="n">
        <f aca="false">IF(_PENDIENTES!$B$50&lt;&gt;"",_PENDIENTES!$G$50,"")</f>
        <v>5</v>
      </c>
      <c r="H56" s="50" t="n">
        <f aca="false">IF(_PENDIENTES!$B$50&lt;&gt;"",_PENDIENTES!$H$50,"")</f>
        <v>90.9</v>
      </c>
      <c r="I56" s="108" t="str">
        <f aca="false">IF(_PENDIENTES!$B$50&lt;&gt;"",_PENDIENTES!$I$50,"")</f>
        <v>RIOS CHAVEZ WUILQUE</v>
      </c>
      <c r="J56" s="50" t="str">
        <f aca="false">IF(_PENDIENTES!$B$50&lt;&gt;"",_PENDIENTES!$J$50,"")</f>
        <v>EUD360</v>
      </c>
      <c r="K56" s="106" t="str">
        <f aca="false">IF(_PENDIENTES!$B$50&lt;&gt;"","POR RECOGER","")</f>
        <v>POR RECOGER</v>
      </c>
      <c r="L56" s="107" t="n">
        <f aca="false">IF(_PENDIENTES!$B$50&lt;&gt;"",_PENDIENTES!$K$50,"")</f>
        <v>0</v>
      </c>
      <c r="M56" s="85" t="str">
        <f aca="false">IF(_PENDIENTES!$B$50&lt;&gt;"",_PENDIENTES!$B$50,"")</f>
        <v>PEDRO RUIZ GALLO</v>
      </c>
      <c r="N56" s="109" t="str">
        <f aca="false">IF(_PENDIENTES!$B$50&lt;&gt;"",_PENDIENTES!$L$50,"")</f>
        <v>PEDRO RUIZ GALLO</v>
      </c>
      <c r="O56" s="89"/>
      <c r="P56" s="89"/>
      <c r="Q56" s="89"/>
      <c r="R56" s="89"/>
      <c r="S56" s="89"/>
    </row>
    <row r="57" customFormat="false" ht="15.75" hidden="true" customHeight="true" outlineLevel="0" collapsed="false">
      <c r="A57" s="46" t="n">
        <f aca="false">IF(_PENDIENTES!$B$51&lt;&gt;"",50,"")</f>
        <v>50</v>
      </c>
      <c r="B57" s="41" t="str">
        <f aca="false">IF(_PENDIENTES!$B$51&lt;&gt;"",_PENDIENTES!$A$51,"")</f>
        <v>ENE</v>
      </c>
      <c r="C57" s="110" t="str">
        <f aca="false">IF(_PENDIENTES!$B$51&lt;&gt;"",_PENDIENTES!$C$51,"")</f>
        <v>LOPEZ RIVA KELLY</v>
      </c>
      <c r="D57" s="46" t="str">
        <f aca="false">IF(_PENDIENTES!$B$51&lt;&gt;"",_PENDIENTES!$D$51,"")</f>
        <v>75083848</v>
      </c>
      <c r="E57" s="112" t="str">
        <f aca="false">IF(_PENDIENTES!$B$51&lt;&gt;"",_PENDIENTES!$E$51,"")</f>
        <v>22/01/2026</v>
      </c>
      <c r="F57" s="46" t="str">
        <f aca="false">IF(_PENDIENTES!$B$51&lt;&gt;"",_PENDIENTES!$F$51,"")</f>
        <v>PETROLEO</v>
      </c>
      <c r="G57" s="44" t="n">
        <f aca="false">IF(_PENDIENTES!$B$51&lt;&gt;"",_PENDIENTES!$G$51,"")</f>
        <v>8</v>
      </c>
      <c r="H57" s="44" t="n">
        <f aca="false">IF(_PENDIENTES!$B$51&lt;&gt;"",_PENDIENTES!$H$51,"")</f>
        <v>162</v>
      </c>
      <c r="I57" s="113" t="str">
        <f aca="false">IF(_PENDIENTES!$B$51&lt;&gt;"",_PENDIENTES!$I$51,"")</f>
        <v>VILLA GONGORA RODVIN LUIS</v>
      </c>
      <c r="J57" s="44" t="str">
        <f aca="false">IF(_PENDIENTES!$B$51&lt;&gt;"",_PENDIENTES!$J$51,"")</f>
        <v>EUD-684</v>
      </c>
      <c r="K57" s="46" t="str">
        <f aca="false">IF(_PENDIENTES!$B$51&lt;&gt;"","POR RECOGER","")</f>
        <v>POR RECOGER</v>
      </c>
      <c r="L57" s="110" t="str">
        <f aca="false">IF(_PENDIENTES!$B$51&lt;&gt;"",_PENDIENTES!$K$51,"")</f>
        <v>TOTORA</v>
      </c>
      <c r="M57" s="85" t="str">
        <f aca="false">IF(_PENDIENTES!$B$51&lt;&gt;"",_PENDIENTES!$B$51,"")</f>
        <v>TOTORA</v>
      </c>
      <c r="N57" s="109" t="str">
        <f aca="false">IF(_PENDIENTES!$B$51&lt;&gt;"",_PENDIENTES!$L$51,"")</f>
        <v>LIMABAMBA</v>
      </c>
      <c r="O57" s="89"/>
      <c r="P57" s="89"/>
      <c r="Q57" s="89"/>
      <c r="R57" s="89"/>
      <c r="S57" s="89"/>
    </row>
    <row r="58" customFormat="false" ht="15.75" hidden="true" customHeight="true" outlineLevel="0" collapsed="false">
      <c r="A58" s="106" t="n">
        <f aca="false">IF(_PENDIENTES!$B$52&lt;&gt;"",51,"")</f>
        <v>51</v>
      </c>
      <c r="B58" s="47" t="str">
        <f aca="false">IF(_PENDIENTES!$B$52&lt;&gt;"",_PENDIENTES!$A$52,"")</f>
        <v>ENE</v>
      </c>
      <c r="C58" s="107" t="str">
        <f aca="false">IF(_PENDIENTES!$B$52&lt;&gt;"",_PENDIENTES!$C$52,"")</f>
        <v>CASAS AGUILAR JUAN</v>
      </c>
      <c r="D58" s="106" t="str">
        <f aca="false">IF(_PENDIENTES!$B$52&lt;&gt;"",_PENDIENTES!$D$52,"")</f>
        <v>80233101</v>
      </c>
      <c r="E58" s="111" t="str">
        <f aca="false">IF(_PENDIENTES!$B$52&lt;&gt;"",_PENDIENTES!$E$52,"")</f>
        <v>23/01/2026</v>
      </c>
      <c r="F58" s="106" t="str">
        <f aca="false">IF(_PENDIENTES!$B$52&lt;&gt;"",_PENDIENTES!$F$52,"")</f>
        <v>PETROLEO</v>
      </c>
      <c r="G58" s="50" t="n">
        <f aca="false">IF(_PENDIENTES!$B$52&lt;&gt;"",_PENDIENTES!$G$52,"")</f>
        <v>5</v>
      </c>
      <c r="H58" s="50" t="n">
        <f aca="false">IF(_PENDIENTES!$B$52&lt;&gt;"",_PENDIENTES!$H$52,"")</f>
        <v>90.9</v>
      </c>
      <c r="I58" s="108" t="str">
        <f aca="false">IF(_PENDIENTES!$B$52&lt;&gt;"",_PENDIENTES!$I$52,"")</f>
        <v>MONTENEGRO RUIZ LUIS MIGUEL</v>
      </c>
      <c r="J58" s="50" t="str">
        <f aca="false">IF(_PENDIENTES!$B$52&lt;&gt;"",_PENDIENTES!$J$52,"")</f>
        <v>EUH-427</v>
      </c>
      <c r="K58" s="106" t="str">
        <f aca="false">IF(_PENDIENTES!$B$52&lt;&gt;"","POR RECOGER","")</f>
        <v>POR RECOGER</v>
      </c>
      <c r="L58" s="107" t="n">
        <f aca="false">IF(_PENDIENTES!$B$52&lt;&gt;"",_PENDIENTES!$K$52,"")</f>
        <v>0</v>
      </c>
      <c r="M58" s="85" t="str">
        <f aca="false">IF(_PENDIENTES!$B$52&lt;&gt;"",_PENDIENTES!$B$52,"")</f>
        <v>PEDRO RUIZ GALLO</v>
      </c>
      <c r="N58" s="109" t="str">
        <f aca="false">IF(_PENDIENTES!$B$52&lt;&gt;"",_PENDIENTES!$L$52,"")</f>
        <v>PEDRO RUIZ GALLO</v>
      </c>
      <c r="O58" s="89"/>
      <c r="P58" s="89"/>
      <c r="Q58" s="89"/>
      <c r="R58" s="89"/>
      <c r="S58" s="89"/>
    </row>
    <row r="59" customFormat="false" ht="15.75" hidden="true" customHeight="true" outlineLevel="0" collapsed="false">
      <c r="A59" s="46" t="n">
        <f aca="false">IF(_PENDIENTES!$B$53&lt;&gt;"",52,"")</f>
        <v>52</v>
      </c>
      <c r="B59" s="41" t="str">
        <f aca="false">IF(_PENDIENTES!$B$53&lt;&gt;"",_PENDIENTES!$A$53,"")</f>
        <v>ENE</v>
      </c>
      <c r="C59" s="110" t="str">
        <f aca="false">IF(_PENDIENTES!$B$53&lt;&gt;"",_PENDIENTES!$C$53,"")</f>
        <v>HUAMAN LOPEZ FIDENCIO ARTEMIO</v>
      </c>
      <c r="D59" s="46" t="str">
        <f aca="false">IF(_PENDIENTES!$B$53&lt;&gt;"",_PENDIENTES!$D$53,"")</f>
        <v>33946769</v>
      </c>
      <c r="E59" s="112" t="str">
        <f aca="false">IF(_PENDIENTES!$B$53&lt;&gt;"",_PENDIENTES!$E$53,"")</f>
        <v>24/01/2026</v>
      </c>
      <c r="F59" s="46" t="str">
        <f aca="false">IF(_PENDIENTES!$B$53&lt;&gt;"",_PENDIENTES!$F$53,"")</f>
        <v>PETROLEO</v>
      </c>
      <c r="G59" s="44" t="n">
        <f aca="false">IF(_PENDIENTES!$B$53&lt;&gt;"",_PENDIENTES!$G$53,"")</f>
        <v>10</v>
      </c>
      <c r="H59" s="44" t="n">
        <f aca="false">IF(_PENDIENTES!$B$53&lt;&gt;"",_PENDIENTES!$H$53,"")</f>
        <v>202.5</v>
      </c>
      <c r="I59" s="113" t="str">
        <f aca="false">IF(_PENDIENTES!$B$53&lt;&gt;"",_PENDIENTES!$I$53,"")</f>
        <v>VILLA GONGORA RODVIN LUIS</v>
      </c>
      <c r="J59" s="44" t="str">
        <f aca="false">IF(_PENDIENTES!$B$53&lt;&gt;"",_PENDIENTES!$J$53,"")</f>
        <v>EUD-684</v>
      </c>
      <c r="K59" s="46" t="str">
        <f aca="false">IF(_PENDIENTES!$B$53&lt;&gt;"","POR RECOGER","")</f>
        <v>POR RECOGER</v>
      </c>
      <c r="L59" s="110" t="str">
        <f aca="false">IF(_PENDIENTES!$B$53&lt;&gt;"",_PENDIENTES!$K$53,"")</f>
        <v>TOTORA</v>
      </c>
      <c r="M59" s="85" t="str">
        <f aca="false">IF(_PENDIENTES!$B$53&lt;&gt;"",_PENDIENTES!$B$53,"")</f>
        <v>TOTORA</v>
      </c>
      <c r="N59" s="109" t="str">
        <f aca="false">IF(_PENDIENTES!$B$53&lt;&gt;"",_PENDIENTES!$L$53,"")</f>
        <v>LIMABAMBA</v>
      </c>
      <c r="O59" s="89"/>
      <c r="P59" s="89"/>
      <c r="Q59" s="89"/>
      <c r="R59" s="89"/>
      <c r="S59" s="89"/>
    </row>
    <row r="60" customFormat="false" ht="15.75" hidden="true" customHeight="true" outlineLevel="0" collapsed="false">
      <c r="A60" s="106" t="n">
        <f aca="false">IF(_PENDIENTES!$B$54&lt;&gt;"",53,"")</f>
        <v>53</v>
      </c>
      <c r="B60" s="47" t="str">
        <f aca="false">IF(_PENDIENTES!$B$54&lt;&gt;"",_PENDIENTES!$A$54,"")</f>
        <v>ENE</v>
      </c>
      <c r="C60" s="107" t="str">
        <f aca="false">IF(_PENDIENTES!$B$54&lt;&gt;"",_PENDIENTES!$C$54,"")</f>
        <v>EDQUEN IDROGO MAXIMILIANO</v>
      </c>
      <c r="D60" s="106" t="str">
        <f aca="false">IF(_PENDIENTES!$B$54&lt;&gt;"",_PENDIENTES!$D$54,"")</f>
        <v>33431626</v>
      </c>
      <c r="E60" s="111" t="str">
        <f aca="false">IF(_PENDIENTES!$B$54&lt;&gt;"",_PENDIENTES!$E$54,"")</f>
        <v>24/01/2026</v>
      </c>
      <c r="F60" s="106" t="str">
        <f aca="false">IF(_PENDIENTES!$B$54&lt;&gt;"",_PENDIENTES!$F$54,"")</f>
        <v>PETROLEO</v>
      </c>
      <c r="G60" s="50" t="n">
        <f aca="false">IF(_PENDIENTES!$B$54&lt;&gt;"",_PENDIENTES!$G$54,"")</f>
        <v>6</v>
      </c>
      <c r="H60" s="50" t="n">
        <f aca="false">IF(_PENDIENTES!$B$54&lt;&gt;"",_PENDIENTES!$H$54,"")</f>
        <v>109.08</v>
      </c>
      <c r="I60" s="108" t="str">
        <f aca="false">IF(_PENDIENTES!$B$54&lt;&gt;"",_PENDIENTES!$I$54,"")</f>
        <v>SANCHEZ CAJO VICENTE</v>
      </c>
      <c r="J60" s="50" t="str">
        <f aca="false">IF(_PENDIENTES!$B$54&lt;&gt;"",_PENDIENTES!$J$54,"")</f>
        <v>EGL-296</v>
      </c>
      <c r="K60" s="106" t="str">
        <f aca="false">IF(_PENDIENTES!$B$54&lt;&gt;"","POR RECOGER","")</f>
        <v>POR RECOGER</v>
      </c>
      <c r="L60" s="107" t="n">
        <f aca="false">IF(_PENDIENTES!$B$54&lt;&gt;"",_PENDIENTES!$K$54,"")</f>
        <v>0</v>
      </c>
      <c r="M60" s="85" t="str">
        <f aca="false">IF(_PENDIENTES!$B$54&lt;&gt;"",_PENDIENTES!$B$54,"")</f>
        <v>YERBABUENA</v>
      </c>
      <c r="N60" s="109" t="str">
        <f aca="false">IF(_PENDIENTES!$B$54&lt;&gt;"",_PENDIENTES!$L$54,"")</f>
        <v>YERBABUENA</v>
      </c>
      <c r="O60" s="89"/>
      <c r="P60" s="89"/>
      <c r="Q60" s="89"/>
      <c r="R60" s="89"/>
      <c r="S60" s="89"/>
    </row>
    <row r="61" customFormat="false" ht="15.75" hidden="true" customHeight="true" outlineLevel="0" collapsed="false">
      <c r="A61" s="46" t="n">
        <f aca="false">IF(_PENDIENTES!$B$55&lt;&gt;"",54,"")</f>
        <v>54</v>
      </c>
      <c r="B61" s="41" t="str">
        <f aca="false">IF(_PENDIENTES!$B$55&lt;&gt;"",_PENDIENTES!$A$55,"")</f>
        <v>ENE</v>
      </c>
      <c r="C61" s="110" t="str">
        <f aca="false">IF(_PENDIENTES!$B$55&lt;&gt;"",_PENDIENTES!$C$55,"")</f>
        <v>HERNANDEZ DE LOPEZ CLOTILDE</v>
      </c>
      <c r="D61" s="46" t="str">
        <f aca="false">IF(_PENDIENTES!$B$55&lt;&gt;"",_PENDIENTES!$D$55,"")</f>
        <v>33945367</v>
      </c>
      <c r="E61" s="112" t="str">
        <f aca="false">IF(_PENDIENTES!$B$55&lt;&gt;"",_PENDIENTES!$E$55,"")</f>
        <v>26/01/2026</v>
      </c>
      <c r="F61" s="46" t="str">
        <f aca="false">IF(_PENDIENTES!$B$55&lt;&gt;"",_PENDIENTES!$F$55,"")</f>
        <v>PETROLEO</v>
      </c>
      <c r="G61" s="44" t="n">
        <f aca="false">IF(_PENDIENTES!$B$55&lt;&gt;"",_PENDIENTES!$G$55,"")</f>
        <v>3</v>
      </c>
      <c r="H61" s="44" t="n">
        <f aca="false">IF(_PENDIENTES!$B$55&lt;&gt;"",_PENDIENTES!$H$55,"")</f>
        <v>60.75</v>
      </c>
      <c r="I61" s="113" t="str">
        <f aca="false">IF(_PENDIENTES!$B$55&lt;&gt;"",_PENDIENTES!$I$55,"")</f>
        <v>LOPEZ HOYOS MIGUEL ANGEL</v>
      </c>
      <c r="J61" s="44" t="str">
        <f aca="false">IF(_PENDIENTES!$B$55&lt;&gt;"",_PENDIENTES!$J$55,"")</f>
        <v>EUH-698</v>
      </c>
      <c r="K61" s="46" t="str">
        <f aca="false">IF(_PENDIENTES!$B$55&lt;&gt;"","POR RECOGER","")</f>
        <v>POR RECOGER</v>
      </c>
      <c r="L61" s="110" t="n">
        <f aca="false">IF(_PENDIENTES!$B$55&lt;&gt;"",_PENDIENTES!$K$55,"")</f>
        <v>0</v>
      </c>
      <c r="M61" s="85" t="str">
        <f aca="false">IF(_PENDIENTES!$B$55&lt;&gt;"",_PENDIENTES!$B$55,"")</f>
        <v>HUAMBO</v>
      </c>
      <c r="N61" s="109" t="str">
        <f aca="false">IF(_PENDIENTES!$B$55&lt;&gt;"",_PENDIENTES!$L$55,"")</f>
        <v>HUAMBO</v>
      </c>
      <c r="O61" s="89"/>
      <c r="P61" s="89"/>
      <c r="Q61" s="89"/>
      <c r="R61" s="89"/>
      <c r="S61" s="89"/>
    </row>
    <row r="62" customFormat="false" ht="15.75" hidden="true" customHeight="true" outlineLevel="0" collapsed="false">
      <c r="A62" s="106" t="n">
        <f aca="false">IF(_PENDIENTES!$B$56&lt;&gt;"",55,"")</f>
        <v>55</v>
      </c>
      <c r="B62" s="47" t="str">
        <f aca="false">IF(_PENDIENTES!$B$56&lt;&gt;"",_PENDIENTES!$A$56,"")</f>
        <v>ENE</v>
      </c>
      <c r="C62" s="107" t="str">
        <f aca="false">IF(_PENDIENTES!$B$56&lt;&gt;"",_PENDIENTES!$C$56,"")</f>
        <v>DAZA CHASQUIBOL KARINA</v>
      </c>
      <c r="D62" s="106" t="str">
        <f aca="false">IF(_PENDIENTES!$B$56&lt;&gt;"",_PENDIENTES!$D$56,"")</f>
        <v>42056398</v>
      </c>
      <c r="E62" s="111" t="str">
        <f aca="false">IF(_PENDIENTES!$B$56&lt;&gt;"",_PENDIENTES!$E$56,"")</f>
        <v>26/01/2026</v>
      </c>
      <c r="F62" s="106" t="str">
        <f aca="false">IF(_PENDIENTES!$B$56&lt;&gt;"",_PENDIENTES!$F$56,"")</f>
        <v>PETROLEO</v>
      </c>
      <c r="G62" s="50" t="n">
        <f aca="false">IF(_PENDIENTES!$B$56&lt;&gt;"",_PENDIENTES!$G$56,"")</f>
        <v>5</v>
      </c>
      <c r="H62" s="50" t="n">
        <f aca="false">IF(_PENDIENTES!$B$56&lt;&gt;"",_PENDIENTES!$H$56,"")</f>
        <v>90.9</v>
      </c>
      <c r="I62" s="108" t="str">
        <f aca="false">IF(_PENDIENTES!$B$56&lt;&gt;"",_PENDIENTES!$I$56,"")</f>
        <v>MONTENEGRO RUIZ LUIS MIGUEL</v>
      </c>
      <c r="J62" s="50" t="str">
        <f aca="false">IF(_PENDIENTES!$B$56&lt;&gt;"",_PENDIENTES!$J$56,"")</f>
        <v>EUH-427</v>
      </c>
      <c r="K62" s="106" t="str">
        <f aca="false">IF(_PENDIENTES!$B$56&lt;&gt;"","POR RECOGER","")</f>
        <v>POR RECOGER</v>
      </c>
      <c r="L62" s="107" t="n">
        <f aca="false">IF(_PENDIENTES!$B$56&lt;&gt;"",_PENDIENTES!$K$56,"")</f>
        <v>0</v>
      </c>
      <c r="M62" s="85" t="str">
        <f aca="false">IF(_PENDIENTES!$B$56&lt;&gt;"",_PENDIENTES!$B$56,"")</f>
        <v>PEDRO RUIZ GALLO</v>
      </c>
      <c r="N62" s="109" t="str">
        <f aca="false">IF(_PENDIENTES!$B$56&lt;&gt;"",_PENDIENTES!$L$56,"")</f>
        <v>PEDRO RUIZ GALLO</v>
      </c>
      <c r="O62" s="89"/>
      <c r="P62" s="89"/>
      <c r="Q62" s="89"/>
      <c r="R62" s="89"/>
      <c r="S62" s="89"/>
    </row>
    <row r="63" customFormat="false" ht="15.75" hidden="true" customHeight="true" outlineLevel="0" collapsed="false">
      <c r="A63" s="46" t="n">
        <f aca="false">IF(_PENDIENTES!$B$57&lt;&gt;"",56,"")</f>
        <v>56</v>
      </c>
      <c r="B63" s="41" t="str">
        <f aca="false">IF(_PENDIENTES!$B$57&lt;&gt;"",_PENDIENTES!$A$57,"")</f>
        <v>ENE</v>
      </c>
      <c r="C63" s="110" t="str">
        <f aca="false">IF(_PENDIENTES!$B$57&lt;&gt;"",_PENDIENTES!$C$57,"")</f>
        <v>AGUIRRE CHUQUIPIONDO ELIZABETH</v>
      </c>
      <c r="D63" s="46" t="str">
        <f aca="false">IF(_PENDIENTES!$B$57&lt;&gt;"",_PENDIENTES!$D$57,"")</f>
        <v>60229552</v>
      </c>
      <c r="E63" s="112" t="str">
        <f aca="false">IF(_PENDIENTES!$B$57&lt;&gt;"",_PENDIENTES!$E$57,"")</f>
        <v>27/01/2026</v>
      </c>
      <c r="F63" s="46" t="str">
        <f aca="false">IF(_PENDIENTES!$B$57&lt;&gt;"",_PENDIENTES!$F$57,"")</f>
        <v>PETROLEO</v>
      </c>
      <c r="G63" s="44" t="n">
        <f aca="false">IF(_PENDIENTES!$B$57&lt;&gt;"",_PENDIENTES!$G$57,"")</f>
        <v>7</v>
      </c>
      <c r="H63" s="44" t="n">
        <f aca="false">IF(_PENDIENTES!$B$57&lt;&gt;"",_PENDIENTES!$H$57,"")</f>
        <v>127.26</v>
      </c>
      <c r="I63" s="113" t="str">
        <f aca="false">IF(_PENDIENTES!$B$57&lt;&gt;"",_PENDIENTES!$I$57,"")</f>
        <v>BUELOT VISALOT CARLO MAGNO</v>
      </c>
      <c r="J63" s="44" t="str">
        <f aca="false">IF(_PENDIENTES!$B$57&lt;&gt;"",_PENDIENTES!$J$57,"")</f>
        <v>EUD 634</v>
      </c>
      <c r="K63" s="46" t="str">
        <f aca="false">IF(_PENDIENTES!$B$57&lt;&gt;"","POR RECOGER","")</f>
        <v>POR RECOGER</v>
      </c>
      <c r="L63" s="110" t="n">
        <f aca="false">IF(_PENDIENTES!$B$57&lt;&gt;"",_PENDIENTES!$K$57,"")</f>
        <v>0</v>
      </c>
      <c r="M63" s="85" t="str">
        <f aca="false">IF(_PENDIENTES!$B$57&lt;&gt;"",_PENDIENTES!$B$57,"")</f>
        <v>COLCAMAR</v>
      </c>
      <c r="N63" s="109" t="str">
        <f aca="false">IF(_PENDIENTES!$B$57&lt;&gt;"",_PENDIENTES!$L$57,"")</f>
        <v>COLCAMAR</v>
      </c>
      <c r="O63" s="89"/>
      <c r="P63" s="89"/>
      <c r="Q63" s="89"/>
      <c r="R63" s="89"/>
      <c r="S63" s="89"/>
    </row>
    <row r="64" customFormat="false" ht="15.75" hidden="true" customHeight="true" outlineLevel="0" collapsed="false">
      <c r="A64" s="106" t="n">
        <f aca="false">IF(_PENDIENTES!$B$58&lt;&gt;"",57,"")</f>
        <v>57</v>
      </c>
      <c r="B64" s="47" t="str">
        <f aca="false">IF(_PENDIENTES!$B$58&lt;&gt;"",_PENDIENTES!$A$58,"")</f>
        <v>ENE</v>
      </c>
      <c r="C64" s="107" t="str">
        <f aca="false">IF(_PENDIENTES!$B$58&lt;&gt;"",_PENDIENTES!$C$58,"")</f>
        <v>VALLE HIDALGO JULIA CONSUELO</v>
      </c>
      <c r="D64" s="106" t="str">
        <f aca="false">IF(_PENDIENTES!$B$58&lt;&gt;"",_PENDIENTES!$D$58,"")</f>
        <v>33421228</v>
      </c>
      <c r="E64" s="111" t="str">
        <f aca="false">IF(_PENDIENTES!$B$58&lt;&gt;"",_PENDIENTES!$E$58,"")</f>
        <v>29/01/2026</v>
      </c>
      <c r="F64" s="106" t="str">
        <f aca="false">IF(_PENDIENTES!$B$58&lt;&gt;"",_PENDIENTES!$F$58,"")</f>
        <v>PETROLEO</v>
      </c>
      <c r="G64" s="50" t="n">
        <f aca="false">IF(_PENDIENTES!$B$58&lt;&gt;"",_PENDIENTES!$G$58,"")</f>
        <v>8</v>
      </c>
      <c r="H64" s="50" t="n">
        <f aca="false">IF(_PENDIENTES!$B$58&lt;&gt;"",_PENDIENTES!$H$58,"")</f>
        <v>145.44</v>
      </c>
      <c r="I64" s="108" t="str">
        <f aca="false">IF(_PENDIENTES!$B$58&lt;&gt;"",_PENDIENTES!$I$58,"")</f>
        <v>SANCHEZ CAJO VICENTE</v>
      </c>
      <c r="J64" s="50" t="str">
        <f aca="false">IF(_PENDIENTES!$B$58&lt;&gt;"",_PENDIENTES!$J$58,"")</f>
        <v>EGL-296</v>
      </c>
      <c r="K64" s="106" t="str">
        <f aca="false">IF(_PENDIENTES!$B$58&lt;&gt;"","POR RECOGER","")</f>
        <v>POR RECOGER</v>
      </c>
      <c r="L64" s="107" t="str">
        <f aca="false">IF(_PENDIENTES!$B$58&lt;&gt;"",_PENDIENTES!$K$58,"")</f>
        <v>YERBABUENA</v>
      </c>
      <c r="M64" s="85" t="str">
        <f aca="false">IF(_PENDIENTES!$B$58&lt;&gt;"",_PENDIENTES!$B$58,"")</f>
        <v>YERBABUENA</v>
      </c>
      <c r="N64" s="109" t="str">
        <f aca="false">IF(_PENDIENTES!$B$58&lt;&gt;"",_PENDIENTES!$L$58,"")</f>
        <v>DURAZNOPAMPA</v>
      </c>
      <c r="O64" s="89"/>
      <c r="P64" s="89"/>
      <c r="Q64" s="89"/>
      <c r="R64" s="89"/>
      <c r="S64" s="89"/>
    </row>
    <row r="65" customFormat="false" ht="15.75" hidden="true" customHeight="true" outlineLevel="0" collapsed="false">
      <c r="A65" s="46" t="n">
        <f aca="false">IF(_PENDIENTES!$B$59&lt;&gt;"",58,"")</f>
        <v>58</v>
      </c>
      <c r="B65" s="41" t="str">
        <f aca="false">IF(_PENDIENTES!$B$59&lt;&gt;"",_PENDIENTES!$A$59,"")</f>
        <v>ENE</v>
      </c>
      <c r="C65" s="110" t="str">
        <f aca="false">IF(_PENDIENTES!$B$59&lt;&gt;"",_PENDIENTES!$C$59,"")</f>
        <v>DIAZ MESIA DIANELIT THALIA</v>
      </c>
      <c r="D65" s="46" t="str">
        <f aca="false">IF(_PENDIENTES!$B$59&lt;&gt;"",_PENDIENTES!$D$59,"")</f>
        <v>75729771</v>
      </c>
      <c r="E65" s="112" t="str">
        <f aca="false">IF(_PENDIENTES!$B$59&lt;&gt;"",_PENDIENTES!$E$59,"")</f>
        <v>29/01/2026</v>
      </c>
      <c r="F65" s="46" t="str">
        <f aca="false">IF(_PENDIENTES!$B$59&lt;&gt;"",_PENDIENTES!$F$59,"")</f>
        <v>PETROLEO</v>
      </c>
      <c r="G65" s="44" t="n">
        <f aca="false">IF(_PENDIENTES!$B$59&lt;&gt;"",_PENDIENTES!$G$59,"")</f>
        <v>7</v>
      </c>
      <c r="H65" s="44" t="n">
        <f aca="false">IF(_PENDIENTES!$B$59&lt;&gt;"",_PENDIENTES!$H$59,"")</f>
        <v>127.26</v>
      </c>
      <c r="I65" s="113" t="str">
        <f aca="false">IF(_PENDIENTES!$B$59&lt;&gt;"",_PENDIENTES!$I$59,"")</f>
        <v>BUELOT VISALOT CARLO MAGNO</v>
      </c>
      <c r="J65" s="44" t="str">
        <f aca="false">IF(_PENDIENTES!$B$59&lt;&gt;"",_PENDIENTES!$J$59,"")</f>
        <v>EUD 634</v>
      </c>
      <c r="K65" s="46" t="str">
        <f aca="false">IF(_PENDIENTES!$B$59&lt;&gt;"","POR RECOGER","")</f>
        <v>POR RECOGER</v>
      </c>
      <c r="L65" s="110" t="n">
        <f aca="false">IF(_PENDIENTES!$B$59&lt;&gt;"",_PENDIENTES!$K$59,"")</f>
        <v>0</v>
      </c>
      <c r="M65" s="85" t="str">
        <f aca="false">IF(_PENDIENTES!$B$59&lt;&gt;"",_PENDIENTES!$B$59,"")</f>
        <v>COLCAMAR</v>
      </c>
      <c r="N65" s="109" t="str">
        <f aca="false">IF(_PENDIENTES!$B$59&lt;&gt;"",_PENDIENTES!$L$59,"")</f>
        <v>COLCAMAR</v>
      </c>
      <c r="O65" s="89"/>
      <c r="P65" s="89"/>
      <c r="Q65" s="89"/>
      <c r="R65" s="89"/>
      <c r="S65" s="89"/>
    </row>
    <row r="66" customFormat="false" ht="15.75" hidden="true" customHeight="true" outlineLevel="0" collapsed="false">
      <c r="A66" s="106" t="n">
        <f aca="false">IF(_PENDIENTES!$B$60&lt;&gt;"",59,"")</f>
        <v>59</v>
      </c>
      <c r="B66" s="47" t="str">
        <f aca="false">IF(_PENDIENTES!$B$60&lt;&gt;"",_PENDIENTES!$A$60,"")</f>
        <v>ENE</v>
      </c>
      <c r="C66" s="107" t="str">
        <f aca="false">IF(_PENDIENTES!$B$60&lt;&gt;"",_PENDIENTES!$C$60,"")</f>
        <v>TORRES CANTA FRANCE YOSELIN</v>
      </c>
      <c r="D66" s="106" t="str">
        <f aca="false">IF(_PENDIENTES!$B$60&lt;&gt;"",_PENDIENTES!$D$60,"")</f>
        <v>76059052</v>
      </c>
      <c r="E66" s="111" t="str">
        <f aca="false">IF(_PENDIENTES!$B$60&lt;&gt;"",_PENDIENTES!$E$60,"")</f>
        <v>29/01/2026</v>
      </c>
      <c r="F66" s="106" t="str">
        <f aca="false">IF(_PENDIENTES!$B$60&lt;&gt;"",_PENDIENTES!$F$60,"")</f>
        <v>PETROLEO</v>
      </c>
      <c r="G66" s="50" t="n">
        <f aca="false">IF(_PENDIENTES!$B$60&lt;&gt;"",_PENDIENTES!$G$60,"")</f>
        <v>5</v>
      </c>
      <c r="H66" s="50" t="n">
        <f aca="false">IF(_PENDIENTES!$B$60&lt;&gt;"",_PENDIENTES!$H$60,"")</f>
        <v>90.9</v>
      </c>
      <c r="I66" s="108" t="str">
        <f aca="false">IF(_PENDIENTES!$B$60&lt;&gt;"",_PENDIENTES!$I$60,"")</f>
        <v>MONTENEGRO RUIZ LUIS MIGUEL</v>
      </c>
      <c r="J66" s="50" t="str">
        <f aca="false">IF(_PENDIENTES!$B$60&lt;&gt;"",_PENDIENTES!$J$60,"")</f>
        <v>EUH-427</v>
      </c>
      <c r="K66" s="106" t="str">
        <f aca="false">IF(_PENDIENTES!$B$60&lt;&gt;"","POR RECOGER","")</f>
        <v>POR RECOGER</v>
      </c>
      <c r="L66" s="107" t="n">
        <f aca="false">IF(_PENDIENTES!$B$60&lt;&gt;"",_PENDIENTES!$K$60,"")</f>
        <v>0</v>
      </c>
      <c r="M66" s="85" t="str">
        <f aca="false">IF(_PENDIENTES!$B$60&lt;&gt;"",_PENDIENTES!$B$60,"")</f>
        <v>PEDRO RUIZ GALLO</v>
      </c>
      <c r="N66" s="109" t="str">
        <f aca="false">IF(_PENDIENTES!$B$60&lt;&gt;"",_PENDIENTES!$L$60,"")</f>
        <v>PEDRO RUIZ GALLO</v>
      </c>
      <c r="O66" s="89"/>
      <c r="P66" s="89"/>
      <c r="Q66" s="89"/>
      <c r="R66" s="89"/>
      <c r="S66" s="89"/>
    </row>
    <row r="67" customFormat="false" ht="15.75" hidden="true" customHeight="true" outlineLevel="0" collapsed="false">
      <c r="A67" s="46" t="n">
        <f aca="false">IF(_PENDIENTES!$B$61&lt;&gt;"",60,"")</f>
        <v>60</v>
      </c>
      <c r="B67" s="41" t="str">
        <f aca="false">IF(_PENDIENTES!$B$61&lt;&gt;"",_PENDIENTES!$A$61,"")</f>
        <v>ENE</v>
      </c>
      <c r="C67" s="110" t="str">
        <f aca="false">IF(_PENDIENTES!$B$61&lt;&gt;"",_PENDIENTES!$C$61,"")</f>
        <v>MUÑOZ BUSTAMANTE MARINA MELANIA</v>
      </c>
      <c r="D67" s="46" t="str">
        <f aca="false">IF(_PENDIENTES!$B$61&lt;&gt;"",_PENDIENTES!$D$61,"")</f>
        <v>47349553</v>
      </c>
      <c r="E67" s="112" t="str">
        <f aca="false">IF(_PENDIENTES!$B$61&lt;&gt;"",_PENDIENTES!$E$61,"")</f>
        <v>29/01/2026</v>
      </c>
      <c r="F67" s="46" t="str">
        <f aca="false">IF(_PENDIENTES!$B$61&lt;&gt;"",_PENDIENTES!$F$61,"")</f>
        <v>PETROLEO</v>
      </c>
      <c r="G67" s="44" t="n">
        <f aca="false">IF(_PENDIENTES!$B$61&lt;&gt;"",_PENDIENTES!$G$61,"")</f>
        <v>7.5</v>
      </c>
      <c r="H67" s="44" t="n">
        <f aca="false">IF(_PENDIENTES!$B$61&lt;&gt;"",_PENDIENTES!$H$61,"")</f>
        <v>151.875</v>
      </c>
      <c r="I67" s="113" t="str">
        <f aca="false">IF(_PENDIENTES!$B$61&lt;&gt;"",_PENDIENTES!$I$61,"")</f>
        <v>SERNAQUE PELAEZ WILMER</v>
      </c>
      <c r="J67" s="44" t="str">
        <f aca="false">IF(_PENDIENTES!$B$61&lt;&gt;"",_PENDIENTES!$J$61,"")</f>
        <v>EUH-421</v>
      </c>
      <c r="K67" s="46" t="str">
        <f aca="false">IF(_PENDIENTES!$B$61&lt;&gt;"","POR RECOGER","")</f>
        <v>POR RECOGER</v>
      </c>
      <c r="L67" s="110" t="n">
        <f aca="false">IF(_PENDIENTES!$B$61&lt;&gt;"",_PENDIENTES!$K$61,"")</f>
        <v>0</v>
      </c>
      <c r="M67" s="85" t="str">
        <f aca="false">IF(_PENDIENTES!$B$61&lt;&gt;"",_PENDIENTES!$B$61,"")</f>
        <v>MARIA AUXILIADORA</v>
      </c>
      <c r="N67" s="109" t="str">
        <f aca="false">IF(_PENDIENTES!$B$61&lt;&gt;"",_PENDIENTES!$L$61,"")</f>
        <v>MARIA AUXILIADORA</v>
      </c>
      <c r="O67" s="89"/>
      <c r="P67" s="89"/>
      <c r="Q67" s="89"/>
      <c r="R67" s="89"/>
      <c r="S67" s="89"/>
    </row>
    <row r="68" customFormat="false" ht="15.75" hidden="true" customHeight="true" outlineLevel="0" collapsed="false">
      <c r="A68" s="106" t="n">
        <f aca="false">IF(_PENDIENTES!$B$62&lt;&gt;"",61,"")</f>
        <v>61</v>
      </c>
      <c r="B68" s="47" t="str">
        <f aca="false">IF(_PENDIENTES!$B$62&lt;&gt;"",_PENDIENTES!$A$62,"")</f>
        <v>ENE</v>
      </c>
      <c r="C68" s="107" t="str">
        <f aca="false">IF(_PENDIENTES!$B$62&lt;&gt;"",_PENDIENTES!$C$62,"")</f>
        <v>PORTOCARRERO PORTOCARRERO MARIA</v>
      </c>
      <c r="D68" s="106" t="str">
        <f aca="false">IF(_PENDIENTES!$B$62&lt;&gt;"",_PENDIENTES!$D$62,"")</f>
        <v>46109691</v>
      </c>
      <c r="E68" s="111" t="str">
        <f aca="false">IF(_PENDIENTES!$B$62&lt;&gt;"",_PENDIENTES!$E$62,"")</f>
        <v>21/01/2026</v>
      </c>
      <c r="F68" s="106" t="str">
        <f aca="false">IF(_PENDIENTES!$B$62&lt;&gt;"",_PENDIENTES!$F$62,"")</f>
        <v>PETROLEO</v>
      </c>
      <c r="G68" s="50" t="n">
        <f aca="false">IF(_PENDIENTES!$B$62&lt;&gt;"",_PENDIENTES!$G$62,"")</f>
        <v>3</v>
      </c>
      <c r="H68" s="50" t="n">
        <f aca="false">IF(_PENDIENTES!$B$62&lt;&gt;"",_PENDIENTES!$H$62,"")</f>
        <v>60.75</v>
      </c>
      <c r="I68" s="108" t="str">
        <f aca="false">IF(_PENDIENTES!$B$62&lt;&gt;"",_PENDIENTES!$I$62,"")</f>
        <v>LOPEZ HOYOS MIGUEL ANGEL</v>
      </c>
      <c r="J68" s="50" t="str">
        <f aca="false">IF(_PENDIENTES!$B$62&lt;&gt;"",_PENDIENTES!$J$62,"")</f>
        <v>EUH-698</v>
      </c>
      <c r="K68" s="106" t="str">
        <f aca="false">IF(_PENDIENTES!$B$62&lt;&gt;"","POR RECOGER","")</f>
        <v>POR RECOGER</v>
      </c>
      <c r="L68" s="107" t="n">
        <f aca="false">IF(_PENDIENTES!$B$62&lt;&gt;"",_PENDIENTES!$K$62,"")</f>
        <v>0</v>
      </c>
      <c r="M68" s="85" t="str">
        <f aca="false">IF(_PENDIENTES!$B$62&lt;&gt;"",_PENDIENTES!$B$62,"")</f>
        <v>HUAMBO</v>
      </c>
      <c r="N68" s="109" t="str">
        <f aca="false">IF(_PENDIENTES!$B$62&lt;&gt;"",_PENDIENTES!$L$62,"")</f>
        <v>HUAMBO</v>
      </c>
      <c r="O68" s="89"/>
      <c r="P68" s="89"/>
      <c r="Q68" s="89"/>
      <c r="R68" s="89"/>
      <c r="S68" s="89"/>
    </row>
    <row r="69" customFormat="false" ht="15.75" hidden="true" customHeight="true" outlineLevel="0" collapsed="false">
      <c r="A69" s="46" t="n">
        <f aca="false">IF(_PENDIENTES!$B$63&lt;&gt;"",62,"")</f>
        <v>62</v>
      </c>
      <c r="B69" s="41" t="str">
        <f aca="false">IF(_PENDIENTES!$B$63&lt;&gt;"",_PENDIENTES!$A$63,"")</f>
        <v>ENE</v>
      </c>
      <c r="C69" s="110" t="str">
        <f aca="false">IF(_PENDIENTES!$B$63&lt;&gt;"",_PENDIENTES!$C$63,"")</f>
        <v>VALLEJOS FERNANDEZ SEILI DEL CARMEN</v>
      </c>
      <c r="D69" s="46" t="str">
        <f aca="false">IF(_PENDIENTES!$B$63&lt;&gt;"",_PENDIENTES!$D$63,"")</f>
        <v>76650410</v>
      </c>
      <c r="E69" s="112" t="str">
        <f aca="false">IF(_PENDIENTES!$B$63&lt;&gt;"",_PENDIENTES!$E$63,"")</f>
        <v>19/01/2026</v>
      </c>
      <c r="F69" s="46" t="str">
        <f aca="false">IF(_PENDIENTES!$B$63&lt;&gt;"",_PENDIENTES!$F$63,"")</f>
        <v>PETROLEO</v>
      </c>
      <c r="G69" s="44" t="n">
        <f aca="false">IF(_PENDIENTES!$B$63&lt;&gt;"",_PENDIENTES!$G$63,"")</f>
        <v>4</v>
      </c>
      <c r="H69" s="44" t="n">
        <f aca="false">IF(_PENDIENTES!$B$63&lt;&gt;"",_PENDIENTES!$H$63,"")</f>
        <v>72.72</v>
      </c>
      <c r="I69" s="113" t="str">
        <f aca="false">IF(_PENDIENTES!$B$63&lt;&gt;"",_PENDIENTES!$I$63,"")</f>
        <v>DANIEL ZELADA TRUJILLO</v>
      </c>
      <c r="J69" s="44" t="str">
        <f aca="false">IF(_PENDIENTES!$B$63&lt;&gt;"",_PENDIENTES!$J$63,"")</f>
        <v>EUA-963</v>
      </c>
      <c r="K69" s="46" t="str">
        <f aca="false">IF(_PENDIENTES!$B$63&lt;&gt;"","POR RECOGER","")</f>
        <v>POR RECOGER</v>
      </c>
      <c r="L69" s="110" t="n">
        <f aca="false">IF(_PENDIENTES!$B$63&lt;&gt;"",_PENDIENTES!$K$63,"")</f>
        <v>0</v>
      </c>
      <c r="M69" s="85" t="str">
        <f aca="false">IF(_PENDIENTES!$B$63&lt;&gt;"",_PENDIENTES!$B$63,"")</f>
        <v>LAMUD</v>
      </c>
      <c r="N69" s="109" t="str">
        <f aca="false">IF(_PENDIENTES!$B$63&lt;&gt;"",_PENDIENTES!$L$63,"")</f>
        <v>LAMUD</v>
      </c>
      <c r="O69" s="89"/>
      <c r="P69" s="89"/>
      <c r="Q69" s="89"/>
      <c r="R69" s="89"/>
      <c r="S69" s="89"/>
    </row>
    <row r="70" customFormat="false" ht="15.75" hidden="true" customHeight="true" outlineLevel="0" collapsed="false">
      <c r="A70" s="106" t="n">
        <f aca="false">IF(_PENDIENTES!$B$64&lt;&gt;"",63,"")</f>
        <v>63</v>
      </c>
      <c r="B70" s="47" t="str">
        <f aca="false">IF(_PENDIENTES!$B$64&lt;&gt;"",_PENDIENTES!$A$64,"")</f>
        <v>ENE</v>
      </c>
      <c r="C70" s="107" t="str">
        <f aca="false">IF(_PENDIENTES!$B$64&lt;&gt;"",_PENDIENTES!$C$64,"")</f>
        <v>GOMEZ GOMEZ MAYCOL LLAMPIER</v>
      </c>
      <c r="D70" s="106" t="str">
        <f aca="false">IF(_PENDIENTES!$B$64&lt;&gt;"",_PENDIENTES!$D$64,"")</f>
        <v>60032138</v>
      </c>
      <c r="E70" s="111" t="str">
        <f aca="false">IF(_PENDIENTES!$B$64&lt;&gt;"",_PENDIENTES!$E$64,"")</f>
        <v>23/01/2026</v>
      </c>
      <c r="F70" s="106" t="str">
        <f aca="false">IF(_PENDIENTES!$B$64&lt;&gt;"",_PENDIENTES!$F$64,"")</f>
        <v>PETROLEO</v>
      </c>
      <c r="G70" s="50" t="n">
        <f aca="false">IF(_PENDIENTES!$B$64&lt;&gt;"",_PENDIENTES!$G$64,"")</f>
        <v>4</v>
      </c>
      <c r="H70" s="50" t="n">
        <f aca="false">IF(_PENDIENTES!$B$64&lt;&gt;"",_PENDIENTES!$H$64,"")</f>
        <v>72.72</v>
      </c>
      <c r="I70" s="108" t="str">
        <f aca="false">IF(_PENDIENTES!$B$64&lt;&gt;"",_PENDIENTES!$I$64,"")</f>
        <v>RUFASTO CHUQUIZUTA JUAN KAROOL</v>
      </c>
      <c r="J70" s="50" t="str">
        <f aca="false">IF(_PENDIENTES!$B$64&lt;&gt;"",_PENDIENTES!$J$64,"")</f>
        <v>EUA963</v>
      </c>
      <c r="K70" s="106" t="str">
        <f aca="false">IF(_PENDIENTES!$B$64&lt;&gt;"","POR RECOGER","")</f>
        <v>POR RECOGER</v>
      </c>
      <c r="L70" s="107" t="n">
        <f aca="false">IF(_PENDIENTES!$B$64&lt;&gt;"",_PENDIENTES!$K$64,"")</f>
        <v>0</v>
      </c>
      <c r="M70" s="85" t="str">
        <f aca="false">IF(_PENDIENTES!$B$64&lt;&gt;"",_PENDIENTES!$B$64,"")</f>
        <v>LAMUD</v>
      </c>
      <c r="N70" s="109" t="str">
        <f aca="false">IF(_PENDIENTES!$B$64&lt;&gt;"",_PENDIENTES!$L$64,"")</f>
        <v>LAMUD</v>
      </c>
      <c r="O70" s="89"/>
      <c r="P70" s="89"/>
      <c r="Q70" s="89"/>
      <c r="R70" s="89"/>
      <c r="S70" s="89"/>
    </row>
    <row r="71" customFormat="false" ht="15.75" hidden="true" customHeight="true" outlineLevel="0" collapsed="false">
      <c r="A71" s="46" t="n">
        <f aca="false">IF(_PENDIENTES!$B$65&lt;&gt;"",64,"")</f>
        <v>64</v>
      </c>
      <c r="B71" s="41" t="str">
        <f aca="false">IF(_PENDIENTES!$B$65&lt;&gt;"",_PENDIENTES!$A$65,"")</f>
        <v>ENE</v>
      </c>
      <c r="C71" s="110" t="str">
        <f aca="false">IF(_PENDIENTES!$B$65&lt;&gt;"",_PENDIENTES!$C$65,"")</f>
        <v>SANTILLAN YALTA SEGUNDO MELQUIADES</v>
      </c>
      <c r="D71" s="46" t="str">
        <f aca="false">IF(_PENDIENTES!$B$65&lt;&gt;"",_PENDIENTES!$D$65,"")</f>
        <v>41690429</v>
      </c>
      <c r="E71" s="112" t="str">
        <f aca="false">IF(_PENDIENTES!$B$65&lt;&gt;"",_PENDIENTES!$E$65,"")</f>
        <v>28/01/2026</v>
      </c>
      <c r="F71" s="46" t="str">
        <f aca="false">IF(_PENDIENTES!$B$65&lt;&gt;"",_PENDIENTES!$F$65,"")</f>
        <v>PETROLEO</v>
      </c>
      <c r="G71" s="44" t="n">
        <f aca="false">IF(_PENDIENTES!$B$65&lt;&gt;"",_PENDIENTES!$G$65,"")</f>
        <v>4</v>
      </c>
      <c r="H71" s="44" t="n">
        <f aca="false">IF(_PENDIENTES!$B$65&lt;&gt;"",_PENDIENTES!$H$65,"")</f>
        <v>72.72</v>
      </c>
      <c r="I71" s="113" t="str">
        <f aca="false">IF(_PENDIENTES!$B$65&lt;&gt;"",_PENDIENTES!$I$65,"")</f>
        <v>DANIEL ZELADA TRUJILLO</v>
      </c>
      <c r="J71" s="44" t="str">
        <f aca="false">IF(_PENDIENTES!$B$65&lt;&gt;"",_PENDIENTES!$J$65,"")</f>
        <v>EUA-963</v>
      </c>
      <c r="K71" s="46" t="str">
        <f aca="false">IF(_PENDIENTES!$B$65&lt;&gt;"","POR RECOGER","")</f>
        <v>POR RECOGER</v>
      </c>
      <c r="L71" s="110" t="n">
        <f aca="false">IF(_PENDIENTES!$B$65&lt;&gt;"",_PENDIENTES!$K$65,"")</f>
        <v>0</v>
      </c>
      <c r="M71" s="85" t="str">
        <f aca="false">IF(_PENDIENTES!$B$65&lt;&gt;"",_PENDIENTES!$B$65,"")</f>
        <v>LAMUD</v>
      </c>
      <c r="N71" s="109" t="str">
        <f aca="false">IF(_PENDIENTES!$B$65&lt;&gt;"",_PENDIENTES!$L$65,"")</f>
        <v>LAMUD</v>
      </c>
      <c r="O71" s="89"/>
      <c r="P71" s="89"/>
      <c r="Q71" s="89"/>
      <c r="R71" s="89"/>
      <c r="S71" s="89"/>
    </row>
    <row r="72" customFormat="false" ht="15.75" hidden="true" customHeight="true" outlineLevel="0" collapsed="false">
      <c r="A72" s="106" t="n">
        <f aca="false">IF(_PENDIENTES!$B$66&lt;&gt;"",65,"")</f>
        <v>65</v>
      </c>
      <c r="B72" s="47" t="str">
        <f aca="false">IF(_PENDIENTES!$B$66&lt;&gt;"",_PENDIENTES!$A$66,"")</f>
        <v>ENE</v>
      </c>
      <c r="C72" s="107" t="str">
        <f aca="false">IF(_PENDIENTES!$B$66&lt;&gt;"",_PENDIENTES!$C$66,"")</f>
        <v>RODRIGUEZ CHAVEZ RELI JHUDIT</v>
      </c>
      <c r="D72" s="106" t="str">
        <f aca="false">IF(_PENDIENTES!$B$66&lt;&gt;"",_PENDIENTES!$D$66,"")</f>
        <v>48765807</v>
      </c>
      <c r="E72" s="111" t="str">
        <f aca="false">IF(_PENDIENTES!$B$66&lt;&gt;"",_PENDIENTES!$E$66,"")</f>
        <v>16/01/2026</v>
      </c>
      <c r="F72" s="106" t="str">
        <f aca="false">IF(_PENDIENTES!$B$66&lt;&gt;"",_PENDIENTES!$F$66,"")</f>
        <v>PETROLEO</v>
      </c>
      <c r="G72" s="50" t="n">
        <f aca="false">IF(_PENDIENTES!$B$66&lt;&gt;"",_PENDIENTES!$G$66,"")</f>
        <v>15</v>
      </c>
      <c r="H72" s="50" t="n">
        <f aca="false">IF(_PENDIENTES!$B$66&lt;&gt;"",_PENDIENTES!$H$66,"")</f>
        <v>272.7</v>
      </c>
      <c r="I72" s="108" t="str">
        <f aca="false">IF(_PENDIENTES!$B$66&lt;&gt;"",_PENDIENTES!$I$66,"")</f>
        <v>ABANTO VALDIVIA HANS MIKKEL</v>
      </c>
      <c r="J72" s="50" t="str">
        <f aca="false">IF(_PENDIENTES!$B$66&lt;&gt;"",_PENDIENTES!$J$66,"")</f>
        <v>EUH 640</v>
      </c>
      <c r="K72" s="106" t="str">
        <f aca="false">IF(_PENDIENTES!$B$66&lt;&gt;"","POR RECOGER","")</f>
        <v>POR RECOGER</v>
      </c>
      <c r="L72" s="107" t="n">
        <f aca="false">IF(_PENDIENTES!$B$66&lt;&gt;"",_PENDIENTES!$K$66,"")</f>
        <v>0</v>
      </c>
      <c r="M72" s="85" t="str">
        <f aca="false">IF(_PENDIENTES!$B$66&lt;&gt;"",_PENDIENTES!$B$66,"")</f>
        <v>CHUQUIBAMBA</v>
      </c>
      <c r="N72" s="109" t="str">
        <f aca="false">IF(_PENDIENTES!$B$66&lt;&gt;"",_PENDIENTES!$L$66,"")</f>
        <v>CHUQUIBAMBA</v>
      </c>
      <c r="O72" s="89"/>
      <c r="P72" s="89"/>
      <c r="Q72" s="89"/>
      <c r="R72" s="89"/>
      <c r="S72" s="89"/>
    </row>
    <row r="73" customFormat="false" ht="15.75" hidden="true" customHeight="true" outlineLevel="0" collapsed="false">
      <c r="A73" s="46" t="n">
        <f aca="false">IF(_PENDIENTES!$B$67&lt;&gt;"",66,"")</f>
        <v>66</v>
      </c>
      <c r="B73" s="41" t="str">
        <f aca="false">IF(_PENDIENTES!$B$67&lt;&gt;"",_PENDIENTES!$A$67,"")</f>
        <v>ENE</v>
      </c>
      <c r="C73" s="110" t="str">
        <f aca="false">IF(_PENDIENTES!$B$67&lt;&gt;"",_PENDIENTES!$C$67,"")</f>
        <v>ESPARRAGA CASTILLO KEYNE MICHEL</v>
      </c>
      <c r="D73" s="46" t="str">
        <f aca="false">IF(_PENDIENTES!$B$67&lt;&gt;"",_PENDIENTES!$D$67,"")</f>
        <v>94051643</v>
      </c>
      <c r="E73" s="112" t="str">
        <f aca="false">IF(_PENDIENTES!$B$67&lt;&gt;"",_PENDIENTES!$E$67,"")</f>
        <v>15/01/2026</v>
      </c>
      <c r="F73" s="46" t="str">
        <f aca="false">IF(_PENDIENTES!$B$67&lt;&gt;"",_PENDIENTES!$F$67,"")</f>
        <v>PETROLEO</v>
      </c>
      <c r="G73" s="44" t="n">
        <f aca="false">IF(_PENDIENTES!$B$67&lt;&gt;"",_PENDIENTES!$G$67,"")</f>
        <v>5</v>
      </c>
      <c r="H73" s="44" t="n">
        <f aca="false">IF(_PENDIENTES!$B$67&lt;&gt;"",_PENDIENTES!$H$67,"")</f>
        <v>90.9</v>
      </c>
      <c r="I73" s="113" t="str">
        <f aca="false">IF(_PENDIENTES!$B$67&lt;&gt;"",_PENDIENTES!$I$67,"")</f>
        <v>MUNOZ VERGARAY JORGE ENRRIQUE</v>
      </c>
      <c r="J73" s="44" t="str">
        <f aca="false">IF(_PENDIENTES!$B$67&lt;&gt;"",_PENDIENTES!$J$67,"")</f>
        <v>EUH 427</v>
      </c>
      <c r="K73" s="46" t="str">
        <f aca="false">IF(_PENDIENTES!$B$67&lt;&gt;"","POR RECOGER","")</f>
        <v>POR RECOGER</v>
      </c>
      <c r="L73" s="110" t="n">
        <f aca="false">IF(_PENDIENTES!$B$67&lt;&gt;"",_PENDIENTES!$K$67,"")</f>
        <v>0</v>
      </c>
      <c r="M73" s="85" t="str">
        <f aca="false">IF(_PENDIENTES!$B$67&lt;&gt;"",_PENDIENTES!$B$67,"")</f>
        <v>PEDRO RUIZ GALLO</v>
      </c>
      <c r="N73" s="109" t="str">
        <f aca="false">IF(_PENDIENTES!$B$67&lt;&gt;"",_PENDIENTES!$L$67,"")</f>
        <v>PEDRO RUIZ GALLO</v>
      </c>
      <c r="O73" s="89"/>
      <c r="P73" s="89"/>
      <c r="Q73" s="89"/>
      <c r="R73" s="89"/>
      <c r="S73" s="89"/>
    </row>
    <row r="74" customFormat="false" ht="15.75" hidden="true" customHeight="true" outlineLevel="0" collapsed="false">
      <c r="A74" s="106" t="n">
        <f aca="false">IF(_PENDIENTES!$B$68&lt;&gt;"",67,"")</f>
        <v>67</v>
      </c>
      <c r="B74" s="47" t="str">
        <f aca="false">IF(_PENDIENTES!$B$68&lt;&gt;"",_PENDIENTES!$A$68,"")</f>
        <v>ENE</v>
      </c>
      <c r="C74" s="107" t="str">
        <f aca="false">IF(_PENDIENTES!$B$68&lt;&gt;"",_PENDIENTES!$C$68,"")</f>
        <v>VALLEJOS FUENTES ROYMER</v>
      </c>
      <c r="D74" s="106" t="str">
        <f aca="false">IF(_PENDIENTES!$B$68&lt;&gt;"",_PENDIENTES!$D$68,"")</f>
        <v>41151923</v>
      </c>
      <c r="E74" s="111" t="str">
        <f aca="false">IF(_PENDIENTES!$B$68&lt;&gt;"",_PENDIENTES!$E$68,"")</f>
        <v>25/01/2026</v>
      </c>
      <c r="F74" s="106" t="str">
        <f aca="false">IF(_PENDIENTES!$B$68&lt;&gt;"",_PENDIENTES!$F$68,"")</f>
        <v>PETROLEO</v>
      </c>
      <c r="G74" s="50" t="n">
        <f aca="false">IF(_PENDIENTES!$B$68&lt;&gt;"",_PENDIENTES!$G$68,"")</f>
        <v>20</v>
      </c>
      <c r="H74" s="50" t="n">
        <f aca="false">IF(_PENDIENTES!$B$68&lt;&gt;"",_PENDIENTES!$H$68,"")</f>
        <v>363.6</v>
      </c>
      <c r="I74" s="108" t="str">
        <f aca="false">IF(_PENDIENTES!$B$68&lt;&gt;"",_PENDIENTES!$I$68,"")</f>
        <v>ALBERTO FARRO PEREZ</v>
      </c>
      <c r="J74" s="50" t="str">
        <f aca="false">IF(_PENDIENTES!$B$68&lt;&gt;"",_PENDIENTES!$J$68,"")</f>
        <v>EGO-124</v>
      </c>
      <c r="K74" s="106" t="str">
        <f aca="false">IF(_PENDIENTES!$B$68&lt;&gt;"","POR RECOGER","")</f>
        <v>POR RECOGER</v>
      </c>
      <c r="L74" s="107" t="n">
        <f aca="false">IF(_PENDIENTES!$B$68&lt;&gt;"",_PENDIENTES!$K$68,"")</f>
        <v>0</v>
      </c>
      <c r="M74" s="85" t="str">
        <f aca="false">IF(_PENDIENTES!$B$68&lt;&gt;"",_PENDIENTES!$B$68,"")</f>
        <v>OCALLI</v>
      </c>
      <c r="N74" s="109" t="str">
        <f aca="false">IF(_PENDIENTES!$B$68&lt;&gt;"",_PENDIENTES!$L$68,"")</f>
        <v>OCALLI</v>
      </c>
      <c r="O74" s="89"/>
      <c r="P74" s="89"/>
      <c r="Q74" s="89"/>
      <c r="R74" s="89"/>
      <c r="S74" s="89"/>
    </row>
    <row r="75" customFormat="false" ht="15.75" hidden="true" customHeight="true" outlineLevel="0" collapsed="false">
      <c r="A75" s="46" t="n">
        <f aca="false">IF(_PENDIENTES!$B$69&lt;&gt;"",68,"")</f>
        <v>68</v>
      </c>
      <c r="B75" s="41" t="str">
        <f aca="false">IF(_PENDIENTES!$B$69&lt;&gt;"",_PENDIENTES!$A$69,"")</f>
        <v>ENE</v>
      </c>
      <c r="C75" s="110" t="str">
        <f aca="false">IF(_PENDIENTES!$B$69&lt;&gt;"",_PENDIENTES!$C$69,"")</f>
        <v>GUADALUPE MELENDEZ SILVIA MERCEDES</v>
      </c>
      <c r="D75" s="46" t="str">
        <f aca="false">IF(_PENDIENTES!$B$69&lt;&gt;"",_PENDIENTES!$D$69,"")</f>
        <v>80399218</v>
      </c>
      <c r="E75" s="112" t="str">
        <f aca="false">IF(_PENDIENTES!$B$69&lt;&gt;"",_PENDIENTES!$E$69,"")</f>
        <v>15/01/2026</v>
      </c>
      <c r="F75" s="46" t="str">
        <f aca="false">IF(_PENDIENTES!$B$69&lt;&gt;"",_PENDIENTES!$F$69,"")</f>
        <v>PETROLEO</v>
      </c>
      <c r="G75" s="44" t="n">
        <f aca="false">IF(_PENDIENTES!$B$69&lt;&gt;"",_PENDIENTES!$G$69,"")</f>
        <v>20</v>
      </c>
      <c r="H75" s="44" t="n">
        <f aca="false">IF(_PENDIENTES!$B$69&lt;&gt;"",_PENDIENTES!$H$69,"")</f>
        <v>363.6</v>
      </c>
      <c r="I75" s="113" t="str">
        <f aca="false">IF(_PENDIENTES!$B$69&lt;&gt;"",_PENDIENTES!$I$69,"")</f>
        <v>ALBERTO FARRO PEREZ</v>
      </c>
      <c r="J75" s="44" t="str">
        <f aca="false">IF(_PENDIENTES!$B$69&lt;&gt;"",_PENDIENTES!$J$69,"")</f>
        <v>EGO-124</v>
      </c>
      <c r="K75" s="46" t="str">
        <f aca="false">IF(_PENDIENTES!$B$69&lt;&gt;"","POR RECOGER","")</f>
        <v>POR RECOGER</v>
      </c>
      <c r="L75" s="110" t="n">
        <f aca="false">IF(_PENDIENTES!$B$69&lt;&gt;"",_PENDIENTES!$K$69,"")</f>
        <v>0</v>
      </c>
      <c r="M75" s="85" t="str">
        <f aca="false">IF(_PENDIENTES!$B$69&lt;&gt;"",_PENDIENTES!$B$69,"")</f>
        <v>OCALLI</v>
      </c>
      <c r="N75" s="109" t="str">
        <f aca="false">IF(_PENDIENTES!$B$69&lt;&gt;"",_PENDIENTES!$L$69,"")</f>
        <v>OCALLI</v>
      </c>
      <c r="O75" s="89"/>
      <c r="P75" s="89"/>
      <c r="Q75" s="89"/>
      <c r="R75" s="89"/>
      <c r="S75" s="89"/>
    </row>
    <row r="76" customFormat="false" ht="15.75" hidden="true" customHeight="true" outlineLevel="0" collapsed="false">
      <c r="A76" s="106" t="n">
        <f aca="false">IF(_PENDIENTES!$B$70&lt;&gt;"",69,"")</f>
        <v>69</v>
      </c>
      <c r="B76" s="47" t="str">
        <f aca="false">IF(_PENDIENTES!$B$70&lt;&gt;"",_PENDIENTES!$A$70,"")</f>
        <v>ENE</v>
      </c>
      <c r="C76" s="107" t="str">
        <f aca="false">IF(_PENDIENTES!$B$70&lt;&gt;"",_PENDIENTES!$C$70,"")</f>
        <v>LOPEZ RAMOS YOBANITA</v>
      </c>
      <c r="D76" s="106" t="str">
        <f aca="false">IF(_PENDIENTES!$B$70&lt;&gt;"",_PENDIENTES!$D$70,"")</f>
        <v>61683414</v>
      </c>
      <c r="E76" s="111" t="str">
        <f aca="false">IF(_PENDIENTES!$B$70&lt;&gt;"",_PENDIENTES!$E$70,"")</f>
        <v>23/01/2026</v>
      </c>
      <c r="F76" s="106" t="str">
        <f aca="false">IF(_PENDIENTES!$B$70&lt;&gt;"",_PENDIENTES!$F$70,"")</f>
        <v>PETROLEO</v>
      </c>
      <c r="G76" s="50" t="n">
        <f aca="false">IF(_PENDIENTES!$B$70&lt;&gt;"",_PENDIENTES!$G$70,"")</f>
        <v>6</v>
      </c>
      <c r="H76" s="50" t="n">
        <f aca="false">IF(_PENDIENTES!$B$70&lt;&gt;"",_PENDIENTES!$H$70,"")</f>
        <v>109.08</v>
      </c>
      <c r="I76" s="108" t="str">
        <f aca="false">IF(_PENDIENTES!$B$70&lt;&gt;"",_PENDIENTES!$I$70,"")</f>
        <v>CARRERA ARAUJO JEINER</v>
      </c>
      <c r="J76" s="50" t="str">
        <f aca="false">IF(_PENDIENTES!$B$70&lt;&gt;"",_PENDIENTES!$J$70,"")</f>
        <v>EUH747</v>
      </c>
      <c r="K76" s="106" t="str">
        <f aca="false">IF(_PENDIENTES!$B$70&lt;&gt;"","POR RECOGER","")</f>
        <v>POR RECOGER</v>
      </c>
      <c r="L76" s="107" t="n">
        <f aca="false">IF(_PENDIENTES!$B$70&lt;&gt;"",_PENDIENTES!$K$70,"")</f>
        <v>0</v>
      </c>
      <c r="M76" s="85" t="str">
        <f aca="false">IF(_PENDIENTES!$B$70&lt;&gt;"",_PENDIENTES!$B$70,"")</f>
        <v>POMACOCHAS</v>
      </c>
      <c r="N76" s="109" t="str">
        <f aca="false">IF(_PENDIENTES!$B$70&lt;&gt;"",_PENDIENTES!$L$70,"")</f>
        <v>POMACOCHAS</v>
      </c>
      <c r="O76" s="89"/>
      <c r="P76" s="89"/>
      <c r="Q76" s="89"/>
      <c r="R76" s="89"/>
      <c r="S76" s="89"/>
    </row>
    <row r="77" customFormat="false" ht="15.75" hidden="true" customHeight="true" outlineLevel="0" collapsed="false">
      <c r="A77" s="46" t="n">
        <f aca="false">IF(_PENDIENTES!$B$71&lt;&gt;"",70,"")</f>
        <v>70</v>
      </c>
      <c r="B77" s="41" t="str">
        <f aca="false">IF(_PENDIENTES!$B$71&lt;&gt;"",_PENDIENTES!$A$71,"")</f>
        <v>ENE</v>
      </c>
      <c r="C77" s="110" t="str">
        <f aca="false">IF(_PENDIENTES!$B$71&lt;&gt;"",_PENDIENTES!$C$71,"")</f>
        <v>LEIVA AGUILAR SABINA</v>
      </c>
      <c r="D77" s="46" t="str">
        <f aca="false">IF(_PENDIENTES!$B$71&lt;&gt;"",_PENDIENTES!$D$71,"")</f>
        <v>70208555</v>
      </c>
      <c r="E77" s="112" t="str">
        <f aca="false">IF(_PENDIENTES!$B$71&lt;&gt;"",_PENDIENTES!$E$71,"")</f>
        <v>28/01/2026</v>
      </c>
      <c r="F77" s="46" t="str">
        <f aca="false">IF(_PENDIENTES!$B$71&lt;&gt;"",_PENDIENTES!$F$71,"")</f>
        <v>PETROLEO</v>
      </c>
      <c r="G77" s="44" t="n">
        <f aca="false">IF(_PENDIENTES!$B$71&lt;&gt;"",_PENDIENTES!$G$71,"")</f>
        <v>6</v>
      </c>
      <c r="H77" s="44" t="n">
        <f aca="false">IF(_PENDIENTES!$B$71&lt;&gt;"",_PENDIENTES!$H$71,"")</f>
        <v>109.08</v>
      </c>
      <c r="I77" s="113" t="str">
        <f aca="false">IF(_PENDIENTES!$B$71&lt;&gt;"",_PENDIENTES!$I$71,"")</f>
        <v>CARRERA ARAUJO JEINER</v>
      </c>
      <c r="J77" s="44" t="str">
        <f aca="false">IF(_PENDIENTES!$B$71&lt;&gt;"",_PENDIENTES!$J$71,"")</f>
        <v>EUH747</v>
      </c>
      <c r="K77" s="46" t="str">
        <f aca="false">IF(_PENDIENTES!$B$71&lt;&gt;"","POR RECOGER","")</f>
        <v>POR RECOGER</v>
      </c>
      <c r="L77" s="110" t="n">
        <f aca="false">IF(_PENDIENTES!$B$71&lt;&gt;"",_PENDIENTES!$K$71,"")</f>
        <v>0</v>
      </c>
      <c r="M77" s="85" t="str">
        <f aca="false">IF(_PENDIENTES!$B$71&lt;&gt;"",_PENDIENTES!$B$71,"")</f>
        <v>POMACOCHAS</v>
      </c>
      <c r="N77" s="109" t="str">
        <f aca="false">IF(_PENDIENTES!$B$71&lt;&gt;"",_PENDIENTES!$L$71,"")</f>
        <v>POMACOCHAS</v>
      </c>
      <c r="O77" s="89"/>
      <c r="P77" s="89"/>
      <c r="Q77" s="89"/>
      <c r="R77" s="89"/>
      <c r="S77" s="89"/>
    </row>
    <row r="78" customFormat="false" ht="15.75" hidden="true" customHeight="true" outlineLevel="0" collapsed="false">
      <c r="A78" s="106" t="n">
        <f aca="false">IF(_PENDIENTES!$B$72&lt;&gt;"",71,"")</f>
        <v>71</v>
      </c>
      <c r="B78" s="47" t="str">
        <f aca="false">IF(_PENDIENTES!$B$72&lt;&gt;"",_PENDIENTES!$A$72,"")</f>
        <v>ENE</v>
      </c>
      <c r="C78" s="107" t="str">
        <f aca="false">IF(_PENDIENTES!$B$72&lt;&gt;"",_PENDIENTES!$C$72,"")</f>
        <v>FERNANDEZ GUEVARA DELA MARIBEL</v>
      </c>
      <c r="D78" s="106" t="str">
        <f aca="false">IF(_PENDIENTES!$B$72&lt;&gt;"",_PENDIENTES!$D$72,"")</f>
        <v>43009631</v>
      </c>
      <c r="E78" s="111" t="str">
        <f aca="false">IF(_PENDIENTES!$B$72&lt;&gt;"",_PENDIENTES!$E$72,"")</f>
        <v>22/01/2026</v>
      </c>
      <c r="F78" s="106" t="str">
        <f aca="false">IF(_PENDIENTES!$B$72&lt;&gt;"",_PENDIENTES!$F$72,"")</f>
        <v>PETROLEO</v>
      </c>
      <c r="G78" s="50" t="n">
        <f aca="false">IF(_PENDIENTES!$B$72&lt;&gt;"",_PENDIENTES!$G$72,"")</f>
        <v>6</v>
      </c>
      <c r="H78" s="50" t="n">
        <f aca="false">IF(_PENDIENTES!$B$72&lt;&gt;"",_PENDIENTES!$H$72,"")</f>
        <v>109.08</v>
      </c>
      <c r="I78" s="108" t="str">
        <f aca="false">IF(_PENDIENTES!$B$72&lt;&gt;"",_PENDIENTES!$I$72,"")</f>
        <v>CARRERA ARAUJO JEINER</v>
      </c>
      <c r="J78" s="50" t="str">
        <f aca="false">IF(_PENDIENTES!$B$72&lt;&gt;"",_PENDIENTES!$J$72,"")</f>
        <v>EUH747</v>
      </c>
      <c r="K78" s="106" t="str">
        <f aca="false">IF(_PENDIENTES!$B$72&lt;&gt;"","POR RECOGER","")</f>
        <v>POR RECOGER</v>
      </c>
      <c r="L78" s="107" t="n">
        <f aca="false">IF(_PENDIENTES!$B$72&lt;&gt;"",_PENDIENTES!$K$72,"")</f>
        <v>0</v>
      </c>
      <c r="M78" s="85" t="str">
        <f aca="false">IF(_PENDIENTES!$B$72&lt;&gt;"",_PENDIENTES!$B$72,"")</f>
        <v>POMACOCHAS</v>
      </c>
      <c r="N78" s="109" t="str">
        <f aca="false">IF(_PENDIENTES!$B$72&lt;&gt;"",_PENDIENTES!$L$72,"")</f>
        <v>POMACOCHAS</v>
      </c>
      <c r="O78" s="89"/>
      <c r="P78" s="89"/>
      <c r="Q78" s="89"/>
      <c r="R78" s="89"/>
      <c r="S78" s="89"/>
    </row>
    <row r="79" customFormat="false" ht="15.75" hidden="true" customHeight="true" outlineLevel="0" collapsed="false">
      <c r="A79" s="46" t="n">
        <f aca="false">IF(_PENDIENTES!$B$73&lt;&gt;"",72,"")</f>
        <v>72</v>
      </c>
      <c r="B79" s="41" t="str">
        <f aca="false">IF(_PENDIENTES!$B$73&lt;&gt;"",_PENDIENTES!$A$73,"")</f>
        <v>ENE</v>
      </c>
      <c r="C79" s="110" t="str">
        <f aca="false">IF(_PENDIENTES!$B$73&lt;&gt;"",_PENDIENTES!$C$73,"")</f>
        <v>HERRERA VASQUEZ MARY LUZ</v>
      </c>
      <c r="D79" s="46" t="str">
        <f aca="false">IF(_PENDIENTES!$B$73&lt;&gt;"",_PENDIENTES!$D$73,"")</f>
        <v>71622319</v>
      </c>
      <c r="E79" s="112" t="str">
        <f aca="false">IF(_PENDIENTES!$B$73&lt;&gt;"",_PENDIENTES!$E$73,"")</f>
        <v>26/01/2026</v>
      </c>
      <c r="F79" s="46" t="str">
        <f aca="false">IF(_PENDIENTES!$B$73&lt;&gt;"",_PENDIENTES!$F$73,"")</f>
        <v>PETROLEO</v>
      </c>
      <c r="G79" s="44" t="n">
        <f aca="false">IF(_PENDIENTES!$B$73&lt;&gt;"",_PENDIENTES!$G$73,"")</f>
        <v>6</v>
      </c>
      <c r="H79" s="44" t="n">
        <f aca="false">IF(_PENDIENTES!$B$73&lt;&gt;"",_PENDIENTES!$H$73,"")</f>
        <v>109.08</v>
      </c>
      <c r="I79" s="113" t="str">
        <f aca="false">IF(_PENDIENTES!$B$73&lt;&gt;"",_PENDIENTES!$I$73,"")</f>
        <v>CARRERA ARAUJO JEINER</v>
      </c>
      <c r="J79" s="44" t="str">
        <f aca="false">IF(_PENDIENTES!$B$73&lt;&gt;"",_PENDIENTES!$J$73,"")</f>
        <v>EUH747</v>
      </c>
      <c r="K79" s="46" t="str">
        <f aca="false">IF(_PENDIENTES!$B$73&lt;&gt;"","POR RECOGER","")</f>
        <v>POR RECOGER</v>
      </c>
      <c r="L79" s="110" t="n">
        <f aca="false">IF(_PENDIENTES!$B$73&lt;&gt;"",_PENDIENTES!$K$73,"")</f>
        <v>0</v>
      </c>
      <c r="M79" s="85" t="str">
        <f aca="false">IF(_PENDIENTES!$B$73&lt;&gt;"",_PENDIENTES!$B$73,"")</f>
        <v>POMACOCHAS</v>
      </c>
      <c r="N79" s="109" t="str">
        <f aca="false">IF(_PENDIENTES!$B$73&lt;&gt;"",_PENDIENTES!$L$73,"")</f>
        <v>POMACOCHAS</v>
      </c>
      <c r="O79" s="89"/>
      <c r="P79" s="89"/>
      <c r="Q79" s="89"/>
      <c r="R79" s="89"/>
      <c r="S79" s="89"/>
    </row>
    <row r="80" customFormat="false" ht="15.75" hidden="true" customHeight="true" outlineLevel="0" collapsed="false">
      <c r="A80" s="106" t="n">
        <f aca="false">IF(_PENDIENTES!$B$74&lt;&gt;"",73,"")</f>
        <v>73</v>
      </c>
      <c r="B80" s="47" t="str">
        <f aca="false">IF(_PENDIENTES!$B$74&lt;&gt;"",_PENDIENTES!$A$74,"")</f>
        <v>ENE</v>
      </c>
      <c r="C80" s="107" t="str">
        <f aca="false">IF(_PENDIENTES!$B$74&lt;&gt;"",_PENDIENTES!$C$74,"")</f>
        <v>VASQUEZ ABANTO YRAIDA</v>
      </c>
      <c r="D80" s="106" t="str">
        <f aca="false">IF(_PENDIENTES!$B$74&lt;&gt;"",_PENDIENTES!$D$74,"")</f>
        <v>45514612</v>
      </c>
      <c r="E80" s="111" t="str">
        <f aca="false">IF(_PENDIENTES!$B$74&lt;&gt;"",_PENDIENTES!$E$74,"")</f>
        <v>28/01/2026</v>
      </c>
      <c r="F80" s="106" t="str">
        <f aca="false">IF(_PENDIENTES!$B$74&lt;&gt;"",_PENDIENTES!$F$74,"")</f>
        <v>PETROLEO</v>
      </c>
      <c r="G80" s="50" t="n">
        <f aca="false">IF(_PENDIENTES!$B$74&lt;&gt;"",_PENDIENTES!$G$74,"")</f>
        <v>6</v>
      </c>
      <c r="H80" s="50" t="n">
        <f aca="false">IF(_PENDIENTES!$B$74&lt;&gt;"",_PENDIENTES!$H$74,"")</f>
        <v>109.08</v>
      </c>
      <c r="I80" s="108" t="str">
        <f aca="false">IF(_PENDIENTES!$B$74&lt;&gt;"",_PENDIENTES!$I$74,"")</f>
        <v>CARRERA ARAUJO JEINER</v>
      </c>
      <c r="J80" s="50" t="str">
        <f aca="false">IF(_PENDIENTES!$B$74&lt;&gt;"",_PENDIENTES!$J$74,"")</f>
        <v>EUH747</v>
      </c>
      <c r="K80" s="106" t="str">
        <f aca="false">IF(_PENDIENTES!$B$74&lt;&gt;"","POR RECOGER","")</f>
        <v>POR RECOGER</v>
      </c>
      <c r="L80" s="107" t="n">
        <f aca="false">IF(_PENDIENTES!$B$74&lt;&gt;"",_PENDIENTES!$K$74,"")</f>
        <v>0</v>
      </c>
      <c r="M80" s="85" t="str">
        <f aca="false">IF(_PENDIENTES!$B$74&lt;&gt;"",_PENDIENTES!$B$74,"")</f>
        <v>POMACOCHAS</v>
      </c>
      <c r="N80" s="109" t="str">
        <f aca="false">IF(_PENDIENTES!$B$74&lt;&gt;"",_PENDIENTES!$L$74,"")</f>
        <v>POMACOCHAS</v>
      </c>
      <c r="O80" s="89"/>
      <c r="P80" s="89"/>
      <c r="Q80" s="89"/>
      <c r="R80" s="89"/>
      <c r="S80" s="89"/>
    </row>
    <row r="81" customFormat="false" ht="15.75" hidden="true" customHeight="true" outlineLevel="0" collapsed="false">
      <c r="A81" s="46" t="n">
        <f aca="false">IF(_PENDIENTES!$B$75&lt;&gt;"",74,"")</f>
        <v>74</v>
      </c>
      <c r="B81" s="41" t="str">
        <f aca="false">IF(_PENDIENTES!$B$75&lt;&gt;"",_PENDIENTES!$A$75,"")</f>
        <v>ENE</v>
      </c>
      <c r="C81" s="110" t="str">
        <f aca="false">IF(_PENDIENTES!$B$75&lt;&gt;"",_PENDIENTES!$C$75,"")</f>
        <v>NEYRA ROMAN ELENITA</v>
      </c>
      <c r="D81" s="46" t="str">
        <f aca="false">IF(_PENDIENTES!$B$75&lt;&gt;"",_PENDIENTES!$D$75,"")</f>
        <v>60462057</v>
      </c>
      <c r="E81" s="112" t="str">
        <f aca="false">IF(_PENDIENTES!$B$75&lt;&gt;"",_PENDIENTES!$E$75,"")</f>
        <v>25/01/2026</v>
      </c>
      <c r="F81" s="46" t="str">
        <f aca="false">IF(_PENDIENTES!$B$75&lt;&gt;"",_PENDIENTES!$F$75,"")</f>
        <v>PETROLEO</v>
      </c>
      <c r="G81" s="44" t="n">
        <f aca="false">IF(_PENDIENTES!$B$75&lt;&gt;"",_PENDIENTES!$G$75,"")</f>
        <v>7</v>
      </c>
      <c r="H81" s="44" t="n">
        <f aca="false">IF(_PENDIENTES!$B$75&lt;&gt;"",_PENDIENTES!$H$75,"")</f>
        <v>141.75</v>
      </c>
      <c r="I81" s="113" t="str">
        <f aca="false">IF(_PENDIENTES!$B$75&lt;&gt;"",_PENDIENTES!$I$75,"")</f>
        <v>TRIGOSO TAFUR JOSE GILBER</v>
      </c>
      <c r="J81" s="44" t="str">
        <f aca="false">IF(_PENDIENTES!$B$75&lt;&gt;"",_PENDIENTES!$J$75,"")</f>
        <v>EUH 421</v>
      </c>
      <c r="K81" s="46" t="str">
        <f aca="false">IF(_PENDIENTES!$B$75&lt;&gt;"","POR RECOGER","")</f>
        <v>POR RECOGER</v>
      </c>
      <c r="L81" s="110" t="n">
        <f aca="false">IF(_PENDIENTES!$B$75&lt;&gt;"",_PENDIENTES!$K$75,"")</f>
        <v>0</v>
      </c>
      <c r="M81" s="85" t="str">
        <f aca="false">IF(_PENDIENTES!$B$75&lt;&gt;"",_PENDIENTES!$B$75,"")</f>
        <v>MARIA AUXILIADORA</v>
      </c>
      <c r="N81" s="109" t="str">
        <f aca="false">IF(_PENDIENTES!$B$75&lt;&gt;"",_PENDIENTES!$L$75,"")</f>
        <v>MARIA AUXILIADORA</v>
      </c>
      <c r="O81" s="89"/>
      <c r="P81" s="89"/>
      <c r="Q81" s="89"/>
      <c r="R81" s="89"/>
      <c r="S81" s="89"/>
    </row>
    <row r="82" customFormat="false" ht="15.75" hidden="true" customHeight="true" outlineLevel="0" collapsed="false">
      <c r="A82" s="106" t="n">
        <f aca="false">IF(_PENDIENTES!$B$76&lt;&gt;"",75,"")</f>
        <v>75</v>
      </c>
      <c r="B82" s="47" t="str">
        <f aca="false">IF(_PENDIENTES!$B$76&lt;&gt;"",_PENDIENTES!$A$76,"")</f>
        <v>ENE</v>
      </c>
      <c r="C82" s="107" t="str">
        <f aca="false">IF(_PENDIENTES!$B$76&lt;&gt;"",_PENDIENTES!$C$76,"")</f>
        <v>HUAMAN HIDALGO MARILACI</v>
      </c>
      <c r="D82" s="106" t="str">
        <f aca="false">IF(_PENDIENTES!$B$76&lt;&gt;"",_PENDIENTES!$D$76,"")</f>
        <v>61644056</v>
      </c>
      <c r="E82" s="111" t="str">
        <f aca="false">IF(_PENDIENTES!$B$76&lt;&gt;"",_PENDIENTES!$E$76,"")</f>
        <v>18/01/2026</v>
      </c>
      <c r="F82" s="106" t="str">
        <f aca="false">IF(_PENDIENTES!$B$76&lt;&gt;"",_PENDIENTES!$F$76,"")</f>
        <v>PETROLEO</v>
      </c>
      <c r="G82" s="50" t="n">
        <f aca="false">IF(_PENDIENTES!$B$76&lt;&gt;"",_PENDIENTES!$G$76,"")</f>
        <v>6</v>
      </c>
      <c r="H82" s="50" t="n">
        <f aca="false">IF(_PENDIENTES!$B$76&lt;&gt;"",_PENDIENTES!$H$76,"")</f>
        <v>121.5</v>
      </c>
      <c r="I82" s="108" t="str">
        <f aca="false">IF(_PENDIENTES!$B$76&lt;&gt;"",_PENDIENTES!$I$76,"")</f>
        <v>ROJAS ALVARADO BENJAMIN</v>
      </c>
      <c r="J82" s="50" t="str">
        <f aca="false">IF(_PENDIENTES!$B$76&lt;&gt;"",_PENDIENTES!$J$76,"")</f>
        <v>421 EUH</v>
      </c>
      <c r="K82" s="106" t="str">
        <f aca="false">IF(_PENDIENTES!$B$76&lt;&gt;"","POR RECOGER","")</f>
        <v>POR RECOGER</v>
      </c>
      <c r="L82" s="107" t="n">
        <f aca="false">IF(_PENDIENTES!$B$76&lt;&gt;"",_PENDIENTES!$K$76,"")</f>
        <v>0</v>
      </c>
      <c r="M82" s="85" t="str">
        <f aca="false">IF(_PENDIENTES!$B$76&lt;&gt;"",_PENDIENTES!$B$76,"")</f>
        <v>MARIA AUXILIADORA</v>
      </c>
      <c r="N82" s="109" t="str">
        <f aca="false">IF(_PENDIENTES!$B$76&lt;&gt;"",_PENDIENTES!$L$76,"")</f>
        <v>MARIA AUXILIADORA</v>
      </c>
      <c r="O82" s="89"/>
      <c r="P82" s="89"/>
      <c r="Q82" s="89"/>
      <c r="R82" s="89"/>
      <c r="S82" s="89"/>
    </row>
    <row r="83" customFormat="false" ht="15.75" hidden="true" customHeight="true" outlineLevel="0" collapsed="false">
      <c r="A83" s="46" t="n">
        <f aca="false">IF(_PENDIENTES!$B$77&lt;&gt;"",76,"")</f>
        <v>76</v>
      </c>
      <c r="B83" s="41" t="str">
        <f aca="false">IF(_PENDIENTES!$B$77&lt;&gt;"",_PENDIENTES!$A$77,"")</f>
        <v>ENE</v>
      </c>
      <c r="C83" s="110" t="str">
        <f aca="false">IF(_PENDIENTES!$B$77&lt;&gt;"",_PENDIENTES!$C$77,"")</f>
        <v>PORTOCARRERO PORTOCARRERO MARIA</v>
      </c>
      <c r="D83" s="46" t="str">
        <f aca="false">IF(_PENDIENTES!$B$77&lt;&gt;"",_PENDIENTES!$D$77,"")</f>
        <v>46109691</v>
      </c>
      <c r="E83" s="112" t="str">
        <f aca="false">IF(_PENDIENTES!$B$77&lt;&gt;"",_PENDIENTES!$E$77,"")</f>
        <v>21/01/2026</v>
      </c>
      <c r="F83" s="46" t="str">
        <f aca="false">IF(_PENDIENTES!$B$77&lt;&gt;"",_PENDIENTES!$F$77,"")</f>
        <v>PETROLEO</v>
      </c>
      <c r="G83" s="44" t="n">
        <f aca="false">IF(_PENDIENTES!$B$77&lt;&gt;"",_PENDIENTES!$G$77,"")</f>
        <v>7</v>
      </c>
      <c r="H83" s="44" t="n">
        <f aca="false">IF(_PENDIENTES!$B$77&lt;&gt;"",_PENDIENTES!$H$77,"")</f>
        <v>141.75</v>
      </c>
      <c r="I83" s="113" t="str">
        <f aca="false">IF(_PENDIENTES!$B$77&lt;&gt;"",_PENDIENTES!$I$77,"")</f>
        <v>LOPEZ HOYOS MIGUEL ANGEL</v>
      </c>
      <c r="J83" s="44" t="str">
        <f aca="false">IF(_PENDIENTES!$B$77&lt;&gt;"",_PENDIENTES!$J$77,"")</f>
        <v>EUH-698</v>
      </c>
      <c r="K83" s="46" t="str">
        <f aca="false">IF(_PENDIENTES!$B$77&lt;&gt;"","POR RECOGER","")</f>
        <v>POR RECOGER</v>
      </c>
      <c r="L83" s="110" t="n">
        <f aca="false">IF(_PENDIENTES!$B$77&lt;&gt;"",_PENDIENTES!$K$77,"")</f>
        <v>0</v>
      </c>
      <c r="M83" s="85" t="str">
        <f aca="false">IF(_PENDIENTES!$B$77&lt;&gt;"",_PENDIENTES!$B$77,"")</f>
        <v>MARIA AUXILIADORA</v>
      </c>
      <c r="N83" s="109" t="str">
        <f aca="false">IF(_PENDIENTES!$B$77&lt;&gt;"",_PENDIENTES!$L$77,"")</f>
        <v>MARIA AUXILIADORA</v>
      </c>
      <c r="O83" s="89"/>
      <c r="P83" s="89"/>
      <c r="Q83" s="89"/>
      <c r="R83" s="89"/>
      <c r="S83" s="89"/>
    </row>
    <row r="84" customFormat="false" ht="15.75" hidden="true" customHeight="true" outlineLevel="0" collapsed="false">
      <c r="A84" s="106" t="n">
        <f aca="false">IF(_PENDIENTES!$B$78&lt;&gt;"",77,"")</f>
        <v>77</v>
      </c>
      <c r="B84" s="47" t="str">
        <f aca="false">IF(_PENDIENTES!$B$78&lt;&gt;"",_PENDIENTES!$A$78,"")</f>
        <v>ENE</v>
      </c>
      <c r="C84" s="107" t="str">
        <f aca="false">IF(_PENDIENTES!$B$78&lt;&gt;"",_PENDIENTES!$C$78,"")</f>
        <v>DIAZ HERRERA MARIA LUZVINDA</v>
      </c>
      <c r="D84" s="106" t="str">
        <f aca="false">IF(_PENDIENTES!$B$78&lt;&gt;"",_PENDIENTES!$D$78,"")</f>
        <v>80585000</v>
      </c>
      <c r="E84" s="111" t="str">
        <f aca="false">IF(_PENDIENTES!$B$78&lt;&gt;"",_PENDIENTES!$E$78,"")</f>
        <v>19/01/2026</v>
      </c>
      <c r="F84" s="106" t="str">
        <f aca="false">IF(_PENDIENTES!$B$78&lt;&gt;"",_PENDIENTES!$F$78,"")</f>
        <v>PETROLEO</v>
      </c>
      <c r="G84" s="50" t="n">
        <f aca="false">IF(_PENDIENTES!$B$78&lt;&gt;"",_PENDIENTES!$G$78,"")</f>
        <v>6</v>
      </c>
      <c r="H84" s="50" t="n">
        <f aca="false">IF(_PENDIENTES!$B$78&lt;&gt;"",_PENDIENTES!$H$78,"")</f>
        <v>109.08</v>
      </c>
      <c r="I84" s="108" t="str">
        <f aca="false">IF(_PENDIENTES!$B$78&lt;&gt;"",_PENDIENTES!$I$78,"")</f>
        <v>CHICANA LOPEZ MANUEL HECTOR</v>
      </c>
      <c r="J84" s="50" t="str">
        <f aca="false">IF(_PENDIENTES!$B$78&lt;&gt;"",_PENDIENTES!$J$78,"")</f>
        <v>EUH747</v>
      </c>
      <c r="K84" s="106" t="str">
        <f aca="false">IF(_PENDIENTES!$B$78&lt;&gt;"","POR RECOGER","")</f>
        <v>POR RECOGER</v>
      </c>
      <c r="L84" s="107" t="n">
        <f aca="false">IF(_PENDIENTES!$B$78&lt;&gt;"",_PENDIENTES!$K$78,"")</f>
        <v>0</v>
      </c>
      <c r="M84" s="85" t="str">
        <f aca="false">IF(_PENDIENTES!$B$78&lt;&gt;"",_PENDIENTES!$B$78,"")</f>
        <v>POMACOCHAS</v>
      </c>
      <c r="N84" s="109" t="str">
        <f aca="false">IF(_PENDIENTES!$B$78&lt;&gt;"",_PENDIENTES!$L$78,"")</f>
        <v>POMACOCHAS</v>
      </c>
      <c r="O84" s="89"/>
      <c r="P84" s="89"/>
      <c r="Q84" s="89"/>
      <c r="R84" s="89"/>
      <c r="S84" s="89"/>
    </row>
    <row r="85" customFormat="false" ht="15.75" hidden="true" customHeight="true" outlineLevel="0" collapsed="false">
      <c r="A85" s="46" t="n">
        <f aca="false">IF(_PENDIENTES!$B$79&lt;&gt;"",78,"")</f>
        <v>78</v>
      </c>
      <c r="B85" s="41" t="str">
        <f aca="false">IF(_PENDIENTES!$B$79&lt;&gt;"",_PENDIENTES!$A$79,"")</f>
        <v>ENE</v>
      </c>
      <c r="C85" s="110" t="str">
        <f aca="false">IF(_PENDIENTES!$B$79&lt;&gt;"",_PENDIENTES!$C$79,"")</f>
        <v>DIAZ VEGA NICANOR</v>
      </c>
      <c r="D85" s="46" t="str">
        <f aca="false">IF(_PENDIENTES!$B$79&lt;&gt;"",_PENDIENTES!$D$79,"")</f>
        <v>48772344</v>
      </c>
      <c r="E85" s="112" t="str">
        <f aca="false">IF(_PENDIENTES!$B$79&lt;&gt;"",_PENDIENTES!$E$79,"")</f>
        <v>24/01/2026</v>
      </c>
      <c r="F85" s="46" t="str">
        <f aca="false">IF(_PENDIENTES!$B$79&lt;&gt;"",_PENDIENTES!$F$79,"")</f>
        <v>PETROLEO</v>
      </c>
      <c r="G85" s="44" t="n">
        <f aca="false">IF(_PENDIENTES!$B$79&lt;&gt;"",_PENDIENTES!$G$79,"")</f>
        <v>6</v>
      </c>
      <c r="H85" s="44" t="n">
        <f aca="false">IF(_PENDIENTES!$B$79&lt;&gt;"",_PENDIENTES!$H$79,"")</f>
        <v>109.08</v>
      </c>
      <c r="I85" s="113" t="str">
        <f aca="false">IF(_PENDIENTES!$B$79&lt;&gt;"",_PENDIENTES!$I$79,"")</f>
        <v>CHICANA LOPEZ MANUEL HECTOR</v>
      </c>
      <c r="J85" s="44" t="str">
        <f aca="false">IF(_PENDIENTES!$B$79&lt;&gt;"",_PENDIENTES!$J$79,"")</f>
        <v>EUH747</v>
      </c>
      <c r="K85" s="46" t="str">
        <f aca="false">IF(_PENDIENTES!$B$79&lt;&gt;"","POR RECOGER","")</f>
        <v>POR RECOGER</v>
      </c>
      <c r="L85" s="110" t="n">
        <f aca="false">IF(_PENDIENTES!$B$79&lt;&gt;"",_PENDIENTES!$K$79,"")</f>
        <v>0</v>
      </c>
      <c r="M85" s="85" t="str">
        <f aca="false">IF(_PENDIENTES!$B$79&lt;&gt;"",_PENDIENTES!$B$79,"")</f>
        <v>POMACOCHAS</v>
      </c>
      <c r="N85" s="109" t="str">
        <f aca="false">IF(_PENDIENTES!$B$79&lt;&gt;"",_PENDIENTES!$L$79,"")</f>
        <v>POMACOCHAS</v>
      </c>
      <c r="O85" s="89"/>
      <c r="P85" s="89"/>
      <c r="Q85" s="89"/>
      <c r="R85" s="89"/>
      <c r="S85" s="89"/>
    </row>
    <row r="86" customFormat="false" ht="15.75" hidden="true" customHeight="true" outlineLevel="0" collapsed="false">
      <c r="A86" s="106" t="n">
        <f aca="false">IF(_PENDIENTES!$B$80&lt;&gt;"",79,"")</f>
        <v>79</v>
      </c>
      <c r="B86" s="47" t="str">
        <f aca="false">IF(_PENDIENTES!$B$80&lt;&gt;"",_PENDIENTES!$A$80,"")</f>
        <v>ENE</v>
      </c>
      <c r="C86" s="107" t="str">
        <f aca="false">IF(_PENDIENTES!$B$80&lt;&gt;"",_PENDIENTES!$C$80,"")</f>
        <v>HERRERA OBLITAS VRIJIDA</v>
      </c>
      <c r="D86" s="106" t="str">
        <f aca="false">IF(_PENDIENTES!$B$80&lt;&gt;"",_PENDIENTES!$D$80,"")</f>
        <v>48797626</v>
      </c>
      <c r="E86" s="111" t="str">
        <f aca="false">IF(_PENDIENTES!$B$80&lt;&gt;"",_PENDIENTES!$E$80,"")</f>
        <v>29/01/2026</v>
      </c>
      <c r="F86" s="106" t="str">
        <f aca="false">IF(_PENDIENTES!$B$80&lt;&gt;"",_PENDIENTES!$F$80,"")</f>
        <v>PETROLEO</v>
      </c>
      <c r="G86" s="50" t="n">
        <f aca="false">IF(_PENDIENTES!$B$80&lt;&gt;"",_PENDIENTES!$G$80,"")</f>
        <v>6</v>
      </c>
      <c r="H86" s="50" t="n">
        <f aca="false">IF(_PENDIENTES!$B$80&lt;&gt;"",_PENDIENTES!$H$80,"")</f>
        <v>109.08</v>
      </c>
      <c r="I86" s="108" t="str">
        <f aca="false">IF(_PENDIENTES!$B$80&lt;&gt;"",_PENDIENTES!$I$80,"")</f>
        <v>CHICANA LOPEZ MANUEL HECTOR</v>
      </c>
      <c r="J86" s="50" t="str">
        <f aca="false">IF(_PENDIENTES!$B$80&lt;&gt;"",_PENDIENTES!$J$80,"")</f>
        <v>EUH747</v>
      </c>
      <c r="K86" s="106" t="str">
        <f aca="false">IF(_PENDIENTES!$B$80&lt;&gt;"","POR RECOGER","")</f>
        <v>POR RECOGER</v>
      </c>
      <c r="L86" s="107" t="n">
        <f aca="false">IF(_PENDIENTES!$B$80&lt;&gt;"",_PENDIENTES!$K$80,"")</f>
        <v>0</v>
      </c>
      <c r="M86" s="85" t="str">
        <f aca="false">IF(_PENDIENTES!$B$80&lt;&gt;"",_PENDIENTES!$B$80,"")</f>
        <v>POMACOCHAS</v>
      </c>
      <c r="N86" s="109" t="str">
        <f aca="false">IF(_PENDIENTES!$B$80&lt;&gt;"",_PENDIENTES!$L$80,"")</f>
        <v>POMACOCHAS</v>
      </c>
      <c r="O86" s="89"/>
      <c r="P86" s="89"/>
      <c r="Q86" s="89"/>
      <c r="R86" s="89"/>
      <c r="S86" s="89"/>
    </row>
    <row r="87" customFormat="false" ht="15.75" hidden="true" customHeight="true" outlineLevel="0" collapsed="false">
      <c r="A87" s="46" t="n">
        <f aca="false">IF(_PENDIENTES!$B$81&lt;&gt;"",80,"")</f>
        <v>80</v>
      </c>
      <c r="B87" s="41" t="str">
        <f aca="false">IF(_PENDIENTES!$B$81&lt;&gt;"",_PENDIENTES!$A$81,"")</f>
        <v>ENE</v>
      </c>
      <c r="C87" s="110" t="str">
        <f aca="false">IF(_PENDIENTES!$B$81&lt;&gt;"",_PENDIENTES!$C$81,"")</f>
        <v>CARRANZA CACHAY LUZ AURORA</v>
      </c>
      <c r="D87" s="46" t="str">
        <f aca="false">IF(_PENDIENTES!$B$81&lt;&gt;"",_PENDIENTES!$D$81,"")</f>
        <v>46007941</v>
      </c>
      <c r="E87" s="112" t="str">
        <f aca="false">IF(_PENDIENTES!$B$81&lt;&gt;"",_PENDIENTES!$E$81,"")</f>
        <v>25/01/2026</v>
      </c>
      <c r="F87" s="46" t="str">
        <f aca="false">IF(_PENDIENTES!$B$81&lt;&gt;"",_PENDIENTES!$F$81,"")</f>
        <v>PETROLEO</v>
      </c>
      <c r="G87" s="44" t="n">
        <f aca="false">IF(_PENDIENTES!$B$81&lt;&gt;"",_PENDIENTES!$G$81,"")</f>
        <v>10</v>
      </c>
      <c r="H87" s="44" t="n">
        <f aca="false">IF(_PENDIENTES!$B$81&lt;&gt;"",_PENDIENTES!$H$81,"")</f>
        <v>181.8</v>
      </c>
      <c r="I87" s="113" t="str">
        <f aca="false">IF(_PENDIENTES!$B$81&lt;&gt;"",_PENDIENTES!$I$81,"")</f>
        <v>JULCA RITUAY ROGER</v>
      </c>
      <c r="J87" s="44" t="str">
        <f aca="false">IF(_PENDIENTES!$B$81&lt;&gt;"",_PENDIENTES!$J$81,"")</f>
        <v>EUH 414</v>
      </c>
      <c r="K87" s="46" t="str">
        <f aca="false">IF(_PENDIENTES!$B$81&lt;&gt;"","POR RECOGER","")</f>
        <v>POR RECOGER</v>
      </c>
      <c r="L87" s="110" t="str">
        <f aca="false">IF(_PENDIENTES!$B$81&lt;&gt;"",_PENDIENTES!$K$81,"")</f>
        <v>SANTO TOMAS</v>
      </c>
      <c r="M87" s="85" t="str">
        <f aca="false">IF(_PENDIENTES!$B$81&lt;&gt;"",_PENDIENTES!$B$81,"")</f>
        <v>SANTO TOMAS</v>
      </c>
      <c r="N87" s="109" t="str">
        <f aca="false">IF(_PENDIENTES!$B$81&lt;&gt;"",_PENDIENTES!$L$81,"")</f>
        <v>SAN SALVADOR</v>
      </c>
      <c r="O87" s="89"/>
      <c r="P87" s="89"/>
      <c r="Q87" s="89"/>
      <c r="R87" s="89"/>
      <c r="S87" s="89"/>
    </row>
    <row r="88" customFormat="false" ht="15.75" hidden="true" customHeight="true" outlineLevel="0" collapsed="false">
      <c r="A88" s="106" t="n">
        <f aca="false">IF(_PENDIENTES!$B$82&lt;&gt;"",81,"")</f>
        <v>81</v>
      </c>
      <c r="B88" s="47" t="str">
        <f aca="false">IF(_PENDIENTES!$B$82&lt;&gt;"",_PENDIENTES!$A$82,"")</f>
        <v>ENE</v>
      </c>
      <c r="C88" s="107" t="str">
        <f aca="false">IF(_PENDIENTES!$B$82&lt;&gt;"",_PENDIENTES!$C$82,"")</f>
        <v>VARGAS PITA WILFREDO</v>
      </c>
      <c r="D88" s="106" t="str">
        <f aca="false">IF(_PENDIENTES!$B$82&lt;&gt;"",_PENDIENTES!$D$82,"")</f>
        <v>42749598</v>
      </c>
      <c r="E88" s="111" t="str">
        <f aca="false">IF(_PENDIENTES!$B$82&lt;&gt;"",_PENDIENTES!$E$82,"")</f>
        <v>21/01/2026</v>
      </c>
      <c r="F88" s="106" t="str">
        <f aca="false">IF(_PENDIENTES!$B$82&lt;&gt;"",_PENDIENTES!$F$82,"")</f>
        <v>PETROLEO</v>
      </c>
      <c r="G88" s="50" t="n">
        <f aca="false">IF(_PENDIENTES!$B$82&lt;&gt;"",_PENDIENTES!$G$82,"")</f>
        <v>10</v>
      </c>
      <c r="H88" s="50" t="n">
        <f aca="false">IF(_PENDIENTES!$B$82&lt;&gt;"",_PENDIENTES!$H$82,"")</f>
        <v>181.8</v>
      </c>
      <c r="I88" s="108" t="str">
        <f aca="false">IF(_PENDIENTES!$B$82&lt;&gt;"",_PENDIENTES!$I$82,"")</f>
        <v>JULCA RITUAY ROGER</v>
      </c>
      <c r="J88" s="50" t="str">
        <f aca="false">IF(_PENDIENTES!$B$82&lt;&gt;"",_PENDIENTES!$J$82,"")</f>
        <v>EUH 414</v>
      </c>
      <c r="K88" s="106" t="str">
        <f aca="false">IF(_PENDIENTES!$B$82&lt;&gt;"","POR RECOGER","")</f>
        <v>POR RECOGER</v>
      </c>
      <c r="L88" s="107" t="str">
        <f aca="false">IF(_PENDIENTES!$B$82&lt;&gt;"",_PENDIENTES!$K$82,"")</f>
        <v>SANTO TOMAS</v>
      </c>
      <c r="M88" s="85" t="str">
        <f aca="false">IF(_PENDIENTES!$B$82&lt;&gt;"",_PENDIENTES!$B$82,"")</f>
        <v>SANTO TOMAS</v>
      </c>
      <c r="N88" s="109" t="str">
        <f aca="false">IF(_PENDIENTES!$B$82&lt;&gt;"",_PENDIENTES!$L$82,"")</f>
        <v>LLACTAPAMPA</v>
      </c>
      <c r="O88" s="89"/>
      <c r="P88" s="89"/>
      <c r="Q88" s="89"/>
      <c r="R88" s="89"/>
      <c r="S88" s="89"/>
    </row>
    <row r="89" customFormat="false" ht="15.75" hidden="true" customHeight="true" outlineLevel="0" collapsed="false">
      <c r="A89" s="46" t="n">
        <f aca="false">IF(_PENDIENTES!$B$83&lt;&gt;"",82,"")</f>
        <v>82</v>
      </c>
      <c r="B89" s="41" t="str">
        <f aca="false">IF(_PENDIENTES!$B$83&lt;&gt;"",_PENDIENTES!$A$83,"")</f>
        <v>ENE</v>
      </c>
      <c r="C89" s="110" t="str">
        <f aca="false">IF(_PENDIENTES!$B$83&lt;&gt;"",_PENDIENTES!$C$83,"")</f>
        <v>ROJAS BAUTISTA ILDA</v>
      </c>
      <c r="D89" s="46" t="str">
        <f aca="false">IF(_PENDIENTES!$B$83&lt;&gt;"",_PENDIENTES!$D$83,"")</f>
        <v>71257561</v>
      </c>
      <c r="E89" s="112" t="str">
        <f aca="false">IF(_PENDIENTES!$B$83&lt;&gt;"",_PENDIENTES!$E$83,"")</f>
        <v>21/01/2026</v>
      </c>
      <c r="F89" s="46" t="str">
        <f aca="false">IF(_PENDIENTES!$B$83&lt;&gt;"",_PENDIENTES!$F$83,"")</f>
        <v>PETROLEO</v>
      </c>
      <c r="G89" s="44" t="n">
        <f aca="false">IF(_PENDIENTES!$B$83&lt;&gt;"",_PENDIENTES!$G$83,"")</f>
        <v>4</v>
      </c>
      <c r="H89" s="44" t="n">
        <f aca="false">IF(_PENDIENTES!$B$83&lt;&gt;"",_PENDIENTES!$H$83,"")</f>
        <v>72.72</v>
      </c>
      <c r="I89" s="113" t="str">
        <f aca="false">IF(_PENDIENTES!$B$83&lt;&gt;"",_PENDIENTES!$I$83,"")</f>
        <v>CHICANA VALLE JAIME</v>
      </c>
      <c r="J89" s="44" t="str">
        <f aca="false">IF(_PENDIENTES!$B$83&lt;&gt;"",_PENDIENTES!$J$83,"")</f>
        <v>EGU 916</v>
      </c>
      <c r="K89" s="46" t="str">
        <f aca="false">IF(_PENDIENTES!$B$83&lt;&gt;"","POR RECOGER","")</f>
        <v>POR RECOGER</v>
      </c>
      <c r="L89" s="110" t="n">
        <f aca="false">IF(_PENDIENTES!$B$83&lt;&gt;"",_PENDIENTES!$K$83,"")</f>
        <v>0</v>
      </c>
      <c r="M89" s="85" t="str">
        <f aca="false">IF(_PENDIENTES!$B$83&lt;&gt;"",_PENDIENTES!$B$83,"")</f>
        <v>YAMBRASBAMBA</v>
      </c>
      <c r="N89" s="109" t="str">
        <f aca="false">IF(_PENDIENTES!$B$83&lt;&gt;"",_PENDIENTES!$L$83,"")</f>
        <v>YAMBRASBAMBA</v>
      </c>
      <c r="O89" s="89"/>
      <c r="P89" s="89"/>
      <c r="Q89" s="89"/>
      <c r="R89" s="89"/>
      <c r="S89" s="89"/>
    </row>
    <row r="90" customFormat="false" ht="15.75" hidden="true" customHeight="true" outlineLevel="0" collapsed="false">
      <c r="A90" s="106" t="n">
        <f aca="false">IF(_PENDIENTES!$B$84&lt;&gt;"",83,"")</f>
        <v>83</v>
      </c>
      <c r="B90" s="47" t="str">
        <f aca="false">IF(_PENDIENTES!$B$84&lt;&gt;"",_PENDIENTES!$A$84,"")</f>
        <v>ENE</v>
      </c>
      <c r="C90" s="107" t="str">
        <f aca="false">IF(_PENDIENTES!$B$84&lt;&gt;"",_PENDIENTES!$C$84,"")</f>
        <v>TRUJILLO LUCANA DANITZA DAYANA</v>
      </c>
      <c r="D90" s="106" t="str">
        <f aca="false">IF(_PENDIENTES!$B$84&lt;&gt;"",_PENDIENTES!$D$84,"")</f>
        <v>75078001</v>
      </c>
      <c r="E90" s="111" t="str">
        <f aca="false">IF(_PENDIENTES!$B$84&lt;&gt;"",_PENDIENTES!$E$84,"")</f>
        <v>26/01/2026</v>
      </c>
      <c r="F90" s="106" t="str">
        <f aca="false">IF(_PENDIENTES!$B$84&lt;&gt;"",_PENDIENTES!$F$84,"")</f>
        <v>PETROLEO</v>
      </c>
      <c r="G90" s="50" t="n">
        <f aca="false">IF(_PENDIENTES!$B$84&lt;&gt;"",_PENDIENTES!$G$84,"")</f>
        <v>4</v>
      </c>
      <c r="H90" s="50" t="n">
        <f aca="false">IF(_PENDIENTES!$B$84&lt;&gt;"",_PENDIENTES!$H$84,"")</f>
        <v>72.72</v>
      </c>
      <c r="I90" s="108" t="str">
        <f aca="false">IF(_PENDIENTES!$B$84&lt;&gt;"",_PENDIENTES!$I$84,"")</f>
        <v>CHICANA VALLE JAIME</v>
      </c>
      <c r="J90" s="50" t="str">
        <f aca="false">IF(_PENDIENTES!$B$84&lt;&gt;"",_PENDIENTES!$J$84,"")</f>
        <v>EGU 916</v>
      </c>
      <c r="K90" s="106" t="str">
        <f aca="false">IF(_PENDIENTES!$B$84&lt;&gt;"","POR RECOGER","")</f>
        <v>POR RECOGER</v>
      </c>
      <c r="L90" s="107" t="n">
        <f aca="false">IF(_PENDIENTES!$B$84&lt;&gt;"",_PENDIENTES!$K$84,"")</f>
        <v>0</v>
      </c>
      <c r="M90" s="85" t="str">
        <f aca="false">IF(_PENDIENTES!$B$84&lt;&gt;"",_PENDIENTES!$B$84,"")</f>
        <v>YAMBRASBAMBA</v>
      </c>
      <c r="N90" s="109" t="str">
        <f aca="false">IF(_PENDIENTES!$B$84&lt;&gt;"",_PENDIENTES!$L$84,"")</f>
        <v>YAMBRASBAMBA</v>
      </c>
      <c r="O90" s="89"/>
      <c r="P90" s="89"/>
      <c r="Q90" s="89"/>
      <c r="R90" s="89"/>
      <c r="S90" s="89"/>
    </row>
    <row r="91" customFormat="false" ht="15.75" hidden="true" customHeight="true" outlineLevel="0" collapsed="false">
      <c r="A91" s="46" t="n">
        <f aca="false">IF(_PENDIENTES!$B$85&lt;&gt;"",84,"")</f>
        <v>84</v>
      </c>
      <c r="B91" s="41" t="str">
        <f aca="false">IF(_PENDIENTES!$B$85&lt;&gt;"",_PENDIENTES!$A$85,"")</f>
        <v>ENE</v>
      </c>
      <c r="C91" s="110" t="str">
        <f aca="false">IF(_PENDIENTES!$B$85&lt;&gt;"",_PENDIENTES!$C$85,"")</f>
        <v>LEIVA AGUILAR SABINA</v>
      </c>
      <c r="D91" s="46" t="str">
        <f aca="false">IF(_PENDIENTES!$B$85&lt;&gt;"",_PENDIENTES!$D$85,"")</f>
        <v>70208555</v>
      </c>
      <c r="E91" s="112" t="str">
        <f aca="false">IF(_PENDIENTES!$B$85&lt;&gt;"",_PENDIENTES!$E$85,"")</f>
        <v>28/01/2026</v>
      </c>
      <c r="F91" s="46" t="str">
        <f aca="false">IF(_PENDIENTES!$B$85&lt;&gt;"",_PENDIENTES!$F$85,"")</f>
        <v>PETROLEO</v>
      </c>
      <c r="G91" s="44" t="n">
        <f aca="false">IF(_PENDIENTES!$B$85&lt;&gt;"",_PENDIENTES!$G$85,"")</f>
        <v>4</v>
      </c>
      <c r="H91" s="44" t="n">
        <f aca="false">IF(_PENDIENTES!$B$85&lt;&gt;"",_PENDIENTES!$H$85,"")</f>
        <v>72.72</v>
      </c>
      <c r="I91" s="113" t="str">
        <f aca="false">IF(_PENDIENTES!$B$85&lt;&gt;"",_PENDIENTES!$I$85,"")</f>
        <v>CHICANA VALLE JAIME</v>
      </c>
      <c r="J91" s="44" t="str">
        <f aca="false">IF(_PENDIENTES!$B$85&lt;&gt;"",_PENDIENTES!$J$85,"")</f>
        <v>EGU 916</v>
      </c>
      <c r="K91" s="46" t="str">
        <f aca="false">IF(_PENDIENTES!$B$85&lt;&gt;"","POR RECOGER","")</f>
        <v>POR RECOGER</v>
      </c>
      <c r="L91" s="110" t="n">
        <f aca="false">IF(_PENDIENTES!$B$85&lt;&gt;"",_PENDIENTES!$K$85,"")</f>
        <v>0</v>
      </c>
      <c r="M91" s="85" t="str">
        <f aca="false">IF(_PENDIENTES!$B$85&lt;&gt;"",_PENDIENTES!$B$85,"")</f>
        <v>YAMBRASBAMBA</v>
      </c>
      <c r="N91" s="109" t="str">
        <f aca="false">IF(_PENDIENTES!$B$85&lt;&gt;"",_PENDIENTES!$L$85,"")</f>
        <v>YAMBRASBAMBA</v>
      </c>
      <c r="O91" s="89"/>
      <c r="P91" s="89"/>
      <c r="Q91" s="89"/>
      <c r="R91" s="89"/>
      <c r="S91" s="89"/>
    </row>
    <row r="92" customFormat="false" ht="15.75" hidden="true" customHeight="true" outlineLevel="0" collapsed="false">
      <c r="A92" s="106" t="n">
        <f aca="false">IF(_PENDIENTES!$B$86&lt;&gt;"",85,"")</f>
        <v>85</v>
      </c>
      <c r="B92" s="47" t="str">
        <f aca="false">IF(_PENDIENTES!$B$86&lt;&gt;"",_PENDIENTES!$A$86,"")</f>
        <v>ENE</v>
      </c>
      <c r="C92" s="107" t="str">
        <f aca="false">IF(_PENDIENTES!$B$86&lt;&gt;"",_PENDIENTES!$C$86,"")</f>
        <v>OCAMPO CUEVA NOA ZAIRED</v>
      </c>
      <c r="D92" s="106" t="str">
        <f aca="false">IF(_PENDIENTES!$B$86&lt;&gt;"",_PENDIENTES!$D$86,"")</f>
        <v>94051509</v>
      </c>
      <c r="E92" s="111" t="str">
        <f aca="false">IF(_PENDIENTES!$B$86&lt;&gt;"",_PENDIENTES!$E$86,"")</f>
        <v>20/01/2026</v>
      </c>
      <c r="F92" s="106" t="str">
        <f aca="false">IF(_PENDIENTES!$B$86&lt;&gt;"",_PENDIENTES!$F$86,"")</f>
        <v>PETROLEO</v>
      </c>
      <c r="G92" s="50" t="n">
        <f aca="false">IF(_PENDIENTES!$B$86&lt;&gt;"",_PENDIENTES!$G$86,"")</f>
        <v>4</v>
      </c>
      <c r="H92" s="50" t="n">
        <f aca="false">IF(_PENDIENTES!$B$86&lt;&gt;"",_PENDIENTES!$H$86,"")</f>
        <v>72.72</v>
      </c>
      <c r="I92" s="108" t="str">
        <f aca="false">IF(_PENDIENTES!$B$86&lt;&gt;"",_PENDIENTES!$I$86,"")</f>
        <v>RUFASTO CHUQUIZUTA JUAN KAROOL</v>
      </c>
      <c r="J92" s="50" t="str">
        <f aca="false">IF(_PENDIENTES!$B$86&lt;&gt;"",_PENDIENTES!$J$86,"")</f>
        <v>EUA963</v>
      </c>
      <c r="K92" s="106" t="str">
        <f aca="false">IF(_PENDIENTES!$B$86&lt;&gt;"","POR RECOGER","")</f>
        <v>POR RECOGER</v>
      </c>
      <c r="L92" s="107" t="n">
        <f aca="false">IF(_PENDIENTES!$B$86&lt;&gt;"",_PENDIENTES!$K$86,"")</f>
        <v>0</v>
      </c>
      <c r="M92" s="85" t="str">
        <f aca="false">IF(_PENDIENTES!$B$86&lt;&gt;"",_PENDIENTES!$B$86,"")</f>
        <v>LAMUD</v>
      </c>
      <c r="N92" s="109" t="str">
        <f aca="false">IF(_PENDIENTES!$B$86&lt;&gt;"",_PENDIENTES!$L$86,"")</f>
        <v>LAMUD</v>
      </c>
      <c r="O92" s="89"/>
      <c r="P92" s="89"/>
      <c r="Q92" s="89"/>
      <c r="R92" s="89"/>
      <c r="S92" s="89"/>
    </row>
    <row r="93" customFormat="false" ht="15.75" hidden="true" customHeight="true" outlineLevel="0" collapsed="false">
      <c r="A93" s="46" t="n">
        <f aca="false">IF(_PENDIENTES!$B$87&lt;&gt;"",86,"")</f>
        <v>86</v>
      </c>
      <c r="B93" s="41" t="str">
        <f aca="false">IF(_PENDIENTES!$B$87&lt;&gt;"",_PENDIENTES!$A$87,"")</f>
        <v>ENE</v>
      </c>
      <c r="C93" s="110" t="str">
        <f aca="false">IF(_PENDIENTES!$B$87&lt;&gt;"",_PENDIENTES!$C$87,"")</f>
        <v>VILCA AGUILAR EDWUIN HILARIO</v>
      </c>
      <c r="D93" s="46" t="str">
        <f aca="false">IF(_PENDIENTES!$B$87&lt;&gt;"",_PENDIENTES!$D$87,"")</f>
        <v>9622495</v>
      </c>
      <c r="E93" s="112" t="str">
        <f aca="false">IF(_PENDIENTES!$B$87&lt;&gt;"",_PENDIENTES!$E$87,"")</f>
        <v>28/01/2026</v>
      </c>
      <c r="F93" s="46" t="str">
        <f aca="false">IF(_PENDIENTES!$B$87&lt;&gt;"",_PENDIENTES!$F$87,"")</f>
        <v>GASOLINA</v>
      </c>
      <c r="G93" s="44" t="n">
        <f aca="false">IF(_PENDIENTES!$B$87&lt;&gt;"",_PENDIENTES!$G$87,"")</f>
        <v>6</v>
      </c>
      <c r="H93" s="44" t="n">
        <f aca="false">IF(_PENDIENTES!$B$87&lt;&gt;"",_PENDIENTES!$H$87,"")</f>
        <v>107.7</v>
      </c>
      <c r="I93" s="113" t="str">
        <f aca="false">IF(_PENDIENTES!$B$87&lt;&gt;"",_PENDIENTES!$I$87,"")</f>
        <v>MUNOZ VERGARAY JORGE ENRRIQUE</v>
      </c>
      <c r="J93" s="44" t="str">
        <f aca="false">IF(_PENDIENTES!$B$87&lt;&gt;"",_PENDIENTES!$J$87,"")</f>
        <v>EUH 427</v>
      </c>
      <c r="K93" s="46" t="str">
        <f aca="false">IF(_PENDIENTES!$B$87&lt;&gt;"","POR RECOGER","")</f>
        <v>POR RECOGER</v>
      </c>
      <c r="L93" s="110" t="n">
        <f aca="false">IF(_PENDIENTES!$B$87&lt;&gt;"",_PENDIENTES!$K$87,"")</f>
        <v>0</v>
      </c>
      <c r="M93" s="85" t="str">
        <f aca="false">IF(_PENDIENTES!$B$87&lt;&gt;"",_PENDIENTES!$B$87,"")</f>
        <v>PEDRO RUIZ GALLO</v>
      </c>
      <c r="N93" s="109" t="str">
        <f aca="false">IF(_PENDIENTES!$B$87&lt;&gt;"",_PENDIENTES!$L$87,"")</f>
        <v>PEDRO RUIZ GALLO</v>
      </c>
      <c r="O93" s="89"/>
      <c r="P93" s="89"/>
      <c r="Q93" s="89"/>
      <c r="R93" s="89"/>
      <c r="S93" s="89"/>
    </row>
    <row r="94" customFormat="false" ht="15.75" hidden="true" customHeight="true" outlineLevel="0" collapsed="false">
      <c r="A94" s="106" t="n">
        <f aca="false">IF(_PENDIENTES!$B$88&lt;&gt;"",87,"")</f>
        <v>87</v>
      </c>
      <c r="B94" s="47" t="str">
        <f aca="false">IF(_PENDIENTES!$B$88&lt;&gt;"",_PENDIENTES!$A$88,"")</f>
        <v>ENE</v>
      </c>
      <c r="C94" s="107" t="str">
        <f aca="false">IF(_PENDIENTES!$B$88&lt;&gt;"",_PENDIENTES!$C$88,"")</f>
        <v>POQUIOMA CHAVEZ ENOMI</v>
      </c>
      <c r="D94" s="106" t="str">
        <f aca="false">IF(_PENDIENTES!$B$88&lt;&gt;"",_PENDIENTES!$D$88,"")</f>
        <v>43914122</v>
      </c>
      <c r="E94" s="111" t="str">
        <f aca="false">IF(_PENDIENTES!$B$88&lt;&gt;"",_PENDIENTES!$E$88,"")</f>
        <v>30/01/2026</v>
      </c>
      <c r="F94" s="106" t="str">
        <f aca="false">IF(_PENDIENTES!$B$88&lt;&gt;"",_PENDIENTES!$F$88,"")</f>
        <v>PETROLEO</v>
      </c>
      <c r="G94" s="50" t="n">
        <f aca="false">IF(_PENDIENTES!$B$88&lt;&gt;"",_PENDIENTES!$G$88,"")</f>
        <v>4</v>
      </c>
      <c r="H94" s="50" t="n">
        <f aca="false">IF(_PENDIENTES!$B$88&lt;&gt;"",_PENDIENTES!$H$88,"")</f>
        <v>72.72</v>
      </c>
      <c r="I94" s="108" t="str">
        <f aca="false">IF(_PENDIENTES!$B$88&lt;&gt;"",_PENDIENTES!$I$88,"")</f>
        <v>DANIEL ZELADA TRUJILLO</v>
      </c>
      <c r="J94" s="50" t="str">
        <f aca="false">IF(_PENDIENTES!$B$88&lt;&gt;"",_PENDIENTES!$J$88,"")</f>
        <v>EUA-963</v>
      </c>
      <c r="K94" s="106" t="str">
        <f aca="false">IF(_PENDIENTES!$B$88&lt;&gt;"","POR RECOGER","")</f>
        <v>POR RECOGER</v>
      </c>
      <c r="L94" s="107" t="n">
        <f aca="false">IF(_PENDIENTES!$B$88&lt;&gt;"",_PENDIENTES!$K$88,"")</f>
        <v>0</v>
      </c>
      <c r="M94" s="85" t="str">
        <f aca="false">IF(_PENDIENTES!$B$88&lt;&gt;"",_PENDIENTES!$B$88,"")</f>
        <v>LAMUD</v>
      </c>
      <c r="N94" s="109" t="str">
        <f aca="false">IF(_PENDIENTES!$B$88&lt;&gt;"",_PENDIENTES!$L$88,"")</f>
        <v>LAMUD</v>
      </c>
      <c r="O94" s="89"/>
      <c r="P94" s="89"/>
      <c r="Q94" s="89"/>
      <c r="R94" s="89"/>
      <c r="S94" s="89"/>
    </row>
    <row r="95" customFormat="false" ht="15.75" hidden="true" customHeight="true" outlineLevel="0" collapsed="false">
      <c r="A95" s="46" t="n">
        <f aca="false">IF(_PENDIENTES!$B$89&lt;&gt;"",88,"")</f>
        <v>88</v>
      </c>
      <c r="B95" s="41" t="str">
        <f aca="false">IF(_PENDIENTES!$B$89&lt;&gt;"",_PENDIENTES!$A$89,"")</f>
        <v>ENE</v>
      </c>
      <c r="C95" s="110" t="str">
        <f aca="false">IF(_PENDIENTES!$B$89&lt;&gt;"",_PENDIENTES!$C$89,"")</f>
        <v>ARISTA SALAZAR JULIAN</v>
      </c>
      <c r="D95" s="46" t="str">
        <f aca="false">IF(_PENDIENTES!$B$89&lt;&gt;"",_PENDIENTES!$D$89,"")</f>
        <v>33948728</v>
      </c>
      <c r="E95" s="112" t="str">
        <f aca="false">IF(_PENDIENTES!$B$89&lt;&gt;"",_PENDIENTES!$E$89,"")</f>
        <v>24/01/2026</v>
      </c>
      <c r="F95" s="46" t="str">
        <f aca="false">IF(_PENDIENTES!$B$89&lt;&gt;"",_PENDIENTES!$F$89,"")</f>
        <v>PETROLEO</v>
      </c>
      <c r="G95" s="44" t="n">
        <f aca="false">IF(_PENDIENTES!$B$89&lt;&gt;"",_PENDIENTES!$G$89,"")</f>
        <v>5.7</v>
      </c>
      <c r="H95" s="44" t="n">
        <f aca="false">IF(_PENDIENTES!$B$89&lt;&gt;"",_PENDIENTES!$H$89,"")</f>
        <v>115.425</v>
      </c>
      <c r="I95" s="113" t="str">
        <f aca="false">IF(_PENDIENTES!$B$89&lt;&gt;"",_PENDIENTES!$I$89,"")</f>
        <v>ROJAS ALVARADO BENJAMIN</v>
      </c>
      <c r="J95" s="44" t="str">
        <f aca="false">IF(_PENDIENTES!$B$89&lt;&gt;"",_PENDIENTES!$J$89,"")</f>
        <v>421 EUH</v>
      </c>
      <c r="K95" s="46" t="str">
        <f aca="false">IF(_PENDIENTES!$B$89&lt;&gt;"","POR RECOGER","")</f>
        <v>POR RECOGER</v>
      </c>
      <c r="L95" s="110" t="n">
        <f aca="false">IF(_PENDIENTES!$B$89&lt;&gt;"",_PENDIENTES!$K$89,"")</f>
        <v>0</v>
      </c>
      <c r="M95" s="85" t="str">
        <f aca="false">IF(_PENDIENTES!$B$89&lt;&gt;"",_PENDIENTES!$B$89,"")</f>
        <v>MARIA AUXILIADORA</v>
      </c>
      <c r="N95" s="109" t="str">
        <f aca="false">IF(_PENDIENTES!$B$89&lt;&gt;"",_PENDIENTES!$L$89,"")</f>
        <v>MARIA AUXILIADORA</v>
      </c>
      <c r="O95" s="89"/>
      <c r="P95" s="89"/>
      <c r="Q95" s="89"/>
      <c r="R95" s="89"/>
      <c r="S95" s="89"/>
    </row>
    <row r="96" customFormat="false" ht="15.75" hidden="true" customHeight="true" outlineLevel="0" collapsed="false">
      <c r="A96" s="106" t="n">
        <f aca="false">IF(_PENDIENTES!$B$90&lt;&gt;"",89,"")</f>
        <v>89</v>
      </c>
      <c r="B96" s="47" t="str">
        <f aca="false">IF(_PENDIENTES!$B$90&lt;&gt;"",_PENDIENTES!$A$90,"")</f>
        <v>ENE</v>
      </c>
      <c r="C96" s="107" t="str">
        <f aca="false">IF(_PENDIENTES!$B$90&lt;&gt;"",_PENDIENTES!$C$90,"")</f>
        <v>RIVA MUÑOZ ALIPIO</v>
      </c>
      <c r="D96" s="106" t="str">
        <f aca="false">IF(_PENDIENTES!$B$90&lt;&gt;"",_PENDIENTES!$D$90,"")</f>
        <v>33948299</v>
      </c>
      <c r="E96" s="111" t="str">
        <f aca="false">IF(_PENDIENTES!$B$90&lt;&gt;"",_PENDIENTES!$E$90,"")</f>
        <v>26/01/2026</v>
      </c>
      <c r="F96" s="106" t="str">
        <f aca="false">IF(_PENDIENTES!$B$90&lt;&gt;"",_PENDIENTES!$F$90,"")</f>
        <v>PETROLEO</v>
      </c>
      <c r="G96" s="50" t="n">
        <f aca="false">IF(_PENDIENTES!$B$90&lt;&gt;"",_PENDIENTES!$G$90,"")</f>
        <v>10</v>
      </c>
      <c r="H96" s="50" t="n">
        <f aca="false">IF(_PENDIENTES!$B$90&lt;&gt;"",_PENDIENTES!$H$90,"")</f>
        <v>202.5</v>
      </c>
      <c r="I96" s="108" t="str">
        <f aca="false">IF(_PENDIENTES!$B$90&lt;&gt;"",_PENDIENTES!$I$90,"")</f>
        <v>LOPEZ HOYOS MIGUEL ANGEL</v>
      </c>
      <c r="J96" s="50" t="str">
        <f aca="false">IF(_PENDIENTES!$B$90&lt;&gt;"",_PENDIENTES!$J$90,"")</f>
        <v>EUH-698</v>
      </c>
      <c r="K96" s="106" t="str">
        <f aca="false">IF(_PENDIENTES!$B$90&lt;&gt;"","POR RECOGER","")</f>
        <v>POR RECOGER</v>
      </c>
      <c r="L96" s="107" t="n">
        <f aca="false">IF(_PENDIENTES!$B$90&lt;&gt;"",_PENDIENTES!$K$90,"")</f>
        <v>0</v>
      </c>
      <c r="M96" s="85" t="str">
        <f aca="false">IF(_PENDIENTES!$B$90&lt;&gt;"",_PENDIENTES!$B$90,"")</f>
        <v>MARIA AUXILIADORA</v>
      </c>
      <c r="N96" s="109" t="str">
        <f aca="false">IF(_PENDIENTES!$B$90&lt;&gt;"",_PENDIENTES!$L$90,"")</f>
        <v>MARIA AUXILIADORA</v>
      </c>
      <c r="O96" s="89"/>
      <c r="P96" s="89"/>
      <c r="Q96" s="89"/>
      <c r="R96" s="89"/>
      <c r="S96" s="89"/>
    </row>
    <row r="97" customFormat="false" ht="15.75" hidden="true" customHeight="true" outlineLevel="0" collapsed="false">
      <c r="A97" s="46" t="str">
        <f aca="false">IF(_PENDIENTES!$B$91&lt;&gt;"",90,"")</f>
        <v/>
      </c>
      <c r="B97" s="41" t="str">
        <f aca="false">IF(_PENDIENTES!$B$91&lt;&gt;"",_PENDIENTES!$A$91,"")</f>
        <v/>
      </c>
      <c r="C97" s="110" t="str">
        <f aca="false">IF(_PENDIENTES!$B$91&lt;&gt;"",_PENDIENTES!$C$91,"")</f>
        <v/>
      </c>
      <c r="D97" s="46" t="str">
        <f aca="false">IF(_PENDIENTES!$B$91&lt;&gt;"",_PENDIENTES!$D$91,"")</f>
        <v/>
      </c>
      <c r="E97" s="112" t="str">
        <f aca="false">IF(_PENDIENTES!$B$91&lt;&gt;"",_PENDIENTES!$E$91,"")</f>
        <v/>
      </c>
      <c r="F97" s="46" t="str">
        <f aca="false">IF(_PENDIENTES!$B$91&lt;&gt;"",_PENDIENTES!$F$91,"")</f>
        <v/>
      </c>
      <c r="G97" s="44" t="str">
        <f aca="false">IF(_PENDIENTES!$B$91&lt;&gt;"",_PENDIENTES!$G$91,"")</f>
        <v/>
      </c>
      <c r="H97" s="44" t="str">
        <f aca="false">IF(_PENDIENTES!$B$91&lt;&gt;"",_PENDIENTES!$H$91,"")</f>
        <v/>
      </c>
      <c r="I97" s="113" t="str">
        <f aca="false">IF(_PENDIENTES!$B$91&lt;&gt;"",_PENDIENTES!$I$91,"")</f>
        <v/>
      </c>
      <c r="J97" s="44" t="str">
        <f aca="false">IF(_PENDIENTES!$B$91&lt;&gt;"",_PENDIENTES!$J$91,"")</f>
        <v/>
      </c>
      <c r="K97" s="46" t="str">
        <f aca="false">IF(_PENDIENTES!$B$91&lt;&gt;"","POR RECOGER","")</f>
        <v/>
      </c>
      <c r="L97" s="110" t="str">
        <f aca="false">IF(_PENDIENTES!$B$91&lt;&gt;"",_PENDIENTES!$K$91,"")</f>
        <v/>
      </c>
      <c r="M97" s="85" t="str">
        <f aca="false">IF(_PENDIENTES!$B$91&lt;&gt;"",_PENDIENTES!$B$91,"")</f>
        <v/>
      </c>
      <c r="N97" s="109" t="str">
        <f aca="false">IF(_PENDIENTES!$B$91&lt;&gt;"",_PENDIENTES!$L$91,"")</f>
        <v/>
      </c>
      <c r="O97" s="89"/>
      <c r="P97" s="89"/>
      <c r="Q97" s="89"/>
      <c r="R97" s="89"/>
      <c r="S97" s="89"/>
    </row>
    <row r="98" customFormat="false" ht="15.75" hidden="true" customHeight="true" outlineLevel="0" collapsed="false">
      <c r="A98" s="106" t="str">
        <f aca="false">IF(_PENDIENTES!$B$92&lt;&gt;"",91,"")</f>
        <v/>
      </c>
      <c r="B98" s="47" t="str">
        <f aca="false">IF(_PENDIENTES!$B$92&lt;&gt;"",_PENDIENTES!$A$92,"")</f>
        <v/>
      </c>
      <c r="C98" s="107" t="str">
        <f aca="false">IF(_PENDIENTES!$B$92&lt;&gt;"",_PENDIENTES!$C$92,"")</f>
        <v/>
      </c>
      <c r="D98" s="106" t="str">
        <f aca="false">IF(_PENDIENTES!$B$92&lt;&gt;"",_PENDIENTES!$D$92,"")</f>
        <v/>
      </c>
      <c r="E98" s="111" t="str">
        <f aca="false">IF(_PENDIENTES!$B$92&lt;&gt;"",_PENDIENTES!$E$92,"")</f>
        <v/>
      </c>
      <c r="F98" s="106" t="str">
        <f aca="false">IF(_PENDIENTES!$B$92&lt;&gt;"",_PENDIENTES!$F$92,"")</f>
        <v/>
      </c>
      <c r="G98" s="50" t="str">
        <f aca="false">IF(_PENDIENTES!$B$92&lt;&gt;"",_PENDIENTES!$G$92,"")</f>
        <v/>
      </c>
      <c r="H98" s="50" t="str">
        <f aca="false">IF(_PENDIENTES!$B$92&lt;&gt;"",_PENDIENTES!$H$92,"")</f>
        <v/>
      </c>
      <c r="I98" s="108" t="str">
        <f aca="false">IF(_PENDIENTES!$B$92&lt;&gt;"",_PENDIENTES!$I$92,"")</f>
        <v/>
      </c>
      <c r="J98" s="50" t="str">
        <f aca="false">IF(_PENDIENTES!$B$92&lt;&gt;"",_PENDIENTES!$J$92,"")</f>
        <v/>
      </c>
      <c r="K98" s="106" t="str">
        <f aca="false">IF(_PENDIENTES!$B$92&lt;&gt;"","POR RECOGER","")</f>
        <v/>
      </c>
      <c r="L98" s="107" t="str">
        <f aca="false">IF(_PENDIENTES!$B$92&lt;&gt;"",_PENDIENTES!$K$92,"")</f>
        <v/>
      </c>
      <c r="M98" s="85" t="str">
        <f aca="false">IF(_PENDIENTES!$B$92&lt;&gt;"",_PENDIENTES!$B$92,"")</f>
        <v/>
      </c>
      <c r="N98" s="109" t="str">
        <f aca="false">IF(_PENDIENTES!$B$92&lt;&gt;"",_PENDIENTES!$L$92,"")</f>
        <v/>
      </c>
      <c r="O98" s="89"/>
      <c r="P98" s="89"/>
      <c r="Q98" s="89"/>
      <c r="R98" s="89"/>
      <c r="S98" s="89"/>
    </row>
    <row r="99" customFormat="false" ht="15.75" hidden="true" customHeight="true" outlineLevel="0" collapsed="false">
      <c r="A99" s="46" t="str">
        <f aca="false">IF(_PENDIENTES!$B$93&lt;&gt;"",92,"")</f>
        <v/>
      </c>
      <c r="B99" s="41" t="str">
        <f aca="false">IF(_PENDIENTES!$B$93&lt;&gt;"",_PENDIENTES!$A$93,"")</f>
        <v/>
      </c>
      <c r="C99" s="110" t="str">
        <f aca="false">IF(_PENDIENTES!$B$93&lt;&gt;"",_PENDIENTES!$C$93,"")</f>
        <v/>
      </c>
      <c r="D99" s="46" t="str">
        <f aca="false">IF(_PENDIENTES!$B$93&lt;&gt;"",_PENDIENTES!$D$93,"")</f>
        <v/>
      </c>
      <c r="E99" s="112" t="str">
        <f aca="false">IF(_PENDIENTES!$B$93&lt;&gt;"",_PENDIENTES!$E$93,"")</f>
        <v/>
      </c>
      <c r="F99" s="46" t="str">
        <f aca="false">IF(_PENDIENTES!$B$93&lt;&gt;"",_PENDIENTES!$F$93,"")</f>
        <v/>
      </c>
      <c r="G99" s="44" t="str">
        <f aca="false">IF(_PENDIENTES!$B$93&lt;&gt;"",_PENDIENTES!$G$93,"")</f>
        <v/>
      </c>
      <c r="H99" s="44" t="str">
        <f aca="false">IF(_PENDIENTES!$B$93&lt;&gt;"",_PENDIENTES!$H$93,"")</f>
        <v/>
      </c>
      <c r="I99" s="113" t="str">
        <f aca="false">IF(_PENDIENTES!$B$93&lt;&gt;"",_PENDIENTES!$I$93,"")</f>
        <v/>
      </c>
      <c r="J99" s="44" t="str">
        <f aca="false">IF(_PENDIENTES!$B$93&lt;&gt;"",_PENDIENTES!$J$93,"")</f>
        <v/>
      </c>
      <c r="K99" s="46" t="str">
        <f aca="false">IF(_PENDIENTES!$B$93&lt;&gt;"","POR RECOGER","")</f>
        <v/>
      </c>
      <c r="L99" s="110" t="str">
        <f aca="false">IF(_PENDIENTES!$B$93&lt;&gt;"",_PENDIENTES!$K$93,"")</f>
        <v/>
      </c>
      <c r="M99" s="85" t="str">
        <f aca="false">IF(_PENDIENTES!$B$93&lt;&gt;"",_PENDIENTES!$B$93,"")</f>
        <v/>
      </c>
      <c r="N99" s="109" t="str">
        <f aca="false">IF(_PENDIENTES!$B$93&lt;&gt;"",_PENDIENTES!$L$93,"")</f>
        <v/>
      </c>
      <c r="O99" s="89"/>
      <c r="P99" s="89"/>
      <c r="Q99" s="89"/>
      <c r="R99" s="89"/>
      <c r="S99" s="89"/>
    </row>
    <row r="100" customFormat="false" ht="15.75" hidden="true" customHeight="true" outlineLevel="0" collapsed="false">
      <c r="A100" s="106" t="str">
        <f aca="false">IF(_PENDIENTES!$B$94&lt;&gt;"",93,"")</f>
        <v/>
      </c>
      <c r="B100" s="47" t="str">
        <f aca="false">IF(_PENDIENTES!$B$94&lt;&gt;"",_PENDIENTES!$A$94,"")</f>
        <v/>
      </c>
      <c r="C100" s="107" t="str">
        <f aca="false">IF(_PENDIENTES!$B$94&lt;&gt;"",_PENDIENTES!$C$94,"")</f>
        <v/>
      </c>
      <c r="D100" s="106" t="str">
        <f aca="false">IF(_PENDIENTES!$B$94&lt;&gt;"",_PENDIENTES!$D$94,"")</f>
        <v/>
      </c>
      <c r="E100" s="111" t="str">
        <f aca="false">IF(_PENDIENTES!$B$94&lt;&gt;"",_PENDIENTES!$E$94,"")</f>
        <v/>
      </c>
      <c r="F100" s="106" t="str">
        <f aca="false">IF(_PENDIENTES!$B$94&lt;&gt;"",_PENDIENTES!$F$94,"")</f>
        <v/>
      </c>
      <c r="G100" s="50" t="str">
        <f aca="false">IF(_PENDIENTES!$B$94&lt;&gt;"",_PENDIENTES!$G$94,"")</f>
        <v/>
      </c>
      <c r="H100" s="50" t="str">
        <f aca="false">IF(_PENDIENTES!$B$94&lt;&gt;"",_PENDIENTES!$H$94,"")</f>
        <v/>
      </c>
      <c r="I100" s="108" t="str">
        <f aca="false">IF(_PENDIENTES!$B$94&lt;&gt;"",_PENDIENTES!$I$94,"")</f>
        <v/>
      </c>
      <c r="J100" s="50" t="str">
        <f aca="false">IF(_PENDIENTES!$B$94&lt;&gt;"",_PENDIENTES!$J$94,"")</f>
        <v/>
      </c>
      <c r="K100" s="106" t="str">
        <f aca="false">IF(_PENDIENTES!$B$94&lt;&gt;"","POR RECOGER","")</f>
        <v/>
      </c>
      <c r="L100" s="107" t="str">
        <f aca="false">IF(_PENDIENTES!$B$94&lt;&gt;"",_PENDIENTES!$K$94,"")</f>
        <v/>
      </c>
      <c r="M100" s="85" t="str">
        <f aca="false">IF(_PENDIENTES!$B$94&lt;&gt;"",_PENDIENTES!$B$94,"")</f>
        <v/>
      </c>
      <c r="N100" s="109" t="str">
        <f aca="false">IF(_PENDIENTES!$B$94&lt;&gt;"",_PENDIENTES!$L$94,"")</f>
        <v/>
      </c>
      <c r="O100" s="89"/>
      <c r="P100" s="89"/>
      <c r="Q100" s="89"/>
      <c r="R100" s="89"/>
      <c r="S100" s="89"/>
    </row>
    <row r="101" customFormat="false" ht="15.75" hidden="true" customHeight="true" outlineLevel="0" collapsed="false">
      <c r="A101" s="46" t="str">
        <f aca="false">IF(_PENDIENTES!$B$95&lt;&gt;"",94,"")</f>
        <v/>
      </c>
      <c r="B101" s="41" t="str">
        <f aca="false">IF(_PENDIENTES!$B$95&lt;&gt;"",_PENDIENTES!$A$95,"")</f>
        <v/>
      </c>
      <c r="C101" s="110" t="str">
        <f aca="false">IF(_PENDIENTES!$B$95&lt;&gt;"",_PENDIENTES!$C$95,"")</f>
        <v/>
      </c>
      <c r="D101" s="46" t="str">
        <f aca="false">IF(_PENDIENTES!$B$95&lt;&gt;"",_PENDIENTES!$D$95,"")</f>
        <v/>
      </c>
      <c r="E101" s="112" t="str">
        <f aca="false">IF(_PENDIENTES!$B$95&lt;&gt;"",_PENDIENTES!$E$95,"")</f>
        <v/>
      </c>
      <c r="F101" s="46" t="str">
        <f aca="false">IF(_PENDIENTES!$B$95&lt;&gt;"",_PENDIENTES!$F$95,"")</f>
        <v/>
      </c>
      <c r="G101" s="44" t="str">
        <f aca="false">IF(_PENDIENTES!$B$95&lt;&gt;"",_PENDIENTES!$G$95,"")</f>
        <v/>
      </c>
      <c r="H101" s="44" t="str">
        <f aca="false">IF(_PENDIENTES!$B$95&lt;&gt;"",_PENDIENTES!$H$95,"")</f>
        <v/>
      </c>
      <c r="I101" s="113" t="str">
        <f aca="false">IF(_PENDIENTES!$B$95&lt;&gt;"",_PENDIENTES!$I$95,"")</f>
        <v/>
      </c>
      <c r="J101" s="44" t="str">
        <f aca="false">IF(_PENDIENTES!$B$95&lt;&gt;"",_PENDIENTES!$J$95,"")</f>
        <v/>
      </c>
      <c r="K101" s="46" t="str">
        <f aca="false">IF(_PENDIENTES!$B$95&lt;&gt;"","POR RECOGER","")</f>
        <v/>
      </c>
      <c r="L101" s="110" t="str">
        <f aca="false">IF(_PENDIENTES!$B$95&lt;&gt;"",_PENDIENTES!$K$95,"")</f>
        <v/>
      </c>
      <c r="M101" s="85" t="str">
        <f aca="false">IF(_PENDIENTES!$B$95&lt;&gt;"",_PENDIENTES!$B$95,"")</f>
        <v/>
      </c>
      <c r="N101" s="109" t="str">
        <f aca="false">IF(_PENDIENTES!$B$95&lt;&gt;"",_PENDIENTES!$L$95,"")</f>
        <v/>
      </c>
      <c r="O101" s="89"/>
      <c r="P101" s="89"/>
      <c r="Q101" s="89"/>
      <c r="R101" s="89"/>
      <c r="S101" s="89"/>
    </row>
    <row r="102" customFormat="false" ht="15.75" hidden="true" customHeight="true" outlineLevel="0" collapsed="false">
      <c r="A102" s="106" t="str">
        <f aca="false">IF(_PENDIENTES!$B$96&lt;&gt;"",95,"")</f>
        <v/>
      </c>
      <c r="B102" s="47" t="str">
        <f aca="false">IF(_PENDIENTES!$B$96&lt;&gt;"",_PENDIENTES!$A$96,"")</f>
        <v/>
      </c>
      <c r="C102" s="107" t="str">
        <f aca="false">IF(_PENDIENTES!$B$96&lt;&gt;"",_PENDIENTES!$C$96,"")</f>
        <v/>
      </c>
      <c r="D102" s="106" t="str">
        <f aca="false">IF(_PENDIENTES!$B$96&lt;&gt;"",_PENDIENTES!$D$96,"")</f>
        <v/>
      </c>
      <c r="E102" s="111" t="str">
        <f aca="false">IF(_PENDIENTES!$B$96&lt;&gt;"",_PENDIENTES!$E$96,"")</f>
        <v/>
      </c>
      <c r="F102" s="106" t="str">
        <f aca="false">IF(_PENDIENTES!$B$96&lt;&gt;"",_PENDIENTES!$F$96,"")</f>
        <v/>
      </c>
      <c r="G102" s="50" t="str">
        <f aca="false">IF(_PENDIENTES!$B$96&lt;&gt;"",_PENDIENTES!$G$96,"")</f>
        <v/>
      </c>
      <c r="H102" s="50" t="str">
        <f aca="false">IF(_PENDIENTES!$B$96&lt;&gt;"",_PENDIENTES!$H$96,"")</f>
        <v/>
      </c>
      <c r="I102" s="108" t="str">
        <f aca="false">IF(_PENDIENTES!$B$96&lt;&gt;"",_PENDIENTES!$I$96,"")</f>
        <v/>
      </c>
      <c r="J102" s="50" t="str">
        <f aca="false">IF(_PENDIENTES!$B$96&lt;&gt;"",_PENDIENTES!$J$96,"")</f>
        <v/>
      </c>
      <c r="K102" s="106" t="str">
        <f aca="false">IF(_PENDIENTES!$B$96&lt;&gt;"","POR RECOGER","")</f>
        <v/>
      </c>
      <c r="L102" s="107" t="str">
        <f aca="false">IF(_PENDIENTES!$B$96&lt;&gt;"",_PENDIENTES!$K$96,"")</f>
        <v/>
      </c>
      <c r="M102" s="85" t="str">
        <f aca="false">IF(_PENDIENTES!$B$96&lt;&gt;"",_PENDIENTES!$B$96,"")</f>
        <v/>
      </c>
      <c r="N102" s="109" t="str">
        <f aca="false">IF(_PENDIENTES!$B$96&lt;&gt;"",_PENDIENTES!$L$96,"")</f>
        <v/>
      </c>
      <c r="O102" s="89"/>
      <c r="P102" s="89"/>
      <c r="Q102" s="89"/>
      <c r="R102" s="89"/>
      <c r="S102" s="89"/>
    </row>
    <row r="103" customFormat="false" ht="15.75" hidden="true" customHeight="true" outlineLevel="0" collapsed="false">
      <c r="A103" s="46" t="str">
        <f aca="false">IF(_PENDIENTES!$B$97&lt;&gt;"",96,"")</f>
        <v/>
      </c>
      <c r="B103" s="41" t="str">
        <f aca="false">IF(_PENDIENTES!$B$97&lt;&gt;"",_PENDIENTES!$A$97,"")</f>
        <v/>
      </c>
      <c r="C103" s="110" t="str">
        <f aca="false">IF(_PENDIENTES!$B$97&lt;&gt;"",_PENDIENTES!$C$97,"")</f>
        <v/>
      </c>
      <c r="D103" s="46" t="str">
        <f aca="false">IF(_PENDIENTES!$B$97&lt;&gt;"",_PENDIENTES!$D$97,"")</f>
        <v/>
      </c>
      <c r="E103" s="112" t="str">
        <f aca="false">IF(_PENDIENTES!$B$97&lt;&gt;"",_PENDIENTES!$E$97,"")</f>
        <v/>
      </c>
      <c r="F103" s="46" t="str">
        <f aca="false">IF(_PENDIENTES!$B$97&lt;&gt;"",_PENDIENTES!$F$97,"")</f>
        <v/>
      </c>
      <c r="G103" s="44" t="str">
        <f aca="false">IF(_PENDIENTES!$B$97&lt;&gt;"",_PENDIENTES!$G$97,"")</f>
        <v/>
      </c>
      <c r="H103" s="44" t="str">
        <f aca="false">IF(_PENDIENTES!$B$97&lt;&gt;"",_PENDIENTES!$H$97,"")</f>
        <v/>
      </c>
      <c r="I103" s="113" t="str">
        <f aca="false">IF(_PENDIENTES!$B$97&lt;&gt;"",_PENDIENTES!$I$97,"")</f>
        <v/>
      </c>
      <c r="J103" s="44" t="str">
        <f aca="false">IF(_PENDIENTES!$B$97&lt;&gt;"",_PENDIENTES!$J$97,"")</f>
        <v/>
      </c>
      <c r="K103" s="46" t="str">
        <f aca="false">IF(_PENDIENTES!$B$97&lt;&gt;"","POR RECOGER","")</f>
        <v/>
      </c>
      <c r="L103" s="110" t="str">
        <f aca="false">IF(_PENDIENTES!$B$97&lt;&gt;"",_PENDIENTES!$K$97,"")</f>
        <v/>
      </c>
      <c r="M103" s="85" t="str">
        <f aca="false">IF(_PENDIENTES!$B$97&lt;&gt;"",_PENDIENTES!$B$97,"")</f>
        <v/>
      </c>
      <c r="N103" s="109" t="str">
        <f aca="false">IF(_PENDIENTES!$B$97&lt;&gt;"",_PENDIENTES!$L$97,"")</f>
        <v/>
      </c>
      <c r="O103" s="89"/>
      <c r="P103" s="89"/>
      <c r="Q103" s="89"/>
      <c r="R103" s="89"/>
      <c r="S103" s="89"/>
    </row>
    <row r="104" customFormat="false" ht="15.75" hidden="true" customHeight="true" outlineLevel="0" collapsed="false">
      <c r="A104" s="106" t="str">
        <f aca="false">IF(_PENDIENTES!$B$98&lt;&gt;"",97,"")</f>
        <v/>
      </c>
      <c r="B104" s="47" t="str">
        <f aca="false">IF(_PENDIENTES!$B$98&lt;&gt;"",_PENDIENTES!$A$98,"")</f>
        <v/>
      </c>
      <c r="C104" s="107" t="str">
        <f aca="false">IF(_PENDIENTES!$B$98&lt;&gt;"",_PENDIENTES!$C$98,"")</f>
        <v/>
      </c>
      <c r="D104" s="106" t="str">
        <f aca="false">IF(_PENDIENTES!$B$98&lt;&gt;"",_PENDIENTES!$D$98,"")</f>
        <v/>
      </c>
      <c r="E104" s="111" t="str">
        <f aca="false">IF(_PENDIENTES!$B$98&lt;&gt;"",_PENDIENTES!$E$98,"")</f>
        <v/>
      </c>
      <c r="F104" s="106" t="str">
        <f aca="false">IF(_PENDIENTES!$B$98&lt;&gt;"",_PENDIENTES!$F$98,"")</f>
        <v/>
      </c>
      <c r="G104" s="50" t="str">
        <f aca="false">IF(_PENDIENTES!$B$98&lt;&gt;"",_PENDIENTES!$G$98,"")</f>
        <v/>
      </c>
      <c r="H104" s="50" t="str">
        <f aca="false">IF(_PENDIENTES!$B$98&lt;&gt;"",_PENDIENTES!$H$98,"")</f>
        <v/>
      </c>
      <c r="I104" s="108" t="str">
        <f aca="false">IF(_PENDIENTES!$B$98&lt;&gt;"",_PENDIENTES!$I$98,"")</f>
        <v/>
      </c>
      <c r="J104" s="50" t="str">
        <f aca="false">IF(_PENDIENTES!$B$98&lt;&gt;"",_PENDIENTES!$J$98,"")</f>
        <v/>
      </c>
      <c r="K104" s="106" t="str">
        <f aca="false">IF(_PENDIENTES!$B$98&lt;&gt;"","POR RECOGER","")</f>
        <v/>
      </c>
      <c r="L104" s="107" t="str">
        <f aca="false">IF(_PENDIENTES!$B$98&lt;&gt;"",_PENDIENTES!$K$98,"")</f>
        <v/>
      </c>
      <c r="M104" s="85" t="str">
        <f aca="false">IF(_PENDIENTES!$B$98&lt;&gt;"",_PENDIENTES!$B$98,"")</f>
        <v/>
      </c>
      <c r="N104" s="109" t="str">
        <f aca="false">IF(_PENDIENTES!$B$98&lt;&gt;"",_PENDIENTES!$L$98,"")</f>
        <v/>
      </c>
      <c r="O104" s="89"/>
      <c r="P104" s="89"/>
      <c r="Q104" s="89"/>
      <c r="R104" s="89"/>
      <c r="S104" s="89"/>
    </row>
    <row r="105" customFormat="false" ht="15.75" hidden="true" customHeight="true" outlineLevel="0" collapsed="false">
      <c r="A105" s="46" t="str">
        <f aca="false">IF(_PENDIENTES!$B$99&lt;&gt;"",98,"")</f>
        <v/>
      </c>
      <c r="B105" s="41" t="str">
        <f aca="false">IF(_PENDIENTES!$B$99&lt;&gt;"",_PENDIENTES!$A$99,"")</f>
        <v/>
      </c>
      <c r="C105" s="110" t="str">
        <f aca="false">IF(_PENDIENTES!$B$99&lt;&gt;"",_PENDIENTES!$C$99,"")</f>
        <v/>
      </c>
      <c r="D105" s="46" t="str">
        <f aca="false">IF(_PENDIENTES!$B$99&lt;&gt;"",_PENDIENTES!$D$99,"")</f>
        <v/>
      </c>
      <c r="E105" s="112" t="str">
        <f aca="false">IF(_PENDIENTES!$B$99&lt;&gt;"",_PENDIENTES!$E$99,"")</f>
        <v/>
      </c>
      <c r="F105" s="46" t="str">
        <f aca="false">IF(_PENDIENTES!$B$99&lt;&gt;"",_PENDIENTES!$F$99,"")</f>
        <v/>
      </c>
      <c r="G105" s="44" t="str">
        <f aca="false">IF(_PENDIENTES!$B$99&lt;&gt;"",_PENDIENTES!$G$99,"")</f>
        <v/>
      </c>
      <c r="H105" s="44" t="str">
        <f aca="false">IF(_PENDIENTES!$B$99&lt;&gt;"",_PENDIENTES!$H$99,"")</f>
        <v/>
      </c>
      <c r="I105" s="113" t="str">
        <f aca="false">IF(_PENDIENTES!$B$99&lt;&gt;"",_PENDIENTES!$I$99,"")</f>
        <v/>
      </c>
      <c r="J105" s="44" t="str">
        <f aca="false">IF(_PENDIENTES!$B$99&lt;&gt;"",_PENDIENTES!$J$99,"")</f>
        <v/>
      </c>
      <c r="K105" s="46" t="str">
        <f aca="false">IF(_PENDIENTES!$B$99&lt;&gt;"","POR RECOGER","")</f>
        <v/>
      </c>
      <c r="L105" s="110" t="str">
        <f aca="false">IF(_PENDIENTES!$B$99&lt;&gt;"",_PENDIENTES!$K$99,"")</f>
        <v/>
      </c>
      <c r="M105" s="85" t="str">
        <f aca="false">IF(_PENDIENTES!$B$99&lt;&gt;"",_PENDIENTES!$B$99,"")</f>
        <v/>
      </c>
      <c r="N105" s="109" t="str">
        <f aca="false">IF(_PENDIENTES!$B$99&lt;&gt;"",_PENDIENTES!$L$99,"")</f>
        <v/>
      </c>
      <c r="O105" s="89"/>
      <c r="P105" s="89"/>
      <c r="Q105" s="89"/>
      <c r="R105" s="89"/>
      <c r="S105" s="89"/>
    </row>
    <row r="106" customFormat="false" ht="15.75" hidden="true" customHeight="true" outlineLevel="0" collapsed="false">
      <c r="A106" s="106" t="str">
        <f aca="false">IF(_PENDIENTES!$B$100&lt;&gt;"",99,"")</f>
        <v/>
      </c>
      <c r="B106" s="47" t="str">
        <f aca="false">IF(_PENDIENTES!$B$100&lt;&gt;"",_PENDIENTES!$A$100,"")</f>
        <v/>
      </c>
      <c r="C106" s="107" t="str">
        <f aca="false">IF(_PENDIENTES!$B$100&lt;&gt;"",_PENDIENTES!$C$100,"")</f>
        <v/>
      </c>
      <c r="D106" s="106" t="str">
        <f aca="false">IF(_PENDIENTES!$B$100&lt;&gt;"",_PENDIENTES!$D$100,"")</f>
        <v/>
      </c>
      <c r="E106" s="111" t="str">
        <f aca="false">IF(_PENDIENTES!$B$100&lt;&gt;"",_PENDIENTES!$E$100,"")</f>
        <v/>
      </c>
      <c r="F106" s="106" t="str">
        <f aca="false">IF(_PENDIENTES!$B$100&lt;&gt;"",_PENDIENTES!$F$100,"")</f>
        <v/>
      </c>
      <c r="G106" s="50" t="str">
        <f aca="false">IF(_PENDIENTES!$B$100&lt;&gt;"",_PENDIENTES!$G$100,"")</f>
        <v/>
      </c>
      <c r="H106" s="50" t="str">
        <f aca="false">IF(_PENDIENTES!$B$100&lt;&gt;"",_PENDIENTES!$H$100,"")</f>
        <v/>
      </c>
      <c r="I106" s="108" t="str">
        <f aca="false">IF(_PENDIENTES!$B$100&lt;&gt;"",_PENDIENTES!$I$100,"")</f>
        <v/>
      </c>
      <c r="J106" s="50" t="str">
        <f aca="false">IF(_PENDIENTES!$B$100&lt;&gt;"",_PENDIENTES!$J$100,"")</f>
        <v/>
      </c>
      <c r="K106" s="106" t="str">
        <f aca="false">IF(_PENDIENTES!$B$100&lt;&gt;"","POR RECOGER","")</f>
        <v/>
      </c>
      <c r="L106" s="107" t="str">
        <f aca="false">IF(_PENDIENTES!$B$100&lt;&gt;"",_PENDIENTES!$K$100,"")</f>
        <v/>
      </c>
      <c r="M106" s="85" t="str">
        <f aca="false">IF(_PENDIENTES!$B$100&lt;&gt;"",_PENDIENTES!$B$100,"")</f>
        <v/>
      </c>
      <c r="N106" s="109" t="str">
        <f aca="false">IF(_PENDIENTES!$B$100&lt;&gt;"",_PENDIENTES!$L$100,"")</f>
        <v/>
      </c>
      <c r="O106" s="89"/>
      <c r="P106" s="89"/>
      <c r="Q106" s="89"/>
      <c r="R106" s="89"/>
      <c r="S106" s="89"/>
    </row>
    <row r="107" customFormat="false" ht="15.75" hidden="true" customHeight="true" outlineLevel="0" collapsed="false">
      <c r="A107" s="46" t="str">
        <f aca="false">IF(_PENDIENTES!$B$101&lt;&gt;"",100,"")</f>
        <v/>
      </c>
      <c r="B107" s="41" t="str">
        <f aca="false">IF(_PENDIENTES!$B$101&lt;&gt;"",_PENDIENTES!$A$101,"")</f>
        <v/>
      </c>
      <c r="C107" s="110" t="str">
        <f aca="false">IF(_PENDIENTES!$B$101&lt;&gt;"",_PENDIENTES!$C$101,"")</f>
        <v/>
      </c>
      <c r="D107" s="46" t="str">
        <f aca="false">IF(_PENDIENTES!$B$101&lt;&gt;"",_PENDIENTES!$D$101,"")</f>
        <v/>
      </c>
      <c r="E107" s="112" t="str">
        <f aca="false">IF(_PENDIENTES!$B$101&lt;&gt;"",_PENDIENTES!$E$101,"")</f>
        <v/>
      </c>
      <c r="F107" s="46" t="str">
        <f aca="false">IF(_PENDIENTES!$B$101&lt;&gt;"",_PENDIENTES!$F$101,"")</f>
        <v/>
      </c>
      <c r="G107" s="44" t="str">
        <f aca="false">IF(_PENDIENTES!$B$101&lt;&gt;"",_PENDIENTES!$G$101,"")</f>
        <v/>
      </c>
      <c r="H107" s="44" t="str">
        <f aca="false">IF(_PENDIENTES!$B$101&lt;&gt;"",_PENDIENTES!$H$101,"")</f>
        <v/>
      </c>
      <c r="I107" s="113" t="str">
        <f aca="false">IF(_PENDIENTES!$B$101&lt;&gt;"",_PENDIENTES!$I$101,"")</f>
        <v/>
      </c>
      <c r="J107" s="44" t="str">
        <f aca="false">IF(_PENDIENTES!$B$101&lt;&gt;"",_PENDIENTES!$J$101,"")</f>
        <v/>
      </c>
      <c r="K107" s="46" t="str">
        <f aca="false">IF(_PENDIENTES!$B$101&lt;&gt;"","POR RECOGER","")</f>
        <v/>
      </c>
      <c r="L107" s="110" t="str">
        <f aca="false">IF(_PENDIENTES!$B$101&lt;&gt;"",_PENDIENTES!$K$101,"")</f>
        <v/>
      </c>
      <c r="M107" s="85" t="str">
        <f aca="false">IF(_PENDIENTES!$B$101&lt;&gt;"",_PENDIENTES!$B$101,"")</f>
        <v/>
      </c>
      <c r="N107" s="109" t="str">
        <f aca="false">IF(_PENDIENTES!$B$101&lt;&gt;"",_PENDIENTES!$L$101,"")</f>
        <v/>
      </c>
      <c r="O107" s="89"/>
      <c r="P107" s="89"/>
      <c r="Q107" s="89"/>
      <c r="R107" s="89"/>
      <c r="S107" s="89"/>
    </row>
    <row r="108" customFormat="false" ht="15.75" hidden="true" customHeight="true" outlineLevel="0" collapsed="false">
      <c r="A108" s="106" t="str">
        <f aca="false">IF(_PENDIENTES!$B$102&lt;&gt;"",101,"")</f>
        <v/>
      </c>
      <c r="B108" s="47" t="str">
        <f aca="false">IF(_PENDIENTES!$B$102&lt;&gt;"",_PENDIENTES!$A$102,"")</f>
        <v/>
      </c>
      <c r="C108" s="107" t="str">
        <f aca="false">IF(_PENDIENTES!$B$102&lt;&gt;"",_PENDIENTES!$C$102,"")</f>
        <v/>
      </c>
      <c r="D108" s="106" t="str">
        <f aca="false">IF(_PENDIENTES!$B$102&lt;&gt;"",_PENDIENTES!$D$102,"")</f>
        <v/>
      </c>
      <c r="E108" s="111" t="str">
        <f aca="false">IF(_PENDIENTES!$B$102&lt;&gt;"",_PENDIENTES!$E$102,"")</f>
        <v/>
      </c>
      <c r="F108" s="106" t="str">
        <f aca="false">IF(_PENDIENTES!$B$102&lt;&gt;"",_PENDIENTES!$F$102,"")</f>
        <v/>
      </c>
      <c r="G108" s="50" t="str">
        <f aca="false">IF(_PENDIENTES!$B$102&lt;&gt;"",_PENDIENTES!$G$102,"")</f>
        <v/>
      </c>
      <c r="H108" s="50" t="str">
        <f aca="false">IF(_PENDIENTES!$B$102&lt;&gt;"",_PENDIENTES!$H$102,"")</f>
        <v/>
      </c>
      <c r="I108" s="108" t="str">
        <f aca="false">IF(_PENDIENTES!$B$102&lt;&gt;"",_PENDIENTES!$I$102,"")</f>
        <v/>
      </c>
      <c r="J108" s="50" t="str">
        <f aca="false">IF(_PENDIENTES!$B$102&lt;&gt;"",_PENDIENTES!$J$102,"")</f>
        <v/>
      </c>
      <c r="K108" s="106" t="str">
        <f aca="false">IF(_PENDIENTES!$B$102&lt;&gt;"","POR RECOGER","")</f>
        <v/>
      </c>
      <c r="L108" s="107" t="str">
        <f aca="false">IF(_PENDIENTES!$B$102&lt;&gt;"",_PENDIENTES!$K$102,"")</f>
        <v/>
      </c>
      <c r="M108" s="85" t="str">
        <f aca="false">IF(_PENDIENTES!$B$102&lt;&gt;"",_PENDIENTES!$B$102,"")</f>
        <v/>
      </c>
      <c r="N108" s="109" t="str">
        <f aca="false">IF(_PENDIENTES!$B$102&lt;&gt;"",_PENDIENTES!$L$102,"")</f>
        <v/>
      </c>
      <c r="O108" s="89"/>
      <c r="P108" s="89"/>
      <c r="Q108" s="89"/>
      <c r="R108" s="89"/>
      <c r="S108" s="89"/>
    </row>
    <row r="109" customFormat="false" ht="15.75" hidden="true" customHeight="true" outlineLevel="0" collapsed="false">
      <c r="A109" s="46" t="str">
        <f aca="false">IF(_PENDIENTES!$B$103&lt;&gt;"",102,"")</f>
        <v/>
      </c>
      <c r="B109" s="41" t="str">
        <f aca="false">IF(_PENDIENTES!$B$103&lt;&gt;"",_PENDIENTES!$A$103,"")</f>
        <v/>
      </c>
      <c r="C109" s="110" t="str">
        <f aca="false">IF(_PENDIENTES!$B$103&lt;&gt;"",_PENDIENTES!$C$103,"")</f>
        <v/>
      </c>
      <c r="D109" s="46" t="str">
        <f aca="false">IF(_PENDIENTES!$B$103&lt;&gt;"",_PENDIENTES!$D$103,"")</f>
        <v/>
      </c>
      <c r="E109" s="112" t="str">
        <f aca="false">IF(_PENDIENTES!$B$103&lt;&gt;"",_PENDIENTES!$E$103,"")</f>
        <v/>
      </c>
      <c r="F109" s="46" t="str">
        <f aca="false">IF(_PENDIENTES!$B$103&lt;&gt;"",_PENDIENTES!$F$103,"")</f>
        <v/>
      </c>
      <c r="G109" s="44" t="str">
        <f aca="false">IF(_PENDIENTES!$B$103&lt;&gt;"",_PENDIENTES!$G$103,"")</f>
        <v/>
      </c>
      <c r="H109" s="44" t="str">
        <f aca="false">IF(_PENDIENTES!$B$103&lt;&gt;"",_PENDIENTES!$H$103,"")</f>
        <v/>
      </c>
      <c r="I109" s="113" t="str">
        <f aca="false">IF(_PENDIENTES!$B$103&lt;&gt;"",_PENDIENTES!$I$103,"")</f>
        <v/>
      </c>
      <c r="J109" s="44" t="str">
        <f aca="false">IF(_PENDIENTES!$B$103&lt;&gt;"",_PENDIENTES!$J$103,"")</f>
        <v/>
      </c>
      <c r="K109" s="46" t="str">
        <f aca="false">IF(_PENDIENTES!$B$103&lt;&gt;"","POR RECOGER","")</f>
        <v/>
      </c>
      <c r="L109" s="110" t="str">
        <f aca="false">IF(_PENDIENTES!$B$103&lt;&gt;"",_PENDIENTES!$K$103,"")</f>
        <v/>
      </c>
      <c r="M109" s="85" t="str">
        <f aca="false">IF(_PENDIENTES!$B$103&lt;&gt;"",_PENDIENTES!$B$103,"")</f>
        <v/>
      </c>
      <c r="N109" s="109" t="str">
        <f aca="false">IF(_PENDIENTES!$B$103&lt;&gt;"",_PENDIENTES!$L$103,"")</f>
        <v/>
      </c>
      <c r="O109" s="89"/>
      <c r="P109" s="89"/>
      <c r="Q109" s="89"/>
      <c r="R109" s="89"/>
      <c r="S109" s="89"/>
    </row>
    <row r="110" customFormat="false" ht="15.75" hidden="true" customHeight="true" outlineLevel="0" collapsed="false">
      <c r="A110" s="106" t="str">
        <f aca="false">IF(_PENDIENTES!$B$104&lt;&gt;"",103,"")</f>
        <v/>
      </c>
      <c r="B110" s="47" t="str">
        <f aca="false">IF(_PENDIENTES!$B$104&lt;&gt;"",_PENDIENTES!$A$104,"")</f>
        <v/>
      </c>
      <c r="C110" s="107" t="str">
        <f aca="false">IF(_PENDIENTES!$B$104&lt;&gt;"",_PENDIENTES!$C$104,"")</f>
        <v/>
      </c>
      <c r="D110" s="106" t="str">
        <f aca="false">IF(_PENDIENTES!$B$104&lt;&gt;"",_PENDIENTES!$D$104,"")</f>
        <v/>
      </c>
      <c r="E110" s="111" t="str">
        <f aca="false">IF(_PENDIENTES!$B$104&lt;&gt;"",_PENDIENTES!$E$104,"")</f>
        <v/>
      </c>
      <c r="F110" s="106" t="str">
        <f aca="false">IF(_PENDIENTES!$B$104&lt;&gt;"",_PENDIENTES!$F$104,"")</f>
        <v/>
      </c>
      <c r="G110" s="50" t="str">
        <f aca="false">IF(_PENDIENTES!$B$104&lt;&gt;"",_PENDIENTES!$G$104,"")</f>
        <v/>
      </c>
      <c r="H110" s="50" t="str">
        <f aca="false">IF(_PENDIENTES!$B$104&lt;&gt;"",_PENDIENTES!$H$104,"")</f>
        <v/>
      </c>
      <c r="I110" s="108" t="str">
        <f aca="false">IF(_PENDIENTES!$B$104&lt;&gt;"",_PENDIENTES!$I$104,"")</f>
        <v/>
      </c>
      <c r="J110" s="50" t="str">
        <f aca="false">IF(_PENDIENTES!$B$104&lt;&gt;"",_PENDIENTES!$J$104,"")</f>
        <v/>
      </c>
      <c r="K110" s="106" t="str">
        <f aca="false">IF(_PENDIENTES!$B$104&lt;&gt;"","POR RECOGER","")</f>
        <v/>
      </c>
      <c r="L110" s="107" t="str">
        <f aca="false">IF(_PENDIENTES!$B$104&lt;&gt;"",_PENDIENTES!$K$104,"")</f>
        <v/>
      </c>
      <c r="M110" s="85" t="str">
        <f aca="false">IF(_PENDIENTES!$B$104&lt;&gt;"",_PENDIENTES!$B$104,"")</f>
        <v/>
      </c>
      <c r="N110" s="109" t="str">
        <f aca="false">IF(_PENDIENTES!$B$104&lt;&gt;"",_PENDIENTES!$L$104,"")</f>
        <v/>
      </c>
      <c r="O110" s="89"/>
      <c r="P110" s="89"/>
      <c r="Q110" s="89"/>
      <c r="R110" s="89"/>
      <c r="S110" s="89"/>
    </row>
    <row r="111" customFormat="false" ht="15.75" hidden="true" customHeight="true" outlineLevel="0" collapsed="false">
      <c r="A111" s="46" t="str">
        <f aca="false">IF(_PENDIENTES!$B$105&lt;&gt;"",104,"")</f>
        <v/>
      </c>
      <c r="B111" s="41" t="str">
        <f aca="false">IF(_PENDIENTES!$B$105&lt;&gt;"",_PENDIENTES!$A$105,"")</f>
        <v/>
      </c>
      <c r="C111" s="110" t="str">
        <f aca="false">IF(_PENDIENTES!$B$105&lt;&gt;"",_PENDIENTES!$C$105,"")</f>
        <v/>
      </c>
      <c r="D111" s="46" t="str">
        <f aca="false">IF(_PENDIENTES!$B$105&lt;&gt;"",_PENDIENTES!$D$105,"")</f>
        <v/>
      </c>
      <c r="E111" s="112" t="str">
        <f aca="false">IF(_PENDIENTES!$B$105&lt;&gt;"",_PENDIENTES!$E$105,"")</f>
        <v/>
      </c>
      <c r="F111" s="46" t="str">
        <f aca="false">IF(_PENDIENTES!$B$105&lt;&gt;"",_PENDIENTES!$F$105,"")</f>
        <v/>
      </c>
      <c r="G111" s="44" t="str">
        <f aca="false">IF(_PENDIENTES!$B$105&lt;&gt;"",_PENDIENTES!$G$105,"")</f>
        <v/>
      </c>
      <c r="H111" s="44" t="str">
        <f aca="false">IF(_PENDIENTES!$B$105&lt;&gt;"",_PENDIENTES!$H$105,"")</f>
        <v/>
      </c>
      <c r="I111" s="113" t="str">
        <f aca="false">IF(_PENDIENTES!$B$105&lt;&gt;"",_PENDIENTES!$I$105,"")</f>
        <v/>
      </c>
      <c r="J111" s="44" t="str">
        <f aca="false">IF(_PENDIENTES!$B$105&lt;&gt;"",_PENDIENTES!$J$105,"")</f>
        <v/>
      </c>
      <c r="K111" s="46" t="str">
        <f aca="false">IF(_PENDIENTES!$B$105&lt;&gt;"","POR RECOGER","")</f>
        <v/>
      </c>
      <c r="L111" s="110" t="str">
        <f aca="false">IF(_PENDIENTES!$B$105&lt;&gt;"",_PENDIENTES!$K$105,"")</f>
        <v/>
      </c>
      <c r="M111" s="85" t="str">
        <f aca="false">IF(_PENDIENTES!$B$105&lt;&gt;"",_PENDIENTES!$B$105,"")</f>
        <v/>
      </c>
      <c r="N111" s="109" t="str">
        <f aca="false">IF(_PENDIENTES!$B$105&lt;&gt;"",_PENDIENTES!$L$105,"")</f>
        <v/>
      </c>
      <c r="O111" s="89"/>
      <c r="P111" s="89"/>
      <c r="Q111" s="89"/>
      <c r="R111" s="89"/>
      <c r="S111" s="89"/>
    </row>
    <row r="112" customFormat="false" ht="15.75" hidden="true" customHeight="true" outlineLevel="0" collapsed="false">
      <c r="A112" s="106" t="str">
        <f aca="false">IF(_PENDIENTES!$B$106&lt;&gt;"",105,"")</f>
        <v/>
      </c>
      <c r="B112" s="47" t="str">
        <f aca="false">IF(_PENDIENTES!$B$106&lt;&gt;"",_PENDIENTES!$A$106,"")</f>
        <v/>
      </c>
      <c r="C112" s="107" t="str">
        <f aca="false">IF(_PENDIENTES!$B$106&lt;&gt;"",_PENDIENTES!$C$106,"")</f>
        <v/>
      </c>
      <c r="D112" s="106" t="str">
        <f aca="false">IF(_PENDIENTES!$B$106&lt;&gt;"",_PENDIENTES!$D$106,"")</f>
        <v/>
      </c>
      <c r="E112" s="111" t="str">
        <f aca="false">IF(_PENDIENTES!$B$106&lt;&gt;"",_PENDIENTES!$E$106,"")</f>
        <v/>
      </c>
      <c r="F112" s="106" t="str">
        <f aca="false">IF(_PENDIENTES!$B$106&lt;&gt;"",_PENDIENTES!$F$106,"")</f>
        <v/>
      </c>
      <c r="G112" s="50" t="str">
        <f aca="false">IF(_PENDIENTES!$B$106&lt;&gt;"",_PENDIENTES!$G$106,"")</f>
        <v/>
      </c>
      <c r="H112" s="50" t="str">
        <f aca="false">IF(_PENDIENTES!$B$106&lt;&gt;"",_PENDIENTES!$H$106,"")</f>
        <v/>
      </c>
      <c r="I112" s="108" t="str">
        <f aca="false">IF(_PENDIENTES!$B$106&lt;&gt;"",_PENDIENTES!$I$106,"")</f>
        <v/>
      </c>
      <c r="J112" s="50" t="str">
        <f aca="false">IF(_PENDIENTES!$B$106&lt;&gt;"",_PENDIENTES!$J$106,"")</f>
        <v/>
      </c>
      <c r="K112" s="106" t="str">
        <f aca="false">IF(_PENDIENTES!$B$106&lt;&gt;"","POR RECOGER","")</f>
        <v/>
      </c>
      <c r="L112" s="107" t="str">
        <f aca="false">IF(_PENDIENTES!$B$106&lt;&gt;"",_PENDIENTES!$K$106,"")</f>
        <v/>
      </c>
      <c r="M112" s="85" t="str">
        <f aca="false">IF(_PENDIENTES!$B$106&lt;&gt;"",_PENDIENTES!$B$106,"")</f>
        <v/>
      </c>
      <c r="N112" s="109" t="str">
        <f aca="false">IF(_PENDIENTES!$B$106&lt;&gt;"",_PENDIENTES!$L$106,"")</f>
        <v/>
      </c>
      <c r="O112" s="89"/>
      <c r="P112" s="89"/>
      <c r="Q112" s="89"/>
      <c r="R112" s="89"/>
      <c r="S112" s="89"/>
    </row>
    <row r="113" customFormat="false" ht="15.75" hidden="true" customHeight="true" outlineLevel="0" collapsed="false">
      <c r="A113" s="46" t="n">
        <f aca="false">IF(_PENDIENTES!$B$107&lt;&gt;"",106,"")</f>
        <v>106</v>
      </c>
      <c r="B113" s="41" t="str">
        <f aca="false">IF(_PENDIENTES!$B$107&lt;&gt;"",_PENDIENTES!$A$107,"")</f>
        <v>FEB</v>
      </c>
      <c r="C113" s="110" t="str">
        <f aca="false">IF(_PENDIENTES!$B$107&lt;&gt;"",_PENDIENTES!$C$107,"")</f>
        <v>CHOCA CHAPPA LIS JHISENIA</v>
      </c>
      <c r="D113" s="46" t="str">
        <f aca="false">IF(_PENDIENTES!$B$107&lt;&gt;"",_PENDIENTES!$D$107,"")</f>
        <v>77292793</v>
      </c>
      <c r="E113" s="112" t="str">
        <f aca="false">IF(_PENDIENTES!$B$107&lt;&gt;"",_PENDIENTES!$E$107,"")</f>
        <v>01/02/2026</v>
      </c>
      <c r="F113" s="46" t="str">
        <f aca="false">IF(_PENDIENTES!$B$107&lt;&gt;"",_PENDIENTES!$F$107,"")</f>
        <v>GASOLINA</v>
      </c>
      <c r="G113" s="44" t="n">
        <f aca="false">IF(_PENDIENTES!$B$107&lt;&gt;"",_PENDIENTES!$G$107,"")</f>
        <v>20</v>
      </c>
      <c r="H113" s="44" t="n">
        <f aca="false">IF(_PENDIENTES!$B$107&lt;&gt;"",_PENDIENTES!$H$107,"")</f>
        <v>359</v>
      </c>
      <c r="I113" s="113" t="str">
        <f aca="false">IF(_PENDIENTES!$B$107&lt;&gt;"",_PENDIENTES!$I$107,"")</f>
        <v>EDINSON CARRASCO VELA</v>
      </c>
      <c r="J113" s="44" t="str">
        <f aca="false">IF(_PENDIENTES!$B$107&lt;&gt;"",_PENDIENTES!$J$107,"")</f>
        <v>EUE-457</v>
      </c>
      <c r="K113" s="46" t="str">
        <f aca="false">IF(_PENDIENTES!$B$107&lt;&gt;"","POR RECOGER","")</f>
        <v>POR RECOGER</v>
      </c>
      <c r="L113" s="46" t="n">
        <f aca="false">IF(_PENDIENTES!$B$107&lt;&gt;"",_PENDIENTES!$K$107,"")</f>
        <v>0</v>
      </c>
      <c r="M113" s="85" t="str">
        <f aca="false">IF(_PENDIENTES!$B$107&lt;&gt;"",_PENDIENTES!$B$107,"")</f>
        <v>SALAZAR</v>
      </c>
      <c r="N113" s="109" t="str">
        <f aca="false">IF(_PENDIENTES!$B$107&lt;&gt;"",_PENDIENTES!$L$107,"")</f>
        <v>SALAZAR</v>
      </c>
      <c r="O113" s="89"/>
      <c r="P113" s="89"/>
      <c r="Q113" s="89"/>
      <c r="R113" s="89"/>
      <c r="S113" s="89"/>
    </row>
    <row r="114" customFormat="false" ht="15.75" hidden="true" customHeight="true" outlineLevel="0" collapsed="false">
      <c r="A114" s="106" t="n">
        <f aca="false">IF(_PENDIENTES!$B$108&lt;&gt;"",107,"")</f>
        <v>107</v>
      </c>
      <c r="B114" s="47" t="str">
        <f aca="false">IF(_PENDIENTES!$B$108&lt;&gt;"",_PENDIENTES!$A$108,"")</f>
        <v>FEB</v>
      </c>
      <c r="C114" s="107" t="str">
        <f aca="false">IF(_PENDIENTES!$B$108&lt;&gt;"",_PENDIENTES!$C$108,"")</f>
        <v>ANGELES BAUTISTA MARIA NATIVIDAD</v>
      </c>
      <c r="D114" s="106" t="str">
        <f aca="false">IF(_PENDIENTES!$B$108&lt;&gt;"",_PENDIENTES!$D$108,"")</f>
        <v>33780891</v>
      </c>
      <c r="E114" s="111" t="str">
        <f aca="false">IF(_PENDIENTES!$B$108&lt;&gt;"",_PENDIENTES!$E$108,"")</f>
        <v>02/02/2026</v>
      </c>
      <c r="F114" s="106" t="str">
        <f aca="false">IF(_PENDIENTES!$B$108&lt;&gt;"",_PENDIENTES!$F$108,"")</f>
        <v>PETROLEO</v>
      </c>
      <c r="G114" s="50" t="n">
        <f aca="false">IF(_PENDIENTES!$B$108&lt;&gt;"",_PENDIENTES!$G$108,"")</f>
        <v>4</v>
      </c>
      <c r="H114" s="50" t="n">
        <f aca="false">IF(_PENDIENTES!$B$108&lt;&gt;"",_PENDIENTES!$H$108,"")</f>
        <v>72.72</v>
      </c>
      <c r="I114" s="108" t="str">
        <f aca="false">IF(_PENDIENTES!$B$108&lt;&gt;"",_PENDIENTES!$I$108,"")</f>
        <v>RUFASTO CHUQUIZUTA JUAN KAROOL</v>
      </c>
      <c r="J114" s="50" t="str">
        <f aca="false">IF(_PENDIENTES!$B$108&lt;&gt;"",_PENDIENTES!$J$108,"")</f>
        <v>EUA963</v>
      </c>
      <c r="K114" s="106" t="str">
        <f aca="false">IF(_PENDIENTES!$B$108&lt;&gt;"","POR RECOGER","")</f>
        <v>POR RECOGER</v>
      </c>
      <c r="L114" s="106" t="n">
        <f aca="false">IF(_PENDIENTES!$B$108&lt;&gt;"",_PENDIENTES!$K$108,"")</f>
        <v>0</v>
      </c>
      <c r="M114" s="85" t="str">
        <f aca="false">IF(_PENDIENTES!$B$108&lt;&gt;"",_PENDIENTES!$B$108,"")</f>
        <v>LAMUD</v>
      </c>
      <c r="N114" s="109" t="str">
        <f aca="false">IF(_PENDIENTES!$B$108&lt;&gt;"",_PENDIENTES!$L$108,"")</f>
        <v>LAMUD</v>
      </c>
      <c r="O114" s="89"/>
      <c r="P114" s="89"/>
      <c r="Q114" s="89"/>
      <c r="R114" s="89"/>
      <c r="S114" s="89"/>
    </row>
    <row r="115" customFormat="false" ht="15.75" hidden="true" customHeight="true" outlineLevel="0" collapsed="false">
      <c r="A115" s="46" t="n">
        <f aca="false">IF(_PENDIENTES!$B$109&lt;&gt;"",108,"")</f>
        <v>108</v>
      </c>
      <c r="B115" s="41" t="str">
        <f aca="false">IF(_PENDIENTES!$B$109&lt;&gt;"",_PENDIENTES!$A$109,"")</f>
        <v>FEB</v>
      </c>
      <c r="C115" s="110" t="str">
        <f aca="false">IF(_PENDIENTES!$B$109&lt;&gt;"",_PENDIENTES!$C$109,"")</f>
        <v>ROJAS MENDOZA ESTHER</v>
      </c>
      <c r="D115" s="46" t="str">
        <f aca="false">IF(_PENDIENTES!$B$109&lt;&gt;"",_PENDIENTES!$D$109,"")</f>
        <v>61751899</v>
      </c>
      <c r="E115" s="112" t="str">
        <f aca="false">IF(_PENDIENTES!$B$109&lt;&gt;"",_PENDIENTES!$E$109,"")</f>
        <v>02/02/2026</v>
      </c>
      <c r="F115" s="46" t="str">
        <f aca="false">IF(_PENDIENTES!$B$109&lt;&gt;"",_PENDIENTES!$F$109,"")</f>
        <v>GASOLINA</v>
      </c>
      <c r="G115" s="44" t="n">
        <f aca="false">IF(_PENDIENTES!$B$109&lt;&gt;"",_PENDIENTES!$G$109,"")</f>
        <v>12</v>
      </c>
      <c r="H115" s="44" t="n">
        <f aca="false">IF(_PENDIENTES!$B$109&lt;&gt;"",_PENDIENTES!$H$109,"")</f>
        <v>215.4</v>
      </c>
      <c r="I115" s="113" t="str">
        <f aca="false">IF(_PENDIENTES!$B$109&lt;&gt;"",_PENDIENTES!$I$109,"")</f>
        <v>EDINSON CARRASCO VELA</v>
      </c>
      <c r="J115" s="44" t="str">
        <f aca="false">IF(_PENDIENTES!$B$109&lt;&gt;"",_PENDIENTES!$J$109,"")</f>
        <v>EUE-457</v>
      </c>
      <c r="K115" s="46" t="str">
        <f aca="false">IF(_PENDIENTES!$B$109&lt;&gt;"","POR RECOGER","")</f>
        <v>POR RECOGER</v>
      </c>
      <c r="L115" s="46" t="n">
        <f aca="false">IF(_PENDIENTES!$B$109&lt;&gt;"",_PENDIENTES!$K$109,"")</f>
        <v>0</v>
      </c>
      <c r="M115" s="85" t="str">
        <f aca="false">IF(_PENDIENTES!$B$109&lt;&gt;"",_PENDIENTES!$B$109,"")</f>
        <v>SALAZAR</v>
      </c>
      <c r="N115" s="109" t="str">
        <f aca="false">IF(_PENDIENTES!$B$109&lt;&gt;"",_PENDIENTES!$L$109,"")</f>
        <v>SALAZAR</v>
      </c>
      <c r="O115" s="89"/>
      <c r="P115" s="89"/>
      <c r="Q115" s="89"/>
      <c r="R115" s="89"/>
      <c r="S115" s="89"/>
    </row>
    <row r="116" customFormat="false" ht="15.75" hidden="true" customHeight="true" outlineLevel="0" collapsed="false">
      <c r="A116" s="106" t="n">
        <f aca="false">IF(_PENDIENTES!$B$110&lt;&gt;"",109,"")</f>
        <v>109</v>
      </c>
      <c r="B116" s="47" t="str">
        <f aca="false">IF(_PENDIENTES!$B$110&lt;&gt;"",_PENDIENTES!$A$110,"")</f>
        <v>FEB</v>
      </c>
      <c r="C116" s="107" t="str">
        <f aca="false">IF(_PENDIENTES!$B$110&lt;&gt;"",_PENDIENTES!$C$110,"")</f>
        <v>LOJA ALVA KEISY BRIGITH</v>
      </c>
      <c r="D116" s="106" t="str">
        <f aca="false">IF(_PENDIENTES!$B$110&lt;&gt;"",_PENDIENTES!$D$110,"")</f>
        <v>77571420</v>
      </c>
      <c r="E116" s="111" t="str">
        <f aca="false">IF(_PENDIENTES!$B$110&lt;&gt;"",_PENDIENTES!$E$110,"")</f>
        <v>03/02/2026</v>
      </c>
      <c r="F116" s="106" t="str">
        <f aca="false">IF(_PENDIENTES!$B$110&lt;&gt;"",_PENDIENTES!$F$110,"")</f>
        <v>PETROLEO</v>
      </c>
      <c r="G116" s="50" t="n">
        <f aca="false">IF(_PENDIENTES!$B$110&lt;&gt;"",_PENDIENTES!$G$110,"")</f>
        <v>6</v>
      </c>
      <c r="H116" s="50" t="n">
        <f aca="false">IF(_PENDIENTES!$B$110&lt;&gt;"",_PENDIENTES!$H$110,"")</f>
        <v>109.08</v>
      </c>
      <c r="I116" s="108" t="str">
        <f aca="false">IF(_PENDIENTES!$B$110&lt;&gt;"",_PENDIENTES!$I$110,"")</f>
        <v>SANCHEZ CAJO VICENTE</v>
      </c>
      <c r="J116" s="50" t="str">
        <f aca="false">IF(_PENDIENTES!$B$110&lt;&gt;"",_PENDIENTES!$J$110,"")</f>
        <v>EGL-296</v>
      </c>
      <c r="K116" s="106" t="str">
        <f aca="false">IF(_PENDIENTES!$B$110&lt;&gt;"","POR RECOGER","")</f>
        <v>POR RECOGER</v>
      </c>
      <c r="L116" s="106" t="n">
        <f aca="false">IF(_PENDIENTES!$B$110&lt;&gt;"",_PENDIENTES!$K$110,"")</f>
        <v>0</v>
      </c>
      <c r="M116" s="85" t="str">
        <f aca="false">IF(_PENDIENTES!$B$110&lt;&gt;"",_PENDIENTES!$B$110,"")</f>
        <v>YERBABUENA</v>
      </c>
      <c r="N116" s="109" t="str">
        <f aca="false">IF(_PENDIENTES!$B$110&lt;&gt;"",_PENDIENTES!$L$110,"")</f>
        <v>YERBABUENA</v>
      </c>
      <c r="O116" s="89"/>
      <c r="P116" s="89"/>
      <c r="Q116" s="89"/>
      <c r="R116" s="89"/>
      <c r="S116" s="89"/>
    </row>
    <row r="117" customFormat="false" ht="15.75" hidden="true" customHeight="true" outlineLevel="0" collapsed="false">
      <c r="A117" s="46" t="n">
        <f aca="false">IF(_PENDIENTES!$B$111&lt;&gt;"",110,"")</f>
        <v>110</v>
      </c>
      <c r="B117" s="41" t="str">
        <f aca="false">IF(_PENDIENTES!$B$111&lt;&gt;"",_PENDIENTES!$A$111,"")</f>
        <v>FEB</v>
      </c>
      <c r="C117" s="110" t="str">
        <f aca="false">IF(_PENDIENTES!$B$111&lt;&gt;"",_PENDIENTES!$C$111,"")</f>
        <v>SAUCEDO RODRIGUEZ ISOLINA</v>
      </c>
      <c r="D117" s="46" t="str">
        <f aca="false">IF(_PENDIENTES!$B$111&lt;&gt;"",_PENDIENTES!$D$111,"")</f>
        <v>60268271</v>
      </c>
      <c r="E117" s="112" t="str">
        <f aca="false">IF(_PENDIENTES!$B$111&lt;&gt;"",_PENDIENTES!$E$111,"")</f>
        <v>03/02/2026</v>
      </c>
      <c r="F117" s="46" t="str">
        <f aca="false">IF(_PENDIENTES!$B$111&lt;&gt;"",_PENDIENTES!$F$111,"")</f>
        <v>PETROLEO</v>
      </c>
      <c r="G117" s="44" t="n">
        <f aca="false">IF(_PENDIENTES!$B$111&lt;&gt;"",_PENDIENTES!$G$111,"")</f>
        <v>5</v>
      </c>
      <c r="H117" s="44" t="n">
        <f aca="false">IF(_PENDIENTES!$B$111&lt;&gt;"",_PENDIENTES!$H$111,"")</f>
        <v>90.9</v>
      </c>
      <c r="I117" s="113" t="str">
        <f aca="false">IF(_PENDIENTES!$B$111&lt;&gt;"",_PENDIENTES!$I$111,"")</f>
        <v>BRICENO OXOLON MANUEL</v>
      </c>
      <c r="J117" s="44" t="str">
        <f aca="false">IF(_PENDIENTES!$B$111&lt;&gt;"",_PENDIENTES!$J$111,"")</f>
        <v>EUC976</v>
      </c>
      <c r="K117" s="46" t="str">
        <f aca="false">IF(_PENDIENTES!$B$111&lt;&gt;"","POR RECOGER","")</f>
        <v>POR RECOGER</v>
      </c>
      <c r="L117" s="46" t="str">
        <f aca="false">IF(_PENDIENTES!$B$111&lt;&gt;"",_PENDIENTES!$K$111,"")</f>
        <v>JUMBILLA</v>
      </c>
      <c r="M117" s="85" t="str">
        <f aca="false">IF(_PENDIENTES!$B$111&lt;&gt;"",_PENDIENTES!$B$111,"")</f>
        <v>JUMBILLA</v>
      </c>
      <c r="N117" s="109" t="str">
        <f aca="false">IF(_PENDIENTES!$B$111&lt;&gt;"",_PENDIENTES!$L$111,"")</f>
        <v>COROSHA</v>
      </c>
      <c r="O117" s="89"/>
      <c r="P117" s="89"/>
      <c r="Q117" s="89"/>
      <c r="R117" s="89"/>
      <c r="S117" s="89"/>
    </row>
    <row r="118" customFormat="false" ht="15.75" hidden="true" customHeight="true" outlineLevel="0" collapsed="false">
      <c r="A118" s="106" t="n">
        <f aca="false">IF(_PENDIENTES!$B$112&lt;&gt;"",111,"")</f>
        <v>111</v>
      </c>
      <c r="B118" s="47" t="str">
        <f aca="false">IF(_PENDIENTES!$B$112&lt;&gt;"",_PENDIENTES!$A$112,"")</f>
        <v>FEB</v>
      </c>
      <c r="C118" s="107" t="str">
        <f aca="false">IF(_PENDIENTES!$B$112&lt;&gt;"",_PENDIENTES!$C$112,"")</f>
        <v> MORAN CASTILLO ROSA YOLANDA</v>
      </c>
      <c r="D118" s="106" t="str">
        <f aca="false">IF(_PENDIENTES!$B$112&lt;&gt;"",_PENDIENTES!$D$112,"")</f>
        <v>16578620</v>
      </c>
      <c r="E118" s="111" t="str">
        <f aca="false">IF(_PENDIENTES!$B$112&lt;&gt;"",_PENDIENTES!$E$112,"")</f>
        <v>03/02/2026</v>
      </c>
      <c r="F118" s="106" t="str">
        <f aca="false">IF(_PENDIENTES!$B$112&lt;&gt;"",_PENDIENTES!$F$112,"")</f>
        <v>PETROLEO</v>
      </c>
      <c r="G118" s="50" t="n">
        <f aca="false">IF(_PENDIENTES!$B$112&lt;&gt;"",_PENDIENTES!$G$112,"")</f>
        <v>7</v>
      </c>
      <c r="H118" s="50" t="n">
        <f aca="false">IF(_PENDIENTES!$B$112&lt;&gt;"",_PENDIENTES!$H$112,"")</f>
        <v>141.75</v>
      </c>
      <c r="I118" s="108" t="str">
        <f aca="false">IF(_PENDIENTES!$B$112&lt;&gt;"",_PENDIENTES!$I$112,"")</f>
        <v>LOPEZ HOYOS MIGUEL ANGEL</v>
      </c>
      <c r="J118" s="50" t="str">
        <f aca="false">IF(_PENDIENTES!$B$112&lt;&gt;"",_PENDIENTES!$J$112,"")</f>
        <v>EUH-698</v>
      </c>
      <c r="K118" s="106" t="str">
        <f aca="false">IF(_PENDIENTES!$B$112&lt;&gt;"","POR RECOGER","")</f>
        <v>POR RECOGER</v>
      </c>
      <c r="L118" s="106" t="n">
        <f aca="false">IF(_PENDIENTES!$B$112&lt;&gt;"",_PENDIENTES!$K$112,"")</f>
        <v>0</v>
      </c>
      <c r="M118" s="85" t="str">
        <f aca="false">IF(_PENDIENTES!$B$112&lt;&gt;"",_PENDIENTES!$B$112,"")</f>
        <v>MARIA AUXILIADORA</v>
      </c>
      <c r="N118" s="109" t="str">
        <f aca="false">IF(_PENDIENTES!$B$112&lt;&gt;"",_PENDIENTES!$L$112,"")</f>
        <v>MARIA AUXILIADORA</v>
      </c>
      <c r="O118" s="89"/>
      <c r="P118" s="89"/>
      <c r="Q118" s="89"/>
      <c r="R118" s="89"/>
      <c r="S118" s="89"/>
    </row>
    <row r="119" customFormat="false" ht="15.75" hidden="true" customHeight="true" outlineLevel="0" collapsed="false">
      <c r="A119" s="46" t="n">
        <f aca="false">IF(_PENDIENTES!$B$113&lt;&gt;"",112,"")</f>
        <v>112</v>
      </c>
      <c r="B119" s="41" t="str">
        <f aca="false">IF(_PENDIENTES!$B$113&lt;&gt;"",_PENDIENTES!$A$113,"")</f>
        <v>FEB</v>
      </c>
      <c r="C119" s="110" t="str">
        <f aca="false">IF(_PENDIENTES!$B$113&lt;&gt;"",_PENDIENTES!$C$113,"")</f>
        <v>PEREZ BERNILLA GERSON JHAIMIR</v>
      </c>
      <c r="D119" s="46" t="str">
        <f aca="false">IF(_PENDIENTES!$B$113&lt;&gt;"",_PENDIENTES!$D$113,"")</f>
        <v>60302054</v>
      </c>
      <c r="E119" s="112" t="str">
        <f aca="false">IF(_PENDIENTES!$B$113&lt;&gt;"",_PENDIENTES!$E$113,"")</f>
        <v>03/02/2026</v>
      </c>
      <c r="F119" s="46" t="str">
        <f aca="false">IF(_PENDIENTES!$B$113&lt;&gt;"",_PENDIENTES!$F$113,"")</f>
        <v>PETROLEO</v>
      </c>
      <c r="G119" s="44" t="n">
        <f aca="false">IF(_PENDIENTES!$B$113&lt;&gt;"",_PENDIENTES!$G$113,"")</f>
        <v>4</v>
      </c>
      <c r="H119" s="44" t="n">
        <f aca="false">IF(_PENDIENTES!$B$113&lt;&gt;"",_PENDIENTES!$H$113,"")</f>
        <v>72.72</v>
      </c>
      <c r="I119" s="113" t="str">
        <f aca="false">IF(_PENDIENTES!$B$113&lt;&gt;"",_PENDIENTES!$I$113,"")</f>
        <v>RUFASTO CHUQUIZUTA JUAN KAROOL</v>
      </c>
      <c r="J119" s="44" t="str">
        <f aca="false">IF(_PENDIENTES!$B$113&lt;&gt;"",_PENDIENTES!$J$113,"")</f>
        <v>EUA963</v>
      </c>
      <c r="K119" s="46" t="str">
        <f aca="false">IF(_PENDIENTES!$B$113&lt;&gt;"","POR RECOGER","")</f>
        <v>POR RECOGER</v>
      </c>
      <c r="L119" s="46" t="n">
        <f aca="false">IF(_PENDIENTES!$B$113&lt;&gt;"",_PENDIENTES!$K$113,"")</f>
        <v>0</v>
      </c>
      <c r="M119" s="85" t="str">
        <f aca="false">IF(_PENDIENTES!$B$113&lt;&gt;"",_PENDIENTES!$B$113,"")</f>
        <v>LUYA</v>
      </c>
      <c r="N119" s="109" t="str">
        <f aca="false">IF(_PENDIENTES!$B$113&lt;&gt;"",_PENDIENTES!$L$113,"")</f>
        <v>LUYA</v>
      </c>
      <c r="O119" s="89"/>
      <c r="P119" s="89"/>
      <c r="Q119" s="89"/>
      <c r="R119" s="89"/>
      <c r="S119" s="89"/>
    </row>
    <row r="120" customFormat="false" ht="15.75" hidden="true" customHeight="true" outlineLevel="0" collapsed="false">
      <c r="A120" s="106" t="n">
        <f aca="false">IF(_PENDIENTES!$B$114&lt;&gt;"",113,"")</f>
        <v>113</v>
      </c>
      <c r="B120" s="47" t="str">
        <f aca="false">IF(_PENDIENTES!$B$114&lt;&gt;"",_PENDIENTES!$A$114,"")</f>
        <v>FEB</v>
      </c>
      <c r="C120" s="107" t="str">
        <f aca="false">IF(_PENDIENTES!$B$114&lt;&gt;"",_PENDIENTES!$C$114,"")</f>
        <v>HUAMAN PUERTA EIMY LUCIANA</v>
      </c>
      <c r="D120" s="106" t="str">
        <f aca="false">IF(_PENDIENTES!$B$114&lt;&gt;"",_PENDIENTES!$D$114,"")</f>
        <v>94533673</v>
      </c>
      <c r="E120" s="111" t="str">
        <f aca="false">IF(_PENDIENTES!$B$114&lt;&gt;"",_PENDIENTES!$E$114,"")</f>
        <v>03/02/2026</v>
      </c>
      <c r="F120" s="106" t="str">
        <f aca="false">IF(_PENDIENTES!$B$114&lt;&gt;"",_PENDIENTES!$F$114,"")</f>
        <v>PETROLEO</v>
      </c>
      <c r="G120" s="50" t="n">
        <f aca="false">IF(_PENDIENTES!$B$114&lt;&gt;"",_PENDIENTES!$G$114,"")</f>
        <v>7</v>
      </c>
      <c r="H120" s="50" t="n">
        <f aca="false">IF(_PENDIENTES!$B$114&lt;&gt;"",_PENDIENTES!$H$114,"")</f>
        <v>127.26</v>
      </c>
      <c r="I120" s="108" t="str">
        <f aca="false">IF(_PENDIENTES!$B$114&lt;&gt;"",_PENDIENTES!$I$114,"")</f>
        <v>LEIVA LARA JUNIOR</v>
      </c>
      <c r="J120" s="50" t="str">
        <f aca="false">IF(_PENDIENTES!$B$114&lt;&gt;"",_PENDIENTES!$J$114,"")</f>
        <v>EUC 959</v>
      </c>
      <c r="K120" s="106" t="str">
        <f aca="false">IF(_PENDIENTES!$B$114&lt;&gt;"","POR RECOGER","")</f>
        <v>POR RECOGER</v>
      </c>
      <c r="L120" s="106" t="n">
        <f aca="false">IF(_PENDIENTES!$B$114&lt;&gt;"",_PENDIENTES!$K$114,"")</f>
        <v>0</v>
      </c>
      <c r="M120" s="85" t="str">
        <f aca="false">IF(_PENDIENTES!$B$114&lt;&gt;"",_PENDIENTES!$B$114,"")</f>
        <v>JALCA GRANDE</v>
      </c>
      <c r="N120" s="109" t="str">
        <f aca="false">IF(_PENDIENTES!$B$114&lt;&gt;"",_PENDIENTES!$L$114,"")</f>
        <v>JALCA GRANDE</v>
      </c>
      <c r="O120" s="89"/>
      <c r="P120" s="89"/>
      <c r="Q120" s="89"/>
      <c r="R120" s="89"/>
      <c r="S120" s="89"/>
    </row>
    <row r="121" customFormat="false" ht="15.75" hidden="true" customHeight="true" outlineLevel="0" collapsed="false">
      <c r="A121" s="46" t="n">
        <f aca="false">IF(_PENDIENTES!$B$115&lt;&gt;"",114,"")</f>
        <v>114</v>
      </c>
      <c r="B121" s="41" t="str">
        <f aca="false">IF(_PENDIENTES!$B$115&lt;&gt;"",_PENDIENTES!$A$115,"")</f>
        <v>FEB</v>
      </c>
      <c r="C121" s="110" t="str">
        <f aca="false">IF(_PENDIENTES!$B$115&lt;&gt;"",_PENDIENTES!$C$115,"")</f>
        <v>GUEVARA FUENTES NAJAT</v>
      </c>
      <c r="D121" s="46" t="str">
        <f aca="false">IF(_PENDIENTES!$B$115&lt;&gt;"",_PENDIENTES!$D$115,"")</f>
        <v>90945709</v>
      </c>
      <c r="E121" s="112" t="str">
        <f aca="false">IF(_PENDIENTES!$B$115&lt;&gt;"",_PENDIENTES!$E$115,"")</f>
        <v>04/02/2026</v>
      </c>
      <c r="F121" s="46" t="str">
        <f aca="false">IF(_PENDIENTES!$B$115&lt;&gt;"",_PENDIENTES!$F$115,"")</f>
        <v>PETROLEO</v>
      </c>
      <c r="G121" s="44" t="n">
        <f aca="false">IF(_PENDIENTES!$B$115&lt;&gt;"",_PENDIENTES!$G$115,"")</f>
        <v>20</v>
      </c>
      <c r="H121" s="44" t="n">
        <f aca="false">IF(_PENDIENTES!$B$115&lt;&gt;"",_PENDIENTES!$H$115,"")</f>
        <v>363.6</v>
      </c>
      <c r="I121" s="113" t="str">
        <f aca="false">IF(_PENDIENTES!$B$115&lt;&gt;"",_PENDIENTES!$I$115,"")</f>
        <v>ALBERTO FARRO PEREZ</v>
      </c>
      <c r="J121" s="44" t="str">
        <f aca="false">IF(_PENDIENTES!$B$115&lt;&gt;"",_PENDIENTES!$J$115,"")</f>
        <v>EGO-124</v>
      </c>
      <c r="K121" s="46" t="str">
        <f aca="false">IF(_PENDIENTES!$B$115&lt;&gt;"","POR RECOGER","")</f>
        <v>POR RECOGER</v>
      </c>
      <c r="L121" s="46" t="n">
        <f aca="false">IF(_PENDIENTES!$B$115&lt;&gt;"",_PENDIENTES!$K$115,"")</f>
        <v>0</v>
      </c>
      <c r="M121" s="85" t="str">
        <f aca="false">IF(_PENDIENTES!$B$115&lt;&gt;"",_PENDIENTES!$B$115,"")</f>
        <v>OCALLI</v>
      </c>
      <c r="N121" s="109" t="str">
        <f aca="false">IF(_PENDIENTES!$B$115&lt;&gt;"",_PENDIENTES!$L$115,"")</f>
        <v>OCALLI</v>
      </c>
      <c r="O121" s="89"/>
      <c r="P121" s="89"/>
      <c r="Q121" s="89"/>
      <c r="R121" s="89"/>
      <c r="S121" s="89"/>
    </row>
    <row r="122" customFormat="false" ht="15.75" hidden="true" customHeight="true" outlineLevel="0" collapsed="false">
      <c r="A122" s="106" t="n">
        <f aca="false">IF(_PENDIENTES!$B$116&lt;&gt;"",115,"")</f>
        <v>115</v>
      </c>
      <c r="B122" s="47" t="str">
        <f aca="false">IF(_PENDIENTES!$B$116&lt;&gt;"",_PENDIENTES!$A$116,"")</f>
        <v>FEB</v>
      </c>
      <c r="C122" s="107" t="str">
        <f aca="false">IF(_PENDIENTES!$B$116&lt;&gt;"",_PENDIENTES!$C$116,"")</f>
        <v>TUESTA AÑASCO MATEO SMITH</v>
      </c>
      <c r="D122" s="106" t="str">
        <f aca="false">IF(_PENDIENTES!$B$116&lt;&gt;"",_PENDIENTES!$D$116,"")</f>
        <v>93920953</v>
      </c>
      <c r="E122" s="111" t="str">
        <f aca="false">IF(_PENDIENTES!$B$116&lt;&gt;"",_PENDIENTES!$E$116,"")</f>
        <v>04/02/2026</v>
      </c>
      <c r="F122" s="106" t="str">
        <f aca="false">IF(_PENDIENTES!$B$116&lt;&gt;"",_PENDIENTES!$F$116,"")</f>
        <v>PETROLEO</v>
      </c>
      <c r="G122" s="50" t="n">
        <f aca="false">IF(_PENDIENTES!$B$116&lt;&gt;"",_PENDIENTES!$G$116,"")</f>
        <v>4</v>
      </c>
      <c r="H122" s="50" t="n">
        <f aca="false">IF(_PENDIENTES!$B$116&lt;&gt;"",_PENDIENTES!$H$116,"")</f>
        <v>72.72</v>
      </c>
      <c r="I122" s="108" t="str">
        <f aca="false">IF(_PENDIENTES!$B$116&lt;&gt;"",_PENDIENTES!$I$116,"")</f>
        <v>RUFASTO CHUQUIZUTA JUAN KAROOL</v>
      </c>
      <c r="J122" s="50" t="str">
        <f aca="false">IF(_PENDIENTES!$B$116&lt;&gt;"",_PENDIENTES!$J$116,"")</f>
        <v>EUA963</v>
      </c>
      <c r="K122" s="106" t="str">
        <f aca="false">IF(_PENDIENTES!$B$116&lt;&gt;"","POR RECOGER","")</f>
        <v>POR RECOGER</v>
      </c>
      <c r="L122" s="106" t="n">
        <f aca="false">IF(_PENDIENTES!$B$116&lt;&gt;"",_PENDIENTES!$K$116,"")</f>
        <v>0</v>
      </c>
      <c r="M122" s="85" t="str">
        <f aca="false">IF(_PENDIENTES!$B$116&lt;&gt;"",_PENDIENTES!$B$116,"")</f>
        <v>LAMUD</v>
      </c>
      <c r="N122" s="109" t="str">
        <f aca="false">IF(_PENDIENTES!$B$116&lt;&gt;"",_PENDIENTES!$L$116,"")</f>
        <v>LAMUD</v>
      </c>
      <c r="O122" s="89"/>
      <c r="P122" s="89"/>
      <c r="Q122" s="89"/>
      <c r="R122" s="89"/>
      <c r="S122" s="89"/>
    </row>
    <row r="123" customFormat="false" ht="15.75" hidden="true" customHeight="true" outlineLevel="0" collapsed="false">
      <c r="A123" s="46" t="n">
        <f aca="false">IF(_PENDIENTES!$B$117&lt;&gt;"",116,"")</f>
        <v>116</v>
      </c>
      <c r="B123" s="41" t="str">
        <f aca="false">IF(_PENDIENTES!$B$117&lt;&gt;"",_PENDIENTES!$A$117,"")</f>
        <v>FEB</v>
      </c>
      <c r="C123" s="110" t="str">
        <f aca="false">IF(_PENDIENTES!$B$117&lt;&gt;"",_PENDIENTES!$C$117,"")</f>
        <v>SAUCEDO RODRIGUEZ ISOLINA</v>
      </c>
      <c r="D123" s="46" t="str">
        <f aca="false">IF(_PENDIENTES!$B$117&lt;&gt;"",_PENDIENTES!$D$117,"")</f>
        <v>60368271</v>
      </c>
      <c r="E123" s="46" t="str">
        <f aca="false">IF(_PENDIENTES!$B$117&lt;&gt;"",_PENDIENTES!$E$117,"")</f>
        <v>04/02/2026</v>
      </c>
      <c r="F123" s="46" t="str">
        <f aca="false">IF(_PENDIENTES!$B$117&lt;&gt;"",_PENDIENTES!$F$117,"")</f>
        <v>PETROLEO</v>
      </c>
      <c r="G123" s="44" t="n">
        <f aca="false">IF(_PENDIENTES!$B$117&lt;&gt;"",_PENDIENTES!$G$117,"")</f>
        <v>6</v>
      </c>
      <c r="H123" s="44" t="n">
        <f aca="false">IF(_PENDIENTES!$B$117&lt;&gt;"",_PENDIENTES!$H$117,"")</f>
        <v>109.08</v>
      </c>
      <c r="I123" s="113" t="str">
        <f aca="false">IF(_PENDIENTES!$B$117&lt;&gt;"",_PENDIENTES!$I$117,"")</f>
        <v>CARRERA ARAUJO JEINER</v>
      </c>
      <c r="J123" s="44" t="str">
        <f aca="false">IF(_PENDIENTES!$B$117&lt;&gt;"",_PENDIENTES!$J$117,"")</f>
        <v>EUH747</v>
      </c>
      <c r="K123" s="46" t="str">
        <f aca="false">IF(_PENDIENTES!$B$117&lt;&gt;"","POR RECOGER","")</f>
        <v>POR RECOGER</v>
      </c>
      <c r="L123" s="46" t="n">
        <f aca="false">IF(_PENDIENTES!$B$117&lt;&gt;"",_PENDIENTES!$K$117,"")</f>
        <v>0</v>
      </c>
      <c r="M123" s="85" t="str">
        <f aca="false">IF(_PENDIENTES!$B$117&lt;&gt;"",_PENDIENTES!$B$117,"")</f>
        <v>POMACOCHAS</v>
      </c>
      <c r="N123" s="109" t="str">
        <f aca="false">IF(_PENDIENTES!$B$117&lt;&gt;"",_PENDIENTES!$L$117,"")</f>
        <v>POMACOCHAS</v>
      </c>
      <c r="O123" s="89"/>
      <c r="P123" s="89"/>
      <c r="Q123" s="89"/>
      <c r="R123" s="89"/>
      <c r="S123" s="89"/>
    </row>
    <row r="124" customFormat="false" ht="15.75" hidden="true" customHeight="true" outlineLevel="0" collapsed="false">
      <c r="A124" s="106" t="n">
        <f aca="false">IF(_PENDIENTES!$B$118&lt;&gt;"",117,"")</f>
        <v>117</v>
      </c>
      <c r="B124" s="47" t="str">
        <f aca="false">IF(_PENDIENTES!$B$118&lt;&gt;"",_PENDIENTES!$A$118,"")</f>
        <v>FEB</v>
      </c>
      <c r="C124" s="107" t="str">
        <f aca="false">IF(_PENDIENTES!$B$118&lt;&gt;"",_PENDIENTES!$C$118,"")</f>
        <v>VASQUEZ FASABI AILANY DANITZA</v>
      </c>
      <c r="D124" s="106" t="str">
        <f aca="false">IF(_PENDIENTES!$B$118&lt;&gt;"",_PENDIENTES!$D$118,"")</f>
        <v>94484594</v>
      </c>
      <c r="E124" s="111" t="str">
        <f aca="false">IF(_PENDIENTES!$B$118&lt;&gt;"",_PENDIENTES!$E$118,"")</f>
        <v>05/02/2026</v>
      </c>
      <c r="F124" s="106" t="str">
        <f aca="false">IF(_PENDIENTES!$B$118&lt;&gt;"",_PENDIENTES!$F$118,"")</f>
        <v>PETROLEO</v>
      </c>
      <c r="G124" s="50" t="n">
        <f aca="false">IF(_PENDIENTES!$B$118&lt;&gt;"",_PENDIENTES!$G$118,"")</f>
        <v>5</v>
      </c>
      <c r="H124" s="50" t="n">
        <f aca="false">IF(_PENDIENTES!$B$118&lt;&gt;"",_PENDIENTES!$H$118,"")</f>
        <v>90.9</v>
      </c>
      <c r="I124" s="108" t="str">
        <f aca="false">IF(_PENDIENTES!$B$118&lt;&gt;"",_PENDIENTES!$I$118,"")</f>
        <v>MONTENEGRO RUIZ LUIS MIGUEL</v>
      </c>
      <c r="J124" s="50" t="str">
        <f aca="false">IF(_PENDIENTES!$B$118&lt;&gt;"",_PENDIENTES!$J$118,"")</f>
        <v>EUH-427</v>
      </c>
      <c r="K124" s="106" t="str">
        <f aca="false">IF(_PENDIENTES!$B$118&lt;&gt;"","POR RECOGER","")</f>
        <v>POR RECOGER</v>
      </c>
      <c r="L124" s="106" t="n">
        <f aca="false">IF(_PENDIENTES!$B$118&lt;&gt;"",_PENDIENTES!$K$118,"")</f>
        <v>0</v>
      </c>
      <c r="M124" s="85" t="str">
        <f aca="false">IF(_PENDIENTES!$B$118&lt;&gt;"",_PENDIENTES!$B$118,"")</f>
        <v>PEDRO RUIZ GALLO</v>
      </c>
      <c r="N124" s="109" t="str">
        <f aca="false">IF(_PENDIENTES!$B$118&lt;&gt;"",_PENDIENTES!$L$118,"")</f>
        <v>PEDRO RUIZ GALLO</v>
      </c>
      <c r="O124" s="89"/>
      <c r="P124" s="89"/>
      <c r="Q124" s="89"/>
      <c r="R124" s="89"/>
      <c r="S124" s="89"/>
    </row>
    <row r="125" customFormat="false" ht="15.75" hidden="true" customHeight="true" outlineLevel="0" collapsed="false">
      <c r="A125" s="46" t="n">
        <f aca="false">IF(_PENDIENTES!$B$119&lt;&gt;"",118,"")</f>
        <v>118</v>
      </c>
      <c r="B125" s="41" t="str">
        <f aca="false">IF(_PENDIENTES!$B$119&lt;&gt;"",_PENDIENTES!$A$119,"")</f>
        <v>FEB</v>
      </c>
      <c r="C125" s="110" t="str">
        <f aca="false">IF(_PENDIENTES!$B$119&lt;&gt;"",_PENDIENTES!$C$119,"")</f>
        <v>JULCA RAMOS ERLIN ALEXANDER</v>
      </c>
      <c r="D125" s="46" t="str">
        <f aca="false">IF(_PENDIENTES!$B$119&lt;&gt;"",_PENDIENTES!$D$119,"")</f>
        <v>62198629</v>
      </c>
      <c r="E125" s="112" t="str">
        <f aca="false">IF(_PENDIENTES!$B$119&lt;&gt;"",_PENDIENTES!$E$119,"")</f>
        <v>05/02/2026</v>
      </c>
      <c r="F125" s="46" t="str">
        <f aca="false">IF(_PENDIENTES!$B$119&lt;&gt;"",_PENDIENTES!$F$119,"")</f>
        <v>PETROLEO</v>
      </c>
      <c r="G125" s="44" t="n">
        <f aca="false">IF(_PENDIENTES!$B$119&lt;&gt;"",_PENDIENTES!$G$119,"")</f>
        <v>12</v>
      </c>
      <c r="H125" s="44" t="n">
        <f aca="false">IF(_PENDIENTES!$B$119&lt;&gt;"",_PENDIENTES!$H$119,"")</f>
        <v>218.16</v>
      </c>
      <c r="I125" s="113" t="str">
        <f aca="false">IF(_PENDIENTES!$B$119&lt;&gt;"",_PENDIENTES!$I$119,"")</f>
        <v>MACHUCA GARRIDO RIDER ALFONSO</v>
      </c>
      <c r="J125" s="44" t="str">
        <f aca="false">IF(_PENDIENTES!$B$119&lt;&gt;"",_PENDIENTES!$J$119,"")</f>
        <v>EUC 956</v>
      </c>
      <c r="K125" s="46" t="str">
        <f aca="false">IF(_PENDIENTES!$B$119&lt;&gt;"","POR RECOGER","")</f>
        <v>POR RECOGER</v>
      </c>
      <c r="L125" s="46" t="n">
        <f aca="false">IF(_PENDIENTES!$B$119&lt;&gt;"",_PENDIENTES!$K$119,"")</f>
        <v>0</v>
      </c>
      <c r="M125" s="85" t="str">
        <f aca="false">IF(_PENDIENTES!$B$119&lt;&gt;"",_PENDIENTES!$B$119,"")</f>
        <v>MARIA</v>
      </c>
      <c r="N125" s="109" t="str">
        <f aca="false">IF(_PENDIENTES!$B$119&lt;&gt;"",_PENDIENTES!$L$119,"")</f>
        <v>MARIA</v>
      </c>
      <c r="O125" s="89"/>
      <c r="P125" s="89"/>
      <c r="Q125" s="89"/>
      <c r="R125" s="89"/>
      <c r="S125" s="89"/>
    </row>
    <row r="126" customFormat="false" ht="15.75" hidden="false" customHeight="true" outlineLevel="0" collapsed="false">
      <c r="A126" s="106" t="n">
        <f aca="false">IF(_PENDIENTES!$B$120&lt;&gt;"",119,"")</f>
        <v>119</v>
      </c>
      <c r="B126" s="47" t="str">
        <f aca="false">IF(_PENDIENTES!$B$120&lt;&gt;"",_PENDIENTES!$A$120,"")</f>
        <v>FEB</v>
      </c>
      <c r="C126" s="107" t="str">
        <f aca="false">IF(_PENDIENTES!$B$120&lt;&gt;"",_PENDIENTES!$C$120,"")</f>
        <v>TORRES ALFREDO</v>
      </c>
      <c r="D126" s="106" t="str">
        <f aca="false">IF(_PENDIENTES!$B$120&lt;&gt;"",_PENDIENTES!$D$120,"")</f>
        <v>49022631</v>
      </c>
      <c r="E126" s="111" t="str">
        <f aca="false">IF(_PENDIENTES!$B$120&lt;&gt;"",_PENDIENTES!$E$120,"")</f>
        <v>05/02/2026</v>
      </c>
      <c r="F126" s="106" t="str">
        <f aca="false">IF(_PENDIENTES!$B$120&lt;&gt;"",_PENDIENTES!$F$120,"")</f>
        <v>PETROLEO</v>
      </c>
      <c r="G126" s="50" t="n">
        <f aca="false">IF(_PENDIENTES!$B$120&lt;&gt;"",_PENDIENTES!$G$120,"")</f>
        <v>10</v>
      </c>
      <c r="H126" s="50" t="n">
        <f aca="false">IF(_PENDIENTES!$B$120&lt;&gt;"",_PENDIENTES!$H$120,"")</f>
        <v>202.5</v>
      </c>
      <c r="I126" s="108" t="str">
        <f aca="false">IF(_PENDIENTES!$B$120&lt;&gt;"",_PENDIENTES!$I$120,"")</f>
        <v>LOPEZ VARGAS HUBER</v>
      </c>
      <c r="J126" s="50" t="str">
        <f aca="false">IF(_PENDIENTES!$B$120&lt;&gt;"",_PENDIENTES!$J$120,"")</f>
        <v>EUH 634</v>
      </c>
      <c r="K126" s="106" t="str">
        <f aca="false">IF(_PENDIENTES!$B$120&lt;&gt;"","POR RECOGER","")</f>
        <v>POR RECOGER</v>
      </c>
      <c r="L126" s="106" t="str">
        <f aca="false">IF(_PENDIENTES!$B$120&lt;&gt;"",_PENDIENTES!$K$120,"")</f>
        <v>OMIA</v>
      </c>
      <c r="M126" s="85" t="str">
        <f aca="false">IF(_PENDIENTES!$B$120&lt;&gt;"",_PENDIENTES!$B$120,"")</f>
        <v>OMIA</v>
      </c>
      <c r="N126" s="109" t="str">
        <f aca="false">IF(_PENDIENTES!$B$120&lt;&gt;"",_PENDIENTES!$L$120,"")</f>
        <v>MARIA AUXILIADORA</v>
      </c>
      <c r="O126" s="89"/>
      <c r="P126" s="89"/>
      <c r="Q126" s="89"/>
      <c r="R126" s="89"/>
      <c r="S126" s="89"/>
    </row>
    <row r="127" customFormat="false" ht="15.75" hidden="true" customHeight="true" outlineLevel="0" collapsed="false">
      <c r="A127" s="46" t="n">
        <f aca="false">IF(_PENDIENTES!$B$121&lt;&gt;"",120,"")</f>
        <v>120</v>
      </c>
      <c r="B127" s="41" t="str">
        <f aca="false">IF(_PENDIENTES!$B$121&lt;&gt;"",_PENDIENTES!$A$121,"")</f>
        <v>FEB</v>
      </c>
      <c r="C127" s="110" t="str">
        <f aca="false">IF(_PENDIENTES!$B$121&lt;&gt;"",_PENDIENTES!$C$121,"")</f>
        <v>ROJAS GUELAC ALEXANDRA</v>
      </c>
      <c r="D127" s="46" t="str">
        <f aca="false">IF(_PENDIENTES!$B$121&lt;&gt;"",_PENDIENTES!$D$121,"")</f>
        <v>60302212</v>
      </c>
      <c r="E127" s="112" t="str">
        <f aca="false">IF(_PENDIENTES!$B$121&lt;&gt;"",_PENDIENTES!$E$121,"")</f>
        <v>05/02/2026</v>
      </c>
      <c r="F127" s="46" t="str">
        <f aca="false">IF(_PENDIENTES!$B$121&lt;&gt;"",_PENDIENTES!$F$121,"")</f>
        <v>PETROLEO</v>
      </c>
      <c r="G127" s="44" t="n">
        <f aca="false">IF(_PENDIENTES!$B$121&lt;&gt;"",_PENDIENTES!$G$121,"")</f>
        <v>4</v>
      </c>
      <c r="H127" s="44" t="n">
        <f aca="false">IF(_PENDIENTES!$B$121&lt;&gt;"",_PENDIENTES!$H$121,"")</f>
        <v>72.72</v>
      </c>
      <c r="I127" s="113" t="str">
        <f aca="false">IF(_PENDIENTES!$B$121&lt;&gt;"",_PENDIENTES!$I$121,"")</f>
        <v>RUFASTO CHUQUIZUTA JUAN KAROOL</v>
      </c>
      <c r="J127" s="44" t="str">
        <f aca="false">IF(_PENDIENTES!$B$121&lt;&gt;"",_PENDIENTES!$J$121,"")</f>
        <v>EUA963</v>
      </c>
      <c r="K127" s="46" t="str">
        <f aca="false">IF(_PENDIENTES!$B$121&lt;&gt;"","POR RECOGER","")</f>
        <v>POR RECOGER</v>
      </c>
      <c r="L127" s="46" t="n">
        <f aca="false">IF(_PENDIENTES!$B$121&lt;&gt;"",_PENDIENTES!$K$121,"")</f>
        <v>0</v>
      </c>
      <c r="M127" s="85" t="str">
        <f aca="false">IF(_PENDIENTES!$B$121&lt;&gt;"",_PENDIENTES!$B$121,"")</f>
        <v>LUYA</v>
      </c>
      <c r="N127" s="109" t="str">
        <f aca="false">IF(_PENDIENTES!$B$121&lt;&gt;"",_PENDIENTES!$L$121,"")</f>
        <v>LUYA</v>
      </c>
      <c r="O127" s="89"/>
      <c r="P127" s="89"/>
      <c r="Q127" s="89"/>
      <c r="R127" s="89"/>
      <c r="S127" s="89"/>
    </row>
    <row r="128" customFormat="false" ht="15.75" hidden="true" customHeight="true" outlineLevel="0" collapsed="false">
      <c r="A128" s="106" t="n">
        <f aca="false">IF(_PENDIENTES!$B$122&lt;&gt;"",121,"")</f>
        <v>121</v>
      </c>
      <c r="B128" s="47" t="str">
        <f aca="false">IF(_PENDIENTES!$B$122&lt;&gt;"",_PENDIENTES!$A$122,"")</f>
        <v>FEB</v>
      </c>
      <c r="C128" s="107" t="str">
        <f aca="false">IF(_PENDIENTES!$B$122&lt;&gt;"",_PENDIENTES!$C$122,"")</f>
        <v>BARDALES RITUAY LUCINDA</v>
      </c>
      <c r="D128" s="106" t="str">
        <f aca="false">IF(_PENDIENTES!$B$122&lt;&gt;"",_PENDIENTES!$D$122,"")</f>
        <v>33417621</v>
      </c>
      <c r="E128" s="111" t="str">
        <f aca="false">IF(_PENDIENTES!$B$122&lt;&gt;"",_PENDIENTES!$E$122,"")</f>
        <v>05/02/2026</v>
      </c>
      <c r="F128" s="106" t="str">
        <f aca="false">IF(_PENDIENTES!$B$122&lt;&gt;"",_PENDIENTES!$F$122,"")</f>
        <v>PETROLEO</v>
      </c>
      <c r="G128" s="50" t="n">
        <f aca="false">IF(_PENDIENTES!$B$122&lt;&gt;"",_PENDIENTES!$G$122,"")</f>
        <v>7.5</v>
      </c>
      <c r="H128" s="50" t="n">
        <f aca="false">IF(_PENDIENTES!$B$122&lt;&gt;"",_PENDIENTES!$H$122,"")</f>
        <v>136.35</v>
      </c>
      <c r="I128" s="108" t="str">
        <f aca="false">IF(_PENDIENTES!$B$122&lt;&gt;"",_PENDIENTES!$I$122,"")</f>
        <v>CHAVEZ MORI DIMAS</v>
      </c>
      <c r="J128" s="50" t="str">
        <f aca="false">IF(_PENDIENTES!$B$122&lt;&gt;"",_PENDIENTES!$J$122,"")</f>
        <v>EUH 636</v>
      </c>
      <c r="K128" s="106" t="str">
        <f aca="false">IF(_PENDIENTES!$B$122&lt;&gt;"","POR RECOGER","")</f>
        <v>POR RECOGER</v>
      </c>
      <c r="L128" s="106" t="n">
        <f aca="false">IF(_PENDIENTES!$B$122&lt;&gt;"",_PENDIENTES!$K$122,"")</f>
        <v>0</v>
      </c>
      <c r="M128" s="85" t="str">
        <f aca="false">IF(_PENDIENTES!$B$122&lt;&gt;"",_PENDIENTES!$B$122,"")</f>
        <v>LEYMEBAMBA</v>
      </c>
      <c r="N128" s="109" t="str">
        <f aca="false">IF(_PENDIENTES!$B$122&lt;&gt;"",_PENDIENTES!$L$122,"")</f>
        <v>LEYMEBAMBA</v>
      </c>
      <c r="O128" s="89"/>
      <c r="P128" s="89"/>
      <c r="Q128" s="89"/>
      <c r="R128" s="89"/>
      <c r="S128" s="89"/>
    </row>
    <row r="129" customFormat="false" ht="15.75" hidden="true" customHeight="true" outlineLevel="0" collapsed="false">
      <c r="A129" s="46" t="n">
        <f aca="false">IF(_PENDIENTES!$B$123&lt;&gt;"",122,"")</f>
        <v>122</v>
      </c>
      <c r="B129" s="41" t="str">
        <f aca="false">IF(_PENDIENTES!$B$123&lt;&gt;"",_PENDIENTES!$A$123,"")</f>
        <v>FEB</v>
      </c>
      <c r="C129" s="110" t="str">
        <f aca="false">IF(_PENDIENTES!$B$123&lt;&gt;"",_PENDIENTES!$C$123,"")</f>
        <v>ANGELES DELCRUS JUANA</v>
      </c>
      <c r="D129" s="46" t="str">
        <f aca="false">IF(_PENDIENTES!$B$123&lt;&gt;"",_PENDIENTES!$D$123,"")</f>
        <v>48671328</v>
      </c>
      <c r="E129" s="112" t="str">
        <f aca="false">IF(_PENDIENTES!$B$123&lt;&gt;"",_PENDIENTES!$E$123,"")</f>
        <v>06/02/2026</v>
      </c>
      <c r="F129" s="46" t="str">
        <f aca="false">IF(_PENDIENTES!$B$123&lt;&gt;"",_PENDIENTES!$F$123,"")</f>
        <v>PETROLEO</v>
      </c>
      <c r="G129" s="44" t="n">
        <f aca="false">IF(_PENDIENTES!$B$123&lt;&gt;"",_PENDIENTES!$G$123,"")</f>
        <v>8</v>
      </c>
      <c r="H129" s="44" t="n">
        <f aca="false">IF(_PENDIENTES!$B$123&lt;&gt;"",_PENDIENTES!$H$123,"")</f>
        <v>145.44</v>
      </c>
      <c r="I129" s="113" t="str">
        <f aca="false">IF(_PENDIENTES!$B$123&lt;&gt;"",_PENDIENTES!$I$123,"")</f>
        <v>RUFASTO CHUQUIZUTA JUAN KAROOL</v>
      </c>
      <c r="J129" s="44" t="str">
        <f aca="false">IF(_PENDIENTES!$B$123&lt;&gt;"",_PENDIENTES!$J$123,"")</f>
        <v>EUA963</v>
      </c>
      <c r="K129" s="46" t="str">
        <f aca="false">IF(_PENDIENTES!$B$123&lt;&gt;"","POR RECOGER","")</f>
        <v>POR RECOGER</v>
      </c>
      <c r="L129" s="46" t="str">
        <f aca="false">IF(_PENDIENTES!$B$123&lt;&gt;"",_PENDIENTES!$K$123,"")</f>
        <v>LAMUD</v>
      </c>
      <c r="M129" s="85" t="str">
        <f aca="false">IF(_PENDIENTES!$B$123&lt;&gt;"",_PENDIENTES!$B$123,"")</f>
        <v>LAMUD</v>
      </c>
      <c r="N129" s="109" t="str">
        <f aca="false">IF(_PENDIENTES!$B$123&lt;&gt;"",_PENDIENTES!$L$123,"")</f>
        <v>SANTA CATALINA</v>
      </c>
      <c r="O129" s="89"/>
      <c r="P129" s="89"/>
      <c r="Q129" s="89"/>
      <c r="R129" s="89"/>
      <c r="S129" s="89"/>
    </row>
    <row r="130" customFormat="false" ht="15.75" hidden="true" customHeight="true" outlineLevel="0" collapsed="false">
      <c r="A130" s="106" t="n">
        <f aca="false">IF(_PENDIENTES!$B$124&lt;&gt;"",123,"")</f>
        <v>123</v>
      </c>
      <c r="B130" s="47" t="str">
        <f aca="false">IF(_PENDIENTES!$B$124&lt;&gt;"",_PENDIENTES!$A$124,"")</f>
        <v>FEB</v>
      </c>
      <c r="C130" s="107" t="str">
        <f aca="false">IF(_PENDIENTES!$B$124&lt;&gt;"",_PENDIENTES!$C$124,"")</f>
        <v>ESPICHAN VARGAS PEDRO PABLO</v>
      </c>
      <c r="D130" s="106" t="str">
        <f aca="false">IF(_PENDIENTES!$B$124&lt;&gt;"",_PENDIENTES!$D$124,"")</f>
        <v>46532820</v>
      </c>
      <c r="E130" s="111" t="str">
        <f aca="false">IF(_PENDIENTES!$B$124&lt;&gt;"",_PENDIENTES!$E$124,"")</f>
        <v>06/02/2026</v>
      </c>
      <c r="F130" s="106" t="str">
        <f aca="false">IF(_PENDIENTES!$B$124&lt;&gt;"",_PENDIENTES!$F$124,"")</f>
        <v>PETROLEO</v>
      </c>
      <c r="G130" s="50" t="n">
        <f aca="false">IF(_PENDIENTES!$B$124&lt;&gt;"",_PENDIENTES!$G$124,"")</f>
        <v>7</v>
      </c>
      <c r="H130" s="50" t="n">
        <f aca="false">IF(_PENDIENTES!$B$124&lt;&gt;"",_PENDIENTES!$H$124,"")</f>
        <v>141.75</v>
      </c>
      <c r="I130" s="108" t="str">
        <f aca="false">IF(_PENDIENTES!$B$124&lt;&gt;"",_PENDIENTES!$I$124,"")</f>
        <v>TRIGOSO TAFUR JOSE GILBER</v>
      </c>
      <c r="J130" s="50" t="str">
        <f aca="false">IF(_PENDIENTES!$B$124&lt;&gt;"",_PENDIENTES!$J$124,"")</f>
        <v>EUH 421</v>
      </c>
      <c r="K130" s="106" t="str">
        <f aca="false">IF(_PENDIENTES!$B$124&lt;&gt;"","POR RECOGER","")</f>
        <v>POR RECOGER</v>
      </c>
      <c r="L130" s="106" t="n">
        <f aca="false">IF(_PENDIENTES!$B$124&lt;&gt;"",_PENDIENTES!$K$124,"")</f>
        <v>0</v>
      </c>
      <c r="M130" s="85" t="str">
        <f aca="false">IF(_PENDIENTES!$B$124&lt;&gt;"",_PENDIENTES!$B$124,"")</f>
        <v>MARIA AUXILIADORA</v>
      </c>
      <c r="N130" s="109" t="str">
        <f aca="false">IF(_PENDIENTES!$B$124&lt;&gt;"",_PENDIENTES!$L$124,"")</f>
        <v>MARIA AUXILIADORA</v>
      </c>
      <c r="O130" s="89"/>
      <c r="P130" s="89"/>
      <c r="Q130" s="89"/>
      <c r="R130" s="89"/>
      <c r="S130" s="89"/>
    </row>
    <row r="131" customFormat="false" ht="15.75" hidden="true" customHeight="true" outlineLevel="0" collapsed="false">
      <c r="A131" s="46" t="n">
        <f aca="false">IF(_PENDIENTES!$B$125&lt;&gt;"",124,"")</f>
        <v>124</v>
      </c>
      <c r="B131" s="41" t="str">
        <f aca="false">IF(_PENDIENTES!$B$125&lt;&gt;"",_PENDIENTES!$A$125,"")</f>
        <v>FEB</v>
      </c>
      <c r="C131" s="110" t="str">
        <f aca="false">IF(_PENDIENTES!$B$125&lt;&gt;"",_PENDIENTES!$C$125,"")</f>
        <v>CARUAJULCA LEYVA LUSDINA</v>
      </c>
      <c r="D131" s="46" t="str">
        <f aca="false">IF(_PENDIENTES!$B$125&lt;&gt;"",_PENDIENTES!$D$125,"")</f>
        <v>42474105</v>
      </c>
      <c r="E131" s="112" t="str">
        <f aca="false">IF(_PENDIENTES!$B$125&lt;&gt;"",_PENDIENTES!$E$125,"")</f>
        <v>06/02/2026</v>
      </c>
      <c r="F131" s="46" t="str">
        <f aca="false">IF(_PENDIENTES!$B$125&lt;&gt;"",_PENDIENTES!$F$125,"")</f>
        <v>PETROLEO</v>
      </c>
      <c r="G131" s="44" t="n">
        <f aca="false">IF(_PENDIENTES!$B$125&lt;&gt;"",_PENDIENTES!$G$125,"")</f>
        <v>12</v>
      </c>
      <c r="H131" s="44" t="n">
        <f aca="false">IF(_PENDIENTES!$B$125&lt;&gt;"",_PENDIENTES!$H$125,"")</f>
        <v>218.16</v>
      </c>
      <c r="I131" s="113" t="str">
        <f aca="false">IF(_PENDIENTES!$B$125&lt;&gt;"",_PENDIENTES!$I$125,"")</f>
        <v>MACHUCA GARRIDO RIDER ALFONSO</v>
      </c>
      <c r="J131" s="44" t="str">
        <f aca="false">IF(_PENDIENTES!$B$125&lt;&gt;"",_PENDIENTES!$J$125,"")</f>
        <v>EUC 956</v>
      </c>
      <c r="K131" s="46" t="str">
        <f aca="false">IF(_PENDIENTES!$B$125&lt;&gt;"","POR RECOGER","")</f>
        <v>POR RECOGER</v>
      </c>
      <c r="L131" s="46" t="n">
        <f aca="false">IF(_PENDIENTES!$B$125&lt;&gt;"",_PENDIENTES!$K$125,"")</f>
        <v>0</v>
      </c>
      <c r="M131" s="85" t="str">
        <f aca="false">IF(_PENDIENTES!$B$125&lt;&gt;"",_PENDIENTES!$B$125,"")</f>
        <v>MARIA</v>
      </c>
      <c r="N131" s="109" t="str">
        <f aca="false">IF(_PENDIENTES!$B$125&lt;&gt;"",_PENDIENTES!$L$125,"")</f>
        <v>MARIA</v>
      </c>
      <c r="O131" s="89"/>
      <c r="P131" s="89"/>
      <c r="Q131" s="89"/>
      <c r="R131" s="89"/>
      <c r="S131" s="89"/>
    </row>
    <row r="132" customFormat="false" ht="15.75" hidden="true" customHeight="true" outlineLevel="0" collapsed="false">
      <c r="A132" s="106" t="n">
        <f aca="false">IF(_PENDIENTES!$B$126&lt;&gt;"",125,"")</f>
        <v>125</v>
      </c>
      <c r="B132" s="47" t="str">
        <f aca="false">IF(_PENDIENTES!$B$126&lt;&gt;"",_PENDIENTES!$A$126,"")</f>
        <v>FEB</v>
      </c>
      <c r="C132" s="107" t="str">
        <f aca="false">IF(_PENDIENTES!$B$126&lt;&gt;"",_PENDIENTES!$C$126,"")</f>
        <v>LOZANO ARCE EVA</v>
      </c>
      <c r="D132" s="106" t="str">
        <f aca="false">IF(_PENDIENTES!$B$126&lt;&gt;"",_PENDIENTES!$D$126,"")</f>
        <v>44739103</v>
      </c>
      <c r="E132" s="111" t="str">
        <f aca="false">IF(_PENDIENTES!$B$126&lt;&gt;"",_PENDIENTES!$E$126,"")</f>
        <v>06/02/2026</v>
      </c>
      <c r="F132" s="106" t="str">
        <f aca="false">IF(_PENDIENTES!$B$126&lt;&gt;"",_PENDIENTES!$F$126,"")</f>
        <v>PETROLEO</v>
      </c>
      <c r="G132" s="50" t="n">
        <f aca="false">IF(_PENDIENTES!$B$126&lt;&gt;"",_PENDIENTES!$G$126,"")</f>
        <v>10</v>
      </c>
      <c r="H132" s="50" t="n">
        <f aca="false">IF(_PENDIENTES!$B$126&lt;&gt;"",_PENDIENTES!$H$126,"")</f>
        <v>202.5</v>
      </c>
      <c r="I132" s="108" t="str">
        <f aca="false">IF(_PENDIENTES!$B$126&lt;&gt;"",_PENDIENTES!$I$126,"")</f>
        <v>LOPEZ HOYOS MIGUEL ANGEL</v>
      </c>
      <c r="J132" s="50" t="str">
        <f aca="false">IF(_PENDIENTES!$B$126&lt;&gt;"",_PENDIENTES!$J$126,"")</f>
        <v>EUH-698</v>
      </c>
      <c r="K132" s="106" t="str">
        <f aca="false">IF(_PENDIENTES!$B$126&lt;&gt;"","POR RECOGER","")</f>
        <v>POR RECOGER</v>
      </c>
      <c r="L132" s="106" t="str">
        <f aca="false">IF(_PENDIENTES!$B$126&lt;&gt;"",_PENDIENTES!$K$126,"")</f>
        <v>HUAMBO</v>
      </c>
      <c r="M132" s="85" t="str">
        <f aca="false">IF(_PENDIENTES!$B$126&lt;&gt;"",_PENDIENTES!$B$126,"")</f>
        <v>HUAMBO</v>
      </c>
      <c r="N132" s="109" t="str">
        <f aca="false">IF(_PENDIENTES!$B$126&lt;&gt;"",_PENDIENTES!$L$126,"")</f>
        <v>MARIA AUXILIADORA</v>
      </c>
      <c r="O132" s="89"/>
      <c r="P132" s="89"/>
      <c r="Q132" s="89"/>
      <c r="R132" s="89"/>
      <c r="S132" s="89"/>
    </row>
    <row r="133" customFormat="false" ht="15.75" hidden="true" customHeight="true" outlineLevel="0" collapsed="false">
      <c r="A133" s="46" t="n">
        <f aca="false">IF(_PENDIENTES!$B$127&lt;&gt;"",126,"")</f>
        <v>126</v>
      </c>
      <c r="B133" s="41" t="str">
        <f aca="false">IF(_PENDIENTES!$B$127&lt;&gt;"",_PENDIENTES!$A$127,"")</f>
        <v>FEB</v>
      </c>
      <c r="C133" s="110" t="str">
        <f aca="false">IF(_PENDIENTES!$B$127&lt;&gt;"",_PENDIENTES!$C$127,"")</f>
        <v>TUESTA VALQUI NELIDA ASUNTA</v>
      </c>
      <c r="D133" s="46" t="str">
        <f aca="false">IF(_PENDIENTES!$B$127&lt;&gt;"",_PENDIENTES!$D$127,"")</f>
        <v>43352386</v>
      </c>
      <c r="E133" s="112" t="str">
        <f aca="false">IF(_PENDIENTES!$B$127&lt;&gt;"",_PENDIENTES!$E$127,"")</f>
        <v>07/02/2026</v>
      </c>
      <c r="F133" s="46" t="str">
        <f aca="false">IF(_PENDIENTES!$B$127&lt;&gt;"",_PENDIENTES!$F$127,"")</f>
        <v>PETROLEO</v>
      </c>
      <c r="G133" s="44" t="n">
        <f aca="false">IF(_PENDIENTES!$B$127&lt;&gt;"",_PENDIENTES!$G$127,"")</f>
        <v>20</v>
      </c>
      <c r="H133" s="44" t="n">
        <f aca="false">IF(_PENDIENTES!$B$127&lt;&gt;"",_PENDIENTES!$H$127,"")</f>
        <v>363.6</v>
      </c>
      <c r="I133" s="113" t="str">
        <f aca="false">IF(_PENDIENTES!$B$127&lt;&gt;"",_PENDIENTES!$I$127,"")</f>
        <v>SAUCEDO LOPEZ ELDIN NOLASCO</v>
      </c>
      <c r="J133" s="44" t="str">
        <f aca="false">IF(_PENDIENTES!$B$127&lt;&gt;"",_PENDIENTES!$J$127,"")</f>
        <v>EUH699</v>
      </c>
      <c r="K133" s="46" t="str">
        <f aca="false">IF(_PENDIENTES!$B$127&lt;&gt;"","POR RECOGER","")</f>
        <v>POR RECOGER</v>
      </c>
      <c r="L133" s="46" t="n">
        <f aca="false">IF(_PENDIENTES!$B$127&lt;&gt;"",_PENDIENTES!$K$127,"")</f>
        <v>0</v>
      </c>
      <c r="M133" s="85" t="str">
        <f aca="false">IF(_PENDIENTES!$B$127&lt;&gt;"",_PENDIENTES!$B$127,"")</f>
        <v>SAN JUAN DE OCUMAL</v>
      </c>
      <c r="N133" s="109" t="str">
        <f aca="false">IF(_PENDIENTES!$B$127&lt;&gt;"",_PENDIENTES!$L$127,"")</f>
        <v>SAN JUAN DE OCUMAL</v>
      </c>
      <c r="O133" s="89"/>
      <c r="P133" s="89"/>
      <c r="Q133" s="89"/>
      <c r="R133" s="89"/>
      <c r="S133" s="89"/>
    </row>
    <row r="134" customFormat="false" ht="15.75" hidden="true" customHeight="true" outlineLevel="0" collapsed="false">
      <c r="A134" s="106" t="n">
        <f aca="false">IF(_PENDIENTES!$B$128&lt;&gt;"",127,"")</f>
        <v>127</v>
      </c>
      <c r="B134" s="47" t="str">
        <f aca="false">IF(_PENDIENTES!$B$128&lt;&gt;"",_PENDIENTES!$A$128,"")</f>
        <v>FEB</v>
      </c>
      <c r="C134" s="107" t="str">
        <f aca="false">IF(_PENDIENTES!$B$128&lt;&gt;"",_PENDIENTES!$C$128,"")</f>
        <v>MENDOZA GARRO ESTEFANY DAYANA</v>
      </c>
      <c r="D134" s="106" t="str">
        <f aca="false">IF(_PENDIENTES!$B$128&lt;&gt;"",_PENDIENTES!$D$128,"")</f>
        <v>62692323</v>
      </c>
      <c r="E134" s="111" t="str">
        <f aca="false">IF(_PENDIENTES!$B$128&lt;&gt;"",_PENDIENTES!$E$128,"")</f>
        <v>07/02/2026</v>
      </c>
      <c r="F134" s="106" t="str">
        <f aca="false">IF(_PENDIENTES!$B$128&lt;&gt;"",_PENDIENTES!$F$128,"")</f>
        <v>PETROLEO</v>
      </c>
      <c r="G134" s="50" t="n">
        <f aca="false">IF(_PENDIENTES!$B$128&lt;&gt;"",_PENDIENTES!$G$128,"")</f>
        <v>5</v>
      </c>
      <c r="H134" s="50" t="n">
        <f aca="false">IF(_PENDIENTES!$B$128&lt;&gt;"",_PENDIENTES!$H$128,"")</f>
        <v>90.9</v>
      </c>
      <c r="I134" s="108" t="str">
        <f aca="false">IF(_PENDIENTES!$B$128&lt;&gt;"",_PENDIENTES!$I$128,"")</f>
        <v>VILCARROMERO TORREJON HERMERSON</v>
      </c>
      <c r="J134" s="50" t="str">
        <f aca="false">IF(_PENDIENTES!$B$128&lt;&gt;"",_PENDIENTES!$J$128,"")</f>
        <v>EUD-917</v>
      </c>
      <c r="K134" s="106" t="str">
        <f aca="false">IF(_PENDIENTES!$B$128&lt;&gt;"","POR RECOGER","")</f>
        <v>POR RECOGER</v>
      </c>
      <c r="L134" s="106" t="n">
        <f aca="false">IF(_PENDIENTES!$B$128&lt;&gt;"",_PENDIENTES!$K$128,"")</f>
        <v>0</v>
      </c>
      <c r="M134" s="85" t="str">
        <f aca="false">IF(_PENDIENTES!$B$128&lt;&gt;"",_PENDIENTES!$B$128,"")</f>
        <v>TINGO</v>
      </c>
      <c r="N134" s="109" t="str">
        <f aca="false">IF(_PENDIENTES!$B$128&lt;&gt;"",_PENDIENTES!$L$128,"")</f>
        <v>TINGO</v>
      </c>
      <c r="O134" s="89"/>
      <c r="P134" s="89"/>
      <c r="Q134" s="89"/>
      <c r="R134" s="89"/>
      <c r="S134" s="89"/>
    </row>
    <row r="135" customFormat="false" ht="15.75" hidden="true" customHeight="true" outlineLevel="0" collapsed="false">
      <c r="A135" s="46" t="n">
        <f aca="false">IF(_PENDIENTES!$B$129&lt;&gt;"",128,"")</f>
        <v>128</v>
      </c>
      <c r="B135" s="41" t="str">
        <f aca="false">IF(_PENDIENTES!$B$129&lt;&gt;"",_PENDIENTES!$A$129,"")</f>
        <v>FEB</v>
      </c>
      <c r="C135" s="110" t="str">
        <f aca="false">IF(_PENDIENTES!$B$129&lt;&gt;"",_PENDIENTES!$C$129,"")</f>
        <v>CASTAÑEDA POQUIOMA MIRTA</v>
      </c>
      <c r="D135" s="46" t="str">
        <f aca="false">IF(_PENDIENTES!$B$129&lt;&gt;"",_PENDIENTES!$D$129,"")</f>
        <v>70318112</v>
      </c>
      <c r="E135" s="112" t="str">
        <f aca="false">IF(_PENDIENTES!$B$129&lt;&gt;"",_PENDIENTES!$E$129,"")</f>
        <v>07/02/2026</v>
      </c>
      <c r="F135" s="46" t="str">
        <f aca="false">IF(_PENDIENTES!$B$129&lt;&gt;"",_PENDIENTES!$F$129,"")</f>
        <v>PETROLEO</v>
      </c>
      <c r="G135" s="44" t="n">
        <f aca="false">IF(_PENDIENTES!$B$129&lt;&gt;"",_PENDIENTES!$G$129,"")</f>
        <v>5</v>
      </c>
      <c r="H135" s="44" t="n">
        <f aca="false">IF(_PENDIENTES!$B$129&lt;&gt;"",_PENDIENTES!$H$129,"")</f>
        <v>90.9</v>
      </c>
      <c r="I135" s="113" t="str">
        <f aca="false">IF(_PENDIENTES!$B$129&lt;&gt;"",_PENDIENTES!$I$129,"")</f>
        <v>MUNOZ VERGARAY JORGE ENRRIQUE</v>
      </c>
      <c r="J135" s="44" t="str">
        <f aca="false">IF(_PENDIENTES!$B$129&lt;&gt;"",_PENDIENTES!$J$129,"")</f>
        <v>EUH 427</v>
      </c>
      <c r="K135" s="46" t="str">
        <f aca="false">IF(_PENDIENTES!$B$129&lt;&gt;"","POR RECOGER","")</f>
        <v>POR RECOGER</v>
      </c>
      <c r="L135" s="46" t="n">
        <f aca="false">IF(_PENDIENTES!$B$129&lt;&gt;"",_PENDIENTES!$K$129,"")</f>
        <v>0</v>
      </c>
      <c r="M135" s="85" t="str">
        <f aca="false">IF(_PENDIENTES!$B$129&lt;&gt;"",_PENDIENTES!$B$129,"")</f>
        <v>PEDRO RUIZ GALLO</v>
      </c>
      <c r="N135" s="109" t="str">
        <f aca="false">IF(_PENDIENTES!$B$129&lt;&gt;"",_PENDIENTES!$L$129,"")</f>
        <v>PEDRO RUIZ GALLO</v>
      </c>
      <c r="O135" s="89"/>
      <c r="P135" s="89"/>
      <c r="Q135" s="89"/>
      <c r="R135" s="89"/>
      <c r="S135" s="89"/>
    </row>
    <row r="136" customFormat="false" ht="15.75" hidden="true" customHeight="true" outlineLevel="0" collapsed="false">
      <c r="A136" s="106" t="n">
        <f aca="false">IF(_PENDIENTES!$B$130&lt;&gt;"",129,"")</f>
        <v>129</v>
      </c>
      <c r="B136" s="47" t="str">
        <f aca="false">IF(_PENDIENTES!$B$130&lt;&gt;"",_PENDIENTES!$A$130,"")</f>
        <v>FEB</v>
      </c>
      <c r="C136" s="107" t="str">
        <f aca="false">IF(_PENDIENTES!$B$130&lt;&gt;"",_PENDIENTES!$C$130,"")</f>
        <v>RAMOS BARRERA LUZ DELINDA</v>
      </c>
      <c r="D136" s="106" t="str">
        <f aca="false">IF(_PENDIENTES!$B$130&lt;&gt;"",_PENDIENTES!$D$130,"")</f>
        <v>62219395</v>
      </c>
      <c r="E136" s="111" t="str">
        <f aca="false">IF(_PENDIENTES!$B$130&lt;&gt;"",_PENDIENTES!$E$130,"")</f>
        <v>07/02/2026</v>
      </c>
      <c r="F136" s="106" t="str">
        <f aca="false">IF(_PENDIENTES!$B$130&lt;&gt;"",_PENDIENTES!$F$130,"")</f>
        <v>PETROLEO</v>
      </c>
      <c r="G136" s="50" t="n">
        <f aca="false">IF(_PENDIENTES!$B$130&lt;&gt;"",_PENDIENTES!$G$130,"")</f>
        <v>20</v>
      </c>
      <c r="H136" s="50" t="n">
        <f aca="false">IF(_PENDIENTES!$B$130&lt;&gt;"",_PENDIENTES!$H$130,"")</f>
        <v>363.6</v>
      </c>
      <c r="I136" s="108" t="str">
        <f aca="false">IF(_PENDIENTES!$B$130&lt;&gt;"",_PENDIENTES!$I$130,"")</f>
        <v>GUEVARA VASQUEZ GREIMER MELGAR</v>
      </c>
      <c r="J136" s="50" t="str">
        <f aca="false">IF(_PENDIENTES!$B$130&lt;&gt;"",_PENDIENTES!$J$130,"")</f>
        <v>EUE 651</v>
      </c>
      <c r="K136" s="106" t="str">
        <f aca="false">IF(_PENDIENTES!$B$130&lt;&gt;"","POR RECOGER","")</f>
        <v>POR RECOGER</v>
      </c>
      <c r="L136" s="106" t="n">
        <f aca="false">IF(_PENDIENTES!$B$130&lt;&gt;"",_PENDIENTES!$K$130,"")</f>
        <v>0</v>
      </c>
      <c r="M136" s="85" t="str">
        <f aca="false">IF(_PENDIENTES!$B$130&lt;&gt;"",_PENDIENTES!$B$130,"")</f>
        <v>CAMPORREDONDO</v>
      </c>
      <c r="N136" s="109" t="str">
        <f aca="false">IF(_PENDIENTES!$B$130&lt;&gt;"",_PENDIENTES!$L$130,"")</f>
        <v>CAMPORREDONDO</v>
      </c>
      <c r="O136" s="89"/>
      <c r="P136" s="89"/>
      <c r="Q136" s="89"/>
      <c r="R136" s="89"/>
      <c r="S136" s="89"/>
    </row>
    <row r="137" customFormat="false" ht="15.75" hidden="true" customHeight="true" outlineLevel="0" collapsed="false">
      <c r="A137" s="46" t="n">
        <f aca="false">IF(_PENDIENTES!$B$131&lt;&gt;"",130,"")</f>
        <v>130</v>
      </c>
      <c r="B137" s="41" t="str">
        <f aca="false">IF(_PENDIENTES!$B$131&lt;&gt;"",_PENDIENTES!$A$131,"")</f>
        <v>FEB</v>
      </c>
      <c r="C137" s="110" t="str">
        <f aca="false">IF(_PENDIENTES!$B$131&lt;&gt;"",_PENDIENTES!$C$131,"")</f>
        <v>NUÑEZ VILCA DALIA NOEMI</v>
      </c>
      <c r="D137" s="46" t="str">
        <f aca="false">IF(_PENDIENTES!$B$131&lt;&gt;"",_PENDIENTES!$D$131,"")</f>
        <v>74419174</v>
      </c>
      <c r="E137" s="112" t="str">
        <f aca="false">IF(_PENDIENTES!$B$131&lt;&gt;"",_PENDIENTES!$E$131,"")</f>
        <v>09/02/2026</v>
      </c>
      <c r="F137" s="46" t="str">
        <f aca="false">IF(_PENDIENTES!$B$131&lt;&gt;"",_PENDIENTES!$F$131,"")</f>
        <v>PETROLEO</v>
      </c>
      <c r="G137" s="44" t="n">
        <f aca="false">IF(_PENDIENTES!$B$131&lt;&gt;"",_PENDIENTES!$G$131,"")</f>
        <v>4</v>
      </c>
      <c r="H137" s="44" t="n">
        <f aca="false">IF(_PENDIENTES!$B$131&lt;&gt;"",_PENDIENTES!$H$131,"")</f>
        <v>72.72</v>
      </c>
      <c r="I137" s="113" t="str">
        <f aca="false">IF(_PENDIENTES!$B$131&lt;&gt;"",_PENDIENTES!$I$131,"")</f>
        <v>RUBIO CARO JEYNER</v>
      </c>
      <c r="J137" s="44" t="str">
        <f aca="false">IF(_PENDIENTES!$B$131&lt;&gt;"",_PENDIENTES!$J$131,"")</f>
        <v>EUH-717</v>
      </c>
      <c r="K137" s="46" t="str">
        <f aca="false">IF(_PENDIENTES!$B$131&lt;&gt;"","POR RECOGER","")</f>
        <v>POR RECOGER</v>
      </c>
      <c r="L137" s="46" t="n">
        <f aca="false">IF(_PENDIENTES!$B$131&lt;&gt;"",_PENDIENTES!$K$131,"")</f>
        <v>0</v>
      </c>
      <c r="M137" s="85" t="str">
        <f aca="false">IF(_PENDIENTES!$B$131&lt;&gt;"",_PENDIENTES!$B$131,"")</f>
        <v>LUYA</v>
      </c>
      <c r="N137" s="109" t="str">
        <f aca="false">IF(_PENDIENTES!$B$131&lt;&gt;"",_PENDIENTES!$L$131,"")</f>
        <v>LUYA</v>
      </c>
      <c r="O137" s="89"/>
      <c r="P137" s="89"/>
      <c r="Q137" s="89"/>
      <c r="R137" s="89"/>
      <c r="S137" s="89"/>
    </row>
    <row r="138" customFormat="false" ht="15.75" hidden="true" customHeight="true" outlineLevel="0" collapsed="false">
      <c r="A138" s="106" t="n">
        <f aca="false">IF(_PENDIENTES!$B$132&lt;&gt;"",131,"")</f>
        <v>131</v>
      </c>
      <c r="B138" s="47" t="str">
        <f aca="false">IF(_PENDIENTES!$B$132&lt;&gt;"",_PENDIENTES!$A$132,"")</f>
        <v>FEB</v>
      </c>
      <c r="C138" s="107" t="str">
        <f aca="false">IF(_PENDIENTES!$B$132&lt;&gt;"",_PENDIENTES!$C$132,"")</f>
        <v>VARGAS AGUILAR JOSE EULER</v>
      </c>
      <c r="D138" s="106" t="str">
        <f aca="false">IF(_PENDIENTES!$B$132&lt;&gt;"",_PENDIENTES!$D$132,"")</f>
        <v>40472594</v>
      </c>
      <c r="E138" s="111" t="str">
        <f aca="false">IF(_PENDIENTES!$B$132&lt;&gt;"",_PENDIENTES!$E$132,"")</f>
        <v>09/02/2026</v>
      </c>
      <c r="F138" s="106" t="str">
        <f aca="false">IF(_PENDIENTES!$B$132&lt;&gt;"",_PENDIENTES!$F$132,"")</f>
        <v>PETROLEO</v>
      </c>
      <c r="G138" s="50" t="n">
        <f aca="false">IF(_PENDIENTES!$B$132&lt;&gt;"",_PENDIENTES!$G$132,"")</f>
        <v>10</v>
      </c>
      <c r="H138" s="50" t="n">
        <f aca="false">IF(_PENDIENTES!$B$132&lt;&gt;"",_PENDIENTES!$H$132,"")</f>
        <v>202.5</v>
      </c>
      <c r="I138" s="108" t="str">
        <f aca="false">IF(_PENDIENTES!$B$132&lt;&gt;"",_PENDIENTES!$I$132,"")</f>
        <v>LOPEZ HOYOS MIGUEL ANGEL</v>
      </c>
      <c r="J138" s="50" t="str">
        <f aca="false">IF(_PENDIENTES!$B$132&lt;&gt;"",_PENDIENTES!$J$132,"")</f>
        <v>EUH-698</v>
      </c>
      <c r="K138" s="106" t="str">
        <f aca="false">IF(_PENDIENTES!$B$132&lt;&gt;"","POR RECOGER","")</f>
        <v>POR RECOGER</v>
      </c>
      <c r="L138" s="106" t="str">
        <f aca="false">IF(_PENDIENTES!$B$132&lt;&gt;"",_PENDIENTES!$K$132,"")</f>
        <v>HUAMBO</v>
      </c>
      <c r="M138" s="85" t="str">
        <f aca="false">IF(_PENDIENTES!$B$132&lt;&gt;"",_PENDIENTES!$B$132,"")</f>
        <v>HUAMBO</v>
      </c>
      <c r="N138" s="109" t="str">
        <f aca="false">IF(_PENDIENTES!$B$132&lt;&gt;"",_PENDIENTES!$L$132,"")</f>
        <v>MARIA AUXILIADORA</v>
      </c>
      <c r="O138" s="89"/>
      <c r="P138" s="89"/>
      <c r="Q138" s="89"/>
      <c r="R138" s="89"/>
      <c r="S138" s="89"/>
    </row>
    <row r="139" customFormat="false" ht="15.75" hidden="true" customHeight="true" outlineLevel="0" collapsed="false">
      <c r="A139" s="46" t="n">
        <f aca="false">IF(_PENDIENTES!$B$133&lt;&gt;"",132,"")</f>
        <v>132</v>
      </c>
      <c r="B139" s="41" t="str">
        <f aca="false">IF(_PENDIENTES!$B$133&lt;&gt;"",_PENDIENTES!$A$133,"")</f>
        <v>FEB</v>
      </c>
      <c r="C139" s="110" t="str">
        <f aca="false">IF(_PENDIENTES!$B$133&lt;&gt;"",_PENDIENTES!$C$133,"")</f>
        <v>LOPEZ GUADALUPE NARDY FIORELA</v>
      </c>
      <c r="D139" s="46" t="str">
        <f aca="false">IF(_PENDIENTES!$B$133&lt;&gt;"",_PENDIENTES!$D$133,"")</f>
        <v>79521364</v>
      </c>
      <c r="E139" s="112" t="str">
        <f aca="false">IF(_PENDIENTES!$B$133&lt;&gt;"",_PENDIENTES!$E$133,"")</f>
        <v>09/02/2026</v>
      </c>
      <c r="F139" s="46" t="str">
        <f aca="false">IF(_PENDIENTES!$B$133&lt;&gt;"",_PENDIENTES!$F$133,"")</f>
        <v>PETROLEO</v>
      </c>
      <c r="G139" s="44" t="n">
        <f aca="false">IF(_PENDIENTES!$B$133&lt;&gt;"",_PENDIENTES!$G$133,"")</f>
        <v>20</v>
      </c>
      <c r="H139" s="44" t="n">
        <f aca="false">IF(_PENDIENTES!$B$133&lt;&gt;"",_PENDIENTES!$H$133,"")</f>
        <v>363.6</v>
      </c>
      <c r="I139" s="113" t="str">
        <f aca="false">IF(_PENDIENTES!$B$133&lt;&gt;"",_PENDIENTES!$I$133,"")</f>
        <v>SAUCEDO LOPEZ ELDIN NOLASCO</v>
      </c>
      <c r="J139" s="44" t="str">
        <f aca="false">IF(_PENDIENTES!$B$133&lt;&gt;"",_PENDIENTES!$J$133,"")</f>
        <v>EUH699</v>
      </c>
      <c r="K139" s="46" t="str">
        <f aca="false">IF(_PENDIENTES!$B$133&lt;&gt;"","POR RECOGER","")</f>
        <v>POR RECOGER</v>
      </c>
      <c r="L139" s="46" t="n">
        <f aca="false">IF(_PENDIENTES!$B$133&lt;&gt;"",_PENDIENTES!$K$133,"")</f>
        <v>0</v>
      </c>
      <c r="M139" s="85" t="str">
        <f aca="false">IF(_PENDIENTES!$B$133&lt;&gt;"",_PENDIENTES!$B$133,"")</f>
        <v>COLLONCE</v>
      </c>
      <c r="N139" s="109" t="str">
        <f aca="false">IF(_PENDIENTES!$B$133&lt;&gt;"",_PENDIENTES!$L$133,"")</f>
        <v>COLLONCE</v>
      </c>
      <c r="O139" s="89"/>
      <c r="P139" s="89"/>
      <c r="Q139" s="89"/>
      <c r="R139" s="89"/>
      <c r="S139" s="89"/>
    </row>
    <row r="140" customFormat="false" ht="15.75" hidden="true" customHeight="true" outlineLevel="0" collapsed="false">
      <c r="A140" s="106" t="n">
        <f aca="false">IF(_PENDIENTES!$B$134&lt;&gt;"",133,"")</f>
        <v>133</v>
      </c>
      <c r="B140" s="47" t="str">
        <f aca="false">IF(_PENDIENTES!$B$134&lt;&gt;"",_PENDIENTES!$A$134,"")</f>
        <v>FEB</v>
      </c>
      <c r="C140" s="107" t="str">
        <f aca="false">IF(_PENDIENTES!$B$134&lt;&gt;"",_PENDIENTES!$C$134,"")</f>
        <v>HUAMAN CHUQUIZUTA EDWARS</v>
      </c>
      <c r="D140" s="106" t="str">
        <f aca="false">IF(_PENDIENTES!$B$134&lt;&gt;"",_PENDIENTES!$D$134,"")</f>
        <v>63397123</v>
      </c>
      <c r="E140" s="111" t="str">
        <f aca="false">IF(_PENDIENTES!$B$134&lt;&gt;"",_PENDIENTES!$E$134,"")</f>
        <v>10/02/2026</v>
      </c>
      <c r="F140" s="106" t="str">
        <f aca="false">IF(_PENDIENTES!$B$134&lt;&gt;"",_PENDIENTES!$F$134,"")</f>
        <v>PETROLEO</v>
      </c>
      <c r="G140" s="50" t="n">
        <f aca="false">IF(_PENDIENTES!$B$134&lt;&gt;"",_PENDIENTES!$G$134,"")</f>
        <v>4</v>
      </c>
      <c r="H140" s="50" t="n">
        <f aca="false">IF(_PENDIENTES!$B$134&lt;&gt;"",_PENDIENTES!$H$134,"")</f>
        <v>72.72</v>
      </c>
      <c r="I140" s="108" t="str">
        <f aca="false">IF(_PENDIENTES!$B$134&lt;&gt;"",_PENDIENTES!$I$134,"")</f>
        <v>DANIEL ZELADA TRUJILLO</v>
      </c>
      <c r="J140" s="50" t="str">
        <f aca="false">IF(_PENDIENTES!$B$134&lt;&gt;"",_PENDIENTES!$J$134,"")</f>
        <v>EUA-963</v>
      </c>
      <c r="K140" s="106" t="str">
        <f aca="false">IF(_PENDIENTES!$B$134&lt;&gt;"","POR RECOGER","")</f>
        <v>POR RECOGER</v>
      </c>
      <c r="L140" s="106" t="n">
        <f aca="false">IF(_PENDIENTES!$B$134&lt;&gt;"",_PENDIENTES!$K$134,"")</f>
        <v>0</v>
      </c>
      <c r="M140" s="85" t="str">
        <f aca="false">IF(_PENDIENTES!$B$134&lt;&gt;"",_PENDIENTES!$B$134,"")</f>
        <v>LUYA</v>
      </c>
      <c r="N140" s="109" t="str">
        <f aca="false">IF(_PENDIENTES!$B$134&lt;&gt;"",_PENDIENTES!$L$134,"")</f>
        <v>LUYA</v>
      </c>
      <c r="O140" s="89"/>
      <c r="P140" s="89"/>
      <c r="Q140" s="89"/>
      <c r="R140" s="89"/>
      <c r="S140" s="89"/>
    </row>
    <row r="141" customFormat="false" ht="15.75" hidden="true" customHeight="true" outlineLevel="0" collapsed="false">
      <c r="A141" s="46" t="n">
        <f aca="false">IF(_PENDIENTES!$B$135&lt;&gt;"",134,"")</f>
        <v>134</v>
      </c>
      <c r="B141" s="41" t="str">
        <f aca="false">IF(_PENDIENTES!$B$135&lt;&gt;"",_PENDIENTES!$A$135,"")</f>
        <v>FEB</v>
      </c>
      <c r="C141" s="110" t="str">
        <f aca="false">IF(_PENDIENTES!$B$135&lt;&gt;"",_PENDIENTES!$C$135,"")</f>
        <v>VALLE MONTENEGRO JHEYCO</v>
      </c>
      <c r="D141" s="46" t="str">
        <f aca="false">IF(_PENDIENTES!$B$135&lt;&gt;"",_PENDIENTES!$D$135,"")</f>
        <v>72807396</v>
      </c>
      <c r="E141" s="112" t="str">
        <f aca="false">IF(_PENDIENTES!$B$135&lt;&gt;"",_PENDIENTES!$E$135,"")</f>
        <v>10/02/2026</v>
      </c>
      <c r="F141" s="46" t="str">
        <f aca="false">IF(_PENDIENTES!$B$135&lt;&gt;"",_PENDIENTES!$F$135,"")</f>
        <v>PETROLEO</v>
      </c>
      <c r="G141" s="44" t="n">
        <f aca="false">IF(_PENDIENTES!$B$135&lt;&gt;"",_PENDIENTES!$G$135,"")</f>
        <v>12</v>
      </c>
      <c r="H141" s="44" t="n">
        <f aca="false">IF(_PENDIENTES!$B$135&lt;&gt;"",_PENDIENTES!$H$135,"")</f>
        <v>218.16</v>
      </c>
      <c r="I141" s="113" t="str">
        <f aca="false">IF(_PENDIENTES!$B$135&lt;&gt;"",_PENDIENTES!$I$135,"")</f>
        <v>BRICENO OXOLON MANUEL</v>
      </c>
      <c r="J141" s="44" t="str">
        <f aca="false">IF(_PENDIENTES!$B$135&lt;&gt;"",_PENDIENTES!$J$135,"")</f>
        <v>EUC976</v>
      </c>
      <c r="K141" s="46" t="str">
        <f aca="false">IF(_PENDIENTES!$B$135&lt;&gt;"","POR RECOGER","")</f>
        <v>POR RECOGER</v>
      </c>
      <c r="L141" s="46" t="n">
        <f aca="false">IF(_PENDIENTES!$B$135&lt;&gt;"",_PENDIENTES!$K$135,"")</f>
        <v>0</v>
      </c>
      <c r="M141" s="85" t="str">
        <f aca="false">IF(_PENDIENTES!$B$135&lt;&gt;"",_PENDIENTES!$B$135,"")</f>
        <v>JUMBILLA</v>
      </c>
      <c r="N141" s="109" t="str">
        <f aca="false">IF(_PENDIENTES!$B$135&lt;&gt;"",_PENDIENTES!$L$135,"")</f>
        <v>JUMBILLA</v>
      </c>
      <c r="O141" s="89"/>
      <c r="P141" s="89"/>
      <c r="Q141" s="89"/>
      <c r="R141" s="89"/>
      <c r="S141" s="89"/>
    </row>
    <row r="142" customFormat="false" ht="15.75" hidden="true" customHeight="true" outlineLevel="0" collapsed="false">
      <c r="A142" s="106" t="n">
        <f aca="false">IF(_PENDIENTES!$B$136&lt;&gt;"",135,"")</f>
        <v>135</v>
      </c>
      <c r="B142" s="47" t="str">
        <f aca="false">IF(_PENDIENTES!$B$136&lt;&gt;"",_PENDIENTES!$A$136,"")</f>
        <v>FEB</v>
      </c>
      <c r="C142" s="107" t="str">
        <f aca="false">IF(_PENDIENTES!$B$136&lt;&gt;"",_PENDIENTES!$C$136,"")</f>
        <v>NOVOA TAFUR EDIHTA CONSUELO</v>
      </c>
      <c r="D142" s="106" t="str">
        <f aca="false">IF(_PENDIENTES!$B$136&lt;&gt;"",_PENDIENTES!$D$136,"")</f>
        <v>33951427</v>
      </c>
      <c r="E142" s="111" t="str">
        <f aca="false">IF(_PENDIENTES!$B$136&lt;&gt;"",_PENDIENTES!$E$136,"")</f>
        <v>10/02/2026</v>
      </c>
      <c r="F142" s="106" t="str">
        <f aca="false">IF(_PENDIENTES!$B$136&lt;&gt;"",_PENDIENTES!$F$136,"")</f>
        <v>PETROLEO</v>
      </c>
      <c r="G142" s="50" t="n">
        <f aca="false">IF(_PENDIENTES!$B$136&lt;&gt;"",_PENDIENTES!$G$136,"")</f>
        <v>7</v>
      </c>
      <c r="H142" s="50" t="n">
        <f aca="false">IF(_PENDIENTES!$B$136&lt;&gt;"",_PENDIENTES!$H$136,"")</f>
        <v>141.75</v>
      </c>
      <c r="I142" s="108" t="str">
        <f aca="false">IF(_PENDIENTES!$B$136&lt;&gt;"",_PENDIENTES!$I$136,"")</f>
        <v>TRIGOSO TAFUR JOSE GILBER</v>
      </c>
      <c r="J142" s="50" t="str">
        <f aca="false">IF(_PENDIENTES!$B$136&lt;&gt;"",_PENDIENTES!$J$136,"")</f>
        <v>EUH 421</v>
      </c>
      <c r="K142" s="106" t="str">
        <f aca="false">IF(_PENDIENTES!$B$136&lt;&gt;"","POR RECOGER","")</f>
        <v>POR RECOGER</v>
      </c>
      <c r="L142" s="106" t="n">
        <f aca="false">IF(_PENDIENTES!$B$136&lt;&gt;"",_PENDIENTES!$K$136,"")</f>
        <v>0</v>
      </c>
      <c r="M142" s="85" t="str">
        <f aca="false">IF(_PENDIENTES!$B$136&lt;&gt;"",_PENDIENTES!$B$136,"")</f>
        <v>MARIA AUXILIADORA</v>
      </c>
      <c r="N142" s="109" t="str">
        <f aca="false">IF(_PENDIENTES!$B$136&lt;&gt;"",_PENDIENTES!$L$136,"")</f>
        <v>MARIA AUXILIADORA</v>
      </c>
      <c r="O142" s="89"/>
      <c r="P142" s="89"/>
      <c r="Q142" s="89"/>
      <c r="R142" s="89"/>
      <c r="S142" s="89"/>
    </row>
    <row r="143" customFormat="false" ht="15.75" hidden="true" customHeight="true" outlineLevel="0" collapsed="false">
      <c r="A143" s="46" t="n">
        <f aca="false">IF(_PENDIENTES!$B$137&lt;&gt;"",136,"")</f>
        <v>136</v>
      </c>
      <c r="B143" s="41" t="str">
        <f aca="false">IF(_PENDIENTES!$B$137&lt;&gt;"",_PENDIENTES!$A$137,"")</f>
        <v>FEB</v>
      </c>
      <c r="C143" s="110" t="str">
        <f aca="false">IF(_PENDIENTES!$B$137&lt;&gt;"",_PENDIENTES!$C$137,"")</f>
        <v>CRUZ PIZAN KEIKO MAGALY</v>
      </c>
      <c r="D143" s="46" t="str">
        <f aca="false">IF(_PENDIENTES!$B$137&lt;&gt;"",_PENDIENTES!$D$137,"")</f>
        <v>73309506</v>
      </c>
      <c r="E143" s="112" t="str">
        <f aca="false">IF(_PENDIENTES!$B$137&lt;&gt;"",_PENDIENTES!$E$137,"")</f>
        <v>10/02/2026</v>
      </c>
      <c r="F143" s="46" t="str">
        <f aca="false">IF(_PENDIENTES!$B$137&lt;&gt;"",_PENDIENTES!$F$137,"")</f>
        <v>PETROLEO</v>
      </c>
      <c r="G143" s="44" t="n">
        <f aca="false">IF(_PENDIENTES!$B$137&lt;&gt;"",_PENDIENTES!$G$137,"")</f>
        <v>5</v>
      </c>
      <c r="H143" s="44" t="n">
        <f aca="false">IF(_PENDIENTES!$B$137&lt;&gt;"",_PENDIENTES!$H$137,"")</f>
        <v>90.9</v>
      </c>
      <c r="I143" s="113" t="str">
        <f aca="false">IF(_PENDIENTES!$B$137&lt;&gt;"",_PENDIENTES!$I$137,"")</f>
        <v>MONTENEGRO RUIZ LUIS MIGUEL</v>
      </c>
      <c r="J143" s="44" t="str">
        <f aca="false">IF(_PENDIENTES!$B$137&lt;&gt;"",_PENDIENTES!$J$137,"")</f>
        <v>EUH-427</v>
      </c>
      <c r="K143" s="46" t="str">
        <f aca="false">IF(_PENDIENTES!$B$137&lt;&gt;"","POR RECOGER","")</f>
        <v>POR RECOGER</v>
      </c>
      <c r="L143" s="46" t="n">
        <f aca="false">IF(_PENDIENTES!$B$137&lt;&gt;"",_PENDIENTES!$K$137,"")</f>
        <v>0</v>
      </c>
      <c r="M143" s="85" t="str">
        <f aca="false">IF(_PENDIENTES!$B$137&lt;&gt;"",_PENDIENTES!$B$137,"")</f>
        <v>PEDRO RUIZ GALLO</v>
      </c>
      <c r="N143" s="109" t="str">
        <f aca="false">IF(_PENDIENTES!$B$137&lt;&gt;"",_PENDIENTES!$L$137,"")</f>
        <v>PEDRO RUIZ GALLO</v>
      </c>
      <c r="O143" s="89"/>
      <c r="P143" s="89"/>
      <c r="Q143" s="89"/>
      <c r="R143" s="89"/>
      <c r="S143" s="89"/>
    </row>
    <row r="144" customFormat="false" ht="15.75" hidden="true" customHeight="true" outlineLevel="0" collapsed="false">
      <c r="A144" s="106" t="n">
        <f aca="false">IF(_PENDIENTES!$B$138&lt;&gt;"",137,"")</f>
        <v>137</v>
      </c>
      <c r="B144" s="47" t="str">
        <f aca="false">IF(_PENDIENTES!$B$138&lt;&gt;"",_PENDIENTES!$A$138,"")</f>
        <v>FEB</v>
      </c>
      <c r="C144" s="107" t="str">
        <f aca="false">IF(_PENDIENTES!$B$138&lt;&gt;"",_PENDIENTES!$C$138,"")</f>
        <v>SIFUENTES MENDOZA JULIANA NAOMI</v>
      </c>
      <c r="D144" s="106" t="str">
        <f aca="false">IF(_PENDIENTES!$B$138&lt;&gt;"",_PENDIENTES!$D$138,"")</f>
        <v>70700554</v>
      </c>
      <c r="E144" s="111" t="str">
        <f aca="false">IF(_PENDIENTES!$B$138&lt;&gt;"",_PENDIENTES!$E$138,"")</f>
        <v>10/02/2026</v>
      </c>
      <c r="F144" s="106" t="str">
        <f aca="false">IF(_PENDIENTES!$B$138&lt;&gt;"",_PENDIENTES!$F$138,"")</f>
        <v>PETROLEO</v>
      </c>
      <c r="G144" s="50" t="n">
        <f aca="false">IF(_PENDIENTES!$B$138&lt;&gt;"",_PENDIENTES!$G$138,"")</f>
        <v>20</v>
      </c>
      <c r="H144" s="50" t="n">
        <f aca="false">IF(_PENDIENTES!$B$138&lt;&gt;"",_PENDIENTES!$H$138,"")</f>
        <v>363.6</v>
      </c>
      <c r="I144" s="108" t="str">
        <f aca="false">IF(_PENDIENTES!$B$138&lt;&gt;"",_PENDIENTES!$I$138,"")</f>
        <v>SAUCEDO LOPEZ ELDIN NOLASCO</v>
      </c>
      <c r="J144" s="50" t="str">
        <f aca="false">IF(_PENDIENTES!$B$138&lt;&gt;"",_PENDIENTES!$J$138,"")</f>
        <v>EUH699</v>
      </c>
      <c r="K144" s="106" t="str">
        <f aca="false">IF(_PENDIENTES!$B$138&lt;&gt;"","POR RECOGER","")</f>
        <v>POR RECOGER</v>
      </c>
      <c r="L144" s="106" t="n">
        <f aca="false">IF(_PENDIENTES!$B$138&lt;&gt;"",_PENDIENTES!$K$138,"")</f>
        <v>0</v>
      </c>
      <c r="M144" s="85" t="str">
        <f aca="false">IF(_PENDIENTES!$B$138&lt;&gt;"",_PENDIENTES!$B$138,"")</f>
        <v>YAULICACHI</v>
      </c>
      <c r="N144" s="109" t="str">
        <f aca="false">IF(_PENDIENTES!$B$138&lt;&gt;"",_PENDIENTES!$L$138,"")</f>
        <v>YAULICACHI</v>
      </c>
      <c r="O144" s="89"/>
      <c r="P144" s="89"/>
      <c r="Q144" s="89"/>
      <c r="R144" s="89"/>
      <c r="S144" s="89"/>
    </row>
    <row r="145" customFormat="false" ht="15.75" hidden="true" customHeight="true" outlineLevel="0" collapsed="false">
      <c r="A145" s="46" t="n">
        <f aca="false">IF(_PENDIENTES!$B$139&lt;&gt;"",138,"")</f>
        <v>138</v>
      </c>
      <c r="B145" s="41" t="str">
        <f aca="false">IF(_PENDIENTES!$B$139&lt;&gt;"",_PENDIENTES!$A$139,"")</f>
        <v>FEB</v>
      </c>
      <c r="C145" s="110" t="str">
        <f aca="false">IF(_PENDIENTES!$B$139&lt;&gt;"",_PENDIENTES!$C$139,"")</f>
        <v>FLORINDEZ ROJAS GHERAL</v>
      </c>
      <c r="D145" s="46" t="str">
        <f aca="false">IF(_PENDIENTES!$B$139&lt;&gt;"",_PENDIENTES!$D$139,"")</f>
        <v>90033095</v>
      </c>
      <c r="E145" s="112" t="str">
        <f aca="false">IF(_PENDIENTES!$B$139&lt;&gt;"",_PENDIENTES!$E$139,"")</f>
        <v>11/02/2026</v>
      </c>
      <c r="F145" s="46" t="str">
        <f aca="false">IF(_PENDIENTES!$B$139&lt;&gt;"",_PENDIENTES!$F$139,"")</f>
        <v>PETROLEO</v>
      </c>
      <c r="G145" s="44" t="n">
        <f aca="false">IF(_PENDIENTES!$B$139&lt;&gt;"",_PENDIENTES!$G$139,"")</f>
        <v>7.5</v>
      </c>
      <c r="H145" s="44" t="n">
        <f aca="false">IF(_PENDIENTES!$B$139&lt;&gt;"",_PENDIENTES!$H$139,"")</f>
        <v>136.35</v>
      </c>
      <c r="I145" s="113" t="str">
        <f aca="false">IF(_PENDIENTES!$B$139&lt;&gt;"",_PENDIENTES!$I$139,"")</f>
        <v>CHAVEZ MORI DIMAS</v>
      </c>
      <c r="J145" s="44" t="str">
        <f aca="false">IF(_PENDIENTES!$B$139&lt;&gt;"",_PENDIENTES!$J$139,"")</f>
        <v>EUH 636</v>
      </c>
      <c r="K145" s="46" t="str">
        <f aca="false">IF(_PENDIENTES!$B$139&lt;&gt;"","POR RECOGER","")</f>
        <v>POR RECOGER</v>
      </c>
      <c r="L145" s="46" t="n">
        <f aca="false">IF(_PENDIENTES!$B$139&lt;&gt;"",_PENDIENTES!$K$139,"")</f>
        <v>0</v>
      </c>
      <c r="M145" s="85" t="str">
        <f aca="false">IF(_PENDIENTES!$B$139&lt;&gt;"",_PENDIENTES!$B$139,"")</f>
        <v>LEYMEBAMBA</v>
      </c>
      <c r="N145" s="109" t="str">
        <f aca="false">IF(_PENDIENTES!$B$139&lt;&gt;"",_PENDIENTES!$L$139,"")</f>
        <v>LEYMEBAMBA</v>
      </c>
      <c r="O145" s="89"/>
      <c r="P145" s="89"/>
      <c r="Q145" s="89"/>
      <c r="R145" s="89"/>
      <c r="S145" s="89"/>
    </row>
    <row r="146" customFormat="false" ht="15.75" hidden="true" customHeight="true" outlineLevel="0" collapsed="false">
      <c r="A146" s="106" t="n">
        <f aca="false">IF(_PENDIENTES!$B$140&lt;&gt;"",139,"")</f>
        <v>139</v>
      </c>
      <c r="B146" s="47" t="str">
        <f aca="false">IF(_PENDIENTES!$B$140&lt;&gt;"",_PENDIENTES!$A$140,"")</f>
        <v>FEB</v>
      </c>
      <c r="C146" s="107" t="str">
        <f aca="false">IF(_PENDIENTES!$B$140&lt;&gt;"",_PENDIENTES!$C$140,"")</f>
        <v>NUNCEVAY ORDOÑEZ LALLY AMPARO</v>
      </c>
      <c r="D146" s="106" t="str">
        <f aca="false">IF(_PENDIENTES!$B$140&lt;&gt;"",_PENDIENTES!$D$140,"")</f>
        <v>75658490</v>
      </c>
      <c r="E146" s="111" t="str">
        <f aca="false">IF(_PENDIENTES!$B$140&lt;&gt;"",_PENDIENTES!$E$140,"")</f>
        <v>11/02/2026</v>
      </c>
      <c r="F146" s="106" t="str">
        <f aca="false">IF(_PENDIENTES!$B$140&lt;&gt;"",_PENDIENTES!$F$140,"")</f>
        <v>PETROLEO</v>
      </c>
      <c r="G146" s="50" t="n">
        <f aca="false">IF(_PENDIENTES!$B$140&lt;&gt;"",_PENDIENTES!$G$140,"")</f>
        <v>12</v>
      </c>
      <c r="H146" s="50" t="n">
        <f aca="false">IF(_PENDIENTES!$B$140&lt;&gt;"",_PENDIENTES!$H$140,"")</f>
        <v>218.16</v>
      </c>
      <c r="I146" s="108" t="str">
        <f aca="false">IF(_PENDIENTES!$B$140&lt;&gt;"",_PENDIENTES!$I$140,"")</f>
        <v>BRICENO OXOLON MANUEL</v>
      </c>
      <c r="J146" s="50" t="str">
        <f aca="false">IF(_PENDIENTES!$B$140&lt;&gt;"",_PENDIENTES!$J$140,"")</f>
        <v>EUC976</v>
      </c>
      <c r="K146" s="106" t="str">
        <f aca="false">IF(_PENDIENTES!$B$140&lt;&gt;"","POR RECOGER","")</f>
        <v>POR RECOGER</v>
      </c>
      <c r="L146" s="106" t="n">
        <f aca="false">IF(_PENDIENTES!$B$140&lt;&gt;"",_PENDIENTES!$K$140,"")</f>
        <v>0</v>
      </c>
      <c r="M146" s="85" t="str">
        <f aca="false">IF(_PENDIENTES!$B$140&lt;&gt;"",_PENDIENTES!$B$140,"")</f>
        <v>JUMBILLA</v>
      </c>
      <c r="N146" s="109" t="str">
        <f aca="false">IF(_PENDIENTES!$B$140&lt;&gt;"",_PENDIENTES!$L$140,"")</f>
        <v>JUMBILLA</v>
      </c>
      <c r="O146" s="89"/>
      <c r="P146" s="89"/>
      <c r="Q146" s="89"/>
      <c r="R146" s="89"/>
      <c r="S146" s="89"/>
    </row>
    <row r="147" customFormat="false" ht="15.75" hidden="true" customHeight="true" outlineLevel="0" collapsed="false">
      <c r="A147" s="46" t="n">
        <f aca="false">IF(_PENDIENTES!$B$141&lt;&gt;"",140,"")</f>
        <v>140</v>
      </c>
      <c r="B147" s="41" t="str">
        <f aca="false">IF(_PENDIENTES!$B$141&lt;&gt;"",_PENDIENTES!$A$141,"")</f>
        <v>FEB</v>
      </c>
      <c r="C147" s="110" t="str">
        <f aca="false">IF(_PENDIENTES!$B$141&lt;&gt;"",_PENDIENTES!$C$141,"")</f>
        <v>HUAMAN HUAMAN JUAN JOSE</v>
      </c>
      <c r="D147" s="46" t="str">
        <f aca="false">IF(_PENDIENTES!$B$141&lt;&gt;"",_PENDIENTES!$D$141,"")</f>
        <v>33960724</v>
      </c>
      <c r="E147" s="112" t="str">
        <f aca="false">IF(_PENDIENTES!$B$141&lt;&gt;"",_PENDIENTES!$E$141,"")</f>
        <v>11/02/2026</v>
      </c>
      <c r="F147" s="46" t="str">
        <f aca="false">IF(_PENDIENTES!$B$141&lt;&gt;"",_PENDIENTES!$F$141,"")</f>
        <v>PETROLEO</v>
      </c>
      <c r="G147" s="44" t="n">
        <f aca="false">IF(_PENDIENTES!$B$141&lt;&gt;"",_PENDIENTES!$G$141,"")</f>
        <v>9.09</v>
      </c>
      <c r="H147" s="44" t="n">
        <f aca="false">IF(_PENDIENTES!$B$141&lt;&gt;"",_PENDIENTES!$H$141,"")</f>
        <v>184.0725</v>
      </c>
      <c r="I147" s="113" t="str">
        <f aca="false">IF(_PENDIENTES!$B$141&lt;&gt;"",_PENDIENTES!$I$141,"")</f>
        <v>SERNAQUE PELAEZ WILMER</v>
      </c>
      <c r="J147" s="44" t="str">
        <f aca="false">IF(_PENDIENTES!$B$141&lt;&gt;"",_PENDIENTES!$J$141,"")</f>
        <v>EUH-421</v>
      </c>
      <c r="K147" s="46" t="str">
        <f aca="false">IF(_PENDIENTES!$B$141&lt;&gt;"","POR RECOGER","")</f>
        <v>POR RECOGER</v>
      </c>
      <c r="L147" s="46" t="n">
        <f aca="false">IF(_PENDIENTES!$B$141&lt;&gt;"",_PENDIENTES!$K$141,"")</f>
        <v>0</v>
      </c>
      <c r="M147" s="85" t="str">
        <f aca="false">IF(_PENDIENTES!$B$141&lt;&gt;"",_PENDIENTES!$B$141,"")</f>
        <v>MARIA AUXILIADORA</v>
      </c>
      <c r="N147" s="109" t="str">
        <f aca="false">IF(_PENDIENTES!$B$141&lt;&gt;"",_PENDIENTES!$L$141,"")</f>
        <v>MARIA AUXILIADORA</v>
      </c>
      <c r="O147" s="89"/>
      <c r="P147" s="89"/>
      <c r="Q147" s="89"/>
      <c r="R147" s="89"/>
      <c r="S147" s="89"/>
    </row>
    <row r="148" customFormat="false" ht="15.75" hidden="true" customHeight="true" outlineLevel="0" collapsed="false">
      <c r="A148" s="106" t="n">
        <f aca="false">IF(_PENDIENTES!$B$142&lt;&gt;"",141,"")</f>
        <v>141</v>
      </c>
      <c r="B148" s="47" t="str">
        <f aca="false">IF(_PENDIENTES!$B$142&lt;&gt;"",_PENDIENTES!$A$142,"")</f>
        <v>FEB</v>
      </c>
      <c r="C148" s="107" t="str">
        <f aca="false">IF(_PENDIENTES!$B$142&lt;&gt;"",_PENDIENTES!$C$142,"")</f>
        <v>CHAVEZ ZABALETA EULOGIA</v>
      </c>
      <c r="D148" s="106" t="str">
        <f aca="false">IF(_PENDIENTES!$B$142&lt;&gt;"",_PENDIENTES!$D$142,"")</f>
        <v>33789829</v>
      </c>
      <c r="E148" s="111" t="str">
        <f aca="false">IF(_PENDIENTES!$B$142&lt;&gt;"",_PENDIENTES!$E$142,"")</f>
        <v>11/02/2026</v>
      </c>
      <c r="F148" s="106" t="str">
        <f aca="false">IF(_PENDIENTES!$B$142&lt;&gt;"",_PENDIENTES!$F$142,"")</f>
        <v>PETROLEO</v>
      </c>
      <c r="G148" s="50" t="n">
        <f aca="false">IF(_PENDIENTES!$B$142&lt;&gt;"",_PENDIENTES!$G$142,"")</f>
        <v>5</v>
      </c>
      <c r="H148" s="50" t="n">
        <f aca="false">IF(_PENDIENTES!$B$142&lt;&gt;"",_PENDIENTES!$H$142,"")</f>
        <v>90.9</v>
      </c>
      <c r="I148" s="108" t="str">
        <f aca="false">IF(_PENDIENTES!$B$142&lt;&gt;"",_PENDIENTES!$I$142,"")</f>
        <v>VILCARROMERO TORREJON HERMERSON</v>
      </c>
      <c r="J148" s="50" t="str">
        <f aca="false">IF(_PENDIENTES!$B$142&lt;&gt;"",_PENDIENTES!$J$142,"")</f>
        <v>EUD-917</v>
      </c>
      <c r="K148" s="106" t="str">
        <f aca="false">IF(_PENDIENTES!$B$142&lt;&gt;"","POR RECOGER","")</f>
        <v>POR RECOGER</v>
      </c>
      <c r="L148" s="106" t="n">
        <f aca="false">IF(_PENDIENTES!$B$142&lt;&gt;"",_PENDIENTES!$K$142,"")</f>
        <v>0</v>
      </c>
      <c r="M148" s="85" t="str">
        <f aca="false">IF(_PENDIENTES!$B$142&lt;&gt;"",_PENDIENTES!$B$142,"")</f>
        <v>TINGO</v>
      </c>
      <c r="N148" s="109" t="str">
        <f aca="false">IF(_PENDIENTES!$B$142&lt;&gt;"",_PENDIENTES!$L$142,"")</f>
        <v>TINGO</v>
      </c>
      <c r="O148" s="89"/>
      <c r="P148" s="89"/>
      <c r="Q148" s="89"/>
      <c r="R148" s="89"/>
      <c r="S148" s="89"/>
    </row>
    <row r="149" customFormat="false" ht="15.75" hidden="true" customHeight="true" outlineLevel="0" collapsed="false">
      <c r="A149" s="46" t="n">
        <f aca="false">IF(_PENDIENTES!$B$143&lt;&gt;"",142,"")</f>
        <v>142</v>
      </c>
      <c r="B149" s="41" t="str">
        <f aca="false">IF(_PENDIENTES!$B$143&lt;&gt;"",_PENDIENTES!$A$143,"")</f>
        <v>FEB</v>
      </c>
      <c r="C149" s="110" t="str">
        <f aca="false">IF(_PENDIENTES!$B$143&lt;&gt;"",_PENDIENTES!$C$143,"")</f>
        <v>FLORES DE OLIVARES MAGNOLIA</v>
      </c>
      <c r="D149" s="46" t="str">
        <f aca="false">IF(_PENDIENTES!$B$143&lt;&gt;"",_PENDIENTES!$D$143,"")</f>
        <v>33802091</v>
      </c>
      <c r="E149" s="112" t="str">
        <f aca="false">IF(_PENDIENTES!$B$143&lt;&gt;"",_PENDIENTES!$E$143,"")</f>
        <v>11/02/2026</v>
      </c>
      <c r="F149" s="46" t="str">
        <f aca="false">IF(_PENDIENTES!$B$143&lt;&gt;"",_PENDIENTES!$F$143,"")</f>
        <v>PETROLEO</v>
      </c>
      <c r="G149" s="44" t="n">
        <f aca="false">IF(_PENDIENTES!$B$143&lt;&gt;"",_PENDIENTES!$G$143,"")</f>
        <v>5</v>
      </c>
      <c r="H149" s="44" t="n">
        <f aca="false">IF(_PENDIENTES!$B$143&lt;&gt;"",_PENDIENTES!$H$143,"")</f>
        <v>90.9</v>
      </c>
      <c r="I149" s="113" t="str">
        <f aca="false">IF(_PENDIENTES!$B$143&lt;&gt;"",_PENDIENTES!$I$143,"")</f>
        <v>MONTENEGRO RUIZ LUIS MIGUEL</v>
      </c>
      <c r="J149" s="44" t="str">
        <f aca="false">IF(_PENDIENTES!$B$143&lt;&gt;"",_PENDIENTES!$J$143,"")</f>
        <v>EUH-427</v>
      </c>
      <c r="K149" s="46" t="str">
        <f aca="false">IF(_PENDIENTES!$B$143&lt;&gt;"","POR RECOGER","")</f>
        <v>POR RECOGER</v>
      </c>
      <c r="L149" s="46" t="n">
        <f aca="false">IF(_PENDIENTES!$B$143&lt;&gt;"",_PENDIENTES!$K$143,"")</f>
        <v>0</v>
      </c>
      <c r="M149" s="85" t="str">
        <f aca="false">IF(_PENDIENTES!$B$143&lt;&gt;"",_PENDIENTES!$B$143,"")</f>
        <v>PEDRO RUIZ GALLO</v>
      </c>
      <c r="N149" s="109" t="str">
        <f aca="false">IF(_PENDIENTES!$B$143&lt;&gt;"",_PENDIENTES!$L$143,"")</f>
        <v>PEDRO RUIZ GALLO</v>
      </c>
      <c r="O149" s="89"/>
      <c r="P149" s="89"/>
      <c r="Q149" s="89"/>
      <c r="R149" s="89"/>
      <c r="S149" s="89"/>
    </row>
    <row r="150" customFormat="false" ht="15.75" hidden="true" customHeight="true" outlineLevel="0" collapsed="false">
      <c r="A150" s="106" t="n">
        <f aca="false">IF(_PENDIENTES!$B$144&lt;&gt;"",143,"")</f>
        <v>143</v>
      </c>
      <c r="B150" s="47" t="str">
        <f aca="false">IF(_PENDIENTES!$B$144&lt;&gt;"",_PENDIENTES!$A$144,"")</f>
        <v>FEB</v>
      </c>
      <c r="C150" s="107" t="str">
        <f aca="false">IF(_PENDIENTES!$B$144&lt;&gt;"",_PENDIENTES!$C$144,"")</f>
        <v>PUSCAN HUAMAN NORIT IRAKCE</v>
      </c>
      <c r="D150" s="106" t="str">
        <f aca="false">IF(_PENDIENTES!$B$144&lt;&gt;"",_PENDIENTES!$D$144,"")</f>
        <v>60708321</v>
      </c>
      <c r="E150" s="111" t="str">
        <f aca="false">IF(_PENDIENTES!$B$144&lt;&gt;"",_PENDIENTES!$E$144,"")</f>
        <v>11/02/2026</v>
      </c>
      <c r="F150" s="106" t="str">
        <f aca="false">IF(_PENDIENTES!$B$144&lt;&gt;"",_PENDIENTES!$F$144,"")</f>
        <v>PETROLEO</v>
      </c>
      <c r="G150" s="50" t="n">
        <f aca="false">IF(_PENDIENTES!$B$144&lt;&gt;"",_PENDIENTES!$G$144,"")</f>
        <v>7</v>
      </c>
      <c r="H150" s="50" t="n">
        <f aca="false">IF(_PENDIENTES!$B$144&lt;&gt;"",_PENDIENTES!$H$144,"")</f>
        <v>127.26</v>
      </c>
      <c r="I150" s="108" t="str">
        <f aca="false">IF(_PENDIENTES!$B$144&lt;&gt;"",_PENDIENTES!$I$144,"")</f>
        <v>LEIVA LARA JUNIOR</v>
      </c>
      <c r="J150" s="50" t="str">
        <f aca="false">IF(_PENDIENTES!$B$144&lt;&gt;"",_PENDIENTES!$J$144,"")</f>
        <v>EUC 959</v>
      </c>
      <c r="K150" s="106" t="str">
        <f aca="false">IF(_PENDIENTES!$B$144&lt;&gt;"","POR RECOGER","")</f>
        <v>POR RECOGER</v>
      </c>
      <c r="L150" s="106" t="n">
        <f aca="false">IF(_PENDIENTES!$B$144&lt;&gt;"",_PENDIENTES!$K$144,"")</f>
        <v>0</v>
      </c>
      <c r="M150" s="85" t="str">
        <f aca="false">IF(_PENDIENTES!$B$144&lt;&gt;"",_PENDIENTES!$B$144,"")</f>
        <v>JALCA GRANDE</v>
      </c>
      <c r="N150" s="109" t="str">
        <f aca="false">IF(_PENDIENTES!$B$144&lt;&gt;"",_PENDIENTES!$L$144,"")</f>
        <v>JALCA GRANDE</v>
      </c>
      <c r="O150" s="89"/>
      <c r="P150" s="89"/>
      <c r="Q150" s="89"/>
      <c r="R150" s="89"/>
      <c r="S150" s="89"/>
    </row>
    <row r="151" customFormat="false" ht="15.75" hidden="true" customHeight="true" outlineLevel="0" collapsed="false">
      <c r="A151" s="46" t="n">
        <f aca="false">IF(_PENDIENTES!$B$145&lt;&gt;"",144,"")</f>
        <v>144</v>
      </c>
      <c r="B151" s="41" t="str">
        <f aca="false">IF(_PENDIENTES!$B$145&lt;&gt;"",_PENDIENTES!$A$145,"")</f>
        <v>FEB</v>
      </c>
      <c r="C151" s="110" t="str">
        <f aca="false">IF(_PENDIENTES!$B$145&lt;&gt;"",_PENDIENTES!$C$145,"")</f>
        <v>VIGIL CUBAS MARTHA RENE</v>
      </c>
      <c r="D151" s="46" t="str">
        <f aca="false">IF(_PENDIENTES!$B$145&lt;&gt;"",_PENDIENTES!$D$145,"")</f>
        <v>72708806</v>
      </c>
      <c r="E151" s="112" t="str">
        <f aca="false">IF(_PENDIENTES!$B$145&lt;&gt;"",_PENDIENTES!$E$145,"")</f>
        <v>11/02/2026</v>
      </c>
      <c r="F151" s="46" t="str">
        <f aca="false">IF(_PENDIENTES!$B$145&lt;&gt;"",_PENDIENTES!$F$145,"")</f>
        <v>PETROLEO</v>
      </c>
      <c r="G151" s="44" t="n">
        <f aca="false">IF(_PENDIENTES!$B$145&lt;&gt;"",_PENDIENTES!$G$145,"")</f>
        <v>6</v>
      </c>
      <c r="H151" s="44" t="n">
        <f aca="false">IF(_PENDIENTES!$B$145&lt;&gt;"",_PENDIENTES!$H$145,"")</f>
        <v>109.08</v>
      </c>
      <c r="I151" s="113" t="str">
        <f aca="false">IF(_PENDIENTES!$B$145&lt;&gt;"",_PENDIENTES!$I$145,"")</f>
        <v>CHICANA LOPEZ MANUEL HECTOR</v>
      </c>
      <c r="J151" s="44" t="str">
        <f aca="false">IF(_PENDIENTES!$B$145&lt;&gt;"",_PENDIENTES!$J$145,"")</f>
        <v>EUH747</v>
      </c>
      <c r="K151" s="46" t="str">
        <f aca="false">IF(_PENDIENTES!$B$145&lt;&gt;"","POR RECOGER","")</f>
        <v>POR RECOGER</v>
      </c>
      <c r="L151" s="46" t="n">
        <f aca="false">IF(_PENDIENTES!$B$145&lt;&gt;"",_PENDIENTES!$K$145,"")</f>
        <v>0</v>
      </c>
      <c r="M151" s="85" t="str">
        <f aca="false">IF(_PENDIENTES!$B$145&lt;&gt;"",_PENDIENTES!$B$145,"")</f>
        <v>POMACOCHAS</v>
      </c>
      <c r="N151" s="109" t="str">
        <f aca="false">IF(_PENDIENTES!$B$145&lt;&gt;"",_PENDIENTES!$L$145,"")</f>
        <v>POMACOCHAS</v>
      </c>
      <c r="O151" s="89"/>
      <c r="P151" s="89"/>
      <c r="Q151" s="89"/>
      <c r="R151" s="89"/>
      <c r="S151" s="89"/>
    </row>
    <row r="152" customFormat="false" ht="15.75" hidden="true" customHeight="true" outlineLevel="0" collapsed="false">
      <c r="A152" s="106" t="n">
        <f aca="false">IF(_PENDIENTES!$B$146&lt;&gt;"",145,"")</f>
        <v>145</v>
      </c>
      <c r="B152" s="47" t="str">
        <f aca="false">IF(_PENDIENTES!$B$146&lt;&gt;"",_PENDIENTES!$A$146,"")</f>
        <v>FEB</v>
      </c>
      <c r="C152" s="107" t="str">
        <f aca="false">IF(_PENDIENTES!$B$146&lt;&gt;"",_PENDIENTES!$C$146,"")</f>
        <v>LEIVA MARRUFO ELVA MAYANI</v>
      </c>
      <c r="D152" s="106" t="str">
        <f aca="false">IF(_PENDIENTES!$B$146&lt;&gt;"",_PENDIENTES!$D$146,"")</f>
        <v>48313315</v>
      </c>
      <c r="E152" s="111" t="str">
        <f aca="false">IF(_PENDIENTES!$B$146&lt;&gt;"",_PENDIENTES!$E$146,"")</f>
        <v>12/02/2026</v>
      </c>
      <c r="F152" s="106" t="str">
        <f aca="false">IF(_PENDIENTES!$B$146&lt;&gt;"",_PENDIENTES!$F$146,"")</f>
        <v>GASOLINA</v>
      </c>
      <c r="G152" s="50" t="n">
        <f aca="false">IF(_PENDIENTES!$B$146&lt;&gt;"",_PENDIENTES!$G$146,"")</f>
        <v>5</v>
      </c>
      <c r="H152" s="50" t="n">
        <f aca="false">IF(_PENDIENTES!$B$146&lt;&gt;"",_PENDIENTES!$H$146,"")</f>
        <v>89.75</v>
      </c>
      <c r="I152" s="108" t="str">
        <f aca="false">IF(_PENDIENTES!$B$146&lt;&gt;"",_PENDIENTES!$I$146,"")</f>
        <v>RONAL SAUCEDO GUEVARA</v>
      </c>
      <c r="J152" s="50" t="str">
        <f aca="false">IF(_PENDIENTES!$B$146&lt;&gt;"",_PENDIENTES!$J$146,"")</f>
        <v>EUB-067</v>
      </c>
      <c r="K152" s="106" t="str">
        <f aca="false">IF(_PENDIENTES!$B$146&lt;&gt;"","POR RECOGER","")</f>
        <v>POR RECOGER</v>
      </c>
      <c r="L152" s="106" t="n">
        <f aca="false">IF(_PENDIENTES!$B$146&lt;&gt;"",_PENDIENTES!$K$146,"")</f>
        <v>0</v>
      </c>
      <c r="M152" s="85" t="str">
        <f aca="false">IF(_PENDIENTES!$B$146&lt;&gt;"",_PENDIENTES!$B$146,"")</f>
        <v>BUENOS AIRES</v>
      </c>
      <c r="N152" s="109" t="str">
        <f aca="false">IF(_PENDIENTES!$B$146&lt;&gt;"",_PENDIENTES!$L$146,"")</f>
        <v>BUENOS AIRES</v>
      </c>
      <c r="O152" s="89"/>
      <c r="P152" s="89"/>
      <c r="Q152" s="89"/>
      <c r="R152" s="89"/>
      <c r="S152" s="89"/>
    </row>
    <row r="153" customFormat="false" ht="15.75" hidden="true" customHeight="true" outlineLevel="0" collapsed="false">
      <c r="A153" s="46" t="n">
        <f aca="false">IF(_PENDIENTES!$B$147&lt;&gt;"",146,"")</f>
        <v>146</v>
      </c>
      <c r="B153" s="41" t="str">
        <f aca="false">IF(_PENDIENTES!$B$147&lt;&gt;"",_PENDIENTES!$A$147,"")</f>
        <v>FEB</v>
      </c>
      <c r="C153" s="110" t="str">
        <f aca="false">IF(_PENDIENTES!$B$147&lt;&gt;"",_PENDIENTES!$C$147,"")</f>
        <v>LOPEZ TORRES YURI KATERIN</v>
      </c>
      <c r="D153" s="46" t="str">
        <f aca="false">IF(_PENDIENTES!$B$147&lt;&gt;"",_PENDIENTES!$D$147,"")</f>
        <v>71962443</v>
      </c>
      <c r="E153" s="112" t="str">
        <f aca="false">IF(_PENDIENTES!$B$147&lt;&gt;"",_PENDIENTES!$E$147,"")</f>
        <v>13/02/2026</v>
      </c>
      <c r="F153" s="46" t="str">
        <f aca="false">IF(_PENDIENTES!$B$147&lt;&gt;"",_PENDIENTES!$F$147,"")</f>
        <v>PETROLEO</v>
      </c>
      <c r="G153" s="44" t="n">
        <f aca="false">IF(_PENDIENTES!$B$147&lt;&gt;"",_PENDIENTES!$G$147,"")</f>
        <v>7</v>
      </c>
      <c r="H153" s="44" t="n">
        <f aca="false">IF(_PENDIENTES!$B$147&lt;&gt;"",_PENDIENTES!$H$147,"")</f>
        <v>141.75</v>
      </c>
      <c r="I153" s="113" t="str">
        <f aca="false">IF(_PENDIENTES!$B$147&lt;&gt;"",_PENDIENTES!$I$147,"")</f>
        <v>PORTOCARRERO PELAEZ MIGUEL ANTONIO</v>
      </c>
      <c r="J153" s="44" t="str">
        <f aca="false">IF(_PENDIENTES!$B$147&lt;&gt;"",_PENDIENTES!$J$147,"")</f>
        <v>EUH-421</v>
      </c>
      <c r="K153" s="46" t="str">
        <f aca="false">IF(_PENDIENTES!$B$147&lt;&gt;"","POR RECOGER","")</f>
        <v>POR RECOGER</v>
      </c>
      <c r="L153" s="46" t="n">
        <f aca="false">IF(_PENDIENTES!$B$147&lt;&gt;"",_PENDIENTES!$K$147,"")</f>
        <v>0</v>
      </c>
      <c r="M153" s="85" t="str">
        <f aca="false">IF(_PENDIENTES!$B$147&lt;&gt;"",_PENDIENTES!$B$147,"")</f>
        <v>MARIA AUXILIADORA</v>
      </c>
      <c r="N153" s="109" t="str">
        <f aca="false">IF(_PENDIENTES!$B$147&lt;&gt;"",_PENDIENTES!$L$147,"")</f>
        <v>MARIA AUXILIADORA</v>
      </c>
      <c r="O153" s="89"/>
      <c r="P153" s="89"/>
      <c r="Q153" s="89"/>
      <c r="R153" s="89"/>
      <c r="S153" s="89"/>
    </row>
    <row r="154" customFormat="false" ht="15.75" hidden="false" customHeight="true" outlineLevel="0" collapsed="false">
      <c r="A154" s="106" t="n">
        <f aca="false">IF(_PENDIENTES!$B$148&lt;&gt;"",147,"")</f>
        <v>147</v>
      </c>
      <c r="B154" s="47" t="str">
        <f aca="false">IF(_PENDIENTES!$B$148&lt;&gt;"",_PENDIENTES!$A$148,"")</f>
        <v>FEB</v>
      </c>
      <c r="C154" s="107" t="str">
        <f aca="false">IF(_PENDIENTES!$B$148&lt;&gt;"",_PENDIENTES!$C$148,"")</f>
        <v>SILVA VASQUEZ ESTER</v>
      </c>
      <c r="D154" s="106" t="str">
        <f aca="false">IF(_PENDIENTES!$B$148&lt;&gt;"",_PENDIENTES!$D$148,"")</f>
        <v>62174169</v>
      </c>
      <c r="E154" s="111" t="str">
        <f aca="false">IF(_PENDIENTES!$B$148&lt;&gt;"",_PENDIENTES!$E$148,"")</f>
        <v>13/02/2026</v>
      </c>
      <c r="F154" s="106" t="str">
        <f aca="false">IF(_PENDIENTES!$B$148&lt;&gt;"",_PENDIENTES!$F$148,"")</f>
        <v>PETROLEO</v>
      </c>
      <c r="G154" s="50" t="n">
        <f aca="false">IF(_PENDIENTES!$B$148&lt;&gt;"",_PENDIENTES!$G$148,"")</f>
        <v>3</v>
      </c>
      <c r="H154" s="50" t="n">
        <f aca="false">IF(_PENDIENTES!$B$148&lt;&gt;"",_PENDIENTES!$H$148,"")</f>
        <v>60.75</v>
      </c>
      <c r="I154" s="108" t="str">
        <f aca="false">IF(_PENDIENTES!$B$148&lt;&gt;"",_PENDIENTES!$I$148,"")</f>
        <v>LOPEZ VARGAS HUBER</v>
      </c>
      <c r="J154" s="50" t="str">
        <f aca="false">IF(_PENDIENTES!$B$148&lt;&gt;"",_PENDIENTES!$J$148,"")</f>
        <v>EUH 634</v>
      </c>
      <c r="K154" s="106" t="str">
        <f aca="false">IF(_PENDIENTES!$B$148&lt;&gt;"","POR RECOGER","")</f>
        <v>POR RECOGER</v>
      </c>
      <c r="L154" s="106" t="n">
        <f aca="false">IF(_PENDIENTES!$B$148&lt;&gt;"",_PENDIENTES!$K$148,"")</f>
        <v>0</v>
      </c>
      <c r="M154" s="85" t="str">
        <f aca="false">IF(_PENDIENTES!$B$148&lt;&gt;"",_PENDIENTES!$B$148,"")</f>
        <v>OMIA</v>
      </c>
      <c r="N154" s="109" t="str">
        <f aca="false">IF(_PENDIENTES!$B$148&lt;&gt;"",_PENDIENTES!$L$148,"")</f>
        <v>OMIA</v>
      </c>
      <c r="O154" s="89"/>
      <c r="P154" s="89"/>
      <c r="Q154" s="89"/>
      <c r="R154" s="89"/>
      <c r="S154" s="89"/>
    </row>
    <row r="155" customFormat="false" ht="15.75" hidden="true" customHeight="true" outlineLevel="0" collapsed="false">
      <c r="A155" s="46" t="n">
        <f aca="false">IF(_PENDIENTES!$B$149&lt;&gt;"",148,"")</f>
        <v>148</v>
      </c>
      <c r="B155" s="41" t="str">
        <f aca="false">IF(_PENDIENTES!$B$149&lt;&gt;"",_PENDIENTES!$A$149,"")</f>
        <v>FEB</v>
      </c>
      <c r="C155" s="110" t="str">
        <f aca="false">IF(_PENDIENTES!$B$149&lt;&gt;"",_PENDIENTES!$C$149,"")</f>
        <v>CHAVEZ LEIVA ROMULO</v>
      </c>
      <c r="D155" s="46" t="str">
        <f aca="false">IF(_PENDIENTES!$B$149&lt;&gt;"",_PENDIENTES!$D$149,"")</f>
        <v>48503466</v>
      </c>
      <c r="E155" s="112" t="str">
        <f aca="false">IF(_PENDIENTES!$B$149&lt;&gt;"",_PENDIENTES!$E$149,"")</f>
        <v>13/02/2026</v>
      </c>
      <c r="F155" s="46" t="str">
        <f aca="false">IF(_PENDIENTES!$B$149&lt;&gt;"",_PENDIENTES!$F$149,"")</f>
        <v>PETROLEO</v>
      </c>
      <c r="G155" s="44" t="n">
        <f aca="false">IF(_PENDIENTES!$B$149&lt;&gt;"",_PENDIENTES!$G$149,"")</f>
        <v>6</v>
      </c>
      <c r="H155" s="44" t="n">
        <f aca="false">IF(_PENDIENTES!$B$149&lt;&gt;"",_PENDIENTES!$H$149,"")</f>
        <v>109.08</v>
      </c>
      <c r="I155" s="113" t="str">
        <f aca="false">IF(_PENDIENTES!$B$149&lt;&gt;"",_PENDIENTES!$I$149,"")</f>
        <v>SANCHEZ CAJO VICENTE</v>
      </c>
      <c r="J155" s="44" t="str">
        <f aca="false">IF(_PENDIENTES!$B$149&lt;&gt;"",_PENDIENTES!$J$149,"")</f>
        <v>EGL-296</v>
      </c>
      <c r="K155" s="46" t="str">
        <f aca="false">IF(_PENDIENTES!$B$149&lt;&gt;"","POR RECOGER","")</f>
        <v>POR RECOGER</v>
      </c>
      <c r="L155" s="46" t="n">
        <f aca="false">IF(_PENDIENTES!$B$149&lt;&gt;"",_PENDIENTES!$K$149,"")</f>
        <v>0</v>
      </c>
      <c r="M155" s="85" t="str">
        <f aca="false">IF(_PENDIENTES!$B$149&lt;&gt;"",_PENDIENTES!$B$149,"")</f>
        <v>YERBABUENA</v>
      </c>
      <c r="N155" s="109" t="str">
        <f aca="false">IF(_PENDIENTES!$B$149&lt;&gt;"",_PENDIENTES!$L$149,"")</f>
        <v>YERBABUENA</v>
      </c>
      <c r="O155" s="89"/>
      <c r="P155" s="89"/>
      <c r="Q155" s="89"/>
      <c r="R155" s="89"/>
      <c r="S155" s="89"/>
    </row>
    <row r="156" customFormat="false" ht="15.75" hidden="true" customHeight="true" outlineLevel="0" collapsed="false">
      <c r="A156" s="106" t="n">
        <f aca="false">IF(_PENDIENTES!$B$150&lt;&gt;"",149,"")</f>
        <v>149</v>
      </c>
      <c r="B156" s="47" t="str">
        <f aca="false">IF(_PENDIENTES!$B$150&lt;&gt;"",_PENDIENTES!$A$150,"")</f>
        <v>FEB</v>
      </c>
      <c r="C156" s="107" t="str">
        <f aca="false">IF(_PENDIENTES!$B$150&lt;&gt;"",_PENDIENTES!$C$150,"")</f>
        <v>HERRERA CULLAMPE DINA</v>
      </c>
      <c r="D156" s="106" t="str">
        <f aca="false">IF(_PENDIENTES!$B$150&lt;&gt;"",_PENDIENTES!$D$150,"")</f>
        <v>60349371</v>
      </c>
      <c r="E156" s="111" t="str">
        <f aca="false">IF(_PENDIENTES!$B$150&lt;&gt;"",_PENDIENTES!$E$150,"")</f>
        <v>13/02/2026</v>
      </c>
      <c r="F156" s="106" t="str">
        <f aca="false">IF(_PENDIENTES!$B$150&lt;&gt;"",_PENDIENTES!$F$150,"")</f>
        <v>GASOLINA</v>
      </c>
      <c r="G156" s="50" t="n">
        <f aca="false">IF(_PENDIENTES!$B$150&lt;&gt;"",_PENDIENTES!$G$150,"")</f>
        <v>16</v>
      </c>
      <c r="H156" s="50" t="n">
        <f aca="false">IF(_PENDIENTES!$B$150&lt;&gt;"",_PENDIENTES!$H$150,"")</f>
        <v>287.2</v>
      </c>
      <c r="I156" s="108" t="str">
        <f aca="false">IF(_PENDIENTES!$B$150&lt;&gt;"",_PENDIENTES!$I$150,"")</f>
        <v>EDINSON CARRASCO VELA</v>
      </c>
      <c r="J156" s="50" t="str">
        <f aca="false">IF(_PENDIENTES!$B$150&lt;&gt;"",_PENDIENTES!$J$150,"")</f>
        <v>EUE-457</v>
      </c>
      <c r="K156" s="106" t="str">
        <f aca="false">IF(_PENDIENTES!$B$150&lt;&gt;"","POR RECOGER","")</f>
        <v>POR RECOGER</v>
      </c>
      <c r="L156" s="106" t="str">
        <f aca="false">IF(_PENDIENTES!$B$150&lt;&gt;"",_PENDIENTES!$K$150,"")</f>
        <v>SALAZAR</v>
      </c>
      <c r="M156" s="85" t="str">
        <f aca="false">IF(_PENDIENTES!$B$150&lt;&gt;"",_PENDIENTES!$B$150,"")</f>
        <v>SALAZAR</v>
      </c>
      <c r="N156" s="109" t="str">
        <f aca="false">IF(_PENDIENTES!$B$150&lt;&gt;"",_PENDIENTES!$L$150,"")</f>
        <v>SAN JUAN DE PROVIDENCIA</v>
      </c>
      <c r="O156" s="89"/>
      <c r="P156" s="89"/>
      <c r="Q156" s="89"/>
      <c r="R156" s="89"/>
      <c r="S156" s="89"/>
    </row>
    <row r="157" customFormat="false" ht="15.75" hidden="true" customHeight="true" outlineLevel="0" collapsed="false">
      <c r="A157" s="46" t="n">
        <f aca="false">IF(_PENDIENTES!$B$151&lt;&gt;"",150,"")</f>
        <v>150</v>
      </c>
      <c r="B157" s="41" t="str">
        <f aca="false">IF(_PENDIENTES!$B$151&lt;&gt;"",_PENDIENTES!$A$151,"")</f>
        <v>FEB</v>
      </c>
      <c r="C157" s="110" t="str">
        <f aca="false">IF(_PENDIENTES!$B$151&lt;&gt;"",_PENDIENTES!$C$151,"")</f>
        <v>YOPLAC TRUJILLO VILMA</v>
      </c>
      <c r="D157" s="46" t="str">
        <f aca="false">IF(_PENDIENTES!$B$151&lt;&gt;"",_PENDIENTES!$D$151,"")</f>
        <v>48771580</v>
      </c>
      <c r="E157" s="112" t="str">
        <f aca="false">IF(_PENDIENTES!$B$151&lt;&gt;"",_PENDIENTES!$E$151,"")</f>
        <v>13/02/2026</v>
      </c>
      <c r="F157" s="46" t="str">
        <f aca="false">IF(_PENDIENTES!$B$151&lt;&gt;"",_PENDIENTES!$F$151,"")</f>
        <v>PETROLEO</v>
      </c>
      <c r="G157" s="44" t="n">
        <f aca="false">IF(_PENDIENTES!$B$151&lt;&gt;"",_PENDIENTES!$G$151,"")</f>
        <v>10</v>
      </c>
      <c r="H157" s="44" t="n">
        <f aca="false">IF(_PENDIENTES!$B$151&lt;&gt;"",_PENDIENTES!$H$151,"")</f>
        <v>181.8</v>
      </c>
      <c r="I157" s="113" t="str">
        <f aca="false">IF(_PENDIENTES!$B$151&lt;&gt;"",_PENDIENTES!$I$151,"")</f>
        <v>JULCA RITUAY ROGER</v>
      </c>
      <c r="J157" s="44" t="str">
        <f aca="false">IF(_PENDIENTES!$B$151&lt;&gt;"",_PENDIENTES!$J$151,"")</f>
        <v>EUH 414</v>
      </c>
      <c r="K157" s="46" t="str">
        <f aca="false">IF(_PENDIENTES!$B$151&lt;&gt;"","POR RECOGER","")</f>
        <v>POR RECOGER</v>
      </c>
      <c r="L157" s="46" t="str">
        <f aca="false">IF(_PENDIENTES!$B$151&lt;&gt;"",_PENDIENTES!$K$151,"")</f>
        <v>SANTO TOMAS</v>
      </c>
      <c r="M157" s="85" t="str">
        <f aca="false">IF(_PENDIENTES!$B$151&lt;&gt;"",_PENDIENTES!$B$151,"")</f>
        <v>SANTO TOMAS</v>
      </c>
      <c r="N157" s="109" t="str">
        <f aca="false">IF(_PENDIENTES!$B$151&lt;&gt;"",_PENDIENTES!$L$151,"")</f>
        <v>TINTIN</v>
      </c>
      <c r="O157" s="89"/>
      <c r="P157" s="89"/>
      <c r="Q157" s="89"/>
      <c r="R157" s="89"/>
      <c r="S157" s="89"/>
    </row>
    <row r="158" customFormat="false" ht="15.75" hidden="true" customHeight="true" outlineLevel="0" collapsed="false">
      <c r="A158" s="106" t="n">
        <f aca="false">IF(_PENDIENTES!$B$152&lt;&gt;"",151,"")</f>
        <v>151</v>
      </c>
      <c r="B158" s="47" t="str">
        <f aca="false">IF(_PENDIENTES!$B$152&lt;&gt;"",_PENDIENTES!$A$152,"")</f>
        <v>FEB</v>
      </c>
      <c r="C158" s="107" t="str">
        <f aca="false">IF(_PENDIENTES!$B$152&lt;&gt;"",_PENDIENTES!$C$152,"")</f>
        <v>ROMAN MORETO DANY MARLITH</v>
      </c>
      <c r="D158" s="106" t="str">
        <f aca="false">IF(_PENDIENTES!$B$152&lt;&gt;"",_PENDIENTES!$D$152,"")</f>
        <v>74938552</v>
      </c>
      <c r="E158" s="111" t="str">
        <f aca="false">IF(_PENDIENTES!$B$152&lt;&gt;"",_PENDIENTES!$E$152,"")</f>
        <v>13/02/2026</v>
      </c>
      <c r="F158" s="106" t="str">
        <f aca="false">IF(_PENDIENTES!$B$152&lt;&gt;"",_PENDIENTES!$F$152,"")</f>
        <v>PETROLEO</v>
      </c>
      <c r="G158" s="50" t="n">
        <f aca="false">IF(_PENDIENTES!$B$152&lt;&gt;"",_PENDIENTES!$G$152,"")</f>
        <v>7</v>
      </c>
      <c r="H158" s="50" t="n">
        <f aca="false">IF(_PENDIENTES!$B$152&lt;&gt;"",_PENDIENTES!$H$152,"")</f>
        <v>141.75</v>
      </c>
      <c r="I158" s="108" t="str">
        <f aca="false">IF(_PENDIENTES!$B$152&lt;&gt;"",_PENDIENTES!$I$152,"")</f>
        <v>SERNAQUE PELAEZ WILMER</v>
      </c>
      <c r="J158" s="50" t="str">
        <f aca="false">IF(_PENDIENTES!$B$152&lt;&gt;"",_PENDIENTES!$J$152,"")</f>
        <v>EUH-421</v>
      </c>
      <c r="K158" s="106" t="str">
        <f aca="false">IF(_PENDIENTES!$B$152&lt;&gt;"","POR RECOGER","")</f>
        <v>POR RECOGER</v>
      </c>
      <c r="L158" s="106" t="n">
        <f aca="false">IF(_PENDIENTES!$B$152&lt;&gt;"",_PENDIENTES!$K$152,"")</f>
        <v>0</v>
      </c>
      <c r="M158" s="85" t="str">
        <f aca="false">IF(_PENDIENTES!$B$152&lt;&gt;"",_PENDIENTES!$B$152,"")</f>
        <v>MARIA AUXILIADORA</v>
      </c>
      <c r="N158" s="109" t="str">
        <f aca="false">IF(_PENDIENTES!$B$152&lt;&gt;"",_PENDIENTES!$L$152,"")</f>
        <v>MARIA AUXILIADORA</v>
      </c>
      <c r="O158" s="89"/>
      <c r="P158" s="89"/>
      <c r="Q158" s="89"/>
      <c r="R158" s="89"/>
      <c r="S158" s="89"/>
    </row>
    <row r="159" customFormat="false" ht="15.75" hidden="true" customHeight="true" outlineLevel="0" collapsed="false">
      <c r="A159" s="46" t="n">
        <f aca="false">IF(_PENDIENTES!$B$153&lt;&gt;"",152,"")</f>
        <v>152</v>
      </c>
      <c r="B159" s="41" t="str">
        <f aca="false">IF(_PENDIENTES!$B$153&lt;&gt;"",_PENDIENTES!$A$153,"")</f>
        <v>FEB</v>
      </c>
      <c r="C159" s="110" t="str">
        <f aca="false">IF(_PENDIENTES!$B$153&lt;&gt;"",_PENDIENTES!$C$153,"")</f>
        <v>HERRERA GUELAC ABIGAIL</v>
      </c>
      <c r="D159" s="46" t="str">
        <f aca="false">IF(_PENDIENTES!$B$153&lt;&gt;"",_PENDIENTES!$D$153,"")</f>
        <v>60229616</v>
      </c>
      <c r="E159" s="112" t="str">
        <f aca="false">IF(_PENDIENTES!$B$153&lt;&gt;"",_PENDIENTES!$E$153,"")</f>
        <v>14/02/2026</v>
      </c>
      <c r="F159" s="46" t="str">
        <f aca="false">IF(_PENDIENTES!$B$153&lt;&gt;"",_PENDIENTES!$F$153,"")</f>
        <v>GASOLINA</v>
      </c>
      <c r="G159" s="44" t="n">
        <f aca="false">IF(_PENDIENTES!$B$153&lt;&gt;"",_PENDIENTES!$G$153,"")</f>
        <v>16</v>
      </c>
      <c r="H159" s="44" t="n">
        <f aca="false">IF(_PENDIENTES!$B$153&lt;&gt;"",_PENDIENTES!$H$153,"")</f>
        <v>287.2</v>
      </c>
      <c r="I159" s="113" t="str">
        <f aca="false">IF(_PENDIENTES!$B$153&lt;&gt;"",_PENDIENTES!$I$153,"")</f>
        <v>EDINSON CARRASCO VELA</v>
      </c>
      <c r="J159" s="44" t="str">
        <f aca="false">IF(_PENDIENTES!$B$153&lt;&gt;"",_PENDIENTES!$J$153,"")</f>
        <v>EUE-457</v>
      </c>
      <c r="K159" s="46" t="str">
        <f aca="false">IF(_PENDIENTES!$B$153&lt;&gt;"","POR RECOGER","")</f>
        <v>POR RECOGER</v>
      </c>
      <c r="L159" s="46" t="n">
        <f aca="false">IF(_PENDIENTES!$B$153&lt;&gt;"",_PENDIENTES!$K$153,"")</f>
        <v>0</v>
      </c>
      <c r="M159" s="85" t="str">
        <f aca="false">IF(_PENDIENTES!$B$153&lt;&gt;"",_PENDIENTES!$B$153,"")</f>
        <v>SALAZAR</v>
      </c>
      <c r="N159" s="109" t="str">
        <f aca="false">IF(_PENDIENTES!$B$153&lt;&gt;"",_PENDIENTES!$L$153,"")</f>
        <v>SALAZAR</v>
      </c>
      <c r="O159" s="89"/>
      <c r="P159" s="89"/>
      <c r="Q159" s="89"/>
      <c r="R159" s="89"/>
      <c r="S159" s="89"/>
    </row>
    <row r="160" customFormat="false" ht="15.75" hidden="true" customHeight="true" outlineLevel="0" collapsed="false">
      <c r="A160" s="106" t="n">
        <f aca="false">IF(_PENDIENTES!$B$154&lt;&gt;"",153,"")</f>
        <v>153</v>
      </c>
      <c r="B160" s="47" t="str">
        <f aca="false">IF(_PENDIENTES!$B$154&lt;&gt;"",_PENDIENTES!$A$154,"")</f>
        <v>FEB</v>
      </c>
      <c r="C160" s="107" t="str">
        <f aca="false">IF(_PENDIENTES!$B$154&lt;&gt;"",_PENDIENTES!$C$154,"")</f>
        <v>MASLUCAN FIGUEROA LISBETH MILENE</v>
      </c>
      <c r="D160" s="106" t="str">
        <f aca="false">IF(_PENDIENTES!$B$154&lt;&gt;"",_PENDIENTES!$D$154,"")</f>
        <v>75958106</v>
      </c>
      <c r="E160" s="111" t="str">
        <f aca="false">IF(_PENDIENTES!$B$154&lt;&gt;"",_PENDIENTES!$E$154,"")</f>
        <v>14/02/2026</v>
      </c>
      <c r="F160" s="106" t="str">
        <f aca="false">IF(_PENDIENTES!$B$154&lt;&gt;"",_PENDIENTES!$F$154,"")</f>
        <v>PETROLEO</v>
      </c>
      <c r="G160" s="50" t="n">
        <f aca="false">IF(_PENDIENTES!$B$154&lt;&gt;"",_PENDIENTES!$G$154,"")</f>
        <v>5</v>
      </c>
      <c r="H160" s="50" t="n">
        <f aca="false">IF(_PENDIENTES!$B$154&lt;&gt;"",_PENDIENTES!$H$154,"")</f>
        <v>90.9</v>
      </c>
      <c r="I160" s="108" t="str">
        <f aca="false">IF(_PENDIENTES!$B$154&lt;&gt;"",_PENDIENTES!$I$154,"")</f>
        <v>MONTENEGRO RUIZ LUIS MIGUEL</v>
      </c>
      <c r="J160" s="50" t="str">
        <f aca="false">IF(_PENDIENTES!$B$154&lt;&gt;"",_PENDIENTES!$J$154,"")</f>
        <v>EUH-427</v>
      </c>
      <c r="K160" s="106" t="str">
        <f aca="false">IF(_PENDIENTES!$B$154&lt;&gt;"","POR RECOGER","")</f>
        <v>POR RECOGER</v>
      </c>
      <c r="L160" s="106" t="n">
        <f aca="false">IF(_PENDIENTES!$B$154&lt;&gt;"",_PENDIENTES!$K$154,"")</f>
        <v>0</v>
      </c>
      <c r="M160" s="85" t="str">
        <f aca="false">IF(_PENDIENTES!$B$154&lt;&gt;"",_PENDIENTES!$B$154,"")</f>
        <v>PEDRO RUIZ GALLO</v>
      </c>
      <c r="N160" s="109" t="str">
        <f aca="false">IF(_PENDIENTES!$B$154&lt;&gt;"",_PENDIENTES!$L$154,"")</f>
        <v>PEDRO RUIZ GALLO</v>
      </c>
      <c r="O160" s="89"/>
      <c r="P160" s="89"/>
      <c r="Q160" s="89"/>
      <c r="R160" s="89"/>
      <c r="S160" s="89"/>
    </row>
    <row r="161" customFormat="false" ht="15.75" hidden="true" customHeight="true" outlineLevel="0" collapsed="false">
      <c r="A161" s="46" t="n">
        <f aca="false">IF(_PENDIENTES!$B$155&lt;&gt;"",154,"")</f>
        <v>154</v>
      </c>
      <c r="B161" s="41" t="str">
        <f aca="false">IF(_PENDIENTES!$B$155&lt;&gt;"",_PENDIENTES!$A$155,"")</f>
        <v>FEB</v>
      </c>
      <c r="C161" s="110" t="str">
        <f aca="false">IF(_PENDIENTES!$B$155&lt;&gt;"",_PENDIENTES!$C$155,"")</f>
        <v>HERRERA GUELAC ABIGAIL</v>
      </c>
      <c r="D161" s="46" t="str">
        <f aca="false">IF(_PENDIENTES!$B$155&lt;&gt;"",_PENDIENTES!$D$155,"")</f>
        <v>60229616</v>
      </c>
      <c r="E161" s="112" t="str">
        <f aca="false">IF(_PENDIENTES!$B$155&lt;&gt;"",_PENDIENTES!$E$155,"")</f>
        <v>14/02/2026</v>
      </c>
      <c r="F161" s="46" t="str">
        <f aca="false">IF(_PENDIENTES!$B$155&lt;&gt;"",_PENDIENTES!$F$155,"")</f>
        <v>PETROLEO</v>
      </c>
      <c r="G161" s="44" t="n">
        <f aca="false">IF(_PENDIENTES!$B$155&lt;&gt;"",_PENDIENTES!$G$155,"")</f>
        <v>5</v>
      </c>
      <c r="H161" s="44" t="n">
        <f aca="false">IF(_PENDIENTES!$B$155&lt;&gt;"",_PENDIENTES!$H$155,"")</f>
        <v>90.9</v>
      </c>
      <c r="I161" s="113" t="str">
        <f aca="false">IF(_PENDIENTES!$B$155&lt;&gt;"",_PENDIENTES!$I$155,"")</f>
        <v>MONTENEGRO RUIZ LUIS MIGUEL</v>
      </c>
      <c r="J161" s="44" t="str">
        <f aca="false">IF(_PENDIENTES!$B$155&lt;&gt;"",_PENDIENTES!$J$155,"")</f>
        <v>EUH-427</v>
      </c>
      <c r="K161" s="46" t="str">
        <f aca="false">IF(_PENDIENTES!$B$155&lt;&gt;"","POR RECOGER","")</f>
        <v>POR RECOGER</v>
      </c>
      <c r="L161" s="46" t="n">
        <f aca="false">IF(_PENDIENTES!$B$155&lt;&gt;"",_PENDIENTES!$K$155,"")</f>
        <v>0</v>
      </c>
      <c r="M161" s="85" t="str">
        <f aca="false">IF(_PENDIENTES!$B$155&lt;&gt;"",_PENDIENTES!$B$155,"")</f>
        <v>PEDRO RUIZ GALLO</v>
      </c>
      <c r="N161" s="109" t="str">
        <f aca="false">IF(_PENDIENTES!$B$155&lt;&gt;"",_PENDIENTES!$L$155,"")</f>
        <v>PEDRO RUIZ GALLO</v>
      </c>
      <c r="O161" s="89"/>
      <c r="P161" s="89"/>
      <c r="Q161" s="89"/>
      <c r="R161" s="89"/>
      <c r="S161" s="89"/>
    </row>
    <row r="162" customFormat="false" ht="15.75" hidden="true" customHeight="true" outlineLevel="0" collapsed="false">
      <c r="A162" s="106" t="n">
        <f aca="false">IF(_PENDIENTES!$B$156&lt;&gt;"",155,"")</f>
        <v>155</v>
      </c>
      <c r="B162" s="47" t="str">
        <f aca="false">IF(_PENDIENTES!$B$156&lt;&gt;"",_PENDIENTES!$A$156,"")</f>
        <v>FEB</v>
      </c>
      <c r="C162" s="107" t="str">
        <f aca="false">IF(_PENDIENTES!$B$156&lt;&gt;"",_PENDIENTES!$C$156,"")</f>
        <v>INGA FLORES ZULEMA</v>
      </c>
      <c r="D162" s="106" t="str">
        <f aca="false">IF(_PENDIENTES!$B$156&lt;&gt;"",_PENDIENTES!$D$156,"")</f>
        <v>75257960</v>
      </c>
      <c r="E162" s="111" t="str">
        <f aca="false">IF(_PENDIENTES!$B$156&lt;&gt;"",_PENDIENTES!$E$156,"")</f>
        <v>14/02/2026</v>
      </c>
      <c r="F162" s="106" t="str">
        <f aca="false">IF(_PENDIENTES!$B$156&lt;&gt;"",_PENDIENTES!$F$156,"")</f>
        <v>GASOLINA</v>
      </c>
      <c r="G162" s="50" t="n">
        <f aca="false">IF(_PENDIENTES!$B$156&lt;&gt;"",_PENDIENTES!$G$156,"")</f>
        <v>6</v>
      </c>
      <c r="H162" s="50" t="n">
        <f aca="false">IF(_PENDIENTES!$B$156&lt;&gt;"",_PENDIENTES!$H$156,"")</f>
        <v>107.7</v>
      </c>
      <c r="I162" s="108" t="str">
        <f aca="false">IF(_PENDIENTES!$B$156&lt;&gt;"",_PENDIENTES!$I$156,"")</f>
        <v>MUNOZ VERGARAY JORGE ENRRIQUE</v>
      </c>
      <c r="J162" s="50" t="str">
        <f aca="false">IF(_PENDIENTES!$B$156&lt;&gt;"",_PENDIENTES!$J$156,"")</f>
        <v>EUH 427</v>
      </c>
      <c r="K162" s="106" t="str">
        <f aca="false">IF(_PENDIENTES!$B$156&lt;&gt;"","POR RECOGER","")</f>
        <v>POR RECOGER</v>
      </c>
      <c r="L162" s="106" t="n">
        <f aca="false">IF(_PENDIENTES!$B$156&lt;&gt;"",_PENDIENTES!$K$156,"")</f>
        <v>0</v>
      </c>
      <c r="M162" s="85" t="str">
        <f aca="false">IF(_PENDIENTES!$B$156&lt;&gt;"",_PENDIENTES!$B$156,"")</f>
        <v>PEDRO RUIZ GALLO</v>
      </c>
      <c r="N162" s="109" t="str">
        <f aca="false">IF(_PENDIENTES!$B$156&lt;&gt;"",_PENDIENTES!$L$156,"")</f>
        <v>PEDRO RUIZ GALLO</v>
      </c>
      <c r="O162" s="89"/>
      <c r="P162" s="89"/>
      <c r="Q162" s="89"/>
      <c r="R162" s="89"/>
      <c r="S162" s="89"/>
    </row>
    <row r="163" customFormat="false" ht="15.75" hidden="true" customHeight="true" outlineLevel="0" collapsed="false">
      <c r="A163" s="46" t="n">
        <f aca="false">IF(_PENDIENTES!$B$157&lt;&gt;"",156,"")</f>
        <v>156</v>
      </c>
      <c r="B163" s="41" t="str">
        <f aca="false">IF(_PENDIENTES!$B$157&lt;&gt;"",_PENDIENTES!$A$157,"")</f>
        <v>FEB</v>
      </c>
      <c r="C163" s="110" t="str">
        <f aca="false">IF(_PENDIENTES!$B$157&lt;&gt;"",_PENDIENTES!$C$157,"")</f>
        <v>HUAMAN GUELAC MARBELIT</v>
      </c>
      <c r="D163" s="46" t="str">
        <f aca="false">IF(_PENDIENTES!$B$157&lt;&gt;"",_PENDIENTES!$D$157,"")</f>
        <v>72110655</v>
      </c>
      <c r="E163" s="112" t="str">
        <f aca="false">IF(_PENDIENTES!$B$157&lt;&gt;"",_PENDIENTES!$E$157,"")</f>
        <v>15/02/2026</v>
      </c>
      <c r="F163" s="46" t="str">
        <f aca="false">IF(_PENDIENTES!$B$157&lt;&gt;"",_PENDIENTES!$F$157,"")</f>
        <v>GASOLINA</v>
      </c>
      <c r="G163" s="44" t="n">
        <f aca="false">IF(_PENDIENTES!$B$157&lt;&gt;"",_PENDIENTES!$G$157,"")</f>
        <v>20</v>
      </c>
      <c r="H163" s="44" t="n">
        <f aca="false">IF(_PENDIENTES!$B$157&lt;&gt;"",_PENDIENTES!$H$157,"")</f>
        <v>359</v>
      </c>
      <c r="I163" s="113" t="str">
        <f aca="false">IF(_PENDIENTES!$B$157&lt;&gt;"",_PENDIENTES!$I$157,"")</f>
        <v>EDINSON CARRASCO VELA</v>
      </c>
      <c r="J163" s="44" t="str">
        <f aca="false">IF(_PENDIENTES!$B$157&lt;&gt;"",_PENDIENTES!$J$157,"")</f>
        <v>EUE-457</v>
      </c>
      <c r="K163" s="46" t="str">
        <f aca="false">IF(_PENDIENTES!$B$157&lt;&gt;"","POR RECOGER","")</f>
        <v>POR RECOGER</v>
      </c>
      <c r="L163" s="46" t="n">
        <f aca="false">IF(_PENDIENTES!$B$157&lt;&gt;"",_PENDIENTES!$K$157,"")</f>
        <v>0</v>
      </c>
      <c r="M163" s="85" t="str">
        <f aca="false">IF(_PENDIENTES!$B$157&lt;&gt;"",_PENDIENTES!$B$157,"")</f>
        <v>SALAZAR</v>
      </c>
      <c r="N163" s="109" t="str">
        <f aca="false">IF(_PENDIENTES!$B$157&lt;&gt;"",_PENDIENTES!$L$157,"")</f>
        <v>SALAZAR</v>
      </c>
      <c r="O163" s="89"/>
      <c r="P163" s="89"/>
      <c r="Q163" s="89"/>
      <c r="R163" s="89"/>
      <c r="S163" s="89"/>
    </row>
    <row r="164" customFormat="false" ht="15.75" hidden="true" customHeight="true" outlineLevel="0" collapsed="false">
      <c r="A164" s="106" t="n">
        <f aca="false">IF(_PENDIENTES!$B$158&lt;&gt;"",157,"")</f>
        <v>157</v>
      </c>
      <c r="B164" s="47" t="str">
        <f aca="false">IF(_PENDIENTES!$B$158&lt;&gt;"",_PENDIENTES!$A$158,"")</f>
        <v>FEB</v>
      </c>
      <c r="C164" s="107" t="str">
        <f aca="false">IF(_PENDIENTES!$B$158&lt;&gt;"",_PENDIENTES!$C$158,"")</f>
        <v>CHAVEZ HUAYAMIS MERCEDES</v>
      </c>
      <c r="D164" s="106" t="str">
        <f aca="false">IF(_PENDIENTES!$B$158&lt;&gt;"",_PENDIENTES!$D$158,"")</f>
        <v>63296418</v>
      </c>
      <c r="E164" s="111" t="str">
        <f aca="false">IF(_PENDIENTES!$B$158&lt;&gt;"",_PENDIENTES!$E$158,"")</f>
        <v>15/02/2026</v>
      </c>
      <c r="F164" s="106" t="str">
        <f aca="false">IF(_PENDIENTES!$B$158&lt;&gt;"",_PENDIENTES!$F$158,"")</f>
        <v>PETROLEO</v>
      </c>
      <c r="G164" s="50" t="n">
        <f aca="false">IF(_PENDIENTES!$B$158&lt;&gt;"",_PENDIENTES!$G$158,"")</f>
        <v>5</v>
      </c>
      <c r="H164" s="50" t="n">
        <f aca="false">IF(_PENDIENTES!$B$158&lt;&gt;"",_PENDIENTES!$H$158,"")</f>
        <v>90.9</v>
      </c>
      <c r="I164" s="108" t="str">
        <f aca="false">IF(_PENDIENTES!$B$158&lt;&gt;"",_PENDIENTES!$I$158,"")</f>
        <v>MONTENEGRO RUIZ LUIS MIGUEL</v>
      </c>
      <c r="J164" s="50" t="str">
        <f aca="false">IF(_PENDIENTES!$B$158&lt;&gt;"",_PENDIENTES!$J$158,"")</f>
        <v>EUH-427</v>
      </c>
      <c r="K164" s="106" t="str">
        <f aca="false">IF(_PENDIENTES!$B$158&lt;&gt;"","POR RECOGER","")</f>
        <v>POR RECOGER</v>
      </c>
      <c r="L164" s="106" t="n">
        <f aca="false">IF(_PENDIENTES!$B$158&lt;&gt;"",_PENDIENTES!$K$158,"")</f>
        <v>0</v>
      </c>
      <c r="M164" s="85" t="str">
        <f aca="false">IF(_PENDIENTES!$B$158&lt;&gt;"",_PENDIENTES!$B$158,"")</f>
        <v>PEDRO RUIZ GALLO</v>
      </c>
      <c r="N164" s="109" t="str">
        <f aca="false">IF(_PENDIENTES!$B$158&lt;&gt;"",_PENDIENTES!$L$158,"")</f>
        <v>PEDRO RUIZ GALLO</v>
      </c>
      <c r="O164" s="89"/>
      <c r="P164" s="89"/>
      <c r="Q164" s="89"/>
      <c r="R164" s="89"/>
      <c r="S164" s="89"/>
    </row>
    <row r="165" customFormat="false" ht="15.75" hidden="true" customHeight="true" outlineLevel="0" collapsed="false">
      <c r="A165" s="46" t="n">
        <f aca="false">IF(_PENDIENTES!$B$159&lt;&gt;"",158,"")</f>
        <v>158</v>
      </c>
      <c r="B165" s="41" t="str">
        <f aca="false">IF(_PENDIENTES!$B$159&lt;&gt;"",_PENDIENTES!$A$159,"")</f>
        <v>FEB</v>
      </c>
      <c r="C165" s="110" t="str">
        <f aca="false">IF(_PENDIENTES!$B$159&lt;&gt;"",_PENDIENTES!$C$159,"")</f>
        <v>BARBOZA VASQUEZ SEGUNDO LEONIDAS</v>
      </c>
      <c r="D165" s="46" t="str">
        <f aca="false">IF(_PENDIENTES!$B$159&lt;&gt;"",_PENDIENTES!$D$159,"")</f>
        <v>33741567</v>
      </c>
      <c r="E165" s="112" t="str">
        <f aca="false">IF(_PENDIENTES!$B$159&lt;&gt;"",_PENDIENTES!$E$159,"")</f>
        <v>15/02/2026</v>
      </c>
      <c r="F165" s="46" t="str">
        <f aca="false">IF(_PENDIENTES!$B$159&lt;&gt;"",_PENDIENTES!$F$159,"")</f>
        <v>PETROLEO</v>
      </c>
      <c r="G165" s="44" t="n">
        <f aca="false">IF(_PENDIENTES!$B$159&lt;&gt;"",_PENDIENTES!$G$159,"")</f>
        <v>6</v>
      </c>
      <c r="H165" s="44" t="n">
        <f aca="false">IF(_PENDIENTES!$B$159&lt;&gt;"",_PENDIENTES!$H$159,"")</f>
        <v>109.08</v>
      </c>
      <c r="I165" s="113" t="str">
        <f aca="false">IF(_PENDIENTES!$B$159&lt;&gt;"",_PENDIENTES!$I$159,"")</f>
        <v>CARRERA ARAUJO JEINER</v>
      </c>
      <c r="J165" s="44" t="str">
        <f aca="false">IF(_PENDIENTES!$B$159&lt;&gt;"",_PENDIENTES!$J$159,"")</f>
        <v>EUH747</v>
      </c>
      <c r="K165" s="46" t="str">
        <f aca="false">IF(_PENDIENTES!$B$159&lt;&gt;"","POR RECOGER","")</f>
        <v>POR RECOGER</v>
      </c>
      <c r="L165" s="46" t="n">
        <f aca="false">IF(_PENDIENTES!$B$159&lt;&gt;"",_PENDIENTES!$K$159,"")</f>
        <v>0</v>
      </c>
      <c r="M165" s="85" t="str">
        <f aca="false">IF(_PENDIENTES!$B$159&lt;&gt;"",_PENDIENTES!$B$159,"")</f>
        <v>POMACOCHAS</v>
      </c>
      <c r="N165" s="109" t="str">
        <f aca="false">IF(_PENDIENTES!$B$159&lt;&gt;"",_PENDIENTES!$L$159,"")</f>
        <v>POMACOCHAS</v>
      </c>
      <c r="O165" s="89"/>
      <c r="P165" s="89"/>
      <c r="Q165" s="89"/>
      <c r="R165" s="89"/>
      <c r="S165" s="89"/>
    </row>
    <row r="166" customFormat="false" ht="15.75" hidden="true" customHeight="true" outlineLevel="0" collapsed="false">
      <c r="A166" s="106" t="n">
        <f aca="false">IF(_PENDIENTES!$B$160&lt;&gt;"",159,"")</f>
        <v>159</v>
      </c>
      <c r="B166" s="47" t="str">
        <f aca="false">IF(_PENDIENTES!$B$160&lt;&gt;"",_PENDIENTES!$A$160,"")</f>
        <v>FEB</v>
      </c>
      <c r="C166" s="107" t="str">
        <f aca="false">IF(_PENDIENTES!$B$160&lt;&gt;"",_PENDIENTES!$C$160,"")</f>
        <v>LOPEZ CORONEL RN</v>
      </c>
      <c r="D166" s="106" t="str">
        <f aca="false">IF(_PENDIENTES!$B$160&lt;&gt;"",_PENDIENTES!$D$160,"")</f>
        <v>11281148</v>
      </c>
      <c r="E166" s="111" t="str">
        <f aca="false">IF(_PENDIENTES!$B$160&lt;&gt;"",_PENDIENTES!$E$160,"")</f>
        <v>15/02/2026</v>
      </c>
      <c r="F166" s="106" t="str">
        <f aca="false">IF(_PENDIENTES!$B$160&lt;&gt;"",_PENDIENTES!$F$160,"")</f>
        <v>PETROLEO</v>
      </c>
      <c r="G166" s="50" t="n">
        <f aca="false">IF(_PENDIENTES!$B$160&lt;&gt;"",_PENDIENTES!$G$160,"")</f>
        <v>6</v>
      </c>
      <c r="H166" s="50" t="n">
        <f aca="false">IF(_PENDIENTES!$B$160&lt;&gt;"",_PENDIENTES!$H$160,"")</f>
        <v>109.08</v>
      </c>
      <c r="I166" s="108" t="str">
        <f aca="false">IF(_PENDIENTES!$B$160&lt;&gt;"",_PENDIENTES!$I$160,"")</f>
        <v>CHICANA LOPEZ MANUEL HECTOR</v>
      </c>
      <c r="J166" s="50" t="str">
        <f aca="false">IF(_PENDIENTES!$B$160&lt;&gt;"",_PENDIENTES!$J$160,"")</f>
        <v>EUH747</v>
      </c>
      <c r="K166" s="106" t="str">
        <f aca="false">IF(_PENDIENTES!$B$160&lt;&gt;"","POR RECOGER","")</f>
        <v>POR RECOGER</v>
      </c>
      <c r="L166" s="106" t="n">
        <f aca="false">IF(_PENDIENTES!$B$160&lt;&gt;"",_PENDIENTES!$K$160,"")</f>
        <v>0</v>
      </c>
      <c r="M166" s="85" t="str">
        <f aca="false">IF(_PENDIENTES!$B$160&lt;&gt;"",_PENDIENTES!$B$160,"")</f>
        <v>POMACOCHAS</v>
      </c>
      <c r="N166" s="109" t="str">
        <f aca="false">IF(_PENDIENTES!$B$160&lt;&gt;"",_PENDIENTES!$L$160,"")</f>
        <v>POMACOCHAS</v>
      </c>
      <c r="O166" s="89"/>
      <c r="P166" s="89"/>
      <c r="Q166" s="89"/>
      <c r="R166" s="89"/>
      <c r="S166" s="89"/>
    </row>
    <row r="167" customFormat="false" ht="15.75" hidden="true" customHeight="true" outlineLevel="0" collapsed="false">
      <c r="A167" s="46" t="n">
        <f aca="false">IF(_PENDIENTES!$B$161&lt;&gt;"",160,"")</f>
        <v>160</v>
      </c>
      <c r="B167" s="41" t="str">
        <f aca="false">IF(_PENDIENTES!$B$161&lt;&gt;"",_PENDIENTES!$A$161,"")</f>
        <v>FEB</v>
      </c>
      <c r="C167" s="110" t="str">
        <f aca="false">IF(_PENDIENTES!$B$161&lt;&gt;"",_PENDIENTES!$C$161,"")</f>
        <v>VARGAS DE VALQUI ANGELINA</v>
      </c>
      <c r="D167" s="46" t="str">
        <f aca="false">IF(_PENDIENTES!$B$161&lt;&gt;"",_PENDIENTES!$D$161,"")</f>
        <v>33800656</v>
      </c>
      <c r="E167" s="112" t="str">
        <f aca="false">IF(_PENDIENTES!$B$161&lt;&gt;"",_PENDIENTES!$E$161,"")</f>
        <v>16/02/2026</v>
      </c>
      <c r="F167" s="46" t="str">
        <f aca="false">IF(_PENDIENTES!$B$161&lt;&gt;"",_PENDIENTES!$F$161,"")</f>
        <v>PETROLEO</v>
      </c>
      <c r="G167" s="44" t="n">
        <f aca="false">IF(_PENDIENTES!$B$161&lt;&gt;"",_PENDIENTES!$G$161,"")</f>
        <v>4</v>
      </c>
      <c r="H167" s="44" t="n">
        <f aca="false">IF(_PENDIENTES!$B$161&lt;&gt;"",_PENDIENTES!$H$161,"")</f>
        <v>72.72</v>
      </c>
      <c r="I167" s="113" t="str">
        <f aca="false">IF(_PENDIENTES!$B$161&lt;&gt;"",_PENDIENTES!$I$161,"")</f>
        <v>RUFASTO CHUQUIZUTA JUAN KAROOL</v>
      </c>
      <c r="J167" s="44" t="str">
        <f aca="false">IF(_PENDIENTES!$B$161&lt;&gt;"",_PENDIENTES!$J$161,"")</f>
        <v>EUA963</v>
      </c>
      <c r="K167" s="46" t="str">
        <f aca="false">IF(_PENDIENTES!$B$161&lt;&gt;"","POR RECOGER","")</f>
        <v>POR RECOGER</v>
      </c>
      <c r="L167" s="46" t="n">
        <f aca="false">IF(_PENDIENTES!$B$161&lt;&gt;"",_PENDIENTES!$K$161,"")</f>
        <v>0</v>
      </c>
      <c r="M167" s="85" t="str">
        <f aca="false">IF(_PENDIENTES!$B$161&lt;&gt;"",_PENDIENTES!$B$161,"")</f>
        <v>LAMUD</v>
      </c>
      <c r="N167" s="109" t="str">
        <f aca="false">IF(_PENDIENTES!$B$161&lt;&gt;"",_PENDIENTES!$L$161,"")</f>
        <v>LAMUD</v>
      </c>
      <c r="O167" s="89"/>
      <c r="P167" s="89"/>
      <c r="Q167" s="89"/>
      <c r="R167" s="89"/>
      <c r="S167" s="89"/>
    </row>
    <row r="168" customFormat="false" ht="15.75" hidden="true" customHeight="true" outlineLevel="0" collapsed="false">
      <c r="A168" s="106" t="n">
        <f aca="false">IF(_PENDIENTES!$B$162&lt;&gt;"",161,"")</f>
        <v>161</v>
      </c>
      <c r="B168" s="47" t="str">
        <f aca="false">IF(_PENDIENTES!$B$162&lt;&gt;"",_PENDIENTES!$A$162,"")</f>
        <v>FEB</v>
      </c>
      <c r="C168" s="107" t="str">
        <f aca="false">IF(_PENDIENTES!$B$162&lt;&gt;"",_PENDIENTES!$C$162,"")</f>
        <v>SILVA RODRIGUEZ CORY</v>
      </c>
      <c r="D168" s="106" t="str">
        <f aca="false">IF(_PENDIENTES!$B$162&lt;&gt;"",_PENDIENTES!$D$162,"")</f>
        <v>44358617</v>
      </c>
      <c r="E168" s="111" t="str">
        <f aca="false">IF(_PENDIENTES!$B$162&lt;&gt;"",_PENDIENTES!$E$162,"")</f>
        <v>16/02/2026</v>
      </c>
      <c r="F168" s="106" t="str">
        <f aca="false">IF(_PENDIENTES!$B$162&lt;&gt;"",_PENDIENTES!$F$162,"")</f>
        <v>PETROLEO</v>
      </c>
      <c r="G168" s="50" t="n">
        <f aca="false">IF(_PENDIENTES!$B$162&lt;&gt;"",_PENDIENTES!$G$162,"")</f>
        <v>12</v>
      </c>
      <c r="H168" s="50" t="n">
        <f aca="false">IF(_PENDIENTES!$B$162&lt;&gt;"",_PENDIENTES!$H$162,"")</f>
        <v>218.16</v>
      </c>
      <c r="I168" s="108" t="str">
        <f aca="false">IF(_PENDIENTES!$B$162&lt;&gt;"",_PENDIENTES!$I$162,"")</f>
        <v>MACHUCA GARRIDO RIDER ALFONSO</v>
      </c>
      <c r="J168" s="50" t="str">
        <f aca="false">IF(_PENDIENTES!$B$162&lt;&gt;"",_PENDIENTES!$J$162,"")</f>
        <v>EUC 956</v>
      </c>
      <c r="K168" s="106" t="str">
        <f aca="false">IF(_PENDIENTES!$B$162&lt;&gt;"","POR RECOGER","")</f>
        <v>POR RECOGER</v>
      </c>
      <c r="L168" s="106" t="n">
        <f aca="false">IF(_PENDIENTES!$B$162&lt;&gt;"",_PENDIENTES!$K$162,"")</f>
        <v>0</v>
      </c>
      <c r="M168" s="85" t="str">
        <f aca="false">IF(_PENDIENTES!$B$162&lt;&gt;"",_PENDIENTES!$B$162,"")</f>
        <v>MARIA</v>
      </c>
      <c r="N168" s="109" t="str">
        <f aca="false">IF(_PENDIENTES!$B$162&lt;&gt;"",_PENDIENTES!$L$162,"")</f>
        <v>MARIA</v>
      </c>
      <c r="O168" s="89"/>
      <c r="P168" s="89"/>
      <c r="Q168" s="89"/>
      <c r="R168" s="89"/>
      <c r="S168" s="89"/>
    </row>
    <row r="169" customFormat="false" ht="15.75" hidden="true" customHeight="true" outlineLevel="0" collapsed="false">
      <c r="A169" s="46" t="n">
        <f aca="false">IF(_PENDIENTES!$B$163&lt;&gt;"",162,"")</f>
        <v>162</v>
      </c>
      <c r="B169" s="41" t="str">
        <f aca="false">IF(_PENDIENTES!$B$163&lt;&gt;"",_PENDIENTES!$A$163,"")</f>
        <v>FEB</v>
      </c>
      <c r="C169" s="110" t="str">
        <f aca="false">IF(_PENDIENTES!$B$163&lt;&gt;"",_PENDIENTES!$C$163,"")</f>
        <v>YNGA YARANGA FELICITA</v>
      </c>
      <c r="D169" s="46" t="str">
        <f aca="false">IF(_PENDIENTES!$B$163&lt;&gt;"",_PENDIENTES!$D$163,"")</f>
        <v>19872702</v>
      </c>
      <c r="E169" s="112" t="str">
        <f aca="false">IF(_PENDIENTES!$B$163&lt;&gt;"",_PENDIENTES!$E$163,"")</f>
        <v>16/02/2026</v>
      </c>
      <c r="F169" s="46" t="str">
        <f aca="false">IF(_PENDIENTES!$B$163&lt;&gt;"",_PENDIENTES!$F$163,"")</f>
        <v>PETROLEO</v>
      </c>
      <c r="G169" s="44" t="n">
        <f aca="false">IF(_PENDIENTES!$B$163&lt;&gt;"",_PENDIENTES!$G$163,"")</f>
        <v>7</v>
      </c>
      <c r="H169" s="44" t="n">
        <f aca="false">IF(_PENDIENTES!$B$163&lt;&gt;"",_PENDIENTES!$H$163,"")</f>
        <v>141.75</v>
      </c>
      <c r="I169" s="113" t="str">
        <f aca="false">IF(_PENDIENTES!$B$163&lt;&gt;"",_PENDIENTES!$I$163,"")</f>
        <v/>
      </c>
      <c r="J169" s="44" t="str">
        <f aca="false">IF(_PENDIENTES!$B$163&lt;&gt;"",_PENDIENTES!$J$163,"")</f>
        <v/>
      </c>
      <c r="K169" s="46" t="str">
        <f aca="false">IF(_PENDIENTES!$B$163&lt;&gt;"","POR RECOGER","")</f>
        <v>POR RECOGER</v>
      </c>
      <c r="L169" s="46" t="n">
        <f aca="false">IF(_PENDIENTES!$B$163&lt;&gt;"",_PENDIENTES!$K$163,"")</f>
        <v>0</v>
      </c>
      <c r="M169" s="85" t="str">
        <f aca="false">IF(_PENDIENTES!$B$163&lt;&gt;"",_PENDIENTES!$B$163,"")</f>
        <v>MARIA AUXILIADORA</v>
      </c>
      <c r="N169" s="109" t="str">
        <f aca="false">IF(_PENDIENTES!$B$163&lt;&gt;"",_PENDIENTES!$L$163,"")</f>
        <v>MARIA AUXILIADORA</v>
      </c>
      <c r="O169" s="89"/>
      <c r="P169" s="89"/>
      <c r="Q169" s="89"/>
      <c r="R169" s="89"/>
      <c r="S169" s="89"/>
    </row>
    <row r="170" customFormat="false" ht="15.75" hidden="true" customHeight="true" outlineLevel="0" collapsed="false">
      <c r="A170" s="106" t="n">
        <f aca="false">IF(_PENDIENTES!$B$164&lt;&gt;"",163,"")</f>
        <v>163</v>
      </c>
      <c r="B170" s="47" t="str">
        <f aca="false">IF(_PENDIENTES!$B$164&lt;&gt;"",_PENDIENTES!$A$164,"")</f>
        <v>FEB</v>
      </c>
      <c r="C170" s="107" t="str">
        <f aca="false">IF(_PENDIENTES!$B$164&lt;&gt;"",_PENDIENTES!$C$164,"")</f>
        <v>VALLE DE PILCO AMANDA</v>
      </c>
      <c r="D170" s="106" t="str">
        <f aca="false">IF(_PENDIENTES!$B$164&lt;&gt;"",_PENDIENTES!$D$164,"")</f>
        <v>33731681</v>
      </c>
      <c r="E170" s="111" t="str">
        <f aca="false">IF(_PENDIENTES!$B$164&lt;&gt;"",_PENDIENTES!$E$164,"")</f>
        <v>16/02/2026</v>
      </c>
      <c r="F170" s="106" t="str">
        <f aca="false">IF(_PENDIENTES!$B$164&lt;&gt;"",_PENDIENTES!$F$164,"")</f>
        <v>PETROLEO</v>
      </c>
      <c r="G170" s="50" t="n">
        <f aca="false">IF(_PENDIENTES!$B$164&lt;&gt;"",_PENDIENTES!$G$164,"")</f>
        <v>6</v>
      </c>
      <c r="H170" s="50" t="n">
        <f aca="false">IF(_PENDIENTES!$B$164&lt;&gt;"",_PENDIENTES!$H$164,"")</f>
        <v>109.08</v>
      </c>
      <c r="I170" s="108" t="str">
        <f aca="false">IF(_PENDIENTES!$B$164&lt;&gt;"",_PENDIENTES!$I$164,"")</f>
        <v>CHICANA LOPEZ MANUEL HECTOR</v>
      </c>
      <c r="J170" s="50" t="str">
        <f aca="false">IF(_PENDIENTES!$B$164&lt;&gt;"",_PENDIENTES!$J$164,"")</f>
        <v>EUH747</v>
      </c>
      <c r="K170" s="106" t="str">
        <f aca="false">IF(_PENDIENTES!$B$164&lt;&gt;"","POR RECOGER","")</f>
        <v>POR RECOGER</v>
      </c>
      <c r="L170" s="106" t="n">
        <f aca="false">IF(_PENDIENTES!$B$164&lt;&gt;"",_PENDIENTES!$K$164,"")</f>
        <v>0</v>
      </c>
      <c r="M170" s="85" t="str">
        <f aca="false">IF(_PENDIENTES!$B$164&lt;&gt;"",_PENDIENTES!$B$164,"")</f>
        <v>POMACOCHAS</v>
      </c>
      <c r="N170" s="109" t="str">
        <f aca="false">IF(_PENDIENTES!$B$164&lt;&gt;"",_PENDIENTES!$L$164,"")</f>
        <v>POMACOCHAS</v>
      </c>
      <c r="O170" s="89"/>
      <c r="P170" s="89"/>
      <c r="Q170" s="89"/>
      <c r="R170" s="89"/>
      <c r="S170" s="89"/>
    </row>
    <row r="171" customFormat="false" ht="15.75" hidden="true" customHeight="true" outlineLevel="0" collapsed="false">
      <c r="A171" s="46" t="n">
        <f aca="false">IF(_PENDIENTES!$B$165&lt;&gt;"",164,"")</f>
        <v>164</v>
      </c>
      <c r="B171" s="41" t="str">
        <f aca="false">IF(_PENDIENTES!$B$165&lt;&gt;"",_PENDIENTES!$A$165,"")</f>
        <v>FEB</v>
      </c>
      <c r="C171" s="110" t="str">
        <f aca="false">IF(_PENDIENTES!$B$165&lt;&gt;"",_PENDIENTES!$C$165,"")</f>
        <v>TRUJILLO LLANOS ROSALIA</v>
      </c>
      <c r="D171" s="46" t="str">
        <f aca="false">IF(_PENDIENTES!$B$165&lt;&gt;"",_PENDIENTES!$D$165,"")</f>
        <v>48280579</v>
      </c>
      <c r="E171" s="112" t="str">
        <f aca="false">IF(_PENDIENTES!$B$165&lt;&gt;"",_PENDIENTES!$E$165,"")</f>
        <v>16/02/2026</v>
      </c>
      <c r="F171" s="46" t="str">
        <f aca="false">IF(_PENDIENTES!$B$165&lt;&gt;"",_PENDIENTES!$F$165,"")</f>
        <v>PETROLEO</v>
      </c>
      <c r="G171" s="44" t="n">
        <f aca="false">IF(_PENDIENTES!$B$165&lt;&gt;"",_PENDIENTES!$G$165,"")</f>
        <v>10</v>
      </c>
      <c r="H171" s="44" t="n">
        <f aca="false">IF(_PENDIENTES!$B$165&lt;&gt;"",_PENDIENTES!$H$165,"")</f>
        <v>181.8</v>
      </c>
      <c r="I171" s="113" t="str">
        <f aca="false">IF(_PENDIENTES!$B$165&lt;&gt;"",_PENDIENTES!$I$165,"")</f>
        <v>JULCA RITUAY ROGER</v>
      </c>
      <c r="J171" s="44" t="str">
        <f aca="false">IF(_PENDIENTES!$B$165&lt;&gt;"",_PENDIENTES!$J$165,"")</f>
        <v>EUH 414</v>
      </c>
      <c r="K171" s="46" t="str">
        <f aca="false">IF(_PENDIENTES!$B$165&lt;&gt;"","POR RECOGER","")</f>
        <v>POR RECOGER</v>
      </c>
      <c r="L171" s="46" t="n">
        <f aca="false">IF(_PENDIENTES!$B$165&lt;&gt;"",_PENDIENTES!$K$165,"")</f>
        <v>0</v>
      </c>
      <c r="M171" s="85" t="str">
        <f aca="false">IF(_PENDIENTES!$B$165&lt;&gt;"",_PENDIENTES!$B$165,"")</f>
        <v>SAN SALVADOR</v>
      </c>
      <c r="N171" s="109" t="str">
        <f aca="false">IF(_PENDIENTES!$B$165&lt;&gt;"",_PENDIENTES!$L$165,"")</f>
        <v>SAN SALVADOR</v>
      </c>
      <c r="O171" s="89"/>
      <c r="P171" s="89"/>
      <c r="Q171" s="89"/>
      <c r="R171" s="89"/>
      <c r="S171" s="89"/>
    </row>
    <row r="172" customFormat="false" ht="15.75" hidden="true" customHeight="true" outlineLevel="0" collapsed="false">
      <c r="A172" s="106" t="n">
        <f aca="false">IF(_PENDIENTES!$B$166&lt;&gt;"",165,"")</f>
        <v>165</v>
      </c>
      <c r="B172" s="47" t="str">
        <f aca="false">IF(_PENDIENTES!$B$166&lt;&gt;"",_PENDIENTES!$A$166,"")</f>
        <v>FEB</v>
      </c>
      <c r="C172" s="107" t="str">
        <f aca="false">IF(_PENDIENTES!$B$166&lt;&gt;"",_PENDIENTES!$C$166,"")</f>
        <v>HERRERA MARIÑO INGRID CRISTINA</v>
      </c>
      <c r="D172" s="106" t="str">
        <f aca="false">IF(_PENDIENTES!$B$166&lt;&gt;"",_PENDIENTES!$D$166,"")</f>
        <v>77216339</v>
      </c>
      <c r="E172" s="111" t="str">
        <f aca="false">IF(_PENDIENTES!$B$166&lt;&gt;"",_PENDIENTES!$E$166,"")</f>
        <v>17/02/2026</v>
      </c>
      <c r="F172" s="106" t="str">
        <f aca="false">IF(_PENDIENTES!$B$166&lt;&gt;"",_PENDIENTES!$F$166,"")</f>
        <v>PETROLEO</v>
      </c>
      <c r="G172" s="50" t="n">
        <f aca="false">IF(_PENDIENTES!$B$166&lt;&gt;"",_PENDIENTES!$G$166,"")</f>
        <v>6</v>
      </c>
      <c r="H172" s="50" t="n">
        <f aca="false">IF(_PENDIENTES!$B$166&lt;&gt;"",_PENDIENTES!$H$166,"")</f>
        <v>109.08</v>
      </c>
      <c r="I172" s="108" t="str">
        <f aca="false">IF(_PENDIENTES!$B$166&lt;&gt;"",_PENDIENTES!$I$166,"")</f>
        <v>SANCHEZ CAJO VICENTE</v>
      </c>
      <c r="J172" s="50" t="str">
        <f aca="false">IF(_PENDIENTES!$B$166&lt;&gt;"",_PENDIENTES!$J$166,"")</f>
        <v>EGL-296</v>
      </c>
      <c r="K172" s="106" t="str">
        <f aca="false">IF(_PENDIENTES!$B$166&lt;&gt;"","POR RECOGER","")</f>
        <v>POR RECOGER</v>
      </c>
      <c r="L172" s="106" t="n">
        <f aca="false">IF(_PENDIENTES!$B$166&lt;&gt;"",_PENDIENTES!$K$166,"")</f>
        <v>0</v>
      </c>
      <c r="M172" s="85" t="str">
        <f aca="false">IF(_PENDIENTES!$B$166&lt;&gt;"",_PENDIENTES!$B$166,"")</f>
        <v>YERBABUENA</v>
      </c>
      <c r="N172" s="109" t="str">
        <f aca="false">IF(_PENDIENTES!$B$166&lt;&gt;"",_PENDIENTES!$L$166,"")</f>
        <v>YERBABUENA</v>
      </c>
      <c r="O172" s="89"/>
      <c r="P172" s="89"/>
      <c r="Q172" s="89"/>
      <c r="R172" s="89"/>
      <c r="S172" s="89"/>
    </row>
    <row r="173" customFormat="false" ht="15.75" hidden="true" customHeight="true" outlineLevel="0" collapsed="false">
      <c r="A173" s="46" t="n">
        <f aca="false">IF(_PENDIENTES!$B$167&lt;&gt;"",166,"")</f>
        <v>166</v>
      </c>
      <c r="B173" s="41" t="str">
        <f aca="false">IF(_PENDIENTES!$B$167&lt;&gt;"",_PENDIENTES!$A$167,"")</f>
        <v>FEB</v>
      </c>
      <c r="C173" s="110" t="str">
        <f aca="false">IF(_PENDIENTES!$B$167&lt;&gt;"",_PENDIENTES!$C$167,"")</f>
        <v>QUISPE CHUQUICUSMA ROXANA</v>
      </c>
      <c r="D173" s="46" t="str">
        <f aca="false">IF(_PENDIENTES!$B$167&lt;&gt;"",_PENDIENTES!$D$167,"")</f>
        <v>61811745</v>
      </c>
      <c r="E173" s="112" t="str">
        <f aca="false">IF(_PENDIENTES!$B$167&lt;&gt;"",_PENDIENTES!$E$167,"")</f>
        <v>17/02/2026</v>
      </c>
      <c r="F173" s="46" t="str">
        <f aca="false">IF(_PENDIENTES!$B$167&lt;&gt;"",_PENDIENTES!$F$167,"")</f>
        <v>PETROLEO</v>
      </c>
      <c r="G173" s="44" t="n">
        <f aca="false">IF(_PENDIENTES!$B$167&lt;&gt;"",_PENDIENTES!$G$167,"")</f>
        <v>7</v>
      </c>
      <c r="H173" s="44" t="n">
        <f aca="false">IF(_PENDIENTES!$B$167&lt;&gt;"",_PENDIENTES!$H$167,"")</f>
        <v>141.75</v>
      </c>
      <c r="I173" s="113" t="str">
        <f aca="false">IF(_PENDIENTES!$B$167&lt;&gt;"",_PENDIENTES!$I$167,"")</f>
        <v/>
      </c>
      <c r="J173" s="44" t="str">
        <f aca="false">IF(_PENDIENTES!$B$167&lt;&gt;"",_PENDIENTES!$J$167,"")</f>
        <v/>
      </c>
      <c r="K173" s="46" t="str">
        <f aca="false">IF(_PENDIENTES!$B$167&lt;&gt;"","POR RECOGER","")</f>
        <v>POR RECOGER</v>
      </c>
      <c r="L173" s="46" t="n">
        <f aca="false">IF(_PENDIENTES!$B$167&lt;&gt;"",_PENDIENTES!$K$167,"")</f>
        <v>0</v>
      </c>
      <c r="M173" s="85" t="str">
        <f aca="false">IF(_PENDIENTES!$B$167&lt;&gt;"",_PENDIENTES!$B$167,"")</f>
        <v>MARIA AUXILIADORA</v>
      </c>
      <c r="N173" s="109" t="str">
        <f aca="false">IF(_PENDIENTES!$B$167&lt;&gt;"",_PENDIENTES!$L$167,"")</f>
        <v>MARIA AUXILIADORA</v>
      </c>
      <c r="O173" s="89"/>
      <c r="P173" s="89"/>
      <c r="Q173" s="89"/>
      <c r="R173" s="89"/>
      <c r="S173" s="89"/>
    </row>
    <row r="174" customFormat="false" ht="15.75" hidden="true" customHeight="true" outlineLevel="0" collapsed="false">
      <c r="A174" s="106" t="n">
        <f aca="false">IF(_PENDIENTES!$B$168&lt;&gt;"",167,"")</f>
        <v>167</v>
      </c>
      <c r="B174" s="47" t="str">
        <f aca="false">IF(_PENDIENTES!$B$168&lt;&gt;"",_PENDIENTES!$A$168,"")</f>
        <v>FEB</v>
      </c>
      <c r="C174" s="107" t="str">
        <f aca="false">IF(_PENDIENTES!$B$168&lt;&gt;"",_PENDIENTES!$C$168,"")</f>
        <v>AVILA SANCHEZ LUIS GIANFRANCO</v>
      </c>
      <c r="D174" s="106" t="str">
        <f aca="false">IF(_PENDIENTES!$B$168&lt;&gt;"",_PENDIENTES!$D$168,"")</f>
        <v>79865822</v>
      </c>
      <c r="E174" s="111" t="str">
        <f aca="false">IF(_PENDIENTES!$B$168&lt;&gt;"",_PENDIENTES!$E$168,"")</f>
        <v>17/02/2026</v>
      </c>
      <c r="F174" s="106" t="str">
        <f aca="false">IF(_PENDIENTES!$B$168&lt;&gt;"",_PENDIENTES!$F$168,"")</f>
        <v>PETROLEO</v>
      </c>
      <c r="G174" s="50" t="n">
        <f aca="false">IF(_PENDIENTES!$B$168&lt;&gt;"",_PENDIENTES!$G$168,"")</f>
        <v>6</v>
      </c>
      <c r="H174" s="50" t="n">
        <f aca="false">IF(_PENDIENTES!$B$168&lt;&gt;"",_PENDIENTES!$H$168,"")</f>
        <v>109.08</v>
      </c>
      <c r="I174" s="108" t="str">
        <f aca="false">IF(_PENDIENTES!$B$168&lt;&gt;"",_PENDIENTES!$I$168,"")</f>
        <v>CHICANA LOPEZ MANUEL HECTOR</v>
      </c>
      <c r="J174" s="50" t="str">
        <f aca="false">IF(_PENDIENTES!$B$168&lt;&gt;"",_PENDIENTES!$J$168,"")</f>
        <v>EUH747</v>
      </c>
      <c r="K174" s="106" t="str">
        <f aca="false">IF(_PENDIENTES!$B$168&lt;&gt;"","POR RECOGER","")</f>
        <v>POR RECOGER</v>
      </c>
      <c r="L174" s="106" t="n">
        <f aca="false">IF(_PENDIENTES!$B$168&lt;&gt;"",_PENDIENTES!$K$168,"")</f>
        <v>0</v>
      </c>
      <c r="M174" s="85" t="str">
        <f aca="false">IF(_PENDIENTES!$B$168&lt;&gt;"",_PENDIENTES!$B$168,"")</f>
        <v>POMACOCHAS</v>
      </c>
      <c r="N174" s="109" t="str">
        <f aca="false">IF(_PENDIENTES!$B$168&lt;&gt;"",_PENDIENTES!$L$168,"")</f>
        <v>POMACOCHAS</v>
      </c>
      <c r="O174" s="89"/>
      <c r="P174" s="89"/>
      <c r="Q174" s="89"/>
      <c r="R174" s="89"/>
      <c r="S174" s="89"/>
    </row>
    <row r="175" customFormat="false" ht="15.75" hidden="true" customHeight="true" outlineLevel="0" collapsed="false">
      <c r="A175" s="46" t="n">
        <f aca="false">IF(_PENDIENTES!$B$169&lt;&gt;"",168,"")</f>
        <v>168</v>
      </c>
      <c r="B175" s="41" t="str">
        <f aca="false">IF(_PENDIENTES!$B$169&lt;&gt;"",_PENDIENTES!$A$169,"")</f>
        <v>FEB</v>
      </c>
      <c r="C175" s="110" t="str">
        <f aca="false">IF(_PENDIENTES!$B$169&lt;&gt;"",_PENDIENTES!$C$169,"")</f>
        <v>VILCA VALQUI AGUIDA</v>
      </c>
      <c r="D175" s="46" t="str">
        <f aca="false">IF(_PENDIENTES!$B$169&lt;&gt;"",_PENDIENTES!$D$169,"")</f>
        <v>33800782</v>
      </c>
      <c r="E175" s="112" t="str">
        <f aca="false">IF(_PENDIENTES!$B$169&lt;&gt;"",_PENDIENTES!$E$169,"")</f>
        <v>17/02/2026</v>
      </c>
      <c r="F175" s="46" t="str">
        <f aca="false">IF(_PENDIENTES!$B$169&lt;&gt;"",_PENDIENTES!$F$169,"")</f>
        <v>PETROLEO</v>
      </c>
      <c r="G175" s="44" t="n">
        <f aca="false">IF(_PENDIENTES!$B$169&lt;&gt;"",_PENDIENTES!$G$169,"")</f>
        <v>4</v>
      </c>
      <c r="H175" s="44" t="n">
        <f aca="false">IF(_PENDIENTES!$B$169&lt;&gt;"",_PENDIENTES!$H$169,"")</f>
        <v>72.72</v>
      </c>
      <c r="I175" s="113" t="str">
        <f aca="false">IF(_PENDIENTES!$B$169&lt;&gt;"",_PENDIENTES!$I$169,"")</f>
        <v>RUFASTO CHUQUIZUTA JUAN KAROOL</v>
      </c>
      <c r="J175" s="44" t="str">
        <f aca="false">IF(_PENDIENTES!$B$169&lt;&gt;"",_PENDIENTES!$J$169,"")</f>
        <v>EUA963</v>
      </c>
      <c r="K175" s="46" t="str">
        <f aca="false">IF(_PENDIENTES!$B$169&lt;&gt;"","POR RECOGER","")</f>
        <v>POR RECOGER</v>
      </c>
      <c r="L175" s="46" t="n">
        <f aca="false">IF(_PENDIENTES!$B$169&lt;&gt;"",_PENDIENTES!$K$169,"")</f>
        <v>0</v>
      </c>
      <c r="M175" s="85" t="str">
        <f aca="false">IF(_PENDIENTES!$B$169&lt;&gt;"",_PENDIENTES!$B$169,"")</f>
        <v>LAMUD</v>
      </c>
      <c r="N175" s="109" t="str">
        <f aca="false">IF(_PENDIENTES!$B$169&lt;&gt;"",_PENDIENTES!$L$169,"")</f>
        <v>LAMUD</v>
      </c>
      <c r="O175" s="89"/>
      <c r="P175" s="89"/>
      <c r="Q175" s="89"/>
      <c r="R175" s="89"/>
      <c r="S175" s="89"/>
    </row>
    <row r="176" customFormat="false" ht="15.75" hidden="true" customHeight="true" outlineLevel="0" collapsed="false">
      <c r="A176" s="106" t="n">
        <f aca="false">IF(_PENDIENTES!$B$170&lt;&gt;"",169,"")</f>
        <v>169</v>
      </c>
      <c r="B176" s="47" t="str">
        <f aca="false">IF(_PENDIENTES!$B$170&lt;&gt;"",_PENDIENTES!$A$170,"")</f>
        <v>FEB</v>
      </c>
      <c r="C176" s="107" t="str">
        <f aca="false">IF(_PENDIENTES!$B$170&lt;&gt;"",_PENDIENTES!$C$170,"")</f>
        <v>JULON CAMPOS DEISI MIRELA</v>
      </c>
      <c r="D176" s="106" t="str">
        <f aca="false">IF(_PENDIENTES!$B$170&lt;&gt;"",_PENDIENTES!$D$170,"")</f>
        <v>72458211</v>
      </c>
      <c r="E176" s="111" t="str">
        <f aca="false">IF(_PENDIENTES!$B$170&lt;&gt;"",_PENDIENTES!$E$170,"")</f>
        <v>17/02/2026</v>
      </c>
      <c r="F176" s="106" t="str">
        <f aca="false">IF(_PENDIENTES!$B$170&lt;&gt;"",_PENDIENTES!$F$170,"")</f>
        <v>PETROLEO</v>
      </c>
      <c r="G176" s="50" t="n">
        <f aca="false">IF(_PENDIENTES!$B$170&lt;&gt;"",_PENDIENTES!$G$170,"")</f>
        <v>6</v>
      </c>
      <c r="H176" s="50" t="n">
        <f aca="false">IF(_PENDIENTES!$B$170&lt;&gt;"",_PENDIENTES!$H$170,"")</f>
        <v>109.08</v>
      </c>
      <c r="I176" s="108" t="str">
        <f aca="false">IF(_PENDIENTES!$B$170&lt;&gt;"",_PENDIENTES!$I$170,"")</f>
        <v>CHICANA LOPEZ MANUEL HECTOR</v>
      </c>
      <c r="J176" s="50" t="str">
        <f aca="false">IF(_PENDIENTES!$B$170&lt;&gt;"",_PENDIENTES!$J$170,"")</f>
        <v>EUH747</v>
      </c>
      <c r="K176" s="106" t="str">
        <f aca="false">IF(_PENDIENTES!$B$170&lt;&gt;"","POR RECOGER","")</f>
        <v>POR RECOGER</v>
      </c>
      <c r="L176" s="106" t="n">
        <f aca="false">IF(_PENDIENTES!$B$170&lt;&gt;"",_PENDIENTES!$K$170,"")</f>
        <v>0</v>
      </c>
      <c r="M176" s="85" t="str">
        <f aca="false">IF(_PENDIENTES!$B$170&lt;&gt;"",_PENDIENTES!$B$170,"")</f>
        <v>POMACOCHAS</v>
      </c>
      <c r="N176" s="109" t="str">
        <f aca="false">IF(_PENDIENTES!$B$170&lt;&gt;"",_PENDIENTES!$L$170,"")</f>
        <v>POMACOCHAS</v>
      </c>
      <c r="O176" s="89"/>
      <c r="P176" s="89"/>
      <c r="Q176" s="89"/>
      <c r="R176" s="89"/>
      <c r="S176" s="89"/>
    </row>
    <row r="177" customFormat="false" ht="15.75" hidden="true" customHeight="true" outlineLevel="0" collapsed="false">
      <c r="A177" s="46" t="n">
        <f aca="false">IF(_PENDIENTES!$B$171&lt;&gt;"",170,"")</f>
        <v>170</v>
      </c>
      <c r="B177" s="41" t="str">
        <f aca="false">IF(_PENDIENTES!$B$171&lt;&gt;"",_PENDIENTES!$A$171,"")</f>
        <v>FEB</v>
      </c>
      <c r="C177" s="110" t="str">
        <f aca="false">IF(_PENDIENTES!$B$171&lt;&gt;"",_PENDIENTES!$C$171,"")</f>
        <v>VALQUI DE HUAMAN ELISA</v>
      </c>
      <c r="D177" s="46" t="str">
        <f aca="false">IF(_PENDIENTES!$B$171&lt;&gt;"",_PENDIENTES!$D$171,"")</f>
        <v>33800690</v>
      </c>
      <c r="E177" s="112" t="str">
        <f aca="false">IF(_PENDIENTES!$B$171&lt;&gt;"",_PENDIENTES!$E$171,"")</f>
        <v>18/02/2026</v>
      </c>
      <c r="F177" s="46" t="str">
        <f aca="false">IF(_PENDIENTES!$B$171&lt;&gt;"",_PENDIENTES!$F$171,"")</f>
        <v>PETROLEO</v>
      </c>
      <c r="G177" s="44" t="n">
        <f aca="false">IF(_PENDIENTES!$B$171&lt;&gt;"",_PENDIENTES!$G$171,"")</f>
        <v>4</v>
      </c>
      <c r="H177" s="44" t="n">
        <f aca="false">IF(_PENDIENTES!$B$171&lt;&gt;"",_PENDIENTES!$H$171,"")</f>
        <v>72.72</v>
      </c>
      <c r="I177" s="113" t="str">
        <f aca="false">IF(_PENDIENTES!$B$171&lt;&gt;"",_PENDIENTES!$I$171,"")</f>
        <v>RUFASTO CHUQUIZUTA JUAN KAROOL</v>
      </c>
      <c r="J177" s="44" t="str">
        <f aca="false">IF(_PENDIENTES!$B$171&lt;&gt;"",_PENDIENTES!$J$171,"")</f>
        <v>EUA963</v>
      </c>
      <c r="K177" s="46" t="str">
        <f aca="false">IF(_PENDIENTES!$B$171&lt;&gt;"","POR RECOGER","")</f>
        <v>POR RECOGER</v>
      </c>
      <c r="L177" s="46" t="n">
        <f aca="false">IF(_PENDIENTES!$B$171&lt;&gt;"",_PENDIENTES!$K$171,"")</f>
        <v>0</v>
      </c>
      <c r="M177" s="85" t="str">
        <f aca="false">IF(_PENDIENTES!$B$171&lt;&gt;"",_PENDIENTES!$B$171,"")</f>
        <v>LAMUD</v>
      </c>
      <c r="N177" s="109" t="str">
        <f aca="false">IF(_PENDIENTES!$B$171&lt;&gt;"",_PENDIENTES!$L$171,"")</f>
        <v>LAMUD</v>
      </c>
      <c r="O177" s="89"/>
      <c r="P177" s="89"/>
      <c r="Q177" s="89"/>
      <c r="R177" s="89"/>
      <c r="S177" s="89"/>
    </row>
    <row r="178" customFormat="false" ht="15.75" hidden="true" customHeight="true" outlineLevel="0" collapsed="false">
      <c r="A178" s="106" t="n">
        <f aca="false">IF(_PENDIENTES!$B$172&lt;&gt;"",171,"")</f>
        <v>171</v>
      </c>
      <c r="B178" s="47" t="str">
        <f aca="false">IF(_PENDIENTES!$B$172&lt;&gt;"",_PENDIENTES!$A$172,"")</f>
        <v>FEB</v>
      </c>
      <c r="C178" s="107" t="str">
        <f aca="false">IF(_PENDIENTES!$B$172&lt;&gt;"",_PENDIENTES!$C$172,"")</f>
        <v>SANCHEZ SILVA MARIA IVON</v>
      </c>
      <c r="D178" s="106" t="str">
        <f aca="false">IF(_PENDIENTES!$B$172&lt;&gt;"",_PENDIENTES!$D$172,"")</f>
        <v>74700539</v>
      </c>
      <c r="E178" s="111" t="str">
        <f aca="false">IF(_PENDIENTES!$B$172&lt;&gt;"",_PENDIENTES!$E$172,"")</f>
        <v>18/02/2026</v>
      </c>
      <c r="F178" s="106" t="str">
        <f aca="false">IF(_PENDIENTES!$B$172&lt;&gt;"",_PENDIENTES!$F$172,"")</f>
        <v>PETROLEO</v>
      </c>
      <c r="G178" s="50" t="n">
        <f aca="false">IF(_PENDIENTES!$B$172&lt;&gt;"",_PENDIENTES!$G$172,"")</f>
        <v>5</v>
      </c>
      <c r="H178" s="50" t="n">
        <f aca="false">IF(_PENDIENTES!$B$172&lt;&gt;"",_PENDIENTES!$H$172,"")</f>
        <v>90.9</v>
      </c>
      <c r="I178" s="108" t="str">
        <f aca="false">IF(_PENDIENTES!$B$172&lt;&gt;"",_PENDIENTES!$I$172,"")</f>
        <v>MUNOZ VERGARAY JORGE ENRRIQUE</v>
      </c>
      <c r="J178" s="50" t="str">
        <f aca="false">IF(_PENDIENTES!$B$172&lt;&gt;"",_PENDIENTES!$J$172,"")</f>
        <v>EUH 427</v>
      </c>
      <c r="K178" s="106" t="str">
        <f aca="false">IF(_PENDIENTES!$B$172&lt;&gt;"","POR RECOGER","")</f>
        <v>POR RECOGER</v>
      </c>
      <c r="L178" s="106" t="n">
        <f aca="false">IF(_PENDIENTES!$B$172&lt;&gt;"",_PENDIENTES!$K$172,"")</f>
        <v>0</v>
      </c>
      <c r="M178" s="85" t="str">
        <f aca="false">IF(_PENDIENTES!$B$172&lt;&gt;"",_PENDIENTES!$B$172,"")</f>
        <v>PEDRO RUIZ GALLO</v>
      </c>
      <c r="N178" s="109" t="str">
        <f aca="false">IF(_PENDIENTES!$B$172&lt;&gt;"",_PENDIENTES!$L$172,"")</f>
        <v>PEDRO RUIZ GALLO</v>
      </c>
      <c r="O178" s="89"/>
      <c r="P178" s="89"/>
      <c r="Q178" s="89"/>
      <c r="R178" s="89"/>
      <c r="S178" s="89"/>
    </row>
    <row r="179" customFormat="false" ht="15.75" hidden="true" customHeight="true" outlineLevel="0" collapsed="false">
      <c r="A179" s="46" t="n">
        <f aca="false">IF(_PENDIENTES!$B$173&lt;&gt;"",172,"")</f>
        <v>172</v>
      </c>
      <c r="B179" s="41" t="str">
        <f aca="false">IF(_PENDIENTES!$B$173&lt;&gt;"",_PENDIENTES!$A$173,"")</f>
        <v>FEB</v>
      </c>
      <c r="C179" s="110" t="str">
        <f aca="false">IF(_PENDIENTES!$B$173&lt;&gt;"",_PENDIENTES!$C$173,"")</f>
        <v>RODRIGUEZ FERNANDEZ MARIA ESTHER</v>
      </c>
      <c r="D179" s="46" t="str">
        <f aca="false">IF(_PENDIENTES!$B$173&lt;&gt;"",_PENDIENTES!$D$173,"")</f>
        <v>43963947</v>
      </c>
      <c r="E179" s="112" t="str">
        <f aca="false">IF(_PENDIENTES!$B$173&lt;&gt;"",_PENDIENTES!$E$173,"")</f>
        <v>18/02/2026</v>
      </c>
      <c r="F179" s="46" t="str">
        <f aca="false">IF(_PENDIENTES!$B$173&lt;&gt;"",_PENDIENTES!$F$173,"")</f>
        <v>PETROLEO</v>
      </c>
      <c r="G179" s="44" t="n">
        <f aca="false">IF(_PENDIENTES!$B$173&lt;&gt;"",_PENDIENTES!$G$173,"")</f>
        <v>6</v>
      </c>
      <c r="H179" s="44" t="n">
        <f aca="false">IF(_PENDIENTES!$B$173&lt;&gt;"",_PENDIENTES!$H$173,"")</f>
        <v>109.08</v>
      </c>
      <c r="I179" s="113" t="str">
        <f aca="false">IF(_PENDIENTES!$B$173&lt;&gt;"",_PENDIENTES!$I$173,"")</f>
        <v>CHICANA LOPEZ MANUEL HECTOR</v>
      </c>
      <c r="J179" s="44" t="str">
        <f aca="false">IF(_PENDIENTES!$B$173&lt;&gt;"",_PENDIENTES!$J$173,"")</f>
        <v>EUH747</v>
      </c>
      <c r="K179" s="46" t="str">
        <f aca="false">IF(_PENDIENTES!$B$173&lt;&gt;"","POR RECOGER","")</f>
        <v>POR RECOGER</v>
      </c>
      <c r="L179" s="46" t="n">
        <f aca="false">IF(_PENDIENTES!$B$173&lt;&gt;"",_PENDIENTES!$K$173,"")</f>
        <v>0</v>
      </c>
      <c r="M179" s="85" t="str">
        <f aca="false">IF(_PENDIENTES!$B$173&lt;&gt;"",_PENDIENTES!$B$173,"")</f>
        <v>POMACOCHAS</v>
      </c>
      <c r="N179" s="109" t="str">
        <f aca="false">IF(_PENDIENTES!$B$173&lt;&gt;"",_PENDIENTES!$L$173,"")</f>
        <v>POMACOCHAS</v>
      </c>
      <c r="O179" s="89"/>
      <c r="P179" s="89"/>
      <c r="Q179" s="89"/>
      <c r="R179" s="89"/>
      <c r="S179" s="89"/>
    </row>
    <row r="180" customFormat="false" ht="15.75" hidden="true" customHeight="true" outlineLevel="0" collapsed="false">
      <c r="A180" s="106" t="n">
        <f aca="false">IF(_PENDIENTES!$B$174&lt;&gt;"",173,"")</f>
        <v>173</v>
      </c>
      <c r="B180" s="47" t="str">
        <f aca="false">IF(_PENDIENTES!$B$174&lt;&gt;"",_PENDIENTES!$A$174,"")</f>
        <v>FEB</v>
      </c>
      <c r="C180" s="107" t="str">
        <f aca="false">IF(_PENDIENTES!$B$174&lt;&gt;"",_PENDIENTES!$C$174,"")</f>
        <v>RODRIGUEZ FERNANDEZ MARIA ESTHER</v>
      </c>
      <c r="D180" s="106" t="str">
        <f aca="false">IF(_PENDIENTES!$B$174&lt;&gt;"",_PENDIENTES!$D$174,"")</f>
        <v>43963947</v>
      </c>
      <c r="E180" s="111" t="str">
        <f aca="false">IF(_PENDIENTES!$B$174&lt;&gt;"",_PENDIENTES!$E$174,"")</f>
        <v>18/02/2026</v>
      </c>
      <c r="F180" s="106" t="str">
        <f aca="false">IF(_PENDIENTES!$B$174&lt;&gt;"",_PENDIENTES!$F$174,"")</f>
        <v>GASOLINA</v>
      </c>
      <c r="G180" s="50" t="n">
        <f aca="false">IF(_PENDIENTES!$B$174&lt;&gt;"",_PENDIENTES!$G$174,"")</f>
        <v>5</v>
      </c>
      <c r="H180" s="50" t="n">
        <f aca="false">IF(_PENDIENTES!$B$174&lt;&gt;"",_PENDIENTES!$H$174,"")</f>
        <v>89.75</v>
      </c>
      <c r="I180" s="108" t="str">
        <f aca="false">IF(_PENDIENTES!$B$174&lt;&gt;"",_PENDIENTES!$I$174,"")</f>
        <v>RONAL SAUCEDO GUEVARA</v>
      </c>
      <c r="J180" s="50" t="str">
        <f aca="false">IF(_PENDIENTES!$B$174&lt;&gt;"",_PENDIENTES!$J$174,"")</f>
        <v>EUB-067</v>
      </c>
      <c r="K180" s="106" t="str">
        <f aca="false">IF(_PENDIENTES!$B$174&lt;&gt;"","POR RECOGER","")</f>
        <v>POR RECOGER</v>
      </c>
      <c r="L180" s="106" t="n">
        <f aca="false">IF(_PENDIENTES!$B$174&lt;&gt;"",_PENDIENTES!$K$174,"")</f>
        <v>0</v>
      </c>
      <c r="M180" s="85" t="str">
        <f aca="false">IF(_PENDIENTES!$B$174&lt;&gt;"",_PENDIENTES!$B$174,"")</f>
        <v>BUENOS AIRES</v>
      </c>
      <c r="N180" s="109" t="str">
        <f aca="false">IF(_PENDIENTES!$B$174&lt;&gt;"",_PENDIENTES!$L$174,"")</f>
        <v>BUENOS AIRES</v>
      </c>
      <c r="O180" s="89"/>
      <c r="P180" s="89"/>
      <c r="Q180" s="89"/>
      <c r="R180" s="89"/>
      <c r="S180" s="89"/>
    </row>
    <row r="181" customFormat="false" ht="15.75" hidden="true" customHeight="true" outlineLevel="0" collapsed="false">
      <c r="A181" s="46" t="n">
        <f aca="false">IF(_PENDIENTES!$B$175&lt;&gt;"",174,"")</f>
        <v>174</v>
      </c>
      <c r="B181" s="41" t="str">
        <f aca="false">IF(_PENDIENTES!$B$175&lt;&gt;"",_PENDIENTES!$A$175,"")</f>
        <v>FEB</v>
      </c>
      <c r="C181" s="110" t="str">
        <f aca="false">IF(_PENDIENTES!$B$175&lt;&gt;"",_PENDIENTES!$C$175,"")</f>
        <v>LOPEZ PORTOCARRERO LEOVIGILDO</v>
      </c>
      <c r="D181" s="46" t="str">
        <f aca="false">IF(_PENDIENTES!$B$175&lt;&gt;"",_PENDIENTES!$D$175,"")</f>
        <v>33944247</v>
      </c>
      <c r="E181" s="112" t="str">
        <f aca="false">IF(_PENDIENTES!$B$175&lt;&gt;"",_PENDIENTES!$E$175,"")</f>
        <v>19/02/2026</v>
      </c>
      <c r="F181" s="46" t="str">
        <f aca="false">IF(_PENDIENTES!$B$175&lt;&gt;"",_PENDIENTES!$F$175,"")</f>
        <v>PETROLEO</v>
      </c>
      <c r="G181" s="44" t="n">
        <f aca="false">IF(_PENDIENTES!$B$175&lt;&gt;"",_PENDIENTES!$G$175,"")</f>
        <v>7</v>
      </c>
      <c r="H181" s="44" t="n">
        <f aca="false">IF(_PENDIENTES!$B$175&lt;&gt;"",_PENDIENTES!$H$175,"")</f>
        <v>141.75</v>
      </c>
      <c r="I181" s="113" t="str">
        <f aca="false">IF(_PENDIENTES!$B$175&lt;&gt;"",_PENDIENTES!$I$175,"")</f>
        <v>TRIGOSO TAFUR JOSE GILBER</v>
      </c>
      <c r="J181" s="44" t="str">
        <f aca="false">IF(_PENDIENTES!$B$175&lt;&gt;"",_PENDIENTES!$J$175,"")</f>
        <v>EUH 421</v>
      </c>
      <c r="K181" s="46" t="str">
        <f aca="false">IF(_PENDIENTES!$B$175&lt;&gt;"","POR RECOGER","")</f>
        <v>POR RECOGER</v>
      </c>
      <c r="L181" s="46" t="n">
        <f aca="false">IF(_PENDIENTES!$B$175&lt;&gt;"",_PENDIENTES!$K$175,"")</f>
        <v>0</v>
      </c>
      <c r="M181" s="85" t="str">
        <f aca="false">IF(_PENDIENTES!$B$175&lt;&gt;"",_PENDIENTES!$B$175,"")</f>
        <v>MARIA AUXILIADORA</v>
      </c>
      <c r="N181" s="109" t="str">
        <f aca="false">IF(_PENDIENTES!$B$175&lt;&gt;"",_PENDIENTES!$L$175,"")</f>
        <v>MARIA AUXILIADORA</v>
      </c>
      <c r="O181" s="89"/>
      <c r="P181" s="89"/>
      <c r="Q181" s="89"/>
      <c r="R181" s="89"/>
      <c r="S181" s="89"/>
    </row>
    <row r="182" customFormat="false" ht="15.75" hidden="true" customHeight="true" outlineLevel="0" collapsed="false">
      <c r="A182" s="106" t="n">
        <f aca="false">IF(_PENDIENTES!$B$176&lt;&gt;"",175,"")</f>
        <v>175</v>
      </c>
      <c r="B182" s="47" t="str">
        <f aca="false">IF(_PENDIENTES!$B$176&lt;&gt;"",_PENDIENTES!$A$176,"")</f>
        <v>FEB</v>
      </c>
      <c r="C182" s="107" t="str">
        <f aca="false">IF(_PENDIENTES!$B$176&lt;&gt;"",_PENDIENTES!$C$176,"")</f>
        <v>TAFUR LOPEZ JOSE GIL</v>
      </c>
      <c r="D182" s="106" t="str">
        <f aca="false">IF(_PENDIENTES!$B$176&lt;&gt;"",_PENDIENTES!$D$176,"")</f>
        <v>33945002</v>
      </c>
      <c r="E182" s="111" t="str">
        <f aca="false">IF(_PENDIENTES!$B$176&lt;&gt;"",_PENDIENTES!$E$176,"")</f>
        <v>19/02/2026</v>
      </c>
      <c r="F182" s="106" t="str">
        <f aca="false">IF(_PENDIENTES!$B$176&lt;&gt;"",_PENDIENTES!$F$176,"")</f>
        <v>PETROLEO</v>
      </c>
      <c r="G182" s="50" t="n">
        <f aca="false">IF(_PENDIENTES!$B$176&lt;&gt;"",_PENDIENTES!$G$176,"")</f>
        <v>3</v>
      </c>
      <c r="H182" s="50" t="n">
        <f aca="false">IF(_PENDIENTES!$B$176&lt;&gt;"",_PENDIENTES!$H$176,"")</f>
        <v>60.75</v>
      </c>
      <c r="I182" s="108" t="str">
        <f aca="false">IF(_PENDIENTES!$B$176&lt;&gt;"",_PENDIENTES!$I$176,"")</f>
        <v>LOPEZ HOYOS MIGUEL ANGEL</v>
      </c>
      <c r="J182" s="50" t="str">
        <f aca="false">IF(_PENDIENTES!$B$176&lt;&gt;"",_PENDIENTES!$J$176,"")</f>
        <v>EUH-698</v>
      </c>
      <c r="K182" s="106" t="str">
        <f aca="false">IF(_PENDIENTES!$B$176&lt;&gt;"","POR RECOGER","")</f>
        <v>POR RECOGER</v>
      </c>
      <c r="L182" s="106" t="n">
        <f aca="false">IF(_PENDIENTES!$B$176&lt;&gt;"",_PENDIENTES!$K$176,"")</f>
        <v>0</v>
      </c>
      <c r="M182" s="85" t="str">
        <f aca="false">IF(_PENDIENTES!$B$176&lt;&gt;"",_PENDIENTES!$B$176,"")</f>
        <v>HUAMBO</v>
      </c>
      <c r="N182" s="109" t="str">
        <f aca="false">IF(_PENDIENTES!$B$176&lt;&gt;"",_PENDIENTES!$L$176,"")</f>
        <v>HUAMBO</v>
      </c>
      <c r="O182" s="89"/>
      <c r="P182" s="89"/>
      <c r="Q182" s="89"/>
      <c r="R182" s="89"/>
      <c r="S182" s="89"/>
    </row>
    <row r="183" customFormat="false" ht="15.75" hidden="true" customHeight="true" outlineLevel="0" collapsed="false">
      <c r="A183" s="46" t="n">
        <f aca="false">IF(_PENDIENTES!$B$177&lt;&gt;"",176,"")</f>
        <v>176</v>
      </c>
      <c r="B183" s="41" t="str">
        <f aca="false">IF(_PENDIENTES!$B$177&lt;&gt;"",_PENDIENTES!$A$177,"")</f>
        <v>FEB</v>
      </c>
      <c r="C183" s="110" t="str">
        <f aca="false">IF(_PENDIENTES!$B$177&lt;&gt;"",_PENDIENTES!$C$177,"")</f>
        <v>JULCA BARRERA LILIANA</v>
      </c>
      <c r="D183" s="46" t="str">
        <f aca="false">IF(_PENDIENTES!$B$177&lt;&gt;"",_PENDIENTES!$D$177,"")</f>
        <v>47467877</v>
      </c>
      <c r="E183" s="112" t="str">
        <f aca="false">IF(_PENDIENTES!$B$177&lt;&gt;"",_PENDIENTES!$E$177,"")</f>
        <v>19/02/2026</v>
      </c>
      <c r="F183" s="46" t="str">
        <f aca="false">IF(_PENDIENTES!$B$177&lt;&gt;"",_PENDIENTES!$F$177,"")</f>
        <v>GASOLINA</v>
      </c>
      <c r="G183" s="44" t="n">
        <f aca="false">IF(_PENDIENTES!$B$177&lt;&gt;"",_PENDIENTES!$G$177,"")</f>
        <v>26</v>
      </c>
      <c r="H183" s="44" t="n">
        <f aca="false">IF(_PENDIENTES!$B$177&lt;&gt;"",_PENDIENTES!$H$177,"")</f>
        <v>466.7</v>
      </c>
      <c r="I183" s="113" t="str">
        <f aca="false">IF(_PENDIENTES!$B$177&lt;&gt;"",_PENDIENTES!$I$177,"")</f>
        <v/>
      </c>
      <c r="J183" s="44" t="str">
        <f aca="false">IF(_PENDIENTES!$B$177&lt;&gt;"",_PENDIENTES!$J$177,"")</f>
        <v/>
      </c>
      <c r="K183" s="46" t="str">
        <f aca="false">IF(_PENDIENTES!$B$177&lt;&gt;"","POR RECOGER","")</f>
        <v>POR RECOGER</v>
      </c>
      <c r="L183" s="46" t="n">
        <f aca="false">IF(_PENDIENTES!$B$177&lt;&gt;"",_PENDIENTES!$K$177,"")</f>
        <v>0</v>
      </c>
      <c r="M183" s="85" t="str">
        <f aca="false">IF(_PENDIENTES!$B$177&lt;&gt;"",_PENDIENTES!$B$177,"")</f>
        <v>COCABAMBA</v>
      </c>
      <c r="N183" s="109" t="str">
        <f aca="false">IF(_PENDIENTES!$B$177&lt;&gt;"",_PENDIENTES!$L$177,"")</f>
        <v>COCABAMBA</v>
      </c>
      <c r="O183" s="89"/>
      <c r="P183" s="89"/>
      <c r="Q183" s="89"/>
      <c r="R183" s="89"/>
      <c r="S183" s="89"/>
    </row>
    <row r="184" customFormat="false" ht="15.75" hidden="true" customHeight="true" outlineLevel="0" collapsed="false">
      <c r="A184" s="106" t="n">
        <f aca="false">IF(_PENDIENTES!$B$178&lt;&gt;"",177,"")</f>
        <v>177</v>
      </c>
      <c r="B184" s="47" t="str">
        <f aca="false">IF(_PENDIENTES!$B$178&lt;&gt;"",_PENDIENTES!$A$178,"")</f>
        <v>FEB</v>
      </c>
      <c r="C184" s="107" t="str">
        <f aca="false">IF(_PENDIENTES!$B$178&lt;&gt;"",_PENDIENTES!$C$178,"")</f>
        <v>CAMPOVERDE RIVERA TEMISTO</v>
      </c>
      <c r="D184" s="106" t="str">
        <f aca="false">IF(_PENDIENTES!$B$178&lt;&gt;"",_PENDIENTES!$D$178,"")</f>
        <v>23170863</v>
      </c>
      <c r="E184" s="111" t="str">
        <f aca="false">IF(_PENDIENTES!$B$178&lt;&gt;"",_PENDIENTES!$E$178,"")</f>
        <v>20/02/2026</v>
      </c>
      <c r="F184" s="106" t="str">
        <f aca="false">IF(_PENDIENTES!$B$178&lt;&gt;"",_PENDIENTES!$F$178,"")</f>
        <v>PETROLEO</v>
      </c>
      <c r="G184" s="50" t="n">
        <f aca="false">IF(_PENDIENTES!$B$178&lt;&gt;"",_PENDIENTES!$G$178,"")</f>
        <v>7</v>
      </c>
      <c r="H184" s="50" t="n">
        <f aca="false">IF(_PENDIENTES!$B$178&lt;&gt;"",_PENDIENTES!$H$178,"")</f>
        <v>141.75</v>
      </c>
      <c r="I184" s="108" t="str">
        <f aca="false">IF(_PENDIENTES!$B$178&lt;&gt;"",_PENDIENTES!$I$178,"")</f>
        <v/>
      </c>
      <c r="J184" s="50" t="str">
        <f aca="false">IF(_PENDIENTES!$B$178&lt;&gt;"",_PENDIENTES!$J$178,"")</f>
        <v/>
      </c>
      <c r="K184" s="106" t="str">
        <f aca="false">IF(_PENDIENTES!$B$178&lt;&gt;"","POR RECOGER","")</f>
        <v>POR RECOGER</v>
      </c>
      <c r="L184" s="106" t="n">
        <f aca="false">IF(_PENDIENTES!$B$178&lt;&gt;"",_PENDIENTES!$K$178,"")</f>
        <v>0</v>
      </c>
      <c r="M184" s="85" t="str">
        <f aca="false">IF(_PENDIENTES!$B$178&lt;&gt;"",_PENDIENTES!$B$178,"")</f>
        <v>MARIA AUXILIADORA</v>
      </c>
      <c r="N184" s="109" t="str">
        <f aca="false">IF(_PENDIENTES!$B$178&lt;&gt;"",_PENDIENTES!$L$178,"")</f>
        <v>MARIA AUXILIADORA</v>
      </c>
      <c r="O184" s="89"/>
      <c r="P184" s="89"/>
      <c r="Q184" s="89"/>
      <c r="R184" s="89"/>
      <c r="S184" s="89"/>
    </row>
    <row r="185" customFormat="false" ht="15.75" hidden="true" customHeight="true" outlineLevel="0" collapsed="false">
      <c r="A185" s="46" t="n">
        <f aca="false">IF(_PENDIENTES!$B$179&lt;&gt;"",178,"")</f>
        <v>178</v>
      </c>
      <c r="B185" s="41" t="str">
        <f aca="false">IF(_PENDIENTES!$B$179&lt;&gt;"",_PENDIENTES!$A$179,"")</f>
        <v>FEB</v>
      </c>
      <c r="C185" s="110" t="str">
        <f aca="false">IF(_PENDIENTES!$B$179&lt;&gt;"",_PENDIENTES!$C$179,"")</f>
        <v>PORTOCARRERO PORTOCARRERO MARIA CRUZ</v>
      </c>
      <c r="D185" s="46" t="str">
        <f aca="false">IF(_PENDIENTES!$B$179&lt;&gt;"",_PENDIENTES!$D$179,"")</f>
        <v>46109691</v>
      </c>
      <c r="E185" s="112" t="str">
        <f aca="false">IF(_PENDIENTES!$B$179&lt;&gt;"",_PENDIENTES!$E$179,"")</f>
        <v>20/02/2026</v>
      </c>
      <c r="F185" s="46" t="str">
        <f aca="false">IF(_PENDIENTES!$B$179&lt;&gt;"",_PENDIENTES!$F$179,"")</f>
        <v>PETROLEO</v>
      </c>
      <c r="G185" s="44" t="n">
        <f aca="false">IF(_PENDIENTES!$B$179&lt;&gt;"",_PENDIENTES!$G$179,"")</f>
        <v>3</v>
      </c>
      <c r="H185" s="44" t="n">
        <f aca="false">IF(_PENDIENTES!$B$179&lt;&gt;"",_PENDIENTES!$H$179,"")</f>
        <v>60.75</v>
      </c>
      <c r="I185" s="113" t="str">
        <f aca="false">IF(_PENDIENTES!$B$179&lt;&gt;"",_PENDIENTES!$I$179,"")</f>
        <v>LOPEZ HOYOS MIGUEL ANGEL</v>
      </c>
      <c r="J185" s="44" t="str">
        <f aca="false">IF(_PENDIENTES!$B$179&lt;&gt;"",_PENDIENTES!$J$179,"")</f>
        <v>EUH-698</v>
      </c>
      <c r="K185" s="46" t="str">
        <f aca="false">IF(_PENDIENTES!$B$179&lt;&gt;"","POR RECOGER","")</f>
        <v>POR RECOGER</v>
      </c>
      <c r="L185" s="46" t="n">
        <f aca="false">IF(_PENDIENTES!$B$179&lt;&gt;"",_PENDIENTES!$K$179,"")</f>
        <v>0</v>
      </c>
      <c r="M185" s="85" t="str">
        <f aca="false">IF(_PENDIENTES!$B$179&lt;&gt;"",_PENDIENTES!$B$179,"")</f>
        <v>HUAMBO</v>
      </c>
      <c r="N185" s="109" t="str">
        <f aca="false">IF(_PENDIENTES!$B$179&lt;&gt;"",_PENDIENTES!$L$179,"")</f>
        <v>HUAMBO</v>
      </c>
      <c r="O185" s="89"/>
      <c r="P185" s="89"/>
      <c r="Q185" s="89"/>
      <c r="R185" s="89"/>
      <c r="S185" s="89"/>
    </row>
    <row r="186" customFormat="false" ht="15.75" hidden="false" customHeight="true" outlineLevel="0" collapsed="false">
      <c r="A186" s="106" t="n">
        <f aca="false">IF(_PENDIENTES!$B$180&lt;&gt;"",179,"")</f>
        <v>179</v>
      </c>
      <c r="B186" s="47" t="str">
        <f aca="false">IF(_PENDIENTES!$B$180&lt;&gt;"",_PENDIENTES!$A$180,"")</f>
        <v>FEB</v>
      </c>
      <c r="C186" s="107" t="str">
        <f aca="false">IF(_PENDIENTES!$B$180&lt;&gt;"",_PENDIENTES!$C$180,"")</f>
        <v>HERRERA IBERICO THALIA</v>
      </c>
      <c r="D186" s="106" t="str">
        <f aca="false">IF(_PENDIENTES!$B$180&lt;&gt;"",_PENDIENTES!$D$180,"")</f>
        <v>72304779</v>
      </c>
      <c r="E186" s="111" t="str">
        <f aca="false">IF(_PENDIENTES!$B$180&lt;&gt;"",_PENDIENTES!$E$180,"")</f>
        <v>20/02/2026</v>
      </c>
      <c r="F186" s="106" t="str">
        <f aca="false">IF(_PENDIENTES!$B$180&lt;&gt;"",_PENDIENTES!$F$180,"")</f>
        <v>PETROLEO</v>
      </c>
      <c r="G186" s="50" t="n">
        <f aca="false">IF(_PENDIENTES!$B$180&lt;&gt;"",_PENDIENTES!$G$180,"")</f>
        <v>10</v>
      </c>
      <c r="H186" s="50" t="n">
        <f aca="false">IF(_PENDIENTES!$B$180&lt;&gt;"",_PENDIENTES!$H$180,"")</f>
        <v>202.5</v>
      </c>
      <c r="I186" s="108" t="str">
        <f aca="false">IF(_PENDIENTES!$B$180&lt;&gt;"",_PENDIENTES!$I$180,"")</f>
        <v>LOPEZ VARGAS HUBER</v>
      </c>
      <c r="J186" s="50" t="str">
        <f aca="false">IF(_PENDIENTES!$B$180&lt;&gt;"",_PENDIENTES!$J$180,"")</f>
        <v>EUH 634</v>
      </c>
      <c r="K186" s="106" t="str">
        <f aca="false">IF(_PENDIENTES!$B$180&lt;&gt;"","POR RECOGER","")</f>
        <v>POR RECOGER</v>
      </c>
      <c r="L186" s="106" t="str">
        <f aca="false">IF(_PENDIENTES!$B$180&lt;&gt;"",_PENDIENTES!$K$180,"")</f>
        <v>OMIA</v>
      </c>
      <c r="M186" s="85" t="str">
        <f aca="false">IF(_PENDIENTES!$B$180&lt;&gt;"",_PENDIENTES!$B$180,"")</f>
        <v>OMIA</v>
      </c>
      <c r="N186" s="109" t="str">
        <f aca="false">IF(_PENDIENTES!$B$180&lt;&gt;"",_PENDIENTES!$L$180,"")</f>
        <v>MARIA AUXILIADORA</v>
      </c>
      <c r="O186" s="89"/>
      <c r="P186" s="89"/>
      <c r="Q186" s="89"/>
      <c r="R186" s="89"/>
      <c r="S186" s="89"/>
    </row>
    <row r="187" customFormat="false" ht="15.75" hidden="true" customHeight="true" outlineLevel="0" collapsed="false">
      <c r="A187" s="46" t="n">
        <f aca="false">IF(_PENDIENTES!$B$181&lt;&gt;"",180,"")</f>
        <v>180</v>
      </c>
      <c r="B187" s="41" t="str">
        <f aca="false">IF(_PENDIENTES!$B$181&lt;&gt;"",_PENDIENTES!$A$181,"")</f>
        <v>FEB</v>
      </c>
      <c r="C187" s="110" t="str">
        <f aca="false">IF(_PENDIENTES!$B$181&lt;&gt;"",_PENDIENTES!$C$181,"")</f>
        <v>MARIÑAS FERNENDEZ MARITSA</v>
      </c>
      <c r="D187" s="46" t="str">
        <f aca="false">IF(_PENDIENTES!$B$181&lt;&gt;"",_PENDIENTES!$D$181,"")</f>
        <v>47444684</v>
      </c>
      <c r="E187" s="112" t="str">
        <f aca="false">IF(_PENDIENTES!$B$181&lt;&gt;"",_PENDIENTES!$E$181,"")</f>
        <v>21/02/2026</v>
      </c>
      <c r="F187" s="46" t="str">
        <f aca="false">IF(_PENDIENTES!$B$181&lt;&gt;"",_PENDIENTES!$F$181,"")</f>
        <v>PETROLEO</v>
      </c>
      <c r="G187" s="44" t="n">
        <f aca="false">IF(_PENDIENTES!$B$181&lt;&gt;"",_PENDIENTES!$G$181,"")</f>
        <v>6</v>
      </c>
      <c r="H187" s="44" t="n">
        <f aca="false">IF(_PENDIENTES!$B$181&lt;&gt;"",_PENDIENTES!$H$181,"")</f>
        <v>109.08</v>
      </c>
      <c r="I187" s="113" t="str">
        <f aca="false">IF(_PENDIENTES!$B$181&lt;&gt;"",_PENDIENTES!$I$181,"")</f>
        <v>SANCHEZ CAJO VICENTE</v>
      </c>
      <c r="J187" s="44" t="str">
        <f aca="false">IF(_PENDIENTES!$B$181&lt;&gt;"",_PENDIENTES!$J$181,"")</f>
        <v>EGL-296</v>
      </c>
      <c r="K187" s="46" t="str">
        <f aca="false">IF(_PENDIENTES!$B$181&lt;&gt;"","POR RECOGER","")</f>
        <v>POR RECOGER</v>
      </c>
      <c r="L187" s="46" t="n">
        <f aca="false">IF(_PENDIENTES!$B$181&lt;&gt;"",_PENDIENTES!$K$181,"")</f>
        <v>0</v>
      </c>
      <c r="M187" s="85" t="str">
        <f aca="false">IF(_PENDIENTES!$B$181&lt;&gt;"",_PENDIENTES!$B$181,"")</f>
        <v>YERBABUENA</v>
      </c>
      <c r="N187" s="109" t="str">
        <f aca="false">IF(_PENDIENTES!$B$181&lt;&gt;"",_PENDIENTES!$L$181,"")</f>
        <v>YERBABUENA</v>
      </c>
      <c r="O187" s="89"/>
      <c r="P187" s="89"/>
      <c r="Q187" s="89"/>
      <c r="R187" s="89"/>
      <c r="S187" s="89"/>
    </row>
    <row r="188" customFormat="false" ht="15.75" hidden="true" customHeight="true" outlineLevel="0" collapsed="false">
      <c r="A188" s="106" t="n">
        <f aca="false">IF(_PENDIENTES!$B$182&lt;&gt;"",181,"")</f>
        <v>181</v>
      </c>
      <c r="B188" s="47" t="str">
        <f aca="false">IF(_PENDIENTES!$B$182&lt;&gt;"",_PENDIENTES!$A$182,"")</f>
        <v>FEB</v>
      </c>
      <c r="C188" s="107" t="str">
        <f aca="false">IF(_PENDIENTES!$B$182&lt;&gt;"",_PENDIENTES!$C$182,"")</f>
        <v>LOPEZ SANTILLAN AYSEL AMARA</v>
      </c>
      <c r="D188" s="106" t="str">
        <f aca="false">IF(_PENDIENTES!$B$182&lt;&gt;"",_PENDIENTES!$D$182,"")</f>
        <v>94185790</v>
      </c>
      <c r="E188" s="111" t="str">
        <f aca="false">IF(_PENDIENTES!$B$182&lt;&gt;"",_PENDIENTES!$E$182,"")</f>
        <v>21/02/2026</v>
      </c>
      <c r="F188" s="106" t="str">
        <f aca="false">IF(_PENDIENTES!$B$182&lt;&gt;"",_PENDIENTES!$F$182,"")</f>
        <v>PETROLEO</v>
      </c>
      <c r="G188" s="50" t="n">
        <f aca="false">IF(_PENDIENTES!$B$182&lt;&gt;"",_PENDIENTES!$G$182,"")</f>
        <v>7</v>
      </c>
      <c r="H188" s="50" t="n">
        <f aca="false">IF(_PENDIENTES!$B$182&lt;&gt;"",_PENDIENTES!$H$182,"")</f>
        <v>141.75</v>
      </c>
      <c r="I188" s="108" t="str">
        <f aca="false">IF(_PENDIENTES!$B$182&lt;&gt;"",_PENDIENTES!$I$182,"")</f>
        <v>PORTOCARRERO PELAEZ MIGUEL ANTONIO</v>
      </c>
      <c r="J188" s="50" t="str">
        <f aca="false">IF(_PENDIENTES!$B$182&lt;&gt;"",_PENDIENTES!$J$182,"")</f>
        <v>EUH-421</v>
      </c>
      <c r="K188" s="106" t="str">
        <f aca="false">IF(_PENDIENTES!$B$182&lt;&gt;"","POR RECOGER","")</f>
        <v>POR RECOGER</v>
      </c>
      <c r="L188" s="106" t="n">
        <f aca="false">IF(_PENDIENTES!$B$182&lt;&gt;"",_PENDIENTES!$K$182,"")</f>
        <v>0</v>
      </c>
      <c r="M188" s="85" t="str">
        <f aca="false">IF(_PENDIENTES!$B$182&lt;&gt;"",_PENDIENTES!$B$182,"")</f>
        <v>MARIA AUXILIADORA</v>
      </c>
      <c r="N188" s="109" t="str">
        <f aca="false">IF(_PENDIENTES!$B$182&lt;&gt;"",_PENDIENTES!$L$182,"")</f>
        <v>MARIA AUXILIADORA</v>
      </c>
      <c r="O188" s="89"/>
      <c r="P188" s="89"/>
      <c r="Q188" s="89"/>
      <c r="R188" s="89"/>
      <c r="S188" s="89"/>
    </row>
    <row r="189" customFormat="false" ht="15.75" hidden="true" customHeight="true" outlineLevel="0" collapsed="false">
      <c r="A189" s="46" t="n">
        <f aca="false">IF(_PENDIENTES!$B$183&lt;&gt;"",182,"")</f>
        <v>182</v>
      </c>
      <c r="B189" s="41" t="str">
        <f aca="false">IF(_PENDIENTES!$B$183&lt;&gt;"",_PENDIENTES!$A$183,"")</f>
        <v>FEB</v>
      </c>
      <c r="C189" s="110" t="str">
        <f aca="false">IF(_PENDIENTES!$B$183&lt;&gt;"",_PENDIENTES!$C$183,"")</f>
        <v>PEREZ AGUILAR WILSON</v>
      </c>
      <c r="D189" s="46" t="str">
        <f aca="false">IF(_PENDIENTES!$B$183&lt;&gt;"",_PENDIENTES!$D$183,"")</f>
        <v>33783927</v>
      </c>
      <c r="E189" s="112" t="str">
        <f aca="false">IF(_PENDIENTES!$B$183&lt;&gt;"",_PENDIENTES!$E$183,"")</f>
        <v>21/02/2026</v>
      </c>
      <c r="F189" s="46" t="str">
        <f aca="false">IF(_PENDIENTES!$B$183&lt;&gt;"",_PENDIENTES!$F$183,"")</f>
        <v>GASOLINA</v>
      </c>
      <c r="G189" s="44" t="n">
        <f aca="false">IF(_PENDIENTES!$B$183&lt;&gt;"",_PENDIENTES!$G$183,"")</f>
        <v>6</v>
      </c>
      <c r="H189" s="44" t="n">
        <f aca="false">IF(_PENDIENTES!$B$183&lt;&gt;"",_PENDIENTES!$H$183,"")</f>
        <v>107.7</v>
      </c>
      <c r="I189" s="113" t="str">
        <f aca="false">IF(_PENDIENTES!$B$183&lt;&gt;"",_PENDIENTES!$I$183,"")</f>
        <v>MONTENEGRO RUIZ LUIS MIGUEL</v>
      </c>
      <c r="J189" s="44" t="str">
        <f aca="false">IF(_PENDIENTES!$B$183&lt;&gt;"",_PENDIENTES!$J$183,"")</f>
        <v>EUH-427</v>
      </c>
      <c r="K189" s="46" t="str">
        <f aca="false">IF(_PENDIENTES!$B$183&lt;&gt;"","POR RECOGER","")</f>
        <v>POR RECOGER</v>
      </c>
      <c r="L189" s="46" t="n">
        <f aca="false">IF(_PENDIENTES!$B$183&lt;&gt;"",_PENDIENTES!$K$183,"")</f>
        <v>0</v>
      </c>
      <c r="M189" s="85" t="str">
        <f aca="false">IF(_PENDIENTES!$B$183&lt;&gt;"",_PENDIENTES!$B$183,"")</f>
        <v>PEDRO RUIZ GALLO</v>
      </c>
      <c r="N189" s="109" t="str">
        <f aca="false">IF(_PENDIENTES!$B$183&lt;&gt;"",_PENDIENTES!$L$183,"")</f>
        <v>PEDRO RUIZ GALLO</v>
      </c>
      <c r="O189" s="89"/>
      <c r="P189" s="89"/>
      <c r="Q189" s="89"/>
      <c r="R189" s="89"/>
      <c r="S189" s="89"/>
    </row>
    <row r="190" customFormat="false" ht="15.75" hidden="true" customHeight="true" outlineLevel="0" collapsed="false">
      <c r="A190" s="106" t="n">
        <f aca="false">IF(_PENDIENTES!$B$184&lt;&gt;"",183,"")</f>
        <v>183</v>
      </c>
      <c r="B190" s="47" t="str">
        <f aca="false">IF(_PENDIENTES!$B$184&lt;&gt;"",_PENDIENTES!$A$184,"")</f>
        <v>FEB</v>
      </c>
      <c r="C190" s="107" t="str">
        <f aca="false">IF(_PENDIENTES!$B$184&lt;&gt;"",_PENDIENTES!$C$184,"")</f>
        <v>VILLANUEVA SAYAVERDE CARMELITA</v>
      </c>
      <c r="D190" s="106" t="str">
        <f aca="false">IF(_PENDIENTES!$B$184&lt;&gt;"",_PENDIENTES!$D$184,"")</f>
        <v>73693426</v>
      </c>
      <c r="E190" s="111" t="str">
        <f aca="false">IF(_PENDIENTES!$B$184&lt;&gt;"",_PENDIENTES!$E$184,"")</f>
        <v>21/02/2026</v>
      </c>
      <c r="F190" s="106" t="str">
        <f aca="false">IF(_PENDIENTES!$B$184&lt;&gt;"",_PENDIENTES!$F$184,"")</f>
        <v>PETROLEO</v>
      </c>
      <c r="G190" s="50" t="n">
        <f aca="false">IF(_PENDIENTES!$B$184&lt;&gt;"",_PENDIENTES!$G$184,"")</f>
        <v>7</v>
      </c>
      <c r="H190" s="50" t="n">
        <f aca="false">IF(_PENDIENTES!$B$184&lt;&gt;"",_PENDIENTES!$H$184,"")</f>
        <v>141.75</v>
      </c>
      <c r="I190" s="108" t="str">
        <f aca="false">IF(_PENDIENTES!$B$184&lt;&gt;"",_PENDIENTES!$I$184,"")</f>
        <v/>
      </c>
      <c r="J190" s="50" t="str">
        <f aca="false">IF(_PENDIENTES!$B$184&lt;&gt;"",_PENDIENTES!$J$184,"")</f>
        <v/>
      </c>
      <c r="K190" s="106" t="str">
        <f aca="false">IF(_PENDIENTES!$B$184&lt;&gt;"","POR RECOGER","")</f>
        <v>POR RECOGER</v>
      </c>
      <c r="L190" s="106" t="n">
        <f aca="false">IF(_PENDIENTES!$B$184&lt;&gt;"",_PENDIENTES!$K$184,"")</f>
        <v>0</v>
      </c>
      <c r="M190" s="85" t="str">
        <f aca="false">IF(_PENDIENTES!$B$184&lt;&gt;"",_PENDIENTES!$B$184,"")</f>
        <v>MARIA AUXILIADORA</v>
      </c>
      <c r="N190" s="109" t="str">
        <f aca="false">IF(_PENDIENTES!$B$184&lt;&gt;"",_PENDIENTES!$L$184,"")</f>
        <v>MARIA AUXILIADORA</v>
      </c>
      <c r="O190" s="89"/>
      <c r="P190" s="89"/>
      <c r="Q190" s="89"/>
      <c r="R190" s="89"/>
      <c r="S190" s="89"/>
    </row>
    <row r="191" customFormat="false" ht="15.75" hidden="true" customHeight="true" outlineLevel="0" collapsed="false">
      <c r="A191" s="46" t="n">
        <f aca="false">IF(_PENDIENTES!$B$185&lt;&gt;"",184,"")</f>
        <v>184</v>
      </c>
      <c r="B191" s="41" t="str">
        <f aca="false">IF(_PENDIENTES!$B$185&lt;&gt;"",_PENDIENTES!$A$185,"")</f>
        <v>FEB</v>
      </c>
      <c r="C191" s="110" t="str">
        <f aca="false">IF(_PENDIENTES!$B$185&lt;&gt;"",_PENDIENTES!$C$185,"")</f>
        <v>CHUQUIMANGO GOICOCHEA JHONER LUGO</v>
      </c>
      <c r="D191" s="46" t="str">
        <f aca="false">IF(_PENDIENTES!$B$185&lt;&gt;"",_PENDIENTES!$D$185,"")</f>
        <v>63289165</v>
      </c>
      <c r="E191" s="112" t="str">
        <f aca="false">IF(_PENDIENTES!$B$185&lt;&gt;"",_PENDIENTES!$E$185,"")</f>
        <v>22/02/2026</v>
      </c>
      <c r="F191" s="46" t="str">
        <f aca="false">IF(_PENDIENTES!$B$185&lt;&gt;"",_PENDIENTES!$F$185,"")</f>
        <v>PETROLEO</v>
      </c>
      <c r="G191" s="44" t="n">
        <f aca="false">IF(_PENDIENTES!$B$185&lt;&gt;"",_PENDIENTES!$G$185,"")</f>
        <v>20</v>
      </c>
      <c r="H191" s="44" t="n">
        <f aca="false">IF(_PENDIENTES!$B$185&lt;&gt;"",_PENDIENTES!$H$185,"")</f>
        <v>363.6</v>
      </c>
      <c r="I191" s="113" t="str">
        <f aca="false">IF(_PENDIENTES!$B$185&lt;&gt;"",_PENDIENTES!$I$185,"")</f>
        <v>NAIDER TELLO ESTELA</v>
      </c>
      <c r="J191" s="44" t="str">
        <f aca="false">IF(_PENDIENTES!$B$185&lt;&gt;"",_PENDIENTES!$J$185,"")</f>
        <v>EUH-708</v>
      </c>
      <c r="K191" s="46" t="str">
        <f aca="false">IF(_PENDIENTES!$B$185&lt;&gt;"","POR RECOGER","")</f>
        <v>POR RECOGER</v>
      </c>
      <c r="L191" s="46" t="n">
        <f aca="false">IF(_PENDIENTES!$B$185&lt;&gt;"",_PENDIENTES!$K$185,"")</f>
        <v>0</v>
      </c>
      <c r="M191" s="85" t="str">
        <f aca="false">IF(_PENDIENTES!$B$185&lt;&gt;"",_PENDIENTES!$B$185,"")</f>
        <v>COCOCHO</v>
      </c>
      <c r="N191" s="109" t="str">
        <f aca="false">IF(_PENDIENTES!$B$185&lt;&gt;"",_PENDIENTES!$L$185,"")</f>
        <v>COCOCHO</v>
      </c>
      <c r="O191" s="89"/>
      <c r="P191" s="89"/>
      <c r="Q191" s="89"/>
      <c r="R191" s="89"/>
      <c r="S191" s="89"/>
    </row>
    <row r="192" customFormat="false" ht="15.75" hidden="true" customHeight="true" outlineLevel="0" collapsed="false">
      <c r="A192" s="106" t="n">
        <f aca="false">IF(_PENDIENTES!$B$186&lt;&gt;"",185,"")</f>
        <v>185</v>
      </c>
      <c r="B192" s="47" t="str">
        <f aca="false">IF(_PENDIENTES!$B$186&lt;&gt;"",_PENDIENTES!$A$186,"")</f>
        <v>FEB</v>
      </c>
      <c r="C192" s="107" t="str">
        <f aca="false">IF(_PENDIENTES!$B$186&lt;&gt;"",_PENDIENTES!$C$186,"")</f>
        <v>CULQUE CAMAN APOLINAR</v>
      </c>
      <c r="D192" s="106" t="str">
        <f aca="false">IF(_PENDIENTES!$B$186&lt;&gt;"",_PENDIENTES!$D$186,"")</f>
        <v>48968517</v>
      </c>
      <c r="E192" s="111" t="str">
        <f aca="false">IF(_PENDIENTES!$B$186&lt;&gt;"",_PENDIENTES!$E$186,"")</f>
        <v>23/02/2026</v>
      </c>
      <c r="F192" s="106" t="str">
        <f aca="false">IF(_PENDIENTES!$B$186&lt;&gt;"",_PENDIENTES!$F$186,"")</f>
        <v>PETROLEO</v>
      </c>
      <c r="G192" s="50" t="n">
        <f aca="false">IF(_PENDIENTES!$B$186&lt;&gt;"",_PENDIENTES!$G$186,"")</f>
        <v>6</v>
      </c>
      <c r="H192" s="50" t="n">
        <f aca="false">IF(_PENDIENTES!$B$186&lt;&gt;"",_PENDIENTES!$H$186,"")</f>
        <v>109.08</v>
      </c>
      <c r="I192" s="108" t="str">
        <f aca="false">IF(_PENDIENTES!$B$186&lt;&gt;"",_PENDIENTES!$I$186,"")</f>
        <v>SANCHEZ CAJO VICENTE</v>
      </c>
      <c r="J192" s="50" t="str">
        <f aca="false">IF(_PENDIENTES!$B$186&lt;&gt;"",_PENDIENTES!$J$186,"")</f>
        <v>EGL-296</v>
      </c>
      <c r="K192" s="106" t="str">
        <f aca="false">IF(_PENDIENTES!$B$186&lt;&gt;"","POR RECOGER","")</f>
        <v>POR RECOGER</v>
      </c>
      <c r="L192" s="106" t="n">
        <f aca="false">IF(_PENDIENTES!$B$186&lt;&gt;"",_PENDIENTES!$K$186,"")</f>
        <v>0</v>
      </c>
      <c r="M192" s="85" t="str">
        <f aca="false">IF(_PENDIENTES!$B$186&lt;&gt;"",_PENDIENTES!$B$186,"")</f>
        <v>YERBABUENA</v>
      </c>
      <c r="N192" s="109" t="str">
        <f aca="false">IF(_PENDIENTES!$B$186&lt;&gt;"",_PENDIENTES!$L$186,"")</f>
        <v>YERBABUENA</v>
      </c>
      <c r="O192" s="89"/>
      <c r="P192" s="89"/>
      <c r="Q192" s="89"/>
      <c r="R192" s="89"/>
      <c r="S192" s="89"/>
    </row>
    <row r="193" customFormat="false" ht="15.75" hidden="true" customHeight="true" outlineLevel="0" collapsed="false">
      <c r="A193" s="46" t="n">
        <f aca="false">IF(_PENDIENTES!$B$187&lt;&gt;"",186,"")</f>
        <v>186</v>
      </c>
      <c r="B193" s="41" t="str">
        <f aca="false">IF(_PENDIENTES!$B$187&lt;&gt;"",_PENDIENTES!$A$187,"")</f>
        <v>FEB</v>
      </c>
      <c r="C193" s="110" t="str">
        <f aca="false">IF(_PENDIENTES!$B$187&lt;&gt;"",_PENDIENTES!$C$187,"")</f>
        <v>ROCHA PORTOCARRERO JHONER</v>
      </c>
      <c r="D193" s="46" t="str">
        <f aca="false">IF(_PENDIENTES!$B$187&lt;&gt;"",_PENDIENTES!$D$187,"")</f>
        <v>62461300</v>
      </c>
      <c r="E193" s="112" t="str">
        <f aca="false">IF(_PENDIENTES!$B$187&lt;&gt;"",_PENDIENTES!$E$187,"")</f>
        <v>23/02/2026</v>
      </c>
      <c r="F193" s="46" t="str">
        <f aca="false">IF(_PENDIENTES!$B$187&lt;&gt;"",_PENDIENTES!$F$187,"")</f>
        <v>PETROLEO</v>
      </c>
      <c r="G193" s="44" t="n">
        <f aca="false">IF(_PENDIENTES!$B$187&lt;&gt;"",_PENDIENTES!$G$187,"")</f>
        <v>7</v>
      </c>
      <c r="H193" s="44" t="n">
        <f aca="false">IF(_PENDIENTES!$B$187&lt;&gt;"",_PENDIENTES!$H$187,"")</f>
        <v>141.75</v>
      </c>
      <c r="I193" s="113" t="str">
        <f aca="false">IF(_PENDIENTES!$B$187&lt;&gt;"",_PENDIENTES!$I$187,"")</f>
        <v>TRIGOSO TAFUR JOSE GILBER</v>
      </c>
      <c r="J193" s="44" t="str">
        <f aca="false">IF(_PENDIENTES!$B$187&lt;&gt;"",_PENDIENTES!$J$187,"")</f>
        <v>EUH 421</v>
      </c>
      <c r="K193" s="46" t="str">
        <f aca="false">IF(_PENDIENTES!$B$187&lt;&gt;"","POR RECOGER","")</f>
        <v>POR RECOGER</v>
      </c>
      <c r="L193" s="46" t="n">
        <f aca="false">IF(_PENDIENTES!$B$187&lt;&gt;"",_PENDIENTES!$K$187,"")</f>
        <v>0</v>
      </c>
      <c r="M193" s="85" t="str">
        <f aca="false">IF(_PENDIENTES!$B$187&lt;&gt;"",_PENDIENTES!$B$187,"")</f>
        <v>MARIA AUXILIADORA</v>
      </c>
      <c r="N193" s="109" t="str">
        <f aca="false">IF(_PENDIENTES!$B$187&lt;&gt;"",_PENDIENTES!$L$187,"")</f>
        <v>MARIA AUXILIADORA</v>
      </c>
      <c r="O193" s="89"/>
      <c r="P193" s="89"/>
      <c r="Q193" s="89"/>
      <c r="R193" s="89"/>
      <c r="S193" s="89"/>
    </row>
    <row r="194" customFormat="false" ht="15.75" hidden="true" customHeight="true" outlineLevel="0" collapsed="false">
      <c r="A194" s="106" t="n">
        <f aca="false">IF(_PENDIENTES!$B$188&lt;&gt;"",187,"")</f>
        <v>187</v>
      </c>
      <c r="B194" s="47" t="str">
        <f aca="false">IF(_PENDIENTES!$B$188&lt;&gt;"",_PENDIENTES!$A$188,"")</f>
        <v>FEB</v>
      </c>
      <c r="C194" s="107" t="str">
        <f aca="false">IF(_PENDIENTES!$B$188&lt;&gt;"",_PENDIENTES!$C$188,"")</f>
        <v>SANCHEZ DE GONGORA ZOILA FRANCISCA</v>
      </c>
      <c r="D194" s="106" t="str">
        <f aca="false">IF(_PENDIENTES!$B$188&lt;&gt;"",_PENDIENTES!$D$188,"")</f>
        <v>33940132</v>
      </c>
      <c r="E194" s="111" t="str">
        <f aca="false">IF(_PENDIENTES!$B$188&lt;&gt;"",_PENDIENTES!$E$188,"")</f>
        <v>24/02/2026</v>
      </c>
      <c r="F194" s="106" t="str">
        <f aca="false">IF(_PENDIENTES!$B$188&lt;&gt;"",_PENDIENTES!$F$188,"")</f>
        <v>PETROLEO</v>
      </c>
      <c r="G194" s="50" t="n">
        <f aca="false">IF(_PENDIENTES!$B$188&lt;&gt;"",_PENDIENTES!$G$188,"")</f>
        <v>7</v>
      </c>
      <c r="H194" s="50" t="n">
        <f aca="false">IF(_PENDIENTES!$B$188&lt;&gt;"",_PENDIENTES!$H$188,"")</f>
        <v>141.75</v>
      </c>
      <c r="I194" s="108" t="str">
        <f aca="false">IF(_PENDIENTES!$B$188&lt;&gt;"",_PENDIENTES!$I$188,"")</f>
        <v/>
      </c>
      <c r="J194" s="50" t="str">
        <f aca="false">IF(_PENDIENTES!$B$188&lt;&gt;"",_PENDIENTES!$J$188,"")</f>
        <v/>
      </c>
      <c r="K194" s="106" t="str">
        <f aca="false">IF(_PENDIENTES!$B$188&lt;&gt;"","POR RECOGER","")</f>
        <v>POR RECOGER</v>
      </c>
      <c r="L194" s="106" t="n">
        <f aca="false">IF(_PENDIENTES!$B$188&lt;&gt;"",_PENDIENTES!$K$188,"")</f>
        <v>0</v>
      </c>
      <c r="M194" s="85" t="str">
        <f aca="false">IF(_PENDIENTES!$B$188&lt;&gt;"",_PENDIENTES!$B$188,"")</f>
        <v>MARIA AUXILIADORA</v>
      </c>
      <c r="N194" s="109" t="str">
        <f aca="false">IF(_PENDIENTES!$B$188&lt;&gt;"",_PENDIENTES!$L$188,"")</f>
        <v>MARIA AUXILIADORA</v>
      </c>
      <c r="O194" s="89"/>
      <c r="P194" s="89"/>
      <c r="Q194" s="89"/>
      <c r="R194" s="89"/>
      <c r="S194" s="89"/>
    </row>
    <row r="195" customFormat="false" ht="15.75" hidden="true" customHeight="true" outlineLevel="0" collapsed="false">
      <c r="A195" s="46" t="n">
        <f aca="false">IF(_PENDIENTES!$B$189&lt;&gt;"",188,"")</f>
        <v>188</v>
      </c>
      <c r="B195" s="41" t="str">
        <f aca="false">IF(_PENDIENTES!$B$189&lt;&gt;"",_PENDIENTES!$A$189,"")</f>
        <v>FEB</v>
      </c>
      <c r="C195" s="110" t="str">
        <f aca="false">IF(_PENDIENTES!$B$189&lt;&gt;"",_PENDIENTES!$C$189,"")</f>
        <v>MONTOYA DETT ANDY ROMAIN</v>
      </c>
      <c r="D195" s="46" t="str">
        <f aca="false">IF(_PENDIENTES!$B$189&lt;&gt;"",_PENDIENTES!$D$189,"")</f>
        <v>77022003</v>
      </c>
      <c r="E195" s="112" t="str">
        <f aca="false">IF(_PENDIENTES!$B$189&lt;&gt;"",_PENDIENTES!$E$189,"")</f>
        <v>24/02/2026</v>
      </c>
      <c r="F195" s="46" t="str">
        <f aca="false">IF(_PENDIENTES!$B$189&lt;&gt;"",_PENDIENTES!$F$189,"")</f>
        <v>GASOLINA</v>
      </c>
      <c r="G195" s="44" t="n">
        <f aca="false">IF(_PENDIENTES!$B$189&lt;&gt;"",_PENDIENTES!$G$189,"")</f>
        <v>6</v>
      </c>
      <c r="H195" s="44" t="n">
        <f aca="false">IF(_PENDIENTES!$B$189&lt;&gt;"",_PENDIENTES!$H$189,"")</f>
        <v>107.7</v>
      </c>
      <c r="I195" s="113" t="str">
        <f aca="false">IF(_PENDIENTES!$B$189&lt;&gt;"",_PENDIENTES!$I$189,"")</f>
        <v>MUNOZ VERGARAY JORGE ENRRIQUE</v>
      </c>
      <c r="J195" s="44" t="str">
        <f aca="false">IF(_PENDIENTES!$B$189&lt;&gt;"",_PENDIENTES!$J$189,"")</f>
        <v>EUH 427</v>
      </c>
      <c r="K195" s="46" t="str">
        <f aca="false">IF(_PENDIENTES!$B$189&lt;&gt;"","POR RECOGER","")</f>
        <v>POR RECOGER</v>
      </c>
      <c r="L195" s="46" t="n">
        <f aca="false">IF(_PENDIENTES!$B$189&lt;&gt;"",_PENDIENTES!$K$189,"")</f>
        <v>0</v>
      </c>
      <c r="M195" s="85" t="str">
        <f aca="false">IF(_PENDIENTES!$B$189&lt;&gt;"",_PENDIENTES!$B$189,"")</f>
        <v>PEDRO RUIZ GALLO</v>
      </c>
      <c r="N195" s="109" t="str">
        <f aca="false">IF(_PENDIENTES!$B$189&lt;&gt;"",_PENDIENTES!$L$189,"")</f>
        <v>PEDRO RUIZ GALLO</v>
      </c>
      <c r="O195" s="89"/>
      <c r="P195" s="89"/>
      <c r="Q195" s="89"/>
      <c r="R195" s="89"/>
      <c r="S195" s="89"/>
    </row>
    <row r="196" customFormat="false" ht="15.75" hidden="true" customHeight="true" outlineLevel="0" collapsed="false">
      <c r="A196" s="106" t="n">
        <f aca="false">IF(_PENDIENTES!$B$190&lt;&gt;"",189,"")</f>
        <v>189</v>
      </c>
      <c r="B196" s="47" t="str">
        <f aca="false">IF(_PENDIENTES!$B$190&lt;&gt;"",_PENDIENTES!$A$190,"")</f>
        <v>FEB</v>
      </c>
      <c r="C196" s="107" t="str">
        <f aca="false">IF(_PENDIENTES!$B$190&lt;&gt;"",_PENDIENTES!$C$190,"")</f>
        <v>GOSGOT DAZA ELODY STEISY</v>
      </c>
      <c r="D196" s="106" t="str">
        <f aca="false">IF(_PENDIENTES!$B$190&lt;&gt;"",_PENDIENTES!$D$190,"")</f>
        <v>94527453</v>
      </c>
      <c r="E196" s="111" t="str">
        <f aca="false">IF(_PENDIENTES!$B$190&lt;&gt;"",_PENDIENTES!$E$190,"")</f>
        <v>24/02/2026</v>
      </c>
      <c r="F196" s="106" t="str">
        <f aca="false">IF(_PENDIENTES!$B$190&lt;&gt;"",_PENDIENTES!$F$190,"")</f>
        <v>PETROLEO</v>
      </c>
      <c r="G196" s="50" t="n">
        <f aca="false">IF(_PENDIENTES!$B$190&lt;&gt;"",_PENDIENTES!$G$190,"")</f>
        <v>5</v>
      </c>
      <c r="H196" s="50" t="n">
        <f aca="false">IF(_PENDIENTES!$B$190&lt;&gt;"",_PENDIENTES!$H$190,"")</f>
        <v>90.9</v>
      </c>
      <c r="I196" s="108" t="str">
        <f aca="false">IF(_PENDIENTES!$B$190&lt;&gt;"",_PENDIENTES!$I$190,"")</f>
        <v>MONTENEGRO RUIZ LUIS MIGUEL</v>
      </c>
      <c r="J196" s="50" t="str">
        <f aca="false">IF(_PENDIENTES!$B$190&lt;&gt;"",_PENDIENTES!$J$190,"")</f>
        <v>EUH-427</v>
      </c>
      <c r="K196" s="106" t="str">
        <f aca="false">IF(_PENDIENTES!$B$190&lt;&gt;"","POR RECOGER","")</f>
        <v>POR RECOGER</v>
      </c>
      <c r="L196" s="106" t="n">
        <f aca="false">IF(_PENDIENTES!$B$190&lt;&gt;"",_PENDIENTES!$K$190,"")</f>
        <v>0</v>
      </c>
      <c r="M196" s="85" t="str">
        <f aca="false">IF(_PENDIENTES!$B$190&lt;&gt;"",_PENDIENTES!$B$190,"")</f>
        <v>PEDRO RUIZ GALLO</v>
      </c>
      <c r="N196" s="109" t="str">
        <f aca="false">IF(_PENDIENTES!$B$190&lt;&gt;"",_PENDIENTES!$L$190,"")</f>
        <v>PEDRO RUIZ GALLO</v>
      </c>
      <c r="O196" s="89"/>
      <c r="P196" s="89"/>
      <c r="Q196" s="89"/>
      <c r="R196" s="89"/>
      <c r="S196" s="89"/>
    </row>
    <row r="197" customFormat="false" ht="15.75" hidden="true" customHeight="true" outlineLevel="0" collapsed="false">
      <c r="A197" s="46" t="n">
        <f aca="false">IF(_PENDIENTES!$B$191&lt;&gt;"",190,"")</f>
        <v>190</v>
      </c>
      <c r="B197" s="41" t="str">
        <f aca="false">IF(_PENDIENTES!$B$191&lt;&gt;"",_PENDIENTES!$A$191,"")</f>
        <v>FEB</v>
      </c>
      <c r="C197" s="110" t="str">
        <f aca="false">IF(_PENDIENTES!$B$191&lt;&gt;"",_PENDIENTES!$C$191,"")</f>
        <v>IRURETA QUINDE CLEYDI ELIZABETH</v>
      </c>
      <c r="D197" s="46" t="str">
        <f aca="false">IF(_PENDIENTES!$B$191&lt;&gt;"",_PENDIENTES!$D$191,"")</f>
        <v>73497114</v>
      </c>
      <c r="E197" s="112" t="str">
        <f aca="false">IF(_PENDIENTES!$B$191&lt;&gt;"",_PENDIENTES!$E$191,"")</f>
        <v>24/02/2026</v>
      </c>
      <c r="F197" s="46" t="str">
        <f aca="false">IF(_PENDIENTES!$B$191&lt;&gt;"",_PENDIENTES!$F$191,"")</f>
        <v>PETROLEO</v>
      </c>
      <c r="G197" s="44" t="n">
        <f aca="false">IF(_PENDIENTES!$B$191&lt;&gt;"",_PENDIENTES!$G$191,"")</f>
        <v>6</v>
      </c>
      <c r="H197" s="44" t="n">
        <f aca="false">IF(_PENDIENTES!$B$191&lt;&gt;"",_PENDIENTES!$H$191,"")</f>
        <v>109.08</v>
      </c>
      <c r="I197" s="113" t="str">
        <f aca="false">IF(_PENDIENTES!$B$191&lt;&gt;"",_PENDIENTES!$I$191,"")</f>
        <v>CHICANA LOPEZ MANUEL HECTOR</v>
      </c>
      <c r="J197" s="44" t="str">
        <f aca="false">IF(_PENDIENTES!$B$191&lt;&gt;"",_PENDIENTES!$J$191,"")</f>
        <v>EUH747</v>
      </c>
      <c r="K197" s="46" t="str">
        <f aca="false">IF(_PENDIENTES!$B$191&lt;&gt;"","POR RECOGER","")</f>
        <v>POR RECOGER</v>
      </c>
      <c r="L197" s="46" t="n">
        <f aca="false">IF(_PENDIENTES!$B$191&lt;&gt;"",_PENDIENTES!$K$191,"")</f>
        <v>0</v>
      </c>
      <c r="M197" s="85" t="str">
        <f aca="false">IF(_PENDIENTES!$B$191&lt;&gt;"",_PENDIENTES!$B$191,"")</f>
        <v>POMACOCHAS</v>
      </c>
      <c r="N197" s="109" t="str">
        <f aca="false">IF(_PENDIENTES!$B$191&lt;&gt;"",_PENDIENTES!$L$191,"")</f>
        <v>POMACOCHAS</v>
      </c>
      <c r="O197" s="89"/>
      <c r="P197" s="89"/>
      <c r="Q197" s="89"/>
      <c r="R197" s="89"/>
      <c r="S197" s="89"/>
    </row>
    <row r="198" customFormat="false" ht="15.75" hidden="true" customHeight="true" outlineLevel="0" collapsed="false">
      <c r="A198" s="106" t="n">
        <f aca="false">IF(_PENDIENTES!$B$192&lt;&gt;"",191,"")</f>
        <v>191</v>
      </c>
      <c r="B198" s="47" t="str">
        <f aca="false">IF(_PENDIENTES!$B$192&lt;&gt;"",_PENDIENTES!$A$192,"")</f>
        <v>FEB</v>
      </c>
      <c r="C198" s="107" t="str">
        <f aca="false">IF(_PENDIENTES!$B$192&lt;&gt;"",_PENDIENTES!$C$192,"")</f>
        <v>GRANDEZ RODRIGUEZ JOSE JOVITO</v>
      </c>
      <c r="D198" s="106" t="str">
        <f aca="false">IF(_PENDIENTES!$B$192&lt;&gt;"",_PENDIENTES!$D$192,"")</f>
        <v>33942395</v>
      </c>
      <c r="E198" s="111" t="str">
        <f aca="false">IF(_PENDIENTES!$B$192&lt;&gt;"",_PENDIENTES!$E$192,"")</f>
        <v>24/02/2026</v>
      </c>
      <c r="F198" s="106" t="str">
        <f aca="false">IF(_PENDIENTES!$B$192&lt;&gt;"",_PENDIENTES!$F$192,"")</f>
        <v>PETROLEO</v>
      </c>
      <c r="G198" s="50" t="n">
        <f aca="false">IF(_PENDIENTES!$B$192&lt;&gt;"",_PENDIENTES!$G$192,"")</f>
        <v>10</v>
      </c>
      <c r="H198" s="50" t="n">
        <f aca="false">IF(_PENDIENTES!$B$192&lt;&gt;"",_PENDIENTES!$H$192,"")</f>
        <v>181.8</v>
      </c>
      <c r="I198" s="108" t="str">
        <f aca="false">IF(_PENDIENTES!$B$192&lt;&gt;"",_PENDIENTES!$I$192,"")</f>
        <v>LOPEZ HOYOS MIGUEL ANGEL</v>
      </c>
      <c r="J198" s="50" t="str">
        <f aca="false">IF(_PENDIENTES!$B$192&lt;&gt;"",_PENDIENTES!$J$192,"")</f>
        <v>EUH-698</v>
      </c>
      <c r="K198" s="106" t="str">
        <f aca="false">IF(_PENDIENTES!$B$192&lt;&gt;"","POR RECOGER","")</f>
        <v>POR RECOGER</v>
      </c>
      <c r="L198" s="106" t="n">
        <f aca="false">IF(_PENDIENTES!$B$192&lt;&gt;"",_PENDIENTES!$K$192,"")</f>
        <v>0</v>
      </c>
      <c r="M198" s="85" t="str">
        <f aca="false">IF(_PENDIENTES!$B$192&lt;&gt;"",_PENDIENTES!$B$192,"")</f>
        <v>MARIA AUXILIADORA</v>
      </c>
      <c r="N198" s="109" t="str">
        <f aca="false">IF(_PENDIENTES!$B$192&lt;&gt;"",_PENDIENTES!$L$192,"")</f>
        <v>MARIA AUXILIADORA</v>
      </c>
      <c r="O198" s="89"/>
      <c r="P198" s="89"/>
      <c r="Q198" s="89"/>
      <c r="R198" s="89"/>
      <c r="S198" s="89"/>
    </row>
    <row r="199" customFormat="false" ht="15.75" hidden="true" customHeight="true" outlineLevel="0" collapsed="false">
      <c r="A199" s="46" t="n">
        <f aca="false">IF(_PENDIENTES!$B$193&lt;&gt;"",192,"")</f>
        <v>192</v>
      </c>
      <c r="B199" s="41" t="str">
        <f aca="false">IF(_PENDIENTES!$B$193&lt;&gt;"",_PENDIENTES!$A$193,"")</f>
        <v>FEB</v>
      </c>
      <c r="C199" s="110" t="str">
        <f aca="false">IF(_PENDIENTES!$B$193&lt;&gt;"",_PENDIENTES!$C$193,"")</f>
        <v>PUSCAN PUERTA DANITZA</v>
      </c>
      <c r="D199" s="46" t="str">
        <f aca="false">IF(_PENDIENTES!$B$193&lt;&gt;"",_PENDIENTES!$D$193,"")</f>
        <v>75050753</v>
      </c>
      <c r="E199" s="112" t="str">
        <f aca="false">IF(_PENDIENTES!$B$193&lt;&gt;"",_PENDIENTES!$E$193,"")</f>
        <v>24/02/2026</v>
      </c>
      <c r="F199" s="46" t="str">
        <f aca="false">IF(_PENDIENTES!$B$193&lt;&gt;"",_PENDIENTES!$F$193,"")</f>
        <v>PETROLEO</v>
      </c>
      <c r="G199" s="44" t="n">
        <f aca="false">IF(_PENDIENTES!$B$193&lt;&gt;"",_PENDIENTES!$G$193,"")</f>
        <v>7</v>
      </c>
      <c r="H199" s="44" t="n">
        <f aca="false">IF(_PENDIENTES!$B$193&lt;&gt;"",_PENDIENTES!$H$193,"")</f>
        <v>127.26</v>
      </c>
      <c r="I199" s="113" t="str">
        <f aca="false">IF(_PENDIENTES!$B$193&lt;&gt;"",_PENDIENTES!$I$193,"")</f>
        <v>LEIVA LARA JUNIOR</v>
      </c>
      <c r="J199" s="44" t="str">
        <f aca="false">IF(_PENDIENTES!$B$193&lt;&gt;"",_PENDIENTES!$J$193,"")</f>
        <v>EUC 959</v>
      </c>
      <c r="K199" s="46" t="str">
        <f aca="false">IF(_PENDIENTES!$B$193&lt;&gt;"","POR RECOGER","")</f>
        <v>POR RECOGER</v>
      </c>
      <c r="L199" s="46" t="n">
        <f aca="false">IF(_PENDIENTES!$B$193&lt;&gt;"",_PENDIENTES!$K$193,"")</f>
        <v>0</v>
      </c>
      <c r="M199" s="85" t="str">
        <f aca="false">IF(_PENDIENTES!$B$193&lt;&gt;"",_PENDIENTES!$B$193,"")</f>
        <v>JALCA GRANDE</v>
      </c>
      <c r="N199" s="109" t="str">
        <f aca="false">IF(_PENDIENTES!$B$193&lt;&gt;"",_PENDIENTES!$L$193,"")</f>
        <v>JALCA GRANDE</v>
      </c>
      <c r="O199" s="89"/>
      <c r="P199" s="89"/>
      <c r="Q199" s="89"/>
      <c r="R199" s="89"/>
      <c r="S199" s="89"/>
    </row>
    <row r="200" customFormat="false" ht="15.75" hidden="true" customHeight="true" outlineLevel="0" collapsed="false">
      <c r="A200" s="106" t="n">
        <f aca="false">IF(_PENDIENTES!$B$194&lt;&gt;"",193,"")</f>
        <v>193</v>
      </c>
      <c r="B200" s="47" t="str">
        <f aca="false">IF(_PENDIENTES!$B$194&lt;&gt;"",_PENDIENTES!$A$194,"")</f>
        <v>FEB</v>
      </c>
      <c r="C200" s="107" t="str">
        <f aca="false">IF(_PENDIENTES!$B$194&lt;&gt;"",_PENDIENTES!$C$194,"")</f>
        <v>CRUZ DE CORTEGANA FLORINDA</v>
      </c>
      <c r="D200" s="106" t="str">
        <f aca="false">IF(_PENDIENTES!$B$194&lt;&gt;"",_PENDIENTES!$D$194,"")</f>
        <v>33426858</v>
      </c>
      <c r="E200" s="111" t="str">
        <f aca="false">IF(_PENDIENTES!$B$194&lt;&gt;"",_PENDIENTES!$E$194,"")</f>
        <v>25/02/2026</v>
      </c>
      <c r="F200" s="106" t="str">
        <f aca="false">IF(_PENDIENTES!$B$194&lt;&gt;"",_PENDIENTES!$F$194,"")</f>
        <v>PETROLEO</v>
      </c>
      <c r="G200" s="50" t="n">
        <f aca="false">IF(_PENDIENTES!$B$194&lt;&gt;"",_PENDIENTES!$G$194,"")</f>
        <v>5</v>
      </c>
      <c r="H200" s="50" t="n">
        <f aca="false">IF(_PENDIENTES!$B$194&lt;&gt;"",_PENDIENTES!$H$194,"")</f>
        <v>90.9</v>
      </c>
      <c r="I200" s="108" t="str">
        <f aca="false">IF(_PENDIENTES!$B$194&lt;&gt;"",_PENDIENTES!$I$194,"")</f>
        <v/>
      </c>
      <c r="J200" s="50" t="str">
        <f aca="false">IF(_PENDIENTES!$B$194&lt;&gt;"",_PENDIENTES!$J$194,"")</f>
        <v/>
      </c>
      <c r="K200" s="106" t="str">
        <f aca="false">IF(_PENDIENTES!$B$194&lt;&gt;"","POR RECOGER","")</f>
        <v>POR RECOGER</v>
      </c>
      <c r="L200" s="106" t="n">
        <f aca="false">IF(_PENDIENTES!$B$194&lt;&gt;"",_PENDIENTES!$K$194,"")</f>
        <v>0</v>
      </c>
      <c r="M200" s="85" t="str">
        <f aca="false">IF(_PENDIENTES!$B$194&lt;&gt;"",_PENDIENTES!$B$194,"")</f>
        <v>PEDRO RUIZ GALLO</v>
      </c>
      <c r="N200" s="109" t="str">
        <f aca="false">IF(_PENDIENTES!$B$194&lt;&gt;"",_PENDIENTES!$L$194,"")</f>
        <v>PEDRO RUIZ GALLO</v>
      </c>
      <c r="O200" s="89"/>
      <c r="P200" s="89"/>
      <c r="Q200" s="89"/>
      <c r="R200" s="89"/>
      <c r="S200" s="89"/>
    </row>
    <row r="201" customFormat="false" ht="15.75" hidden="true" customHeight="true" outlineLevel="0" collapsed="false">
      <c r="A201" s="46" t="n">
        <f aca="false">IF(_PENDIENTES!$B$195&lt;&gt;"",194,"")</f>
        <v>194</v>
      </c>
      <c r="B201" s="41" t="str">
        <f aca="false">IF(_PENDIENTES!$B$195&lt;&gt;"",_PENDIENTES!$A$195,"")</f>
        <v>FEB</v>
      </c>
      <c r="C201" s="110" t="str">
        <f aca="false">IF(_PENDIENTES!$B$195&lt;&gt;"",_PENDIENTES!$C$195,"")</f>
        <v>TRUJILLO VIERA EDISA</v>
      </c>
      <c r="D201" s="46" t="str">
        <f aca="false">IF(_PENDIENTES!$B$195&lt;&gt;"",_PENDIENTES!$D$195,"")</f>
        <v>44027111</v>
      </c>
      <c r="E201" s="112" t="str">
        <f aca="false">IF(_PENDIENTES!$B$195&lt;&gt;"",_PENDIENTES!$E$195,"")</f>
        <v>25/02/2026</v>
      </c>
      <c r="F201" s="46" t="str">
        <f aca="false">IF(_PENDIENTES!$B$195&lt;&gt;"",_PENDIENTES!$F$195,"")</f>
        <v>PETROLEO</v>
      </c>
      <c r="G201" s="44" t="n">
        <f aca="false">IF(_PENDIENTES!$B$195&lt;&gt;"",_PENDIENTES!$G$195,"")</f>
        <v>5</v>
      </c>
      <c r="H201" s="44" t="n">
        <f aca="false">IF(_PENDIENTES!$B$195&lt;&gt;"",_PENDIENTES!$H$195,"")</f>
        <v>90.9</v>
      </c>
      <c r="I201" s="113" t="str">
        <f aca="false">IF(_PENDIENTES!$B$195&lt;&gt;"",_PENDIENTES!$I$195,"")</f>
        <v>MUNOZ VERGARAY JORGE ENRRIQUE</v>
      </c>
      <c r="J201" s="44" t="str">
        <f aca="false">IF(_PENDIENTES!$B$195&lt;&gt;"",_PENDIENTES!$J$195,"")</f>
        <v>EUH 427</v>
      </c>
      <c r="K201" s="46" t="str">
        <f aca="false">IF(_PENDIENTES!$B$195&lt;&gt;"","POR RECOGER","")</f>
        <v>POR RECOGER</v>
      </c>
      <c r="L201" s="46" t="n">
        <f aca="false">IF(_PENDIENTES!$B$195&lt;&gt;"",_PENDIENTES!$K$195,"")</f>
        <v>0</v>
      </c>
      <c r="M201" s="85" t="str">
        <f aca="false">IF(_PENDIENTES!$B$195&lt;&gt;"",_PENDIENTES!$B$195,"")</f>
        <v>PEDRO RUIZ GALLO</v>
      </c>
      <c r="N201" s="109" t="str">
        <f aca="false">IF(_PENDIENTES!$B$195&lt;&gt;"",_PENDIENTES!$L$195,"")</f>
        <v>PEDRO RUIZ GALLO</v>
      </c>
      <c r="O201" s="89"/>
      <c r="P201" s="89"/>
      <c r="Q201" s="89"/>
      <c r="R201" s="89"/>
      <c r="S201" s="89"/>
    </row>
    <row r="202" customFormat="false" ht="15.75" hidden="true" customHeight="true" outlineLevel="0" collapsed="false">
      <c r="A202" s="106" t="n">
        <f aca="false">IF(_PENDIENTES!$B$196&lt;&gt;"",195,"")</f>
        <v>195</v>
      </c>
      <c r="B202" s="47" t="str">
        <f aca="false">IF(_PENDIENTES!$B$196&lt;&gt;"",_PENDIENTES!$A$196,"")</f>
        <v>FEB</v>
      </c>
      <c r="C202" s="107" t="str">
        <f aca="false">IF(_PENDIENTES!$B$196&lt;&gt;"",_PENDIENTES!$C$196,"")</f>
        <v>ROJAS RIMARACHIN JAYDEN GADIEL</v>
      </c>
      <c r="D202" s="106" t="str">
        <f aca="false">IF(_PENDIENTES!$B$196&lt;&gt;"",_PENDIENTES!$D$196,"")</f>
        <v>94267570</v>
      </c>
      <c r="E202" s="111" t="str">
        <f aca="false">IF(_PENDIENTES!$B$196&lt;&gt;"",_PENDIENTES!$E$196,"")</f>
        <v>25/02/2026</v>
      </c>
      <c r="F202" s="106" t="str">
        <f aca="false">IF(_PENDIENTES!$B$196&lt;&gt;"",_PENDIENTES!$F$196,"")</f>
        <v>PETROLEO</v>
      </c>
      <c r="G202" s="50" t="n">
        <f aca="false">IF(_PENDIENTES!$B$196&lt;&gt;"",_PENDIENTES!$G$196,"")</f>
        <v>6</v>
      </c>
      <c r="H202" s="50" t="n">
        <f aca="false">IF(_PENDIENTES!$B$196&lt;&gt;"",_PENDIENTES!$H$196,"")</f>
        <v>109.08</v>
      </c>
      <c r="I202" s="108" t="str">
        <f aca="false">IF(_PENDIENTES!$B$196&lt;&gt;"",_PENDIENTES!$I$196,"")</f>
        <v>CARRERA ARAUJO JEINER</v>
      </c>
      <c r="J202" s="50" t="str">
        <f aca="false">IF(_PENDIENTES!$B$196&lt;&gt;"",_PENDIENTES!$J$196,"")</f>
        <v>EUH747</v>
      </c>
      <c r="K202" s="106" t="str">
        <f aca="false">IF(_PENDIENTES!$B$196&lt;&gt;"","POR RECOGER","")</f>
        <v>POR RECOGER</v>
      </c>
      <c r="L202" s="106" t="n">
        <f aca="false">IF(_PENDIENTES!$B$196&lt;&gt;"",_PENDIENTES!$K$196,"")</f>
        <v>0</v>
      </c>
      <c r="M202" s="85" t="str">
        <f aca="false">IF(_PENDIENTES!$B$196&lt;&gt;"",_PENDIENTES!$B$196,"")</f>
        <v>POMACOCHAS</v>
      </c>
      <c r="N202" s="109" t="str">
        <f aca="false">IF(_PENDIENTES!$B$196&lt;&gt;"",_PENDIENTES!$L$196,"")</f>
        <v>POMACOCHAS</v>
      </c>
      <c r="O202" s="89"/>
      <c r="P202" s="89"/>
      <c r="Q202" s="89"/>
      <c r="R202" s="89"/>
      <c r="S202" s="89"/>
    </row>
    <row r="203" customFormat="false" ht="15.75" hidden="true" customHeight="true" outlineLevel="0" collapsed="false">
      <c r="A203" s="46" t="n">
        <f aca="false">IF(_PENDIENTES!$B$197&lt;&gt;"",196,"")</f>
        <v>196</v>
      </c>
      <c r="B203" s="41" t="str">
        <f aca="false">IF(_PENDIENTES!$B$197&lt;&gt;"",_PENDIENTES!$A$197,"")</f>
        <v>FEB</v>
      </c>
      <c r="C203" s="110" t="str">
        <f aca="false">IF(_PENDIENTES!$B$197&lt;&gt;"",_PENDIENTES!$C$197,"")</f>
        <v>ARBILDO VILLA JOSE PORFIRIO</v>
      </c>
      <c r="D203" s="46" t="str">
        <f aca="false">IF(_PENDIENTES!$B$197&lt;&gt;"",_PENDIENTES!$D$197,"")</f>
        <v>33952707</v>
      </c>
      <c r="E203" s="112" t="str">
        <f aca="false">IF(_PENDIENTES!$B$197&lt;&gt;"",_PENDIENTES!$E$197,"")</f>
        <v>26/02/2026</v>
      </c>
      <c r="F203" s="46" t="str">
        <f aca="false">IF(_PENDIENTES!$B$197&lt;&gt;"",_PENDIENTES!$F$197,"")</f>
        <v>PETROLEO</v>
      </c>
      <c r="G203" s="44" t="n">
        <f aca="false">IF(_PENDIENTES!$B$197&lt;&gt;"",_PENDIENTES!$G$197,"")</f>
        <v>7</v>
      </c>
      <c r="H203" s="44" t="n">
        <f aca="false">IF(_PENDIENTES!$B$197&lt;&gt;"",_PENDIENTES!$H$197,"")</f>
        <v>141.75</v>
      </c>
      <c r="I203" s="113" t="str">
        <f aca="false">IF(_PENDIENTES!$B$197&lt;&gt;"",_PENDIENTES!$I$197,"")</f>
        <v>PORTOCARRERO PELAEZ MIGUEL ANTONIO</v>
      </c>
      <c r="J203" s="44" t="str">
        <f aca="false">IF(_PENDIENTES!$B$197&lt;&gt;"",_PENDIENTES!$J$197,"")</f>
        <v>EUH-421</v>
      </c>
      <c r="K203" s="46" t="str">
        <f aca="false">IF(_PENDIENTES!$B$197&lt;&gt;"","POR RECOGER","")</f>
        <v>POR RECOGER</v>
      </c>
      <c r="L203" s="46" t="n">
        <f aca="false">IF(_PENDIENTES!$B$197&lt;&gt;"",_PENDIENTES!$K$197,"")</f>
        <v>0</v>
      </c>
      <c r="M203" s="85" t="str">
        <f aca="false">IF(_PENDIENTES!$B$197&lt;&gt;"",_PENDIENTES!$B$197,"")</f>
        <v>MARIA AUXILIADORA</v>
      </c>
      <c r="N203" s="109" t="str">
        <f aca="false">IF(_PENDIENTES!$B$197&lt;&gt;"",_PENDIENTES!$L$197,"")</f>
        <v>MARIA AUXILIADORA</v>
      </c>
      <c r="O203" s="89"/>
      <c r="P203" s="89"/>
      <c r="Q203" s="89"/>
      <c r="R203" s="89"/>
      <c r="S203" s="89"/>
    </row>
    <row r="204" customFormat="false" ht="15.75" hidden="false" customHeight="true" outlineLevel="0" collapsed="false">
      <c r="A204" s="106" t="n">
        <f aca="false">IF(_PENDIENTES!$B$198&lt;&gt;"",197,"")</f>
        <v>197</v>
      </c>
      <c r="B204" s="47" t="str">
        <f aca="false">IF(_PENDIENTES!$B$198&lt;&gt;"",_PENDIENTES!$A$198,"")</f>
        <v>FEB</v>
      </c>
      <c r="C204" s="107" t="str">
        <f aca="false">IF(_PENDIENTES!$B$198&lt;&gt;"",_PENDIENTES!$C$198,"")</f>
        <v>LOPEZ MONTOYA JOSE ALCIDES </v>
      </c>
      <c r="D204" s="106" t="str">
        <f aca="false">IF(_PENDIENTES!$B$198&lt;&gt;"",_PENDIENTES!$D$198,"")</f>
        <v>33952489</v>
      </c>
      <c r="E204" s="111" t="str">
        <f aca="false">IF(_PENDIENTES!$B$198&lt;&gt;"",_PENDIENTES!$E$198,"")</f>
        <v>26/02/2026</v>
      </c>
      <c r="F204" s="106" t="str">
        <f aca="false">IF(_PENDIENTES!$B$198&lt;&gt;"",_PENDIENTES!$F$198,"")</f>
        <v>PETROLEO</v>
      </c>
      <c r="G204" s="50" t="n">
        <f aca="false">IF(_PENDIENTES!$B$198&lt;&gt;"",_PENDIENTES!$G$198,"")</f>
        <v>10</v>
      </c>
      <c r="H204" s="50" t="n">
        <f aca="false">IF(_PENDIENTES!$B$198&lt;&gt;"",_PENDIENTES!$H$198,"")</f>
        <v>202.5</v>
      </c>
      <c r="I204" s="108" t="str">
        <f aca="false">IF(_PENDIENTES!$B$198&lt;&gt;"",_PENDIENTES!$I$198,"")</f>
        <v>LOPEZ VARGAS HUBER</v>
      </c>
      <c r="J204" s="50" t="str">
        <f aca="false">IF(_PENDIENTES!$B$198&lt;&gt;"",_PENDIENTES!$J$198,"")</f>
        <v>EUH 634</v>
      </c>
      <c r="K204" s="106" t="str">
        <f aca="false">IF(_PENDIENTES!$B$198&lt;&gt;"","POR RECOGER","")</f>
        <v>POR RECOGER</v>
      </c>
      <c r="L204" s="106" t="str">
        <f aca="false">IF(_PENDIENTES!$B$198&lt;&gt;"",_PENDIENTES!$K$198,"")</f>
        <v>OMIA</v>
      </c>
      <c r="M204" s="85" t="str">
        <f aca="false">IF(_PENDIENTES!$B$198&lt;&gt;"",_PENDIENTES!$B$198,"")</f>
        <v>OMIA</v>
      </c>
      <c r="N204" s="109" t="str">
        <f aca="false">IF(_PENDIENTES!$B$198&lt;&gt;"",_PENDIENTES!$L$198,"")</f>
        <v>MARIA AUXILIADORA</v>
      </c>
      <c r="O204" s="89"/>
      <c r="P204" s="89"/>
      <c r="Q204" s="89"/>
      <c r="R204" s="89"/>
      <c r="S204" s="89"/>
    </row>
    <row r="205" customFormat="false" ht="15.75" hidden="true" customHeight="true" outlineLevel="0" collapsed="false">
      <c r="A205" s="46" t="n">
        <f aca="false">IF(_PENDIENTES!$B$199&lt;&gt;"",198,"")</f>
        <v>198</v>
      </c>
      <c r="B205" s="41" t="str">
        <f aca="false">IF(_PENDIENTES!$B$199&lt;&gt;"",_PENDIENTES!$A$199,"")</f>
        <v>FEB</v>
      </c>
      <c r="C205" s="110" t="str">
        <f aca="false">IF(_PENDIENTES!$B$199&lt;&gt;"",_PENDIENTES!$C$199,"")</f>
        <v>SALAZAR SALAZAR YSIDORO</v>
      </c>
      <c r="D205" s="46" t="str">
        <f aca="false">IF(_PENDIENTES!$B$199&lt;&gt;"",_PENDIENTES!$D$199,"")</f>
        <v>33940526</v>
      </c>
      <c r="E205" s="112" t="str">
        <f aca="false">IF(_PENDIENTES!$B$199&lt;&gt;"",_PENDIENTES!$E$199,"")</f>
        <v>27/02/2026</v>
      </c>
      <c r="F205" s="46" t="str">
        <f aca="false">IF(_PENDIENTES!$B$199&lt;&gt;"",_PENDIENTES!$F$199,"")</f>
        <v>PETROLEO</v>
      </c>
      <c r="G205" s="44" t="n">
        <f aca="false">IF(_PENDIENTES!$B$199&lt;&gt;"",_PENDIENTES!$G$199,"")</f>
        <v>7</v>
      </c>
      <c r="H205" s="44" t="n">
        <f aca="false">IF(_PENDIENTES!$B$199&lt;&gt;"",_PENDIENTES!$H$199,"")</f>
        <v>141.75</v>
      </c>
      <c r="I205" s="113" t="str">
        <f aca="false">IF(_PENDIENTES!$B$199&lt;&gt;"",_PENDIENTES!$I$199,"")</f>
        <v>PORTOCARRERO PELAEZ MIGUEL ANTONIO</v>
      </c>
      <c r="J205" s="44" t="str">
        <f aca="false">IF(_PENDIENTES!$B$199&lt;&gt;"",_PENDIENTES!$J$199,"")</f>
        <v>EUH-421</v>
      </c>
      <c r="K205" s="46" t="str">
        <f aca="false">IF(_PENDIENTES!$B$199&lt;&gt;"","POR RECOGER","")</f>
        <v>POR RECOGER</v>
      </c>
      <c r="L205" s="46" t="n">
        <f aca="false">IF(_PENDIENTES!$B$199&lt;&gt;"",_PENDIENTES!$K$199,"")</f>
        <v>0</v>
      </c>
      <c r="M205" s="85" t="str">
        <f aca="false">IF(_PENDIENTES!$B$199&lt;&gt;"",_PENDIENTES!$B$199,"")</f>
        <v>MARIA AUXILIADORA</v>
      </c>
      <c r="N205" s="109" t="str">
        <f aca="false">IF(_PENDIENTES!$B$199&lt;&gt;"",_PENDIENTES!$L$199,"")</f>
        <v>MARIA AUXILIADORA</v>
      </c>
      <c r="O205" s="89"/>
      <c r="P205" s="89"/>
      <c r="Q205" s="89"/>
      <c r="R205" s="89"/>
      <c r="S205" s="89"/>
    </row>
    <row r="206" customFormat="false" ht="15.75" hidden="true" customHeight="true" outlineLevel="0" collapsed="false">
      <c r="A206" s="106" t="n">
        <f aca="false">IF(_PENDIENTES!$B$200&lt;&gt;"",199,"")</f>
        <v>199</v>
      </c>
      <c r="B206" s="47" t="str">
        <f aca="false">IF(_PENDIENTES!$B$200&lt;&gt;"",_PENDIENTES!$A$200,"")</f>
        <v>FEB</v>
      </c>
      <c r="C206" s="107" t="str">
        <f aca="false">IF(_PENDIENTES!$B$200&lt;&gt;"",_PENDIENTES!$C$200,"")</f>
        <v>MORAN CASERES DORA BEATRIZ</v>
      </c>
      <c r="D206" s="106" t="str">
        <f aca="false">IF(_PENDIENTES!$B$200&lt;&gt;"",_PENDIENTES!$D$200,"")</f>
        <v>46693174</v>
      </c>
      <c r="E206" s="111" t="str">
        <f aca="false">IF(_PENDIENTES!$B$200&lt;&gt;"",_PENDIENTES!$E$200,"")</f>
        <v>27/02/2026</v>
      </c>
      <c r="F206" s="106" t="str">
        <f aca="false">IF(_PENDIENTES!$B$200&lt;&gt;"",_PENDIENTES!$F$200,"")</f>
        <v>PETROLEO</v>
      </c>
      <c r="G206" s="50" t="n">
        <f aca="false">IF(_PENDIENTES!$B$200&lt;&gt;"",_PENDIENTES!$G$200,"")</f>
        <v>6</v>
      </c>
      <c r="H206" s="50" t="n">
        <f aca="false">IF(_PENDIENTES!$B$200&lt;&gt;"",_PENDIENTES!$H$200,"")</f>
        <v>107.7</v>
      </c>
      <c r="I206" s="108" t="str">
        <f aca="false">IF(_PENDIENTES!$B$200&lt;&gt;"",_PENDIENTES!$I$200,"")</f>
        <v>MONTENEGRO RUIZ LUIS MIGUEL</v>
      </c>
      <c r="J206" s="50" t="str">
        <f aca="false">IF(_PENDIENTES!$B$200&lt;&gt;"",_PENDIENTES!$J$200,"")</f>
        <v>EUH-427</v>
      </c>
      <c r="K206" s="106" t="str">
        <f aca="false">IF(_PENDIENTES!$B$200&lt;&gt;"","POR RECOGER","")</f>
        <v>POR RECOGER</v>
      </c>
      <c r="L206" s="106" t="n">
        <f aca="false">IF(_PENDIENTES!$B$200&lt;&gt;"",_PENDIENTES!$K$200,"")</f>
        <v>0</v>
      </c>
      <c r="M206" s="85" t="str">
        <f aca="false">IF(_PENDIENTES!$B$200&lt;&gt;"",_PENDIENTES!$B$200,"")</f>
        <v>PEDRO RUIZ GALLO</v>
      </c>
      <c r="N206" s="109" t="str">
        <f aca="false">IF(_PENDIENTES!$B$200&lt;&gt;"",_PENDIENTES!$L$200,"")</f>
        <v>PEDRO RUIZ GALLO</v>
      </c>
      <c r="O206" s="89"/>
      <c r="P206" s="89"/>
      <c r="Q206" s="89"/>
      <c r="R206" s="89"/>
      <c r="S206" s="89"/>
    </row>
    <row r="207" customFormat="false" ht="15.75" hidden="true" customHeight="true" outlineLevel="0" collapsed="false">
      <c r="A207" s="46" t="n">
        <f aca="false">IF(_PENDIENTES!$B$201&lt;&gt;"",200,"")</f>
        <v>200</v>
      </c>
      <c r="B207" s="41" t="str">
        <f aca="false">IF(_PENDIENTES!$B$201&lt;&gt;"",_PENDIENTES!$A$201,"")</f>
        <v>FEB</v>
      </c>
      <c r="C207" s="110" t="str">
        <f aca="false">IF(_PENDIENTES!$B$201&lt;&gt;"",_PENDIENTES!$C$201,"")</f>
        <v>HUAMAN SALON ELIFIA</v>
      </c>
      <c r="D207" s="46" t="str">
        <f aca="false">IF(_PENDIENTES!$B$201&lt;&gt;"",_PENDIENTES!$D$201,"")</f>
        <v>72732503</v>
      </c>
      <c r="E207" s="112" t="str">
        <f aca="false">IF(_PENDIENTES!$B$201&lt;&gt;"",_PENDIENTES!$E$201,"")</f>
        <v>27/02/2026</v>
      </c>
      <c r="F207" s="46" t="str">
        <f aca="false">IF(_PENDIENTES!$B$201&lt;&gt;"",_PENDIENTES!$F$201,"")</f>
        <v>PETROLEO</v>
      </c>
      <c r="G207" s="44" t="n">
        <f aca="false">IF(_PENDIENTES!$B$201&lt;&gt;"",_PENDIENTES!$G$201,"")</f>
        <v>7</v>
      </c>
      <c r="H207" s="44" t="n">
        <f aca="false">IF(_PENDIENTES!$B$201&lt;&gt;"",_PENDIENTES!$H$201,"")</f>
        <v>127.26</v>
      </c>
      <c r="I207" s="113" t="str">
        <f aca="false">IF(_PENDIENTES!$B$201&lt;&gt;"",_PENDIENTES!$I$201,"")</f>
        <v>LEIVA LARA JUNIOR</v>
      </c>
      <c r="J207" s="44" t="str">
        <f aca="false">IF(_PENDIENTES!$B$201&lt;&gt;"",_PENDIENTES!$J$201,"")</f>
        <v>EUC 959</v>
      </c>
      <c r="K207" s="46" t="str">
        <f aca="false">IF(_PENDIENTES!$B$201&lt;&gt;"","POR RECOGER","")</f>
        <v>POR RECOGER</v>
      </c>
      <c r="L207" s="46" t="n">
        <f aca="false">IF(_PENDIENTES!$B$201&lt;&gt;"",_PENDIENTES!$K$201,"")</f>
        <v>0</v>
      </c>
      <c r="M207" s="85" t="str">
        <f aca="false">IF(_PENDIENTES!$B$201&lt;&gt;"",_PENDIENTES!$B$201,"")</f>
        <v>JALCA GRANDE</v>
      </c>
      <c r="N207" s="109" t="str">
        <f aca="false">IF(_PENDIENTES!$B$201&lt;&gt;"",_PENDIENTES!$L$201,"")</f>
        <v>JALCA GRANDE</v>
      </c>
      <c r="O207" s="89"/>
      <c r="P207" s="89"/>
      <c r="Q207" s="89"/>
      <c r="R207" s="89"/>
      <c r="S207" s="89"/>
    </row>
    <row r="208" customFormat="false" ht="15.75" hidden="true" customHeight="true" outlineLevel="0" collapsed="false">
      <c r="A208" s="106" t="n">
        <f aca="false">IF(_PENDIENTES!$B$202&lt;&gt;"",201,"")</f>
        <v>201</v>
      </c>
      <c r="B208" s="47" t="str">
        <f aca="false">IF(_PENDIENTES!$B$202&lt;&gt;"",_PENDIENTES!$A$202,"")</f>
        <v>FEB</v>
      </c>
      <c r="C208" s="107" t="str">
        <f aca="false">IF(_PENDIENTES!$B$202&lt;&gt;"",_PENDIENTES!$C$202,"")</f>
        <v>MONTENEGRO VARGAS SHARON MAITE</v>
      </c>
      <c r="D208" s="106" t="str">
        <f aca="false">IF(_PENDIENTES!$B$202&lt;&gt;"",_PENDIENTES!$D$202,"")</f>
        <v>80810803</v>
      </c>
      <c r="E208" s="111" t="str">
        <f aca="false">IF(_PENDIENTES!$B$202&lt;&gt;"",_PENDIENTES!$E$202,"")</f>
        <v>27/02/2026</v>
      </c>
      <c r="F208" s="106" t="str">
        <f aca="false">IF(_PENDIENTES!$B$202&lt;&gt;"",_PENDIENTES!$F$202,"")</f>
        <v>PETROLEO</v>
      </c>
      <c r="G208" s="50" t="n">
        <f aca="false">IF(_PENDIENTES!$B$202&lt;&gt;"",_PENDIENTES!$G$202,"")</f>
        <v>6</v>
      </c>
      <c r="H208" s="50" t="n">
        <f aca="false">IF(_PENDIENTES!$B$202&lt;&gt;"",_PENDIENTES!$H$202,"")</f>
        <v>109.08</v>
      </c>
      <c r="I208" s="108" t="str">
        <f aca="false">IF(_PENDIENTES!$B$202&lt;&gt;"",_PENDIENTES!$I$202,"")</f>
        <v>CHICANA LOPEZ MANUEL HECTOR</v>
      </c>
      <c r="J208" s="50" t="str">
        <f aca="false">IF(_PENDIENTES!$B$202&lt;&gt;"",_PENDIENTES!$J$202,"")</f>
        <v>EUH747</v>
      </c>
      <c r="K208" s="106" t="str">
        <f aca="false">IF(_PENDIENTES!$B$202&lt;&gt;"","POR RECOGER","")</f>
        <v>POR RECOGER</v>
      </c>
      <c r="L208" s="106" t="n">
        <f aca="false">IF(_PENDIENTES!$B$202&lt;&gt;"",_PENDIENTES!$K$202,"")</f>
        <v>0</v>
      </c>
      <c r="M208" s="85" t="str">
        <f aca="false">IF(_PENDIENTES!$B$202&lt;&gt;"",_PENDIENTES!$B$202,"")</f>
        <v>POMACOCHAS</v>
      </c>
      <c r="N208" s="109" t="str">
        <f aca="false">IF(_PENDIENTES!$B$202&lt;&gt;"",_PENDIENTES!$L$202,"")</f>
        <v>POMACOCHAS</v>
      </c>
      <c r="O208" s="89"/>
      <c r="P208" s="89"/>
      <c r="Q208" s="89"/>
      <c r="R208" s="89"/>
      <c r="S208" s="89"/>
    </row>
    <row r="209" customFormat="false" ht="15.75" hidden="true" customHeight="true" outlineLevel="0" collapsed="false">
      <c r="A209" s="46" t="n">
        <f aca="false">IF(_PENDIENTES!$B$203&lt;&gt;"",202,"")</f>
        <v>202</v>
      </c>
      <c r="B209" s="41" t="str">
        <f aca="false">IF(_PENDIENTES!$B$203&lt;&gt;"",_PENDIENTES!$A$203,"")</f>
        <v>FEB</v>
      </c>
      <c r="C209" s="110" t="str">
        <f aca="false">IF(_PENDIENTES!$B$203&lt;&gt;"",_PENDIENTES!$C$203,"")</f>
        <v>VELA TAFUR HAMERLY</v>
      </c>
      <c r="D209" s="46" t="str">
        <f aca="false">IF(_PENDIENTES!$B$203&lt;&gt;"",_PENDIENTES!$D$203,"")</f>
        <v>63380142</v>
      </c>
      <c r="E209" s="112" t="str">
        <f aca="false">IF(_PENDIENTES!$B$203&lt;&gt;"",_PENDIENTES!$E$203,"")</f>
        <v>27/02/2026</v>
      </c>
      <c r="F209" s="46" t="str">
        <f aca="false">IF(_PENDIENTES!$B$203&lt;&gt;"",_PENDIENTES!$F$203,"")</f>
        <v>PETROLEO</v>
      </c>
      <c r="G209" s="44" t="n">
        <f aca="false">IF(_PENDIENTES!$B$203&lt;&gt;"",_PENDIENTES!$G$203,"")</f>
        <v>26</v>
      </c>
      <c r="H209" s="44" t="n">
        <f aca="false">IF(_PENDIENTES!$B$203&lt;&gt;"",_PENDIENTES!$H$203,"")</f>
        <v>472.68</v>
      </c>
      <c r="I209" s="113" t="str">
        <f aca="false">IF(_PENDIENTES!$B$203&lt;&gt;"",_PENDIENTES!$I$203,"")</f>
        <v>ALBERTO FARRO PEREZ</v>
      </c>
      <c r="J209" s="44" t="str">
        <f aca="false">IF(_PENDIENTES!$B$203&lt;&gt;"",_PENDIENTES!$J$203,"")</f>
        <v>EGO-124</v>
      </c>
      <c r="K209" s="46" t="str">
        <f aca="false">IF(_PENDIENTES!$B$203&lt;&gt;"","POR RECOGER","")</f>
        <v>POR RECOGER</v>
      </c>
      <c r="L209" s="46" t="n">
        <f aca="false">IF(_PENDIENTES!$B$203&lt;&gt;"",_PENDIENTES!$K$203,"")</f>
        <v>0</v>
      </c>
      <c r="M209" s="85" t="str">
        <f aca="false">IF(_PENDIENTES!$B$203&lt;&gt;"",_PENDIENTES!$B$203,"")</f>
        <v>OCALLI</v>
      </c>
      <c r="N209" s="109" t="str">
        <f aca="false">IF(_PENDIENTES!$B$203&lt;&gt;"",_PENDIENTES!$L$203,"")</f>
        <v>OCALLI</v>
      </c>
      <c r="O209" s="89"/>
      <c r="P209" s="89"/>
      <c r="Q209" s="89"/>
      <c r="R209" s="89"/>
      <c r="S209" s="89"/>
    </row>
    <row r="210" customFormat="false" ht="15.75" hidden="true" customHeight="true" outlineLevel="0" collapsed="false">
      <c r="A210" s="106" t="n">
        <f aca="false">IF(_PENDIENTES!$B$204&lt;&gt;"",203,"")</f>
        <v>203</v>
      </c>
      <c r="B210" s="47" t="str">
        <f aca="false">IF(_PENDIENTES!$B$204&lt;&gt;"",_PENDIENTES!$A$204,"")</f>
        <v>FEB</v>
      </c>
      <c r="C210" s="107" t="str">
        <f aca="false">IF(_PENDIENTES!$B$204&lt;&gt;"",_PENDIENTES!$C$204,"")</f>
        <v>MILLA QUINTANA JORGE</v>
      </c>
      <c r="D210" s="106" t="str">
        <f aca="false">IF(_PENDIENTES!$B$204&lt;&gt;"",_PENDIENTES!$D$204,"")</f>
        <v>9514524</v>
      </c>
      <c r="E210" s="111" t="str">
        <f aca="false">IF(_PENDIENTES!$B$204&lt;&gt;"",_PENDIENTES!$E$204,"")</f>
        <v>26/02/2026</v>
      </c>
      <c r="F210" s="106" t="str">
        <f aca="false">IF(_PENDIENTES!$B$204&lt;&gt;"",_PENDIENTES!$F$204,"")</f>
        <v>PETROLEO</v>
      </c>
      <c r="G210" s="50" t="n">
        <f aca="false">IF(_PENDIENTES!$B$204&lt;&gt;"",_PENDIENTES!$G$204,"")</f>
        <v>4</v>
      </c>
      <c r="H210" s="50" t="n">
        <f aca="false">IF(_PENDIENTES!$B$204&lt;&gt;"",_PENDIENTES!$H$204,"")</f>
        <v>72.72</v>
      </c>
      <c r="I210" s="108" t="str">
        <f aca="false">IF(_PENDIENTES!$B$204&lt;&gt;"",_PENDIENTES!$I$204,"")</f>
        <v>ZAGACETA RUIZ GELLER ENRIQUE</v>
      </c>
      <c r="J210" s="50" t="str">
        <f aca="false">IF(_PENDIENTES!$B$204&lt;&gt;"",_PENDIENTES!$J$204,"")</f>
        <v>EUH-717</v>
      </c>
      <c r="K210" s="106" t="str">
        <f aca="false">IF(_PENDIENTES!$B$204&lt;&gt;"","POR RECOGER","")</f>
        <v>POR RECOGER</v>
      </c>
      <c r="L210" s="106" t="n">
        <f aca="false">IF(_PENDIENTES!$B$204&lt;&gt;"",_PENDIENTES!$K$204,"")</f>
        <v>0</v>
      </c>
      <c r="M210" s="85" t="str">
        <f aca="false">IF(_PENDIENTES!$B$204&lt;&gt;"",_PENDIENTES!$B$204,"")</f>
        <v>LUYA</v>
      </c>
      <c r="N210" s="109" t="str">
        <f aca="false">IF(_PENDIENTES!$B$204&lt;&gt;"",_PENDIENTES!$L$204,"")</f>
        <v>LUYA</v>
      </c>
      <c r="O210" s="89"/>
      <c r="P210" s="89"/>
      <c r="Q210" s="89"/>
      <c r="R210" s="89"/>
      <c r="S210" s="89"/>
    </row>
    <row r="211" customFormat="false" ht="15.75" hidden="true" customHeight="true" outlineLevel="0" collapsed="false">
      <c r="A211" s="46" t="n">
        <f aca="false">IF(_PENDIENTES!$B$205&lt;&gt;"",204,"")</f>
        <v>204</v>
      </c>
      <c r="B211" s="41" t="str">
        <f aca="false">IF(_PENDIENTES!$B$205&lt;&gt;"",_PENDIENTES!$A$205,"")</f>
        <v>FEB</v>
      </c>
      <c r="C211" s="110" t="str">
        <f aca="false">IF(_PENDIENTES!$B$205&lt;&gt;"",_PENDIENTES!$C$205,"")</f>
        <v>DIPIZ ROJAS DANNA ANTONELA</v>
      </c>
      <c r="D211" s="46" t="str">
        <f aca="false">IF(_PENDIENTES!$B$205&lt;&gt;"",_PENDIENTES!$D$205,"")</f>
        <v>33787219</v>
      </c>
      <c r="E211" s="112" t="str">
        <f aca="false">IF(_PENDIENTES!$B$205&lt;&gt;"",_PENDIENTES!$E$205,"")</f>
        <v>28/02/2026</v>
      </c>
      <c r="F211" s="46" t="str">
        <f aca="false">IF(_PENDIENTES!$B$205&lt;&gt;"",_PENDIENTES!$F$205,"")</f>
        <v>PETROLEO</v>
      </c>
      <c r="G211" s="44" t="n">
        <f aca="false">IF(_PENDIENTES!$B$205&lt;&gt;"",_PENDIENTES!$G$205,"")</f>
        <v>4</v>
      </c>
      <c r="H211" s="44" t="n">
        <f aca="false">IF(_PENDIENTES!$B$205&lt;&gt;"",_PENDIENTES!$H$205,"")</f>
        <v>72.72</v>
      </c>
      <c r="I211" s="113" t="str">
        <f aca="false">IF(_PENDIENTES!$B$205&lt;&gt;"",_PENDIENTES!$I$205,"")</f>
        <v>ZAGACETA RUIZ GELLER ENRIQUE</v>
      </c>
      <c r="J211" s="44" t="str">
        <f aca="false">IF(_PENDIENTES!$B$205&lt;&gt;"",_PENDIENTES!$J$205,"")</f>
        <v>EUH-717</v>
      </c>
      <c r="K211" s="46" t="str">
        <f aca="false">IF(_PENDIENTES!$B$205&lt;&gt;"","POR RECOGER","")</f>
        <v>POR RECOGER</v>
      </c>
      <c r="L211" s="46" t="n">
        <f aca="false">IF(_PENDIENTES!$B$205&lt;&gt;"",_PENDIENTES!$K$205,"")</f>
        <v>0</v>
      </c>
      <c r="M211" s="85" t="str">
        <f aca="false">IF(_PENDIENTES!$B$205&lt;&gt;"",_PENDIENTES!$B$205,"")</f>
        <v>LUYA</v>
      </c>
      <c r="N211" s="109" t="str">
        <f aca="false">IF(_PENDIENTES!$B$205&lt;&gt;"",_PENDIENTES!$L$205,"")</f>
        <v>LUYA</v>
      </c>
      <c r="O211" s="89"/>
      <c r="P211" s="89"/>
      <c r="Q211" s="89"/>
      <c r="R211" s="89"/>
      <c r="S211" s="89"/>
    </row>
    <row r="212" customFormat="false" ht="15.75" hidden="true" customHeight="true" outlineLevel="0" collapsed="false">
      <c r="A212" s="106" t="str">
        <f aca="false">IF(_PENDIENTES!$B$206&lt;&gt;"",205,"")</f>
        <v/>
      </c>
      <c r="B212" s="47" t="str">
        <f aca="false">IF(_PENDIENTES!$B$206&lt;&gt;"",_PENDIENTES!$A$206,"")</f>
        <v/>
      </c>
      <c r="C212" s="107" t="str">
        <f aca="false">IF(_PENDIENTES!$B$206&lt;&gt;"",_PENDIENTES!$C$206,"")</f>
        <v/>
      </c>
      <c r="D212" s="106" t="str">
        <f aca="false">IF(_PENDIENTES!$B$206&lt;&gt;"",_PENDIENTES!$D$206,"")</f>
        <v/>
      </c>
      <c r="E212" s="111" t="str">
        <f aca="false">IF(_PENDIENTES!$B$206&lt;&gt;"",_PENDIENTES!$E$206,"")</f>
        <v/>
      </c>
      <c r="F212" s="106" t="str">
        <f aca="false">IF(_PENDIENTES!$B$206&lt;&gt;"",_PENDIENTES!$F$206,"")</f>
        <v/>
      </c>
      <c r="G212" s="50" t="str">
        <f aca="false">IF(_PENDIENTES!$B$206&lt;&gt;"",_PENDIENTES!$G$206,"")</f>
        <v/>
      </c>
      <c r="H212" s="50" t="str">
        <f aca="false">IF(_PENDIENTES!$B$206&lt;&gt;"",_PENDIENTES!$H$206,"")</f>
        <v/>
      </c>
      <c r="I212" s="108" t="str">
        <f aca="false">IF(_PENDIENTES!$B$206&lt;&gt;"",_PENDIENTES!$I$206,"")</f>
        <v/>
      </c>
      <c r="J212" s="50" t="str">
        <f aca="false">IF(_PENDIENTES!$B$206&lt;&gt;"",_PENDIENTES!$J$206,"")</f>
        <v/>
      </c>
      <c r="K212" s="106" t="str">
        <f aca="false">IF(_PENDIENTES!$B$206&lt;&gt;"","POR RECOGER","")</f>
        <v/>
      </c>
      <c r="L212" s="106" t="str">
        <f aca="false">IF(_PENDIENTES!$B$206&lt;&gt;"",_PENDIENTES!$K$206,"")</f>
        <v/>
      </c>
      <c r="M212" s="85" t="str">
        <f aca="false">IF(_PENDIENTES!$B$206&lt;&gt;"",_PENDIENTES!$B$206,"")</f>
        <v/>
      </c>
      <c r="N212" s="109" t="str">
        <f aca="false">IF(_PENDIENTES!$B$206&lt;&gt;"",_PENDIENTES!$L$206,"")</f>
        <v/>
      </c>
      <c r="O212" s="89"/>
      <c r="P212" s="89"/>
      <c r="Q212" s="89"/>
      <c r="R212" s="89"/>
      <c r="S212" s="89"/>
    </row>
    <row r="213" customFormat="false" ht="15.75" hidden="true" customHeight="true" outlineLevel="0" collapsed="false">
      <c r="A213" s="46" t="str">
        <f aca="false">IF(_PENDIENTES!$B$207&lt;&gt;"",206,"")</f>
        <v/>
      </c>
      <c r="B213" s="41" t="str">
        <f aca="false">IF(_PENDIENTES!$B$207&lt;&gt;"",_PENDIENTES!$A$207,"")</f>
        <v/>
      </c>
      <c r="C213" s="110" t="str">
        <f aca="false">IF(_PENDIENTES!$B$207&lt;&gt;"",_PENDIENTES!$C$207,"")</f>
        <v/>
      </c>
      <c r="D213" s="46" t="str">
        <f aca="false">IF(_PENDIENTES!$B$207&lt;&gt;"",_PENDIENTES!$D$207,"")</f>
        <v/>
      </c>
      <c r="E213" s="112" t="str">
        <f aca="false">IF(_PENDIENTES!$B$207&lt;&gt;"",_PENDIENTES!$E$207,"")</f>
        <v/>
      </c>
      <c r="F213" s="46" t="str">
        <f aca="false">IF(_PENDIENTES!$B$207&lt;&gt;"",_PENDIENTES!$F$207,"")</f>
        <v/>
      </c>
      <c r="G213" s="44" t="str">
        <f aca="false">IF(_PENDIENTES!$B$207&lt;&gt;"",_PENDIENTES!$G$207,"")</f>
        <v/>
      </c>
      <c r="H213" s="44" t="str">
        <f aca="false">IF(_PENDIENTES!$B$207&lt;&gt;"",_PENDIENTES!$H$207,"")</f>
        <v/>
      </c>
      <c r="I213" s="113" t="str">
        <f aca="false">IF(_PENDIENTES!$B$207&lt;&gt;"",_PENDIENTES!$I$207,"")</f>
        <v/>
      </c>
      <c r="J213" s="44" t="str">
        <f aca="false">IF(_PENDIENTES!$B$207&lt;&gt;"",_PENDIENTES!$J$207,"")</f>
        <v/>
      </c>
      <c r="K213" s="46" t="str">
        <f aca="false">IF(_PENDIENTES!$B$207&lt;&gt;"","POR RECOGER","")</f>
        <v/>
      </c>
      <c r="L213" s="46" t="str">
        <f aca="false">IF(_PENDIENTES!$B$207&lt;&gt;"",_PENDIENTES!$K$207,"")</f>
        <v/>
      </c>
      <c r="M213" s="85" t="str">
        <f aca="false">IF(_PENDIENTES!$B$207&lt;&gt;"",_PENDIENTES!$B$207,"")</f>
        <v/>
      </c>
      <c r="N213" s="109" t="str">
        <f aca="false">IF(_PENDIENTES!$B$207&lt;&gt;"",_PENDIENTES!$L$207,"")</f>
        <v/>
      </c>
      <c r="O213" s="89"/>
      <c r="P213" s="89"/>
      <c r="Q213" s="89"/>
      <c r="R213" s="89"/>
      <c r="S213" s="89"/>
    </row>
    <row r="214" customFormat="false" ht="15.75" hidden="true" customHeight="true" outlineLevel="0" collapsed="false">
      <c r="A214" s="106" t="str">
        <f aca="false">IF(_PENDIENTES!$B$208&lt;&gt;"",207,"")</f>
        <v/>
      </c>
      <c r="B214" s="47" t="str">
        <f aca="false">IF(_PENDIENTES!$B$208&lt;&gt;"",_PENDIENTES!$A$208,"")</f>
        <v/>
      </c>
      <c r="C214" s="107" t="str">
        <f aca="false">IF(_PENDIENTES!$B$208&lt;&gt;"",_PENDIENTES!$C$208,"")</f>
        <v/>
      </c>
      <c r="D214" s="106" t="str">
        <f aca="false">IF(_PENDIENTES!$B$208&lt;&gt;"",_PENDIENTES!$D$208,"")</f>
        <v/>
      </c>
      <c r="E214" s="111" t="str">
        <f aca="false">IF(_PENDIENTES!$B$208&lt;&gt;"",_PENDIENTES!$E$208,"")</f>
        <v/>
      </c>
      <c r="F214" s="106" t="str">
        <f aca="false">IF(_PENDIENTES!$B$208&lt;&gt;"",_PENDIENTES!$F$208,"")</f>
        <v/>
      </c>
      <c r="G214" s="50" t="str">
        <f aca="false">IF(_PENDIENTES!$B$208&lt;&gt;"",_PENDIENTES!$G$208,"")</f>
        <v/>
      </c>
      <c r="H214" s="50" t="str">
        <f aca="false">IF(_PENDIENTES!$B$208&lt;&gt;"",_PENDIENTES!$H$208,"")</f>
        <v/>
      </c>
      <c r="I214" s="108" t="str">
        <f aca="false">IF(_PENDIENTES!$B$208&lt;&gt;"",_PENDIENTES!$I$208,"")</f>
        <v/>
      </c>
      <c r="J214" s="50" t="str">
        <f aca="false">IF(_PENDIENTES!$B$208&lt;&gt;"",_PENDIENTES!$J$208,"")</f>
        <v/>
      </c>
      <c r="K214" s="106" t="str">
        <f aca="false">IF(_PENDIENTES!$B$208&lt;&gt;"","POR RECOGER","")</f>
        <v/>
      </c>
      <c r="L214" s="106" t="str">
        <f aca="false">IF(_PENDIENTES!$B$208&lt;&gt;"",_PENDIENTES!$K$208,"")</f>
        <v/>
      </c>
      <c r="M214" s="85" t="str">
        <f aca="false">IF(_PENDIENTES!$B$208&lt;&gt;"",_PENDIENTES!$B$208,"")</f>
        <v/>
      </c>
      <c r="N214" s="109" t="str">
        <f aca="false">IF(_PENDIENTES!$B$208&lt;&gt;"",_PENDIENTES!$L$208,"")</f>
        <v/>
      </c>
      <c r="O214" s="89"/>
      <c r="P214" s="89"/>
      <c r="Q214" s="89"/>
      <c r="R214" s="89"/>
      <c r="S214" s="89"/>
    </row>
    <row r="215" customFormat="false" ht="15.75" hidden="true" customHeight="true" outlineLevel="0" collapsed="false">
      <c r="A215" s="46" t="str">
        <f aca="false">IF(_PENDIENTES!$B$209&lt;&gt;"",208,"")</f>
        <v/>
      </c>
      <c r="B215" s="41" t="str">
        <f aca="false">IF(_PENDIENTES!$B$209&lt;&gt;"",_PENDIENTES!$A$209,"")</f>
        <v/>
      </c>
      <c r="C215" s="110" t="str">
        <f aca="false">IF(_PENDIENTES!$B$209&lt;&gt;"",_PENDIENTES!$C$209,"")</f>
        <v/>
      </c>
      <c r="D215" s="46" t="str">
        <f aca="false">IF(_PENDIENTES!$B$209&lt;&gt;"",_PENDIENTES!$D$209,"")</f>
        <v/>
      </c>
      <c r="E215" s="112" t="str">
        <f aca="false">IF(_PENDIENTES!$B$209&lt;&gt;"",_PENDIENTES!$E$209,"")</f>
        <v/>
      </c>
      <c r="F215" s="46" t="str">
        <f aca="false">IF(_PENDIENTES!$B$209&lt;&gt;"",_PENDIENTES!$F$209,"")</f>
        <v/>
      </c>
      <c r="G215" s="44" t="str">
        <f aca="false">IF(_PENDIENTES!$B$209&lt;&gt;"",_PENDIENTES!$G$209,"")</f>
        <v/>
      </c>
      <c r="H215" s="44" t="str">
        <f aca="false">IF(_PENDIENTES!$B$209&lt;&gt;"",_PENDIENTES!$H$209,"")</f>
        <v/>
      </c>
      <c r="I215" s="113" t="str">
        <f aca="false">IF(_PENDIENTES!$B$209&lt;&gt;"",_PENDIENTES!$I$209,"")</f>
        <v/>
      </c>
      <c r="J215" s="44" t="str">
        <f aca="false">IF(_PENDIENTES!$B$209&lt;&gt;"",_PENDIENTES!$J$209,"")</f>
        <v/>
      </c>
      <c r="K215" s="46" t="str">
        <f aca="false">IF(_PENDIENTES!$B$209&lt;&gt;"","POR RECOGER","")</f>
        <v/>
      </c>
      <c r="L215" s="46" t="str">
        <f aca="false">IF(_PENDIENTES!$B$209&lt;&gt;"",_PENDIENTES!$K$209,"")</f>
        <v/>
      </c>
      <c r="M215" s="85" t="str">
        <f aca="false">IF(_PENDIENTES!$B$209&lt;&gt;"",_PENDIENTES!$B$209,"")</f>
        <v/>
      </c>
      <c r="N215" s="109" t="str">
        <f aca="false">IF(_PENDIENTES!$B$209&lt;&gt;"",_PENDIENTES!$L$209,"")</f>
        <v/>
      </c>
      <c r="O215" s="89"/>
      <c r="P215" s="89"/>
      <c r="Q215" s="89"/>
      <c r="R215" s="89"/>
      <c r="S215" s="89"/>
    </row>
    <row r="216" customFormat="false" ht="15.75" hidden="true" customHeight="true" outlineLevel="0" collapsed="false">
      <c r="A216" s="106" t="str">
        <f aca="false">IF(_PENDIENTES!$B$210&lt;&gt;"",209,"")</f>
        <v/>
      </c>
      <c r="B216" s="47" t="str">
        <f aca="false">IF(_PENDIENTES!$B$210&lt;&gt;"",_PENDIENTES!$A$210,"")</f>
        <v/>
      </c>
      <c r="C216" s="107" t="str">
        <f aca="false">IF(_PENDIENTES!$B$210&lt;&gt;"",_PENDIENTES!$C$210,"")</f>
        <v/>
      </c>
      <c r="D216" s="106" t="str">
        <f aca="false">IF(_PENDIENTES!$B$210&lt;&gt;"",_PENDIENTES!$D$210,"")</f>
        <v/>
      </c>
      <c r="E216" s="111" t="str">
        <f aca="false">IF(_PENDIENTES!$B$210&lt;&gt;"",_PENDIENTES!$E$210,"")</f>
        <v/>
      </c>
      <c r="F216" s="106" t="str">
        <f aca="false">IF(_PENDIENTES!$B$210&lt;&gt;"",_PENDIENTES!$F$210,"")</f>
        <v/>
      </c>
      <c r="G216" s="50" t="str">
        <f aca="false">IF(_PENDIENTES!$B$210&lt;&gt;"",_PENDIENTES!$G$210,"")</f>
        <v/>
      </c>
      <c r="H216" s="50" t="str">
        <f aca="false">IF(_PENDIENTES!$B$210&lt;&gt;"",_PENDIENTES!$H$210,"")</f>
        <v/>
      </c>
      <c r="I216" s="108" t="str">
        <f aca="false">IF(_PENDIENTES!$B$210&lt;&gt;"",_PENDIENTES!$I$210,"")</f>
        <v/>
      </c>
      <c r="J216" s="50" t="str">
        <f aca="false">IF(_PENDIENTES!$B$210&lt;&gt;"",_PENDIENTES!$J$210,"")</f>
        <v/>
      </c>
      <c r="K216" s="106" t="str">
        <f aca="false">IF(_PENDIENTES!$B$210&lt;&gt;"","POR RECOGER","")</f>
        <v/>
      </c>
      <c r="L216" s="106" t="str">
        <f aca="false">IF(_PENDIENTES!$B$210&lt;&gt;"",_PENDIENTES!$K$210,"")</f>
        <v/>
      </c>
      <c r="M216" s="85" t="str">
        <f aca="false">IF(_PENDIENTES!$B$210&lt;&gt;"",_PENDIENTES!$B$210,"")</f>
        <v/>
      </c>
      <c r="N216" s="109" t="str">
        <f aca="false">IF(_PENDIENTES!$B$210&lt;&gt;"",_PENDIENTES!$L$210,"")</f>
        <v/>
      </c>
      <c r="O216" s="89"/>
      <c r="P216" s="89"/>
      <c r="Q216" s="89"/>
      <c r="R216" s="89"/>
      <c r="S216" s="89"/>
    </row>
    <row r="217" customFormat="false" ht="15.75" hidden="true" customHeight="true" outlineLevel="0" collapsed="false">
      <c r="A217" s="46" t="str">
        <f aca="false">IF(_PENDIENTES!$B$211&lt;&gt;"",210,"")</f>
        <v/>
      </c>
      <c r="B217" s="41" t="str">
        <f aca="false">IF(_PENDIENTES!$B$211&lt;&gt;"",_PENDIENTES!$A$211,"")</f>
        <v/>
      </c>
      <c r="C217" s="110" t="str">
        <f aca="false">IF(_PENDIENTES!$B$211&lt;&gt;"",_PENDIENTES!$C$211,"")</f>
        <v/>
      </c>
      <c r="D217" s="46" t="str">
        <f aca="false">IF(_PENDIENTES!$B$211&lt;&gt;"",_PENDIENTES!$D$211,"")</f>
        <v/>
      </c>
      <c r="E217" s="112" t="str">
        <f aca="false">IF(_PENDIENTES!$B$211&lt;&gt;"",_PENDIENTES!$E$211,"")</f>
        <v/>
      </c>
      <c r="F217" s="46" t="str">
        <f aca="false">IF(_PENDIENTES!$B$211&lt;&gt;"",_PENDIENTES!$F$211,"")</f>
        <v/>
      </c>
      <c r="G217" s="44" t="str">
        <f aca="false">IF(_PENDIENTES!$B$211&lt;&gt;"",_PENDIENTES!$G$211,"")</f>
        <v/>
      </c>
      <c r="H217" s="44" t="str">
        <f aca="false">IF(_PENDIENTES!$B$211&lt;&gt;"",_PENDIENTES!$H$211,"")</f>
        <v/>
      </c>
      <c r="I217" s="113" t="str">
        <f aca="false">IF(_PENDIENTES!$B$211&lt;&gt;"",_PENDIENTES!$I$211,"")</f>
        <v/>
      </c>
      <c r="J217" s="44" t="str">
        <f aca="false">IF(_PENDIENTES!$B$211&lt;&gt;"",_PENDIENTES!$J$211,"")</f>
        <v/>
      </c>
      <c r="K217" s="46" t="str">
        <f aca="false">IF(_PENDIENTES!$B$211&lt;&gt;"","POR RECOGER","")</f>
        <v/>
      </c>
      <c r="L217" s="46" t="str">
        <f aca="false">IF(_PENDIENTES!$B$211&lt;&gt;"",_PENDIENTES!$K$211,"")</f>
        <v/>
      </c>
      <c r="M217" s="85" t="str">
        <f aca="false">IF(_PENDIENTES!$B$211&lt;&gt;"",_PENDIENTES!$B$211,"")</f>
        <v/>
      </c>
      <c r="N217" s="109" t="str">
        <f aca="false">IF(_PENDIENTES!$B$211&lt;&gt;"",_PENDIENTES!$L$211,"")</f>
        <v/>
      </c>
      <c r="O217" s="89"/>
      <c r="P217" s="89"/>
      <c r="Q217" s="89"/>
      <c r="R217" s="89"/>
      <c r="S217" s="89"/>
    </row>
    <row r="218" customFormat="false" ht="15.75" hidden="true" customHeight="true" outlineLevel="0" collapsed="false">
      <c r="A218" s="106" t="n">
        <f aca="false">IF(_PENDIENTES!$B$212&lt;&gt;"",211,"")</f>
        <v>211</v>
      </c>
      <c r="B218" s="47" t="str">
        <f aca="false">IF(_PENDIENTES!$B$212&lt;&gt;"",_PENDIENTES!$A$212,"")</f>
        <v>MAR</v>
      </c>
      <c r="C218" s="107" t="str">
        <f aca="false">IF(_PENDIENTES!$B$212&lt;&gt;"",_PENDIENTES!$C$212,"")</f>
        <v>LOJA ACOSTA LEILY ADRIANA</v>
      </c>
      <c r="D218" s="106" t="str">
        <f aca="false">IF(_PENDIENTES!$B$212&lt;&gt;"",_PENDIENTES!$D$212,"")</f>
        <v>61642771</v>
      </c>
      <c r="E218" s="111" t="str">
        <f aca="false">IF(_PENDIENTES!$B$212&lt;&gt;"",_PENDIENTES!$E$212,"")</f>
        <v>01/03/2026</v>
      </c>
      <c r="F218" s="106" t="str">
        <f aca="false">IF(_PENDIENTES!$B$212&lt;&gt;"",_PENDIENTES!$F$212,"")</f>
        <v>PETROLEO</v>
      </c>
      <c r="G218" s="50" t="n">
        <f aca="false">IF(_PENDIENTES!$B$212&lt;&gt;"",_PENDIENTES!$G$212,"")</f>
        <v>7</v>
      </c>
      <c r="H218" s="50" t="n">
        <f aca="false">IF(_PENDIENTES!$B$212&lt;&gt;"",_PENDIENTES!$H$212,"")</f>
        <v>141.75</v>
      </c>
      <c r="I218" s="108" t="str">
        <f aca="false">IF(_PENDIENTES!$B$212&lt;&gt;"",_PENDIENTES!$I$212,"")</f>
        <v>PORTOCARRERO PELAEZ MIGUEL ANTONIO</v>
      </c>
      <c r="J218" s="50" t="str">
        <f aca="false">IF(_PENDIENTES!$B$212&lt;&gt;"",_PENDIENTES!$J$212,"")</f>
        <v>EUH-421</v>
      </c>
      <c r="K218" s="106" t="str">
        <f aca="false">IF(_PENDIENTES!$B$212&lt;&gt;"","POR RECOGER","")</f>
        <v>POR RECOGER</v>
      </c>
      <c r="L218" s="106" t="n">
        <f aca="false">IF(_PENDIENTES!$B$212&lt;&gt;"",_PENDIENTES!$K$212,"")</f>
        <v>0</v>
      </c>
      <c r="M218" s="85" t="str">
        <f aca="false">IF(_PENDIENTES!$B$212&lt;&gt;"",_PENDIENTES!$B$212,"")</f>
        <v>MARIA AUXILIADORA</v>
      </c>
      <c r="N218" s="109" t="str">
        <f aca="false">IF(_PENDIENTES!$B$212&lt;&gt;"",_PENDIENTES!$L$212,"")</f>
        <v>MARIA AUXILIADORA</v>
      </c>
      <c r="O218" s="89"/>
      <c r="P218" s="89"/>
      <c r="Q218" s="89"/>
      <c r="R218" s="89"/>
      <c r="S218" s="89"/>
    </row>
    <row r="219" customFormat="false" ht="15.75" hidden="true" customHeight="true" outlineLevel="0" collapsed="false">
      <c r="A219" s="46" t="n">
        <f aca="false">IF(_PENDIENTES!$B$213&lt;&gt;"",212,"")</f>
        <v>212</v>
      </c>
      <c r="B219" s="41" t="str">
        <f aca="false">IF(_PENDIENTES!$B$213&lt;&gt;"",_PENDIENTES!$A$213,"")</f>
        <v>MAR</v>
      </c>
      <c r="C219" s="110" t="str">
        <f aca="false">IF(_PENDIENTES!$B$213&lt;&gt;"",_PENDIENTES!$C$213,"")</f>
        <v>ALTAMIRANO AYAY SALATIEL</v>
      </c>
      <c r="D219" s="46" t="str">
        <f aca="false">IF(_PENDIENTES!$B$213&lt;&gt;"",_PENDIENTES!$D$213,"")</f>
        <v>71734120</v>
      </c>
      <c r="E219" s="112" t="str">
        <f aca="false">IF(_PENDIENTES!$B$213&lt;&gt;"",_PENDIENTES!$E$213,"")</f>
        <v>01/03/2026</v>
      </c>
      <c r="F219" s="46" t="str">
        <f aca="false">IF(_PENDIENTES!$B$213&lt;&gt;"",_PENDIENTES!$F$213,"")</f>
        <v>PETROLEO</v>
      </c>
      <c r="G219" s="44" t="n">
        <f aca="false">IF(_PENDIENTES!$B$213&lt;&gt;"",_PENDIENTES!$G$213,"")</f>
        <v>7</v>
      </c>
      <c r="H219" s="44" t="n">
        <f aca="false">IF(_PENDIENTES!$B$213&lt;&gt;"",_PENDIENTES!$H$213,"")</f>
        <v>141.75</v>
      </c>
      <c r="I219" s="113" t="str">
        <f aca="false">IF(_PENDIENTES!$B$213&lt;&gt;"",_PENDIENTES!$I$213,"")</f>
        <v/>
      </c>
      <c r="J219" s="44" t="str">
        <f aca="false">IF(_PENDIENTES!$B$213&lt;&gt;"",_PENDIENTES!$J$213,"")</f>
        <v/>
      </c>
      <c r="K219" s="46" t="str">
        <f aca="false">IF(_PENDIENTES!$B$213&lt;&gt;"","POR RECOGER","")</f>
        <v>POR RECOGER</v>
      </c>
      <c r="L219" s="46" t="n">
        <f aca="false">IF(_PENDIENTES!$B$213&lt;&gt;"",_PENDIENTES!$K$213,"")</f>
        <v>0</v>
      </c>
      <c r="M219" s="85" t="str">
        <f aca="false">IF(_PENDIENTES!$B$213&lt;&gt;"",_PENDIENTES!$B$213,"")</f>
        <v>MARIA AUXILIADORA</v>
      </c>
      <c r="N219" s="109" t="str">
        <f aca="false">IF(_PENDIENTES!$B$213&lt;&gt;"",_PENDIENTES!$L$213,"")</f>
        <v>MARIA AUXILIADORA</v>
      </c>
      <c r="O219" s="89"/>
      <c r="P219" s="89"/>
      <c r="Q219" s="89"/>
      <c r="R219" s="89"/>
      <c r="S219" s="89"/>
    </row>
    <row r="220" customFormat="false" ht="15.75" hidden="true" customHeight="true" outlineLevel="0" collapsed="false">
      <c r="A220" s="106" t="n">
        <f aca="false">IF(_PENDIENTES!$B$214&lt;&gt;"",213,"")</f>
        <v>213</v>
      </c>
      <c r="B220" s="47" t="str">
        <f aca="false">IF(_PENDIENTES!$B$214&lt;&gt;"",_PENDIENTES!$A$214,"")</f>
        <v>MAR</v>
      </c>
      <c r="C220" s="107" t="str">
        <f aca="false">IF(_PENDIENTES!$B$214&lt;&gt;"",_PENDIENTES!$C$214,"")</f>
        <v>HORNA GUIOP ANA VICTORIA</v>
      </c>
      <c r="D220" s="106" t="str">
        <f aca="false">IF(_PENDIENTES!$B$214&lt;&gt;"",_PENDIENTES!$D$214,"")</f>
        <v>33416390</v>
      </c>
      <c r="E220" s="111" t="str">
        <f aca="false">IF(_PENDIENTES!$B$214&lt;&gt;"",_PENDIENTES!$E$214,"")</f>
        <v>01/03/2026</v>
      </c>
      <c r="F220" s="106" t="str">
        <f aca="false">IF(_PENDIENTES!$B$214&lt;&gt;"",_PENDIENTES!$F$214,"")</f>
        <v>PETROLEO</v>
      </c>
      <c r="G220" s="50" t="n">
        <f aca="false">IF(_PENDIENTES!$B$214&lt;&gt;"",_PENDIENTES!$G$214,"")</f>
        <v>7</v>
      </c>
      <c r="H220" s="50" t="n">
        <f aca="false">IF(_PENDIENTES!$B$214&lt;&gt;"",_PENDIENTES!$H$214,"")</f>
        <v>127.26</v>
      </c>
      <c r="I220" s="108" t="str">
        <f aca="false">IF(_PENDIENTES!$B$214&lt;&gt;"",_PENDIENTES!$I$214,"")</f>
        <v>LEIVA LARA JUNIOR</v>
      </c>
      <c r="J220" s="50" t="str">
        <f aca="false">IF(_PENDIENTES!$B$214&lt;&gt;"",_PENDIENTES!$J$214,"")</f>
        <v>EUC 959</v>
      </c>
      <c r="K220" s="106" t="str">
        <f aca="false">IF(_PENDIENTES!$B$214&lt;&gt;"","POR RECOGER","")</f>
        <v>POR RECOGER</v>
      </c>
      <c r="L220" s="106" t="n">
        <f aca="false">IF(_PENDIENTES!$B$214&lt;&gt;"",_PENDIENTES!$K$214,"")</f>
        <v>0</v>
      </c>
      <c r="M220" s="85" t="str">
        <f aca="false">IF(_PENDIENTES!$B$214&lt;&gt;"",_PENDIENTES!$B$214,"")</f>
        <v>JALCA GRANDE</v>
      </c>
      <c r="N220" s="109" t="str">
        <f aca="false">IF(_PENDIENTES!$B$214&lt;&gt;"",_PENDIENTES!$L$214,"")</f>
        <v>JALCA GRANDE</v>
      </c>
      <c r="O220" s="89"/>
      <c r="P220" s="89"/>
      <c r="Q220" s="89"/>
      <c r="R220" s="89"/>
      <c r="S220" s="89"/>
    </row>
    <row r="221" customFormat="false" ht="15.75" hidden="true" customHeight="true" outlineLevel="0" collapsed="false">
      <c r="A221" s="46" t="n">
        <f aca="false">IF(_PENDIENTES!$B$215&lt;&gt;"",214,"")</f>
        <v>214</v>
      </c>
      <c r="B221" s="41" t="str">
        <f aca="false">IF(_PENDIENTES!$B$215&lt;&gt;"",_PENDIENTES!$A$215,"")</f>
        <v>MAR</v>
      </c>
      <c r="C221" s="110" t="str">
        <f aca="false">IF(_PENDIENTES!$B$215&lt;&gt;"",_PENDIENTES!$C$215,"")</f>
        <v>GUEVARA CUBAS ORLANDO JESUS</v>
      </c>
      <c r="D221" s="46" t="str">
        <f aca="false">IF(_PENDIENTES!$B$215&lt;&gt;"",_PENDIENTES!$D$215,"")</f>
        <v>80251775</v>
      </c>
      <c r="E221" s="112" t="str">
        <f aca="false">IF(_PENDIENTES!$B$215&lt;&gt;"",_PENDIENTES!$E$215,"")</f>
        <v>01/03/2026</v>
      </c>
      <c r="F221" s="46" t="str">
        <f aca="false">IF(_PENDIENTES!$B$215&lt;&gt;"",_PENDIENTES!$F$215,"")</f>
        <v>PETROLEO</v>
      </c>
      <c r="G221" s="44" t="n">
        <f aca="false">IF(_PENDIENTES!$B$215&lt;&gt;"",_PENDIENTES!$G$215,"")</f>
        <v>6</v>
      </c>
      <c r="H221" s="44" t="n">
        <f aca="false">IF(_PENDIENTES!$B$215&lt;&gt;"",_PENDIENTES!$H$215,"")</f>
        <v>109.08</v>
      </c>
      <c r="I221" s="113" t="str">
        <f aca="false">IF(_PENDIENTES!$B$215&lt;&gt;"",_PENDIENTES!$I$215,"")</f>
        <v>CHICANA LOPEZ MANUEL HECTOR</v>
      </c>
      <c r="J221" s="44" t="str">
        <f aca="false">IF(_PENDIENTES!$B$215&lt;&gt;"",_PENDIENTES!$J$215,"")</f>
        <v>EUH747</v>
      </c>
      <c r="K221" s="46" t="str">
        <f aca="false">IF(_PENDIENTES!$B$215&lt;&gt;"","POR RECOGER","")</f>
        <v>POR RECOGER</v>
      </c>
      <c r="L221" s="46" t="n">
        <f aca="false">IF(_PENDIENTES!$B$215&lt;&gt;"",_PENDIENTES!$K$215,"")</f>
        <v>0</v>
      </c>
      <c r="M221" s="85" t="str">
        <f aca="false">IF(_PENDIENTES!$B$215&lt;&gt;"",_PENDIENTES!$B$215,"")</f>
        <v>POMACOCHAS</v>
      </c>
      <c r="N221" s="109" t="str">
        <f aca="false">IF(_PENDIENTES!$B$215&lt;&gt;"",_PENDIENTES!$L$215,"")</f>
        <v>POMACOCHAS</v>
      </c>
      <c r="O221" s="89"/>
      <c r="P221" s="89"/>
      <c r="Q221" s="89"/>
      <c r="R221" s="89"/>
      <c r="S221" s="89"/>
    </row>
    <row r="222" customFormat="false" ht="15.75" hidden="true" customHeight="true" outlineLevel="0" collapsed="false">
      <c r="A222" s="106" t="n">
        <f aca="false">IF(_PENDIENTES!$B$216&lt;&gt;"",215,"")</f>
        <v>215</v>
      </c>
      <c r="B222" s="47" t="str">
        <f aca="false">IF(_PENDIENTES!$B$216&lt;&gt;"",_PENDIENTES!$A$216,"")</f>
        <v>MAR</v>
      </c>
      <c r="C222" s="107" t="str">
        <f aca="false">IF(_PENDIENTES!$B$216&lt;&gt;"",_PENDIENTES!$C$216,"")</f>
        <v>SEGURA BUSTAMANTE AIDEE</v>
      </c>
      <c r="D222" s="106" t="str">
        <f aca="false">IF(_PENDIENTES!$B$216&lt;&gt;"",_PENDIENTES!$D$216,"")</f>
        <v>47664874</v>
      </c>
      <c r="E222" s="111" t="str">
        <f aca="false">IF(_PENDIENTES!$B$216&lt;&gt;"",_PENDIENTES!$E$216,"")</f>
        <v>01/03/2026</v>
      </c>
      <c r="F222" s="106" t="str">
        <f aca="false">IF(_PENDIENTES!$B$216&lt;&gt;"",_PENDIENTES!$F$216,"")</f>
        <v>GASOLINA</v>
      </c>
      <c r="G222" s="50" t="n">
        <f aca="false">IF(_PENDIENTES!$B$216&lt;&gt;"",_PENDIENTES!$G$216,"")</f>
        <v>15</v>
      </c>
      <c r="H222" s="50" t="n">
        <f aca="false">IF(_PENDIENTES!$B$216&lt;&gt;"",_PENDIENTES!$H$216,"")</f>
        <v>269.25</v>
      </c>
      <c r="I222" s="108" t="str">
        <f aca="false">IF(_PENDIENTES!$B$216&lt;&gt;"",_PENDIENTES!$I$216,"")</f>
        <v>RONAL SAUCEDO GUEVARA</v>
      </c>
      <c r="J222" s="50" t="str">
        <f aca="false">IF(_PENDIENTES!$B$216&lt;&gt;"",_PENDIENTES!$J$216,"")</f>
        <v>EUB-067</v>
      </c>
      <c r="K222" s="106" t="str">
        <f aca="false">IF(_PENDIENTES!$B$216&lt;&gt;"","POR RECOGER","")</f>
        <v>POR RECOGER</v>
      </c>
      <c r="L222" s="106" t="n">
        <f aca="false">IF(_PENDIENTES!$B$216&lt;&gt;"",_PENDIENTES!$K$216,"")</f>
        <v>0</v>
      </c>
      <c r="M222" s="85" t="str">
        <f aca="false">IF(_PENDIENTES!$B$216&lt;&gt;"",_PENDIENTES!$B$216,"")</f>
        <v>BUENOS AIRES</v>
      </c>
      <c r="N222" s="109" t="str">
        <f aca="false">IF(_PENDIENTES!$B$216&lt;&gt;"",_PENDIENTES!$L$216,"")</f>
        <v>BUENOS AIRES</v>
      </c>
      <c r="O222" s="89"/>
      <c r="P222" s="89"/>
      <c r="Q222" s="89"/>
      <c r="R222" s="89"/>
      <c r="S222" s="89"/>
    </row>
    <row r="223" customFormat="false" ht="15.75" hidden="true" customHeight="true" outlineLevel="0" collapsed="false">
      <c r="A223" s="46" t="n">
        <f aca="false">IF(_PENDIENTES!$B$217&lt;&gt;"",216,"")</f>
        <v>216</v>
      </c>
      <c r="B223" s="41" t="str">
        <f aca="false">IF(_PENDIENTES!$B$217&lt;&gt;"",_PENDIENTES!$A$217,"")</f>
        <v>MAR</v>
      </c>
      <c r="C223" s="110" t="str">
        <f aca="false">IF(_PENDIENTES!$B$217&lt;&gt;"",_PENDIENTES!$C$217,"")</f>
        <v>DIAPIZ ROJAS DANNA ANTONELA</v>
      </c>
      <c r="D223" s="46" t="str">
        <f aca="false">IF(_PENDIENTES!$B$217&lt;&gt;"",_PENDIENTES!$D$217,"")</f>
        <v>93906119</v>
      </c>
      <c r="E223" s="112" t="str">
        <f aca="false">IF(_PENDIENTES!$B$217&lt;&gt;"",_PENDIENTES!$E$217,"")</f>
        <v>01/03/2026</v>
      </c>
      <c r="F223" s="46" t="str">
        <f aca="false">IF(_PENDIENTES!$B$217&lt;&gt;"",_PENDIENTES!$F$217,"")</f>
        <v>PETROLEO</v>
      </c>
      <c r="G223" s="44" t="n">
        <f aca="false">IF(_PENDIENTES!$B$217&lt;&gt;"",_PENDIENTES!$G$217,"")</f>
        <v>4</v>
      </c>
      <c r="H223" s="44" t="n">
        <f aca="false">IF(_PENDIENTES!$B$217&lt;&gt;"",_PENDIENTES!$H$217,"")</f>
        <v>72.72</v>
      </c>
      <c r="I223" s="113" t="str">
        <f aca="false">IF(_PENDIENTES!$B$217&lt;&gt;"",_PENDIENTES!$I$217,"")</f>
        <v>DANIEL ZELADA TRUJILLO</v>
      </c>
      <c r="J223" s="44" t="str">
        <f aca="false">IF(_PENDIENTES!$B$217&lt;&gt;"",_PENDIENTES!$J$217,"")</f>
        <v>EUA-963</v>
      </c>
      <c r="K223" s="46" t="str">
        <f aca="false">IF(_PENDIENTES!$B$217&lt;&gt;"","POR RECOGER","")</f>
        <v>POR RECOGER</v>
      </c>
      <c r="L223" s="46" t="n">
        <f aca="false">IF(_PENDIENTES!$B$217&lt;&gt;"",_PENDIENTES!$K$217,"")</f>
        <v>0</v>
      </c>
      <c r="M223" s="85" t="str">
        <f aca="false">IF(_PENDIENTES!$B$217&lt;&gt;"",_PENDIENTES!$B$217,"")</f>
        <v>LUYA</v>
      </c>
      <c r="N223" s="109" t="str">
        <f aca="false">IF(_PENDIENTES!$B$217&lt;&gt;"",_PENDIENTES!$L$217,"")</f>
        <v>LUYA</v>
      </c>
      <c r="O223" s="89"/>
      <c r="P223" s="89"/>
      <c r="Q223" s="89"/>
      <c r="R223" s="89"/>
      <c r="S223" s="89"/>
    </row>
    <row r="224" customFormat="false" ht="15.75" hidden="true" customHeight="true" outlineLevel="0" collapsed="false">
      <c r="A224" s="106" t="n">
        <f aca="false">IF(_PENDIENTES!$B$218&lt;&gt;"",217,"")</f>
        <v>217</v>
      </c>
      <c r="B224" s="47" t="str">
        <f aca="false">IF(_PENDIENTES!$B$218&lt;&gt;"",_PENDIENTES!$A$218,"")</f>
        <v>MAR</v>
      </c>
      <c r="C224" s="107" t="str">
        <f aca="false">IF(_PENDIENTES!$B$218&lt;&gt;"",_PENDIENTES!$C$218,"")</f>
        <v>MUÑOZ LLANOS JUANA</v>
      </c>
      <c r="D224" s="106" t="str">
        <f aca="false">IF(_PENDIENTES!$B$218&lt;&gt;"",_PENDIENTES!$D$218,"")</f>
        <v>49071793</v>
      </c>
      <c r="E224" s="111" t="str">
        <f aca="false">IF(_PENDIENTES!$B$218&lt;&gt;"",_PENDIENTES!$E$218,"")</f>
        <v>02/03/2026</v>
      </c>
      <c r="F224" s="106" t="str">
        <f aca="false">IF(_PENDIENTES!$B$218&lt;&gt;"",_PENDIENTES!$F$218,"")</f>
        <v>PETROLEO</v>
      </c>
      <c r="G224" s="50" t="n">
        <f aca="false">IF(_PENDIENTES!$B$218&lt;&gt;"",_PENDIENTES!$G$218,"")</f>
        <v>7.1</v>
      </c>
      <c r="H224" s="50" t="n">
        <f aca="false">IF(_PENDIENTES!$B$218&lt;&gt;"",_PENDIENTES!$H$218,"")</f>
        <v>143.775</v>
      </c>
      <c r="I224" s="108" t="str">
        <f aca="false">IF(_PENDIENTES!$B$218&lt;&gt;"",_PENDIENTES!$I$218,"")</f>
        <v>SERNAQUE PELAEZ WILMER</v>
      </c>
      <c r="J224" s="50" t="str">
        <f aca="false">IF(_PENDIENTES!$B$218&lt;&gt;"",_PENDIENTES!$J$218,"")</f>
        <v>EUH-421</v>
      </c>
      <c r="K224" s="106" t="str">
        <f aca="false">IF(_PENDIENTES!$B$218&lt;&gt;"","POR RECOGER","")</f>
        <v>POR RECOGER</v>
      </c>
      <c r="L224" s="106" t="n">
        <f aca="false">IF(_PENDIENTES!$B$218&lt;&gt;"",_PENDIENTES!$K$218,"")</f>
        <v>0</v>
      </c>
      <c r="M224" s="85" t="str">
        <f aca="false">IF(_PENDIENTES!$B$218&lt;&gt;"",_PENDIENTES!$B$218,"")</f>
        <v>MARIA AUXILIADORA</v>
      </c>
      <c r="N224" s="109" t="str">
        <f aca="false">IF(_PENDIENTES!$B$218&lt;&gt;"",_PENDIENTES!$L$218,"")</f>
        <v>MARIA AUXILIADORA</v>
      </c>
      <c r="O224" s="89"/>
      <c r="P224" s="89"/>
      <c r="Q224" s="89"/>
      <c r="R224" s="89"/>
      <c r="S224" s="89"/>
    </row>
    <row r="225" customFormat="false" ht="15.75" hidden="true" customHeight="true" outlineLevel="0" collapsed="false">
      <c r="A225" s="46" t="n">
        <f aca="false">IF(_PENDIENTES!$B$219&lt;&gt;"",218,"")</f>
        <v>218</v>
      </c>
      <c r="B225" s="41" t="str">
        <f aca="false">IF(_PENDIENTES!$B$219&lt;&gt;"",_PENDIENTES!$A$219,"")</f>
        <v>MAR</v>
      </c>
      <c r="C225" s="110" t="str">
        <f aca="false">IF(_PENDIENTES!$B$219&lt;&gt;"",_PENDIENTES!$C$219,"")</f>
        <v>VASQUEZ BENAVIDES FRANCISCO</v>
      </c>
      <c r="D225" s="46" t="str">
        <f aca="false">IF(_PENDIENTES!$B$219&lt;&gt;"",_PENDIENTES!$D$219,"")</f>
        <v>27547313</v>
      </c>
      <c r="E225" s="112" t="str">
        <f aca="false">IF(_PENDIENTES!$B$219&lt;&gt;"",_PENDIENTES!$E$219,"")</f>
        <v>02/03/2026</v>
      </c>
      <c r="F225" s="46" t="str">
        <f aca="false">IF(_PENDIENTES!$B$219&lt;&gt;"",_PENDIENTES!$F$219,"")</f>
        <v>PETROLEO</v>
      </c>
      <c r="G225" s="44" t="n">
        <f aca="false">IF(_PENDIENTES!$B$219&lt;&gt;"",_PENDIENTES!$G$219,"")</f>
        <v>6</v>
      </c>
      <c r="H225" s="44" t="n">
        <f aca="false">IF(_PENDIENTES!$B$219&lt;&gt;"",_PENDIENTES!$H$219,"")</f>
        <v>109.08</v>
      </c>
      <c r="I225" s="113" t="str">
        <f aca="false">IF(_PENDIENTES!$B$219&lt;&gt;"",_PENDIENTES!$I$219,"")</f>
        <v>CHICANA LOPEZ MANUEL HECTOR</v>
      </c>
      <c r="J225" s="44" t="str">
        <f aca="false">IF(_PENDIENTES!$B$219&lt;&gt;"",_PENDIENTES!$J$219,"")</f>
        <v>EUH747</v>
      </c>
      <c r="K225" s="46" t="str">
        <f aca="false">IF(_PENDIENTES!$B$219&lt;&gt;"","POR RECOGER","")</f>
        <v>POR RECOGER</v>
      </c>
      <c r="L225" s="46" t="n">
        <f aca="false">IF(_PENDIENTES!$B$219&lt;&gt;"",_PENDIENTES!$K$219,"")</f>
        <v>0</v>
      </c>
      <c r="M225" s="85" t="str">
        <f aca="false">IF(_PENDIENTES!$B$219&lt;&gt;"",_PENDIENTES!$B$219,"")</f>
        <v>POMACOCHAS</v>
      </c>
      <c r="N225" s="109" t="str">
        <f aca="false">IF(_PENDIENTES!$B$219&lt;&gt;"",_PENDIENTES!$L$219,"")</f>
        <v>POMACOCHAS</v>
      </c>
      <c r="O225" s="89"/>
      <c r="P225" s="89"/>
      <c r="Q225" s="89"/>
      <c r="R225" s="89"/>
      <c r="S225" s="89"/>
    </row>
    <row r="226" customFormat="false" ht="15.75" hidden="true" customHeight="true" outlineLevel="0" collapsed="false">
      <c r="A226" s="106" t="n">
        <f aca="false">IF(_PENDIENTES!$B$220&lt;&gt;"",219,"")</f>
        <v>219</v>
      </c>
      <c r="B226" s="47" t="str">
        <f aca="false">IF(_PENDIENTES!$B$220&lt;&gt;"",_PENDIENTES!$A$220,"")</f>
        <v>MAR</v>
      </c>
      <c r="C226" s="107" t="str">
        <f aca="false">IF(_PENDIENTES!$B$220&lt;&gt;"",_PENDIENTES!$C$220,"")</f>
        <v>TEJADA TUESTA JUANA</v>
      </c>
      <c r="D226" s="106" t="str">
        <f aca="false">IF(_PENDIENTES!$B$220&lt;&gt;"",_PENDIENTES!$D$220,"")</f>
        <v>33945273</v>
      </c>
      <c r="E226" s="111" t="str">
        <f aca="false">IF(_PENDIENTES!$B$220&lt;&gt;"",_PENDIENTES!$E$220,"")</f>
        <v>03/03/2026</v>
      </c>
      <c r="F226" s="106" t="str">
        <f aca="false">IF(_PENDIENTES!$B$220&lt;&gt;"",_PENDIENTES!$F$220,"")</f>
        <v>PETROLEO</v>
      </c>
      <c r="G226" s="50" t="n">
        <f aca="false">IF(_PENDIENTES!$B$220&lt;&gt;"",_PENDIENTES!$G$220,"")</f>
        <v>7</v>
      </c>
      <c r="H226" s="50" t="n">
        <f aca="false">IF(_PENDIENTES!$B$220&lt;&gt;"",_PENDIENTES!$H$220,"")</f>
        <v>141.75</v>
      </c>
      <c r="I226" s="108" t="str">
        <f aca="false">IF(_PENDIENTES!$B$220&lt;&gt;"",_PENDIENTES!$I$220,"")</f>
        <v>SERNAQUE PELAEZ WILMER</v>
      </c>
      <c r="J226" s="50" t="str">
        <f aca="false">IF(_PENDIENTES!$B$220&lt;&gt;"",_PENDIENTES!$J$220,"")</f>
        <v>EUH-421</v>
      </c>
      <c r="K226" s="106" t="str">
        <f aca="false">IF(_PENDIENTES!$B$220&lt;&gt;"","POR RECOGER","")</f>
        <v>POR RECOGER</v>
      </c>
      <c r="L226" s="106" t="n">
        <f aca="false">IF(_PENDIENTES!$B$220&lt;&gt;"",_PENDIENTES!$K$220,"")</f>
        <v>0</v>
      </c>
      <c r="M226" s="85" t="str">
        <f aca="false">IF(_PENDIENTES!$B$220&lt;&gt;"",_PENDIENTES!$B$220,"")</f>
        <v>MARIA AUXILIADORA</v>
      </c>
      <c r="N226" s="109" t="str">
        <f aca="false">IF(_PENDIENTES!$B$220&lt;&gt;"",_PENDIENTES!$L$220,"")</f>
        <v>MARIA AUXILIADORA</v>
      </c>
      <c r="O226" s="89"/>
      <c r="P226" s="89"/>
      <c r="Q226" s="89"/>
      <c r="R226" s="89"/>
      <c r="S226" s="89"/>
    </row>
    <row r="227" customFormat="false" ht="15.75" hidden="true" customHeight="true" outlineLevel="0" collapsed="false">
      <c r="A227" s="46" t="n">
        <f aca="false">IF(_PENDIENTES!$B$221&lt;&gt;"",220,"")</f>
        <v>220</v>
      </c>
      <c r="B227" s="41" t="str">
        <f aca="false">IF(_PENDIENTES!$B$221&lt;&gt;"",_PENDIENTES!$A$221,"")</f>
        <v>MAR</v>
      </c>
      <c r="C227" s="110" t="str">
        <f aca="false">IF(_PENDIENTES!$B$221&lt;&gt;"",_PENDIENTES!$C$221,"")</f>
        <v>REYNALDO HUAMAN CULQUI</v>
      </c>
      <c r="D227" s="46" t="str">
        <f aca="false">IF(_PENDIENTES!$B$221&lt;&gt;"",_PENDIENTES!$D$221,"")</f>
        <v>80538348</v>
      </c>
      <c r="E227" s="112" t="str">
        <f aca="false">IF(_PENDIENTES!$B$221&lt;&gt;"",_PENDIENTES!$E$221,"")</f>
        <v>03/03/2026</v>
      </c>
      <c r="F227" s="46" t="str">
        <f aca="false">IF(_PENDIENTES!$B$221&lt;&gt;"",_PENDIENTES!$F$221,"")</f>
        <v>PETROLEO</v>
      </c>
      <c r="G227" s="44" t="n">
        <f aca="false">IF(_PENDIENTES!$B$221&lt;&gt;"",_PENDIENTES!$G$221,"")</f>
        <v>7</v>
      </c>
      <c r="H227" s="44" t="n">
        <f aca="false">IF(_PENDIENTES!$B$221&lt;&gt;"",_PENDIENTES!$H$221,"")</f>
        <v>141.75</v>
      </c>
      <c r="I227" s="113" t="str">
        <f aca="false">IF(_PENDIENTES!$B$221&lt;&gt;"",_PENDIENTES!$I$221,"")</f>
        <v>ROJAS ALVARADO BENJAMIN</v>
      </c>
      <c r="J227" s="44" t="str">
        <f aca="false">IF(_PENDIENTES!$B$221&lt;&gt;"",_PENDIENTES!$J$221,"")</f>
        <v>421 EUH</v>
      </c>
      <c r="K227" s="46" t="str">
        <f aca="false">IF(_PENDIENTES!$B$221&lt;&gt;"","POR RECOGER","")</f>
        <v>POR RECOGER</v>
      </c>
      <c r="L227" s="46" t="n">
        <f aca="false">IF(_PENDIENTES!$B$221&lt;&gt;"",_PENDIENTES!$K$221,"")</f>
        <v>0</v>
      </c>
      <c r="M227" s="85" t="str">
        <f aca="false">IF(_PENDIENTES!$B$221&lt;&gt;"",_PENDIENTES!$B$221,"")</f>
        <v>MARIA AUXILIADORA</v>
      </c>
      <c r="N227" s="109" t="str">
        <f aca="false">IF(_PENDIENTES!$B$221&lt;&gt;"",_PENDIENTES!$L$221,"")</f>
        <v>MARIA AUXILIADORA</v>
      </c>
      <c r="O227" s="89"/>
      <c r="P227" s="89"/>
      <c r="Q227" s="89"/>
      <c r="R227" s="89"/>
      <c r="S227" s="89"/>
    </row>
    <row r="228" customFormat="false" ht="15.75" hidden="true" customHeight="true" outlineLevel="0" collapsed="false">
      <c r="A228" s="106" t="n">
        <f aca="false">IF(_PENDIENTES!$B$222&lt;&gt;"",221,"")</f>
        <v>221</v>
      </c>
      <c r="B228" s="47" t="str">
        <f aca="false">IF(_PENDIENTES!$B$222&lt;&gt;"",_PENDIENTES!$A$222,"")</f>
        <v>MAR</v>
      </c>
      <c r="C228" s="107" t="str">
        <f aca="false">IF(_PENDIENTES!$B$222&lt;&gt;"",_PENDIENTES!$C$222,"")</f>
        <v>PEREZ DIAZ MARIA NELLY</v>
      </c>
      <c r="D228" s="106" t="str">
        <f aca="false">IF(_PENDIENTES!$B$222&lt;&gt;"",_PENDIENTES!$D$222,"")</f>
        <v>76236830</v>
      </c>
      <c r="E228" s="111" t="str">
        <f aca="false">IF(_PENDIENTES!$B$222&lt;&gt;"",_PENDIENTES!$E$222,"")</f>
        <v>03/03/2026</v>
      </c>
      <c r="F228" s="106" t="str">
        <f aca="false">IF(_PENDIENTES!$B$222&lt;&gt;"",_PENDIENTES!$F$222,"")</f>
        <v>PETROLEO</v>
      </c>
      <c r="G228" s="50" t="n">
        <f aca="false">IF(_PENDIENTES!$B$222&lt;&gt;"",_PENDIENTES!$G$222,"")</f>
        <v>5</v>
      </c>
      <c r="H228" s="50" t="n">
        <f aca="false">IF(_PENDIENTES!$B$222&lt;&gt;"",_PENDIENTES!$H$222,"")</f>
        <v>90.9</v>
      </c>
      <c r="I228" s="108" t="str">
        <f aca="false">IF(_PENDIENTES!$B$222&lt;&gt;"",_PENDIENTES!$I$222,"")</f>
        <v>RIOS CHAVEZ WUILQUE</v>
      </c>
      <c r="J228" s="50" t="str">
        <f aca="false">IF(_PENDIENTES!$B$222&lt;&gt;"",_PENDIENTES!$J$222,"")</f>
        <v>EUD360</v>
      </c>
      <c r="K228" s="106" t="str">
        <f aca="false">IF(_PENDIENTES!$B$222&lt;&gt;"","POR RECOGER","")</f>
        <v>POR RECOGER</v>
      </c>
      <c r="L228" s="106" t="n">
        <f aca="false">IF(_PENDIENTES!$B$222&lt;&gt;"",_PENDIENTES!$K$222,"")</f>
        <v>0</v>
      </c>
      <c r="M228" s="85" t="str">
        <f aca="false">IF(_PENDIENTES!$B$222&lt;&gt;"",_PENDIENTES!$B$222,"")</f>
        <v>PEDRO RUIZ GALLO</v>
      </c>
      <c r="N228" s="109" t="str">
        <f aca="false">IF(_PENDIENTES!$B$222&lt;&gt;"",_PENDIENTES!$L$222,"")</f>
        <v>PEDRO RUIZ GALLO</v>
      </c>
      <c r="O228" s="89"/>
      <c r="P228" s="89"/>
      <c r="Q228" s="89"/>
      <c r="R228" s="89"/>
      <c r="S228" s="89"/>
    </row>
    <row r="229" customFormat="false" ht="15.75" hidden="true" customHeight="true" outlineLevel="0" collapsed="false">
      <c r="A229" s="46" t="n">
        <f aca="false">IF(_PENDIENTES!$B$223&lt;&gt;"",222,"")</f>
        <v>222</v>
      </c>
      <c r="B229" s="41" t="str">
        <f aca="false">IF(_PENDIENTES!$B$223&lt;&gt;"",_PENDIENTES!$A$223,"")</f>
        <v>MAR</v>
      </c>
      <c r="C229" s="110" t="str">
        <f aca="false">IF(_PENDIENTES!$B$223&lt;&gt;"",_PENDIENTES!$C$223,"")</f>
        <v>HUERTA ORIHUELA FIORELA ISABEL</v>
      </c>
      <c r="D229" s="46" t="str">
        <f aca="false">IF(_PENDIENTES!$B$223&lt;&gt;"",_PENDIENTES!$D$223,"")</f>
        <v>47598878</v>
      </c>
      <c r="E229" s="112" t="str">
        <f aca="false">IF(_PENDIENTES!$B$223&lt;&gt;"",_PENDIENTES!$E$223,"")</f>
        <v>04/03/2026</v>
      </c>
      <c r="F229" s="46" t="str">
        <f aca="false">IF(_PENDIENTES!$B$223&lt;&gt;"",_PENDIENTES!$F$223,"")</f>
        <v>PETROLEO</v>
      </c>
      <c r="G229" s="44" t="n">
        <f aca="false">IF(_PENDIENTES!$B$223&lt;&gt;"",_PENDIENTES!$G$223,"")</f>
        <v>6</v>
      </c>
      <c r="H229" s="44" t="n">
        <f aca="false">IF(_PENDIENTES!$B$223&lt;&gt;"",_PENDIENTES!$H$223,"")</f>
        <v>109.08</v>
      </c>
      <c r="I229" s="113" t="str">
        <f aca="false">IF(_PENDIENTES!$B$223&lt;&gt;"",_PENDIENTES!$I$223,"")</f>
        <v>SANCHEZ CAJO VICENTE</v>
      </c>
      <c r="J229" s="44" t="str">
        <f aca="false">IF(_PENDIENTES!$B$223&lt;&gt;"",_PENDIENTES!$J$223,"")</f>
        <v>EGL-296</v>
      </c>
      <c r="K229" s="46" t="str">
        <f aca="false">IF(_PENDIENTES!$B$223&lt;&gt;"","POR RECOGER","")</f>
        <v>POR RECOGER</v>
      </c>
      <c r="L229" s="46" t="n">
        <f aca="false">IF(_PENDIENTES!$B$223&lt;&gt;"",_PENDIENTES!$K$223,"")</f>
        <v>0</v>
      </c>
      <c r="M229" s="85" t="str">
        <f aca="false">IF(_PENDIENTES!$B$223&lt;&gt;"",_PENDIENTES!$B$223,"")</f>
        <v>YERBABUENA</v>
      </c>
      <c r="N229" s="109" t="str">
        <f aca="false">IF(_PENDIENTES!$B$223&lt;&gt;"",_PENDIENTES!$L$223,"")</f>
        <v>YERBABUENA</v>
      </c>
      <c r="O229" s="89"/>
      <c r="P229" s="89"/>
      <c r="Q229" s="89"/>
      <c r="R229" s="89"/>
      <c r="S229" s="89"/>
    </row>
    <row r="230" customFormat="false" ht="15.75" hidden="true" customHeight="true" outlineLevel="0" collapsed="false">
      <c r="A230" s="106" t="n">
        <f aca="false">IF(_PENDIENTES!$B$224&lt;&gt;"",223,"")</f>
        <v>223</v>
      </c>
      <c r="B230" s="47" t="str">
        <f aca="false">IF(_PENDIENTES!$B$224&lt;&gt;"",_PENDIENTES!$A$224,"")</f>
        <v>MAR</v>
      </c>
      <c r="C230" s="107" t="str">
        <f aca="false">IF(_PENDIENTES!$B$224&lt;&gt;"",_PENDIENTES!$C$224,"")</f>
        <v>BARRANTES TAFUR SEBASTIAN</v>
      </c>
      <c r="D230" s="106" t="str">
        <f aca="false">IF(_PENDIENTES!$B$224&lt;&gt;"",_PENDIENTES!$D$224,"")</f>
        <v>91328245</v>
      </c>
      <c r="E230" s="106" t="str">
        <f aca="false">IF(_PENDIENTES!$B$224&lt;&gt;"",_PENDIENTES!$E$224,"")</f>
        <v>04/03/2026</v>
      </c>
      <c r="F230" s="106" t="str">
        <f aca="false">IF(_PENDIENTES!$B$224&lt;&gt;"",_PENDIENTES!$F$224,"")</f>
        <v>GASOLINA</v>
      </c>
      <c r="G230" s="50" t="n">
        <f aca="false">IF(_PENDIENTES!$B$224&lt;&gt;"",_PENDIENTES!$G$224,"")</f>
        <v>6</v>
      </c>
      <c r="H230" s="50" t="n">
        <f aca="false">IF(_PENDIENTES!$B$224&lt;&gt;"",_PENDIENTES!$H$224,"")</f>
        <v>107.7</v>
      </c>
      <c r="I230" s="108" t="str">
        <f aca="false">IF(_PENDIENTES!$B$224&lt;&gt;"",_PENDIENTES!$I$224,"")</f>
        <v>MONTENEGRO RUIZ LUIS MIGUEL</v>
      </c>
      <c r="J230" s="50" t="str">
        <f aca="false">IF(_PENDIENTES!$B$224&lt;&gt;"",_PENDIENTES!$J$224,"")</f>
        <v>EUH-427</v>
      </c>
      <c r="K230" s="106" t="str">
        <f aca="false">IF(_PENDIENTES!$B$224&lt;&gt;"","POR RECOGER","")</f>
        <v>POR RECOGER</v>
      </c>
      <c r="L230" s="106" t="n">
        <f aca="false">IF(_PENDIENTES!$B$224&lt;&gt;"",_PENDIENTES!$K$224,"")</f>
        <v>0</v>
      </c>
      <c r="M230" s="85" t="str">
        <f aca="false">IF(_PENDIENTES!$B$224&lt;&gt;"",_PENDIENTES!$B$224,"")</f>
        <v>PEDRO RUIZ GALLO</v>
      </c>
      <c r="N230" s="109" t="str">
        <f aca="false">IF(_PENDIENTES!$B$224&lt;&gt;"",_PENDIENTES!$L$224,"")</f>
        <v>PEDRO RUIZ GALLO</v>
      </c>
      <c r="O230" s="89"/>
      <c r="P230" s="89"/>
      <c r="Q230" s="89"/>
      <c r="R230" s="89"/>
      <c r="S230" s="89"/>
    </row>
    <row r="231" customFormat="false" ht="15.75" hidden="true" customHeight="true" outlineLevel="0" collapsed="false">
      <c r="A231" s="46" t="n">
        <f aca="false">IF(_PENDIENTES!$B$225&lt;&gt;"",224,"")</f>
        <v>224</v>
      </c>
      <c r="B231" s="41" t="str">
        <f aca="false">IF(_PENDIENTES!$B$225&lt;&gt;"",_PENDIENTES!$A$225,"")</f>
        <v>MAR</v>
      </c>
      <c r="C231" s="110" t="str">
        <f aca="false">IF(_PENDIENTES!$B$225&lt;&gt;"",_PENDIENTES!$C$225,"")</f>
        <v>GUZMAN LLANOS GLORIELA</v>
      </c>
      <c r="D231" s="46" t="str">
        <f aca="false">IF(_PENDIENTES!$B$225&lt;&gt;"",_PENDIENTES!$D$225,"")</f>
        <v>48615157</v>
      </c>
      <c r="E231" s="46" t="str">
        <f aca="false">IF(_PENDIENTES!$B$225&lt;&gt;"",_PENDIENTES!$E$225,"")</f>
        <v>05/03/2026</v>
      </c>
      <c r="F231" s="46" t="str">
        <f aca="false">IF(_PENDIENTES!$B$225&lt;&gt;"",_PENDIENTES!$F$225,"")</f>
        <v>PETROLEO</v>
      </c>
      <c r="G231" s="44" t="n">
        <f aca="false">IF(_PENDIENTES!$B$225&lt;&gt;"",_PENDIENTES!$G$225,"")</f>
        <v>7</v>
      </c>
      <c r="H231" s="44" t="n">
        <f aca="false">IF(_PENDIENTES!$B$225&lt;&gt;"",_PENDIENTES!$H$225,"")</f>
        <v>141.75</v>
      </c>
      <c r="I231" s="110" t="str">
        <f aca="false">IF(_PENDIENTES!$B$225&lt;&gt;"",_PENDIENTES!$I$225,"")</f>
        <v>PORTOCARRERO PELAEZ MIGUEL ANTONIO</v>
      </c>
      <c r="J231" s="46" t="str">
        <f aca="false">IF(_PENDIENTES!$B$225&lt;&gt;"",_PENDIENTES!$J$225,"")</f>
        <v>EUH-421</v>
      </c>
      <c r="K231" s="46" t="str">
        <f aca="false">IF(_PENDIENTES!$B$225&lt;&gt;"","POR RECOGER","")</f>
        <v>POR RECOGER</v>
      </c>
      <c r="L231" s="46" t="n">
        <f aca="false">IF(_PENDIENTES!$B$225&lt;&gt;"",_PENDIENTES!$K$225,"")</f>
        <v>0</v>
      </c>
      <c r="M231" s="85" t="str">
        <f aca="false">IF(_PENDIENTES!$B$225&lt;&gt;"",_PENDIENTES!$B$225,"")</f>
        <v>MARIA AUXILIADORA</v>
      </c>
      <c r="N231" s="109" t="str">
        <f aca="false">IF(_PENDIENTES!$B$225&lt;&gt;"",_PENDIENTES!$L$225,"")</f>
        <v>MARIA AUXILIADORA</v>
      </c>
      <c r="O231" s="89"/>
      <c r="P231" s="89"/>
      <c r="Q231" s="89"/>
      <c r="R231" s="89"/>
      <c r="S231" s="89"/>
    </row>
    <row r="232" customFormat="false" ht="15.75" hidden="true" customHeight="true" outlineLevel="0" collapsed="false">
      <c r="A232" s="106" t="n">
        <f aca="false">IF(_PENDIENTES!$B$226&lt;&gt;"",225,"")</f>
        <v>225</v>
      </c>
      <c r="B232" s="47" t="str">
        <f aca="false">IF(_PENDIENTES!$B$226&lt;&gt;"",_PENDIENTES!$A$226,"")</f>
        <v>MAR</v>
      </c>
      <c r="C232" s="107" t="str">
        <f aca="false">IF(_PENDIENTES!$B$226&lt;&gt;"",_PENDIENTES!$C$226,"")</f>
        <v>SALAZAR RUIZ SAMUEL</v>
      </c>
      <c r="D232" s="106" t="str">
        <f aca="false">IF(_PENDIENTES!$B$226&lt;&gt;"",_PENDIENTES!$D$226,"")</f>
        <v>33436255</v>
      </c>
      <c r="E232" s="111" t="str">
        <f aca="false">IF(_PENDIENTES!$B$226&lt;&gt;"",_PENDIENTES!$E$226,"")</f>
        <v>05/03/2026</v>
      </c>
      <c r="F232" s="106" t="str">
        <f aca="false">IF(_PENDIENTES!$B$226&lt;&gt;"",_PENDIENTES!$F$226,"")</f>
        <v>PETROLEO</v>
      </c>
      <c r="G232" s="50" t="n">
        <f aca="false">IF(_PENDIENTES!$B$226&lt;&gt;"",_PENDIENTES!$G$226,"")</f>
        <v>6</v>
      </c>
      <c r="H232" s="50" t="n">
        <f aca="false">IF(_PENDIENTES!$B$226&lt;&gt;"",_PENDIENTES!$H$226,"")</f>
        <v>109.08</v>
      </c>
      <c r="I232" s="108" t="str">
        <f aca="false">IF(_PENDIENTES!$B$226&lt;&gt;"",_PENDIENTES!$I$226,"")</f>
        <v>SANCHEZ CAJO VICENTE</v>
      </c>
      <c r="J232" s="50" t="str">
        <f aca="false">IF(_PENDIENTES!$B$226&lt;&gt;"",_PENDIENTES!$J$226,"")</f>
        <v>EGL-296</v>
      </c>
      <c r="K232" s="106" t="str">
        <f aca="false">IF(_PENDIENTES!$B$226&lt;&gt;"","POR RECOGER","")</f>
        <v>POR RECOGER</v>
      </c>
      <c r="L232" s="106" t="n">
        <f aca="false">IF(_PENDIENTES!$B$226&lt;&gt;"",_PENDIENTES!$K$226,"")</f>
        <v>0</v>
      </c>
      <c r="M232" s="85" t="str">
        <f aca="false">IF(_PENDIENTES!$B$226&lt;&gt;"",_PENDIENTES!$B$226,"")</f>
        <v>YERBABUENA</v>
      </c>
      <c r="N232" s="109" t="str">
        <f aca="false">IF(_PENDIENTES!$B$226&lt;&gt;"",_PENDIENTES!$L$226,"")</f>
        <v>YERBABUENA</v>
      </c>
      <c r="O232" s="89"/>
      <c r="P232" s="89"/>
      <c r="Q232" s="89"/>
      <c r="R232" s="89"/>
      <c r="S232" s="89"/>
    </row>
    <row r="233" customFormat="false" ht="15.75" hidden="true" customHeight="true" outlineLevel="0" collapsed="false">
      <c r="A233" s="46" t="n">
        <f aca="false">IF(_PENDIENTES!$B$227&lt;&gt;"",226,"")</f>
        <v>226</v>
      </c>
      <c r="B233" s="41" t="str">
        <f aca="false">IF(_PENDIENTES!$B$227&lt;&gt;"",_PENDIENTES!$A$227,"")</f>
        <v>MAR</v>
      </c>
      <c r="C233" s="110" t="str">
        <f aca="false">IF(_PENDIENTES!$B$227&lt;&gt;"",_PENDIENTES!$C$227,"")</f>
        <v>CHUQUIZUTA VALQUI ANTONIA</v>
      </c>
      <c r="D233" s="46" t="str">
        <f aca="false">IF(_PENDIENTES!$B$227&lt;&gt;"",_PENDIENTES!$D$227,"")</f>
        <v>72106519</v>
      </c>
      <c r="E233" s="112" t="str">
        <f aca="false">IF(_PENDIENTES!$B$227&lt;&gt;"",_PENDIENTES!$E$227,"")</f>
        <v>06/03/2026</v>
      </c>
      <c r="F233" s="46" t="str">
        <f aca="false">IF(_PENDIENTES!$B$227&lt;&gt;"",_PENDIENTES!$F$227,"")</f>
        <v>GASOLINA</v>
      </c>
      <c r="G233" s="44" t="n">
        <f aca="false">IF(_PENDIENTES!$B$227&lt;&gt;"",_PENDIENTES!$G$227,"")</f>
        <v>6</v>
      </c>
      <c r="H233" s="44" t="n">
        <f aca="false">IF(_PENDIENTES!$B$227&lt;&gt;"",_PENDIENTES!$H$227,"")</f>
        <v>107.7</v>
      </c>
      <c r="I233" s="113" t="str">
        <f aca="false">IF(_PENDIENTES!$B$227&lt;&gt;"",_PENDIENTES!$I$227,"")</f>
        <v>MONTENEGRO RUIZ LUIS MIGUEL</v>
      </c>
      <c r="J233" s="44" t="str">
        <f aca="false">IF(_PENDIENTES!$B$227&lt;&gt;"",_PENDIENTES!$J$227,"")</f>
        <v>EUH-427</v>
      </c>
      <c r="K233" s="46" t="str">
        <f aca="false">IF(_PENDIENTES!$B$227&lt;&gt;"","POR RECOGER","")</f>
        <v>POR RECOGER</v>
      </c>
      <c r="L233" s="46" t="n">
        <f aca="false">IF(_PENDIENTES!$B$227&lt;&gt;"",_PENDIENTES!$K$227,"")</f>
        <v>0</v>
      </c>
      <c r="M233" s="85" t="str">
        <f aca="false">IF(_PENDIENTES!$B$227&lt;&gt;"",_PENDIENTES!$B$227,"")</f>
        <v>PEDRO RUIZ GALLO</v>
      </c>
      <c r="N233" s="109" t="str">
        <f aca="false">IF(_PENDIENTES!$B$227&lt;&gt;"",_PENDIENTES!$L$227,"")</f>
        <v>PEDRO RUIZ GALLO</v>
      </c>
      <c r="O233" s="89"/>
      <c r="P233" s="89"/>
      <c r="Q233" s="89"/>
      <c r="R233" s="89"/>
      <c r="S233" s="89"/>
    </row>
    <row r="234" customFormat="false" ht="15.75" hidden="true" customHeight="true" outlineLevel="0" collapsed="false">
      <c r="A234" s="106" t="n">
        <f aca="false">IF(_PENDIENTES!$B$228&lt;&gt;"",227,"")</f>
        <v>227</v>
      </c>
      <c r="B234" s="47" t="str">
        <f aca="false">IF(_PENDIENTES!$B$228&lt;&gt;"",_PENDIENTES!$A$228,"")</f>
        <v>MAR</v>
      </c>
      <c r="C234" s="107" t="str">
        <f aca="false">IF(_PENDIENTES!$B$228&lt;&gt;"",_PENDIENTES!$C$228,"")</f>
        <v>PORTAL AÑASCO DENISE IBONE</v>
      </c>
      <c r="D234" s="106" t="str">
        <f aca="false">IF(_PENDIENTES!$B$228&lt;&gt;"",_PENDIENTES!$D$228,"")</f>
        <v>33733965</v>
      </c>
      <c r="E234" s="111" t="str">
        <f aca="false">IF(_PENDIENTES!$B$228&lt;&gt;"",_PENDIENTES!$E$228,"")</f>
        <v>06/03/2026</v>
      </c>
      <c r="F234" s="106" t="str">
        <f aca="false">IF(_PENDIENTES!$B$228&lt;&gt;"",_PENDIENTES!$F$228,"")</f>
        <v>GASOLINA</v>
      </c>
      <c r="G234" s="50" t="n">
        <f aca="false">IF(_PENDIENTES!$B$228&lt;&gt;"",_PENDIENTES!$G$228,"")</f>
        <v>6</v>
      </c>
      <c r="H234" s="50" t="n">
        <f aca="false">IF(_PENDIENTES!$B$228&lt;&gt;"",_PENDIENTES!$H$228,"")</f>
        <v>107.7</v>
      </c>
      <c r="I234" s="108" t="str">
        <f aca="false">IF(_PENDIENTES!$B$228&lt;&gt;"",_PENDIENTES!$I$228,"")</f>
        <v>RIOS CHAVEZ WUILQUE</v>
      </c>
      <c r="J234" s="50" t="str">
        <f aca="false">IF(_PENDIENTES!$B$228&lt;&gt;"",_PENDIENTES!$J$228,"")</f>
        <v>EUD360</v>
      </c>
      <c r="K234" s="106" t="str">
        <f aca="false">IF(_PENDIENTES!$B$228&lt;&gt;"","POR RECOGER","")</f>
        <v>POR RECOGER</v>
      </c>
      <c r="L234" s="106" t="n">
        <f aca="false">IF(_PENDIENTES!$B$228&lt;&gt;"",_PENDIENTES!$K$228,"")</f>
        <v>0</v>
      </c>
      <c r="M234" s="85" t="str">
        <f aca="false">IF(_PENDIENTES!$B$228&lt;&gt;"",_PENDIENTES!$B$228,"")</f>
        <v>PEDRO RUIZ GALLO</v>
      </c>
      <c r="N234" s="109" t="str">
        <f aca="false">IF(_PENDIENTES!$B$228&lt;&gt;"",_PENDIENTES!$L$228,"")</f>
        <v>PEDRO RUIZ GALLO</v>
      </c>
      <c r="O234" s="89"/>
      <c r="P234" s="89"/>
      <c r="Q234" s="89"/>
      <c r="R234" s="89"/>
      <c r="S234" s="89"/>
    </row>
    <row r="235" customFormat="false" ht="15.75" hidden="true" customHeight="true" outlineLevel="0" collapsed="false">
      <c r="A235" s="46" t="n">
        <f aca="false">IF(_PENDIENTES!$B$229&lt;&gt;"",228,"")</f>
        <v>228</v>
      </c>
      <c r="B235" s="41" t="str">
        <f aca="false">IF(_PENDIENTES!$B$229&lt;&gt;"",_PENDIENTES!$A$229,"")</f>
        <v>MAR</v>
      </c>
      <c r="C235" s="110" t="str">
        <f aca="false">IF(_PENDIENTES!$B$229&lt;&gt;"",_PENDIENTES!$C$229,"")</f>
        <v>TAFUR LOPEZ RITA TRINIDAD</v>
      </c>
      <c r="D235" s="46" t="str">
        <f aca="false">IF(_PENDIENTES!$B$229&lt;&gt;"",_PENDIENTES!$D$229,"")</f>
        <v>33949640</v>
      </c>
      <c r="E235" s="112" t="str">
        <f aca="false">IF(_PENDIENTES!$B$229&lt;&gt;"",_PENDIENTES!$E$229,"")</f>
        <v>06/03/2026</v>
      </c>
      <c r="F235" s="46" t="str">
        <f aca="false">IF(_PENDIENTES!$B$229&lt;&gt;"",_PENDIENTES!$F$229,"")</f>
        <v>PETROLEO</v>
      </c>
      <c r="G235" s="44" t="n">
        <f aca="false">IF(_PENDIENTES!$B$229&lt;&gt;"",_PENDIENTES!$G$229,"")</f>
        <v>7</v>
      </c>
      <c r="H235" s="44" t="n">
        <f aca="false">IF(_PENDIENTES!$B$229&lt;&gt;"",_PENDIENTES!$H$229,"")</f>
        <v>141.75</v>
      </c>
      <c r="I235" s="113" t="str">
        <f aca="false">IF(_PENDIENTES!$B$229&lt;&gt;"",_PENDIENTES!$I$229,"")</f>
        <v>SERNAQUE PELAEZ WILMER</v>
      </c>
      <c r="J235" s="44" t="str">
        <f aca="false">IF(_PENDIENTES!$B$229&lt;&gt;"",_PENDIENTES!$J$229,"")</f>
        <v>EUH-421</v>
      </c>
      <c r="K235" s="46" t="str">
        <f aca="false">IF(_PENDIENTES!$B$229&lt;&gt;"","POR RECOGER","")</f>
        <v>POR RECOGER</v>
      </c>
      <c r="L235" s="46" t="n">
        <f aca="false">IF(_PENDIENTES!$B$229&lt;&gt;"",_PENDIENTES!$K$229,"")</f>
        <v>0</v>
      </c>
      <c r="M235" s="85" t="str">
        <f aca="false">IF(_PENDIENTES!$B$229&lt;&gt;"",_PENDIENTES!$B$229,"")</f>
        <v>MARIA AUXILIADORA</v>
      </c>
      <c r="N235" s="109" t="str">
        <f aca="false">IF(_PENDIENTES!$B$229&lt;&gt;"",_PENDIENTES!$L$229,"")</f>
        <v>MARIA AUXILIADORA</v>
      </c>
      <c r="O235" s="89"/>
      <c r="P235" s="89"/>
      <c r="Q235" s="89"/>
      <c r="R235" s="89"/>
      <c r="S235" s="89"/>
    </row>
    <row r="236" customFormat="false" ht="15.75" hidden="false" customHeight="true" outlineLevel="0" collapsed="false">
      <c r="A236" s="106" t="n">
        <f aca="false">IF(_PENDIENTES!$B$230&lt;&gt;"",229,"")</f>
        <v>229</v>
      </c>
      <c r="B236" s="47" t="str">
        <f aca="false">IF(_PENDIENTES!$B$230&lt;&gt;"",_PENDIENTES!$A$230,"")</f>
        <v>MAR</v>
      </c>
      <c r="C236" s="107" t="str">
        <f aca="false">IF(_PENDIENTES!$B$230&lt;&gt;"",_PENDIENTES!$C$230,"")</f>
        <v>ARENAS HERNANDEZ NATALY</v>
      </c>
      <c r="D236" s="106" t="str">
        <f aca="false">IF(_PENDIENTES!$B$230&lt;&gt;"",_PENDIENTES!$D$230,"")</f>
        <v>43793289</v>
      </c>
      <c r="E236" s="111" t="str">
        <f aca="false">IF(_PENDIENTES!$B$230&lt;&gt;"",_PENDIENTES!$E$230,"")</f>
        <v>07/03/2026</v>
      </c>
      <c r="F236" s="106" t="str">
        <f aca="false">IF(_PENDIENTES!$B$230&lt;&gt;"",_PENDIENTES!$F$230,"")</f>
        <v>PETROLEO</v>
      </c>
      <c r="G236" s="50" t="n">
        <f aca="false">IF(_PENDIENTES!$B$230&lt;&gt;"",_PENDIENTES!$G$230,"")</f>
        <v>3</v>
      </c>
      <c r="H236" s="50" t="n">
        <f aca="false">IF(_PENDIENTES!$B$230&lt;&gt;"",_PENDIENTES!$H$230,"")</f>
        <v>60.75</v>
      </c>
      <c r="I236" s="108" t="str">
        <f aca="false">IF(_PENDIENTES!$B$230&lt;&gt;"",_PENDIENTES!$I$230,"")</f>
        <v>LOPEZ VARGAS HUBER</v>
      </c>
      <c r="J236" s="50" t="str">
        <f aca="false">IF(_PENDIENTES!$B$230&lt;&gt;"",_PENDIENTES!$J$230,"")</f>
        <v>EUH 634</v>
      </c>
      <c r="K236" s="106" t="str">
        <f aca="false">IF(_PENDIENTES!$B$230&lt;&gt;"","POR RECOGER","")</f>
        <v>POR RECOGER</v>
      </c>
      <c r="L236" s="106" t="n">
        <f aca="false">IF(_PENDIENTES!$B$230&lt;&gt;"",_PENDIENTES!$K$230,"")</f>
        <v>0</v>
      </c>
      <c r="M236" s="85" t="str">
        <f aca="false">IF(_PENDIENTES!$B$230&lt;&gt;"",_PENDIENTES!$B$230,"")</f>
        <v>OMIA</v>
      </c>
      <c r="N236" s="109" t="str">
        <f aca="false">IF(_PENDIENTES!$B$230&lt;&gt;"",_PENDIENTES!$L$230,"")</f>
        <v>OMIA</v>
      </c>
      <c r="O236" s="89"/>
      <c r="P236" s="89"/>
      <c r="Q236" s="89"/>
      <c r="R236" s="89"/>
      <c r="S236" s="89"/>
    </row>
    <row r="237" customFormat="false" ht="15.75" hidden="true" customHeight="true" outlineLevel="0" collapsed="false">
      <c r="A237" s="46" t="n">
        <f aca="false">IF(_PENDIENTES!$B$231&lt;&gt;"",230,"")</f>
        <v>230</v>
      </c>
      <c r="B237" s="41" t="str">
        <f aca="false">IF(_PENDIENTES!$B$231&lt;&gt;"",_PENDIENTES!$A$231,"")</f>
        <v>MAR</v>
      </c>
      <c r="C237" s="110" t="str">
        <f aca="false">IF(_PENDIENTES!$B$231&lt;&gt;"",_PENDIENTES!$C$231,"")</f>
        <v>CHAVEZ PELAEZ MARINA</v>
      </c>
      <c r="D237" s="46" t="str">
        <f aca="false">IF(_PENDIENTES!$B$231&lt;&gt;"",_PENDIENTES!$D$231,"")</f>
        <v>49019221</v>
      </c>
      <c r="E237" s="112" t="str">
        <f aca="false">IF(_PENDIENTES!$B$231&lt;&gt;"",_PENDIENTES!$E$231,"")</f>
        <v>07/03/2026</v>
      </c>
      <c r="F237" s="46" t="str">
        <f aca="false">IF(_PENDIENTES!$B$231&lt;&gt;"",_PENDIENTES!$F$231,"")</f>
        <v>PETROLEO</v>
      </c>
      <c r="G237" s="44" t="n">
        <f aca="false">IF(_PENDIENTES!$B$231&lt;&gt;"",_PENDIENTES!$G$231,"")</f>
        <v>7</v>
      </c>
      <c r="H237" s="44" t="n">
        <f aca="false">IF(_PENDIENTES!$B$231&lt;&gt;"",_PENDIENTES!$H$231,"")</f>
        <v>141.75</v>
      </c>
      <c r="I237" s="113" t="str">
        <f aca="false">IF(_PENDIENTES!$B$231&lt;&gt;"",_PENDIENTES!$I$231,"")</f>
        <v>SERNAQUE PELAEZ WILMER</v>
      </c>
      <c r="J237" s="44" t="str">
        <f aca="false">IF(_PENDIENTES!$B$231&lt;&gt;"",_PENDIENTES!$J$231,"")</f>
        <v>EUH-421</v>
      </c>
      <c r="K237" s="46" t="str">
        <f aca="false">IF(_PENDIENTES!$B$231&lt;&gt;"","POR RECOGER","")</f>
        <v>POR RECOGER</v>
      </c>
      <c r="L237" s="46" t="n">
        <f aca="false">IF(_PENDIENTES!$B$231&lt;&gt;"",_PENDIENTES!$K$231,"")</f>
        <v>0</v>
      </c>
      <c r="M237" s="85" t="str">
        <f aca="false">IF(_PENDIENTES!$B$231&lt;&gt;"",_PENDIENTES!$B$231,"")</f>
        <v>MARIA AUXILIADORA</v>
      </c>
      <c r="N237" s="109" t="str">
        <f aca="false">IF(_PENDIENTES!$B$231&lt;&gt;"",_PENDIENTES!$L$231,"")</f>
        <v>MARIA AUXILIADORA</v>
      </c>
      <c r="O237" s="89"/>
      <c r="P237" s="89"/>
      <c r="Q237" s="89"/>
      <c r="R237" s="89"/>
      <c r="S237" s="89"/>
    </row>
    <row r="238" customFormat="false" ht="15.75" hidden="true" customHeight="true" outlineLevel="0" collapsed="false">
      <c r="A238" s="106" t="n">
        <f aca="false">IF(_PENDIENTES!$B$232&lt;&gt;"",231,"")</f>
        <v>231</v>
      </c>
      <c r="B238" s="47" t="str">
        <f aca="false">IF(_PENDIENTES!$B$232&lt;&gt;"",_PENDIENTES!$A$232,"")</f>
        <v>MAR</v>
      </c>
      <c r="C238" s="107" t="str">
        <f aca="false">IF(_PENDIENTES!$B$232&lt;&gt;"",_PENDIENTES!$C$232,"")</f>
        <v>FONSECA MARTINEZ JHIANINA</v>
      </c>
      <c r="D238" s="106" t="str">
        <f aca="false">IF(_PENDIENTES!$B$232&lt;&gt;"",_PENDIENTES!$D$232,"")</f>
        <v>75524926</v>
      </c>
      <c r="E238" s="111" t="str">
        <f aca="false">IF(_PENDIENTES!$B$232&lt;&gt;"",_PENDIENTES!$E$232,"")</f>
        <v>07/03/2026</v>
      </c>
      <c r="F238" s="106" t="str">
        <f aca="false">IF(_PENDIENTES!$B$232&lt;&gt;"",_PENDIENTES!$F$232,"")</f>
        <v>PETROLEO</v>
      </c>
      <c r="G238" s="50" t="n">
        <f aca="false">IF(_PENDIENTES!$B$232&lt;&gt;"",_PENDIENTES!$G$232,"")</f>
        <v>20</v>
      </c>
      <c r="H238" s="50" t="n">
        <f aca="false">IF(_PENDIENTES!$B$232&lt;&gt;"",_PENDIENTES!$H$232,"")</f>
        <v>363.6</v>
      </c>
      <c r="I238" s="108" t="str">
        <f aca="false">IF(_PENDIENTES!$B$232&lt;&gt;"",_PENDIENTES!$I$232,"")</f>
        <v>NAIDER TELLO ESTELA</v>
      </c>
      <c r="J238" s="50" t="str">
        <f aca="false">IF(_PENDIENTES!$B$232&lt;&gt;"",_PENDIENTES!$J$232,"")</f>
        <v>EUH-708</v>
      </c>
      <c r="K238" s="106" t="str">
        <f aca="false">IF(_PENDIENTES!$B$232&lt;&gt;"","POR RECOGER","")</f>
        <v>POR RECOGER</v>
      </c>
      <c r="L238" s="106" t="str">
        <f aca="false">IF(_PENDIENTES!$B$232&lt;&gt;"",_PENDIENTES!$K$232,"")</f>
        <v>COCOCHO</v>
      </c>
      <c r="M238" s="85" t="str">
        <f aca="false">IF(_PENDIENTES!$B$232&lt;&gt;"",_PENDIENTES!$B$232,"")</f>
        <v>COCOCHO</v>
      </c>
      <c r="N238" s="109" t="str">
        <f aca="false">IF(_PENDIENTES!$B$232&lt;&gt;"",_PENDIENTES!$L$232,"")</f>
        <v>GUADALUPE</v>
      </c>
      <c r="O238" s="89"/>
      <c r="P238" s="89"/>
      <c r="Q238" s="89"/>
      <c r="R238" s="89"/>
      <c r="S238" s="89"/>
    </row>
    <row r="239" customFormat="false" ht="15.75" hidden="true" customHeight="true" outlineLevel="0" collapsed="false">
      <c r="A239" s="46" t="n">
        <f aca="false">IF(_PENDIENTES!$B$233&lt;&gt;"",232,"")</f>
        <v>232</v>
      </c>
      <c r="B239" s="41" t="str">
        <f aca="false">IF(_PENDIENTES!$B$233&lt;&gt;"",_PENDIENTES!$A$233,"")</f>
        <v>MAR</v>
      </c>
      <c r="C239" s="110" t="str">
        <f aca="false">IF(_PENDIENTES!$B$233&lt;&gt;"",_PENDIENTES!$C$233,"")</f>
        <v>MUÑOZ VILLALOVOS JUAN</v>
      </c>
      <c r="D239" s="46" t="str">
        <f aca="false">IF(_PENDIENTES!$B$233&lt;&gt;"",_PENDIENTES!$D$233,"")</f>
        <v>3686526</v>
      </c>
      <c r="E239" s="112" t="str">
        <f aca="false">IF(_PENDIENTES!$B$233&lt;&gt;"",_PENDIENTES!$E$233,"")</f>
        <v>08/03/2026</v>
      </c>
      <c r="F239" s="46" t="str">
        <f aca="false">IF(_PENDIENTES!$B$233&lt;&gt;"",_PENDIENTES!$F$233,"")</f>
        <v>PETROLEO</v>
      </c>
      <c r="G239" s="44" t="n">
        <f aca="false">IF(_PENDIENTES!$B$233&lt;&gt;"",_PENDIENTES!$G$233,"")</f>
        <v>7</v>
      </c>
      <c r="H239" s="44" t="n">
        <f aca="false">IF(_PENDIENTES!$B$233&lt;&gt;"",_PENDIENTES!$H$233,"")</f>
        <v>141.75</v>
      </c>
      <c r="I239" s="113" t="str">
        <f aca="false">IF(_PENDIENTES!$B$233&lt;&gt;"",_PENDIENTES!$I$233,"")</f>
        <v>PORTOCARRERO PELAEZ MIGUEL ANTONIO</v>
      </c>
      <c r="J239" s="44" t="str">
        <f aca="false">IF(_PENDIENTES!$B$233&lt;&gt;"",_PENDIENTES!$J$233,"")</f>
        <v>EUH-421</v>
      </c>
      <c r="K239" s="46" t="str">
        <f aca="false">IF(_PENDIENTES!$B$233&lt;&gt;"","POR RECOGER","")</f>
        <v>POR RECOGER</v>
      </c>
      <c r="L239" s="46" t="n">
        <f aca="false">IF(_PENDIENTES!$B$233&lt;&gt;"",_PENDIENTES!$K$233,"")</f>
        <v>0</v>
      </c>
      <c r="M239" s="85" t="str">
        <f aca="false">IF(_PENDIENTES!$B$233&lt;&gt;"",_PENDIENTES!$B$233,"")</f>
        <v>MARIA AUXILIADORA</v>
      </c>
      <c r="N239" s="109" t="str">
        <f aca="false">IF(_PENDIENTES!$B$233&lt;&gt;"",_PENDIENTES!$L$233,"")</f>
        <v>MARIA AUXILIADORA</v>
      </c>
      <c r="O239" s="89"/>
      <c r="P239" s="89"/>
      <c r="Q239" s="89"/>
      <c r="R239" s="89"/>
      <c r="S239" s="89"/>
    </row>
    <row r="240" customFormat="false" ht="15.75" hidden="true" customHeight="true" outlineLevel="0" collapsed="false">
      <c r="A240" s="106" t="n">
        <f aca="false">IF(_PENDIENTES!$B$234&lt;&gt;"",233,"")</f>
        <v>233</v>
      </c>
      <c r="B240" s="47" t="str">
        <f aca="false">IF(_PENDIENTES!$B$234&lt;&gt;"",_PENDIENTES!$A$234,"")</f>
        <v>MAR</v>
      </c>
      <c r="C240" s="107" t="str">
        <f aca="false">IF(_PENDIENTES!$B$234&lt;&gt;"",_PENDIENTES!$C$234,"")</f>
        <v>EDQUEN IDROGO MAXIMILIANO</v>
      </c>
      <c r="D240" s="106" t="str">
        <f aca="false">IF(_PENDIENTES!$B$234&lt;&gt;"",_PENDIENTES!$D$234,"")</f>
        <v>33431626</v>
      </c>
      <c r="E240" s="111" t="str">
        <f aca="false">IF(_PENDIENTES!$B$234&lt;&gt;"",_PENDIENTES!$E$234,"")</f>
        <v>08/03/2026</v>
      </c>
      <c r="F240" s="106" t="str">
        <f aca="false">IF(_PENDIENTES!$B$234&lt;&gt;"",_PENDIENTES!$F$234,"")</f>
        <v>PETROLEO</v>
      </c>
      <c r="G240" s="50" t="n">
        <f aca="false">IF(_PENDIENTES!$B$234&lt;&gt;"",_PENDIENTES!$G$234,"")</f>
        <v>6</v>
      </c>
      <c r="H240" s="50" t="n">
        <f aca="false">IF(_PENDIENTES!$B$234&lt;&gt;"",_PENDIENTES!$H$234,"")</f>
        <v>109.08</v>
      </c>
      <c r="I240" s="108" t="str">
        <f aca="false">IF(_PENDIENTES!$B$234&lt;&gt;"",_PENDIENTES!$I$234,"")</f>
        <v>SANCHEZ CAJO VICENTE</v>
      </c>
      <c r="J240" s="50" t="str">
        <f aca="false">IF(_PENDIENTES!$B$234&lt;&gt;"",_PENDIENTES!$J$234,"")</f>
        <v>EGL-296</v>
      </c>
      <c r="K240" s="106" t="str">
        <f aca="false">IF(_PENDIENTES!$B$234&lt;&gt;"","POR RECOGER","")</f>
        <v>POR RECOGER</v>
      </c>
      <c r="L240" s="106" t="n">
        <f aca="false">IF(_PENDIENTES!$B$234&lt;&gt;"",_PENDIENTES!$K$234,"")</f>
        <v>0</v>
      </c>
      <c r="M240" s="85" t="str">
        <f aca="false">IF(_PENDIENTES!$B$234&lt;&gt;"",_PENDIENTES!$B$234,"")</f>
        <v>YERBABUENA</v>
      </c>
      <c r="N240" s="109" t="str">
        <f aca="false">IF(_PENDIENTES!$B$234&lt;&gt;"",_PENDIENTES!$L$234,"")</f>
        <v>YERBABUENA</v>
      </c>
      <c r="O240" s="89"/>
      <c r="P240" s="89"/>
      <c r="Q240" s="89"/>
      <c r="R240" s="89"/>
      <c r="S240" s="89"/>
    </row>
    <row r="241" customFormat="false" ht="15.75" hidden="true" customHeight="true" outlineLevel="0" collapsed="false">
      <c r="A241" s="46" t="n">
        <f aca="false">IF(_PENDIENTES!$B$235&lt;&gt;"",234,"")</f>
        <v>234</v>
      </c>
      <c r="B241" s="41" t="str">
        <f aca="false">IF(_PENDIENTES!$B$235&lt;&gt;"",_PENDIENTES!$A$235,"")</f>
        <v>MAR</v>
      </c>
      <c r="C241" s="110" t="str">
        <f aca="false">IF(_PENDIENTES!$B$235&lt;&gt;"",_PENDIENTES!$C$235,"")</f>
        <v>CHALAS TISNADO NANCY RAQUEL</v>
      </c>
      <c r="D241" s="46" t="str">
        <f aca="false">IF(_PENDIENTES!$B$235&lt;&gt;"",_PENDIENTES!$D$235,"")</f>
        <v>44592948</v>
      </c>
      <c r="E241" s="112" t="str">
        <f aca="false">IF(_PENDIENTES!$B$235&lt;&gt;"",_PENDIENTES!$E$235,"")</f>
        <v>08/03/2026</v>
      </c>
      <c r="F241" s="46" t="str">
        <f aca="false">IF(_PENDIENTES!$B$235&lt;&gt;"",_PENDIENTES!$F$235,"")</f>
        <v>PETROLEO</v>
      </c>
      <c r="G241" s="44" t="n">
        <f aca="false">IF(_PENDIENTES!$B$235&lt;&gt;"",_PENDIENTES!$G$235,"")</f>
        <v>22</v>
      </c>
      <c r="H241" s="44" t="n">
        <f aca="false">IF(_PENDIENTES!$B$235&lt;&gt;"",_PENDIENTES!$H$235,"")</f>
        <v>399.96</v>
      </c>
      <c r="I241" s="113" t="str">
        <f aca="false">IF(_PENDIENTES!$B$235&lt;&gt;"",_PENDIENTES!$I$235,"")</f>
        <v>ALBERTO FARRO PEREZ</v>
      </c>
      <c r="J241" s="44" t="str">
        <f aca="false">IF(_PENDIENTES!$B$235&lt;&gt;"",_PENDIENTES!$J$235,"")</f>
        <v>EGO-124</v>
      </c>
      <c r="K241" s="46" t="str">
        <f aca="false">IF(_PENDIENTES!$B$235&lt;&gt;"","POR RECOGER","")</f>
        <v>POR RECOGER</v>
      </c>
      <c r="L241" s="46" t="n">
        <f aca="false">IF(_PENDIENTES!$B$235&lt;&gt;"",_PENDIENTES!$K$235,"")</f>
        <v>0</v>
      </c>
      <c r="M241" s="85" t="str">
        <f aca="false">IF(_PENDIENTES!$B$235&lt;&gt;"",_PENDIENTES!$B$235,"")</f>
        <v>OCALLI</v>
      </c>
      <c r="N241" s="109" t="str">
        <f aca="false">IF(_PENDIENTES!$B$235&lt;&gt;"",_PENDIENTES!$L$235,"")</f>
        <v>OCALLI</v>
      </c>
      <c r="O241" s="89"/>
      <c r="P241" s="89"/>
      <c r="Q241" s="89"/>
      <c r="R241" s="89"/>
      <c r="S241" s="89"/>
    </row>
    <row r="242" customFormat="false" ht="15.75" hidden="true" customHeight="true" outlineLevel="0" collapsed="false">
      <c r="A242" s="106" t="n">
        <f aca="false">IF(_PENDIENTES!$B$236&lt;&gt;"",235,"")</f>
        <v>235</v>
      </c>
      <c r="B242" s="47" t="str">
        <f aca="false">IF(_PENDIENTES!$B$236&lt;&gt;"",_PENDIENTES!$A$236,"")</f>
        <v>MAR</v>
      </c>
      <c r="C242" s="107" t="str">
        <f aca="false">IF(_PENDIENTES!$B$236&lt;&gt;"",_PENDIENTES!$C$236,"")</f>
        <v>TAFUR HOYOS ROSA LIDIA</v>
      </c>
      <c r="D242" s="106" t="str">
        <f aca="false">IF(_PENDIENTES!$B$236&lt;&gt;"",_PENDIENTES!$D$236,"")</f>
        <v>33739130</v>
      </c>
      <c r="E242" s="111" t="str">
        <f aca="false">IF(_PENDIENTES!$B$236&lt;&gt;"",_PENDIENTES!$E$236,"")</f>
        <v>09/03/2026</v>
      </c>
      <c r="F242" s="106" t="str">
        <f aca="false">IF(_PENDIENTES!$B$236&lt;&gt;"",_PENDIENTES!$F$236,"")</f>
        <v>PETROLEO</v>
      </c>
      <c r="G242" s="50" t="n">
        <f aca="false">IF(_PENDIENTES!$B$236&lt;&gt;"",_PENDIENTES!$G$236,"")</f>
        <v>5</v>
      </c>
      <c r="H242" s="50" t="n">
        <f aca="false">IF(_PENDIENTES!$B$236&lt;&gt;"",_PENDIENTES!$H$236,"")</f>
        <v>90.9</v>
      </c>
      <c r="I242" s="108" t="str">
        <f aca="false">IF(_PENDIENTES!$B$236&lt;&gt;"",_PENDIENTES!$I$236,"")</f>
        <v>MONTENEGRO RUIZ LUIS MIGUEL</v>
      </c>
      <c r="J242" s="50" t="str">
        <f aca="false">IF(_PENDIENTES!$B$236&lt;&gt;"",_PENDIENTES!$J$236,"")</f>
        <v>EUH-427</v>
      </c>
      <c r="K242" s="106" t="str">
        <f aca="false">IF(_PENDIENTES!$B$236&lt;&gt;"","POR RECOGER","")</f>
        <v>POR RECOGER</v>
      </c>
      <c r="L242" s="106" t="n">
        <f aca="false">IF(_PENDIENTES!$B$236&lt;&gt;"",_PENDIENTES!$K$236,"")</f>
        <v>0</v>
      </c>
      <c r="M242" s="85" t="str">
        <f aca="false">IF(_PENDIENTES!$B$236&lt;&gt;"",_PENDIENTES!$B$236,"")</f>
        <v>PEDRO RUIZ GALLO</v>
      </c>
      <c r="N242" s="109" t="str">
        <f aca="false">IF(_PENDIENTES!$B$236&lt;&gt;"",_PENDIENTES!$L$236,"")</f>
        <v>PEDRO RUIZ GALLO</v>
      </c>
      <c r="O242" s="89"/>
      <c r="P242" s="89"/>
      <c r="Q242" s="89"/>
      <c r="R242" s="89"/>
      <c r="S242" s="89"/>
    </row>
    <row r="243" customFormat="false" ht="15.75" hidden="true" customHeight="true" outlineLevel="0" collapsed="false">
      <c r="A243" s="46" t="n">
        <f aca="false">IF(_PENDIENTES!$B$237&lt;&gt;"",236,"")</f>
        <v>236</v>
      </c>
      <c r="B243" s="41" t="str">
        <f aca="false">IF(_PENDIENTES!$B$237&lt;&gt;"",_PENDIENTES!$A$237,"")</f>
        <v>MAR</v>
      </c>
      <c r="C243" s="110" t="str">
        <f aca="false">IF(_PENDIENTES!$B$237&lt;&gt;"",_PENDIENTES!$C$237,"")</f>
        <v>CASAS RAMOS FLORECINDA</v>
      </c>
      <c r="D243" s="46" t="str">
        <f aca="false">IF(_PENDIENTES!$B$237&lt;&gt;"",_PENDIENTES!$D$237,"")</f>
        <v>48437939</v>
      </c>
      <c r="E243" s="46" t="str">
        <f aca="false">IF(_PENDIENTES!$B$237&lt;&gt;"",_PENDIENTES!$E$237,"")</f>
        <v>09/03/2026</v>
      </c>
      <c r="F243" s="46" t="str">
        <f aca="false">IF(_PENDIENTES!$B$237&lt;&gt;"",_PENDIENTES!$F$237,"")</f>
        <v>PETROLEO</v>
      </c>
      <c r="G243" s="44" t="n">
        <f aca="false">IF(_PENDIENTES!$B$237&lt;&gt;"",_PENDIENTES!$G$237,"")</f>
        <v>22</v>
      </c>
      <c r="H243" s="44" t="n">
        <f aca="false">IF(_PENDIENTES!$B$237&lt;&gt;"",_PENDIENTES!$H$237,"")</f>
        <v>399.96</v>
      </c>
      <c r="I243" s="113" t="str">
        <f aca="false">IF(_PENDIENTES!$B$237&lt;&gt;"",_PENDIENTES!$I$237,"")</f>
        <v>NAIDER TELLO ESTELA</v>
      </c>
      <c r="J243" s="44" t="str">
        <f aca="false">IF(_PENDIENTES!$B$237&lt;&gt;"",_PENDIENTES!$J$237,"")</f>
        <v>EUH-708</v>
      </c>
      <c r="K243" s="46" t="str">
        <f aca="false">IF(_PENDIENTES!$B$237&lt;&gt;"","POR RECOGER","")</f>
        <v>POR RECOGER</v>
      </c>
      <c r="L243" s="46" t="n">
        <f aca="false">IF(_PENDIENTES!$B$237&lt;&gt;"",_PENDIENTES!$K$237,"")</f>
        <v>0</v>
      </c>
      <c r="M243" s="85" t="str">
        <f aca="false">IF(_PENDIENTES!$B$237&lt;&gt;"",_PENDIENTES!$B$237,"")</f>
        <v>COCOCHO</v>
      </c>
      <c r="N243" s="109" t="str">
        <f aca="false">IF(_PENDIENTES!$B$237&lt;&gt;"",_PENDIENTES!$L$237,"")</f>
        <v>COCOCHO</v>
      </c>
      <c r="O243" s="89"/>
      <c r="P243" s="89"/>
      <c r="Q243" s="89"/>
      <c r="R243" s="89"/>
      <c r="S243" s="89"/>
    </row>
    <row r="244" customFormat="false" ht="15.75" hidden="true" customHeight="true" outlineLevel="0" collapsed="false">
      <c r="A244" s="106" t="n">
        <f aca="false">IF(_PENDIENTES!$B$238&lt;&gt;"",237,"")</f>
        <v>237</v>
      </c>
      <c r="B244" s="47" t="str">
        <f aca="false">IF(_PENDIENTES!$B$238&lt;&gt;"",_PENDIENTES!$A$238,"")</f>
        <v>MAR</v>
      </c>
      <c r="C244" s="107" t="str">
        <f aca="false">IF(_PENDIENTES!$B$238&lt;&gt;"",_PENDIENTES!$C$238,"")</f>
        <v>JARA ALIAGA ALDAIR ANTENOR</v>
      </c>
      <c r="D244" s="106" t="str">
        <f aca="false">IF(_PENDIENTES!$B$238&lt;&gt;"",_PENDIENTES!$D$238,"")</f>
        <v>63721070</v>
      </c>
      <c r="E244" s="111" t="str">
        <f aca="false">IF(_PENDIENTES!$B$238&lt;&gt;"",_PENDIENTES!$E$238,"")</f>
        <v>10/03/2026</v>
      </c>
      <c r="F244" s="106" t="str">
        <f aca="false">IF(_PENDIENTES!$B$238&lt;&gt;"",_PENDIENTES!$F$238,"")</f>
        <v>PETROLEO</v>
      </c>
      <c r="G244" s="50" t="n">
        <f aca="false">IF(_PENDIENTES!$B$238&lt;&gt;"",_PENDIENTES!$G$238,"")</f>
        <v>7</v>
      </c>
      <c r="H244" s="50" t="n">
        <f aca="false">IF(_PENDIENTES!$B$238&lt;&gt;"",_PENDIENTES!$H$238,"")</f>
        <v>141.75</v>
      </c>
      <c r="I244" s="108" t="str">
        <f aca="false">IF(_PENDIENTES!$B$238&lt;&gt;"",_PENDIENTES!$I$238,"")</f>
        <v>PORTOCARRERO PELAEZ MIGUEL ANTONIO</v>
      </c>
      <c r="J244" s="50" t="str">
        <f aca="false">IF(_PENDIENTES!$B$238&lt;&gt;"",_PENDIENTES!$J$238,"")</f>
        <v>EUH-421</v>
      </c>
      <c r="K244" s="106" t="str">
        <f aca="false">IF(_PENDIENTES!$B$238&lt;&gt;"","POR RECOGER","")</f>
        <v>POR RECOGER</v>
      </c>
      <c r="L244" s="106" t="n">
        <f aca="false">IF(_PENDIENTES!$B$238&lt;&gt;"",_PENDIENTES!$K$238,"")</f>
        <v>0</v>
      </c>
      <c r="M244" s="85" t="str">
        <f aca="false">IF(_PENDIENTES!$B$238&lt;&gt;"",_PENDIENTES!$B$238,"")</f>
        <v>MARIA AUXILIADORA</v>
      </c>
      <c r="N244" s="109" t="str">
        <f aca="false">IF(_PENDIENTES!$B$238&lt;&gt;"",_PENDIENTES!$L$238,"")</f>
        <v>MARIA AUXILIADORA</v>
      </c>
      <c r="O244" s="89"/>
      <c r="P244" s="89"/>
      <c r="Q244" s="89"/>
      <c r="R244" s="89"/>
      <c r="S244" s="89"/>
    </row>
    <row r="245" customFormat="false" ht="15.75" hidden="true" customHeight="true" outlineLevel="0" collapsed="false">
      <c r="A245" s="46" t="n">
        <f aca="false">IF(_PENDIENTES!$B$239&lt;&gt;"",238,"")</f>
        <v>238</v>
      </c>
      <c r="B245" s="41" t="str">
        <f aca="false">IF(_PENDIENTES!$B$239&lt;&gt;"",_PENDIENTES!$A$239,"")</f>
        <v>MAR</v>
      </c>
      <c r="C245" s="110" t="str">
        <f aca="false">IF(_PENDIENTES!$B$239&lt;&gt;"",_PENDIENTES!$C$239,"")</f>
        <v>MENDOZA ZUTA VICTOR</v>
      </c>
      <c r="D245" s="46" t="str">
        <f aca="false">IF(_PENDIENTES!$B$239&lt;&gt;"",_PENDIENTES!$D$239,"")</f>
        <v>33725852</v>
      </c>
      <c r="E245" s="112" t="str">
        <f aca="false">IF(_PENDIENTES!$B$239&lt;&gt;"",_PENDIENTES!$E$239,"")</f>
        <v>10/03/2026</v>
      </c>
      <c r="F245" s="46" t="str">
        <f aca="false">IF(_PENDIENTES!$B$239&lt;&gt;"",_PENDIENTES!$F$239,"")</f>
        <v>GASOLINA</v>
      </c>
      <c r="G245" s="44" t="n">
        <f aca="false">IF(_PENDIENTES!$B$239&lt;&gt;"",_PENDIENTES!$G$239,"")</f>
        <v>11</v>
      </c>
      <c r="H245" s="44" t="n">
        <f aca="false">IF(_PENDIENTES!$B$239&lt;&gt;"",_PENDIENTES!$H$239,"")</f>
        <v>197.45</v>
      </c>
      <c r="I245" s="110" t="str">
        <f aca="false">IF(_PENDIENTES!$B$239&lt;&gt;"",_PENDIENTES!$I$239,"")</f>
        <v>CARRERA ARAUJO JEINER</v>
      </c>
      <c r="J245" s="46" t="str">
        <f aca="false">IF(_PENDIENTES!$B$239&lt;&gt;"",_PENDIENTES!$J$239,"")</f>
        <v>EUH747</v>
      </c>
      <c r="K245" s="46" t="str">
        <f aca="false">IF(_PENDIENTES!$B$239&lt;&gt;"","POR RECOGER","")</f>
        <v>POR RECOGER</v>
      </c>
      <c r="L245" s="46" t="n">
        <f aca="false">IF(_PENDIENTES!$B$239&lt;&gt;"",_PENDIENTES!$K$239,"")</f>
        <v>0</v>
      </c>
      <c r="M245" s="89" t="str">
        <f aca="false">IF(_PENDIENTES!$B$239&lt;&gt;"",_PENDIENTES!$B$239,"")</f>
        <v>POMACOCHAS</v>
      </c>
      <c r="N245" s="109" t="str">
        <f aca="false">IF(_PENDIENTES!$B$239&lt;&gt;"",_PENDIENTES!$L$239,"")</f>
        <v>POMACOCHAS</v>
      </c>
      <c r="O245" s="89"/>
      <c r="P245" s="89"/>
      <c r="Q245" s="89"/>
      <c r="R245" s="89"/>
      <c r="S245" s="89"/>
    </row>
    <row r="246" customFormat="false" ht="15.75" hidden="true" customHeight="true" outlineLevel="0" collapsed="false">
      <c r="A246" s="106" t="n">
        <f aca="false">IF(_PENDIENTES!$B$240&lt;&gt;"",239,"")</f>
        <v>239</v>
      </c>
      <c r="B246" s="47" t="str">
        <f aca="false">IF(_PENDIENTES!$B$240&lt;&gt;"",_PENDIENTES!$A$240,"")</f>
        <v>MAR</v>
      </c>
      <c r="C246" s="107" t="str">
        <f aca="false">IF(_PENDIENTES!$B$240&lt;&gt;"",_PENDIENTES!$C$240,"")</f>
        <v>MEJIA DOMINGUEZ LILI LLOVANI</v>
      </c>
      <c r="D246" s="106" t="str">
        <f aca="false">IF(_PENDIENTES!$B$240&lt;&gt;"",_PENDIENTES!$D$240,"")</f>
        <v>74448692</v>
      </c>
      <c r="E246" s="111" t="str">
        <f aca="false">IF(_PENDIENTES!$B$240&lt;&gt;"",_PENDIENTES!$E$240,"")</f>
        <v>10/03/2026</v>
      </c>
      <c r="F246" s="106" t="str">
        <f aca="false">IF(_PENDIENTES!$B$240&lt;&gt;"",_PENDIENTES!$F$240,"")</f>
        <v>PETROLEO</v>
      </c>
      <c r="G246" s="50" t="n">
        <f aca="false">IF(_PENDIENTES!$B$240&lt;&gt;"",_PENDIENTES!$G$240,"")</f>
        <v>7</v>
      </c>
      <c r="H246" s="50" t="n">
        <f aca="false">IF(_PENDIENTES!$B$240&lt;&gt;"",_PENDIENTES!$H$240,"")</f>
        <v>141.75</v>
      </c>
      <c r="I246" s="107" t="str">
        <f aca="false">IF(_PENDIENTES!$B$240&lt;&gt;"",_PENDIENTES!$I$240,"")</f>
        <v>PORTOCARRERO PELAEZ MIGUEL ANTONIO</v>
      </c>
      <c r="J246" s="106" t="str">
        <f aca="false">IF(_PENDIENTES!$B$240&lt;&gt;"",_PENDIENTES!$J$240,"")</f>
        <v>EUH-421</v>
      </c>
      <c r="K246" s="106" t="str">
        <f aca="false">IF(_PENDIENTES!$B$240&lt;&gt;"","POR RECOGER","")</f>
        <v>POR RECOGER</v>
      </c>
      <c r="L246" s="106" t="n">
        <f aca="false">IF(_PENDIENTES!$B$240&lt;&gt;"",_PENDIENTES!$K$240,"")</f>
        <v>0</v>
      </c>
      <c r="M246" s="89" t="str">
        <f aca="false">IF(_PENDIENTES!$B$240&lt;&gt;"",_PENDIENTES!$B$240,"")</f>
        <v>MARIA AUXILIADORA</v>
      </c>
      <c r="N246" s="109" t="str">
        <f aca="false">IF(_PENDIENTES!$B$240&lt;&gt;"",_PENDIENTES!$L$240,"")</f>
        <v>MARIA AUXILIADORA</v>
      </c>
      <c r="O246" s="89"/>
      <c r="P246" s="89"/>
      <c r="Q246" s="89"/>
      <c r="R246" s="89"/>
      <c r="S246" s="89"/>
    </row>
    <row r="247" customFormat="false" ht="15.75" hidden="true" customHeight="true" outlineLevel="0" collapsed="false">
      <c r="A247" s="46" t="n">
        <f aca="false">IF(_PENDIENTES!$B$241&lt;&gt;"",240,"")</f>
        <v>240</v>
      </c>
      <c r="B247" s="41" t="str">
        <f aca="false">IF(_PENDIENTES!$B$241&lt;&gt;"",_PENDIENTES!$A$241,"")</f>
        <v>MAR</v>
      </c>
      <c r="C247" s="110" t="str">
        <f aca="false">IF(_PENDIENTES!$B$241&lt;&gt;"",_PENDIENTES!$C$241,"")</f>
        <v>MUÑOZ NAYERLY CARLOS</v>
      </c>
      <c r="D247" s="46" t="str">
        <f aca="false">IF(_PENDIENTES!$B$241&lt;&gt;"",_PENDIENTES!$D$241,"")</f>
        <v>78203690</v>
      </c>
      <c r="E247" s="112" t="str">
        <f aca="false">IF(_PENDIENTES!$B$241&lt;&gt;"",_PENDIENTES!$E$241,"")</f>
        <v>10/03/2026</v>
      </c>
      <c r="F247" s="46" t="str">
        <f aca="false">IF(_PENDIENTES!$B$241&lt;&gt;"",_PENDIENTES!$F$241,"")</f>
        <v>PETROLEO</v>
      </c>
      <c r="G247" s="44" t="n">
        <f aca="false">IF(_PENDIENTES!$B$241&lt;&gt;"",_PENDIENTES!$G$241,"")</f>
        <v>20</v>
      </c>
      <c r="H247" s="44" t="n">
        <f aca="false">IF(_PENDIENTES!$B$241&lt;&gt;"",_PENDIENTES!$H$241,"")</f>
        <v>363.6</v>
      </c>
      <c r="I247" s="110" t="str">
        <f aca="false">IF(_PENDIENTES!$B$241&lt;&gt;"",_PENDIENTES!$I$241,"")</f>
        <v>ALBERTO FARRO PEREZ</v>
      </c>
      <c r="J247" s="46" t="str">
        <f aca="false">IF(_PENDIENTES!$B$241&lt;&gt;"",_PENDIENTES!$J$241,"")</f>
        <v>EGO-124</v>
      </c>
      <c r="K247" s="46" t="str">
        <f aca="false">IF(_PENDIENTES!$B$241&lt;&gt;"","POR RECOGER","")</f>
        <v>POR RECOGER</v>
      </c>
      <c r="L247" s="46" t="str">
        <f aca="false">IF(_PENDIENTES!$B$241&lt;&gt;"",_PENDIENTES!$K$241,"")</f>
        <v>OCALLI</v>
      </c>
      <c r="M247" s="89" t="str">
        <f aca="false">IF(_PENDIENTES!$B$241&lt;&gt;"",_PENDIENTES!$B$241,"")</f>
        <v>OCALLI</v>
      </c>
      <c r="N247" s="109" t="str">
        <f aca="false">IF(_PENDIENTES!$B$241&lt;&gt;"",_PENDIENTES!$L$241,"")</f>
        <v>SAN JUAN DE OCUMAL</v>
      </c>
      <c r="O247" s="89"/>
      <c r="P247" s="89"/>
      <c r="Q247" s="89"/>
      <c r="R247" s="89"/>
      <c r="S247" s="89"/>
    </row>
    <row r="248" customFormat="false" ht="15.75" hidden="true" customHeight="true" outlineLevel="0" collapsed="false">
      <c r="A248" s="106" t="n">
        <f aca="false">IF(_PENDIENTES!$B$242&lt;&gt;"",241,"")</f>
        <v>241</v>
      </c>
      <c r="B248" s="47" t="str">
        <f aca="false">IF(_PENDIENTES!$B$242&lt;&gt;"",_PENDIENTES!$A$242,"")</f>
        <v>MAR</v>
      </c>
      <c r="C248" s="107" t="str">
        <f aca="false">IF(_PENDIENTES!$B$242&lt;&gt;"",_PENDIENTES!$C$242,"")</f>
        <v>VALDEZ MORI HERMILA</v>
      </c>
      <c r="D248" s="106" t="str">
        <f aca="false">IF(_PENDIENTES!$B$242&lt;&gt;"",_PENDIENTES!$D$242,"")</f>
        <v>33804235</v>
      </c>
      <c r="E248" s="111" t="str">
        <f aca="false">IF(_PENDIENTES!$B$242&lt;&gt;"",_PENDIENTES!$E$242,"")</f>
        <v>11/03/2026</v>
      </c>
      <c r="F248" s="106" t="str">
        <f aca="false">IF(_PENDIENTES!$B$242&lt;&gt;"",_PENDIENTES!$F$242,"")</f>
        <v>PETROLEO</v>
      </c>
      <c r="G248" s="50" t="n">
        <f aca="false">IF(_PENDIENTES!$B$242&lt;&gt;"",_PENDIENTES!$G$242,"")</f>
        <v>8</v>
      </c>
      <c r="H248" s="50" t="n">
        <f aca="false">IF(_PENDIENTES!$B$242&lt;&gt;"",_PENDIENTES!$H$242,"")</f>
        <v>145.44</v>
      </c>
      <c r="I248" s="107" t="str">
        <f aca="false">IF(_PENDIENTES!$B$242&lt;&gt;"",_PENDIENTES!$I$242,"")</f>
        <v>LEIVA LARA JUNIOR</v>
      </c>
      <c r="J248" s="106" t="str">
        <f aca="false">IF(_PENDIENTES!$B$242&lt;&gt;"",_PENDIENTES!$J$242,"")</f>
        <v>EUC 959</v>
      </c>
      <c r="K248" s="106" t="str">
        <f aca="false">IF(_PENDIENTES!$B$242&lt;&gt;"","POR RECOGER","")</f>
        <v>POR RECOGER</v>
      </c>
      <c r="L248" s="106" t="n">
        <f aca="false">IF(_PENDIENTES!$B$242&lt;&gt;"",_PENDIENTES!$K$242,"")</f>
        <v>0</v>
      </c>
      <c r="M248" s="89" t="str">
        <f aca="false">IF(_PENDIENTES!$B$242&lt;&gt;"",_PENDIENTES!$B$242,"")</f>
        <v>YERBABUENA</v>
      </c>
      <c r="N248" s="109" t="str">
        <f aca="false">IF(_PENDIENTES!$B$242&lt;&gt;"",_PENDIENTES!$L$242,"")</f>
        <v>YERBABUENA</v>
      </c>
      <c r="O248" s="89"/>
      <c r="P248" s="89"/>
      <c r="Q248" s="89"/>
      <c r="R248" s="89"/>
      <c r="S248" s="89"/>
    </row>
    <row r="249" customFormat="false" ht="15.75" hidden="true" customHeight="true" outlineLevel="0" collapsed="false">
      <c r="A249" s="46" t="n">
        <f aca="false">IF(_PENDIENTES!$B$243&lt;&gt;"",242,"")</f>
        <v>242</v>
      </c>
      <c r="B249" s="41" t="str">
        <f aca="false">IF(_PENDIENTES!$B$243&lt;&gt;"",_PENDIENTES!$A$243,"")</f>
        <v>MAR</v>
      </c>
      <c r="C249" s="110" t="str">
        <f aca="false">IF(_PENDIENTES!$B$243&lt;&gt;"",_PENDIENTES!$C$243,"")</f>
        <v>PORTOCARRERO ARISTA ROSA SOFIA</v>
      </c>
      <c r="D249" s="46" t="str">
        <f aca="false">IF(_PENDIENTES!$B$243&lt;&gt;"",_PENDIENTES!$D$243,"")</f>
        <v>33944625</v>
      </c>
      <c r="E249" s="112" t="str">
        <f aca="false">IF(_PENDIENTES!$B$243&lt;&gt;"",_PENDIENTES!$E$243,"")</f>
        <v>11/03/2026</v>
      </c>
      <c r="F249" s="46" t="str">
        <f aca="false">IF(_PENDIENTES!$B$243&lt;&gt;"",_PENDIENTES!$F$243,"")</f>
        <v>PETROLEO</v>
      </c>
      <c r="G249" s="44" t="n">
        <f aca="false">IF(_PENDIENTES!$B$243&lt;&gt;"",_PENDIENTES!$G$243,"")</f>
        <v>7</v>
      </c>
      <c r="H249" s="44" t="n">
        <f aca="false">IF(_PENDIENTES!$B$243&lt;&gt;"",_PENDIENTES!$H$243,"")</f>
        <v>141.75</v>
      </c>
      <c r="I249" s="110" t="str">
        <f aca="false">IF(_PENDIENTES!$B$243&lt;&gt;"",_PENDIENTES!$I$243,"")</f>
        <v>ROJAS ALVARADO BENJAMIN</v>
      </c>
      <c r="J249" s="46" t="str">
        <f aca="false">IF(_PENDIENTES!$B$243&lt;&gt;"",_PENDIENTES!$J$243,"")</f>
        <v>421 EUH</v>
      </c>
      <c r="K249" s="46" t="str">
        <f aca="false">IF(_PENDIENTES!$B$243&lt;&gt;"","POR RECOGER","")</f>
        <v>POR RECOGER</v>
      </c>
      <c r="L249" s="46" t="n">
        <f aca="false">IF(_PENDIENTES!$B$243&lt;&gt;"",_PENDIENTES!$K$243,"")</f>
        <v>0</v>
      </c>
      <c r="M249" s="89" t="str">
        <f aca="false">IF(_PENDIENTES!$B$243&lt;&gt;"",_PENDIENTES!$B$243,"")</f>
        <v>MARIA AUXILIADORA</v>
      </c>
      <c r="N249" s="109" t="str">
        <f aca="false">IF(_PENDIENTES!$B$243&lt;&gt;"",_PENDIENTES!$L$243,"")</f>
        <v>MARIA AUXILIADORA</v>
      </c>
      <c r="O249" s="89"/>
      <c r="P249" s="89"/>
      <c r="Q249" s="89"/>
      <c r="R249" s="89"/>
      <c r="S249" s="89"/>
    </row>
    <row r="250" customFormat="false" ht="15.75" hidden="true" customHeight="true" outlineLevel="0" collapsed="false">
      <c r="A250" s="106" t="n">
        <f aca="false">IF(_PENDIENTES!$B$244&lt;&gt;"",243,"")</f>
        <v>243</v>
      </c>
      <c r="B250" s="47" t="str">
        <f aca="false">IF(_PENDIENTES!$B$244&lt;&gt;"",_PENDIENTES!$A$244,"")</f>
        <v>MAR</v>
      </c>
      <c r="C250" s="107" t="str">
        <f aca="false">IF(_PENDIENTES!$B$244&lt;&gt;"",_PENDIENTES!$C$244,"")</f>
        <v>LLATANCE HERRERA DYLAN MOISES</v>
      </c>
      <c r="D250" s="106" t="str">
        <f aca="false">IF(_PENDIENTES!$B$244&lt;&gt;"",_PENDIENTES!$D$244,"")</f>
        <v>93419545</v>
      </c>
      <c r="E250" s="111" t="str">
        <f aca="false">IF(_PENDIENTES!$B$244&lt;&gt;"",_PENDIENTES!$E$244,"")</f>
        <v>11/03/2026</v>
      </c>
      <c r="F250" s="106" t="str">
        <f aca="false">IF(_PENDIENTES!$B$244&lt;&gt;"",_PENDIENTES!$F$244,"")</f>
        <v>PETROLEO</v>
      </c>
      <c r="G250" s="50" t="n">
        <f aca="false">IF(_PENDIENTES!$B$244&lt;&gt;"",_PENDIENTES!$G$244,"")</f>
        <v>5</v>
      </c>
      <c r="H250" s="50" t="n">
        <f aca="false">IF(_PENDIENTES!$B$244&lt;&gt;"",_PENDIENTES!$H$244,"")</f>
        <v>90.9</v>
      </c>
      <c r="I250" s="107" t="str">
        <f aca="false">IF(_PENDIENTES!$B$244&lt;&gt;"",_PENDIENTES!$I$244,"")</f>
        <v>RIOS CHAVEZ WUILQUE</v>
      </c>
      <c r="J250" s="106" t="str">
        <f aca="false">IF(_PENDIENTES!$B$244&lt;&gt;"",_PENDIENTES!$J$244,"")</f>
        <v>EUD360</v>
      </c>
      <c r="K250" s="106" t="str">
        <f aca="false">IF(_PENDIENTES!$B$244&lt;&gt;"","POR RECOGER","")</f>
        <v>POR RECOGER</v>
      </c>
      <c r="L250" s="106" t="n">
        <f aca="false">IF(_PENDIENTES!$B$244&lt;&gt;"",_PENDIENTES!$K$244,"")</f>
        <v>0</v>
      </c>
      <c r="M250" s="89" t="str">
        <f aca="false">IF(_PENDIENTES!$B$244&lt;&gt;"",_PENDIENTES!$B$244,"")</f>
        <v>PEDRO RUIZ GALLO</v>
      </c>
      <c r="N250" s="109" t="str">
        <f aca="false">IF(_PENDIENTES!$B$244&lt;&gt;"",_PENDIENTES!$L$244,"")</f>
        <v>PEDRO RUIZ GALLO</v>
      </c>
      <c r="O250" s="89"/>
      <c r="P250" s="89"/>
      <c r="Q250" s="89"/>
      <c r="R250" s="89"/>
      <c r="S250" s="89"/>
    </row>
    <row r="251" customFormat="false" ht="15.75" hidden="true" customHeight="true" outlineLevel="0" collapsed="false">
      <c r="A251" s="46" t="n">
        <f aca="false">IF(_PENDIENTES!$B$245&lt;&gt;"",244,"")</f>
        <v>244</v>
      </c>
      <c r="B251" s="41" t="str">
        <f aca="false">IF(_PENDIENTES!$B$245&lt;&gt;"",_PENDIENTES!$A$245,"")</f>
        <v>MAR</v>
      </c>
      <c r="C251" s="110" t="str">
        <f aca="false">IF(_PENDIENTES!$B$245&lt;&gt;"",_PENDIENTES!$C$245,"")</f>
        <v>MORI VALQUI YOHAN FABIAN</v>
      </c>
      <c r="D251" s="46" t="str">
        <f aca="false">IF(_PENDIENTES!$B$245&lt;&gt;"",_PENDIENTES!$D$245,"")</f>
        <v>80813086</v>
      </c>
      <c r="E251" s="112" t="str">
        <f aca="false">IF(_PENDIENTES!$B$245&lt;&gt;"",_PENDIENTES!$E$245,"")</f>
        <v>11/03/2026</v>
      </c>
      <c r="F251" s="46" t="str">
        <f aca="false">IF(_PENDIENTES!$B$245&lt;&gt;"",_PENDIENTES!$F$245,"")</f>
        <v>PETROLEO</v>
      </c>
      <c r="G251" s="44" t="n">
        <f aca="false">IF(_PENDIENTES!$B$245&lt;&gt;"",_PENDIENTES!$G$245,"")</f>
        <v>5</v>
      </c>
      <c r="H251" s="44" t="n">
        <f aca="false">IF(_PENDIENTES!$B$245&lt;&gt;"",_PENDIENTES!$H$245,"")</f>
        <v>90.9</v>
      </c>
      <c r="I251" s="110" t="str">
        <f aca="false">IF(_PENDIENTES!$B$245&lt;&gt;"",_PENDIENTES!$I$245,"")</f>
        <v>VILCARROMERO TORREJON HERMERSON</v>
      </c>
      <c r="J251" s="46" t="str">
        <f aca="false">IF(_PENDIENTES!$B$245&lt;&gt;"",_PENDIENTES!$J$245,"")</f>
        <v>EUD-917</v>
      </c>
      <c r="K251" s="46" t="str">
        <f aca="false">IF(_PENDIENTES!$B$245&lt;&gt;"","POR RECOGER","")</f>
        <v>POR RECOGER</v>
      </c>
      <c r="L251" s="46" t="n">
        <f aca="false">IF(_PENDIENTES!$B$245&lt;&gt;"",_PENDIENTES!$K$245,"")</f>
        <v>0</v>
      </c>
      <c r="M251" s="89" t="str">
        <f aca="false">IF(_PENDIENTES!$B$245&lt;&gt;"",_PENDIENTES!$B$245,"")</f>
        <v>TINGO</v>
      </c>
      <c r="N251" s="109" t="str">
        <f aca="false">IF(_PENDIENTES!$B$245&lt;&gt;"",_PENDIENTES!$L$245,"")</f>
        <v>TINGO</v>
      </c>
      <c r="O251" s="89"/>
      <c r="P251" s="89"/>
      <c r="Q251" s="89"/>
      <c r="R251" s="89"/>
      <c r="S251" s="89"/>
    </row>
    <row r="252" customFormat="false" ht="15.75" hidden="true" customHeight="true" outlineLevel="0" collapsed="false">
      <c r="A252" s="106" t="n">
        <f aca="false">IF(_PENDIENTES!$B$246&lt;&gt;"",245,"")</f>
        <v>245</v>
      </c>
      <c r="B252" s="47" t="str">
        <f aca="false">IF(_PENDIENTES!$B$246&lt;&gt;"",_PENDIENTES!$A$246,"")</f>
        <v>MAR</v>
      </c>
      <c r="C252" s="107" t="str">
        <f aca="false">IF(_PENDIENTES!$B$246&lt;&gt;"",_PENDIENTES!$C$246,"")</f>
        <v>OLANO YLATOLA BARBARITA</v>
      </c>
      <c r="D252" s="106" t="str">
        <f aca="false">IF(_PENDIENTES!$B$246&lt;&gt;"",_PENDIENTES!$D$246,"")</f>
        <v>48983008</v>
      </c>
      <c r="E252" s="111" t="str">
        <f aca="false">IF(_PENDIENTES!$B$246&lt;&gt;"",_PENDIENTES!$E$246,"")</f>
        <v>12/03/2026</v>
      </c>
      <c r="F252" s="106" t="str">
        <f aca="false">IF(_PENDIENTES!$B$246&lt;&gt;"",_PENDIENTES!$F$246,"")</f>
        <v>PETROLEO</v>
      </c>
      <c r="G252" s="50" t="n">
        <f aca="false">IF(_PENDIENTES!$B$246&lt;&gt;"",_PENDIENTES!$G$246,"")</f>
        <v>6</v>
      </c>
      <c r="H252" s="50" t="n">
        <f aca="false">IF(_PENDIENTES!$B$246&lt;&gt;"",_PENDIENTES!$H$246,"")</f>
        <v>109.08</v>
      </c>
      <c r="I252" s="107" t="str">
        <f aca="false">IF(_PENDIENTES!$B$246&lt;&gt;"",_PENDIENTES!$I$246,"")</f>
        <v>CARRERA ARAUJO JEINER</v>
      </c>
      <c r="J252" s="106" t="str">
        <f aca="false">IF(_PENDIENTES!$B$246&lt;&gt;"",_PENDIENTES!$J$246,"")</f>
        <v>EUH747</v>
      </c>
      <c r="K252" s="106" t="str">
        <f aca="false">IF(_PENDIENTES!$B$246&lt;&gt;"","POR RECOGER","")</f>
        <v>POR RECOGER</v>
      </c>
      <c r="L252" s="106" t="n">
        <f aca="false">IF(_PENDIENTES!$B$246&lt;&gt;"",_PENDIENTES!$K$246,"")</f>
        <v>0</v>
      </c>
      <c r="M252" s="89" t="str">
        <f aca="false">IF(_PENDIENTES!$B$246&lt;&gt;"",_PENDIENTES!$B$246,"")</f>
        <v>POMACOCHAS</v>
      </c>
      <c r="N252" s="109" t="str">
        <f aca="false">IF(_PENDIENTES!$B$246&lt;&gt;"",_PENDIENTES!$L$246,"")</f>
        <v>POMACOCHAS</v>
      </c>
      <c r="O252" s="89"/>
      <c r="P252" s="89"/>
      <c r="Q252" s="89"/>
      <c r="R252" s="89"/>
      <c r="S252" s="89"/>
    </row>
    <row r="253" customFormat="false" ht="15.75" hidden="false" customHeight="true" outlineLevel="0" collapsed="false">
      <c r="A253" s="46" t="n">
        <f aca="false">IF(_PENDIENTES!$B$247&lt;&gt;"",246,"")</f>
        <v>246</v>
      </c>
      <c r="B253" s="41" t="str">
        <f aca="false">IF(_PENDIENTES!$B$247&lt;&gt;"",_PENDIENTES!$A$247,"")</f>
        <v>MAR</v>
      </c>
      <c r="C253" s="110" t="str">
        <f aca="false">IF(_PENDIENTES!$B$247&lt;&gt;"",_PENDIENTES!$C$247,"")</f>
        <v>VILLA HUAMAN VILMA</v>
      </c>
      <c r="D253" s="46" t="str">
        <f aca="false">IF(_PENDIENTES!$B$247&lt;&gt;"",_PENDIENTES!$D$247,"")</f>
        <v>47363507</v>
      </c>
      <c r="E253" s="112" t="str">
        <f aca="false">IF(_PENDIENTES!$B$247&lt;&gt;"",_PENDIENTES!$E$247,"")</f>
        <v>12/03/2026</v>
      </c>
      <c r="F253" s="46" t="str">
        <f aca="false">IF(_PENDIENTES!$B$247&lt;&gt;"",_PENDIENTES!$F$247,"")</f>
        <v>PETROLEO</v>
      </c>
      <c r="G253" s="44" t="n">
        <f aca="false">IF(_PENDIENTES!$B$247&lt;&gt;"",_PENDIENTES!$G$247,"")</f>
        <v>10</v>
      </c>
      <c r="H253" s="44" t="n">
        <f aca="false">IF(_PENDIENTES!$B$247&lt;&gt;"",_PENDIENTES!$H$247,"")</f>
        <v>202.5</v>
      </c>
      <c r="I253" s="110" t="str">
        <f aca="false">IF(_PENDIENTES!$B$247&lt;&gt;"",_PENDIENTES!$I$247,"")</f>
        <v>LOPEZ VARGAS HUBER</v>
      </c>
      <c r="J253" s="46" t="str">
        <f aca="false">IF(_PENDIENTES!$B$247&lt;&gt;"",_PENDIENTES!$J$247,"")</f>
        <v>EUH 634</v>
      </c>
      <c r="K253" s="46" t="str">
        <f aca="false">IF(_PENDIENTES!$B$247&lt;&gt;"","POR RECOGER","")</f>
        <v>POR RECOGER</v>
      </c>
      <c r="L253" s="46" t="str">
        <f aca="false">IF(_PENDIENTES!$B$247&lt;&gt;"",_PENDIENTES!$K$247,"")</f>
        <v>OMIA</v>
      </c>
      <c r="M253" s="89" t="str">
        <f aca="false">IF(_PENDIENTES!$B$247&lt;&gt;"",_PENDIENTES!$B$247,"")</f>
        <v>OMIA</v>
      </c>
      <c r="N253" s="109" t="str">
        <f aca="false">IF(_PENDIENTES!$B$247&lt;&gt;"",_PENDIENTES!$L$247,"")</f>
        <v>MARIA AUXILIADORA</v>
      </c>
      <c r="O253" s="89"/>
      <c r="P253" s="89"/>
      <c r="Q253" s="89"/>
      <c r="R253" s="89"/>
      <c r="S253" s="89"/>
    </row>
    <row r="254" customFormat="false" ht="15.75" hidden="true" customHeight="true" outlineLevel="0" collapsed="false">
      <c r="A254" s="106" t="n">
        <f aca="false">IF(_PENDIENTES!$B$248&lt;&gt;"",247,"")</f>
        <v>247</v>
      </c>
      <c r="B254" s="47" t="str">
        <f aca="false">IF(_PENDIENTES!$B$248&lt;&gt;"",_PENDIENTES!$A$248,"")</f>
        <v>MAR</v>
      </c>
      <c r="C254" s="107" t="str">
        <f aca="false">IF(_PENDIENTES!$B$248&lt;&gt;"",_PENDIENTES!$C$248,"")</f>
        <v>PUSCAN HUAMAN AGUSTINA</v>
      </c>
      <c r="D254" s="106" t="str">
        <f aca="false">IF(_PENDIENTES!$B$248&lt;&gt;"",_PENDIENTES!$D$248,"")</f>
        <v>44706561</v>
      </c>
      <c r="E254" s="111" t="str">
        <f aca="false">IF(_PENDIENTES!$B$248&lt;&gt;"",_PENDIENTES!$E$248,"")</f>
        <v>13/03/2026</v>
      </c>
      <c r="F254" s="106" t="str">
        <f aca="false">IF(_PENDIENTES!$B$248&lt;&gt;"",_PENDIENTES!$F$248,"")</f>
        <v>PETROLEO</v>
      </c>
      <c r="G254" s="50" t="n">
        <f aca="false">IF(_PENDIENTES!$B$248&lt;&gt;"",_PENDIENTES!$G$248,"")</f>
        <v>7</v>
      </c>
      <c r="H254" s="50" t="n">
        <f aca="false">IF(_PENDIENTES!$B$248&lt;&gt;"",_PENDIENTES!$H$248,"")</f>
        <v>127.26</v>
      </c>
      <c r="I254" s="107" t="str">
        <f aca="false">IF(_PENDIENTES!$B$248&lt;&gt;"",_PENDIENTES!$I$248,"")</f>
        <v>SANCHEZ CAJO VICENTE</v>
      </c>
      <c r="J254" s="106" t="str">
        <f aca="false">IF(_PENDIENTES!$B$248&lt;&gt;"",_PENDIENTES!$J$248,"")</f>
        <v>EGL-296</v>
      </c>
      <c r="K254" s="106" t="str">
        <f aca="false">IF(_PENDIENTES!$B$248&lt;&gt;"","POR RECOGER","")</f>
        <v>POR RECOGER</v>
      </c>
      <c r="L254" s="106" t="n">
        <f aca="false">IF(_PENDIENTES!$B$248&lt;&gt;"",_PENDIENTES!$K$248,"")</f>
        <v>0</v>
      </c>
      <c r="M254" s="89" t="str">
        <f aca="false">IF(_PENDIENTES!$B$248&lt;&gt;"",_PENDIENTES!$B$248,"")</f>
        <v>DURAZNOPAMPA</v>
      </c>
      <c r="N254" s="109" t="str">
        <f aca="false">IF(_PENDIENTES!$B$248&lt;&gt;"",_PENDIENTES!$L$248,"")</f>
        <v>DURAZNOPAMPA</v>
      </c>
      <c r="O254" s="89"/>
      <c r="P254" s="89"/>
      <c r="Q254" s="89"/>
      <c r="R254" s="89"/>
      <c r="S254" s="89"/>
    </row>
    <row r="255" customFormat="false" ht="15.75" hidden="true" customHeight="true" outlineLevel="0" collapsed="false">
      <c r="A255" s="46" t="n">
        <f aca="false">IF(_PENDIENTES!$B$249&lt;&gt;"",248,"")</f>
        <v>248</v>
      </c>
      <c r="B255" s="41" t="str">
        <f aca="false">IF(_PENDIENTES!$B$249&lt;&gt;"",_PENDIENTES!$A$249,"")</f>
        <v>MAR</v>
      </c>
      <c r="C255" s="110" t="str">
        <f aca="false">IF(_PENDIENTES!$B$249&lt;&gt;"",_PENDIENTES!$C$249,"")</f>
        <v>GUEVARA ALTAMIRANO JHOANA</v>
      </c>
      <c r="D255" s="46" t="str">
        <f aca="false">IF(_PENDIENTES!$B$249&lt;&gt;"",_PENDIENTES!$D$249,"")</f>
        <v>10819</v>
      </c>
      <c r="E255" s="112" t="str">
        <f aca="false">IF(_PENDIENTES!$B$249&lt;&gt;"",_PENDIENTES!$E$249,"")</f>
        <v>13/03/2026</v>
      </c>
      <c r="F255" s="46" t="str">
        <f aca="false">IF(_PENDIENTES!$B$249&lt;&gt;"",_PENDIENTES!$F$249,"")</f>
        <v>PETROLEO</v>
      </c>
      <c r="G255" s="44" t="n">
        <f aca="false">IF(_PENDIENTES!$B$249&lt;&gt;"",_PENDIENTES!$G$249,"")</f>
        <v>6</v>
      </c>
      <c r="H255" s="44" t="n">
        <f aca="false">IF(_PENDIENTES!$B$249&lt;&gt;"",_PENDIENTES!$H$249,"")</f>
        <v>109.08</v>
      </c>
      <c r="I255" s="110" t="str">
        <f aca="false">IF(_PENDIENTES!$B$249&lt;&gt;"",_PENDIENTES!$I$249,"")</f>
        <v>CARRERA ARAUJO JEINER</v>
      </c>
      <c r="J255" s="46" t="str">
        <f aca="false">IF(_PENDIENTES!$B$249&lt;&gt;"",_PENDIENTES!$J$249,"")</f>
        <v>EUH747</v>
      </c>
      <c r="K255" s="46" t="str">
        <f aca="false">IF(_PENDIENTES!$B$249&lt;&gt;"","POR RECOGER","")</f>
        <v>POR RECOGER</v>
      </c>
      <c r="L255" s="46" t="n">
        <f aca="false">IF(_PENDIENTES!$B$249&lt;&gt;"",_PENDIENTES!$K$249,"")</f>
        <v>0</v>
      </c>
      <c r="M255" s="89" t="str">
        <f aca="false">IF(_PENDIENTES!$B$249&lt;&gt;"",_PENDIENTES!$B$249,"")</f>
        <v>POMACOCHAS</v>
      </c>
      <c r="N255" s="109" t="str">
        <f aca="false">IF(_PENDIENTES!$B$249&lt;&gt;"",_PENDIENTES!$L$249,"")</f>
        <v>POMACOCHAS</v>
      </c>
      <c r="O255" s="89"/>
      <c r="P255" s="89"/>
      <c r="Q255" s="89"/>
      <c r="R255" s="89"/>
      <c r="S255" s="89"/>
    </row>
    <row r="256" customFormat="false" ht="15.75" hidden="true" customHeight="true" outlineLevel="0" collapsed="false">
      <c r="A256" s="106" t="n">
        <f aca="false">IF(_PENDIENTES!$B$250&lt;&gt;"",249,"")</f>
        <v>249</v>
      </c>
      <c r="B256" s="47" t="str">
        <f aca="false">IF(_PENDIENTES!$B$250&lt;&gt;"",_PENDIENTES!$A$250,"")</f>
        <v>MAR</v>
      </c>
      <c r="C256" s="107" t="str">
        <f aca="false">IF(_PENDIENTES!$B$250&lt;&gt;"",_PENDIENTES!$C$250,"")</f>
        <v>RABANAL MELENDEZ LENYN EDUARDO</v>
      </c>
      <c r="D256" s="106" t="str">
        <f aca="false">IF(_PENDIENTES!$B$250&lt;&gt;"",_PENDIENTES!$D$250,"")</f>
        <v>63245633</v>
      </c>
      <c r="E256" s="111" t="str">
        <f aca="false">IF(_PENDIENTES!$B$250&lt;&gt;"",_PENDIENTES!$E$250,"")</f>
        <v>13/03/2026</v>
      </c>
      <c r="F256" s="106" t="str">
        <f aca="false">IF(_PENDIENTES!$B$250&lt;&gt;"",_PENDIENTES!$F$250,"")</f>
        <v>PETROLEO</v>
      </c>
      <c r="G256" s="50" t="n">
        <f aca="false">IF(_PENDIENTES!$B$250&lt;&gt;"",_PENDIENTES!$G$250,"")</f>
        <v>7</v>
      </c>
      <c r="H256" s="50" t="n">
        <f aca="false">IF(_PENDIENTES!$B$250&lt;&gt;"",_PENDIENTES!$H$250,"")</f>
        <v>141.75</v>
      </c>
      <c r="I256" s="107" t="str">
        <f aca="false">IF(_PENDIENTES!$B$250&lt;&gt;"",_PENDIENTES!$I$250,"")</f>
        <v>SERNAQUE PELAEZ WILMER</v>
      </c>
      <c r="J256" s="106" t="str">
        <f aca="false">IF(_PENDIENTES!$B$250&lt;&gt;"",_PENDIENTES!$J$250,"")</f>
        <v>EUH-421</v>
      </c>
      <c r="K256" s="106" t="str">
        <f aca="false">IF(_PENDIENTES!$B$250&lt;&gt;"","POR RECOGER","")</f>
        <v>POR RECOGER</v>
      </c>
      <c r="L256" s="106" t="n">
        <f aca="false">IF(_PENDIENTES!$B$250&lt;&gt;"",_PENDIENTES!$K$250,"")</f>
        <v>0</v>
      </c>
      <c r="M256" s="89" t="str">
        <f aca="false">IF(_PENDIENTES!$B$250&lt;&gt;"",_PENDIENTES!$B$250,"")</f>
        <v>MARIA AUXILIADORA</v>
      </c>
      <c r="N256" s="109" t="str">
        <f aca="false">IF(_PENDIENTES!$B$250&lt;&gt;"",_PENDIENTES!$L$250,"")</f>
        <v>MARIA AUXILIADORA</v>
      </c>
      <c r="O256" s="89"/>
      <c r="P256" s="89"/>
      <c r="Q256" s="89"/>
      <c r="R256" s="89"/>
      <c r="S256" s="89"/>
    </row>
    <row r="257" customFormat="false" ht="15.75" hidden="true" customHeight="true" outlineLevel="0" collapsed="false">
      <c r="A257" s="46" t="n">
        <f aca="false">IF(_PENDIENTES!$B$251&lt;&gt;"",250,"")</f>
        <v>250</v>
      </c>
      <c r="B257" s="41" t="str">
        <f aca="false">IF(_PENDIENTES!$B$251&lt;&gt;"",_PENDIENTES!$A$251,"")</f>
        <v>MAR</v>
      </c>
      <c r="C257" s="110" t="str">
        <f aca="false">IF(_PENDIENTES!$B$251&lt;&gt;"",_PENDIENTES!$C$251,"")</f>
        <v>MASLUCAN GUALAMBO NATIVIDAD</v>
      </c>
      <c r="D257" s="46" t="str">
        <f aca="false">IF(_PENDIENTES!$B$251&lt;&gt;"",_PENDIENTES!$D$251,"")</f>
        <v>33732915</v>
      </c>
      <c r="E257" s="112" t="str">
        <f aca="false">IF(_PENDIENTES!$B$251&lt;&gt;"",_PENDIENTES!$E$251,"")</f>
        <v>13/03/2026</v>
      </c>
      <c r="F257" s="46" t="str">
        <f aca="false">IF(_PENDIENTES!$B$251&lt;&gt;"",_PENDIENTES!$F$251,"")</f>
        <v>PETROLEO</v>
      </c>
      <c r="G257" s="44" t="n">
        <f aca="false">IF(_PENDIENTES!$B$251&lt;&gt;"",_PENDIENTES!$G$251,"")</f>
        <v>5</v>
      </c>
      <c r="H257" s="44" t="n">
        <f aca="false">IF(_PENDIENTES!$B$251&lt;&gt;"",_PENDIENTES!$H$251,"")</f>
        <v>90.9</v>
      </c>
      <c r="I257" s="110" t="str">
        <f aca="false">IF(_PENDIENTES!$B$251&lt;&gt;"",_PENDIENTES!$I$251,"")</f>
        <v>MUNOZ VERGARAY JORGE ENRRIQUE</v>
      </c>
      <c r="J257" s="46" t="str">
        <f aca="false">IF(_PENDIENTES!$B$251&lt;&gt;"",_PENDIENTES!$J$251,"")</f>
        <v>EUH 427</v>
      </c>
      <c r="K257" s="46" t="str">
        <f aca="false">IF(_PENDIENTES!$B$251&lt;&gt;"","POR RECOGER","")</f>
        <v>POR RECOGER</v>
      </c>
      <c r="L257" s="46" t="n">
        <f aca="false">IF(_PENDIENTES!$B$251&lt;&gt;"",_PENDIENTES!$K$251,"")</f>
        <v>0</v>
      </c>
      <c r="M257" s="89" t="str">
        <f aca="false">IF(_PENDIENTES!$B$251&lt;&gt;"",_PENDIENTES!$B$251,"")</f>
        <v>PEDRO RUIZ GALLO</v>
      </c>
      <c r="N257" s="109" t="str">
        <f aca="false">IF(_PENDIENTES!$B$251&lt;&gt;"",_PENDIENTES!$L$251,"")</f>
        <v>PEDRO RUIZ GALLO</v>
      </c>
      <c r="O257" s="89"/>
      <c r="P257" s="89"/>
      <c r="Q257" s="89"/>
      <c r="R257" s="89"/>
      <c r="S257" s="89"/>
    </row>
    <row r="258" customFormat="false" ht="15.75" hidden="true" customHeight="true" outlineLevel="0" collapsed="false">
      <c r="A258" s="106" t="n">
        <f aca="false">IF(_PENDIENTES!$B$252&lt;&gt;"",251,"")</f>
        <v>251</v>
      </c>
      <c r="B258" s="47" t="str">
        <f aca="false">IF(_PENDIENTES!$B$252&lt;&gt;"",_PENDIENTES!$A$252,"")</f>
        <v>MAR</v>
      </c>
      <c r="C258" s="107" t="str">
        <f aca="false">IF(_PENDIENTES!$B$252&lt;&gt;"",_PENDIENTES!$C$252,"")</f>
        <v>CULQUI SOROE IRMA JESUS</v>
      </c>
      <c r="D258" s="106" t="str">
        <f aca="false">IF(_PENDIENTES!$B$252&lt;&gt;"",_PENDIENTES!$D$252,"")</f>
        <v>77230784</v>
      </c>
      <c r="E258" s="111" t="str">
        <f aca="false">IF(_PENDIENTES!$B$252&lt;&gt;"",_PENDIENTES!$E$252,"")</f>
        <v>14/03/2026</v>
      </c>
      <c r="F258" s="106" t="str">
        <f aca="false">IF(_PENDIENTES!$B$252&lt;&gt;"",_PENDIENTES!$F$252,"")</f>
        <v>PETROLEO</v>
      </c>
      <c r="G258" s="50" t="n">
        <f aca="false">IF(_PENDIENTES!$B$252&lt;&gt;"",_PENDIENTES!$G$252,"")</f>
        <v>6</v>
      </c>
      <c r="H258" s="50" t="n">
        <f aca="false">IF(_PENDIENTES!$B$252&lt;&gt;"",_PENDIENTES!$H$252,"")</f>
        <v>109.08</v>
      </c>
      <c r="I258" s="107" t="str">
        <f aca="false">IF(_PENDIENTES!$B$252&lt;&gt;"",_PENDIENTES!$I$252,"")</f>
        <v>SANCHEZ CAJO VICENTE</v>
      </c>
      <c r="J258" s="106" t="str">
        <f aca="false">IF(_PENDIENTES!$B$252&lt;&gt;"",_PENDIENTES!$J$252,"")</f>
        <v>EGL-296</v>
      </c>
      <c r="K258" s="106" t="str">
        <f aca="false">IF(_PENDIENTES!$B$252&lt;&gt;"","POR RECOGER","")</f>
        <v>POR RECOGER</v>
      </c>
      <c r="L258" s="106" t="n">
        <f aca="false">IF(_PENDIENTES!$B$252&lt;&gt;"",_PENDIENTES!$K$252,"")</f>
        <v>0</v>
      </c>
      <c r="M258" s="89" t="str">
        <f aca="false">IF(_PENDIENTES!$B$252&lt;&gt;"",_PENDIENTES!$B$252,"")</f>
        <v>YERBABUENA</v>
      </c>
      <c r="N258" s="109" t="str">
        <f aca="false">IF(_PENDIENTES!$B$252&lt;&gt;"",_PENDIENTES!$L$252,"")</f>
        <v>YERBABUENA</v>
      </c>
      <c r="O258" s="89"/>
      <c r="P258" s="89"/>
      <c r="Q258" s="89"/>
      <c r="R258" s="89"/>
      <c r="S258" s="89"/>
    </row>
    <row r="259" customFormat="false" ht="15.75" hidden="true" customHeight="true" outlineLevel="0" collapsed="false">
      <c r="A259" s="46" t="n">
        <f aca="false">IF(_PENDIENTES!$B$253&lt;&gt;"",252,"")</f>
        <v>252</v>
      </c>
      <c r="B259" s="41" t="str">
        <f aca="false">IF(_PENDIENTES!$B$253&lt;&gt;"",_PENDIENTES!$A$253,"")</f>
        <v>MAR</v>
      </c>
      <c r="C259" s="110" t="str">
        <f aca="false">IF(_PENDIENTES!$B$253&lt;&gt;"",_PENDIENTES!$C$253,"")</f>
        <v>VASQUEZ MEGO MAGNO</v>
      </c>
      <c r="D259" s="46" t="str">
        <f aca="false">IF(_PENDIENTES!$B$253&lt;&gt;"",_PENDIENTES!$D$253,"")</f>
        <v>27433717</v>
      </c>
      <c r="E259" s="112" t="str">
        <f aca="false">IF(_PENDIENTES!$B$253&lt;&gt;"",_PENDIENTES!$E$253,"")</f>
        <v>14/03/2026</v>
      </c>
      <c r="F259" s="46" t="str">
        <f aca="false">IF(_PENDIENTES!$B$253&lt;&gt;"",_PENDIENTES!$F$253,"")</f>
        <v>PETROLEO</v>
      </c>
      <c r="G259" s="44" t="n">
        <f aca="false">IF(_PENDIENTES!$B$253&lt;&gt;"",_PENDIENTES!$G$253,"")</f>
        <v>6</v>
      </c>
      <c r="H259" s="44" t="n">
        <f aca="false">IF(_PENDIENTES!$B$253&lt;&gt;"",_PENDIENTES!$H$253,"")</f>
        <v>109.08</v>
      </c>
      <c r="I259" s="110" t="str">
        <f aca="false">IF(_PENDIENTES!$B$253&lt;&gt;"",_PENDIENTES!$I$253,"")</f>
        <v>CARRERA ARAUJO JEINER</v>
      </c>
      <c r="J259" s="46" t="str">
        <f aca="false">IF(_PENDIENTES!$B$253&lt;&gt;"",_PENDIENTES!$J$253,"")</f>
        <v>EUH747</v>
      </c>
      <c r="K259" s="46" t="str">
        <f aca="false">IF(_PENDIENTES!$B$253&lt;&gt;"","POR RECOGER","")</f>
        <v>POR RECOGER</v>
      </c>
      <c r="L259" s="46" t="n">
        <f aca="false">IF(_PENDIENTES!$B$253&lt;&gt;"",_PENDIENTES!$K$253,"")</f>
        <v>0</v>
      </c>
      <c r="M259" s="89" t="str">
        <f aca="false">IF(_PENDIENTES!$B$253&lt;&gt;"",_PENDIENTES!$B$253,"")</f>
        <v>POMACOCHAS</v>
      </c>
      <c r="N259" s="109" t="str">
        <f aca="false">IF(_PENDIENTES!$B$253&lt;&gt;"",_PENDIENTES!$L$253,"")</f>
        <v>POMACOCHAS</v>
      </c>
      <c r="O259" s="89"/>
      <c r="P259" s="89"/>
      <c r="Q259" s="89"/>
      <c r="R259" s="89"/>
      <c r="S259" s="89"/>
    </row>
    <row r="260" customFormat="false" ht="15.75" hidden="true" customHeight="true" outlineLevel="0" collapsed="false">
      <c r="A260" s="106" t="n">
        <f aca="false">IF(_PENDIENTES!$B$254&lt;&gt;"",253,"")</f>
        <v>253</v>
      </c>
      <c r="B260" s="47" t="str">
        <f aca="false">IF(_PENDIENTES!$B$254&lt;&gt;"",_PENDIENTES!$A$254,"")</f>
        <v>MAR</v>
      </c>
      <c r="C260" s="107" t="str">
        <f aca="false">IF(_PENDIENTES!$B$254&lt;&gt;"",_PENDIENTES!$C$254,"")</f>
        <v>PORTOCARRERO PORTOCARRERO ANGEL RICARDO</v>
      </c>
      <c r="D260" s="106" t="str">
        <f aca="false">IF(_PENDIENTES!$B$254&lt;&gt;"",_PENDIENTES!$D$254,"")</f>
        <v>63391882</v>
      </c>
      <c r="E260" s="111" t="str">
        <f aca="false">IF(_PENDIENTES!$B$254&lt;&gt;"",_PENDIENTES!$E$254,"")</f>
        <v>15/03/2026</v>
      </c>
      <c r="F260" s="106" t="str">
        <f aca="false">IF(_PENDIENTES!$B$254&lt;&gt;"",_PENDIENTES!$F$254,"")</f>
        <v>PETROLEO</v>
      </c>
      <c r="G260" s="50" t="n">
        <f aca="false">IF(_PENDIENTES!$B$254&lt;&gt;"",_PENDIENTES!$G$254,"")</f>
        <v>8.06</v>
      </c>
      <c r="H260" s="50" t="n">
        <f aca="false">IF(_PENDIENTES!$B$254&lt;&gt;"",_PENDIENTES!$H$254,"")</f>
        <v>163.215</v>
      </c>
      <c r="I260" s="107" t="str">
        <f aca="false">IF(_PENDIENTES!$B$254&lt;&gt;"",_PENDIENTES!$I$254,"")</f>
        <v>SERNAQUE PELAEZ WILMER</v>
      </c>
      <c r="J260" s="106" t="str">
        <f aca="false">IF(_PENDIENTES!$B$254&lt;&gt;"",_PENDIENTES!$J$254,"")</f>
        <v>EUH-421</v>
      </c>
      <c r="K260" s="106" t="str">
        <f aca="false">IF(_PENDIENTES!$B$254&lt;&gt;"","POR RECOGER","")</f>
        <v>POR RECOGER</v>
      </c>
      <c r="L260" s="106" t="n">
        <f aca="false">IF(_PENDIENTES!$B$254&lt;&gt;"",_PENDIENTES!$K$254,"")</f>
        <v>0</v>
      </c>
      <c r="M260" s="89" t="str">
        <f aca="false">IF(_PENDIENTES!$B$254&lt;&gt;"",_PENDIENTES!$B$254,"")</f>
        <v>MARIA AUXILIADORA</v>
      </c>
      <c r="N260" s="109" t="str">
        <f aca="false">IF(_PENDIENTES!$B$254&lt;&gt;"",_PENDIENTES!$L$254,"")</f>
        <v>MARIA AUXILIADORA</v>
      </c>
      <c r="O260" s="89"/>
      <c r="P260" s="89"/>
      <c r="Q260" s="89"/>
      <c r="R260" s="89"/>
      <c r="S260" s="89"/>
    </row>
    <row r="261" customFormat="false" ht="15.75" hidden="true" customHeight="true" outlineLevel="0" collapsed="false">
      <c r="A261" s="46" t="n">
        <f aca="false">IF(_PENDIENTES!$B$255&lt;&gt;"",254,"")</f>
        <v>254</v>
      </c>
      <c r="B261" s="41" t="str">
        <f aca="false">IF(_PENDIENTES!$B$255&lt;&gt;"",_PENDIENTES!$A$255,"")</f>
        <v>MAR</v>
      </c>
      <c r="C261" s="110" t="str">
        <f aca="false">IF(_PENDIENTES!$B$255&lt;&gt;"",_PENDIENTES!$C$255,"")</f>
        <v>TORREJON ARCE VICTOR GERARDO</v>
      </c>
      <c r="D261" s="46" t="str">
        <f aca="false">IF(_PENDIENTES!$B$255&lt;&gt;"",_PENDIENTES!$D$255,"")</f>
        <v>33739096</v>
      </c>
      <c r="E261" s="112" t="str">
        <f aca="false">IF(_PENDIENTES!$B$255&lt;&gt;"",_PENDIENTES!$E$255,"")</f>
        <v>15/03/2026</v>
      </c>
      <c r="F261" s="46" t="str">
        <f aca="false">IF(_PENDIENTES!$B$255&lt;&gt;"",_PENDIENTES!$F$255,"")</f>
        <v>GASOLINA</v>
      </c>
      <c r="G261" s="44" t="n">
        <f aca="false">IF(_PENDIENTES!$B$255&lt;&gt;"",_PENDIENTES!$G$255,"")</f>
        <v>6</v>
      </c>
      <c r="H261" s="44" t="n">
        <f aca="false">IF(_PENDIENTES!$B$255&lt;&gt;"",_PENDIENTES!$H$255,"")</f>
        <v>107.7</v>
      </c>
      <c r="I261" s="110" t="str">
        <f aca="false">IF(_PENDIENTES!$B$255&lt;&gt;"",_PENDIENTES!$I$255,"")</f>
        <v>MUNOZ VERGARAY JORGE ENRRIQUE</v>
      </c>
      <c r="J261" s="46" t="str">
        <f aca="false">IF(_PENDIENTES!$B$255&lt;&gt;"",_PENDIENTES!$J$255,"")</f>
        <v>EUH 427</v>
      </c>
      <c r="K261" s="46" t="str">
        <f aca="false">IF(_PENDIENTES!$B$255&lt;&gt;"","POR RECOGER","")</f>
        <v>POR RECOGER</v>
      </c>
      <c r="L261" s="46" t="n">
        <f aca="false">IF(_PENDIENTES!$B$255&lt;&gt;"",_PENDIENTES!$K$255,"")</f>
        <v>0</v>
      </c>
      <c r="M261" s="89" t="str">
        <f aca="false">IF(_PENDIENTES!$B$255&lt;&gt;"",_PENDIENTES!$B$255,"")</f>
        <v>PEDRO RUIZ GALLO</v>
      </c>
      <c r="N261" s="109" t="str">
        <f aca="false">IF(_PENDIENTES!$B$255&lt;&gt;"",_PENDIENTES!$L$255,"")</f>
        <v>PEDRO RUIZ GALLO</v>
      </c>
      <c r="O261" s="89"/>
      <c r="P261" s="89"/>
      <c r="Q261" s="89"/>
      <c r="R261" s="89"/>
      <c r="S261" s="89"/>
    </row>
    <row r="262" customFormat="false" ht="15.75" hidden="true" customHeight="true" outlineLevel="0" collapsed="false">
      <c r="A262" s="106" t="n">
        <f aca="false">IF(_PENDIENTES!$B$256&lt;&gt;"",255,"")</f>
        <v>255</v>
      </c>
      <c r="B262" s="47" t="str">
        <f aca="false">IF(_PENDIENTES!$B$256&lt;&gt;"",_PENDIENTES!$A$256,"")</f>
        <v>MAR</v>
      </c>
      <c r="C262" s="107" t="str">
        <f aca="false">IF(_PENDIENTES!$B$256&lt;&gt;"",_PENDIENTES!$C$256,"")</f>
        <v>INGA PEREZ ELMER</v>
      </c>
      <c r="D262" s="106" t="str">
        <f aca="false">IF(_PENDIENTES!$B$256&lt;&gt;"",_PENDIENTES!$D$256,"")</f>
        <v>46744861</v>
      </c>
      <c r="E262" s="111" t="str">
        <f aca="false">IF(_PENDIENTES!$B$256&lt;&gt;"",_PENDIENTES!$E$256,"")</f>
        <v>16/03/2026</v>
      </c>
      <c r="F262" s="106" t="str">
        <f aca="false">IF(_PENDIENTES!$B$256&lt;&gt;"",_PENDIENTES!$F$256,"")</f>
        <v>PETROLEO</v>
      </c>
      <c r="G262" s="50" t="n">
        <f aca="false">IF(_PENDIENTES!$B$256&lt;&gt;"",_PENDIENTES!$G$256,"")</f>
        <v>5</v>
      </c>
      <c r="H262" s="50" t="n">
        <f aca="false">IF(_PENDIENTES!$B$256&lt;&gt;"",_PENDIENTES!$H$256,"")</f>
        <v>90.9</v>
      </c>
      <c r="I262" s="107" t="str">
        <f aca="false">IF(_PENDIENTES!$B$256&lt;&gt;"",_PENDIENTES!$I$256,"")</f>
        <v>VILCARROMERO TORREJON HERMERSON</v>
      </c>
      <c r="J262" s="106" t="str">
        <f aca="false">IF(_PENDIENTES!$B$256&lt;&gt;"",_PENDIENTES!$J$256,"")</f>
        <v>EUD-917</v>
      </c>
      <c r="K262" s="106" t="str">
        <f aca="false">IF(_PENDIENTES!$B$256&lt;&gt;"","POR RECOGER","")</f>
        <v>POR RECOGER</v>
      </c>
      <c r="L262" s="106" t="n">
        <f aca="false">IF(_PENDIENTES!$B$256&lt;&gt;"",_PENDIENTES!$K$256,"")</f>
        <v>0</v>
      </c>
      <c r="M262" s="89" t="str">
        <f aca="false">IF(_PENDIENTES!$B$256&lt;&gt;"",_PENDIENTES!$B$256,"")</f>
        <v>TINGO</v>
      </c>
      <c r="N262" s="109" t="str">
        <f aca="false">IF(_PENDIENTES!$B$256&lt;&gt;"",_PENDIENTES!$L$256,"")</f>
        <v>TINGO</v>
      </c>
      <c r="O262" s="89"/>
      <c r="P262" s="89"/>
      <c r="Q262" s="89"/>
      <c r="R262" s="89"/>
      <c r="S262" s="89"/>
    </row>
    <row r="263" customFormat="false" ht="15.75" hidden="true" customHeight="true" outlineLevel="0" collapsed="false">
      <c r="A263" s="46" t="n">
        <f aca="false">IF(_PENDIENTES!$B$257&lt;&gt;"",256,"")</f>
        <v>256</v>
      </c>
      <c r="B263" s="41" t="str">
        <f aca="false">IF(_PENDIENTES!$B$257&lt;&gt;"",_PENDIENTES!$A$257,"")</f>
        <v>MAR</v>
      </c>
      <c r="C263" s="110" t="str">
        <f aca="false">IF(_PENDIENTES!$B$257&lt;&gt;"",_PENDIENTES!$C$257,"")</f>
        <v>TARRILLO SANCHEZ MARIA CELIDA</v>
      </c>
      <c r="D263" s="46" t="str">
        <f aca="false">IF(_PENDIENTES!$B$257&lt;&gt;"",_PENDIENTES!$D$257,"")</f>
        <v>44198440</v>
      </c>
      <c r="E263" s="112" t="str">
        <f aca="false">IF(_PENDIENTES!$B$257&lt;&gt;"",_PENDIENTES!$E$257,"")</f>
        <v>17/03/2026</v>
      </c>
      <c r="F263" s="46" t="str">
        <f aca="false">IF(_PENDIENTES!$B$257&lt;&gt;"",_PENDIENTES!$F$257,"")</f>
        <v>GASOLINA</v>
      </c>
      <c r="G263" s="44" t="n">
        <f aca="false">IF(_PENDIENTES!$B$257&lt;&gt;"",_PENDIENTES!$G$257,"")</f>
        <v>5</v>
      </c>
      <c r="H263" s="44" t="n">
        <f aca="false">IF(_PENDIENTES!$B$257&lt;&gt;"",_PENDIENTES!$H$257,"")</f>
        <v>89.75</v>
      </c>
      <c r="I263" s="110" t="str">
        <f aca="false">IF(_PENDIENTES!$B$257&lt;&gt;"",_PENDIENTES!$I$257,"")</f>
        <v>RONAL SAUCEDO GUEVARA</v>
      </c>
      <c r="J263" s="46" t="str">
        <f aca="false">IF(_PENDIENTES!$B$257&lt;&gt;"",_PENDIENTES!$J$257,"")</f>
        <v>EUB-067</v>
      </c>
      <c r="K263" s="46" t="str">
        <f aca="false">IF(_PENDIENTES!$B$257&lt;&gt;"","POR RECOGER","")</f>
        <v>POR RECOGER</v>
      </c>
      <c r="L263" s="46" t="n">
        <f aca="false">IF(_PENDIENTES!$B$257&lt;&gt;"",_PENDIENTES!$K$257,"")</f>
        <v>0</v>
      </c>
      <c r="M263" s="89" t="str">
        <f aca="false">IF(_PENDIENTES!$B$257&lt;&gt;"",_PENDIENTES!$B$257,"")</f>
        <v>BUENOS AIRES</v>
      </c>
      <c r="N263" s="109" t="str">
        <f aca="false">IF(_PENDIENTES!$B$257&lt;&gt;"",_PENDIENTES!$L$257,"")</f>
        <v>BUENOS AIRES</v>
      </c>
      <c r="O263" s="89"/>
      <c r="P263" s="89"/>
      <c r="Q263" s="89"/>
      <c r="R263" s="89"/>
      <c r="S263" s="89"/>
    </row>
    <row r="264" customFormat="false" ht="15.75" hidden="true" customHeight="true" outlineLevel="0" collapsed="false">
      <c r="A264" s="106" t="n">
        <f aca="false">IF(_PENDIENTES!$B$258&lt;&gt;"",257,"")</f>
        <v>257</v>
      </c>
      <c r="B264" s="47" t="str">
        <f aca="false">IF(_PENDIENTES!$B$258&lt;&gt;"",_PENDIENTES!$A$258,"")</f>
        <v>MAR</v>
      </c>
      <c r="C264" s="107" t="str">
        <f aca="false">IF(_PENDIENTES!$B$258&lt;&gt;"",_PENDIENTES!$C$258,"")</f>
        <v>DIAZ CHAVEZ WILSON ANTONIO</v>
      </c>
      <c r="D264" s="106" t="str">
        <f aca="false">IF(_PENDIENTES!$B$258&lt;&gt;"",_PENDIENTES!$D$258,"")</f>
        <v>33800223</v>
      </c>
      <c r="E264" s="111" t="str">
        <f aca="false">IF(_PENDIENTES!$B$258&lt;&gt;"",_PENDIENTES!$E$258,"")</f>
        <v>17/03/2026</v>
      </c>
      <c r="F264" s="106" t="str">
        <f aca="false">IF(_PENDIENTES!$B$258&lt;&gt;"",_PENDIENTES!$F$258,"")</f>
        <v>PETROLEO</v>
      </c>
      <c r="G264" s="50" t="n">
        <f aca="false">IF(_PENDIENTES!$B$258&lt;&gt;"",_PENDIENTES!$G$258,"")</f>
        <v>5</v>
      </c>
      <c r="H264" s="50" t="n">
        <f aca="false">IF(_PENDIENTES!$B$258&lt;&gt;"",_PENDIENTES!$H$258,"")</f>
        <v>90.9</v>
      </c>
      <c r="I264" s="107" t="str">
        <f aca="false">IF(_PENDIENTES!$B$258&lt;&gt;"",_PENDIENTES!$I$258,"")</f>
        <v>VILCARROMERO TORREJON HERMERSON</v>
      </c>
      <c r="J264" s="106" t="str">
        <f aca="false">IF(_PENDIENTES!$B$258&lt;&gt;"",_PENDIENTES!$J$258,"")</f>
        <v>EUD-917</v>
      </c>
      <c r="K264" s="106" t="str">
        <f aca="false">IF(_PENDIENTES!$B$258&lt;&gt;"","POR RECOGER","")</f>
        <v>POR RECOGER</v>
      </c>
      <c r="L264" s="106" t="n">
        <f aca="false">IF(_PENDIENTES!$B$258&lt;&gt;"",_PENDIENTES!$K$258,"")</f>
        <v>0</v>
      </c>
      <c r="M264" s="89" t="str">
        <f aca="false">IF(_PENDIENTES!$B$258&lt;&gt;"",_PENDIENTES!$B$258,"")</f>
        <v>TINGO</v>
      </c>
      <c r="N264" s="109" t="str">
        <f aca="false">IF(_PENDIENTES!$B$258&lt;&gt;"",_PENDIENTES!$L$258,"")</f>
        <v>TINGO</v>
      </c>
      <c r="O264" s="89"/>
      <c r="P264" s="89"/>
      <c r="Q264" s="89"/>
      <c r="R264" s="89"/>
      <c r="S264" s="89"/>
    </row>
    <row r="265" customFormat="false" ht="15.75" hidden="true" customHeight="true" outlineLevel="0" collapsed="false">
      <c r="A265" s="46" t="n">
        <f aca="false">IF(_PENDIENTES!$B$259&lt;&gt;"",258,"")</f>
        <v>258</v>
      </c>
      <c r="B265" s="41" t="str">
        <f aca="false">IF(_PENDIENTES!$B$259&lt;&gt;"",_PENDIENTES!$A$259,"")</f>
        <v>MAR</v>
      </c>
      <c r="C265" s="110" t="str">
        <f aca="false">IF(_PENDIENTES!$B$259&lt;&gt;"",_PENDIENTES!$C$259,"")</f>
        <v>HUAMAN VELAYSOSA DAYRON YAMIL</v>
      </c>
      <c r="D265" s="46" t="str">
        <f aca="false">IF(_PENDIENTES!$B$259&lt;&gt;"",_PENDIENTES!$D$259,"")</f>
        <v>91555177</v>
      </c>
      <c r="E265" s="112" t="str">
        <f aca="false">IF(_PENDIENTES!$B$259&lt;&gt;"",_PENDIENTES!$E$259,"")</f>
        <v>18/03/2026</v>
      </c>
      <c r="F265" s="46" t="str">
        <f aca="false">IF(_PENDIENTES!$B$259&lt;&gt;"",_PENDIENTES!$F$259,"")</f>
        <v>PETROLEO</v>
      </c>
      <c r="G265" s="44" t="n">
        <f aca="false">IF(_PENDIENTES!$B$259&lt;&gt;"",_PENDIENTES!$G$259,"")</f>
        <v>5</v>
      </c>
      <c r="H265" s="44" t="n">
        <f aca="false">IF(_PENDIENTES!$B$259&lt;&gt;"",_PENDIENTES!$H$259,"")</f>
        <v>90.9</v>
      </c>
      <c r="I265" s="110" t="str">
        <f aca="false">IF(_PENDIENTES!$B$259&lt;&gt;"",_PENDIENTES!$I$259,"")</f>
        <v>VILCARROMERO TORREJON HERMERSON</v>
      </c>
      <c r="J265" s="46" t="str">
        <f aca="false">IF(_PENDIENTES!$B$259&lt;&gt;"",_PENDIENTES!$J$259,"")</f>
        <v>EUD-917</v>
      </c>
      <c r="K265" s="46" t="str">
        <f aca="false">IF(_PENDIENTES!$B$259&lt;&gt;"","POR RECOGER","")</f>
        <v>POR RECOGER</v>
      </c>
      <c r="L265" s="46" t="n">
        <f aca="false">IF(_PENDIENTES!$B$259&lt;&gt;"",_PENDIENTES!$K$259,"")</f>
        <v>0</v>
      </c>
      <c r="M265" s="89" t="str">
        <f aca="false">IF(_PENDIENTES!$B$259&lt;&gt;"",_PENDIENTES!$B$259,"")</f>
        <v>TINGO</v>
      </c>
      <c r="N265" s="109" t="str">
        <f aca="false">IF(_PENDIENTES!$B$259&lt;&gt;"",_PENDIENTES!$L$259,"")</f>
        <v>TINGO</v>
      </c>
      <c r="O265" s="89"/>
      <c r="P265" s="89"/>
      <c r="Q265" s="89"/>
      <c r="R265" s="89"/>
      <c r="S265" s="89"/>
    </row>
    <row r="266" customFormat="false" ht="15.75" hidden="true" customHeight="true" outlineLevel="0" collapsed="false">
      <c r="A266" s="106" t="n">
        <f aca="false">IF(_PENDIENTES!$B$260&lt;&gt;"",259,"")</f>
        <v>259</v>
      </c>
      <c r="B266" s="47" t="str">
        <f aca="false">IF(_PENDIENTES!$B$260&lt;&gt;"",_PENDIENTES!$A$260,"")</f>
        <v>MAR</v>
      </c>
      <c r="C266" s="107" t="str">
        <f aca="false">IF(_PENDIENTES!$B$260&lt;&gt;"",_PENDIENTES!$C$260,"")</f>
        <v>PORTOCARRERO OLIVA DAYRON ZAGUIR</v>
      </c>
      <c r="D266" s="106" t="str">
        <f aca="false">IF(_PENDIENTES!$B$260&lt;&gt;"",_PENDIENTES!$D$260,"")</f>
        <v>78862771</v>
      </c>
      <c r="E266" s="111" t="str">
        <f aca="false">IF(_PENDIENTES!$B$260&lt;&gt;"",_PENDIENTES!$E$260,"")</f>
        <v>19/03/2026</v>
      </c>
      <c r="F266" s="106" t="str">
        <f aca="false">IF(_PENDIENTES!$B$260&lt;&gt;"",_PENDIENTES!$F$260,"")</f>
        <v>PETROLEO</v>
      </c>
      <c r="G266" s="50" t="n">
        <f aca="false">IF(_PENDIENTES!$B$260&lt;&gt;"",_PENDIENTES!$G$260,"")</f>
        <v>7</v>
      </c>
      <c r="H266" s="50" t="n">
        <f aca="false">IF(_PENDIENTES!$B$260&lt;&gt;"",_PENDIENTES!$H$260,"")</f>
        <v>141.75</v>
      </c>
      <c r="I266" s="107" t="str">
        <f aca="false">IF(_PENDIENTES!$B$260&lt;&gt;"",_PENDIENTES!$I$260,"")</f>
        <v>PORTOCARRERO PELAEZ MIGUEL ANTONIO</v>
      </c>
      <c r="J266" s="106" t="str">
        <f aca="false">IF(_PENDIENTES!$B$260&lt;&gt;"",_PENDIENTES!$J$260,"")</f>
        <v>EUH-421</v>
      </c>
      <c r="K266" s="106" t="str">
        <f aca="false">IF(_PENDIENTES!$B$260&lt;&gt;"","POR RECOGER","")</f>
        <v>POR RECOGER</v>
      </c>
      <c r="L266" s="106" t="n">
        <f aca="false">IF(_PENDIENTES!$B$260&lt;&gt;"",_PENDIENTES!$K$260,"")</f>
        <v>0</v>
      </c>
      <c r="M266" s="89" t="str">
        <f aca="false">IF(_PENDIENTES!$B$260&lt;&gt;"",_PENDIENTES!$B$260,"")</f>
        <v>MARIA AUXILIADORA</v>
      </c>
      <c r="N266" s="109" t="str">
        <f aca="false">IF(_PENDIENTES!$B$260&lt;&gt;"",_PENDIENTES!$L$260,"")</f>
        <v>MARIA AUXILIADORA</v>
      </c>
      <c r="O266" s="89"/>
      <c r="P266" s="89"/>
      <c r="Q266" s="89"/>
      <c r="R266" s="89"/>
      <c r="S266" s="89"/>
    </row>
    <row r="267" customFormat="false" ht="15.75" hidden="true" customHeight="true" outlineLevel="0" collapsed="false">
      <c r="A267" s="46" t="n">
        <f aca="false">IF(_PENDIENTES!$B$261&lt;&gt;"",260,"")</f>
        <v>260</v>
      </c>
      <c r="B267" s="41" t="str">
        <f aca="false">IF(_PENDIENTES!$B$261&lt;&gt;"",_PENDIENTES!$A$261,"")</f>
        <v>MAR</v>
      </c>
      <c r="C267" s="110" t="str">
        <f aca="false">IF(_PENDIENTES!$B$261&lt;&gt;"",_PENDIENTES!$C$261,"")</f>
        <v>ARISTA DE ARISTA MARIA OTLIA</v>
      </c>
      <c r="D267" s="46" t="str">
        <f aca="false">IF(_PENDIENTES!$B$261&lt;&gt;"",_PENDIENTES!$D$261,"")</f>
        <v>33944792</v>
      </c>
      <c r="E267" s="112" t="str">
        <f aca="false">IF(_PENDIENTES!$B$261&lt;&gt;"",_PENDIENTES!$E$261,"")</f>
        <v>19/03/2026</v>
      </c>
      <c r="F267" s="46" t="str">
        <f aca="false">IF(_PENDIENTES!$B$261&lt;&gt;"",_PENDIENTES!$F$261,"")</f>
        <v>PETROLEO</v>
      </c>
      <c r="G267" s="44" t="n">
        <f aca="false">IF(_PENDIENTES!$B$261&lt;&gt;"",_PENDIENTES!$G$261,"")</f>
        <v>7</v>
      </c>
      <c r="H267" s="44" t="n">
        <f aca="false">IF(_PENDIENTES!$B$261&lt;&gt;"",_PENDIENTES!$H$261,"")</f>
        <v>141.75</v>
      </c>
      <c r="I267" s="110" t="str">
        <f aca="false">IF(_PENDIENTES!$B$261&lt;&gt;"",_PENDIENTES!$I$261,"")</f>
        <v>ROJAS ALVARADO BENJAMIN</v>
      </c>
      <c r="J267" s="46" t="str">
        <f aca="false">IF(_PENDIENTES!$B$261&lt;&gt;"",_PENDIENTES!$J$261,"")</f>
        <v>421 EUH</v>
      </c>
      <c r="K267" s="46" t="str">
        <f aca="false">IF(_PENDIENTES!$B$261&lt;&gt;"","POR RECOGER","")</f>
        <v>POR RECOGER</v>
      </c>
      <c r="L267" s="46" t="n">
        <f aca="false">IF(_PENDIENTES!$B$261&lt;&gt;"",_PENDIENTES!$K$261,"")</f>
        <v>0</v>
      </c>
      <c r="M267" s="89" t="str">
        <f aca="false">IF(_PENDIENTES!$B$261&lt;&gt;"",_PENDIENTES!$B$261,"")</f>
        <v>MARIA AUXILIADORA</v>
      </c>
      <c r="N267" s="109" t="str">
        <f aca="false">IF(_PENDIENTES!$B$261&lt;&gt;"",_PENDIENTES!$L$261,"")</f>
        <v>MARIA AUXILIADORA</v>
      </c>
      <c r="O267" s="89"/>
      <c r="P267" s="89"/>
      <c r="Q267" s="89"/>
      <c r="R267" s="89"/>
      <c r="S267" s="89"/>
    </row>
    <row r="268" customFormat="false" ht="15.75" hidden="true" customHeight="true" outlineLevel="0" collapsed="false">
      <c r="A268" s="106" t="str">
        <f aca="false">IF(_PENDIENTES!$B$262&lt;&gt;"",261,"")</f>
        <v/>
      </c>
      <c r="B268" s="47" t="str">
        <f aca="false">IF(_PENDIENTES!$B$262&lt;&gt;"",_PENDIENTES!$A$262,"")</f>
        <v/>
      </c>
      <c r="C268" s="107" t="str">
        <f aca="false">IF(_PENDIENTES!$B$262&lt;&gt;"",_PENDIENTES!$C$262,"")</f>
        <v/>
      </c>
      <c r="D268" s="106" t="str">
        <f aca="false">IF(_PENDIENTES!$B$262&lt;&gt;"",_PENDIENTES!$D$262,"")</f>
        <v/>
      </c>
      <c r="E268" s="111" t="str">
        <f aca="false">IF(_PENDIENTES!$B$262&lt;&gt;"",_PENDIENTES!$E$262,"")</f>
        <v/>
      </c>
      <c r="F268" s="106" t="str">
        <f aca="false">IF(_PENDIENTES!$B$262&lt;&gt;"",_PENDIENTES!$F$262,"")</f>
        <v/>
      </c>
      <c r="G268" s="50" t="str">
        <f aca="false">IF(_PENDIENTES!$B$262&lt;&gt;"",_PENDIENTES!$G$262,"")</f>
        <v/>
      </c>
      <c r="H268" s="50" t="str">
        <f aca="false">IF(_PENDIENTES!$B$262&lt;&gt;"",_PENDIENTES!$H$262,"")</f>
        <v/>
      </c>
      <c r="I268" s="107" t="str">
        <f aca="false">IF(_PENDIENTES!$B$262&lt;&gt;"",_PENDIENTES!$I$262,"")</f>
        <v/>
      </c>
      <c r="J268" s="106" t="str">
        <f aca="false">IF(_PENDIENTES!$B$262&lt;&gt;"",_PENDIENTES!$J$262,"")</f>
        <v/>
      </c>
      <c r="K268" s="106" t="str">
        <f aca="false">IF(_PENDIENTES!$B$262&lt;&gt;"","POR RECOGER","")</f>
        <v/>
      </c>
      <c r="L268" s="106" t="str">
        <f aca="false">IF(_PENDIENTES!$B$262&lt;&gt;"",_PENDIENTES!$K$262,"")</f>
        <v/>
      </c>
      <c r="M268" s="89" t="str">
        <f aca="false">IF(_PENDIENTES!$B$262&lt;&gt;"",_PENDIENTES!$B$262,"")</f>
        <v/>
      </c>
      <c r="N268" s="109" t="str">
        <f aca="false">IF(_PENDIENTES!$B$262&lt;&gt;"",_PENDIENTES!$L$262,"")</f>
        <v/>
      </c>
      <c r="O268" s="89"/>
      <c r="P268" s="89"/>
      <c r="Q268" s="89"/>
      <c r="R268" s="89"/>
      <c r="S268" s="89"/>
    </row>
    <row r="269" customFormat="false" ht="15.75" hidden="true" customHeight="true" outlineLevel="0" collapsed="false">
      <c r="A269" s="46" t="str">
        <f aca="false">IF(_PENDIENTES!$B$263&lt;&gt;"",262,"")</f>
        <v/>
      </c>
      <c r="B269" s="41" t="str">
        <f aca="false">IF(_PENDIENTES!$B$263&lt;&gt;"",_PENDIENTES!$A$263,"")</f>
        <v/>
      </c>
      <c r="C269" s="110" t="str">
        <f aca="false">IF(_PENDIENTES!$B$263&lt;&gt;"",_PENDIENTES!$C$263,"")</f>
        <v/>
      </c>
      <c r="D269" s="46" t="str">
        <f aca="false">IF(_PENDIENTES!$B$263&lt;&gt;"",_PENDIENTES!$D$263,"")</f>
        <v/>
      </c>
      <c r="E269" s="112" t="str">
        <f aca="false">IF(_PENDIENTES!$B$263&lt;&gt;"",_PENDIENTES!$E$263,"")</f>
        <v/>
      </c>
      <c r="F269" s="46" t="str">
        <f aca="false">IF(_PENDIENTES!$B$263&lt;&gt;"",_PENDIENTES!$F$263,"")</f>
        <v/>
      </c>
      <c r="G269" s="44" t="str">
        <f aca="false">IF(_PENDIENTES!$B$263&lt;&gt;"",_PENDIENTES!$G$263,"")</f>
        <v/>
      </c>
      <c r="H269" s="44" t="str">
        <f aca="false">IF(_PENDIENTES!$B$263&lt;&gt;"",_PENDIENTES!$H$263,"")</f>
        <v/>
      </c>
      <c r="I269" s="110" t="str">
        <f aca="false">IF(_PENDIENTES!$B$263&lt;&gt;"",_PENDIENTES!$I$263,"")</f>
        <v/>
      </c>
      <c r="J269" s="46" t="str">
        <f aca="false">IF(_PENDIENTES!$B$263&lt;&gt;"",_PENDIENTES!$J$263,"")</f>
        <v/>
      </c>
      <c r="K269" s="46" t="str">
        <f aca="false">IF(_PENDIENTES!$B$263&lt;&gt;"","POR RECOGER","")</f>
        <v/>
      </c>
      <c r="L269" s="46" t="str">
        <f aca="false">IF(_PENDIENTES!$B$263&lt;&gt;"",_PENDIENTES!$K$263,"")</f>
        <v/>
      </c>
      <c r="M269" s="89" t="str">
        <f aca="false">IF(_PENDIENTES!$B$263&lt;&gt;"",_PENDIENTES!$B$263,"")</f>
        <v/>
      </c>
      <c r="N269" s="109" t="str">
        <f aca="false">IF(_PENDIENTES!$B$263&lt;&gt;"",_PENDIENTES!$L$263,"")</f>
        <v/>
      </c>
      <c r="O269" s="89"/>
      <c r="P269" s="89"/>
      <c r="Q269" s="89"/>
      <c r="R269" s="89"/>
      <c r="S269" s="89"/>
    </row>
    <row r="270" customFormat="false" ht="15.75" hidden="true" customHeight="true" outlineLevel="0" collapsed="false">
      <c r="A270" s="106" t="str">
        <f aca="false">IF(_PENDIENTES!$B$264&lt;&gt;"",263,"")</f>
        <v/>
      </c>
      <c r="B270" s="47" t="str">
        <f aca="false">IF(_PENDIENTES!$B$264&lt;&gt;"",_PENDIENTES!$A$264,"")</f>
        <v/>
      </c>
      <c r="C270" s="107" t="str">
        <f aca="false">IF(_PENDIENTES!$B$264&lt;&gt;"",_PENDIENTES!$C$264,"")</f>
        <v/>
      </c>
      <c r="D270" s="106" t="str">
        <f aca="false">IF(_PENDIENTES!$B$264&lt;&gt;"",_PENDIENTES!$D$264,"")</f>
        <v/>
      </c>
      <c r="E270" s="111" t="str">
        <f aca="false">IF(_PENDIENTES!$B$264&lt;&gt;"",_PENDIENTES!$E$264,"")</f>
        <v/>
      </c>
      <c r="F270" s="106" t="str">
        <f aca="false">IF(_PENDIENTES!$B$264&lt;&gt;"",_PENDIENTES!$F$264,"")</f>
        <v/>
      </c>
      <c r="G270" s="50" t="str">
        <f aca="false">IF(_PENDIENTES!$B$264&lt;&gt;"",_PENDIENTES!$G$264,"")</f>
        <v/>
      </c>
      <c r="H270" s="50" t="str">
        <f aca="false">IF(_PENDIENTES!$B$264&lt;&gt;"",_PENDIENTES!$H$264,"")</f>
        <v/>
      </c>
      <c r="I270" s="107" t="str">
        <f aca="false">IF(_PENDIENTES!$B$264&lt;&gt;"",_PENDIENTES!$I$264,"")</f>
        <v/>
      </c>
      <c r="J270" s="106" t="str">
        <f aca="false">IF(_PENDIENTES!$B$264&lt;&gt;"",_PENDIENTES!$J$264,"")</f>
        <v/>
      </c>
      <c r="K270" s="106" t="str">
        <f aca="false">IF(_PENDIENTES!$B$264&lt;&gt;"","POR RECOGER","")</f>
        <v/>
      </c>
      <c r="L270" s="106" t="str">
        <f aca="false">IF(_PENDIENTES!$B$264&lt;&gt;"",_PENDIENTES!$K$264,"")</f>
        <v/>
      </c>
      <c r="M270" s="89" t="str">
        <f aca="false">IF(_PENDIENTES!$B$264&lt;&gt;"",_PENDIENTES!$B$264,"")</f>
        <v/>
      </c>
      <c r="N270" s="109" t="str">
        <f aca="false">IF(_PENDIENTES!$B$264&lt;&gt;"",_PENDIENTES!$L$264,"")</f>
        <v/>
      </c>
      <c r="O270" s="89"/>
      <c r="P270" s="89"/>
      <c r="Q270" s="89"/>
      <c r="R270" s="89"/>
      <c r="S270" s="89"/>
    </row>
    <row r="271" customFormat="false" ht="15.75" hidden="true" customHeight="true" outlineLevel="0" collapsed="false">
      <c r="A271" s="46" t="str">
        <f aca="false">IF(_PENDIENTES!$B$265&lt;&gt;"",264,"")</f>
        <v/>
      </c>
      <c r="B271" s="41" t="str">
        <f aca="false">IF(_PENDIENTES!$B$265&lt;&gt;"",_PENDIENTES!$A$265,"")</f>
        <v/>
      </c>
      <c r="C271" s="110" t="str">
        <f aca="false">IF(_PENDIENTES!$B$265&lt;&gt;"",_PENDIENTES!$C$265,"")</f>
        <v/>
      </c>
      <c r="D271" s="46" t="str">
        <f aca="false">IF(_PENDIENTES!$B$265&lt;&gt;"",_PENDIENTES!$D$265,"")</f>
        <v/>
      </c>
      <c r="E271" s="112" t="str">
        <f aca="false">IF(_PENDIENTES!$B$265&lt;&gt;"",_PENDIENTES!$E$265,"")</f>
        <v/>
      </c>
      <c r="F271" s="46" t="str">
        <f aca="false">IF(_PENDIENTES!$B$265&lt;&gt;"",_PENDIENTES!$F$265,"")</f>
        <v/>
      </c>
      <c r="G271" s="44" t="str">
        <f aca="false">IF(_PENDIENTES!$B$265&lt;&gt;"",_PENDIENTES!$G$265,"")</f>
        <v/>
      </c>
      <c r="H271" s="44" t="str">
        <f aca="false">IF(_PENDIENTES!$B$265&lt;&gt;"",_PENDIENTES!$H$265,"")</f>
        <v/>
      </c>
      <c r="I271" s="110" t="str">
        <f aca="false">IF(_PENDIENTES!$B$265&lt;&gt;"",_PENDIENTES!$I$265,"")</f>
        <v/>
      </c>
      <c r="J271" s="46" t="str">
        <f aca="false">IF(_PENDIENTES!$B$265&lt;&gt;"",_PENDIENTES!$J$265,"")</f>
        <v/>
      </c>
      <c r="K271" s="46" t="str">
        <f aca="false">IF(_PENDIENTES!$B$265&lt;&gt;"","POR RECOGER","")</f>
        <v/>
      </c>
      <c r="L271" s="46" t="str">
        <f aca="false">IF(_PENDIENTES!$B$265&lt;&gt;"",_PENDIENTES!$K$265,"")</f>
        <v/>
      </c>
      <c r="M271" s="89" t="str">
        <f aca="false">IF(_PENDIENTES!$B$265&lt;&gt;"",_PENDIENTES!$B$265,"")</f>
        <v/>
      </c>
      <c r="N271" s="109" t="str">
        <f aca="false">IF(_PENDIENTES!$B$265&lt;&gt;"",_PENDIENTES!$L$265,"")</f>
        <v/>
      </c>
      <c r="O271" s="89"/>
      <c r="P271" s="89"/>
      <c r="Q271" s="89"/>
      <c r="R271" s="89"/>
      <c r="S271" s="89"/>
    </row>
    <row r="272" customFormat="false" ht="15.75" hidden="true" customHeight="true" outlineLevel="0" collapsed="false">
      <c r="A272" s="106" t="str">
        <f aca="false">IF(_PENDIENTES!$B$266&lt;&gt;"",265,"")</f>
        <v/>
      </c>
      <c r="B272" s="47" t="str">
        <f aca="false">IF(_PENDIENTES!$B$266&lt;&gt;"",_PENDIENTES!$A$266,"")</f>
        <v/>
      </c>
      <c r="C272" s="107" t="str">
        <f aca="false">IF(_PENDIENTES!$B$266&lt;&gt;"",_PENDIENTES!$C$266,"")</f>
        <v/>
      </c>
      <c r="D272" s="106" t="str">
        <f aca="false">IF(_PENDIENTES!$B$266&lt;&gt;"",_PENDIENTES!$D$266,"")</f>
        <v/>
      </c>
      <c r="E272" s="111" t="str">
        <f aca="false">IF(_PENDIENTES!$B$266&lt;&gt;"",_PENDIENTES!$E$266,"")</f>
        <v/>
      </c>
      <c r="F272" s="106" t="str">
        <f aca="false">IF(_PENDIENTES!$B$266&lt;&gt;"",_PENDIENTES!$F$266,"")</f>
        <v/>
      </c>
      <c r="G272" s="50" t="str">
        <f aca="false">IF(_PENDIENTES!$B$266&lt;&gt;"",_PENDIENTES!$G$266,"")</f>
        <v/>
      </c>
      <c r="H272" s="50" t="str">
        <f aca="false">IF(_PENDIENTES!$B$266&lt;&gt;"",_PENDIENTES!$H$266,"")</f>
        <v/>
      </c>
      <c r="I272" s="107" t="str">
        <f aca="false">IF(_PENDIENTES!$B$266&lt;&gt;"",_PENDIENTES!$I$266,"")</f>
        <v/>
      </c>
      <c r="J272" s="106" t="str">
        <f aca="false">IF(_PENDIENTES!$B$266&lt;&gt;"",_PENDIENTES!$J$266,"")</f>
        <v/>
      </c>
      <c r="K272" s="106" t="str">
        <f aca="false">IF(_PENDIENTES!$B$266&lt;&gt;"","POR RECOGER","")</f>
        <v/>
      </c>
      <c r="L272" s="106" t="str">
        <f aca="false">IF(_PENDIENTES!$B$266&lt;&gt;"",_PENDIENTES!$K$266,"")</f>
        <v/>
      </c>
      <c r="M272" s="89" t="str">
        <f aca="false">IF(_PENDIENTES!$B$266&lt;&gt;"",_PENDIENTES!$B$266,"")</f>
        <v/>
      </c>
      <c r="N272" s="109" t="str">
        <f aca="false">IF(_PENDIENTES!$B$266&lt;&gt;"",_PENDIENTES!$L$266,"")</f>
        <v/>
      </c>
      <c r="O272" s="89"/>
      <c r="P272" s="89"/>
      <c r="Q272" s="89"/>
      <c r="R272" s="89"/>
      <c r="S272" s="89"/>
    </row>
    <row r="273" customFormat="false" ht="15.75" hidden="true" customHeight="true" outlineLevel="0" collapsed="false">
      <c r="A273" s="46" t="str">
        <f aca="false">IF(_PENDIENTES!$B$267&lt;&gt;"",266,"")</f>
        <v/>
      </c>
      <c r="B273" s="41" t="str">
        <f aca="false">IF(_PENDIENTES!$B$267&lt;&gt;"",_PENDIENTES!$A$267,"")</f>
        <v/>
      </c>
      <c r="C273" s="110" t="str">
        <f aca="false">IF(_PENDIENTES!$B$267&lt;&gt;"",_PENDIENTES!$C$267,"")</f>
        <v/>
      </c>
      <c r="D273" s="46" t="str">
        <f aca="false">IF(_PENDIENTES!$B$267&lt;&gt;"",_PENDIENTES!$D$267,"")</f>
        <v/>
      </c>
      <c r="E273" s="112" t="str">
        <f aca="false">IF(_PENDIENTES!$B$267&lt;&gt;"",_PENDIENTES!$E$267,"")</f>
        <v/>
      </c>
      <c r="F273" s="46" t="str">
        <f aca="false">IF(_PENDIENTES!$B$267&lt;&gt;"",_PENDIENTES!$F$267,"")</f>
        <v/>
      </c>
      <c r="G273" s="44" t="str">
        <f aca="false">IF(_PENDIENTES!$B$267&lt;&gt;"",_PENDIENTES!$G$267,"")</f>
        <v/>
      </c>
      <c r="H273" s="44" t="str">
        <f aca="false">IF(_PENDIENTES!$B$267&lt;&gt;"",_PENDIENTES!$H$267,"")</f>
        <v/>
      </c>
      <c r="I273" s="110" t="str">
        <f aca="false">IF(_PENDIENTES!$B$267&lt;&gt;"",_PENDIENTES!$I$267,"")</f>
        <v/>
      </c>
      <c r="J273" s="46" t="str">
        <f aca="false">IF(_PENDIENTES!$B$267&lt;&gt;"",_PENDIENTES!$J$267,"")</f>
        <v/>
      </c>
      <c r="K273" s="46" t="str">
        <f aca="false">IF(_PENDIENTES!$B$267&lt;&gt;"","POR RECOGER","")</f>
        <v/>
      </c>
      <c r="L273" s="46" t="str">
        <f aca="false">IF(_PENDIENTES!$B$267&lt;&gt;"",_PENDIENTES!$K$267,"")</f>
        <v/>
      </c>
      <c r="M273" s="89" t="str">
        <f aca="false">IF(_PENDIENTES!$B$267&lt;&gt;"",_PENDIENTES!$B$267,"")</f>
        <v/>
      </c>
      <c r="N273" s="109" t="str">
        <f aca="false">IF(_PENDIENTES!$B$267&lt;&gt;"",_PENDIENTES!$L$267,"")</f>
        <v/>
      </c>
      <c r="O273" s="89"/>
      <c r="P273" s="89"/>
      <c r="Q273" s="89"/>
      <c r="R273" s="89"/>
      <c r="S273" s="89"/>
    </row>
    <row r="274" customFormat="false" ht="15.75" hidden="true" customHeight="true" outlineLevel="0" collapsed="false">
      <c r="A274" s="106" t="str">
        <f aca="false">IF(_PENDIENTES!$B$268&lt;&gt;"",267,"")</f>
        <v/>
      </c>
      <c r="B274" s="47" t="str">
        <f aca="false">IF(_PENDIENTES!$B$268&lt;&gt;"",_PENDIENTES!$A$268,"")</f>
        <v/>
      </c>
      <c r="C274" s="107" t="str">
        <f aca="false">IF(_PENDIENTES!$B$268&lt;&gt;"",_PENDIENTES!$C$268,"")</f>
        <v/>
      </c>
      <c r="D274" s="106" t="str">
        <f aca="false">IF(_PENDIENTES!$B$268&lt;&gt;"",_PENDIENTES!$D$268,"")</f>
        <v/>
      </c>
      <c r="E274" s="111" t="str">
        <f aca="false">IF(_PENDIENTES!$B$268&lt;&gt;"",_PENDIENTES!$E$268,"")</f>
        <v/>
      </c>
      <c r="F274" s="106" t="str">
        <f aca="false">IF(_PENDIENTES!$B$268&lt;&gt;"",_PENDIENTES!$F$268,"")</f>
        <v/>
      </c>
      <c r="G274" s="50" t="str">
        <f aca="false">IF(_PENDIENTES!$B$268&lt;&gt;"",_PENDIENTES!$G$268,"")</f>
        <v/>
      </c>
      <c r="H274" s="50" t="str">
        <f aca="false">IF(_PENDIENTES!$B$268&lt;&gt;"",_PENDIENTES!$H$268,"")</f>
        <v/>
      </c>
      <c r="I274" s="107" t="str">
        <f aca="false">IF(_PENDIENTES!$B$268&lt;&gt;"",_PENDIENTES!$I$268,"")</f>
        <v/>
      </c>
      <c r="J274" s="106" t="str">
        <f aca="false">IF(_PENDIENTES!$B$268&lt;&gt;"",_PENDIENTES!$J$268,"")</f>
        <v/>
      </c>
      <c r="K274" s="106" t="str">
        <f aca="false">IF(_PENDIENTES!$B$268&lt;&gt;"","POR RECOGER","")</f>
        <v/>
      </c>
      <c r="L274" s="106" t="str">
        <f aca="false">IF(_PENDIENTES!$B$268&lt;&gt;"",_PENDIENTES!$K$268,"")</f>
        <v/>
      </c>
      <c r="M274" s="89" t="str">
        <f aca="false">IF(_PENDIENTES!$B$268&lt;&gt;"",_PENDIENTES!$B$268,"")</f>
        <v/>
      </c>
      <c r="N274" s="109" t="str">
        <f aca="false">IF(_PENDIENTES!$B$268&lt;&gt;"",_PENDIENTES!$L$268,"")</f>
        <v/>
      </c>
      <c r="O274" s="89"/>
      <c r="P274" s="89"/>
      <c r="Q274" s="89"/>
      <c r="R274" s="89"/>
      <c r="S274" s="89"/>
    </row>
    <row r="275" customFormat="false" ht="15.75" hidden="true" customHeight="true" outlineLevel="0" collapsed="false">
      <c r="A275" s="46" t="str">
        <f aca="false">IF(_PENDIENTES!$B$269&lt;&gt;"",268,"")</f>
        <v/>
      </c>
      <c r="B275" s="41" t="str">
        <f aca="false">IF(_PENDIENTES!$B$269&lt;&gt;"",_PENDIENTES!$A$269,"")</f>
        <v/>
      </c>
      <c r="C275" s="110" t="str">
        <f aca="false">IF(_PENDIENTES!$B$269&lt;&gt;"",_PENDIENTES!$C$269,"")</f>
        <v/>
      </c>
      <c r="D275" s="46" t="str">
        <f aca="false">IF(_PENDIENTES!$B$269&lt;&gt;"",_PENDIENTES!$D$269,"")</f>
        <v/>
      </c>
      <c r="E275" s="112" t="str">
        <f aca="false">IF(_PENDIENTES!$B$269&lt;&gt;"",_PENDIENTES!$E$269,"")</f>
        <v/>
      </c>
      <c r="F275" s="46" t="str">
        <f aca="false">IF(_PENDIENTES!$B$269&lt;&gt;"",_PENDIENTES!$F$269,"")</f>
        <v/>
      </c>
      <c r="G275" s="44" t="str">
        <f aca="false">IF(_PENDIENTES!$B$269&lt;&gt;"",_PENDIENTES!$G$269,"")</f>
        <v/>
      </c>
      <c r="H275" s="44" t="str">
        <f aca="false">IF(_PENDIENTES!$B$269&lt;&gt;"",_PENDIENTES!$H$269,"")</f>
        <v/>
      </c>
      <c r="I275" s="110" t="str">
        <f aca="false">IF(_PENDIENTES!$B$269&lt;&gt;"",_PENDIENTES!$I$269,"")</f>
        <v/>
      </c>
      <c r="J275" s="46" t="str">
        <f aca="false">IF(_PENDIENTES!$B$269&lt;&gt;"",_PENDIENTES!$J$269,"")</f>
        <v/>
      </c>
      <c r="K275" s="46" t="str">
        <f aca="false">IF(_PENDIENTES!$B$269&lt;&gt;"","POR RECOGER","")</f>
        <v/>
      </c>
      <c r="L275" s="46" t="str">
        <f aca="false">IF(_PENDIENTES!$B$269&lt;&gt;"",_PENDIENTES!$K$269,"")</f>
        <v/>
      </c>
      <c r="M275" s="89" t="str">
        <f aca="false">IF(_PENDIENTES!$B$269&lt;&gt;"",_PENDIENTES!$B$269,"")</f>
        <v/>
      </c>
      <c r="N275" s="109" t="str">
        <f aca="false">IF(_PENDIENTES!$B$269&lt;&gt;"",_PENDIENTES!$L$269,"")</f>
        <v/>
      </c>
      <c r="O275" s="89"/>
      <c r="P275" s="89"/>
      <c r="Q275" s="89"/>
      <c r="R275" s="89"/>
      <c r="S275" s="89"/>
    </row>
    <row r="276" customFormat="false" ht="15.75" hidden="true" customHeight="true" outlineLevel="0" collapsed="false">
      <c r="A276" s="106" t="str">
        <f aca="false">IF(_PENDIENTES!$B$270&lt;&gt;"",269,"")</f>
        <v/>
      </c>
      <c r="B276" s="47" t="str">
        <f aca="false">IF(_PENDIENTES!$B$270&lt;&gt;"",_PENDIENTES!$A$270,"")</f>
        <v/>
      </c>
      <c r="C276" s="107" t="str">
        <f aca="false">IF(_PENDIENTES!$B$270&lt;&gt;"",_PENDIENTES!$C$270,"")</f>
        <v/>
      </c>
      <c r="D276" s="106" t="str">
        <f aca="false">IF(_PENDIENTES!$B$270&lt;&gt;"",_PENDIENTES!$D$270,"")</f>
        <v/>
      </c>
      <c r="E276" s="111" t="str">
        <f aca="false">IF(_PENDIENTES!$B$270&lt;&gt;"",_PENDIENTES!$E$270,"")</f>
        <v/>
      </c>
      <c r="F276" s="106" t="str">
        <f aca="false">IF(_PENDIENTES!$B$270&lt;&gt;"",_PENDIENTES!$F$270,"")</f>
        <v/>
      </c>
      <c r="G276" s="50" t="str">
        <f aca="false">IF(_PENDIENTES!$B$270&lt;&gt;"",_PENDIENTES!$G$270,"")</f>
        <v/>
      </c>
      <c r="H276" s="50" t="str">
        <f aca="false">IF(_PENDIENTES!$B$270&lt;&gt;"",_PENDIENTES!$H$270,"")</f>
        <v/>
      </c>
      <c r="I276" s="107" t="str">
        <f aca="false">IF(_PENDIENTES!$B$270&lt;&gt;"",_PENDIENTES!$I$270,"")</f>
        <v/>
      </c>
      <c r="J276" s="106" t="str">
        <f aca="false">IF(_PENDIENTES!$B$270&lt;&gt;"",_PENDIENTES!$J$270,"")</f>
        <v/>
      </c>
      <c r="K276" s="106" t="str">
        <f aca="false">IF(_PENDIENTES!$B$270&lt;&gt;"","POR RECOGER","")</f>
        <v/>
      </c>
      <c r="L276" s="106" t="str">
        <f aca="false">IF(_PENDIENTES!$B$270&lt;&gt;"",_PENDIENTES!$K$270,"")</f>
        <v/>
      </c>
      <c r="M276" s="89" t="str">
        <f aca="false">IF(_PENDIENTES!$B$270&lt;&gt;"",_PENDIENTES!$B$270,"")</f>
        <v/>
      </c>
      <c r="N276" s="109" t="str">
        <f aca="false">IF(_PENDIENTES!$B$270&lt;&gt;"",_PENDIENTES!$L$270,"")</f>
        <v/>
      </c>
      <c r="O276" s="89"/>
      <c r="P276" s="89"/>
      <c r="Q276" s="89"/>
      <c r="R276" s="89"/>
      <c r="S276" s="89"/>
    </row>
    <row r="277" customFormat="false" ht="15.75" hidden="true" customHeight="true" outlineLevel="0" collapsed="false">
      <c r="A277" s="46" t="str">
        <f aca="false">IF(_PENDIENTES!$B$271&lt;&gt;"",270,"")</f>
        <v/>
      </c>
      <c r="B277" s="41" t="str">
        <f aca="false">IF(_PENDIENTES!$B$271&lt;&gt;"",_PENDIENTES!$A$271,"")</f>
        <v/>
      </c>
      <c r="C277" s="110" t="str">
        <f aca="false">IF(_PENDIENTES!$B$271&lt;&gt;"",_PENDIENTES!$C$271,"")</f>
        <v/>
      </c>
      <c r="D277" s="46" t="str">
        <f aca="false">IF(_PENDIENTES!$B$271&lt;&gt;"",_PENDIENTES!$D$271,"")</f>
        <v/>
      </c>
      <c r="E277" s="112" t="str">
        <f aca="false">IF(_PENDIENTES!$B$271&lt;&gt;"",_PENDIENTES!$E$271,"")</f>
        <v/>
      </c>
      <c r="F277" s="46" t="str">
        <f aca="false">IF(_PENDIENTES!$B$271&lt;&gt;"",_PENDIENTES!$F$271,"")</f>
        <v/>
      </c>
      <c r="G277" s="44" t="str">
        <f aca="false">IF(_PENDIENTES!$B$271&lt;&gt;"",_PENDIENTES!$G$271,"")</f>
        <v/>
      </c>
      <c r="H277" s="44" t="str">
        <f aca="false">IF(_PENDIENTES!$B$271&lt;&gt;"",_PENDIENTES!$H$271,"")</f>
        <v/>
      </c>
      <c r="I277" s="110" t="str">
        <f aca="false">IF(_PENDIENTES!$B$271&lt;&gt;"",_PENDIENTES!$I$271,"")</f>
        <v/>
      </c>
      <c r="J277" s="46" t="str">
        <f aca="false">IF(_PENDIENTES!$B$271&lt;&gt;"",_PENDIENTES!$J$271,"")</f>
        <v/>
      </c>
      <c r="K277" s="46" t="str">
        <f aca="false">IF(_PENDIENTES!$B$271&lt;&gt;"","POR RECOGER","")</f>
        <v/>
      </c>
      <c r="L277" s="46" t="str">
        <f aca="false">IF(_PENDIENTES!$B$271&lt;&gt;"",_PENDIENTES!$K$271,"")</f>
        <v/>
      </c>
      <c r="M277" s="89" t="str">
        <f aca="false">IF(_PENDIENTES!$B$271&lt;&gt;"",_PENDIENTES!$B$271,"")</f>
        <v/>
      </c>
      <c r="N277" s="109" t="str">
        <f aca="false">IF(_PENDIENTES!$B$271&lt;&gt;"",_PENDIENTES!$L$271,"")</f>
        <v/>
      </c>
      <c r="O277" s="89"/>
      <c r="P277" s="89"/>
      <c r="Q277" s="89"/>
      <c r="R277" s="89"/>
      <c r="S277" s="89"/>
    </row>
    <row r="278" customFormat="false" ht="15.75" hidden="true" customHeight="true" outlineLevel="0" collapsed="false">
      <c r="A278" s="106" t="str">
        <f aca="false">IF(_PENDIENTES!$B$272&lt;&gt;"",271,"")</f>
        <v/>
      </c>
      <c r="B278" s="47" t="str">
        <f aca="false">IF(_PENDIENTES!$B$272&lt;&gt;"",_PENDIENTES!$A$272,"")</f>
        <v/>
      </c>
      <c r="C278" s="107" t="str">
        <f aca="false">IF(_PENDIENTES!$B$272&lt;&gt;"",_PENDIENTES!$C$272,"")</f>
        <v/>
      </c>
      <c r="D278" s="106" t="str">
        <f aca="false">IF(_PENDIENTES!$B$272&lt;&gt;"",_PENDIENTES!$D$272,"")</f>
        <v/>
      </c>
      <c r="E278" s="111" t="str">
        <f aca="false">IF(_PENDIENTES!$B$272&lt;&gt;"",_PENDIENTES!$E$272,"")</f>
        <v/>
      </c>
      <c r="F278" s="106" t="str">
        <f aca="false">IF(_PENDIENTES!$B$272&lt;&gt;"",_PENDIENTES!$F$272,"")</f>
        <v/>
      </c>
      <c r="G278" s="50" t="str">
        <f aca="false">IF(_PENDIENTES!$B$272&lt;&gt;"",_PENDIENTES!$G$272,"")</f>
        <v/>
      </c>
      <c r="H278" s="50" t="str">
        <f aca="false">IF(_PENDIENTES!$B$272&lt;&gt;"",_PENDIENTES!$H$272,"")</f>
        <v/>
      </c>
      <c r="I278" s="107" t="str">
        <f aca="false">IF(_PENDIENTES!$B$272&lt;&gt;"",_PENDIENTES!$I$272,"")</f>
        <v/>
      </c>
      <c r="J278" s="106" t="str">
        <f aca="false">IF(_PENDIENTES!$B$272&lt;&gt;"",_PENDIENTES!$J$272,"")</f>
        <v/>
      </c>
      <c r="K278" s="106" t="str">
        <f aca="false">IF(_PENDIENTES!$B$272&lt;&gt;"","POR RECOGER","")</f>
        <v/>
      </c>
      <c r="L278" s="106" t="str">
        <f aca="false">IF(_PENDIENTES!$B$272&lt;&gt;"",_PENDIENTES!$K$272,"")</f>
        <v/>
      </c>
      <c r="M278" s="89" t="str">
        <f aca="false">IF(_PENDIENTES!$B$272&lt;&gt;"",_PENDIENTES!$B$272,"")</f>
        <v/>
      </c>
      <c r="N278" s="109" t="str">
        <f aca="false">IF(_PENDIENTES!$B$272&lt;&gt;"",_PENDIENTES!$L$272,"")</f>
        <v/>
      </c>
      <c r="O278" s="89"/>
      <c r="P278" s="89"/>
      <c r="Q278" s="89"/>
      <c r="R278" s="89"/>
      <c r="S278" s="89"/>
    </row>
    <row r="279" customFormat="false" ht="15.75" hidden="true" customHeight="true" outlineLevel="0" collapsed="false">
      <c r="A279" s="46" t="str">
        <f aca="false">IF(_PENDIENTES!$B$273&lt;&gt;"",272,"")</f>
        <v/>
      </c>
      <c r="B279" s="41" t="str">
        <f aca="false">IF(_PENDIENTES!$B$273&lt;&gt;"",_PENDIENTES!$A$273,"")</f>
        <v/>
      </c>
      <c r="C279" s="110" t="str">
        <f aca="false">IF(_PENDIENTES!$B$273&lt;&gt;"",_PENDIENTES!$C$273,"")</f>
        <v/>
      </c>
      <c r="D279" s="46" t="str">
        <f aca="false">IF(_PENDIENTES!$B$273&lt;&gt;"",_PENDIENTES!$D$273,"")</f>
        <v/>
      </c>
      <c r="E279" s="112" t="str">
        <f aca="false">IF(_PENDIENTES!$B$273&lt;&gt;"",_PENDIENTES!$E$273,"")</f>
        <v/>
      </c>
      <c r="F279" s="46" t="str">
        <f aca="false">IF(_PENDIENTES!$B$273&lt;&gt;"",_PENDIENTES!$F$273,"")</f>
        <v/>
      </c>
      <c r="G279" s="44" t="str">
        <f aca="false">IF(_PENDIENTES!$B$273&lt;&gt;"",_PENDIENTES!$G$273,"")</f>
        <v/>
      </c>
      <c r="H279" s="44" t="str">
        <f aca="false">IF(_PENDIENTES!$B$273&lt;&gt;"",_PENDIENTES!$H$273,"")</f>
        <v/>
      </c>
      <c r="I279" s="110" t="str">
        <f aca="false">IF(_PENDIENTES!$B$273&lt;&gt;"",_PENDIENTES!$I$273,"")</f>
        <v/>
      </c>
      <c r="J279" s="46" t="str">
        <f aca="false">IF(_PENDIENTES!$B$273&lt;&gt;"",_PENDIENTES!$J$273,"")</f>
        <v/>
      </c>
      <c r="K279" s="46" t="str">
        <f aca="false">IF(_PENDIENTES!$B$273&lt;&gt;"","POR RECOGER","")</f>
        <v/>
      </c>
      <c r="L279" s="46" t="str">
        <f aca="false">IF(_PENDIENTES!$B$273&lt;&gt;"",_PENDIENTES!$K$273,"")</f>
        <v/>
      </c>
      <c r="M279" s="89" t="str">
        <f aca="false">IF(_PENDIENTES!$B$273&lt;&gt;"",_PENDIENTES!$B$273,"")</f>
        <v/>
      </c>
      <c r="N279" s="109" t="str">
        <f aca="false">IF(_PENDIENTES!$B$273&lt;&gt;"",_PENDIENTES!$L$273,"")</f>
        <v/>
      </c>
      <c r="O279" s="89"/>
      <c r="P279" s="89"/>
      <c r="Q279" s="89"/>
      <c r="R279" s="89"/>
      <c r="S279" s="89"/>
    </row>
    <row r="280" customFormat="false" ht="15.75" hidden="true" customHeight="true" outlineLevel="0" collapsed="false">
      <c r="A280" s="106" t="str">
        <f aca="false">IF(_PENDIENTES!$B$274&lt;&gt;"",273,"")</f>
        <v/>
      </c>
      <c r="B280" s="47" t="str">
        <f aca="false">IF(_PENDIENTES!$B$274&lt;&gt;"",_PENDIENTES!$A$274,"")</f>
        <v/>
      </c>
      <c r="C280" s="107" t="str">
        <f aca="false">IF(_PENDIENTES!$B$274&lt;&gt;"",_PENDIENTES!$C$274,"")</f>
        <v/>
      </c>
      <c r="D280" s="106" t="str">
        <f aca="false">IF(_PENDIENTES!$B$274&lt;&gt;"",_PENDIENTES!$D$274,"")</f>
        <v/>
      </c>
      <c r="E280" s="111" t="str">
        <f aca="false">IF(_PENDIENTES!$B$274&lt;&gt;"",_PENDIENTES!$E$274,"")</f>
        <v/>
      </c>
      <c r="F280" s="106" t="str">
        <f aca="false">IF(_PENDIENTES!$B$274&lt;&gt;"",_PENDIENTES!$F$274,"")</f>
        <v/>
      </c>
      <c r="G280" s="50" t="str">
        <f aca="false">IF(_PENDIENTES!$B$274&lt;&gt;"",_PENDIENTES!$G$274,"")</f>
        <v/>
      </c>
      <c r="H280" s="50" t="str">
        <f aca="false">IF(_PENDIENTES!$B$274&lt;&gt;"",_PENDIENTES!$H$274,"")</f>
        <v/>
      </c>
      <c r="I280" s="107" t="str">
        <f aca="false">IF(_PENDIENTES!$B$274&lt;&gt;"",_PENDIENTES!$I$274,"")</f>
        <v/>
      </c>
      <c r="J280" s="106" t="str">
        <f aca="false">IF(_PENDIENTES!$B$274&lt;&gt;"",_PENDIENTES!$J$274,"")</f>
        <v/>
      </c>
      <c r="K280" s="106" t="str">
        <f aca="false">IF(_PENDIENTES!$B$274&lt;&gt;"","POR RECOGER","")</f>
        <v/>
      </c>
      <c r="L280" s="106" t="str">
        <f aca="false">IF(_PENDIENTES!$B$274&lt;&gt;"",_PENDIENTES!$K$274,"")</f>
        <v/>
      </c>
      <c r="M280" s="89" t="str">
        <f aca="false">IF(_PENDIENTES!$B$274&lt;&gt;"",_PENDIENTES!$B$274,"")</f>
        <v/>
      </c>
      <c r="N280" s="109" t="str">
        <f aca="false">IF(_PENDIENTES!$B$274&lt;&gt;"",_PENDIENTES!$L$274,"")</f>
        <v/>
      </c>
      <c r="O280" s="89"/>
      <c r="P280" s="89"/>
      <c r="Q280" s="89"/>
      <c r="R280" s="89"/>
      <c r="S280" s="89"/>
    </row>
    <row r="281" customFormat="false" ht="15.75" hidden="true" customHeight="true" outlineLevel="0" collapsed="false">
      <c r="A281" s="46" t="str">
        <f aca="false">IF(_PENDIENTES!$B$275&lt;&gt;"",274,"")</f>
        <v/>
      </c>
      <c r="B281" s="41" t="str">
        <f aca="false">IF(_PENDIENTES!$B$275&lt;&gt;"",_PENDIENTES!$A$275,"")</f>
        <v/>
      </c>
      <c r="C281" s="110" t="str">
        <f aca="false">IF(_PENDIENTES!$B$275&lt;&gt;"",_PENDIENTES!$C$275,"")</f>
        <v/>
      </c>
      <c r="D281" s="46" t="str">
        <f aca="false">IF(_PENDIENTES!$B$275&lt;&gt;"",_PENDIENTES!$D$275,"")</f>
        <v/>
      </c>
      <c r="E281" s="112" t="str">
        <f aca="false">IF(_PENDIENTES!$B$275&lt;&gt;"",_PENDIENTES!$E$275,"")</f>
        <v/>
      </c>
      <c r="F281" s="46" t="str">
        <f aca="false">IF(_PENDIENTES!$B$275&lt;&gt;"",_PENDIENTES!$F$275,"")</f>
        <v/>
      </c>
      <c r="G281" s="44" t="str">
        <f aca="false">IF(_PENDIENTES!$B$275&lt;&gt;"",_PENDIENTES!$G$275,"")</f>
        <v/>
      </c>
      <c r="H281" s="44" t="str">
        <f aca="false">IF(_PENDIENTES!$B$275&lt;&gt;"",_PENDIENTES!$H$275,"")</f>
        <v/>
      </c>
      <c r="I281" s="110" t="str">
        <f aca="false">IF(_PENDIENTES!$B$275&lt;&gt;"",_PENDIENTES!$I$275,"")</f>
        <v/>
      </c>
      <c r="J281" s="46" t="str">
        <f aca="false">IF(_PENDIENTES!$B$275&lt;&gt;"",_PENDIENTES!$J$275,"")</f>
        <v/>
      </c>
      <c r="K281" s="46" t="str">
        <f aca="false">IF(_PENDIENTES!$B$275&lt;&gt;"","POR RECOGER","")</f>
        <v/>
      </c>
      <c r="L281" s="46" t="str">
        <f aca="false">IF(_PENDIENTES!$B$275&lt;&gt;"",_PENDIENTES!$K$275,"")</f>
        <v/>
      </c>
      <c r="M281" s="89" t="str">
        <f aca="false">IF(_PENDIENTES!$B$275&lt;&gt;"",_PENDIENTES!$B$275,"")</f>
        <v/>
      </c>
      <c r="N281" s="109" t="str">
        <f aca="false">IF(_PENDIENTES!$B$275&lt;&gt;"",_PENDIENTES!$L$275,"")</f>
        <v/>
      </c>
      <c r="O281" s="89"/>
      <c r="P281" s="89"/>
      <c r="Q281" s="89"/>
      <c r="R281" s="89"/>
      <c r="S281" s="89"/>
    </row>
    <row r="282" customFormat="false" ht="15.75" hidden="true" customHeight="true" outlineLevel="0" collapsed="false">
      <c r="A282" s="106" t="str">
        <f aca="false">IF(_PENDIENTES!$B$276&lt;&gt;"",275,"")</f>
        <v/>
      </c>
      <c r="B282" s="47" t="str">
        <f aca="false">IF(_PENDIENTES!$B$276&lt;&gt;"",_PENDIENTES!$A$276,"")</f>
        <v/>
      </c>
      <c r="C282" s="107" t="str">
        <f aca="false">IF(_PENDIENTES!$B$276&lt;&gt;"",_PENDIENTES!$C$276,"")</f>
        <v/>
      </c>
      <c r="D282" s="106" t="str">
        <f aca="false">IF(_PENDIENTES!$B$276&lt;&gt;"",_PENDIENTES!$D$276,"")</f>
        <v/>
      </c>
      <c r="E282" s="111" t="str">
        <f aca="false">IF(_PENDIENTES!$B$276&lt;&gt;"",_PENDIENTES!$E$276,"")</f>
        <v/>
      </c>
      <c r="F282" s="106" t="str">
        <f aca="false">IF(_PENDIENTES!$B$276&lt;&gt;"",_PENDIENTES!$F$276,"")</f>
        <v/>
      </c>
      <c r="G282" s="50" t="str">
        <f aca="false">IF(_PENDIENTES!$B$276&lt;&gt;"",_PENDIENTES!$G$276,"")</f>
        <v/>
      </c>
      <c r="H282" s="50" t="str">
        <f aca="false">IF(_PENDIENTES!$B$276&lt;&gt;"",_PENDIENTES!$H$276,"")</f>
        <v/>
      </c>
      <c r="I282" s="107" t="str">
        <f aca="false">IF(_PENDIENTES!$B$276&lt;&gt;"",_PENDIENTES!$I$276,"")</f>
        <v/>
      </c>
      <c r="J282" s="106" t="str">
        <f aca="false">IF(_PENDIENTES!$B$276&lt;&gt;"",_PENDIENTES!$J$276,"")</f>
        <v/>
      </c>
      <c r="K282" s="106" t="str">
        <f aca="false">IF(_PENDIENTES!$B$276&lt;&gt;"","POR RECOGER","")</f>
        <v/>
      </c>
      <c r="L282" s="106" t="str">
        <f aca="false">IF(_PENDIENTES!$B$276&lt;&gt;"",_PENDIENTES!$K$276,"")</f>
        <v/>
      </c>
      <c r="M282" s="89" t="str">
        <f aca="false">IF(_PENDIENTES!$B$276&lt;&gt;"",_PENDIENTES!$B$276,"")</f>
        <v/>
      </c>
      <c r="N282" s="109" t="str">
        <f aca="false">IF(_PENDIENTES!$B$276&lt;&gt;"",_PENDIENTES!$L$276,"")</f>
        <v/>
      </c>
      <c r="O282" s="89"/>
      <c r="P282" s="89"/>
      <c r="Q282" s="89"/>
      <c r="R282" s="89"/>
      <c r="S282" s="89"/>
    </row>
    <row r="283" customFormat="false" ht="15.75" hidden="true" customHeight="true" outlineLevel="0" collapsed="false">
      <c r="A283" s="46" t="str">
        <f aca="false">IF(_PENDIENTES!$B$277&lt;&gt;"",276,"")</f>
        <v/>
      </c>
      <c r="B283" s="41" t="str">
        <f aca="false">IF(_PENDIENTES!$B$277&lt;&gt;"",_PENDIENTES!$A$277,"")</f>
        <v/>
      </c>
      <c r="C283" s="110" t="str">
        <f aca="false">IF(_PENDIENTES!$B$277&lt;&gt;"",_PENDIENTES!$C$277,"")</f>
        <v/>
      </c>
      <c r="D283" s="46" t="str">
        <f aca="false">IF(_PENDIENTES!$B$277&lt;&gt;"",_PENDIENTES!$D$277,"")</f>
        <v/>
      </c>
      <c r="E283" s="112" t="str">
        <f aca="false">IF(_PENDIENTES!$B$277&lt;&gt;"",_PENDIENTES!$E$277,"")</f>
        <v/>
      </c>
      <c r="F283" s="46" t="str">
        <f aca="false">IF(_PENDIENTES!$B$277&lt;&gt;"",_PENDIENTES!$F$277,"")</f>
        <v/>
      </c>
      <c r="G283" s="44" t="str">
        <f aca="false">IF(_PENDIENTES!$B$277&lt;&gt;"",_PENDIENTES!$G$277,"")</f>
        <v/>
      </c>
      <c r="H283" s="44" t="str">
        <f aca="false">IF(_PENDIENTES!$B$277&lt;&gt;"",_PENDIENTES!$H$277,"")</f>
        <v/>
      </c>
      <c r="I283" s="110" t="str">
        <f aca="false">IF(_PENDIENTES!$B$277&lt;&gt;"",_PENDIENTES!$I$277,"")</f>
        <v/>
      </c>
      <c r="J283" s="46" t="str">
        <f aca="false">IF(_PENDIENTES!$B$277&lt;&gt;"",_PENDIENTES!$J$277,"")</f>
        <v/>
      </c>
      <c r="K283" s="46" t="str">
        <f aca="false">IF(_PENDIENTES!$B$277&lt;&gt;"","POR RECOGER","")</f>
        <v/>
      </c>
      <c r="L283" s="46" t="str">
        <f aca="false">IF(_PENDIENTES!$B$277&lt;&gt;"",_PENDIENTES!$K$277,"")</f>
        <v/>
      </c>
      <c r="M283" s="89" t="str">
        <f aca="false">IF(_PENDIENTES!$B$277&lt;&gt;"",_PENDIENTES!$B$277,"")</f>
        <v/>
      </c>
      <c r="N283" s="109" t="str">
        <f aca="false">IF(_PENDIENTES!$B$277&lt;&gt;"",_PENDIENTES!$L$277,"")</f>
        <v/>
      </c>
      <c r="O283" s="89"/>
      <c r="P283" s="89"/>
      <c r="Q283" s="89"/>
      <c r="R283" s="89"/>
      <c r="S283" s="89"/>
    </row>
    <row r="284" customFormat="false" ht="15.75" hidden="true" customHeight="true" outlineLevel="0" collapsed="false">
      <c r="A284" s="106" t="str">
        <f aca="false">IF(_PENDIENTES!$B$278&lt;&gt;"",277,"")</f>
        <v/>
      </c>
      <c r="B284" s="47" t="str">
        <f aca="false">IF(_PENDIENTES!$B$278&lt;&gt;"",_PENDIENTES!$A$278,"")</f>
        <v/>
      </c>
      <c r="C284" s="107" t="str">
        <f aca="false">IF(_PENDIENTES!$B$278&lt;&gt;"",_PENDIENTES!$C$278,"")</f>
        <v/>
      </c>
      <c r="D284" s="106" t="str">
        <f aca="false">IF(_PENDIENTES!$B$278&lt;&gt;"",_PENDIENTES!$D$278,"")</f>
        <v/>
      </c>
      <c r="E284" s="111" t="str">
        <f aca="false">IF(_PENDIENTES!$B$278&lt;&gt;"",_PENDIENTES!$E$278,"")</f>
        <v/>
      </c>
      <c r="F284" s="106" t="str">
        <f aca="false">IF(_PENDIENTES!$B$278&lt;&gt;"",_PENDIENTES!$F$278,"")</f>
        <v/>
      </c>
      <c r="G284" s="50" t="str">
        <f aca="false">IF(_PENDIENTES!$B$278&lt;&gt;"",_PENDIENTES!$G$278,"")</f>
        <v/>
      </c>
      <c r="H284" s="50" t="str">
        <f aca="false">IF(_PENDIENTES!$B$278&lt;&gt;"",_PENDIENTES!$H$278,"")</f>
        <v/>
      </c>
      <c r="I284" s="107" t="str">
        <f aca="false">IF(_PENDIENTES!$B$278&lt;&gt;"",_PENDIENTES!$I$278,"")</f>
        <v/>
      </c>
      <c r="J284" s="106" t="str">
        <f aca="false">IF(_PENDIENTES!$B$278&lt;&gt;"",_PENDIENTES!$J$278,"")</f>
        <v/>
      </c>
      <c r="K284" s="106" t="str">
        <f aca="false">IF(_PENDIENTES!$B$278&lt;&gt;"","POR RECOGER","")</f>
        <v/>
      </c>
      <c r="L284" s="106" t="str">
        <f aca="false">IF(_PENDIENTES!$B$278&lt;&gt;"",_PENDIENTES!$K$278,"")</f>
        <v/>
      </c>
      <c r="M284" s="89" t="str">
        <f aca="false">IF(_PENDIENTES!$B$278&lt;&gt;"",_PENDIENTES!$B$278,"")</f>
        <v/>
      </c>
      <c r="N284" s="109" t="str">
        <f aca="false">IF(_PENDIENTES!$B$278&lt;&gt;"",_PENDIENTES!$L$278,"")</f>
        <v/>
      </c>
      <c r="O284" s="89"/>
      <c r="P284" s="89"/>
      <c r="Q284" s="89"/>
      <c r="R284" s="89"/>
      <c r="S284" s="89"/>
    </row>
    <row r="285" customFormat="false" ht="15.75" hidden="true" customHeight="true" outlineLevel="0" collapsed="false">
      <c r="A285" s="46" t="str">
        <f aca="false">IF(_PENDIENTES!$B$279&lt;&gt;"",278,"")</f>
        <v/>
      </c>
      <c r="B285" s="41" t="str">
        <f aca="false">IF(_PENDIENTES!$B$279&lt;&gt;"",_PENDIENTES!$A$279,"")</f>
        <v/>
      </c>
      <c r="C285" s="110" t="str">
        <f aca="false">IF(_PENDIENTES!$B$279&lt;&gt;"",_PENDIENTES!$C$279,"")</f>
        <v/>
      </c>
      <c r="D285" s="46" t="str">
        <f aca="false">IF(_PENDIENTES!$B$279&lt;&gt;"",_PENDIENTES!$D$279,"")</f>
        <v/>
      </c>
      <c r="E285" s="112" t="str">
        <f aca="false">IF(_PENDIENTES!$B$279&lt;&gt;"",_PENDIENTES!$E$279,"")</f>
        <v/>
      </c>
      <c r="F285" s="46" t="str">
        <f aca="false">IF(_PENDIENTES!$B$279&lt;&gt;"",_PENDIENTES!$F$279,"")</f>
        <v/>
      </c>
      <c r="G285" s="44" t="str">
        <f aca="false">IF(_PENDIENTES!$B$279&lt;&gt;"",_PENDIENTES!$G$279,"")</f>
        <v/>
      </c>
      <c r="H285" s="44" t="str">
        <f aca="false">IF(_PENDIENTES!$B$279&lt;&gt;"",_PENDIENTES!$H$279,"")</f>
        <v/>
      </c>
      <c r="I285" s="110" t="str">
        <f aca="false">IF(_PENDIENTES!$B$279&lt;&gt;"",_PENDIENTES!$I$279,"")</f>
        <v/>
      </c>
      <c r="J285" s="46" t="str">
        <f aca="false">IF(_PENDIENTES!$B$279&lt;&gt;"",_PENDIENTES!$J$279,"")</f>
        <v/>
      </c>
      <c r="K285" s="46" t="str">
        <f aca="false">IF(_PENDIENTES!$B$279&lt;&gt;"","POR RECOGER","")</f>
        <v/>
      </c>
      <c r="L285" s="46" t="str">
        <f aca="false">IF(_PENDIENTES!$B$279&lt;&gt;"",_PENDIENTES!$K$279,"")</f>
        <v/>
      </c>
      <c r="M285" s="89" t="str">
        <f aca="false">IF(_PENDIENTES!$B$279&lt;&gt;"",_PENDIENTES!$B$279,"")</f>
        <v/>
      </c>
      <c r="N285" s="109" t="str">
        <f aca="false">IF(_PENDIENTES!$B$279&lt;&gt;"",_PENDIENTES!$L$279,"")</f>
        <v/>
      </c>
      <c r="O285" s="89"/>
      <c r="P285" s="89"/>
      <c r="Q285" s="89"/>
      <c r="R285" s="89"/>
      <c r="S285" s="89"/>
    </row>
    <row r="286" customFormat="false" ht="15.75" hidden="true" customHeight="true" outlineLevel="0" collapsed="false">
      <c r="A286" s="106" t="str">
        <f aca="false">IF(_PENDIENTES!$B$280&lt;&gt;"",279,"")</f>
        <v/>
      </c>
      <c r="B286" s="47" t="str">
        <f aca="false">IF(_PENDIENTES!$B$280&lt;&gt;"",_PENDIENTES!$A$280,"")</f>
        <v/>
      </c>
      <c r="C286" s="107" t="str">
        <f aca="false">IF(_PENDIENTES!$B$280&lt;&gt;"",_PENDIENTES!$C$280,"")</f>
        <v/>
      </c>
      <c r="D286" s="106" t="str">
        <f aca="false">IF(_PENDIENTES!$B$280&lt;&gt;"",_PENDIENTES!$D$280,"")</f>
        <v/>
      </c>
      <c r="E286" s="111" t="str">
        <f aca="false">IF(_PENDIENTES!$B$280&lt;&gt;"",_PENDIENTES!$E$280,"")</f>
        <v/>
      </c>
      <c r="F286" s="106" t="str">
        <f aca="false">IF(_PENDIENTES!$B$280&lt;&gt;"",_PENDIENTES!$F$280,"")</f>
        <v/>
      </c>
      <c r="G286" s="50" t="str">
        <f aca="false">IF(_PENDIENTES!$B$280&lt;&gt;"",_PENDIENTES!$G$280,"")</f>
        <v/>
      </c>
      <c r="H286" s="50" t="str">
        <f aca="false">IF(_PENDIENTES!$B$280&lt;&gt;"",_PENDIENTES!$H$280,"")</f>
        <v/>
      </c>
      <c r="I286" s="107" t="str">
        <f aca="false">IF(_PENDIENTES!$B$280&lt;&gt;"",_PENDIENTES!$I$280,"")</f>
        <v/>
      </c>
      <c r="J286" s="106" t="str">
        <f aca="false">IF(_PENDIENTES!$B$280&lt;&gt;"",_PENDIENTES!$J$280,"")</f>
        <v/>
      </c>
      <c r="K286" s="106" t="str">
        <f aca="false">IF(_PENDIENTES!$B$280&lt;&gt;"","POR RECOGER","")</f>
        <v/>
      </c>
      <c r="L286" s="106" t="str">
        <f aca="false">IF(_PENDIENTES!$B$280&lt;&gt;"",_PENDIENTES!$K$280,"")</f>
        <v/>
      </c>
      <c r="M286" s="89" t="str">
        <f aca="false">IF(_PENDIENTES!$B$280&lt;&gt;"",_PENDIENTES!$B$280,"")</f>
        <v/>
      </c>
      <c r="N286" s="109" t="str">
        <f aca="false">IF(_PENDIENTES!$B$280&lt;&gt;"",_PENDIENTES!$L$280,"")</f>
        <v/>
      </c>
      <c r="O286" s="89"/>
      <c r="P286" s="89"/>
      <c r="Q286" s="89"/>
      <c r="R286" s="89"/>
      <c r="S286" s="89"/>
    </row>
    <row r="287" customFormat="false" ht="15.75" hidden="true" customHeight="true" outlineLevel="0" collapsed="false">
      <c r="A287" s="46" t="str">
        <f aca="false">IF(_PENDIENTES!$B$281&lt;&gt;"",280,"")</f>
        <v/>
      </c>
      <c r="B287" s="41" t="str">
        <f aca="false">IF(_PENDIENTES!$B$281&lt;&gt;"",_PENDIENTES!$A$281,"")</f>
        <v/>
      </c>
      <c r="C287" s="110" t="str">
        <f aca="false">IF(_PENDIENTES!$B$281&lt;&gt;"",_PENDIENTES!$C$281,"")</f>
        <v/>
      </c>
      <c r="D287" s="46" t="str">
        <f aca="false">IF(_PENDIENTES!$B$281&lt;&gt;"",_PENDIENTES!$D$281,"")</f>
        <v/>
      </c>
      <c r="E287" s="112" t="str">
        <f aca="false">IF(_PENDIENTES!$B$281&lt;&gt;"",_PENDIENTES!$E$281,"")</f>
        <v/>
      </c>
      <c r="F287" s="46" t="str">
        <f aca="false">IF(_PENDIENTES!$B$281&lt;&gt;"",_PENDIENTES!$F$281,"")</f>
        <v/>
      </c>
      <c r="G287" s="44" t="str">
        <f aca="false">IF(_PENDIENTES!$B$281&lt;&gt;"",_PENDIENTES!$G$281,"")</f>
        <v/>
      </c>
      <c r="H287" s="44" t="str">
        <f aca="false">IF(_PENDIENTES!$B$281&lt;&gt;"",_PENDIENTES!$H$281,"")</f>
        <v/>
      </c>
      <c r="I287" s="110" t="str">
        <f aca="false">IF(_PENDIENTES!$B$281&lt;&gt;"",_PENDIENTES!$I$281,"")</f>
        <v/>
      </c>
      <c r="J287" s="46" t="str">
        <f aca="false">IF(_PENDIENTES!$B$281&lt;&gt;"",_PENDIENTES!$J$281,"")</f>
        <v/>
      </c>
      <c r="K287" s="46" t="str">
        <f aca="false">IF(_PENDIENTES!$B$281&lt;&gt;"","POR RECOGER","")</f>
        <v/>
      </c>
      <c r="L287" s="46" t="str">
        <f aca="false">IF(_PENDIENTES!$B$281&lt;&gt;"",_PENDIENTES!$K$281,"")</f>
        <v/>
      </c>
      <c r="M287" s="89" t="str">
        <f aca="false">IF(_PENDIENTES!$B$281&lt;&gt;"",_PENDIENTES!$B$281,"")</f>
        <v/>
      </c>
      <c r="N287" s="109" t="str">
        <f aca="false">IF(_PENDIENTES!$B$281&lt;&gt;"",_PENDIENTES!$L$281,"")</f>
        <v/>
      </c>
      <c r="O287" s="89"/>
      <c r="P287" s="89"/>
      <c r="Q287" s="89"/>
      <c r="R287" s="89"/>
      <c r="S287" s="89"/>
    </row>
    <row r="288" customFormat="false" ht="15.75" hidden="true" customHeight="true" outlineLevel="0" collapsed="false">
      <c r="A288" s="106" t="str">
        <f aca="false">IF(_PENDIENTES!$B$282&lt;&gt;"",281,"")</f>
        <v/>
      </c>
      <c r="B288" s="47" t="str">
        <f aca="false">IF(_PENDIENTES!$B$282&lt;&gt;"",_PENDIENTES!$A$282,"")</f>
        <v/>
      </c>
      <c r="C288" s="107" t="str">
        <f aca="false">IF(_PENDIENTES!$B$282&lt;&gt;"",_PENDIENTES!$C$282,"")</f>
        <v/>
      </c>
      <c r="D288" s="106" t="str">
        <f aca="false">IF(_PENDIENTES!$B$282&lt;&gt;"",_PENDIENTES!$D$282,"")</f>
        <v/>
      </c>
      <c r="E288" s="111" t="str">
        <f aca="false">IF(_PENDIENTES!$B$282&lt;&gt;"",_PENDIENTES!$E$282,"")</f>
        <v/>
      </c>
      <c r="F288" s="106" t="str">
        <f aca="false">IF(_PENDIENTES!$B$282&lt;&gt;"",_PENDIENTES!$F$282,"")</f>
        <v/>
      </c>
      <c r="G288" s="50" t="str">
        <f aca="false">IF(_PENDIENTES!$B$282&lt;&gt;"",_PENDIENTES!$G$282,"")</f>
        <v/>
      </c>
      <c r="H288" s="50" t="str">
        <f aca="false">IF(_PENDIENTES!$B$282&lt;&gt;"",_PENDIENTES!$H$282,"")</f>
        <v/>
      </c>
      <c r="I288" s="107" t="str">
        <f aca="false">IF(_PENDIENTES!$B$282&lt;&gt;"",_PENDIENTES!$I$282,"")</f>
        <v/>
      </c>
      <c r="J288" s="106" t="str">
        <f aca="false">IF(_PENDIENTES!$B$282&lt;&gt;"",_PENDIENTES!$J$282,"")</f>
        <v/>
      </c>
      <c r="K288" s="106" t="str">
        <f aca="false">IF(_PENDIENTES!$B$282&lt;&gt;"","POR RECOGER","")</f>
        <v/>
      </c>
      <c r="L288" s="106" t="str">
        <f aca="false">IF(_PENDIENTES!$B$282&lt;&gt;"",_PENDIENTES!$K$282,"")</f>
        <v/>
      </c>
      <c r="M288" s="89" t="str">
        <f aca="false">IF(_PENDIENTES!$B$282&lt;&gt;"",_PENDIENTES!$B$282,"")</f>
        <v/>
      </c>
      <c r="N288" s="109" t="str">
        <f aca="false">IF(_PENDIENTES!$B$282&lt;&gt;"",_PENDIENTES!$L$282,"")</f>
        <v/>
      </c>
      <c r="O288" s="89"/>
      <c r="P288" s="89"/>
      <c r="Q288" s="89"/>
      <c r="R288" s="89"/>
      <c r="S288" s="89"/>
    </row>
    <row r="289" customFormat="false" ht="15.75" hidden="true" customHeight="true" outlineLevel="0" collapsed="false">
      <c r="A289" s="46" t="str">
        <f aca="false">IF(_PENDIENTES!$B$283&lt;&gt;"",282,"")</f>
        <v/>
      </c>
      <c r="B289" s="41" t="str">
        <f aca="false">IF(_PENDIENTES!$B$283&lt;&gt;"",_PENDIENTES!$A$283,"")</f>
        <v/>
      </c>
      <c r="C289" s="110" t="str">
        <f aca="false">IF(_PENDIENTES!$B$283&lt;&gt;"",_PENDIENTES!$C$283,"")</f>
        <v/>
      </c>
      <c r="D289" s="46" t="str">
        <f aca="false">IF(_PENDIENTES!$B$283&lt;&gt;"",_PENDIENTES!$D$283,"")</f>
        <v/>
      </c>
      <c r="E289" s="112" t="str">
        <f aca="false">IF(_PENDIENTES!$B$283&lt;&gt;"",_PENDIENTES!$E$283,"")</f>
        <v/>
      </c>
      <c r="F289" s="46" t="str">
        <f aca="false">IF(_PENDIENTES!$B$283&lt;&gt;"",_PENDIENTES!$F$283,"")</f>
        <v/>
      </c>
      <c r="G289" s="44" t="str">
        <f aca="false">IF(_PENDIENTES!$B$283&lt;&gt;"",_PENDIENTES!$G$283,"")</f>
        <v/>
      </c>
      <c r="H289" s="44" t="str">
        <f aca="false">IF(_PENDIENTES!$B$283&lt;&gt;"",_PENDIENTES!$H$283,"")</f>
        <v/>
      </c>
      <c r="I289" s="110" t="str">
        <f aca="false">IF(_PENDIENTES!$B$283&lt;&gt;"",_PENDIENTES!$I$283,"")</f>
        <v/>
      </c>
      <c r="J289" s="46" t="str">
        <f aca="false">IF(_PENDIENTES!$B$283&lt;&gt;"",_PENDIENTES!$J$283,"")</f>
        <v/>
      </c>
      <c r="K289" s="46" t="str">
        <f aca="false">IF(_PENDIENTES!$B$283&lt;&gt;"","POR RECOGER","")</f>
        <v/>
      </c>
      <c r="L289" s="46" t="str">
        <f aca="false">IF(_PENDIENTES!$B$283&lt;&gt;"",_PENDIENTES!$K$283,"")</f>
        <v/>
      </c>
      <c r="M289" s="89" t="str">
        <f aca="false">IF(_PENDIENTES!$B$283&lt;&gt;"",_PENDIENTES!$B$283,"")</f>
        <v/>
      </c>
      <c r="N289" s="109" t="str">
        <f aca="false">IF(_PENDIENTES!$B$283&lt;&gt;"",_PENDIENTES!$L$283,"")</f>
        <v/>
      </c>
      <c r="O289" s="89"/>
      <c r="P289" s="89"/>
      <c r="Q289" s="89"/>
      <c r="R289" s="89"/>
      <c r="S289" s="89"/>
    </row>
    <row r="290" customFormat="false" ht="15.75" hidden="true" customHeight="true" outlineLevel="0" collapsed="false">
      <c r="A290" s="106" t="str">
        <f aca="false">IF(_PENDIENTES!$B$284&lt;&gt;"",283,"")</f>
        <v/>
      </c>
      <c r="B290" s="47" t="str">
        <f aca="false">IF(_PENDIENTES!$B$284&lt;&gt;"",_PENDIENTES!$A$284,"")</f>
        <v/>
      </c>
      <c r="C290" s="107" t="str">
        <f aca="false">IF(_PENDIENTES!$B$284&lt;&gt;"",_PENDIENTES!$C$284,"")</f>
        <v/>
      </c>
      <c r="D290" s="106" t="str">
        <f aca="false">IF(_PENDIENTES!$B$284&lt;&gt;"",_PENDIENTES!$D$284,"")</f>
        <v/>
      </c>
      <c r="E290" s="111" t="str">
        <f aca="false">IF(_PENDIENTES!$B$284&lt;&gt;"",_PENDIENTES!$E$284,"")</f>
        <v/>
      </c>
      <c r="F290" s="106" t="str">
        <f aca="false">IF(_PENDIENTES!$B$284&lt;&gt;"",_PENDIENTES!$F$284,"")</f>
        <v/>
      </c>
      <c r="G290" s="50" t="str">
        <f aca="false">IF(_PENDIENTES!$B$284&lt;&gt;"",_PENDIENTES!$G$284,"")</f>
        <v/>
      </c>
      <c r="H290" s="50" t="str">
        <f aca="false">IF(_PENDIENTES!$B$284&lt;&gt;"",_PENDIENTES!$H$284,"")</f>
        <v/>
      </c>
      <c r="I290" s="107" t="str">
        <f aca="false">IF(_PENDIENTES!$B$284&lt;&gt;"",_PENDIENTES!$I$284,"")</f>
        <v/>
      </c>
      <c r="J290" s="106" t="str">
        <f aca="false">IF(_PENDIENTES!$B$284&lt;&gt;"",_PENDIENTES!$J$284,"")</f>
        <v/>
      </c>
      <c r="K290" s="106" t="str">
        <f aca="false">IF(_PENDIENTES!$B$284&lt;&gt;"","POR RECOGER","")</f>
        <v/>
      </c>
      <c r="L290" s="106" t="str">
        <f aca="false">IF(_PENDIENTES!$B$284&lt;&gt;"",_PENDIENTES!$K$284,"")</f>
        <v/>
      </c>
      <c r="M290" s="89" t="str">
        <f aca="false">IF(_PENDIENTES!$B$284&lt;&gt;"",_PENDIENTES!$B$284,"")</f>
        <v/>
      </c>
      <c r="N290" s="109" t="str">
        <f aca="false">IF(_PENDIENTES!$B$284&lt;&gt;"",_PENDIENTES!$L$284,"")</f>
        <v/>
      </c>
      <c r="O290" s="89"/>
      <c r="P290" s="89"/>
      <c r="Q290" s="89"/>
      <c r="R290" s="89"/>
      <c r="S290" s="89"/>
    </row>
    <row r="291" customFormat="false" ht="15.75" hidden="true" customHeight="true" outlineLevel="0" collapsed="false">
      <c r="A291" s="46" t="str">
        <f aca="false">IF(_PENDIENTES!$B$285&lt;&gt;"",284,"")</f>
        <v/>
      </c>
      <c r="B291" s="41" t="str">
        <f aca="false">IF(_PENDIENTES!$B$285&lt;&gt;"",_PENDIENTES!$A$285,"")</f>
        <v/>
      </c>
      <c r="C291" s="110" t="str">
        <f aca="false">IF(_PENDIENTES!$B$285&lt;&gt;"",_PENDIENTES!$C$285,"")</f>
        <v/>
      </c>
      <c r="D291" s="46" t="str">
        <f aca="false">IF(_PENDIENTES!$B$285&lt;&gt;"",_PENDIENTES!$D$285,"")</f>
        <v/>
      </c>
      <c r="E291" s="112" t="str">
        <f aca="false">IF(_PENDIENTES!$B$285&lt;&gt;"",_PENDIENTES!$E$285,"")</f>
        <v/>
      </c>
      <c r="F291" s="46" t="str">
        <f aca="false">IF(_PENDIENTES!$B$285&lt;&gt;"",_PENDIENTES!$F$285,"")</f>
        <v/>
      </c>
      <c r="G291" s="44" t="str">
        <f aca="false">IF(_PENDIENTES!$B$285&lt;&gt;"",_PENDIENTES!$G$285,"")</f>
        <v/>
      </c>
      <c r="H291" s="44" t="str">
        <f aca="false">IF(_PENDIENTES!$B$285&lt;&gt;"",_PENDIENTES!$H$285,"")</f>
        <v/>
      </c>
      <c r="I291" s="110" t="str">
        <f aca="false">IF(_PENDIENTES!$B$285&lt;&gt;"",_PENDIENTES!$I$285,"")</f>
        <v/>
      </c>
      <c r="J291" s="46" t="str">
        <f aca="false">IF(_PENDIENTES!$B$285&lt;&gt;"",_PENDIENTES!$J$285,"")</f>
        <v/>
      </c>
      <c r="K291" s="46" t="str">
        <f aca="false">IF(_PENDIENTES!$B$285&lt;&gt;"","POR RECOGER","")</f>
        <v/>
      </c>
      <c r="L291" s="46" t="str">
        <f aca="false">IF(_PENDIENTES!$B$285&lt;&gt;"",_PENDIENTES!$K$285,"")</f>
        <v/>
      </c>
      <c r="M291" s="89" t="str">
        <f aca="false">IF(_PENDIENTES!$B$285&lt;&gt;"",_PENDIENTES!$B$285,"")</f>
        <v/>
      </c>
      <c r="N291" s="109" t="str">
        <f aca="false">IF(_PENDIENTES!$B$285&lt;&gt;"",_PENDIENTES!$L$285,"")</f>
        <v/>
      </c>
      <c r="O291" s="89"/>
      <c r="P291" s="89"/>
      <c r="Q291" s="89"/>
      <c r="R291" s="89"/>
      <c r="S291" s="89"/>
    </row>
    <row r="292" customFormat="false" ht="15.75" hidden="true" customHeight="true" outlineLevel="0" collapsed="false">
      <c r="A292" s="106" t="str">
        <f aca="false">IF(_PENDIENTES!$B$286&lt;&gt;"",285,"")</f>
        <v/>
      </c>
      <c r="B292" s="47" t="str">
        <f aca="false">IF(_PENDIENTES!$B$286&lt;&gt;"",_PENDIENTES!$A$286,"")</f>
        <v/>
      </c>
      <c r="C292" s="107" t="str">
        <f aca="false">IF(_PENDIENTES!$B$286&lt;&gt;"",_PENDIENTES!$C$286,"")</f>
        <v/>
      </c>
      <c r="D292" s="106" t="str">
        <f aca="false">IF(_PENDIENTES!$B$286&lt;&gt;"",_PENDIENTES!$D$286,"")</f>
        <v/>
      </c>
      <c r="E292" s="111" t="str">
        <f aca="false">IF(_PENDIENTES!$B$286&lt;&gt;"",_PENDIENTES!$E$286,"")</f>
        <v/>
      </c>
      <c r="F292" s="106" t="str">
        <f aca="false">IF(_PENDIENTES!$B$286&lt;&gt;"",_PENDIENTES!$F$286,"")</f>
        <v/>
      </c>
      <c r="G292" s="50" t="str">
        <f aca="false">IF(_PENDIENTES!$B$286&lt;&gt;"",_PENDIENTES!$G$286,"")</f>
        <v/>
      </c>
      <c r="H292" s="50" t="str">
        <f aca="false">IF(_PENDIENTES!$B$286&lt;&gt;"",_PENDIENTES!$H$286,"")</f>
        <v/>
      </c>
      <c r="I292" s="107" t="str">
        <f aca="false">IF(_PENDIENTES!$B$286&lt;&gt;"",_PENDIENTES!$I$286,"")</f>
        <v/>
      </c>
      <c r="J292" s="106" t="str">
        <f aca="false">IF(_PENDIENTES!$B$286&lt;&gt;"",_PENDIENTES!$J$286,"")</f>
        <v/>
      </c>
      <c r="K292" s="106" t="str">
        <f aca="false">IF(_PENDIENTES!$B$286&lt;&gt;"","POR RECOGER","")</f>
        <v/>
      </c>
      <c r="L292" s="106" t="str">
        <f aca="false">IF(_PENDIENTES!$B$286&lt;&gt;"",_PENDIENTES!$K$286,"")</f>
        <v/>
      </c>
      <c r="M292" s="89" t="str">
        <f aca="false">IF(_PENDIENTES!$B$286&lt;&gt;"",_PENDIENTES!$B$286,"")</f>
        <v/>
      </c>
      <c r="N292" s="109" t="str">
        <f aca="false">IF(_PENDIENTES!$B$286&lt;&gt;"",_PENDIENTES!$L$286,"")</f>
        <v/>
      </c>
      <c r="O292" s="89"/>
      <c r="P292" s="89"/>
      <c r="Q292" s="89"/>
      <c r="R292" s="89"/>
      <c r="S292" s="89"/>
    </row>
    <row r="293" customFormat="false" ht="15.75" hidden="true" customHeight="true" outlineLevel="0" collapsed="false">
      <c r="A293" s="46" t="str">
        <f aca="false">IF(_PENDIENTES!$B$287&lt;&gt;"",286,"")</f>
        <v/>
      </c>
      <c r="B293" s="41" t="str">
        <f aca="false">IF(_PENDIENTES!$B$287&lt;&gt;"",_PENDIENTES!$A$287,"")</f>
        <v/>
      </c>
      <c r="C293" s="110" t="str">
        <f aca="false">IF(_PENDIENTES!$B$287&lt;&gt;"",_PENDIENTES!$C$287,"")</f>
        <v/>
      </c>
      <c r="D293" s="46" t="str">
        <f aca="false">IF(_PENDIENTES!$B$287&lt;&gt;"",_PENDIENTES!$D$287,"")</f>
        <v/>
      </c>
      <c r="E293" s="112" t="str">
        <f aca="false">IF(_PENDIENTES!$B$287&lt;&gt;"",_PENDIENTES!$E$287,"")</f>
        <v/>
      </c>
      <c r="F293" s="46" t="str">
        <f aca="false">IF(_PENDIENTES!$B$287&lt;&gt;"",_PENDIENTES!$F$287,"")</f>
        <v/>
      </c>
      <c r="G293" s="44" t="str">
        <f aca="false">IF(_PENDIENTES!$B$287&lt;&gt;"",_PENDIENTES!$G$287,"")</f>
        <v/>
      </c>
      <c r="H293" s="44" t="str">
        <f aca="false">IF(_PENDIENTES!$B$287&lt;&gt;"",_PENDIENTES!$H$287,"")</f>
        <v/>
      </c>
      <c r="I293" s="110" t="str">
        <f aca="false">IF(_PENDIENTES!$B$287&lt;&gt;"",_PENDIENTES!$I$287,"")</f>
        <v/>
      </c>
      <c r="J293" s="46" t="str">
        <f aca="false">IF(_PENDIENTES!$B$287&lt;&gt;"",_PENDIENTES!$J$287,"")</f>
        <v/>
      </c>
      <c r="K293" s="46" t="str">
        <f aca="false">IF(_PENDIENTES!$B$287&lt;&gt;"","POR RECOGER","")</f>
        <v/>
      </c>
      <c r="L293" s="46" t="str">
        <f aca="false">IF(_PENDIENTES!$B$287&lt;&gt;"",_PENDIENTES!$K$287,"")</f>
        <v/>
      </c>
      <c r="M293" s="89" t="str">
        <f aca="false">IF(_PENDIENTES!$B$287&lt;&gt;"",_PENDIENTES!$B$287,"")</f>
        <v/>
      </c>
      <c r="N293" s="109" t="str">
        <f aca="false">IF(_PENDIENTES!$B$287&lt;&gt;"",_PENDIENTES!$L$287,"")</f>
        <v/>
      </c>
      <c r="O293" s="89"/>
      <c r="P293" s="89"/>
      <c r="Q293" s="89"/>
      <c r="R293" s="89"/>
      <c r="S293" s="89"/>
    </row>
    <row r="294" customFormat="false" ht="15.75" hidden="true" customHeight="true" outlineLevel="0" collapsed="false">
      <c r="A294" s="106" t="str">
        <f aca="false">IF(_PENDIENTES!$B$288&lt;&gt;"",287,"")</f>
        <v/>
      </c>
      <c r="B294" s="47" t="str">
        <f aca="false">IF(_PENDIENTES!$B$288&lt;&gt;"",_PENDIENTES!$A$288,"")</f>
        <v/>
      </c>
      <c r="C294" s="107" t="str">
        <f aca="false">IF(_PENDIENTES!$B$288&lt;&gt;"",_PENDIENTES!$C$288,"")</f>
        <v/>
      </c>
      <c r="D294" s="106" t="str">
        <f aca="false">IF(_PENDIENTES!$B$288&lt;&gt;"",_PENDIENTES!$D$288,"")</f>
        <v/>
      </c>
      <c r="E294" s="111" t="str">
        <f aca="false">IF(_PENDIENTES!$B$288&lt;&gt;"",_PENDIENTES!$E$288,"")</f>
        <v/>
      </c>
      <c r="F294" s="106" t="str">
        <f aca="false">IF(_PENDIENTES!$B$288&lt;&gt;"",_PENDIENTES!$F$288,"")</f>
        <v/>
      </c>
      <c r="G294" s="50" t="str">
        <f aca="false">IF(_PENDIENTES!$B$288&lt;&gt;"",_PENDIENTES!$G$288,"")</f>
        <v/>
      </c>
      <c r="H294" s="50" t="str">
        <f aca="false">IF(_PENDIENTES!$B$288&lt;&gt;"",_PENDIENTES!$H$288,"")</f>
        <v/>
      </c>
      <c r="I294" s="107" t="str">
        <f aca="false">IF(_PENDIENTES!$B$288&lt;&gt;"",_PENDIENTES!$I$288,"")</f>
        <v/>
      </c>
      <c r="J294" s="106" t="str">
        <f aca="false">IF(_PENDIENTES!$B$288&lt;&gt;"",_PENDIENTES!$J$288,"")</f>
        <v/>
      </c>
      <c r="K294" s="106" t="str">
        <f aca="false">IF(_PENDIENTES!$B$288&lt;&gt;"","POR RECOGER","")</f>
        <v/>
      </c>
      <c r="L294" s="106" t="str">
        <f aca="false">IF(_PENDIENTES!$B$288&lt;&gt;"",_PENDIENTES!$K$288,"")</f>
        <v/>
      </c>
      <c r="M294" s="89" t="str">
        <f aca="false">IF(_PENDIENTES!$B$288&lt;&gt;"",_PENDIENTES!$B$288,"")</f>
        <v/>
      </c>
      <c r="N294" s="109" t="str">
        <f aca="false">IF(_PENDIENTES!$B$288&lt;&gt;"",_PENDIENTES!$L$288,"")</f>
        <v/>
      </c>
      <c r="O294" s="89"/>
      <c r="P294" s="89"/>
      <c r="Q294" s="89"/>
      <c r="R294" s="89"/>
      <c r="S294" s="89"/>
    </row>
    <row r="295" customFormat="false" ht="15.75" hidden="true" customHeight="true" outlineLevel="0" collapsed="false">
      <c r="A295" s="46" t="str">
        <f aca="false">IF(_PENDIENTES!$B$289&lt;&gt;"",288,"")</f>
        <v/>
      </c>
      <c r="B295" s="41" t="str">
        <f aca="false">IF(_PENDIENTES!$B$289&lt;&gt;"",_PENDIENTES!$A$289,"")</f>
        <v/>
      </c>
      <c r="C295" s="110" t="str">
        <f aca="false">IF(_PENDIENTES!$B$289&lt;&gt;"",_PENDIENTES!$C$289,"")</f>
        <v/>
      </c>
      <c r="D295" s="46" t="str">
        <f aca="false">IF(_PENDIENTES!$B$289&lt;&gt;"",_PENDIENTES!$D$289,"")</f>
        <v/>
      </c>
      <c r="E295" s="112" t="str">
        <f aca="false">IF(_PENDIENTES!$B$289&lt;&gt;"",_PENDIENTES!$E$289,"")</f>
        <v/>
      </c>
      <c r="F295" s="46" t="str">
        <f aca="false">IF(_PENDIENTES!$B$289&lt;&gt;"",_PENDIENTES!$F$289,"")</f>
        <v/>
      </c>
      <c r="G295" s="44" t="str">
        <f aca="false">IF(_PENDIENTES!$B$289&lt;&gt;"",_PENDIENTES!$G$289,"")</f>
        <v/>
      </c>
      <c r="H295" s="44" t="str">
        <f aca="false">IF(_PENDIENTES!$B$289&lt;&gt;"",_PENDIENTES!$H$289,"")</f>
        <v/>
      </c>
      <c r="I295" s="110" t="str">
        <f aca="false">IF(_PENDIENTES!$B$289&lt;&gt;"",_PENDIENTES!$I$289,"")</f>
        <v/>
      </c>
      <c r="J295" s="46" t="str">
        <f aca="false">IF(_PENDIENTES!$B$289&lt;&gt;"",_PENDIENTES!$J$289,"")</f>
        <v/>
      </c>
      <c r="K295" s="46" t="str">
        <f aca="false">IF(_PENDIENTES!$B$289&lt;&gt;"","POR RECOGER","")</f>
        <v/>
      </c>
      <c r="L295" s="46" t="str">
        <f aca="false">IF(_PENDIENTES!$B$289&lt;&gt;"",_PENDIENTES!$K$289,"")</f>
        <v/>
      </c>
      <c r="M295" s="89" t="str">
        <f aca="false">IF(_PENDIENTES!$B$289&lt;&gt;"",_PENDIENTES!$B$289,"")</f>
        <v/>
      </c>
      <c r="N295" s="109" t="str">
        <f aca="false">IF(_PENDIENTES!$B$289&lt;&gt;"",_PENDIENTES!$L$289,"")</f>
        <v/>
      </c>
      <c r="O295" s="89"/>
      <c r="P295" s="89"/>
      <c r="Q295" s="89"/>
      <c r="R295" s="89"/>
      <c r="S295" s="89"/>
    </row>
    <row r="296" customFormat="false" ht="15.75" hidden="true" customHeight="true" outlineLevel="0" collapsed="false">
      <c r="A296" s="106" t="str">
        <f aca="false">IF(_PENDIENTES!$B$290&lt;&gt;"",289,"")</f>
        <v/>
      </c>
      <c r="B296" s="47" t="str">
        <f aca="false">IF(_PENDIENTES!$B$290&lt;&gt;"",_PENDIENTES!$A$290,"")</f>
        <v/>
      </c>
      <c r="C296" s="107" t="str">
        <f aca="false">IF(_PENDIENTES!$B$290&lt;&gt;"",_PENDIENTES!$C$290,"")</f>
        <v/>
      </c>
      <c r="D296" s="106" t="str">
        <f aca="false">IF(_PENDIENTES!$B$290&lt;&gt;"",_PENDIENTES!$D$290,"")</f>
        <v/>
      </c>
      <c r="E296" s="111" t="str">
        <f aca="false">IF(_PENDIENTES!$B$290&lt;&gt;"",_PENDIENTES!$E$290,"")</f>
        <v/>
      </c>
      <c r="F296" s="106" t="str">
        <f aca="false">IF(_PENDIENTES!$B$290&lt;&gt;"",_PENDIENTES!$F$290,"")</f>
        <v/>
      </c>
      <c r="G296" s="50" t="str">
        <f aca="false">IF(_PENDIENTES!$B$290&lt;&gt;"",_PENDIENTES!$G$290,"")</f>
        <v/>
      </c>
      <c r="H296" s="50" t="str">
        <f aca="false">IF(_PENDIENTES!$B$290&lt;&gt;"",_PENDIENTES!$H$290,"")</f>
        <v/>
      </c>
      <c r="I296" s="107" t="str">
        <f aca="false">IF(_PENDIENTES!$B$290&lt;&gt;"",_PENDIENTES!$I$290,"")</f>
        <v/>
      </c>
      <c r="J296" s="106" t="str">
        <f aca="false">IF(_PENDIENTES!$B$290&lt;&gt;"",_PENDIENTES!$J$290,"")</f>
        <v/>
      </c>
      <c r="K296" s="106" t="str">
        <f aca="false">IF(_PENDIENTES!$B$290&lt;&gt;"","POR RECOGER","")</f>
        <v/>
      </c>
      <c r="L296" s="106" t="str">
        <f aca="false">IF(_PENDIENTES!$B$290&lt;&gt;"",_PENDIENTES!$K$290,"")</f>
        <v/>
      </c>
      <c r="M296" s="89" t="str">
        <f aca="false">IF(_PENDIENTES!$B$290&lt;&gt;"",_PENDIENTES!$B$290,"")</f>
        <v/>
      </c>
      <c r="N296" s="109" t="str">
        <f aca="false">IF(_PENDIENTES!$B$290&lt;&gt;"",_PENDIENTES!$L$290,"")</f>
        <v/>
      </c>
      <c r="O296" s="89"/>
      <c r="P296" s="89"/>
      <c r="Q296" s="89"/>
      <c r="R296" s="89"/>
      <c r="S296" s="89"/>
    </row>
    <row r="297" customFormat="false" ht="15.75" hidden="true" customHeight="true" outlineLevel="0" collapsed="false">
      <c r="A297" s="46" t="str">
        <f aca="false">IF(_PENDIENTES!$B$291&lt;&gt;"",290,"")</f>
        <v/>
      </c>
      <c r="B297" s="41" t="str">
        <f aca="false">IF(_PENDIENTES!$B$291&lt;&gt;"",_PENDIENTES!$A$291,"")</f>
        <v/>
      </c>
      <c r="C297" s="110" t="str">
        <f aca="false">IF(_PENDIENTES!$B$291&lt;&gt;"",_PENDIENTES!$C$291,"")</f>
        <v/>
      </c>
      <c r="D297" s="46" t="str">
        <f aca="false">IF(_PENDIENTES!$B$291&lt;&gt;"",_PENDIENTES!$D$291,"")</f>
        <v/>
      </c>
      <c r="E297" s="112" t="str">
        <f aca="false">IF(_PENDIENTES!$B$291&lt;&gt;"",_PENDIENTES!$E$291,"")</f>
        <v/>
      </c>
      <c r="F297" s="46" t="str">
        <f aca="false">IF(_PENDIENTES!$B$291&lt;&gt;"",_PENDIENTES!$F$291,"")</f>
        <v/>
      </c>
      <c r="G297" s="44" t="str">
        <f aca="false">IF(_PENDIENTES!$B$291&lt;&gt;"",_PENDIENTES!$G$291,"")</f>
        <v/>
      </c>
      <c r="H297" s="44" t="str">
        <f aca="false">IF(_PENDIENTES!$B$291&lt;&gt;"",_PENDIENTES!$H$291,"")</f>
        <v/>
      </c>
      <c r="I297" s="110" t="str">
        <f aca="false">IF(_PENDIENTES!$B$291&lt;&gt;"",_PENDIENTES!$I$291,"")</f>
        <v/>
      </c>
      <c r="J297" s="46" t="str">
        <f aca="false">IF(_PENDIENTES!$B$291&lt;&gt;"",_PENDIENTES!$J$291,"")</f>
        <v/>
      </c>
      <c r="K297" s="46" t="str">
        <f aca="false">IF(_PENDIENTES!$B$291&lt;&gt;"","POR RECOGER","")</f>
        <v/>
      </c>
      <c r="L297" s="46" t="str">
        <f aca="false">IF(_PENDIENTES!$B$291&lt;&gt;"",_PENDIENTES!$K$291,"")</f>
        <v/>
      </c>
      <c r="M297" s="89" t="str">
        <f aca="false">IF(_PENDIENTES!$B$291&lt;&gt;"",_PENDIENTES!$B$291,"")</f>
        <v/>
      </c>
      <c r="N297" s="109" t="str">
        <f aca="false">IF(_PENDIENTES!$B$291&lt;&gt;"",_PENDIENTES!$L$291,"")</f>
        <v/>
      </c>
      <c r="O297" s="89"/>
      <c r="P297" s="89"/>
      <c r="Q297" s="89"/>
      <c r="R297" s="89"/>
      <c r="S297" s="89"/>
    </row>
    <row r="298" customFormat="false" ht="15.75" hidden="true" customHeight="true" outlineLevel="0" collapsed="false">
      <c r="A298" s="106" t="str">
        <f aca="false">IF(_PENDIENTES!$B$292&lt;&gt;"",291,"")</f>
        <v/>
      </c>
      <c r="B298" s="47" t="str">
        <f aca="false">IF(_PENDIENTES!$B$292&lt;&gt;"",_PENDIENTES!$A$292,"")</f>
        <v/>
      </c>
      <c r="C298" s="107" t="str">
        <f aca="false">IF(_PENDIENTES!$B$292&lt;&gt;"",_PENDIENTES!$C$292,"")</f>
        <v/>
      </c>
      <c r="D298" s="106" t="str">
        <f aca="false">IF(_PENDIENTES!$B$292&lt;&gt;"",_PENDIENTES!$D$292,"")</f>
        <v/>
      </c>
      <c r="E298" s="111" t="str">
        <f aca="false">IF(_PENDIENTES!$B$292&lt;&gt;"",_PENDIENTES!$E$292,"")</f>
        <v/>
      </c>
      <c r="F298" s="106" t="str">
        <f aca="false">IF(_PENDIENTES!$B$292&lt;&gt;"",_PENDIENTES!$F$292,"")</f>
        <v/>
      </c>
      <c r="G298" s="50" t="str">
        <f aca="false">IF(_PENDIENTES!$B$292&lt;&gt;"",_PENDIENTES!$G$292,"")</f>
        <v/>
      </c>
      <c r="H298" s="50" t="str">
        <f aca="false">IF(_PENDIENTES!$B$292&lt;&gt;"",_PENDIENTES!$H$292,"")</f>
        <v/>
      </c>
      <c r="I298" s="107" t="str">
        <f aca="false">IF(_PENDIENTES!$B$292&lt;&gt;"",_PENDIENTES!$I$292,"")</f>
        <v/>
      </c>
      <c r="J298" s="106" t="str">
        <f aca="false">IF(_PENDIENTES!$B$292&lt;&gt;"",_PENDIENTES!$J$292,"")</f>
        <v/>
      </c>
      <c r="K298" s="106" t="str">
        <f aca="false">IF(_PENDIENTES!$B$292&lt;&gt;"","POR RECOGER","")</f>
        <v/>
      </c>
      <c r="L298" s="106" t="str">
        <f aca="false">IF(_PENDIENTES!$B$292&lt;&gt;"",_PENDIENTES!$K$292,"")</f>
        <v/>
      </c>
      <c r="M298" s="89" t="str">
        <f aca="false">IF(_PENDIENTES!$B$292&lt;&gt;"",_PENDIENTES!$B$292,"")</f>
        <v/>
      </c>
      <c r="N298" s="109" t="str">
        <f aca="false">IF(_PENDIENTES!$B$292&lt;&gt;"",_PENDIENTES!$L$292,"")</f>
        <v/>
      </c>
      <c r="O298" s="89"/>
      <c r="P298" s="89"/>
      <c r="Q298" s="89"/>
      <c r="R298" s="89"/>
      <c r="S298" s="89"/>
    </row>
    <row r="299" customFormat="false" ht="15.75" hidden="true" customHeight="true" outlineLevel="0" collapsed="false">
      <c r="A299" s="46" t="str">
        <f aca="false">IF(_PENDIENTES!$B$293&lt;&gt;"",292,"")</f>
        <v/>
      </c>
      <c r="B299" s="41" t="str">
        <f aca="false">IF(_PENDIENTES!$B$293&lt;&gt;"",_PENDIENTES!$A$293,"")</f>
        <v/>
      </c>
      <c r="C299" s="110" t="str">
        <f aca="false">IF(_PENDIENTES!$B$293&lt;&gt;"",_PENDIENTES!$C$293,"")</f>
        <v/>
      </c>
      <c r="D299" s="46" t="str">
        <f aca="false">IF(_PENDIENTES!$B$293&lt;&gt;"",_PENDIENTES!$D$293,"")</f>
        <v/>
      </c>
      <c r="E299" s="112" t="str">
        <f aca="false">IF(_PENDIENTES!$B$293&lt;&gt;"",_PENDIENTES!$E$293,"")</f>
        <v/>
      </c>
      <c r="F299" s="46" t="str">
        <f aca="false">IF(_PENDIENTES!$B$293&lt;&gt;"",_PENDIENTES!$F$293,"")</f>
        <v/>
      </c>
      <c r="G299" s="44" t="str">
        <f aca="false">IF(_PENDIENTES!$B$293&lt;&gt;"",_PENDIENTES!$G$293,"")</f>
        <v/>
      </c>
      <c r="H299" s="44" t="str">
        <f aca="false">IF(_PENDIENTES!$B$293&lt;&gt;"",_PENDIENTES!$H$293,"")</f>
        <v/>
      </c>
      <c r="I299" s="110" t="str">
        <f aca="false">IF(_PENDIENTES!$B$293&lt;&gt;"",_PENDIENTES!$I$293,"")</f>
        <v/>
      </c>
      <c r="J299" s="46" t="str">
        <f aca="false">IF(_PENDIENTES!$B$293&lt;&gt;"",_PENDIENTES!$J$293,"")</f>
        <v/>
      </c>
      <c r="K299" s="46" t="str">
        <f aca="false">IF(_PENDIENTES!$B$293&lt;&gt;"","POR RECOGER","")</f>
        <v/>
      </c>
      <c r="L299" s="46" t="str">
        <f aca="false">IF(_PENDIENTES!$B$293&lt;&gt;"",_PENDIENTES!$K$293,"")</f>
        <v/>
      </c>
      <c r="M299" s="89" t="str">
        <f aca="false">IF(_PENDIENTES!$B$293&lt;&gt;"",_PENDIENTES!$B$293,"")</f>
        <v/>
      </c>
      <c r="N299" s="109" t="str">
        <f aca="false">IF(_PENDIENTES!$B$293&lt;&gt;"",_PENDIENTES!$L$293,"")</f>
        <v/>
      </c>
      <c r="O299" s="89"/>
      <c r="P299" s="89"/>
      <c r="Q299" s="89"/>
      <c r="R299" s="89"/>
      <c r="S299" s="89"/>
    </row>
    <row r="300" customFormat="false" ht="15.75" hidden="true" customHeight="true" outlineLevel="0" collapsed="false">
      <c r="A300" s="106" t="str">
        <f aca="false">IF(_PENDIENTES!$B$294&lt;&gt;"",293,"")</f>
        <v/>
      </c>
      <c r="B300" s="47" t="str">
        <f aca="false">IF(_PENDIENTES!$B$294&lt;&gt;"",_PENDIENTES!$A$294,"")</f>
        <v/>
      </c>
      <c r="C300" s="107" t="str">
        <f aca="false">IF(_PENDIENTES!$B$294&lt;&gt;"",_PENDIENTES!$C$294,"")</f>
        <v/>
      </c>
      <c r="D300" s="106" t="str">
        <f aca="false">IF(_PENDIENTES!$B$294&lt;&gt;"",_PENDIENTES!$D$294,"")</f>
        <v/>
      </c>
      <c r="E300" s="111" t="str">
        <f aca="false">IF(_PENDIENTES!$B$294&lt;&gt;"",_PENDIENTES!$E$294,"")</f>
        <v/>
      </c>
      <c r="F300" s="106" t="str">
        <f aca="false">IF(_PENDIENTES!$B$294&lt;&gt;"",_PENDIENTES!$F$294,"")</f>
        <v/>
      </c>
      <c r="G300" s="50" t="str">
        <f aca="false">IF(_PENDIENTES!$B$294&lt;&gt;"",_PENDIENTES!$G$294,"")</f>
        <v/>
      </c>
      <c r="H300" s="50" t="str">
        <f aca="false">IF(_PENDIENTES!$B$294&lt;&gt;"",_PENDIENTES!$H$294,"")</f>
        <v/>
      </c>
      <c r="I300" s="107" t="str">
        <f aca="false">IF(_PENDIENTES!$B$294&lt;&gt;"",_PENDIENTES!$I$294,"")</f>
        <v/>
      </c>
      <c r="J300" s="106" t="str">
        <f aca="false">IF(_PENDIENTES!$B$294&lt;&gt;"",_PENDIENTES!$J$294,"")</f>
        <v/>
      </c>
      <c r="K300" s="106" t="str">
        <f aca="false">IF(_PENDIENTES!$B$294&lt;&gt;"","POR RECOGER","")</f>
        <v/>
      </c>
      <c r="L300" s="106" t="str">
        <f aca="false">IF(_PENDIENTES!$B$294&lt;&gt;"",_PENDIENTES!$K$294,"")</f>
        <v/>
      </c>
      <c r="M300" s="89" t="str">
        <f aca="false">IF(_PENDIENTES!$B$294&lt;&gt;"",_PENDIENTES!$B$294,"")</f>
        <v/>
      </c>
      <c r="N300" s="109" t="str">
        <f aca="false">IF(_PENDIENTES!$B$294&lt;&gt;"",_PENDIENTES!$L$294,"")</f>
        <v/>
      </c>
      <c r="O300" s="89"/>
      <c r="P300" s="89"/>
      <c r="Q300" s="89"/>
      <c r="R300" s="89"/>
      <c r="S300" s="89"/>
    </row>
    <row r="301" customFormat="false" ht="15.75" hidden="true" customHeight="true" outlineLevel="0" collapsed="false">
      <c r="A301" s="46" t="str">
        <f aca="false">IF(_PENDIENTES!$B$295&lt;&gt;"",294,"")</f>
        <v/>
      </c>
      <c r="B301" s="41" t="str">
        <f aca="false">IF(_PENDIENTES!$B$295&lt;&gt;"",_PENDIENTES!$A$295,"")</f>
        <v/>
      </c>
      <c r="C301" s="110" t="str">
        <f aca="false">IF(_PENDIENTES!$B$295&lt;&gt;"",_PENDIENTES!$C$295,"")</f>
        <v/>
      </c>
      <c r="D301" s="46" t="str">
        <f aca="false">IF(_PENDIENTES!$B$295&lt;&gt;"",_PENDIENTES!$D$295,"")</f>
        <v/>
      </c>
      <c r="E301" s="112" t="str">
        <f aca="false">IF(_PENDIENTES!$B$295&lt;&gt;"",_PENDIENTES!$E$295,"")</f>
        <v/>
      </c>
      <c r="F301" s="46" t="str">
        <f aca="false">IF(_PENDIENTES!$B$295&lt;&gt;"",_PENDIENTES!$F$295,"")</f>
        <v/>
      </c>
      <c r="G301" s="44" t="str">
        <f aca="false">IF(_PENDIENTES!$B$295&lt;&gt;"",_PENDIENTES!$G$295,"")</f>
        <v/>
      </c>
      <c r="H301" s="44" t="str">
        <f aca="false">IF(_PENDIENTES!$B$295&lt;&gt;"",_PENDIENTES!$H$295,"")</f>
        <v/>
      </c>
      <c r="I301" s="110" t="str">
        <f aca="false">IF(_PENDIENTES!$B$295&lt;&gt;"",_PENDIENTES!$I$295,"")</f>
        <v/>
      </c>
      <c r="J301" s="46" t="str">
        <f aca="false">IF(_PENDIENTES!$B$295&lt;&gt;"",_PENDIENTES!$J$295,"")</f>
        <v/>
      </c>
      <c r="K301" s="46" t="str">
        <f aca="false">IF(_PENDIENTES!$B$295&lt;&gt;"","POR RECOGER","")</f>
        <v/>
      </c>
      <c r="L301" s="46" t="str">
        <f aca="false">IF(_PENDIENTES!$B$295&lt;&gt;"",_PENDIENTES!$K$295,"")</f>
        <v/>
      </c>
      <c r="M301" s="89" t="str">
        <f aca="false">IF(_PENDIENTES!$B$295&lt;&gt;"",_PENDIENTES!$B$295,"")</f>
        <v/>
      </c>
      <c r="N301" s="109" t="str">
        <f aca="false">IF(_PENDIENTES!$B$295&lt;&gt;"",_PENDIENTES!$L$295,"")</f>
        <v/>
      </c>
      <c r="O301" s="89"/>
      <c r="P301" s="89"/>
      <c r="Q301" s="89"/>
      <c r="R301" s="89"/>
      <c r="S301" s="89"/>
    </row>
    <row r="302" customFormat="false" ht="15.75" hidden="true" customHeight="true" outlineLevel="0" collapsed="false">
      <c r="A302" s="106" t="str">
        <f aca="false">IF(_PENDIENTES!$B$296&lt;&gt;"",295,"")</f>
        <v/>
      </c>
      <c r="B302" s="47" t="str">
        <f aca="false">IF(_PENDIENTES!$B$296&lt;&gt;"",_PENDIENTES!$A$296,"")</f>
        <v/>
      </c>
      <c r="C302" s="107" t="str">
        <f aca="false">IF(_PENDIENTES!$B$296&lt;&gt;"",_PENDIENTES!$C$296,"")</f>
        <v/>
      </c>
      <c r="D302" s="106" t="str">
        <f aca="false">IF(_PENDIENTES!$B$296&lt;&gt;"",_PENDIENTES!$D$296,"")</f>
        <v/>
      </c>
      <c r="E302" s="111" t="str">
        <f aca="false">IF(_PENDIENTES!$B$296&lt;&gt;"",_PENDIENTES!$E$296,"")</f>
        <v/>
      </c>
      <c r="F302" s="106" t="str">
        <f aca="false">IF(_PENDIENTES!$B$296&lt;&gt;"",_PENDIENTES!$F$296,"")</f>
        <v/>
      </c>
      <c r="G302" s="50" t="str">
        <f aca="false">IF(_PENDIENTES!$B$296&lt;&gt;"",_PENDIENTES!$G$296,"")</f>
        <v/>
      </c>
      <c r="H302" s="50" t="str">
        <f aca="false">IF(_PENDIENTES!$B$296&lt;&gt;"",_PENDIENTES!$H$296,"")</f>
        <v/>
      </c>
      <c r="I302" s="107" t="str">
        <f aca="false">IF(_PENDIENTES!$B$296&lt;&gt;"",_PENDIENTES!$I$296,"")</f>
        <v/>
      </c>
      <c r="J302" s="106" t="str">
        <f aca="false">IF(_PENDIENTES!$B$296&lt;&gt;"",_PENDIENTES!$J$296,"")</f>
        <v/>
      </c>
      <c r="K302" s="106" t="str">
        <f aca="false">IF(_PENDIENTES!$B$296&lt;&gt;"","POR RECOGER","")</f>
        <v/>
      </c>
      <c r="L302" s="106" t="str">
        <f aca="false">IF(_PENDIENTES!$B$296&lt;&gt;"",_PENDIENTES!$K$296,"")</f>
        <v/>
      </c>
      <c r="M302" s="89" t="str">
        <f aca="false">IF(_PENDIENTES!$B$296&lt;&gt;"",_PENDIENTES!$B$296,"")</f>
        <v/>
      </c>
      <c r="N302" s="109" t="str">
        <f aca="false">IF(_PENDIENTES!$B$296&lt;&gt;"",_PENDIENTES!$L$296,"")</f>
        <v/>
      </c>
      <c r="O302" s="89"/>
      <c r="P302" s="89"/>
      <c r="Q302" s="89"/>
      <c r="R302" s="89"/>
      <c r="S302" s="89"/>
    </row>
    <row r="303" customFormat="false" ht="15.75" hidden="true" customHeight="true" outlineLevel="0" collapsed="false">
      <c r="A303" s="46" t="str">
        <f aca="false">IF(_PENDIENTES!$B$297&lt;&gt;"",296,"")</f>
        <v/>
      </c>
      <c r="B303" s="41" t="str">
        <f aca="false">IF(_PENDIENTES!$B$297&lt;&gt;"",_PENDIENTES!$A$297,"")</f>
        <v/>
      </c>
      <c r="C303" s="110" t="str">
        <f aca="false">IF(_PENDIENTES!$B$297&lt;&gt;"",_PENDIENTES!$C$297,"")</f>
        <v/>
      </c>
      <c r="D303" s="46" t="str">
        <f aca="false">IF(_PENDIENTES!$B$297&lt;&gt;"",_PENDIENTES!$D$297,"")</f>
        <v/>
      </c>
      <c r="E303" s="112" t="str">
        <f aca="false">IF(_PENDIENTES!$B$297&lt;&gt;"",_PENDIENTES!$E$297,"")</f>
        <v/>
      </c>
      <c r="F303" s="46" t="str">
        <f aca="false">IF(_PENDIENTES!$B$297&lt;&gt;"",_PENDIENTES!$F$297,"")</f>
        <v/>
      </c>
      <c r="G303" s="44" t="str">
        <f aca="false">IF(_PENDIENTES!$B$297&lt;&gt;"",_PENDIENTES!$G$297,"")</f>
        <v/>
      </c>
      <c r="H303" s="44" t="str">
        <f aca="false">IF(_PENDIENTES!$B$297&lt;&gt;"",_PENDIENTES!$H$297,"")</f>
        <v/>
      </c>
      <c r="I303" s="110" t="str">
        <f aca="false">IF(_PENDIENTES!$B$297&lt;&gt;"",_PENDIENTES!$I$297,"")</f>
        <v/>
      </c>
      <c r="J303" s="46" t="str">
        <f aca="false">IF(_PENDIENTES!$B$297&lt;&gt;"",_PENDIENTES!$J$297,"")</f>
        <v/>
      </c>
      <c r="K303" s="46" t="str">
        <f aca="false">IF(_PENDIENTES!$B$297&lt;&gt;"","POR RECOGER","")</f>
        <v/>
      </c>
      <c r="L303" s="46" t="str">
        <f aca="false">IF(_PENDIENTES!$B$297&lt;&gt;"",_PENDIENTES!$K$297,"")</f>
        <v/>
      </c>
      <c r="M303" s="89" t="str">
        <f aca="false">IF(_PENDIENTES!$B$297&lt;&gt;"",_PENDIENTES!$B$297,"")</f>
        <v/>
      </c>
      <c r="N303" s="109" t="str">
        <f aca="false">IF(_PENDIENTES!$B$297&lt;&gt;"",_PENDIENTES!$L$297,"")</f>
        <v/>
      </c>
      <c r="O303" s="89"/>
      <c r="P303" s="89"/>
      <c r="Q303" s="89"/>
      <c r="R303" s="89"/>
      <c r="S303" s="89"/>
    </row>
    <row r="304" customFormat="false" ht="15.75" hidden="true" customHeight="true" outlineLevel="0" collapsed="false">
      <c r="A304" s="106" t="str">
        <f aca="false">IF(_PENDIENTES!$B$298&lt;&gt;"",297,"")</f>
        <v/>
      </c>
      <c r="B304" s="47" t="str">
        <f aca="false">IF(_PENDIENTES!$B$298&lt;&gt;"",_PENDIENTES!$A$298,"")</f>
        <v/>
      </c>
      <c r="C304" s="107" t="str">
        <f aca="false">IF(_PENDIENTES!$B$298&lt;&gt;"",_PENDIENTES!$C$298,"")</f>
        <v/>
      </c>
      <c r="D304" s="106" t="str">
        <f aca="false">IF(_PENDIENTES!$B$298&lt;&gt;"",_PENDIENTES!$D$298,"")</f>
        <v/>
      </c>
      <c r="E304" s="111" t="str">
        <f aca="false">IF(_PENDIENTES!$B$298&lt;&gt;"",_PENDIENTES!$E$298,"")</f>
        <v/>
      </c>
      <c r="F304" s="106" t="str">
        <f aca="false">IF(_PENDIENTES!$B$298&lt;&gt;"",_PENDIENTES!$F$298,"")</f>
        <v/>
      </c>
      <c r="G304" s="50" t="str">
        <f aca="false">IF(_PENDIENTES!$B$298&lt;&gt;"",_PENDIENTES!$G$298,"")</f>
        <v/>
      </c>
      <c r="H304" s="50" t="str">
        <f aca="false">IF(_PENDIENTES!$B$298&lt;&gt;"",_PENDIENTES!$H$298,"")</f>
        <v/>
      </c>
      <c r="I304" s="107" t="str">
        <f aca="false">IF(_PENDIENTES!$B$298&lt;&gt;"",_PENDIENTES!$I$298,"")</f>
        <v/>
      </c>
      <c r="J304" s="106" t="str">
        <f aca="false">IF(_PENDIENTES!$B$298&lt;&gt;"",_PENDIENTES!$J$298,"")</f>
        <v/>
      </c>
      <c r="K304" s="106" t="str">
        <f aca="false">IF(_PENDIENTES!$B$298&lt;&gt;"","POR RECOGER","")</f>
        <v/>
      </c>
      <c r="L304" s="106" t="str">
        <f aca="false">IF(_PENDIENTES!$B$298&lt;&gt;"",_PENDIENTES!$K$298,"")</f>
        <v/>
      </c>
      <c r="M304" s="89" t="str">
        <f aca="false">IF(_PENDIENTES!$B$298&lt;&gt;"",_PENDIENTES!$B$298,"")</f>
        <v/>
      </c>
      <c r="N304" s="109" t="str">
        <f aca="false">IF(_PENDIENTES!$B$298&lt;&gt;"",_PENDIENTES!$L$298,"")</f>
        <v/>
      </c>
      <c r="O304" s="89"/>
      <c r="P304" s="89"/>
      <c r="Q304" s="89"/>
      <c r="R304" s="89"/>
      <c r="S304" s="89"/>
    </row>
    <row r="305" customFormat="false" ht="15.75" hidden="true" customHeight="true" outlineLevel="0" collapsed="false">
      <c r="A305" s="46" t="str">
        <f aca="false">IF(_PENDIENTES!$B$299&lt;&gt;"",298,"")</f>
        <v/>
      </c>
      <c r="B305" s="41" t="str">
        <f aca="false">IF(_PENDIENTES!$B$299&lt;&gt;"",_PENDIENTES!$A$299,"")</f>
        <v/>
      </c>
      <c r="C305" s="110" t="str">
        <f aca="false">IF(_PENDIENTES!$B$299&lt;&gt;"",_PENDIENTES!$C$299,"")</f>
        <v/>
      </c>
      <c r="D305" s="46" t="str">
        <f aca="false">IF(_PENDIENTES!$B$299&lt;&gt;"",_PENDIENTES!$D$299,"")</f>
        <v/>
      </c>
      <c r="E305" s="112" t="str">
        <f aca="false">IF(_PENDIENTES!$B$299&lt;&gt;"",_PENDIENTES!$E$299,"")</f>
        <v/>
      </c>
      <c r="F305" s="46" t="str">
        <f aca="false">IF(_PENDIENTES!$B$299&lt;&gt;"",_PENDIENTES!$F$299,"")</f>
        <v/>
      </c>
      <c r="G305" s="44" t="str">
        <f aca="false">IF(_PENDIENTES!$B$299&lt;&gt;"",_PENDIENTES!$G$299,"")</f>
        <v/>
      </c>
      <c r="H305" s="44" t="str">
        <f aca="false">IF(_PENDIENTES!$B$299&lt;&gt;"",_PENDIENTES!$H$299,"")</f>
        <v/>
      </c>
      <c r="I305" s="110" t="str">
        <f aca="false">IF(_PENDIENTES!$B$299&lt;&gt;"",_PENDIENTES!$I$299,"")</f>
        <v/>
      </c>
      <c r="J305" s="46" t="str">
        <f aca="false">IF(_PENDIENTES!$B$299&lt;&gt;"",_PENDIENTES!$J$299,"")</f>
        <v/>
      </c>
      <c r="K305" s="46" t="str">
        <f aca="false">IF(_PENDIENTES!$B$299&lt;&gt;"","POR RECOGER","")</f>
        <v/>
      </c>
      <c r="L305" s="46" t="str">
        <f aca="false">IF(_PENDIENTES!$B$299&lt;&gt;"",_PENDIENTES!$K$299,"")</f>
        <v/>
      </c>
      <c r="M305" s="89" t="str">
        <f aca="false">IF(_PENDIENTES!$B$299&lt;&gt;"",_PENDIENTES!$B$299,"")</f>
        <v/>
      </c>
      <c r="N305" s="109" t="str">
        <f aca="false">IF(_PENDIENTES!$B$299&lt;&gt;"",_PENDIENTES!$L$299,"")</f>
        <v/>
      </c>
      <c r="O305" s="89"/>
      <c r="P305" s="89"/>
      <c r="Q305" s="89"/>
      <c r="R305" s="89"/>
      <c r="S305" s="89"/>
    </row>
    <row r="306" customFormat="false" ht="15.75" hidden="true" customHeight="true" outlineLevel="0" collapsed="false">
      <c r="A306" s="106" t="str">
        <f aca="false">IF(_PENDIENTES!$B$300&lt;&gt;"",299,"")</f>
        <v/>
      </c>
      <c r="B306" s="47" t="str">
        <f aca="false">IF(_PENDIENTES!$B$300&lt;&gt;"",_PENDIENTES!$A$300,"")</f>
        <v/>
      </c>
      <c r="C306" s="107" t="str">
        <f aca="false">IF(_PENDIENTES!$B$300&lt;&gt;"",_PENDIENTES!$C$300,"")</f>
        <v/>
      </c>
      <c r="D306" s="106" t="str">
        <f aca="false">IF(_PENDIENTES!$B$300&lt;&gt;"",_PENDIENTES!$D$300,"")</f>
        <v/>
      </c>
      <c r="E306" s="111" t="str">
        <f aca="false">IF(_PENDIENTES!$B$300&lt;&gt;"",_PENDIENTES!$E$300,"")</f>
        <v/>
      </c>
      <c r="F306" s="106" t="str">
        <f aca="false">IF(_PENDIENTES!$B$300&lt;&gt;"",_PENDIENTES!$F$300,"")</f>
        <v/>
      </c>
      <c r="G306" s="50" t="str">
        <f aca="false">IF(_PENDIENTES!$B$300&lt;&gt;"",_PENDIENTES!$G$300,"")</f>
        <v/>
      </c>
      <c r="H306" s="50" t="str">
        <f aca="false">IF(_PENDIENTES!$B$300&lt;&gt;"",_PENDIENTES!$H$300,"")</f>
        <v/>
      </c>
      <c r="I306" s="107" t="str">
        <f aca="false">IF(_PENDIENTES!$B$300&lt;&gt;"",_PENDIENTES!$I$300,"")</f>
        <v/>
      </c>
      <c r="J306" s="106" t="str">
        <f aca="false">IF(_PENDIENTES!$B$300&lt;&gt;"",_PENDIENTES!$J$300,"")</f>
        <v/>
      </c>
      <c r="K306" s="106" t="str">
        <f aca="false">IF(_PENDIENTES!$B$300&lt;&gt;"","POR RECOGER","")</f>
        <v/>
      </c>
      <c r="L306" s="106" t="str">
        <f aca="false">IF(_PENDIENTES!$B$300&lt;&gt;"",_PENDIENTES!$K$300,"")</f>
        <v/>
      </c>
      <c r="M306" s="89" t="str">
        <f aca="false">IF(_PENDIENTES!$B$300&lt;&gt;"",_PENDIENTES!$B$300,"")</f>
        <v/>
      </c>
      <c r="N306" s="109" t="str">
        <f aca="false">IF(_PENDIENTES!$B$300&lt;&gt;"",_PENDIENTES!$L$300,"")</f>
        <v/>
      </c>
      <c r="O306" s="89"/>
      <c r="P306" s="89"/>
      <c r="Q306" s="89"/>
      <c r="R306" s="89"/>
      <c r="S306" s="89"/>
    </row>
    <row r="307" customFormat="false" ht="15.75" hidden="true" customHeight="true" outlineLevel="0" collapsed="false">
      <c r="A307" s="46" t="str">
        <f aca="false">IF(_PENDIENTES!$B$301&lt;&gt;"",300,"")</f>
        <v/>
      </c>
      <c r="B307" s="41" t="str">
        <f aca="false">IF(_PENDIENTES!$B$301&lt;&gt;"",_PENDIENTES!$A$301,"")</f>
        <v/>
      </c>
      <c r="C307" s="110" t="str">
        <f aca="false">IF(_PENDIENTES!$B$301&lt;&gt;"",_PENDIENTES!$C$301,"")</f>
        <v/>
      </c>
      <c r="D307" s="46" t="str">
        <f aca="false">IF(_PENDIENTES!$B$301&lt;&gt;"",_PENDIENTES!$D$301,"")</f>
        <v/>
      </c>
      <c r="E307" s="112" t="str">
        <f aca="false">IF(_PENDIENTES!$B$301&lt;&gt;"",_PENDIENTES!$E$301,"")</f>
        <v/>
      </c>
      <c r="F307" s="46" t="str">
        <f aca="false">IF(_PENDIENTES!$B$301&lt;&gt;"",_PENDIENTES!$F$301,"")</f>
        <v/>
      </c>
      <c r="G307" s="44" t="str">
        <f aca="false">IF(_PENDIENTES!$B$301&lt;&gt;"",_PENDIENTES!$G$301,"")</f>
        <v/>
      </c>
      <c r="H307" s="44" t="str">
        <f aca="false">IF(_PENDIENTES!$B$301&lt;&gt;"",_PENDIENTES!$H$301,"")</f>
        <v/>
      </c>
      <c r="I307" s="110" t="str">
        <f aca="false">IF(_PENDIENTES!$B$301&lt;&gt;"",_PENDIENTES!$I$301,"")</f>
        <v/>
      </c>
      <c r="J307" s="46" t="str">
        <f aca="false">IF(_PENDIENTES!$B$301&lt;&gt;"",_PENDIENTES!$J$301,"")</f>
        <v/>
      </c>
      <c r="K307" s="46" t="str">
        <f aca="false">IF(_PENDIENTES!$B$301&lt;&gt;"","POR RECOGER","")</f>
        <v/>
      </c>
      <c r="L307" s="46" t="str">
        <f aca="false">IF(_PENDIENTES!$B$301&lt;&gt;"",_PENDIENTES!$K$301,"")</f>
        <v/>
      </c>
      <c r="M307" s="89" t="str">
        <f aca="false">IF(_PENDIENTES!$B$301&lt;&gt;"",_PENDIENTES!$B$301,"")</f>
        <v/>
      </c>
      <c r="N307" s="109" t="str">
        <f aca="false">IF(_PENDIENTES!$B$301&lt;&gt;"",_PENDIENTES!$L$301,"")</f>
        <v/>
      </c>
      <c r="O307" s="89"/>
      <c r="P307" s="89"/>
      <c r="Q307" s="89"/>
      <c r="R307" s="89"/>
      <c r="S307" s="89"/>
    </row>
    <row r="308" customFormat="false" ht="15.75" hidden="true" customHeight="true" outlineLevel="0" collapsed="false">
      <c r="A308" s="106" t="str">
        <f aca="false">IF(_PENDIENTES!$B$302&lt;&gt;"",301,"")</f>
        <v/>
      </c>
      <c r="B308" s="47" t="str">
        <f aca="false">IF(_PENDIENTES!$B$302&lt;&gt;"",_PENDIENTES!$A$302,"")</f>
        <v/>
      </c>
      <c r="C308" s="107" t="str">
        <f aca="false">IF(_PENDIENTES!$B$302&lt;&gt;"",_PENDIENTES!$C$302,"")</f>
        <v/>
      </c>
      <c r="D308" s="106" t="str">
        <f aca="false">IF(_PENDIENTES!$B$302&lt;&gt;"",_PENDIENTES!$D$302,"")</f>
        <v/>
      </c>
      <c r="E308" s="111" t="str">
        <f aca="false">IF(_PENDIENTES!$B$302&lt;&gt;"",_PENDIENTES!$E$302,"")</f>
        <v/>
      </c>
      <c r="F308" s="106" t="str">
        <f aca="false">IF(_PENDIENTES!$B$302&lt;&gt;"",_PENDIENTES!$F$302,"")</f>
        <v/>
      </c>
      <c r="G308" s="50" t="str">
        <f aca="false">IF(_PENDIENTES!$B$302&lt;&gt;"",_PENDIENTES!$G$302,"")</f>
        <v/>
      </c>
      <c r="H308" s="50" t="str">
        <f aca="false">IF(_PENDIENTES!$B$302&lt;&gt;"",_PENDIENTES!$H$302,"")</f>
        <v/>
      </c>
      <c r="I308" s="107" t="str">
        <f aca="false">IF(_PENDIENTES!$B$302&lt;&gt;"",_PENDIENTES!$I$302,"")</f>
        <v/>
      </c>
      <c r="J308" s="106" t="str">
        <f aca="false">IF(_PENDIENTES!$B$302&lt;&gt;"",_PENDIENTES!$J$302,"")</f>
        <v/>
      </c>
      <c r="K308" s="106" t="str">
        <f aca="false">IF(_PENDIENTES!$B$302&lt;&gt;"","POR RECOGER","")</f>
        <v/>
      </c>
      <c r="L308" s="106" t="str">
        <f aca="false">IF(_PENDIENTES!$B$302&lt;&gt;"",_PENDIENTES!$K$302,"")</f>
        <v/>
      </c>
      <c r="M308" s="89" t="str">
        <f aca="false">IF(_PENDIENTES!$B$302&lt;&gt;"",_PENDIENTES!$B$302,"")</f>
        <v/>
      </c>
      <c r="N308" s="109" t="str">
        <f aca="false">IF(_PENDIENTES!$B$302&lt;&gt;"",_PENDIENTES!$L$302,"")</f>
        <v/>
      </c>
      <c r="O308" s="89"/>
      <c r="P308" s="89"/>
      <c r="Q308" s="89"/>
      <c r="R308" s="89"/>
      <c r="S308" s="89"/>
    </row>
    <row r="309" customFormat="false" ht="15.75" hidden="true" customHeight="true" outlineLevel="0" collapsed="false">
      <c r="A309" s="46" t="str">
        <f aca="false">IF(_PENDIENTES!$B$303&lt;&gt;"",302,"")</f>
        <v/>
      </c>
      <c r="B309" s="41" t="str">
        <f aca="false">IF(_PENDIENTES!$B$303&lt;&gt;"",_PENDIENTES!$A$303,"")</f>
        <v/>
      </c>
      <c r="C309" s="110" t="str">
        <f aca="false">IF(_PENDIENTES!$B$303&lt;&gt;"",_PENDIENTES!$C$303,"")</f>
        <v/>
      </c>
      <c r="D309" s="46" t="str">
        <f aca="false">IF(_PENDIENTES!$B$303&lt;&gt;"",_PENDIENTES!$D$303,"")</f>
        <v/>
      </c>
      <c r="E309" s="112" t="str">
        <f aca="false">IF(_PENDIENTES!$B$303&lt;&gt;"",_PENDIENTES!$E$303,"")</f>
        <v/>
      </c>
      <c r="F309" s="46" t="str">
        <f aca="false">IF(_PENDIENTES!$B$303&lt;&gt;"",_PENDIENTES!$F$303,"")</f>
        <v/>
      </c>
      <c r="G309" s="44" t="str">
        <f aca="false">IF(_PENDIENTES!$B$303&lt;&gt;"",_PENDIENTES!$G$303,"")</f>
        <v/>
      </c>
      <c r="H309" s="44" t="str">
        <f aca="false">IF(_PENDIENTES!$B$303&lt;&gt;"",_PENDIENTES!$H$303,"")</f>
        <v/>
      </c>
      <c r="I309" s="110" t="str">
        <f aca="false">IF(_PENDIENTES!$B$303&lt;&gt;"",_PENDIENTES!$I$303,"")</f>
        <v/>
      </c>
      <c r="J309" s="46" t="str">
        <f aca="false">IF(_PENDIENTES!$B$303&lt;&gt;"",_PENDIENTES!$J$303,"")</f>
        <v/>
      </c>
      <c r="K309" s="46" t="str">
        <f aca="false">IF(_PENDIENTES!$B$303&lt;&gt;"","POR RECOGER","")</f>
        <v/>
      </c>
      <c r="L309" s="46" t="str">
        <f aca="false">IF(_PENDIENTES!$B$303&lt;&gt;"",_PENDIENTES!$K$303,"")</f>
        <v/>
      </c>
      <c r="M309" s="89" t="str">
        <f aca="false">IF(_PENDIENTES!$B$303&lt;&gt;"",_PENDIENTES!$B$303,"")</f>
        <v/>
      </c>
      <c r="N309" s="109" t="str">
        <f aca="false">IF(_PENDIENTES!$B$303&lt;&gt;"",_PENDIENTES!$L$303,"")</f>
        <v/>
      </c>
      <c r="O309" s="89"/>
      <c r="P309" s="89"/>
      <c r="Q309" s="89"/>
      <c r="R309" s="89"/>
      <c r="S309" s="89"/>
    </row>
    <row r="310" customFormat="false" ht="15.75" hidden="true" customHeight="true" outlineLevel="0" collapsed="false">
      <c r="A310" s="106" t="str">
        <f aca="false">IF(_PENDIENTES!$B$304&lt;&gt;"",303,"")</f>
        <v/>
      </c>
      <c r="B310" s="47" t="str">
        <f aca="false">IF(_PENDIENTES!$B$304&lt;&gt;"",_PENDIENTES!$A$304,"")</f>
        <v/>
      </c>
      <c r="C310" s="107" t="str">
        <f aca="false">IF(_PENDIENTES!$B$304&lt;&gt;"",_PENDIENTES!$C$304,"")</f>
        <v/>
      </c>
      <c r="D310" s="106" t="str">
        <f aca="false">IF(_PENDIENTES!$B$304&lt;&gt;"",_PENDIENTES!$D$304,"")</f>
        <v/>
      </c>
      <c r="E310" s="111" t="str">
        <f aca="false">IF(_PENDIENTES!$B$304&lt;&gt;"",_PENDIENTES!$E$304,"")</f>
        <v/>
      </c>
      <c r="F310" s="106" t="str">
        <f aca="false">IF(_PENDIENTES!$B$304&lt;&gt;"",_PENDIENTES!$F$304,"")</f>
        <v/>
      </c>
      <c r="G310" s="50" t="str">
        <f aca="false">IF(_PENDIENTES!$B$304&lt;&gt;"",_PENDIENTES!$G$304,"")</f>
        <v/>
      </c>
      <c r="H310" s="50" t="str">
        <f aca="false">IF(_PENDIENTES!$B$304&lt;&gt;"",_PENDIENTES!$H$304,"")</f>
        <v/>
      </c>
      <c r="I310" s="107" t="str">
        <f aca="false">IF(_PENDIENTES!$B$304&lt;&gt;"",_PENDIENTES!$I$304,"")</f>
        <v/>
      </c>
      <c r="J310" s="106" t="str">
        <f aca="false">IF(_PENDIENTES!$B$304&lt;&gt;"",_PENDIENTES!$J$304,"")</f>
        <v/>
      </c>
      <c r="K310" s="106" t="str">
        <f aca="false">IF(_PENDIENTES!$B$304&lt;&gt;"","POR RECOGER","")</f>
        <v/>
      </c>
      <c r="L310" s="106" t="str">
        <f aca="false">IF(_PENDIENTES!$B$304&lt;&gt;"",_PENDIENTES!$K$304,"")</f>
        <v/>
      </c>
      <c r="M310" s="89" t="str">
        <f aca="false">IF(_PENDIENTES!$B$304&lt;&gt;"",_PENDIENTES!$B$304,"")</f>
        <v/>
      </c>
      <c r="N310" s="109" t="str">
        <f aca="false">IF(_PENDIENTES!$B$304&lt;&gt;"",_PENDIENTES!$L$304,"")</f>
        <v/>
      </c>
      <c r="O310" s="89"/>
      <c r="P310" s="89"/>
      <c r="Q310" s="89"/>
      <c r="R310" s="89"/>
      <c r="S310" s="89"/>
    </row>
    <row r="311" customFormat="false" ht="15.75" hidden="true" customHeight="true" outlineLevel="0" collapsed="false">
      <c r="A311" s="46" t="str">
        <f aca="false">IF(_PENDIENTES!$B$305&lt;&gt;"",304,"")</f>
        <v/>
      </c>
      <c r="B311" s="41" t="str">
        <f aca="false">IF(_PENDIENTES!$B$305&lt;&gt;"",_PENDIENTES!$A$305,"")</f>
        <v/>
      </c>
      <c r="C311" s="110" t="str">
        <f aca="false">IF(_PENDIENTES!$B$305&lt;&gt;"",_PENDIENTES!$C$305,"")</f>
        <v/>
      </c>
      <c r="D311" s="46" t="str">
        <f aca="false">IF(_PENDIENTES!$B$305&lt;&gt;"",_PENDIENTES!$D$305,"")</f>
        <v/>
      </c>
      <c r="E311" s="112" t="str">
        <f aca="false">IF(_PENDIENTES!$B$305&lt;&gt;"",_PENDIENTES!$E$305,"")</f>
        <v/>
      </c>
      <c r="F311" s="46" t="str">
        <f aca="false">IF(_PENDIENTES!$B$305&lt;&gt;"",_PENDIENTES!$F$305,"")</f>
        <v/>
      </c>
      <c r="G311" s="44" t="str">
        <f aca="false">IF(_PENDIENTES!$B$305&lt;&gt;"",_PENDIENTES!$G$305,"")</f>
        <v/>
      </c>
      <c r="H311" s="44" t="str">
        <f aca="false">IF(_PENDIENTES!$B$305&lt;&gt;"",_PENDIENTES!$H$305,"")</f>
        <v/>
      </c>
      <c r="I311" s="110" t="str">
        <f aca="false">IF(_PENDIENTES!$B$305&lt;&gt;"",_PENDIENTES!$I$305,"")</f>
        <v/>
      </c>
      <c r="J311" s="46" t="str">
        <f aca="false">IF(_PENDIENTES!$B$305&lt;&gt;"",_PENDIENTES!$J$305,"")</f>
        <v/>
      </c>
      <c r="K311" s="46" t="str">
        <f aca="false">IF(_PENDIENTES!$B$305&lt;&gt;"","POR RECOGER","")</f>
        <v/>
      </c>
      <c r="L311" s="46" t="str">
        <f aca="false">IF(_PENDIENTES!$B$305&lt;&gt;"",_PENDIENTES!$K$305,"")</f>
        <v/>
      </c>
      <c r="M311" s="89" t="str">
        <f aca="false">IF(_PENDIENTES!$B$305&lt;&gt;"",_PENDIENTES!$B$305,"")</f>
        <v/>
      </c>
      <c r="N311" s="109" t="str">
        <f aca="false">IF(_PENDIENTES!$B$305&lt;&gt;"",_PENDIENTES!$L$305,"")</f>
        <v/>
      </c>
      <c r="O311" s="89"/>
      <c r="P311" s="89"/>
      <c r="Q311" s="89"/>
      <c r="R311" s="89"/>
      <c r="S311" s="89"/>
    </row>
    <row r="312" customFormat="false" ht="15.75" hidden="true" customHeight="true" outlineLevel="0" collapsed="false">
      <c r="A312" s="106" t="str">
        <f aca="false">IF(_PENDIENTES!$B$306&lt;&gt;"",305,"")</f>
        <v/>
      </c>
      <c r="B312" s="47" t="str">
        <f aca="false">IF(_PENDIENTES!$B$306&lt;&gt;"",_PENDIENTES!$A$306,"")</f>
        <v/>
      </c>
      <c r="C312" s="107" t="str">
        <f aca="false">IF(_PENDIENTES!$B$306&lt;&gt;"",_PENDIENTES!$C$306,"")</f>
        <v/>
      </c>
      <c r="D312" s="106" t="str">
        <f aca="false">IF(_PENDIENTES!$B$306&lt;&gt;"",_PENDIENTES!$D$306,"")</f>
        <v/>
      </c>
      <c r="E312" s="111" t="str">
        <f aca="false">IF(_PENDIENTES!$B$306&lt;&gt;"",_PENDIENTES!$E$306,"")</f>
        <v/>
      </c>
      <c r="F312" s="106" t="str">
        <f aca="false">IF(_PENDIENTES!$B$306&lt;&gt;"",_PENDIENTES!$F$306,"")</f>
        <v/>
      </c>
      <c r="G312" s="50" t="str">
        <f aca="false">IF(_PENDIENTES!$B$306&lt;&gt;"",_PENDIENTES!$G$306,"")</f>
        <v/>
      </c>
      <c r="H312" s="50" t="str">
        <f aca="false">IF(_PENDIENTES!$B$306&lt;&gt;"",_PENDIENTES!$H$306,"")</f>
        <v/>
      </c>
      <c r="I312" s="107" t="str">
        <f aca="false">IF(_PENDIENTES!$B$306&lt;&gt;"",_PENDIENTES!$I$306,"")</f>
        <v/>
      </c>
      <c r="J312" s="106" t="str">
        <f aca="false">IF(_PENDIENTES!$B$306&lt;&gt;"",_PENDIENTES!$J$306,"")</f>
        <v/>
      </c>
      <c r="K312" s="106" t="str">
        <f aca="false">IF(_PENDIENTES!$B$306&lt;&gt;"","POR RECOGER","")</f>
        <v/>
      </c>
      <c r="L312" s="106" t="str">
        <f aca="false">IF(_PENDIENTES!$B$306&lt;&gt;"",_PENDIENTES!$K$306,"")</f>
        <v/>
      </c>
      <c r="M312" s="89" t="str">
        <f aca="false">IF(_PENDIENTES!$B$306&lt;&gt;"",_PENDIENTES!$B$306,"")</f>
        <v/>
      </c>
      <c r="N312" s="109" t="str">
        <f aca="false">IF(_PENDIENTES!$B$306&lt;&gt;"",_PENDIENTES!$L$306,"")</f>
        <v/>
      </c>
      <c r="O312" s="89"/>
      <c r="P312" s="89"/>
      <c r="Q312" s="89"/>
      <c r="R312" s="89"/>
      <c r="S312" s="89"/>
    </row>
    <row r="313" customFormat="false" ht="15.75" hidden="true" customHeight="true" outlineLevel="0" collapsed="false">
      <c r="A313" s="46" t="str">
        <f aca="false">IF(_PENDIENTES!$B$307&lt;&gt;"",306,"")</f>
        <v/>
      </c>
      <c r="B313" s="41" t="str">
        <f aca="false">IF(_PENDIENTES!$B$307&lt;&gt;"",_PENDIENTES!$A$307,"")</f>
        <v/>
      </c>
      <c r="C313" s="110" t="str">
        <f aca="false">IF(_PENDIENTES!$B$307&lt;&gt;"",_PENDIENTES!$C$307,"")</f>
        <v/>
      </c>
      <c r="D313" s="46" t="str">
        <f aca="false">IF(_PENDIENTES!$B$307&lt;&gt;"",_PENDIENTES!$D$307,"")</f>
        <v/>
      </c>
      <c r="E313" s="112" t="str">
        <f aca="false">IF(_PENDIENTES!$B$307&lt;&gt;"",_PENDIENTES!$E$307,"")</f>
        <v/>
      </c>
      <c r="F313" s="46" t="str">
        <f aca="false">IF(_PENDIENTES!$B$307&lt;&gt;"",_PENDIENTES!$F$307,"")</f>
        <v/>
      </c>
      <c r="G313" s="44" t="str">
        <f aca="false">IF(_PENDIENTES!$B$307&lt;&gt;"",_PENDIENTES!$G$307,"")</f>
        <v/>
      </c>
      <c r="H313" s="44" t="str">
        <f aca="false">IF(_PENDIENTES!$B$307&lt;&gt;"",_PENDIENTES!$H$307,"")</f>
        <v/>
      </c>
      <c r="I313" s="110" t="str">
        <f aca="false">IF(_PENDIENTES!$B$307&lt;&gt;"",_PENDIENTES!$I$307,"")</f>
        <v/>
      </c>
      <c r="J313" s="46" t="str">
        <f aca="false">IF(_PENDIENTES!$B$307&lt;&gt;"",_PENDIENTES!$J$307,"")</f>
        <v/>
      </c>
      <c r="K313" s="46" t="str">
        <f aca="false">IF(_PENDIENTES!$B$307&lt;&gt;"","POR RECOGER","")</f>
        <v/>
      </c>
      <c r="L313" s="46" t="str">
        <f aca="false">IF(_PENDIENTES!$B$307&lt;&gt;"",_PENDIENTES!$K$307,"")</f>
        <v/>
      </c>
      <c r="M313" s="89" t="str">
        <f aca="false">IF(_PENDIENTES!$B$307&lt;&gt;"",_PENDIENTES!$B$307,"")</f>
        <v/>
      </c>
      <c r="N313" s="109" t="str">
        <f aca="false">IF(_PENDIENTES!$B$307&lt;&gt;"",_PENDIENTES!$L$307,"")</f>
        <v/>
      </c>
      <c r="O313" s="89"/>
      <c r="P313" s="89"/>
      <c r="Q313" s="89"/>
      <c r="R313" s="89"/>
      <c r="S313" s="89"/>
    </row>
    <row r="314" customFormat="false" ht="15.75" hidden="true" customHeight="true" outlineLevel="0" collapsed="false">
      <c r="A314" s="106" t="str">
        <f aca="false">IF(_PENDIENTES!$B$308&lt;&gt;"",307,"")</f>
        <v/>
      </c>
      <c r="B314" s="47" t="str">
        <f aca="false">IF(_PENDIENTES!$B$308&lt;&gt;"",_PENDIENTES!$A$308,"")</f>
        <v/>
      </c>
      <c r="C314" s="107" t="str">
        <f aca="false">IF(_PENDIENTES!$B$308&lt;&gt;"",_PENDIENTES!$C$308,"")</f>
        <v/>
      </c>
      <c r="D314" s="106" t="str">
        <f aca="false">IF(_PENDIENTES!$B$308&lt;&gt;"",_PENDIENTES!$D$308,"")</f>
        <v/>
      </c>
      <c r="E314" s="111" t="str">
        <f aca="false">IF(_PENDIENTES!$B$308&lt;&gt;"",_PENDIENTES!$E$308,"")</f>
        <v/>
      </c>
      <c r="F314" s="106" t="str">
        <f aca="false">IF(_PENDIENTES!$B$308&lt;&gt;"",_PENDIENTES!$F$308,"")</f>
        <v/>
      </c>
      <c r="G314" s="50" t="str">
        <f aca="false">IF(_PENDIENTES!$B$308&lt;&gt;"",_PENDIENTES!$G$308,"")</f>
        <v/>
      </c>
      <c r="H314" s="50" t="str">
        <f aca="false">IF(_PENDIENTES!$B$308&lt;&gt;"",_PENDIENTES!$H$308,"")</f>
        <v/>
      </c>
      <c r="I314" s="107" t="str">
        <f aca="false">IF(_PENDIENTES!$B$308&lt;&gt;"",_PENDIENTES!$I$308,"")</f>
        <v/>
      </c>
      <c r="J314" s="106" t="str">
        <f aca="false">IF(_PENDIENTES!$B$308&lt;&gt;"",_PENDIENTES!$J$308,"")</f>
        <v/>
      </c>
      <c r="K314" s="106" t="str">
        <f aca="false">IF(_PENDIENTES!$B$308&lt;&gt;"","POR RECOGER","")</f>
        <v/>
      </c>
      <c r="L314" s="106" t="str">
        <f aca="false">IF(_PENDIENTES!$B$308&lt;&gt;"",_PENDIENTES!$K$308,"")</f>
        <v/>
      </c>
      <c r="M314" s="89" t="str">
        <f aca="false">IF(_PENDIENTES!$B$308&lt;&gt;"",_PENDIENTES!$B$308,"")</f>
        <v/>
      </c>
      <c r="N314" s="109" t="str">
        <f aca="false">IF(_PENDIENTES!$B$308&lt;&gt;"",_PENDIENTES!$L$308,"")</f>
        <v/>
      </c>
      <c r="O314" s="89"/>
      <c r="P314" s="89"/>
      <c r="Q314" s="89"/>
      <c r="R314" s="89"/>
      <c r="S314" s="89"/>
    </row>
    <row r="315" customFormat="false" ht="15.75" hidden="true" customHeight="true" outlineLevel="0" collapsed="false">
      <c r="A315" s="46" t="str">
        <f aca="false">IF(_PENDIENTES!$B$309&lt;&gt;"",308,"")</f>
        <v/>
      </c>
      <c r="B315" s="41" t="str">
        <f aca="false">IF(_PENDIENTES!$B$309&lt;&gt;"",_PENDIENTES!$A$309,"")</f>
        <v/>
      </c>
      <c r="C315" s="110" t="str">
        <f aca="false">IF(_PENDIENTES!$B$309&lt;&gt;"",_PENDIENTES!$C$309,"")</f>
        <v/>
      </c>
      <c r="D315" s="46" t="str">
        <f aca="false">IF(_PENDIENTES!$B$309&lt;&gt;"",_PENDIENTES!$D$309,"")</f>
        <v/>
      </c>
      <c r="E315" s="112" t="str">
        <f aca="false">IF(_PENDIENTES!$B$309&lt;&gt;"",_PENDIENTES!$E$309,"")</f>
        <v/>
      </c>
      <c r="F315" s="46" t="str">
        <f aca="false">IF(_PENDIENTES!$B$309&lt;&gt;"",_PENDIENTES!$F$309,"")</f>
        <v/>
      </c>
      <c r="G315" s="44" t="str">
        <f aca="false">IF(_PENDIENTES!$B$309&lt;&gt;"",_PENDIENTES!$G$309,"")</f>
        <v/>
      </c>
      <c r="H315" s="44" t="str">
        <f aca="false">IF(_PENDIENTES!$B$309&lt;&gt;"",_PENDIENTES!$H$309,"")</f>
        <v/>
      </c>
      <c r="I315" s="110" t="str">
        <f aca="false">IF(_PENDIENTES!$B$309&lt;&gt;"",_PENDIENTES!$I$309,"")</f>
        <v/>
      </c>
      <c r="J315" s="46" t="str">
        <f aca="false">IF(_PENDIENTES!$B$309&lt;&gt;"",_PENDIENTES!$J$309,"")</f>
        <v/>
      </c>
      <c r="K315" s="46" t="str">
        <f aca="false">IF(_PENDIENTES!$B$309&lt;&gt;"","POR RECOGER","")</f>
        <v/>
      </c>
      <c r="L315" s="46" t="str">
        <f aca="false">IF(_PENDIENTES!$B$309&lt;&gt;"",_PENDIENTES!$K$309,"")</f>
        <v/>
      </c>
      <c r="M315" s="89" t="str">
        <f aca="false">IF(_PENDIENTES!$B$309&lt;&gt;"",_PENDIENTES!$B$309,"")</f>
        <v/>
      </c>
      <c r="N315" s="109" t="str">
        <f aca="false">IF(_PENDIENTES!$B$309&lt;&gt;"",_PENDIENTES!$L$309,"")</f>
        <v/>
      </c>
      <c r="O315" s="89"/>
      <c r="P315" s="89"/>
      <c r="Q315" s="89"/>
      <c r="R315" s="89"/>
      <c r="S315" s="89"/>
    </row>
    <row r="316" customFormat="false" ht="15.75" hidden="true" customHeight="true" outlineLevel="0" collapsed="false">
      <c r="A316" s="106" t="str">
        <f aca="false">IF(_PENDIENTES!$B$310&lt;&gt;"",309,"")</f>
        <v/>
      </c>
      <c r="B316" s="47" t="str">
        <f aca="false">IF(_PENDIENTES!$B$310&lt;&gt;"",_PENDIENTES!$A$310,"")</f>
        <v/>
      </c>
      <c r="C316" s="107" t="str">
        <f aca="false">IF(_PENDIENTES!$B$310&lt;&gt;"",_PENDIENTES!$C$310,"")</f>
        <v/>
      </c>
      <c r="D316" s="106" t="str">
        <f aca="false">IF(_PENDIENTES!$B$310&lt;&gt;"",_PENDIENTES!$D$310,"")</f>
        <v/>
      </c>
      <c r="E316" s="111" t="str">
        <f aca="false">IF(_PENDIENTES!$B$310&lt;&gt;"",_PENDIENTES!$E$310,"")</f>
        <v/>
      </c>
      <c r="F316" s="106" t="str">
        <f aca="false">IF(_PENDIENTES!$B$310&lt;&gt;"",_PENDIENTES!$F$310,"")</f>
        <v/>
      </c>
      <c r="G316" s="50" t="str">
        <f aca="false">IF(_PENDIENTES!$B$310&lt;&gt;"",_PENDIENTES!$G$310,"")</f>
        <v/>
      </c>
      <c r="H316" s="50" t="str">
        <f aca="false">IF(_PENDIENTES!$B$310&lt;&gt;"",_PENDIENTES!$H$310,"")</f>
        <v/>
      </c>
      <c r="I316" s="107" t="str">
        <f aca="false">IF(_PENDIENTES!$B$310&lt;&gt;"",_PENDIENTES!$I$310,"")</f>
        <v/>
      </c>
      <c r="J316" s="106" t="str">
        <f aca="false">IF(_PENDIENTES!$B$310&lt;&gt;"",_PENDIENTES!$J$310,"")</f>
        <v/>
      </c>
      <c r="K316" s="106" t="str">
        <f aca="false">IF(_PENDIENTES!$B$310&lt;&gt;"","POR RECOGER","")</f>
        <v/>
      </c>
      <c r="L316" s="106" t="str">
        <f aca="false">IF(_PENDIENTES!$B$310&lt;&gt;"",_PENDIENTES!$K$310,"")</f>
        <v/>
      </c>
      <c r="M316" s="89" t="str">
        <f aca="false">IF(_PENDIENTES!$B$310&lt;&gt;"",_PENDIENTES!$B$310,"")</f>
        <v/>
      </c>
      <c r="N316" s="109" t="str">
        <f aca="false">IF(_PENDIENTES!$B$310&lt;&gt;"",_PENDIENTES!$L$310,"")</f>
        <v/>
      </c>
      <c r="O316" s="89"/>
      <c r="P316" s="89"/>
      <c r="Q316" s="89"/>
      <c r="R316" s="89"/>
      <c r="S316" s="89"/>
    </row>
    <row r="317" customFormat="false" ht="15.75" hidden="true" customHeight="true" outlineLevel="0" collapsed="false">
      <c r="A317" s="46" t="str">
        <f aca="false">IF(_PENDIENTES!$B$311&lt;&gt;"",310,"")</f>
        <v/>
      </c>
      <c r="B317" s="41" t="str">
        <f aca="false">IF(_PENDIENTES!$B$311&lt;&gt;"",_PENDIENTES!$A$311,"")</f>
        <v/>
      </c>
      <c r="C317" s="110" t="str">
        <f aca="false">IF(_PENDIENTES!$B$311&lt;&gt;"",_PENDIENTES!$C$311,"")</f>
        <v/>
      </c>
      <c r="D317" s="46" t="str">
        <f aca="false">IF(_PENDIENTES!$B$311&lt;&gt;"",_PENDIENTES!$D$311,"")</f>
        <v/>
      </c>
      <c r="E317" s="112" t="str">
        <f aca="false">IF(_PENDIENTES!$B$311&lt;&gt;"",_PENDIENTES!$E$311,"")</f>
        <v/>
      </c>
      <c r="F317" s="46" t="str">
        <f aca="false">IF(_PENDIENTES!$B$311&lt;&gt;"",_PENDIENTES!$F$311,"")</f>
        <v/>
      </c>
      <c r="G317" s="44" t="str">
        <f aca="false">IF(_PENDIENTES!$B$311&lt;&gt;"",_PENDIENTES!$G$311,"")</f>
        <v/>
      </c>
      <c r="H317" s="44" t="str">
        <f aca="false">IF(_PENDIENTES!$B$311&lt;&gt;"",_PENDIENTES!$H$311,"")</f>
        <v/>
      </c>
      <c r="I317" s="110" t="str">
        <f aca="false">IF(_PENDIENTES!$B$311&lt;&gt;"",_PENDIENTES!$I$311,"")</f>
        <v/>
      </c>
      <c r="J317" s="46" t="str">
        <f aca="false">IF(_PENDIENTES!$B$311&lt;&gt;"",_PENDIENTES!$J$311,"")</f>
        <v/>
      </c>
      <c r="K317" s="46" t="str">
        <f aca="false">IF(_PENDIENTES!$B$311&lt;&gt;"","POR RECOGER","")</f>
        <v/>
      </c>
      <c r="L317" s="46" t="str">
        <f aca="false">IF(_PENDIENTES!$B$311&lt;&gt;"",_PENDIENTES!$K$311,"")</f>
        <v/>
      </c>
      <c r="M317" s="89" t="str">
        <f aca="false">IF(_PENDIENTES!$B$311&lt;&gt;"",_PENDIENTES!$B$311,"")</f>
        <v/>
      </c>
      <c r="N317" s="109" t="str">
        <f aca="false">IF(_PENDIENTES!$B$311&lt;&gt;"",_PENDIENTES!$L$311,"")</f>
        <v/>
      </c>
      <c r="O317" s="89"/>
      <c r="P317" s="89"/>
      <c r="Q317" s="89"/>
      <c r="R317" s="89"/>
      <c r="S317" s="89"/>
    </row>
    <row r="318" customFormat="false" ht="15.75" hidden="true" customHeight="true" outlineLevel="0" collapsed="false">
      <c r="A318" s="106" t="str">
        <f aca="false">IF(_PENDIENTES!$B$312&lt;&gt;"",311,"")</f>
        <v/>
      </c>
      <c r="B318" s="47" t="str">
        <f aca="false">IF(_PENDIENTES!$B$312&lt;&gt;"",_PENDIENTES!$A$312,"")</f>
        <v/>
      </c>
      <c r="C318" s="107" t="str">
        <f aca="false">IF(_PENDIENTES!$B$312&lt;&gt;"",_PENDIENTES!$C$312,"")</f>
        <v/>
      </c>
      <c r="D318" s="106" t="str">
        <f aca="false">IF(_PENDIENTES!$B$312&lt;&gt;"",_PENDIENTES!$D$312,"")</f>
        <v/>
      </c>
      <c r="E318" s="111" t="str">
        <f aca="false">IF(_PENDIENTES!$B$312&lt;&gt;"",_PENDIENTES!$E$312,"")</f>
        <v/>
      </c>
      <c r="F318" s="106" t="str">
        <f aca="false">IF(_PENDIENTES!$B$312&lt;&gt;"",_PENDIENTES!$F$312,"")</f>
        <v/>
      </c>
      <c r="G318" s="50" t="str">
        <f aca="false">IF(_PENDIENTES!$B$312&lt;&gt;"",_PENDIENTES!$G$312,"")</f>
        <v/>
      </c>
      <c r="H318" s="50" t="str">
        <f aca="false">IF(_PENDIENTES!$B$312&lt;&gt;"",_PENDIENTES!$H$312,"")</f>
        <v/>
      </c>
      <c r="I318" s="107" t="str">
        <f aca="false">IF(_PENDIENTES!$B$312&lt;&gt;"",_PENDIENTES!$I$312,"")</f>
        <v/>
      </c>
      <c r="J318" s="106" t="str">
        <f aca="false">IF(_PENDIENTES!$B$312&lt;&gt;"",_PENDIENTES!$J$312,"")</f>
        <v/>
      </c>
      <c r="K318" s="106" t="str">
        <f aca="false">IF(_PENDIENTES!$B$312&lt;&gt;"","POR RECOGER","")</f>
        <v/>
      </c>
      <c r="L318" s="106" t="str">
        <f aca="false">IF(_PENDIENTES!$B$312&lt;&gt;"",_PENDIENTES!$K$312,"")</f>
        <v/>
      </c>
      <c r="M318" s="89" t="str">
        <f aca="false">IF(_PENDIENTES!$B$312&lt;&gt;"",_PENDIENTES!$B$312,"")</f>
        <v/>
      </c>
      <c r="N318" s="109" t="str">
        <f aca="false">IF(_PENDIENTES!$B$312&lt;&gt;"",_PENDIENTES!$L$312,"")</f>
        <v/>
      </c>
      <c r="O318" s="89"/>
      <c r="P318" s="89"/>
      <c r="Q318" s="89"/>
      <c r="R318" s="89"/>
      <c r="S318" s="89"/>
    </row>
    <row r="319" customFormat="false" ht="15.75" hidden="true" customHeight="true" outlineLevel="0" collapsed="false">
      <c r="A319" s="46" t="str">
        <f aca="false">IF(_PENDIENTES!$B$313&lt;&gt;"",312,"")</f>
        <v/>
      </c>
      <c r="B319" s="41" t="str">
        <f aca="false">IF(_PENDIENTES!$B$313&lt;&gt;"",_PENDIENTES!$A$313,"")</f>
        <v/>
      </c>
      <c r="C319" s="110" t="str">
        <f aca="false">IF(_PENDIENTES!$B$313&lt;&gt;"",_PENDIENTES!$C$313,"")</f>
        <v/>
      </c>
      <c r="D319" s="46" t="str">
        <f aca="false">IF(_PENDIENTES!$B$313&lt;&gt;"",_PENDIENTES!$D$313,"")</f>
        <v/>
      </c>
      <c r="E319" s="112" t="str">
        <f aca="false">IF(_PENDIENTES!$B$313&lt;&gt;"",_PENDIENTES!$E$313,"")</f>
        <v/>
      </c>
      <c r="F319" s="46" t="str">
        <f aca="false">IF(_PENDIENTES!$B$313&lt;&gt;"",_PENDIENTES!$F$313,"")</f>
        <v/>
      </c>
      <c r="G319" s="44" t="str">
        <f aca="false">IF(_PENDIENTES!$B$313&lt;&gt;"",_PENDIENTES!$G$313,"")</f>
        <v/>
      </c>
      <c r="H319" s="44" t="str">
        <f aca="false">IF(_PENDIENTES!$B$313&lt;&gt;"",_PENDIENTES!$H$313,"")</f>
        <v/>
      </c>
      <c r="I319" s="110" t="str">
        <f aca="false">IF(_PENDIENTES!$B$313&lt;&gt;"",_PENDIENTES!$I$313,"")</f>
        <v/>
      </c>
      <c r="J319" s="46" t="str">
        <f aca="false">IF(_PENDIENTES!$B$313&lt;&gt;"",_PENDIENTES!$J$313,"")</f>
        <v/>
      </c>
      <c r="K319" s="46" t="str">
        <f aca="false">IF(_PENDIENTES!$B$313&lt;&gt;"","POR RECOGER","")</f>
        <v/>
      </c>
      <c r="L319" s="46" t="str">
        <f aca="false">IF(_PENDIENTES!$B$313&lt;&gt;"",_PENDIENTES!$K$313,"")</f>
        <v/>
      </c>
      <c r="M319" s="89" t="str">
        <f aca="false">IF(_PENDIENTES!$B$313&lt;&gt;"",_PENDIENTES!$B$313,"")</f>
        <v/>
      </c>
      <c r="N319" s="109" t="str">
        <f aca="false">IF(_PENDIENTES!$B$313&lt;&gt;"",_PENDIENTES!$L$313,"")</f>
        <v/>
      </c>
      <c r="O319" s="89"/>
      <c r="P319" s="89"/>
      <c r="Q319" s="89"/>
      <c r="R319" s="89"/>
      <c r="S319" s="89"/>
    </row>
    <row r="320" customFormat="false" ht="15.75" hidden="true" customHeight="true" outlineLevel="0" collapsed="false">
      <c r="A320" s="106" t="str">
        <f aca="false">IF(_PENDIENTES!$B$314&lt;&gt;"",313,"")</f>
        <v/>
      </c>
      <c r="B320" s="47" t="str">
        <f aca="false">IF(_PENDIENTES!$B$314&lt;&gt;"",_PENDIENTES!$A$314,"")</f>
        <v/>
      </c>
      <c r="C320" s="107" t="str">
        <f aca="false">IF(_PENDIENTES!$B$314&lt;&gt;"",_PENDIENTES!$C$314,"")</f>
        <v/>
      </c>
      <c r="D320" s="106" t="str">
        <f aca="false">IF(_PENDIENTES!$B$314&lt;&gt;"",_PENDIENTES!$D$314,"")</f>
        <v/>
      </c>
      <c r="E320" s="111" t="str">
        <f aca="false">IF(_PENDIENTES!$B$314&lt;&gt;"",_PENDIENTES!$E$314,"")</f>
        <v/>
      </c>
      <c r="F320" s="106" t="str">
        <f aca="false">IF(_PENDIENTES!$B$314&lt;&gt;"",_PENDIENTES!$F$314,"")</f>
        <v/>
      </c>
      <c r="G320" s="50" t="str">
        <f aca="false">IF(_PENDIENTES!$B$314&lt;&gt;"",_PENDIENTES!$G$314,"")</f>
        <v/>
      </c>
      <c r="H320" s="50" t="str">
        <f aca="false">IF(_PENDIENTES!$B$314&lt;&gt;"",_PENDIENTES!$H$314,"")</f>
        <v/>
      </c>
      <c r="I320" s="107" t="str">
        <f aca="false">IF(_PENDIENTES!$B$314&lt;&gt;"",_PENDIENTES!$I$314,"")</f>
        <v/>
      </c>
      <c r="J320" s="106" t="str">
        <f aca="false">IF(_PENDIENTES!$B$314&lt;&gt;"",_PENDIENTES!$J$314,"")</f>
        <v/>
      </c>
      <c r="K320" s="106" t="str">
        <f aca="false">IF(_PENDIENTES!$B$314&lt;&gt;"","POR RECOGER","")</f>
        <v/>
      </c>
      <c r="L320" s="106" t="str">
        <f aca="false">IF(_PENDIENTES!$B$314&lt;&gt;"",_PENDIENTES!$K$314,"")</f>
        <v/>
      </c>
      <c r="M320" s="89" t="str">
        <f aca="false">IF(_PENDIENTES!$B$314&lt;&gt;"",_PENDIENTES!$B$314,"")</f>
        <v/>
      </c>
      <c r="N320" s="109" t="str">
        <f aca="false">IF(_PENDIENTES!$B$314&lt;&gt;"",_PENDIENTES!$L$314,"")</f>
        <v/>
      </c>
      <c r="O320" s="89"/>
      <c r="P320" s="89"/>
      <c r="Q320" s="89"/>
      <c r="R320" s="89"/>
      <c r="S320" s="89"/>
    </row>
    <row r="321" customFormat="false" ht="15.75" hidden="true" customHeight="true" outlineLevel="0" collapsed="false">
      <c r="A321" s="46" t="str">
        <f aca="false">IF(_PENDIENTES!$B$315&lt;&gt;"",314,"")</f>
        <v/>
      </c>
      <c r="B321" s="41" t="str">
        <f aca="false">IF(_PENDIENTES!$B$315&lt;&gt;"",_PENDIENTES!$A$315,"")</f>
        <v/>
      </c>
      <c r="C321" s="110" t="str">
        <f aca="false">IF(_PENDIENTES!$B$315&lt;&gt;"",_PENDIENTES!$C$315,"")</f>
        <v/>
      </c>
      <c r="D321" s="46" t="str">
        <f aca="false">IF(_PENDIENTES!$B$315&lt;&gt;"",_PENDIENTES!$D$315,"")</f>
        <v/>
      </c>
      <c r="E321" s="112" t="str">
        <f aca="false">IF(_PENDIENTES!$B$315&lt;&gt;"",_PENDIENTES!$E$315,"")</f>
        <v/>
      </c>
      <c r="F321" s="46" t="str">
        <f aca="false">IF(_PENDIENTES!$B$315&lt;&gt;"",_PENDIENTES!$F$315,"")</f>
        <v/>
      </c>
      <c r="G321" s="44" t="str">
        <f aca="false">IF(_PENDIENTES!$B$315&lt;&gt;"",_PENDIENTES!$G$315,"")</f>
        <v/>
      </c>
      <c r="H321" s="44" t="str">
        <f aca="false">IF(_PENDIENTES!$B$315&lt;&gt;"",_PENDIENTES!$H$315,"")</f>
        <v/>
      </c>
      <c r="I321" s="110" t="str">
        <f aca="false">IF(_PENDIENTES!$B$315&lt;&gt;"",_PENDIENTES!$I$315,"")</f>
        <v/>
      </c>
      <c r="J321" s="46" t="str">
        <f aca="false">IF(_PENDIENTES!$B$315&lt;&gt;"",_PENDIENTES!$J$315,"")</f>
        <v/>
      </c>
      <c r="K321" s="46" t="str">
        <f aca="false">IF(_PENDIENTES!$B$315&lt;&gt;"","POR RECOGER","")</f>
        <v/>
      </c>
      <c r="L321" s="46" t="str">
        <f aca="false">IF(_PENDIENTES!$B$315&lt;&gt;"",_PENDIENTES!$K$315,"")</f>
        <v/>
      </c>
      <c r="M321" s="89" t="str">
        <f aca="false">IF(_PENDIENTES!$B$315&lt;&gt;"",_PENDIENTES!$B$315,"")</f>
        <v/>
      </c>
      <c r="N321" s="109" t="str">
        <f aca="false">IF(_PENDIENTES!$B$315&lt;&gt;"",_PENDIENTES!$L$315,"")</f>
        <v/>
      </c>
      <c r="O321" s="89"/>
      <c r="P321" s="89"/>
      <c r="Q321" s="89"/>
      <c r="R321" s="89"/>
      <c r="S321" s="89"/>
    </row>
    <row r="322" customFormat="false" ht="15.75" hidden="true" customHeight="true" outlineLevel="0" collapsed="false">
      <c r="A322" s="106" t="str">
        <f aca="false">IF(_PENDIENTES!$B$316&lt;&gt;"",315,"")</f>
        <v/>
      </c>
      <c r="B322" s="47" t="str">
        <f aca="false">IF(_PENDIENTES!$B$316&lt;&gt;"",_PENDIENTES!$A$316,"")</f>
        <v/>
      </c>
      <c r="C322" s="107" t="str">
        <f aca="false">IF(_PENDIENTES!$B$316&lt;&gt;"",_PENDIENTES!$C$316,"")</f>
        <v/>
      </c>
      <c r="D322" s="106" t="str">
        <f aca="false">IF(_PENDIENTES!$B$316&lt;&gt;"",_PENDIENTES!$D$316,"")</f>
        <v/>
      </c>
      <c r="E322" s="111" t="str">
        <f aca="false">IF(_PENDIENTES!$B$316&lt;&gt;"",_PENDIENTES!$E$316,"")</f>
        <v/>
      </c>
      <c r="F322" s="106" t="str">
        <f aca="false">IF(_PENDIENTES!$B$316&lt;&gt;"",_PENDIENTES!$F$316,"")</f>
        <v/>
      </c>
      <c r="G322" s="50" t="str">
        <f aca="false">IF(_PENDIENTES!$B$316&lt;&gt;"",_PENDIENTES!$G$316,"")</f>
        <v/>
      </c>
      <c r="H322" s="50" t="str">
        <f aca="false">IF(_PENDIENTES!$B$316&lt;&gt;"",_PENDIENTES!$H$316,"")</f>
        <v/>
      </c>
      <c r="I322" s="107" t="str">
        <f aca="false">IF(_PENDIENTES!$B$316&lt;&gt;"",_PENDIENTES!$I$316,"")</f>
        <v/>
      </c>
      <c r="J322" s="106" t="str">
        <f aca="false">IF(_PENDIENTES!$B$316&lt;&gt;"",_PENDIENTES!$J$316,"")</f>
        <v/>
      </c>
      <c r="K322" s="106" t="str">
        <f aca="false">IF(_PENDIENTES!$B$316&lt;&gt;"","POR RECOGER","")</f>
        <v/>
      </c>
      <c r="L322" s="106" t="str">
        <f aca="false">IF(_PENDIENTES!$B$316&lt;&gt;"",_PENDIENTES!$K$316,"")</f>
        <v/>
      </c>
      <c r="M322" s="89" t="str">
        <f aca="false">IF(_PENDIENTES!$B$316&lt;&gt;"",_PENDIENTES!$B$316,"")</f>
        <v/>
      </c>
      <c r="N322" s="109" t="str">
        <f aca="false">IF(_PENDIENTES!$B$316&lt;&gt;"",_PENDIENTES!$L$316,"")</f>
        <v/>
      </c>
      <c r="O322" s="89"/>
      <c r="P322" s="89"/>
      <c r="Q322" s="89"/>
      <c r="R322" s="89"/>
      <c r="S322" s="89"/>
    </row>
    <row r="323" customFormat="false" ht="15.75" hidden="true" customHeight="true" outlineLevel="0" collapsed="false">
      <c r="A323" s="46" t="str">
        <f aca="false">IF(_PENDIENTES!$B$317&lt;&gt;"",316,"")</f>
        <v/>
      </c>
      <c r="B323" s="41" t="str">
        <f aca="false">IF(_PENDIENTES!$B$317&lt;&gt;"",_PENDIENTES!$A$317,"")</f>
        <v/>
      </c>
      <c r="C323" s="110" t="str">
        <f aca="false">IF(_PENDIENTES!$B$317&lt;&gt;"",_PENDIENTES!$C$317,"")</f>
        <v/>
      </c>
      <c r="D323" s="46" t="str">
        <f aca="false">IF(_PENDIENTES!$B$317&lt;&gt;"",_PENDIENTES!$D$317,"")</f>
        <v/>
      </c>
      <c r="E323" s="112" t="str">
        <f aca="false">IF(_PENDIENTES!$B$317&lt;&gt;"",_PENDIENTES!$E$317,"")</f>
        <v/>
      </c>
      <c r="F323" s="46" t="str">
        <f aca="false">IF(_PENDIENTES!$B$317&lt;&gt;"",_PENDIENTES!$F$317,"")</f>
        <v/>
      </c>
      <c r="G323" s="44" t="str">
        <f aca="false">IF(_PENDIENTES!$B$317&lt;&gt;"",_PENDIENTES!$G$317,"")</f>
        <v/>
      </c>
      <c r="H323" s="44" t="str">
        <f aca="false">IF(_PENDIENTES!$B$317&lt;&gt;"",_PENDIENTES!$H$317,"")</f>
        <v/>
      </c>
      <c r="I323" s="110" t="str">
        <f aca="false">IF(_PENDIENTES!$B$317&lt;&gt;"",_PENDIENTES!$I$317,"")</f>
        <v/>
      </c>
      <c r="J323" s="46" t="str">
        <f aca="false">IF(_PENDIENTES!$B$317&lt;&gt;"",_PENDIENTES!$J$317,"")</f>
        <v/>
      </c>
      <c r="K323" s="46" t="str">
        <f aca="false">IF(_PENDIENTES!$B$317&lt;&gt;"","POR RECOGER","")</f>
        <v/>
      </c>
      <c r="L323" s="46" t="str">
        <f aca="false">IF(_PENDIENTES!$B$317&lt;&gt;"",_PENDIENTES!$K$317,"")</f>
        <v/>
      </c>
      <c r="M323" s="89" t="str">
        <f aca="false">IF(_PENDIENTES!$B$317&lt;&gt;"",_PENDIENTES!$B$317,"")</f>
        <v/>
      </c>
      <c r="N323" s="109" t="str">
        <f aca="false">IF(_PENDIENTES!$B$317&lt;&gt;"",_PENDIENTES!$L$317,"")</f>
        <v/>
      </c>
      <c r="O323" s="89"/>
      <c r="P323" s="89"/>
      <c r="Q323" s="89"/>
      <c r="R323" s="89"/>
      <c r="S323" s="89"/>
    </row>
    <row r="324" customFormat="false" ht="15.75" hidden="true" customHeight="true" outlineLevel="0" collapsed="false">
      <c r="A324" s="106" t="str">
        <f aca="false">IF(_PENDIENTES!$B$318&lt;&gt;"",317,"")</f>
        <v/>
      </c>
      <c r="B324" s="47" t="str">
        <f aca="false">IF(_PENDIENTES!$B$318&lt;&gt;"",_PENDIENTES!$A$318,"")</f>
        <v/>
      </c>
      <c r="C324" s="107" t="str">
        <f aca="false">IF(_PENDIENTES!$B$318&lt;&gt;"",_PENDIENTES!$C$318,"")</f>
        <v/>
      </c>
      <c r="D324" s="106" t="str">
        <f aca="false">IF(_PENDIENTES!$B$318&lt;&gt;"",_PENDIENTES!$D$318,"")</f>
        <v/>
      </c>
      <c r="E324" s="111" t="str">
        <f aca="false">IF(_PENDIENTES!$B$318&lt;&gt;"",_PENDIENTES!$E$318,"")</f>
        <v/>
      </c>
      <c r="F324" s="106" t="str">
        <f aca="false">IF(_PENDIENTES!$B$318&lt;&gt;"",_PENDIENTES!$F$318,"")</f>
        <v/>
      </c>
      <c r="G324" s="50" t="str">
        <f aca="false">IF(_PENDIENTES!$B$318&lt;&gt;"",_PENDIENTES!$G$318,"")</f>
        <v/>
      </c>
      <c r="H324" s="50" t="str">
        <f aca="false">IF(_PENDIENTES!$B$318&lt;&gt;"",_PENDIENTES!$H$318,"")</f>
        <v/>
      </c>
      <c r="I324" s="107" t="str">
        <f aca="false">IF(_PENDIENTES!$B$318&lt;&gt;"",_PENDIENTES!$I$318,"")</f>
        <v/>
      </c>
      <c r="J324" s="106" t="str">
        <f aca="false">IF(_PENDIENTES!$B$318&lt;&gt;"",_PENDIENTES!$J$318,"")</f>
        <v/>
      </c>
      <c r="K324" s="106" t="str">
        <f aca="false">IF(_PENDIENTES!$B$318&lt;&gt;"","POR RECOGER","")</f>
        <v/>
      </c>
      <c r="L324" s="106" t="str">
        <f aca="false">IF(_PENDIENTES!$B$318&lt;&gt;"",_PENDIENTES!$K$318,"")</f>
        <v/>
      </c>
      <c r="M324" s="89" t="str">
        <f aca="false">IF(_PENDIENTES!$B$318&lt;&gt;"",_PENDIENTES!$B$318,"")</f>
        <v/>
      </c>
      <c r="N324" s="109" t="str">
        <f aca="false">IF(_PENDIENTES!$B$318&lt;&gt;"",_PENDIENTES!$L$318,"")</f>
        <v/>
      </c>
      <c r="O324" s="89"/>
      <c r="P324" s="89"/>
      <c r="Q324" s="89"/>
      <c r="R324" s="89"/>
      <c r="S324" s="89"/>
    </row>
    <row r="325" customFormat="false" ht="15.75" hidden="true" customHeight="true" outlineLevel="0" collapsed="false">
      <c r="A325" s="46" t="str">
        <f aca="false">IF(_PENDIENTES!$B$319&lt;&gt;"",318,"")</f>
        <v/>
      </c>
      <c r="B325" s="41" t="str">
        <f aca="false">IF(_PENDIENTES!$B$319&lt;&gt;"",_PENDIENTES!$A$319,"")</f>
        <v/>
      </c>
      <c r="C325" s="110" t="str">
        <f aca="false">IF(_PENDIENTES!$B$319&lt;&gt;"",_PENDIENTES!$C$319,"")</f>
        <v/>
      </c>
      <c r="D325" s="46" t="str">
        <f aca="false">IF(_PENDIENTES!$B$319&lt;&gt;"",_PENDIENTES!$D$319,"")</f>
        <v/>
      </c>
      <c r="E325" s="112" t="str">
        <f aca="false">IF(_PENDIENTES!$B$319&lt;&gt;"",_PENDIENTES!$E$319,"")</f>
        <v/>
      </c>
      <c r="F325" s="46" t="str">
        <f aca="false">IF(_PENDIENTES!$B$319&lt;&gt;"",_PENDIENTES!$F$319,"")</f>
        <v/>
      </c>
      <c r="G325" s="44" t="str">
        <f aca="false">IF(_PENDIENTES!$B$319&lt;&gt;"",_PENDIENTES!$G$319,"")</f>
        <v/>
      </c>
      <c r="H325" s="44" t="str">
        <f aca="false">IF(_PENDIENTES!$B$319&lt;&gt;"",_PENDIENTES!$H$319,"")</f>
        <v/>
      </c>
      <c r="I325" s="110" t="str">
        <f aca="false">IF(_PENDIENTES!$B$319&lt;&gt;"",_PENDIENTES!$I$319,"")</f>
        <v/>
      </c>
      <c r="J325" s="46" t="str">
        <f aca="false">IF(_PENDIENTES!$B$319&lt;&gt;"",_PENDIENTES!$J$319,"")</f>
        <v/>
      </c>
      <c r="K325" s="46" t="str">
        <f aca="false">IF(_PENDIENTES!$B$319&lt;&gt;"","POR RECOGER","")</f>
        <v/>
      </c>
      <c r="L325" s="46" t="str">
        <f aca="false">IF(_PENDIENTES!$B$319&lt;&gt;"",_PENDIENTES!$K$319,"")</f>
        <v/>
      </c>
      <c r="M325" s="89" t="str">
        <f aca="false">IF(_PENDIENTES!$B$319&lt;&gt;"",_PENDIENTES!$B$319,"")</f>
        <v/>
      </c>
      <c r="N325" s="109" t="str">
        <f aca="false">IF(_PENDIENTES!$B$319&lt;&gt;"",_PENDIENTES!$L$319,"")</f>
        <v/>
      </c>
      <c r="O325" s="89"/>
      <c r="P325" s="89"/>
      <c r="Q325" s="89"/>
      <c r="R325" s="89"/>
      <c r="S325" s="89"/>
    </row>
    <row r="326" customFormat="false" ht="15.75" hidden="true" customHeight="true" outlineLevel="0" collapsed="false">
      <c r="A326" s="106" t="str">
        <f aca="false">IF(_PENDIENTES!$B$320&lt;&gt;"",319,"")</f>
        <v/>
      </c>
      <c r="B326" s="47" t="str">
        <f aca="false">IF(_PENDIENTES!$B$320&lt;&gt;"",_PENDIENTES!$A$320,"")</f>
        <v/>
      </c>
      <c r="C326" s="107" t="str">
        <f aca="false">IF(_PENDIENTES!$B$320&lt;&gt;"",_PENDIENTES!$C$320,"")</f>
        <v/>
      </c>
      <c r="D326" s="106" t="str">
        <f aca="false">IF(_PENDIENTES!$B$320&lt;&gt;"",_PENDIENTES!$D$320,"")</f>
        <v/>
      </c>
      <c r="E326" s="111" t="str">
        <f aca="false">IF(_PENDIENTES!$B$320&lt;&gt;"",_PENDIENTES!$E$320,"")</f>
        <v/>
      </c>
      <c r="F326" s="106" t="str">
        <f aca="false">IF(_PENDIENTES!$B$320&lt;&gt;"",_PENDIENTES!$F$320,"")</f>
        <v/>
      </c>
      <c r="G326" s="50" t="str">
        <f aca="false">IF(_PENDIENTES!$B$320&lt;&gt;"",_PENDIENTES!$G$320,"")</f>
        <v/>
      </c>
      <c r="H326" s="50" t="str">
        <f aca="false">IF(_PENDIENTES!$B$320&lt;&gt;"",_PENDIENTES!$H$320,"")</f>
        <v/>
      </c>
      <c r="I326" s="107" t="str">
        <f aca="false">IF(_PENDIENTES!$B$320&lt;&gt;"",_PENDIENTES!$I$320,"")</f>
        <v/>
      </c>
      <c r="J326" s="106" t="str">
        <f aca="false">IF(_PENDIENTES!$B$320&lt;&gt;"",_PENDIENTES!$J$320,"")</f>
        <v/>
      </c>
      <c r="K326" s="106" t="str">
        <f aca="false">IF(_PENDIENTES!$B$320&lt;&gt;"","POR RECOGER","")</f>
        <v/>
      </c>
      <c r="L326" s="106" t="str">
        <f aca="false">IF(_PENDIENTES!$B$320&lt;&gt;"",_PENDIENTES!$K$320,"")</f>
        <v/>
      </c>
      <c r="M326" s="89" t="str">
        <f aca="false">IF(_PENDIENTES!$B$320&lt;&gt;"",_PENDIENTES!$B$320,"")</f>
        <v/>
      </c>
      <c r="N326" s="109" t="str">
        <f aca="false">IF(_PENDIENTES!$B$320&lt;&gt;"",_PENDIENTES!$L$320,"")</f>
        <v/>
      </c>
      <c r="O326" s="89"/>
      <c r="P326" s="89"/>
      <c r="Q326" s="89"/>
      <c r="R326" s="89"/>
      <c r="S326" s="89"/>
    </row>
    <row r="327" customFormat="false" ht="15.75" hidden="true" customHeight="true" outlineLevel="0" collapsed="false">
      <c r="A327" s="46" t="str">
        <f aca="false">IF(_PENDIENTES!$B$321&lt;&gt;"",320,"")</f>
        <v/>
      </c>
      <c r="B327" s="41" t="str">
        <f aca="false">IF(_PENDIENTES!$B$321&lt;&gt;"",_PENDIENTES!$A$321,"")</f>
        <v/>
      </c>
      <c r="C327" s="110" t="str">
        <f aca="false">IF(_PENDIENTES!$B$321&lt;&gt;"",_PENDIENTES!$C$321,"")</f>
        <v/>
      </c>
      <c r="D327" s="46" t="str">
        <f aca="false">IF(_PENDIENTES!$B$321&lt;&gt;"",_PENDIENTES!$D$321,"")</f>
        <v/>
      </c>
      <c r="E327" s="112" t="str">
        <f aca="false">IF(_PENDIENTES!$B$321&lt;&gt;"",_PENDIENTES!$E$321,"")</f>
        <v/>
      </c>
      <c r="F327" s="46" t="str">
        <f aca="false">IF(_PENDIENTES!$B$321&lt;&gt;"",_PENDIENTES!$F$321,"")</f>
        <v/>
      </c>
      <c r="G327" s="44" t="str">
        <f aca="false">IF(_PENDIENTES!$B$321&lt;&gt;"",_PENDIENTES!$G$321,"")</f>
        <v/>
      </c>
      <c r="H327" s="44" t="str">
        <f aca="false">IF(_PENDIENTES!$B$321&lt;&gt;"",_PENDIENTES!$H$321,"")</f>
        <v/>
      </c>
      <c r="I327" s="110" t="str">
        <f aca="false">IF(_PENDIENTES!$B$321&lt;&gt;"",_PENDIENTES!$I$321,"")</f>
        <v/>
      </c>
      <c r="J327" s="46" t="str">
        <f aca="false">IF(_PENDIENTES!$B$321&lt;&gt;"",_PENDIENTES!$J$321,"")</f>
        <v/>
      </c>
      <c r="K327" s="46" t="str">
        <f aca="false">IF(_PENDIENTES!$B$321&lt;&gt;"","POR RECOGER","")</f>
        <v/>
      </c>
      <c r="L327" s="46" t="str">
        <f aca="false">IF(_PENDIENTES!$B$321&lt;&gt;"",_PENDIENTES!$K$321,"")</f>
        <v/>
      </c>
      <c r="M327" s="89" t="str">
        <f aca="false">IF(_PENDIENTES!$B$321&lt;&gt;"",_PENDIENTES!$B$321,"")</f>
        <v/>
      </c>
      <c r="N327" s="109" t="str">
        <f aca="false">IF(_PENDIENTES!$B$321&lt;&gt;"",_PENDIENTES!$L$321,"")</f>
        <v/>
      </c>
      <c r="O327" s="89"/>
      <c r="P327" s="89"/>
      <c r="Q327" s="89"/>
      <c r="R327" s="89"/>
      <c r="S327" s="89"/>
    </row>
    <row r="328" customFormat="false" ht="15.75" hidden="true" customHeight="true" outlineLevel="0" collapsed="false">
      <c r="A328" s="106" t="str">
        <f aca="false">IF(_PENDIENTES!$B$322&lt;&gt;"",321,"")</f>
        <v/>
      </c>
      <c r="B328" s="47" t="str">
        <f aca="false">IF(_PENDIENTES!$B$322&lt;&gt;"",_PENDIENTES!$A$322,"")</f>
        <v/>
      </c>
      <c r="C328" s="107" t="str">
        <f aca="false">IF(_PENDIENTES!$B$322&lt;&gt;"",_PENDIENTES!$C$322,"")</f>
        <v/>
      </c>
      <c r="D328" s="106" t="str">
        <f aca="false">IF(_PENDIENTES!$B$322&lt;&gt;"",_PENDIENTES!$D$322,"")</f>
        <v/>
      </c>
      <c r="E328" s="111" t="str">
        <f aca="false">IF(_PENDIENTES!$B$322&lt;&gt;"",_PENDIENTES!$E$322,"")</f>
        <v/>
      </c>
      <c r="F328" s="106" t="str">
        <f aca="false">IF(_PENDIENTES!$B$322&lt;&gt;"",_PENDIENTES!$F$322,"")</f>
        <v/>
      </c>
      <c r="G328" s="50" t="str">
        <f aca="false">IF(_PENDIENTES!$B$322&lt;&gt;"",_PENDIENTES!$G$322,"")</f>
        <v/>
      </c>
      <c r="H328" s="50" t="str">
        <f aca="false">IF(_PENDIENTES!$B$322&lt;&gt;"",_PENDIENTES!$H$322,"")</f>
        <v/>
      </c>
      <c r="I328" s="107" t="str">
        <f aca="false">IF(_PENDIENTES!$B$322&lt;&gt;"",_PENDIENTES!$I$322,"")</f>
        <v/>
      </c>
      <c r="J328" s="106" t="str">
        <f aca="false">IF(_PENDIENTES!$B$322&lt;&gt;"",_PENDIENTES!$J$322,"")</f>
        <v/>
      </c>
      <c r="K328" s="106" t="str">
        <f aca="false">IF(_PENDIENTES!$B$322&lt;&gt;"","POR RECOGER","")</f>
        <v/>
      </c>
      <c r="L328" s="106" t="str">
        <f aca="false">IF(_PENDIENTES!$B$322&lt;&gt;"",_PENDIENTES!$K$322,"")</f>
        <v/>
      </c>
      <c r="M328" s="89" t="str">
        <f aca="false">IF(_PENDIENTES!$B$322&lt;&gt;"",_PENDIENTES!$B$322,"")</f>
        <v/>
      </c>
      <c r="N328" s="109" t="str">
        <f aca="false">IF(_PENDIENTES!$B$322&lt;&gt;"",_PENDIENTES!$L$322,"")</f>
        <v/>
      </c>
      <c r="O328" s="89"/>
      <c r="P328" s="89"/>
      <c r="Q328" s="89"/>
      <c r="R328" s="89"/>
      <c r="S328" s="89"/>
    </row>
    <row r="329" customFormat="false" ht="15.75" hidden="true" customHeight="true" outlineLevel="0" collapsed="false">
      <c r="A329" s="46" t="str">
        <f aca="false">IF(_PENDIENTES!$B$323&lt;&gt;"",322,"")</f>
        <v/>
      </c>
      <c r="B329" s="41" t="str">
        <f aca="false">IF(_PENDIENTES!$B$323&lt;&gt;"",_PENDIENTES!$A$323,"")</f>
        <v/>
      </c>
      <c r="C329" s="110" t="str">
        <f aca="false">IF(_PENDIENTES!$B$323&lt;&gt;"",_PENDIENTES!$C$323,"")</f>
        <v/>
      </c>
      <c r="D329" s="46" t="str">
        <f aca="false">IF(_PENDIENTES!$B$323&lt;&gt;"",_PENDIENTES!$D$323,"")</f>
        <v/>
      </c>
      <c r="E329" s="112" t="str">
        <f aca="false">IF(_PENDIENTES!$B$323&lt;&gt;"",_PENDIENTES!$E$323,"")</f>
        <v/>
      </c>
      <c r="F329" s="46" t="str">
        <f aca="false">IF(_PENDIENTES!$B$323&lt;&gt;"",_PENDIENTES!$F$323,"")</f>
        <v/>
      </c>
      <c r="G329" s="44" t="str">
        <f aca="false">IF(_PENDIENTES!$B$323&lt;&gt;"",_PENDIENTES!$G$323,"")</f>
        <v/>
      </c>
      <c r="H329" s="44" t="str">
        <f aca="false">IF(_PENDIENTES!$B$323&lt;&gt;"",_PENDIENTES!$H$323,"")</f>
        <v/>
      </c>
      <c r="I329" s="110" t="str">
        <f aca="false">IF(_PENDIENTES!$B$323&lt;&gt;"",_PENDIENTES!$I$323,"")</f>
        <v/>
      </c>
      <c r="J329" s="46" t="str">
        <f aca="false">IF(_PENDIENTES!$B$323&lt;&gt;"",_PENDIENTES!$J$323,"")</f>
        <v/>
      </c>
      <c r="K329" s="46" t="str">
        <f aca="false">IF(_PENDIENTES!$B$323&lt;&gt;"","POR RECOGER","")</f>
        <v/>
      </c>
      <c r="L329" s="46" t="str">
        <f aca="false">IF(_PENDIENTES!$B$323&lt;&gt;"",_PENDIENTES!$K$323,"")</f>
        <v/>
      </c>
      <c r="M329" s="89" t="str">
        <f aca="false">IF(_PENDIENTES!$B$323&lt;&gt;"",_PENDIENTES!$B$323,"")</f>
        <v/>
      </c>
      <c r="N329" s="109" t="str">
        <f aca="false">IF(_PENDIENTES!$B$323&lt;&gt;"",_PENDIENTES!$L$323,"")</f>
        <v/>
      </c>
      <c r="O329" s="89"/>
      <c r="P329" s="89"/>
      <c r="Q329" s="89"/>
      <c r="R329" s="89"/>
      <c r="S329" s="89"/>
    </row>
    <row r="330" customFormat="false" ht="15.75" hidden="true" customHeight="true" outlineLevel="0" collapsed="false">
      <c r="A330" s="106" t="str">
        <f aca="false">IF(_PENDIENTES!$B$324&lt;&gt;"",323,"")</f>
        <v/>
      </c>
      <c r="B330" s="47" t="str">
        <f aca="false">IF(_PENDIENTES!$B$324&lt;&gt;"",_PENDIENTES!$A$324,"")</f>
        <v/>
      </c>
      <c r="C330" s="107" t="str">
        <f aca="false">IF(_PENDIENTES!$B$324&lt;&gt;"",_PENDIENTES!$C$324,"")</f>
        <v/>
      </c>
      <c r="D330" s="106" t="str">
        <f aca="false">IF(_PENDIENTES!$B$324&lt;&gt;"",_PENDIENTES!$D$324,"")</f>
        <v/>
      </c>
      <c r="E330" s="111" t="str">
        <f aca="false">IF(_PENDIENTES!$B$324&lt;&gt;"",_PENDIENTES!$E$324,"")</f>
        <v/>
      </c>
      <c r="F330" s="106" t="str">
        <f aca="false">IF(_PENDIENTES!$B$324&lt;&gt;"",_PENDIENTES!$F$324,"")</f>
        <v/>
      </c>
      <c r="G330" s="50" t="str">
        <f aca="false">IF(_PENDIENTES!$B$324&lt;&gt;"",_PENDIENTES!$G$324,"")</f>
        <v/>
      </c>
      <c r="H330" s="50" t="str">
        <f aca="false">IF(_PENDIENTES!$B$324&lt;&gt;"",_PENDIENTES!$H$324,"")</f>
        <v/>
      </c>
      <c r="I330" s="107" t="str">
        <f aca="false">IF(_PENDIENTES!$B$324&lt;&gt;"",_PENDIENTES!$I$324,"")</f>
        <v/>
      </c>
      <c r="J330" s="106" t="str">
        <f aca="false">IF(_PENDIENTES!$B$324&lt;&gt;"",_PENDIENTES!$J$324,"")</f>
        <v/>
      </c>
      <c r="K330" s="106" t="str">
        <f aca="false">IF(_PENDIENTES!$B$324&lt;&gt;"","POR RECOGER","")</f>
        <v/>
      </c>
      <c r="L330" s="106" t="str">
        <f aca="false">IF(_PENDIENTES!$B$324&lt;&gt;"",_PENDIENTES!$K$324,"")</f>
        <v/>
      </c>
      <c r="M330" s="89" t="str">
        <f aca="false">IF(_PENDIENTES!$B$324&lt;&gt;"",_PENDIENTES!$B$324,"")</f>
        <v/>
      </c>
      <c r="N330" s="109" t="str">
        <f aca="false">IF(_PENDIENTES!$B$324&lt;&gt;"",_PENDIENTES!$L$324,"")</f>
        <v/>
      </c>
      <c r="O330" s="89"/>
      <c r="P330" s="89"/>
      <c r="Q330" s="89"/>
      <c r="R330" s="89"/>
      <c r="S330" s="89"/>
    </row>
    <row r="331" customFormat="false" ht="15.75" hidden="true" customHeight="true" outlineLevel="0" collapsed="false">
      <c r="A331" s="46" t="str">
        <f aca="false">IF(_PENDIENTES!$B$325&lt;&gt;"",324,"")</f>
        <v/>
      </c>
      <c r="B331" s="41" t="str">
        <f aca="false">IF(_PENDIENTES!$B$325&lt;&gt;"",_PENDIENTES!$A$325,"")</f>
        <v/>
      </c>
      <c r="C331" s="110" t="str">
        <f aca="false">IF(_PENDIENTES!$B$325&lt;&gt;"",_PENDIENTES!$C$325,"")</f>
        <v/>
      </c>
      <c r="D331" s="46" t="str">
        <f aca="false">IF(_PENDIENTES!$B$325&lt;&gt;"",_PENDIENTES!$D$325,"")</f>
        <v/>
      </c>
      <c r="E331" s="112" t="str">
        <f aca="false">IF(_PENDIENTES!$B$325&lt;&gt;"",_PENDIENTES!$E$325,"")</f>
        <v/>
      </c>
      <c r="F331" s="46" t="str">
        <f aca="false">IF(_PENDIENTES!$B$325&lt;&gt;"",_PENDIENTES!$F$325,"")</f>
        <v/>
      </c>
      <c r="G331" s="44" t="str">
        <f aca="false">IF(_PENDIENTES!$B$325&lt;&gt;"",_PENDIENTES!$G$325,"")</f>
        <v/>
      </c>
      <c r="H331" s="44" t="str">
        <f aca="false">IF(_PENDIENTES!$B$325&lt;&gt;"",_PENDIENTES!$H$325,"")</f>
        <v/>
      </c>
      <c r="I331" s="110" t="str">
        <f aca="false">IF(_PENDIENTES!$B$325&lt;&gt;"",_PENDIENTES!$I$325,"")</f>
        <v/>
      </c>
      <c r="J331" s="46" t="str">
        <f aca="false">IF(_PENDIENTES!$B$325&lt;&gt;"",_PENDIENTES!$J$325,"")</f>
        <v/>
      </c>
      <c r="K331" s="46" t="str">
        <f aca="false">IF(_PENDIENTES!$B$325&lt;&gt;"","POR RECOGER","")</f>
        <v/>
      </c>
      <c r="L331" s="46" t="str">
        <f aca="false">IF(_PENDIENTES!$B$325&lt;&gt;"",_PENDIENTES!$K$325,"")</f>
        <v/>
      </c>
      <c r="M331" s="89" t="str">
        <f aca="false">IF(_PENDIENTES!$B$325&lt;&gt;"",_PENDIENTES!$B$325,"")</f>
        <v/>
      </c>
      <c r="N331" s="109" t="str">
        <f aca="false">IF(_PENDIENTES!$B$325&lt;&gt;"",_PENDIENTES!$L$325,"")</f>
        <v/>
      </c>
      <c r="O331" s="89"/>
      <c r="P331" s="89"/>
      <c r="Q331" s="89"/>
      <c r="R331" s="89"/>
      <c r="S331" s="89"/>
    </row>
    <row r="332" customFormat="false" ht="15.75" hidden="true" customHeight="true" outlineLevel="0" collapsed="false">
      <c r="A332" s="106" t="str">
        <f aca="false">IF(_PENDIENTES!$B$326&lt;&gt;"",325,"")</f>
        <v/>
      </c>
      <c r="B332" s="47" t="str">
        <f aca="false">IF(_PENDIENTES!$B$326&lt;&gt;"",_PENDIENTES!$A$326,"")</f>
        <v/>
      </c>
      <c r="C332" s="107" t="str">
        <f aca="false">IF(_PENDIENTES!$B$326&lt;&gt;"",_PENDIENTES!$C$326,"")</f>
        <v/>
      </c>
      <c r="D332" s="106" t="str">
        <f aca="false">IF(_PENDIENTES!$B$326&lt;&gt;"",_PENDIENTES!$D$326,"")</f>
        <v/>
      </c>
      <c r="E332" s="111" t="str">
        <f aca="false">IF(_PENDIENTES!$B$326&lt;&gt;"",_PENDIENTES!$E$326,"")</f>
        <v/>
      </c>
      <c r="F332" s="106" t="str">
        <f aca="false">IF(_PENDIENTES!$B$326&lt;&gt;"",_PENDIENTES!$F$326,"")</f>
        <v/>
      </c>
      <c r="G332" s="50" t="str">
        <f aca="false">IF(_PENDIENTES!$B$326&lt;&gt;"",_PENDIENTES!$G$326,"")</f>
        <v/>
      </c>
      <c r="H332" s="50" t="str">
        <f aca="false">IF(_PENDIENTES!$B$326&lt;&gt;"",_PENDIENTES!$H$326,"")</f>
        <v/>
      </c>
      <c r="I332" s="107" t="str">
        <f aca="false">IF(_PENDIENTES!$B$326&lt;&gt;"",_PENDIENTES!$I$326,"")</f>
        <v/>
      </c>
      <c r="J332" s="106" t="str">
        <f aca="false">IF(_PENDIENTES!$B$326&lt;&gt;"",_PENDIENTES!$J$326,"")</f>
        <v/>
      </c>
      <c r="K332" s="106" t="str">
        <f aca="false">IF(_PENDIENTES!$B$326&lt;&gt;"","POR RECOGER","")</f>
        <v/>
      </c>
      <c r="L332" s="106" t="str">
        <f aca="false">IF(_PENDIENTES!$B$326&lt;&gt;"",_PENDIENTES!$K$326,"")</f>
        <v/>
      </c>
      <c r="M332" s="89" t="str">
        <f aca="false">IF(_PENDIENTES!$B$326&lt;&gt;"",_PENDIENTES!$B$326,"")</f>
        <v/>
      </c>
      <c r="N332" s="109" t="str">
        <f aca="false">IF(_PENDIENTES!$B$326&lt;&gt;"",_PENDIENTES!$L$326,"")</f>
        <v/>
      </c>
      <c r="O332" s="89"/>
      <c r="P332" s="89"/>
      <c r="Q332" s="89"/>
      <c r="R332" s="89"/>
      <c r="S332" s="89"/>
    </row>
    <row r="333" customFormat="false" ht="15.75" hidden="true" customHeight="true" outlineLevel="0" collapsed="false">
      <c r="A333" s="46" t="str">
        <f aca="false">IF(_PENDIENTES!$B$327&lt;&gt;"",326,"")</f>
        <v/>
      </c>
      <c r="B333" s="41" t="str">
        <f aca="false">IF(_PENDIENTES!$B$327&lt;&gt;"",_PENDIENTES!$A$327,"")</f>
        <v/>
      </c>
      <c r="C333" s="110" t="str">
        <f aca="false">IF(_PENDIENTES!$B$327&lt;&gt;"",_PENDIENTES!$C$327,"")</f>
        <v/>
      </c>
      <c r="D333" s="46" t="str">
        <f aca="false">IF(_PENDIENTES!$B$327&lt;&gt;"",_PENDIENTES!$D$327,"")</f>
        <v/>
      </c>
      <c r="E333" s="112" t="str">
        <f aca="false">IF(_PENDIENTES!$B$327&lt;&gt;"",_PENDIENTES!$E$327,"")</f>
        <v/>
      </c>
      <c r="F333" s="46" t="str">
        <f aca="false">IF(_PENDIENTES!$B$327&lt;&gt;"",_PENDIENTES!$F$327,"")</f>
        <v/>
      </c>
      <c r="G333" s="44" t="str">
        <f aca="false">IF(_PENDIENTES!$B$327&lt;&gt;"",_PENDIENTES!$G$327,"")</f>
        <v/>
      </c>
      <c r="H333" s="44" t="str">
        <f aca="false">IF(_PENDIENTES!$B$327&lt;&gt;"",_PENDIENTES!$H$327,"")</f>
        <v/>
      </c>
      <c r="I333" s="110" t="str">
        <f aca="false">IF(_PENDIENTES!$B$327&lt;&gt;"",_PENDIENTES!$I$327,"")</f>
        <v/>
      </c>
      <c r="J333" s="46" t="str">
        <f aca="false">IF(_PENDIENTES!$B$327&lt;&gt;"",_PENDIENTES!$J$327,"")</f>
        <v/>
      </c>
      <c r="K333" s="46" t="str">
        <f aca="false">IF(_PENDIENTES!$B$327&lt;&gt;"","POR RECOGER","")</f>
        <v/>
      </c>
      <c r="L333" s="46" t="str">
        <f aca="false">IF(_PENDIENTES!$B$327&lt;&gt;"",_PENDIENTES!$K$327,"")</f>
        <v/>
      </c>
      <c r="M333" s="89" t="str">
        <f aca="false">IF(_PENDIENTES!$B$327&lt;&gt;"",_PENDIENTES!$B$327,"")</f>
        <v/>
      </c>
      <c r="N333" s="109" t="str">
        <f aca="false">IF(_PENDIENTES!$B$327&lt;&gt;"",_PENDIENTES!$L$327,"")</f>
        <v/>
      </c>
      <c r="O333" s="89"/>
      <c r="P333" s="89"/>
      <c r="Q333" s="89"/>
      <c r="R333" s="89"/>
      <c r="S333" s="89"/>
    </row>
    <row r="334" customFormat="false" ht="15.75" hidden="true" customHeight="true" outlineLevel="0" collapsed="false">
      <c r="A334" s="106" t="str">
        <f aca="false">IF(_PENDIENTES!$B$328&lt;&gt;"",327,"")</f>
        <v/>
      </c>
      <c r="B334" s="47" t="str">
        <f aca="false">IF(_PENDIENTES!$B$328&lt;&gt;"",_PENDIENTES!$A$328,"")</f>
        <v/>
      </c>
      <c r="C334" s="107" t="str">
        <f aca="false">IF(_PENDIENTES!$B$328&lt;&gt;"",_PENDIENTES!$C$328,"")</f>
        <v/>
      </c>
      <c r="D334" s="106" t="str">
        <f aca="false">IF(_PENDIENTES!$B$328&lt;&gt;"",_PENDIENTES!$D$328,"")</f>
        <v/>
      </c>
      <c r="E334" s="111" t="str">
        <f aca="false">IF(_PENDIENTES!$B$328&lt;&gt;"",_PENDIENTES!$E$328,"")</f>
        <v/>
      </c>
      <c r="F334" s="106" t="str">
        <f aca="false">IF(_PENDIENTES!$B$328&lt;&gt;"",_PENDIENTES!$F$328,"")</f>
        <v/>
      </c>
      <c r="G334" s="50" t="str">
        <f aca="false">IF(_PENDIENTES!$B$328&lt;&gt;"",_PENDIENTES!$G$328,"")</f>
        <v/>
      </c>
      <c r="H334" s="50" t="str">
        <f aca="false">IF(_PENDIENTES!$B$328&lt;&gt;"",_PENDIENTES!$H$328,"")</f>
        <v/>
      </c>
      <c r="I334" s="107" t="str">
        <f aca="false">IF(_PENDIENTES!$B$328&lt;&gt;"",_PENDIENTES!$I$328,"")</f>
        <v/>
      </c>
      <c r="J334" s="106" t="str">
        <f aca="false">IF(_PENDIENTES!$B$328&lt;&gt;"",_PENDIENTES!$J$328,"")</f>
        <v/>
      </c>
      <c r="K334" s="106" t="str">
        <f aca="false">IF(_PENDIENTES!$B$328&lt;&gt;"","POR RECOGER","")</f>
        <v/>
      </c>
      <c r="L334" s="106" t="str">
        <f aca="false">IF(_PENDIENTES!$B$328&lt;&gt;"",_PENDIENTES!$K$328,"")</f>
        <v/>
      </c>
      <c r="M334" s="89" t="str">
        <f aca="false">IF(_PENDIENTES!$B$328&lt;&gt;"",_PENDIENTES!$B$328,"")</f>
        <v/>
      </c>
      <c r="N334" s="109" t="str">
        <f aca="false">IF(_PENDIENTES!$B$328&lt;&gt;"",_PENDIENTES!$L$328,"")</f>
        <v/>
      </c>
      <c r="O334" s="89"/>
      <c r="P334" s="89"/>
      <c r="Q334" s="89"/>
      <c r="R334" s="89"/>
      <c r="S334" s="89"/>
    </row>
    <row r="335" customFormat="false" ht="15.75" hidden="true" customHeight="true" outlineLevel="0" collapsed="false">
      <c r="A335" s="46" t="str">
        <f aca="false">IF(_PENDIENTES!$B$329&lt;&gt;"",328,"")</f>
        <v/>
      </c>
      <c r="B335" s="41" t="str">
        <f aca="false">IF(_PENDIENTES!$B$329&lt;&gt;"",_PENDIENTES!$A$329,"")</f>
        <v/>
      </c>
      <c r="C335" s="110" t="str">
        <f aca="false">IF(_PENDIENTES!$B$329&lt;&gt;"",_PENDIENTES!$C$329,"")</f>
        <v/>
      </c>
      <c r="D335" s="46" t="str">
        <f aca="false">IF(_PENDIENTES!$B$329&lt;&gt;"",_PENDIENTES!$D$329,"")</f>
        <v/>
      </c>
      <c r="E335" s="112" t="str">
        <f aca="false">IF(_PENDIENTES!$B$329&lt;&gt;"",_PENDIENTES!$E$329,"")</f>
        <v/>
      </c>
      <c r="F335" s="46" t="str">
        <f aca="false">IF(_PENDIENTES!$B$329&lt;&gt;"",_PENDIENTES!$F$329,"")</f>
        <v/>
      </c>
      <c r="G335" s="44" t="str">
        <f aca="false">IF(_PENDIENTES!$B$329&lt;&gt;"",_PENDIENTES!$G$329,"")</f>
        <v/>
      </c>
      <c r="H335" s="44" t="str">
        <f aca="false">IF(_PENDIENTES!$B$329&lt;&gt;"",_PENDIENTES!$H$329,"")</f>
        <v/>
      </c>
      <c r="I335" s="110" t="str">
        <f aca="false">IF(_PENDIENTES!$B$329&lt;&gt;"",_PENDIENTES!$I$329,"")</f>
        <v/>
      </c>
      <c r="J335" s="46" t="str">
        <f aca="false">IF(_PENDIENTES!$B$329&lt;&gt;"",_PENDIENTES!$J$329,"")</f>
        <v/>
      </c>
      <c r="K335" s="46" t="str">
        <f aca="false">IF(_PENDIENTES!$B$329&lt;&gt;"","POR RECOGER","")</f>
        <v/>
      </c>
      <c r="L335" s="46" t="str">
        <f aca="false">IF(_PENDIENTES!$B$329&lt;&gt;"",_PENDIENTES!$K$329,"")</f>
        <v/>
      </c>
      <c r="M335" s="89" t="str">
        <f aca="false">IF(_PENDIENTES!$B$329&lt;&gt;"",_PENDIENTES!$B$329,"")</f>
        <v/>
      </c>
      <c r="N335" s="109" t="str">
        <f aca="false">IF(_PENDIENTES!$B$329&lt;&gt;"",_PENDIENTES!$L$329,"")</f>
        <v/>
      </c>
      <c r="O335" s="89"/>
      <c r="P335" s="89"/>
      <c r="Q335" s="89"/>
      <c r="R335" s="89"/>
      <c r="S335" s="89"/>
    </row>
    <row r="336" customFormat="false" ht="15.75" hidden="true" customHeight="true" outlineLevel="0" collapsed="false">
      <c r="A336" s="106" t="str">
        <f aca="false">IF(_PENDIENTES!$B$330&lt;&gt;"",329,"")</f>
        <v/>
      </c>
      <c r="B336" s="47" t="str">
        <f aca="false">IF(_PENDIENTES!$B$330&lt;&gt;"",_PENDIENTES!$A$330,"")</f>
        <v/>
      </c>
      <c r="C336" s="107" t="str">
        <f aca="false">IF(_PENDIENTES!$B$330&lt;&gt;"",_PENDIENTES!$C$330,"")</f>
        <v/>
      </c>
      <c r="D336" s="106" t="str">
        <f aca="false">IF(_PENDIENTES!$B$330&lt;&gt;"",_PENDIENTES!$D$330,"")</f>
        <v/>
      </c>
      <c r="E336" s="111" t="str">
        <f aca="false">IF(_PENDIENTES!$B$330&lt;&gt;"",_PENDIENTES!$E$330,"")</f>
        <v/>
      </c>
      <c r="F336" s="106" t="str">
        <f aca="false">IF(_PENDIENTES!$B$330&lt;&gt;"",_PENDIENTES!$F$330,"")</f>
        <v/>
      </c>
      <c r="G336" s="50" t="str">
        <f aca="false">IF(_PENDIENTES!$B$330&lt;&gt;"",_PENDIENTES!$G$330,"")</f>
        <v/>
      </c>
      <c r="H336" s="50" t="str">
        <f aca="false">IF(_PENDIENTES!$B$330&lt;&gt;"",_PENDIENTES!$H$330,"")</f>
        <v/>
      </c>
      <c r="I336" s="107" t="str">
        <f aca="false">IF(_PENDIENTES!$B$330&lt;&gt;"",_PENDIENTES!$I$330,"")</f>
        <v/>
      </c>
      <c r="J336" s="106" t="str">
        <f aca="false">IF(_PENDIENTES!$B$330&lt;&gt;"",_PENDIENTES!$J$330,"")</f>
        <v/>
      </c>
      <c r="K336" s="106" t="str">
        <f aca="false">IF(_PENDIENTES!$B$330&lt;&gt;"","POR RECOGER","")</f>
        <v/>
      </c>
      <c r="L336" s="106" t="str">
        <f aca="false">IF(_PENDIENTES!$B$330&lt;&gt;"",_PENDIENTES!$K$330,"")</f>
        <v/>
      </c>
      <c r="M336" s="89" t="str">
        <f aca="false">IF(_PENDIENTES!$B$330&lt;&gt;"",_PENDIENTES!$B$330,"")</f>
        <v/>
      </c>
      <c r="N336" s="109" t="str">
        <f aca="false">IF(_PENDIENTES!$B$330&lt;&gt;"",_PENDIENTES!$L$330,"")</f>
        <v/>
      </c>
      <c r="O336" s="89"/>
      <c r="P336" s="89"/>
      <c r="Q336" s="89"/>
      <c r="R336" s="89"/>
      <c r="S336" s="89"/>
    </row>
    <row r="337" customFormat="false" ht="15.75" hidden="true" customHeight="true" outlineLevel="0" collapsed="false">
      <c r="A337" s="46" t="str">
        <f aca="false">IF(_PENDIENTES!$B$331&lt;&gt;"",330,"")</f>
        <v/>
      </c>
      <c r="B337" s="41" t="str">
        <f aca="false">IF(_PENDIENTES!$B$331&lt;&gt;"",_PENDIENTES!$A$331,"")</f>
        <v/>
      </c>
      <c r="C337" s="110" t="str">
        <f aca="false">IF(_PENDIENTES!$B$331&lt;&gt;"",_PENDIENTES!$C$331,"")</f>
        <v/>
      </c>
      <c r="D337" s="46" t="str">
        <f aca="false">IF(_PENDIENTES!$B$331&lt;&gt;"",_PENDIENTES!$D$331,"")</f>
        <v/>
      </c>
      <c r="E337" s="112" t="str">
        <f aca="false">IF(_PENDIENTES!$B$331&lt;&gt;"",_PENDIENTES!$E$331,"")</f>
        <v/>
      </c>
      <c r="F337" s="46" t="str">
        <f aca="false">IF(_PENDIENTES!$B$331&lt;&gt;"",_PENDIENTES!$F$331,"")</f>
        <v/>
      </c>
      <c r="G337" s="44" t="str">
        <f aca="false">IF(_PENDIENTES!$B$331&lt;&gt;"",_PENDIENTES!$G$331,"")</f>
        <v/>
      </c>
      <c r="H337" s="44" t="str">
        <f aca="false">IF(_PENDIENTES!$B$331&lt;&gt;"",_PENDIENTES!$H$331,"")</f>
        <v/>
      </c>
      <c r="I337" s="110" t="str">
        <f aca="false">IF(_PENDIENTES!$B$331&lt;&gt;"",_PENDIENTES!$I$331,"")</f>
        <v/>
      </c>
      <c r="J337" s="46" t="str">
        <f aca="false">IF(_PENDIENTES!$B$331&lt;&gt;"",_PENDIENTES!$J$331,"")</f>
        <v/>
      </c>
      <c r="K337" s="46" t="str">
        <f aca="false">IF(_PENDIENTES!$B$331&lt;&gt;"","POR RECOGER","")</f>
        <v/>
      </c>
      <c r="L337" s="46" t="str">
        <f aca="false">IF(_PENDIENTES!$B$331&lt;&gt;"",_PENDIENTES!$K$331,"")</f>
        <v/>
      </c>
      <c r="M337" s="89" t="str">
        <f aca="false">IF(_PENDIENTES!$B$331&lt;&gt;"",_PENDIENTES!$B$331,"")</f>
        <v/>
      </c>
      <c r="N337" s="109" t="str">
        <f aca="false">IF(_PENDIENTES!$B$331&lt;&gt;"",_PENDIENTES!$L$331,"")</f>
        <v/>
      </c>
      <c r="O337" s="89"/>
      <c r="P337" s="89"/>
      <c r="Q337" s="89"/>
      <c r="R337" s="89"/>
      <c r="S337" s="89"/>
    </row>
    <row r="338" customFormat="false" ht="15.75" hidden="true" customHeight="true" outlineLevel="0" collapsed="false">
      <c r="A338" s="106" t="str">
        <f aca="false">IF(_PENDIENTES!$B$332&lt;&gt;"",331,"")</f>
        <v/>
      </c>
      <c r="B338" s="47" t="str">
        <f aca="false">IF(_PENDIENTES!$B$332&lt;&gt;"",_PENDIENTES!$A$332,"")</f>
        <v/>
      </c>
      <c r="C338" s="107" t="str">
        <f aca="false">IF(_PENDIENTES!$B$332&lt;&gt;"",_PENDIENTES!$C$332,"")</f>
        <v/>
      </c>
      <c r="D338" s="106" t="str">
        <f aca="false">IF(_PENDIENTES!$B$332&lt;&gt;"",_PENDIENTES!$D$332,"")</f>
        <v/>
      </c>
      <c r="E338" s="111" t="str">
        <f aca="false">IF(_PENDIENTES!$B$332&lt;&gt;"",_PENDIENTES!$E$332,"")</f>
        <v/>
      </c>
      <c r="F338" s="106" t="str">
        <f aca="false">IF(_PENDIENTES!$B$332&lt;&gt;"",_PENDIENTES!$F$332,"")</f>
        <v/>
      </c>
      <c r="G338" s="50" t="str">
        <f aca="false">IF(_PENDIENTES!$B$332&lt;&gt;"",_PENDIENTES!$G$332,"")</f>
        <v/>
      </c>
      <c r="H338" s="50" t="str">
        <f aca="false">IF(_PENDIENTES!$B$332&lt;&gt;"",_PENDIENTES!$H$332,"")</f>
        <v/>
      </c>
      <c r="I338" s="107" t="str">
        <f aca="false">IF(_PENDIENTES!$B$332&lt;&gt;"",_PENDIENTES!$I$332,"")</f>
        <v/>
      </c>
      <c r="J338" s="106" t="str">
        <f aca="false">IF(_PENDIENTES!$B$332&lt;&gt;"",_PENDIENTES!$J$332,"")</f>
        <v/>
      </c>
      <c r="K338" s="106" t="str">
        <f aca="false">IF(_PENDIENTES!$B$332&lt;&gt;"","POR RECOGER","")</f>
        <v/>
      </c>
      <c r="L338" s="106" t="str">
        <f aca="false">IF(_PENDIENTES!$B$332&lt;&gt;"",_PENDIENTES!$K$332,"")</f>
        <v/>
      </c>
      <c r="M338" s="89" t="str">
        <f aca="false">IF(_PENDIENTES!$B$332&lt;&gt;"",_PENDIENTES!$B$332,"")</f>
        <v/>
      </c>
      <c r="N338" s="109" t="str">
        <f aca="false">IF(_PENDIENTES!$B$332&lt;&gt;"",_PENDIENTES!$L$332,"")</f>
        <v/>
      </c>
      <c r="O338" s="89"/>
      <c r="P338" s="89"/>
      <c r="Q338" s="89"/>
      <c r="R338" s="89"/>
      <c r="S338" s="89"/>
    </row>
    <row r="339" customFormat="false" ht="15.75" hidden="true" customHeight="true" outlineLevel="0" collapsed="false">
      <c r="A339" s="46" t="str">
        <f aca="false">IF(_PENDIENTES!$B$333&lt;&gt;"",332,"")</f>
        <v/>
      </c>
      <c r="B339" s="41" t="str">
        <f aca="false">IF(_PENDIENTES!$B$333&lt;&gt;"",_PENDIENTES!$A$333,"")</f>
        <v/>
      </c>
      <c r="C339" s="110" t="str">
        <f aca="false">IF(_PENDIENTES!$B$333&lt;&gt;"",_PENDIENTES!$C$333,"")</f>
        <v/>
      </c>
      <c r="D339" s="46" t="str">
        <f aca="false">IF(_PENDIENTES!$B$333&lt;&gt;"",_PENDIENTES!$D$333,"")</f>
        <v/>
      </c>
      <c r="E339" s="112" t="str">
        <f aca="false">IF(_PENDIENTES!$B$333&lt;&gt;"",_PENDIENTES!$E$333,"")</f>
        <v/>
      </c>
      <c r="F339" s="46" t="str">
        <f aca="false">IF(_PENDIENTES!$B$333&lt;&gt;"",_PENDIENTES!$F$333,"")</f>
        <v/>
      </c>
      <c r="G339" s="44" t="str">
        <f aca="false">IF(_PENDIENTES!$B$333&lt;&gt;"",_PENDIENTES!$G$333,"")</f>
        <v/>
      </c>
      <c r="H339" s="44" t="str">
        <f aca="false">IF(_PENDIENTES!$B$333&lt;&gt;"",_PENDIENTES!$H$333,"")</f>
        <v/>
      </c>
      <c r="I339" s="110" t="str">
        <f aca="false">IF(_PENDIENTES!$B$333&lt;&gt;"",_PENDIENTES!$I$333,"")</f>
        <v/>
      </c>
      <c r="J339" s="46" t="str">
        <f aca="false">IF(_PENDIENTES!$B$333&lt;&gt;"",_PENDIENTES!$J$333,"")</f>
        <v/>
      </c>
      <c r="K339" s="46" t="str">
        <f aca="false">IF(_PENDIENTES!$B$333&lt;&gt;"","POR RECOGER","")</f>
        <v/>
      </c>
      <c r="L339" s="46" t="str">
        <f aca="false">IF(_PENDIENTES!$B$333&lt;&gt;"",_PENDIENTES!$K$333,"")</f>
        <v/>
      </c>
      <c r="M339" s="89" t="str">
        <f aca="false">IF(_PENDIENTES!$B$333&lt;&gt;"",_PENDIENTES!$B$333,"")</f>
        <v/>
      </c>
      <c r="N339" s="109" t="str">
        <f aca="false">IF(_PENDIENTES!$B$333&lt;&gt;"",_PENDIENTES!$L$333,"")</f>
        <v/>
      </c>
      <c r="O339" s="89"/>
      <c r="P339" s="89"/>
      <c r="Q339" s="89"/>
      <c r="R339" s="89"/>
      <c r="S339" s="89"/>
    </row>
    <row r="340" customFormat="false" ht="15.75" hidden="true" customHeight="true" outlineLevel="0" collapsed="false">
      <c r="A340" s="106" t="str">
        <f aca="false">IF(_PENDIENTES!$B$334&lt;&gt;"",333,"")</f>
        <v/>
      </c>
      <c r="B340" s="47" t="str">
        <f aca="false">IF(_PENDIENTES!$B$334&lt;&gt;"",_PENDIENTES!$A$334,"")</f>
        <v/>
      </c>
      <c r="C340" s="107" t="str">
        <f aca="false">IF(_PENDIENTES!$B$334&lt;&gt;"",_PENDIENTES!$C$334,"")</f>
        <v/>
      </c>
      <c r="D340" s="106" t="str">
        <f aca="false">IF(_PENDIENTES!$B$334&lt;&gt;"",_PENDIENTES!$D$334,"")</f>
        <v/>
      </c>
      <c r="E340" s="111" t="str">
        <f aca="false">IF(_PENDIENTES!$B$334&lt;&gt;"",_PENDIENTES!$E$334,"")</f>
        <v/>
      </c>
      <c r="F340" s="106" t="str">
        <f aca="false">IF(_PENDIENTES!$B$334&lt;&gt;"",_PENDIENTES!$F$334,"")</f>
        <v/>
      </c>
      <c r="G340" s="50" t="str">
        <f aca="false">IF(_PENDIENTES!$B$334&lt;&gt;"",_PENDIENTES!$G$334,"")</f>
        <v/>
      </c>
      <c r="H340" s="50" t="str">
        <f aca="false">IF(_PENDIENTES!$B$334&lt;&gt;"",_PENDIENTES!$H$334,"")</f>
        <v/>
      </c>
      <c r="I340" s="107" t="str">
        <f aca="false">IF(_PENDIENTES!$B$334&lt;&gt;"",_PENDIENTES!$I$334,"")</f>
        <v/>
      </c>
      <c r="J340" s="106" t="str">
        <f aca="false">IF(_PENDIENTES!$B$334&lt;&gt;"",_PENDIENTES!$J$334,"")</f>
        <v/>
      </c>
      <c r="K340" s="106" t="str">
        <f aca="false">IF(_PENDIENTES!$B$334&lt;&gt;"","POR RECOGER","")</f>
        <v/>
      </c>
      <c r="L340" s="106" t="str">
        <f aca="false">IF(_PENDIENTES!$B$334&lt;&gt;"",_PENDIENTES!$K$334,"")</f>
        <v/>
      </c>
      <c r="M340" s="89" t="str">
        <f aca="false">IF(_PENDIENTES!$B$334&lt;&gt;"",_PENDIENTES!$B$334,"")</f>
        <v/>
      </c>
      <c r="N340" s="109" t="str">
        <f aca="false">IF(_PENDIENTES!$B$334&lt;&gt;"",_PENDIENTES!$L$334,"")</f>
        <v/>
      </c>
      <c r="O340" s="89"/>
      <c r="P340" s="89"/>
      <c r="Q340" s="89"/>
      <c r="R340" s="89"/>
      <c r="S340" s="89"/>
    </row>
    <row r="341" customFormat="false" ht="15.75" hidden="true" customHeight="true" outlineLevel="0" collapsed="false">
      <c r="A341" s="46" t="str">
        <f aca="false">IF(_PENDIENTES!$B$335&lt;&gt;"",334,"")</f>
        <v/>
      </c>
      <c r="B341" s="41" t="str">
        <f aca="false">IF(_PENDIENTES!$B$335&lt;&gt;"",_PENDIENTES!$A$335,"")</f>
        <v/>
      </c>
      <c r="C341" s="110" t="str">
        <f aca="false">IF(_PENDIENTES!$B$335&lt;&gt;"",_PENDIENTES!$C$335,"")</f>
        <v/>
      </c>
      <c r="D341" s="46" t="str">
        <f aca="false">IF(_PENDIENTES!$B$335&lt;&gt;"",_PENDIENTES!$D$335,"")</f>
        <v/>
      </c>
      <c r="E341" s="112" t="str">
        <f aca="false">IF(_PENDIENTES!$B$335&lt;&gt;"",_PENDIENTES!$E$335,"")</f>
        <v/>
      </c>
      <c r="F341" s="46" t="str">
        <f aca="false">IF(_PENDIENTES!$B$335&lt;&gt;"",_PENDIENTES!$F$335,"")</f>
        <v/>
      </c>
      <c r="G341" s="44" t="str">
        <f aca="false">IF(_PENDIENTES!$B$335&lt;&gt;"",_PENDIENTES!$G$335,"")</f>
        <v/>
      </c>
      <c r="H341" s="44" t="str">
        <f aca="false">IF(_PENDIENTES!$B$335&lt;&gt;"",_PENDIENTES!$H$335,"")</f>
        <v/>
      </c>
      <c r="I341" s="110" t="str">
        <f aca="false">IF(_PENDIENTES!$B$335&lt;&gt;"",_PENDIENTES!$I$335,"")</f>
        <v/>
      </c>
      <c r="J341" s="46" t="str">
        <f aca="false">IF(_PENDIENTES!$B$335&lt;&gt;"",_PENDIENTES!$J$335,"")</f>
        <v/>
      </c>
      <c r="K341" s="46" t="str">
        <f aca="false">IF(_PENDIENTES!$B$335&lt;&gt;"","POR RECOGER","")</f>
        <v/>
      </c>
      <c r="L341" s="46" t="str">
        <f aca="false">IF(_PENDIENTES!$B$335&lt;&gt;"",_PENDIENTES!$K$335,"")</f>
        <v/>
      </c>
      <c r="M341" s="89" t="str">
        <f aca="false">IF(_PENDIENTES!$B$335&lt;&gt;"",_PENDIENTES!$B$335,"")</f>
        <v/>
      </c>
      <c r="N341" s="109" t="str">
        <f aca="false">IF(_PENDIENTES!$B$335&lt;&gt;"",_PENDIENTES!$L$335,"")</f>
        <v/>
      </c>
      <c r="O341" s="89"/>
      <c r="P341" s="89"/>
      <c r="Q341" s="89"/>
      <c r="R341" s="89"/>
      <c r="S341" s="89"/>
    </row>
    <row r="342" customFormat="false" ht="15.75" hidden="true" customHeight="true" outlineLevel="0" collapsed="false">
      <c r="A342" s="106" t="str">
        <f aca="false">IF(_PENDIENTES!$B$336&lt;&gt;"",335,"")</f>
        <v/>
      </c>
      <c r="B342" s="47" t="str">
        <f aca="false">IF(_PENDIENTES!$B$336&lt;&gt;"",_PENDIENTES!$A$336,"")</f>
        <v/>
      </c>
      <c r="C342" s="107" t="str">
        <f aca="false">IF(_PENDIENTES!$B$336&lt;&gt;"",_PENDIENTES!$C$336,"")</f>
        <v/>
      </c>
      <c r="D342" s="106" t="str">
        <f aca="false">IF(_PENDIENTES!$B$336&lt;&gt;"",_PENDIENTES!$D$336,"")</f>
        <v/>
      </c>
      <c r="E342" s="111" t="str">
        <f aca="false">IF(_PENDIENTES!$B$336&lt;&gt;"",_PENDIENTES!$E$336,"")</f>
        <v/>
      </c>
      <c r="F342" s="106" t="str">
        <f aca="false">IF(_PENDIENTES!$B$336&lt;&gt;"",_PENDIENTES!$F$336,"")</f>
        <v/>
      </c>
      <c r="G342" s="50" t="str">
        <f aca="false">IF(_PENDIENTES!$B$336&lt;&gt;"",_PENDIENTES!$G$336,"")</f>
        <v/>
      </c>
      <c r="H342" s="50" t="str">
        <f aca="false">IF(_PENDIENTES!$B$336&lt;&gt;"",_PENDIENTES!$H$336,"")</f>
        <v/>
      </c>
      <c r="I342" s="107" t="str">
        <f aca="false">IF(_PENDIENTES!$B$336&lt;&gt;"",_PENDIENTES!$I$336,"")</f>
        <v/>
      </c>
      <c r="J342" s="106" t="str">
        <f aca="false">IF(_PENDIENTES!$B$336&lt;&gt;"",_PENDIENTES!$J$336,"")</f>
        <v/>
      </c>
      <c r="K342" s="106" t="str">
        <f aca="false">IF(_PENDIENTES!$B$336&lt;&gt;"","POR RECOGER","")</f>
        <v/>
      </c>
      <c r="L342" s="106" t="str">
        <f aca="false">IF(_PENDIENTES!$B$336&lt;&gt;"",_PENDIENTES!$K$336,"")</f>
        <v/>
      </c>
      <c r="M342" s="89" t="str">
        <f aca="false">IF(_PENDIENTES!$B$336&lt;&gt;"",_PENDIENTES!$B$336,"")</f>
        <v/>
      </c>
      <c r="N342" s="109" t="str">
        <f aca="false">IF(_PENDIENTES!$B$336&lt;&gt;"",_PENDIENTES!$L$336,"")</f>
        <v/>
      </c>
      <c r="O342" s="89"/>
      <c r="P342" s="89"/>
      <c r="Q342" s="89"/>
      <c r="R342" s="89"/>
      <c r="S342" s="89"/>
    </row>
    <row r="343" customFormat="false" ht="15.75" hidden="true" customHeight="true" outlineLevel="0" collapsed="false">
      <c r="A343" s="46" t="str">
        <f aca="false">IF(_PENDIENTES!$B$337&lt;&gt;"",336,"")</f>
        <v/>
      </c>
      <c r="B343" s="41" t="str">
        <f aca="false">IF(_PENDIENTES!$B$337&lt;&gt;"",_PENDIENTES!$A$337,"")</f>
        <v/>
      </c>
      <c r="C343" s="110" t="str">
        <f aca="false">IF(_PENDIENTES!$B$337&lt;&gt;"",_PENDIENTES!$C$337,"")</f>
        <v/>
      </c>
      <c r="D343" s="46" t="str">
        <f aca="false">IF(_PENDIENTES!$B$337&lt;&gt;"",_PENDIENTES!$D$337,"")</f>
        <v/>
      </c>
      <c r="E343" s="112" t="str">
        <f aca="false">IF(_PENDIENTES!$B$337&lt;&gt;"",_PENDIENTES!$E$337,"")</f>
        <v/>
      </c>
      <c r="F343" s="46" t="str">
        <f aca="false">IF(_PENDIENTES!$B$337&lt;&gt;"",_PENDIENTES!$F$337,"")</f>
        <v/>
      </c>
      <c r="G343" s="44" t="str">
        <f aca="false">IF(_PENDIENTES!$B$337&lt;&gt;"",_PENDIENTES!$G$337,"")</f>
        <v/>
      </c>
      <c r="H343" s="44" t="str">
        <f aca="false">IF(_PENDIENTES!$B$337&lt;&gt;"",_PENDIENTES!$H$337,"")</f>
        <v/>
      </c>
      <c r="I343" s="110" t="str">
        <f aca="false">IF(_PENDIENTES!$B$337&lt;&gt;"",_PENDIENTES!$I$337,"")</f>
        <v/>
      </c>
      <c r="J343" s="46" t="str">
        <f aca="false">IF(_PENDIENTES!$B$337&lt;&gt;"",_PENDIENTES!$J$337,"")</f>
        <v/>
      </c>
      <c r="K343" s="46" t="str">
        <f aca="false">IF(_PENDIENTES!$B$337&lt;&gt;"","POR RECOGER","")</f>
        <v/>
      </c>
      <c r="L343" s="46" t="str">
        <f aca="false">IF(_PENDIENTES!$B$337&lt;&gt;"",_PENDIENTES!$K$337,"")</f>
        <v/>
      </c>
      <c r="M343" s="89" t="str">
        <f aca="false">IF(_PENDIENTES!$B$337&lt;&gt;"",_PENDIENTES!$B$337,"")</f>
        <v/>
      </c>
      <c r="N343" s="109" t="str">
        <f aca="false">IF(_PENDIENTES!$B$337&lt;&gt;"",_PENDIENTES!$L$337,"")</f>
        <v/>
      </c>
      <c r="O343" s="89"/>
      <c r="P343" s="89"/>
      <c r="Q343" s="89"/>
      <c r="R343" s="89"/>
      <c r="S343" s="89"/>
    </row>
    <row r="344" customFormat="false" ht="15.75" hidden="true" customHeight="true" outlineLevel="0" collapsed="false">
      <c r="A344" s="106" t="str">
        <f aca="false">IF(_PENDIENTES!$B$338&lt;&gt;"",337,"")</f>
        <v/>
      </c>
      <c r="B344" s="47" t="str">
        <f aca="false">IF(_PENDIENTES!$B$338&lt;&gt;"",_PENDIENTES!$A$338,"")</f>
        <v/>
      </c>
      <c r="C344" s="107" t="str">
        <f aca="false">IF(_PENDIENTES!$B$338&lt;&gt;"",_PENDIENTES!$C$338,"")</f>
        <v/>
      </c>
      <c r="D344" s="106" t="str">
        <f aca="false">IF(_PENDIENTES!$B$338&lt;&gt;"",_PENDIENTES!$D$338,"")</f>
        <v/>
      </c>
      <c r="E344" s="111" t="str">
        <f aca="false">IF(_PENDIENTES!$B$338&lt;&gt;"",_PENDIENTES!$E$338,"")</f>
        <v/>
      </c>
      <c r="F344" s="106" t="str">
        <f aca="false">IF(_PENDIENTES!$B$338&lt;&gt;"",_PENDIENTES!$F$338,"")</f>
        <v/>
      </c>
      <c r="G344" s="50" t="str">
        <f aca="false">IF(_PENDIENTES!$B$338&lt;&gt;"",_PENDIENTES!$G$338,"")</f>
        <v/>
      </c>
      <c r="H344" s="50" t="str">
        <f aca="false">IF(_PENDIENTES!$B$338&lt;&gt;"",_PENDIENTES!$H$338,"")</f>
        <v/>
      </c>
      <c r="I344" s="107" t="str">
        <f aca="false">IF(_PENDIENTES!$B$338&lt;&gt;"",_PENDIENTES!$I$338,"")</f>
        <v/>
      </c>
      <c r="J344" s="106" t="str">
        <f aca="false">IF(_PENDIENTES!$B$338&lt;&gt;"",_PENDIENTES!$J$338,"")</f>
        <v/>
      </c>
      <c r="K344" s="106" t="str">
        <f aca="false">IF(_PENDIENTES!$B$338&lt;&gt;"","POR RECOGER","")</f>
        <v/>
      </c>
      <c r="L344" s="106" t="str">
        <f aca="false">IF(_PENDIENTES!$B$338&lt;&gt;"",_PENDIENTES!$K$338,"")</f>
        <v/>
      </c>
      <c r="M344" s="89" t="str">
        <f aca="false">IF(_PENDIENTES!$B$338&lt;&gt;"",_PENDIENTES!$B$338,"")</f>
        <v/>
      </c>
      <c r="N344" s="109" t="str">
        <f aca="false">IF(_PENDIENTES!$B$338&lt;&gt;"",_PENDIENTES!$L$338,"")</f>
        <v/>
      </c>
      <c r="O344" s="89"/>
      <c r="P344" s="89"/>
      <c r="Q344" s="89"/>
      <c r="R344" s="89"/>
      <c r="S344" s="89"/>
    </row>
    <row r="345" customFormat="false" ht="15.75" hidden="true" customHeight="true" outlineLevel="0" collapsed="false">
      <c r="A345" s="46" t="str">
        <f aca="false">IF(_PENDIENTES!$B$339&lt;&gt;"",338,"")</f>
        <v/>
      </c>
      <c r="B345" s="41" t="str">
        <f aca="false">IF(_PENDIENTES!$B$339&lt;&gt;"",_PENDIENTES!$A$339,"")</f>
        <v/>
      </c>
      <c r="C345" s="110" t="str">
        <f aca="false">IF(_PENDIENTES!$B$339&lt;&gt;"",_PENDIENTES!$C$339,"")</f>
        <v/>
      </c>
      <c r="D345" s="46" t="str">
        <f aca="false">IF(_PENDIENTES!$B$339&lt;&gt;"",_PENDIENTES!$D$339,"")</f>
        <v/>
      </c>
      <c r="E345" s="112" t="str">
        <f aca="false">IF(_PENDIENTES!$B$339&lt;&gt;"",_PENDIENTES!$E$339,"")</f>
        <v/>
      </c>
      <c r="F345" s="46" t="str">
        <f aca="false">IF(_PENDIENTES!$B$339&lt;&gt;"",_PENDIENTES!$F$339,"")</f>
        <v/>
      </c>
      <c r="G345" s="44" t="str">
        <f aca="false">IF(_PENDIENTES!$B$339&lt;&gt;"",_PENDIENTES!$G$339,"")</f>
        <v/>
      </c>
      <c r="H345" s="44" t="str">
        <f aca="false">IF(_PENDIENTES!$B$339&lt;&gt;"",_PENDIENTES!$H$339,"")</f>
        <v/>
      </c>
      <c r="I345" s="110" t="str">
        <f aca="false">IF(_PENDIENTES!$B$339&lt;&gt;"",_PENDIENTES!$I$339,"")</f>
        <v/>
      </c>
      <c r="J345" s="46" t="str">
        <f aca="false">IF(_PENDIENTES!$B$339&lt;&gt;"",_PENDIENTES!$J$339,"")</f>
        <v/>
      </c>
      <c r="K345" s="46" t="str">
        <f aca="false">IF(_PENDIENTES!$B$339&lt;&gt;"","POR RECOGER","")</f>
        <v/>
      </c>
      <c r="L345" s="46" t="str">
        <f aca="false">IF(_PENDIENTES!$B$339&lt;&gt;"",_PENDIENTES!$K$339,"")</f>
        <v/>
      </c>
      <c r="M345" s="89" t="str">
        <f aca="false">IF(_PENDIENTES!$B$339&lt;&gt;"",_PENDIENTES!$B$339,"")</f>
        <v/>
      </c>
      <c r="N345" s="109" t="str">
        <f aca="false">IF(_PENDIENTES!$B$339&lt;&gt;"",_PENDIENTES!$L$339,"")</f>
        <v/>
      </c>
      <c r="O345" s="89"/>
      <c r="P345" s="89"/>
      <c r="Q345" s="89"/>
      <c r="R345" s="89"/>
      <c r="S345" s="89"/>
    </row>
    <row r="346" customFormat="false" ht="15.75" hidden="true" customHeight="true" outlineLevel="0" collapsed="false">
      <c r="A346" s="106" t="str">
        <f aca="false">IF(_PENDIENTES!$B$340&lt;&gt;"",339,"")</f>
        <v/>
      </c>
      <c r="B346" s="47" t="str">
        <f aca="false">IF(_PENDIENTES!$B$340&lt;&gt;"",_PENDIENTES!$A$340,"")</f>
        <v/>
      </c>
      <c r="C346" s="107" t="str">
        <f aca="false">IF(_PENDIENTES!$B$340&lt;&gt;"",_PENDIENTES!$C$340,"")</f>
        <v/>
      </c>
      <c r="D346" s="106" t="str">
        <f aca="false">IF(_PENDIENTES!$B$340&lt;&gt;"",_PENDIENTES!$D$340,"")</f>
        <v/>
      </c>
      <c r="E346" s="111" t="str">
        <f aca="false">IF(_PENDIENTES!$B$340&lt;&gt;"",_PENDIENTES!$E$340,"")</f>
        <v/>
      </c>
      <c r="F346" s="106" t="str">
        <f aca="false">IF(_PENDIENTES!$B$340&lt;&gt;"",_PENDIENTES!$F$340,"")</f>
        <v/>
      </c>
      <c r="G346" s="50" t="str">
        <f aca="false">IF(_PENDIENTES!$B$340&lt;&gt;"",_PENDIENTES!$G$340,"")</f>
        <v/>
      </c>
      <c r="H346" s="50" t="str">
        <f aca="false">IF(_PENDIENTES!$B$340&lt;&gt;"",_PENDIENTES!$H$340,"")</f>
        <v/>
      </c>
      <c r="I346" s="107" t="str">
        <f aca="false">IF(_PENDIENTES!$B$340&lt;&gt;"",_PENDIENTES!$I$340,"")</f>
        <v/>
      </c>
      <c r="J346" s="106" t="str">
        <f aca="false">IF(_PENDIENTES!$B$340&lt;&gt;"",_PENDIENTES!$J$340,"")</f>
        <v/>
      </c>
      <c r="K346" s="106" t="str">
        <f aca="false">IF(_PENDIENTES!$B$340&lt;&gt;"","POR RECOGER","")</f>
        <v/>
      </c>
      <c r="L346" s="106" t="str">
        <f aca="false">IF(_PENDIENTES!$B$340&lt;&gt;"",_PENDIENTES!$K$340,"")</f>
        <v/>
      </c>
      <c r="M346" s="89" t="str">
        <f aca="false">IF(_PENDIENTES!$B$340&lt;&gt;"",_PENDIENTES!$B$340,"")</f>
        <v/>
      </c>
      <c r="N346" s="109" t="str">
        <f aca="false">IF(_PENDIENTES!$B$340&lt;&gt;"",_PENDIENTES!$L$340,"")</f>
        <v/>
      </c>
      <c r="O346" s="89"/>
      <c r="P346" s="89"/>
      <c r="Q346" s="89"/>
      <c r="R346" s="89"/>
      <c r="S346" s="89"/>
    </row>
    <row r="347" customFormat="false" ht="15.75" hidden="true" customHeight="true" outlineLevel="0" collapsed="false">
      <c r="A347" s="46" t="str">
        <f aca="false">IF(_PENDIENTES!$B$341&lt;&gt;"",340,"")</f>
        <v/>
      </c>
      <c r="B347" s="41" t="str">
        <f aca="false">IF(_PENDIENTES!$B$341&lt;&gt;"",_PENDIENTES!$A$341,"")</f>
        <v/>
      </c>
      <c r="C347" s="110" t="str">
        <f aca="false">IF(_PENDIENTES!$B$341&lt;&gt;"",_PENDIENTES!$C$341,"")</f>
        <v/>
      </c>
      <c r="D347" s="46" t="str">
        <f aca="false">IF(_PENDIENTES!$B$341&lt;&gt;"",_PENDIENTES!$D$341,"")</f>
        <v/>
      </c>
      <c r="E347" s="112" t="str">
        <f aca="false">IF(_PENDIENTES!$B$341&lt;&gt;"",_PENDIENTES!$E$341,"")</f>
        <v/>
      </c>
      <c r="F347" s="46" t="str">
        <f aca="false">IF(_PENDIENTES!$B$341&lt;&gt;"",_PENDIENTES!$F$341,"")</f>
        <v/>
      </c>
      <c r="G347" s="44" t="str">
        <f aca="false">IF(_PENDIENTES!$B$341&lt;&gt;"",_PENDIENTES!$G$341,"")</f>
        <v/>
      </c>
      <c r="H347" s="44" t="str">
        <f aca="false">IF(_PENDIENTES!$B$341&lt;&gt;"",_PENDIENTES!$H$341,"")</f>
        <v/>
      </c>
      <c r="I347" s="110" t="str">
        <f aca="false">IF(_PENDIENTES!$B$341&lt;&gt;"",_PENDIENTES!$I$341,"")</f>
        <v/>
      </c>
      <c r="J347" s="46" t="str">
        <f aca="false">IF(_PENDIENTES!$B$341&lt;&gt;"",_PENDIENTES!$J$341,"")</f>
        <v/>
      </c>
      <c r="K347" s="46" t="str">
        <f aca="false">IF(_PENDIENTES!$B$341&lt;&gt;"","POR RECOGER","")</f>
        <v/>
      </c>
      <c r="L347" s="46" t="str">
        <f aca="false">IF(_PENDIENTES!$B$341&lt;&gt;"",_PENDIENTES!$K$341,"")</f>
        <v/>
      </c>
      <c r="M347" s="89" t="str">
        <f aca="false">IF(_PENDIENTES!$B$341&lt;&gt;"",_PENDIENTES!$B$341,"")</f>
        <v/>
      </c>
      <c r="N347" s="109" t="str">
        <f aca="false">IF(_PENDIENTES!$B$341&lt;&gt;"",_PENDIENTES!$L$341,"")</f>
        <v/>
      </c>
      <c r="O347" s="89"/>
      <c r="P347" s="89"/>
      <c r="Q347" s="89"/>
      <c r="R347" s="89"/>
      <c r="S347" s="89"/>
    </row>
    <row r="348" customFormat="false" ht="15.75" hidden="true" customHeight="true" outlineLevel="0" collapsed="false">
      <c r="A348" s="106" t="str">
        <f aca="false">IF(_PENDIENTES!$B$342&lt;&gt;"",341,"")</f>
        <v/>
      </c>
      <c r="B348" s="47" t="str">
        <f aca="false">IF(_PENDIENTES!$B$342&lt;&gt;"",_PENDIENTES!$A$342,"")</f>
        <v/>
      </c>
      <c r="C348" s="107" t="str">
        <f aca="false">IF(_PENDIENTES!$B$342&lt;&gt;"",_PENDIENTES!$C$342,"")</f>
        <v/>
      </c>
      <c r="D348" s="106" t="str">
        <f aca="false">IF(_PENDIENTES!$B$342&lt;&gt;"",_PENDIENTES!$D$342,"")</f>
        <v/>
      </c>
      <c r="E348" s="111" t="str">
        <f aca="false">IF(_PENDIENTES!$B$342&lt;&gt;"",_PENDIENTES!$E$342,"")</f>
        <v/>
      </c>
      <c r="F348" s="106" t="str">
        <f aca="false">IF(_PENDIENTES!$B$342&lt;&gt;"",_PENDIENTES!$F$342,"")</f>
        <v/>
      </c>
      <c r="G348" s="50" t="str">
        <f aca="false">IF(_PENDIENTES!$B$342&lt;&gt;"",_PENDIENTES!$G$342,"")</f>
        <v/>
      </c>
      <c r="H348" s="50" t="str">
        <f aca="false">IF(_PENDIENTES!$B$342&lt;&gt;"",_PENDIENTES!$H$342,"")</f>
        <v/>
      </c>
      <c r="I348" s="107" t="str">
        <f aca="false">IF(_PENDIENTES!$B$342&lt;&gt;"",_PENDIENTES!$I$342,"")</f>
        <v/>
      </c>
      <c r="J348" s="106" t="str">
        <f aca="false">IF(_PENDIENTES!$B$342&lt;&gt;"",_PENDIENTES!$J$342,"")</f>
        <v/>
      </c>
      <c r="K348" s="106" t="str">
        <f aca="false">IF(_PENDIENTES!$B$342&lt;&gt;"","POR RECOGER","")</f>
        <v/>
      </c>
      <c r="L348" s="106" t="str">
        <f aca="false">IF(_PENDIENTES!$B$342&lt;&gt;"",_PENDIENTES!$K$342,"")</f>
        <v/>
      </c>
      <c r="M348" s="89" t="str">
        <f aca="false">IF(_PENDIENTES!$B$342&lt;&gt;"",_PENDIENTES!$B$342,"")</f>
        <v/>
      </c>
      <c r="N348" s="109" t="str">
        <f aca="false">IF(_PENDIENTES!$B$342&lt;&gt;"",_PENDIENTES!$L$342,"")</f>
        <v/>
      </c>
      <c r="O348" s="89"/>
      <c r="P348" s="89"/>
      <c r="Q348" s="89"/>
      <c r="R348" s="89"/>
      <c r="S348" s="89"/>
    </row>
    <row r="349" customFormat="false" ht="15.75" hidden="true" customHeight="true" outlineLevel="0" collapsed="false">
      <c r="A349" s="46" t="str">
        <f aca="false">IF(_PENDIENTES!$B$343&lt;&gt;"",342,"")</f>
        <v/>
      </c>
      <c r="B349" s="41" t="str">
        <f aca="false">IF(_PENDIENTES!$B$343&lt;&gt;"",_PENDIENTES!$A$343,"")</f>
        <v/>
      </c>
      <c r="C349" s="110" t="str">
        <f aca="false">IF(_PENDIENTES!$B$343&lt;&gt;"",_PENDIENTES!$C$343,"")</f>
        <v/>
      </c>
      <c r="D349" s="46" t="str">
        <f aca="false">IF(_PENDIENTES!$B$343&lt;&gt;"",_PENDIENTES!$D$343,"")</f>
        <v/>
      </c>
      <c r="E349" s="112" t="str">
        <f aca="false">IF(_PENDIENTES!$B$343&lt;&gt;"",_PENDIENTES!$E$343,"")</f>
        <v/>
      </c>
      <c r="F349" s="46" t="str">
        <f aca="false">IF(_PENDIENTES!$B$343&lt;&gt;"",_PENDIENTES!$F$343,"")</f>
        <v/>
      </c>
      <c r="G349" s="44" t="str">
        <f aca="false">IF(_PENDIENTES!$B$343&lt;&gt;"",_PENDIENTES!$G$343,"")</f>
        <v/>
      </c>
      <c r="H349" s="44" t="str">
        <f aca="false">IF(_PENDIENTES!$B$343&lt;&gt;"",_PENDIENTES!$H$343,"")</f>
        <v/>
      </c>
      <c r="I349" s="110" t="str">
        <f aca="false">IF(_PENDIENTES!$B$343&lt;&gt;"",_PENDIENTES!$I$343,"")</f>
        <v/>
      </c>
      <c r="J349" s="46" t="str">
        <f aca="false">IF(_PENDIENTES!$B$343&lt;&gt;"",_PENDIENTES!$J$343,"")</f>
        <v/>
      </c>
      <c r="K349" s="46" t="str">
        <f aca="false">IF(_PENDIENTES!$B$343&lt;&gt;"","POR RECOGER","")</f>
        <v/>
      </c>
      <c r="L349" s="46" t="str">
        <f aca="false">IF(_PENDIENTES!$B$343&lt;&gt;"",_PENDIENTES!$K$343,"")</f>
        <v/>
      </c>
      <c r="M349" s="89" t="str">
        <f aca="false">IF(_PENDIENTES!$B$343&lt;&gt;"",_PENDIENTES!$B$343,"")</f>
        <v/>
      </c>
      <c r="N349" s="109" t="str">
        <f aca="false">IF(_PENDIENTES!$B$343&lt;&gt;"",_PENDIENTES!$L$343,"")</f>
        <v/>
      </c>
      <c r="O349" s="89"/>
      <c r="P349" s="89"/>
      <c r="Q349" s="89"/>
      <c r="R349" s="89"/>
      <c r="S349" s="89"/>
    </row>
    <row r="350" customFormat="false" ht="15.75" hidden="true" customHeight="true" outlineLevel="0" collapsed="false">
      <c r="A350" s="106" t="str">
        <f aca="false">IF(_PENDIENTES!$B$344&lt;&gt;"",343,"")</f>
        <v/>
      </c>
      <c r="B350" s="47" t="str">
        <f aca="false">IF(_PENDIENTES!$B$344&lt;&gt;"",_PENDIENTES!$A$344,"")</f>
        <v/>
      </c>
      <c r="C350" s="107" t="str">
        <f aca="false">IF(_PENDIENTES!$B$344&lt;&gt;"",_PENDIENTES!$C$344,"")</f>
        <v/>
      </c>
      <c r="D350" s="106" t="str">
        <f aca="false">IF(_PENDIENTES!$B$344&lt;&gt;"",_PENDIENTES!$D$344,"")</f>
        <v/>
      </c>
      <c r="E350" s="111" t="str">
        <f aca="false">IF(_PENDIENTES!$B$344&lt;&gt;"",_PENDIENTES!$E$344,"")</f>
        <v/>
      </c>
      <c r="F350" s="106" t="str">
        <f aca="false">IF(_PENDIENTES!$B$344&lt;&gt;"",_PENDIENTES!$F$344,"")</f>
        <v/>
      </c>
      <c r="G350" s="50" t="str">
        <f aca="false">IF(_PENDIENTES!$B$344&lt;&gt;"",_PENDIENTES!$G$344,"")</f>
        <v/>
      </c>
      <c r="H350" s="50" t="str">
        <f aca="false">IF(_PENDIENTES!$B$344&lt;&gt;"",_PENDIENTES!$H$344,"")</f>
        <v/>
      </c>
      <c r="I350" s="107" t="str">
        <f aca="false">IF(_PENDIENTES!$B$344&lt;&gt;"",_PENDIENTES!$I$344,"")</f>
        <v/>
      </c>
      <c r="J350" s="106" t="str">
        <f aca="false">IF(_PENDIENTES!$B$344&lt;&gt;"",_PENDIENTES!$J$344,"")</f>
        <v/>
      </c>
      <c r="K350" s="106" t="str">
        <f aca="false">IF(_PENDIENTES!$B$344&lt;&gt;"","POR RECOGER","")</f>
        <v/>
      </c>
      <c r="L350" s="106" t="str">
        <f aca="false">IF(_PENDIENTES!$B$344&lt;&gt;"",_PENDIENTES!$K$344,"")</f>
        <v/>
      </c>
      <c r="M350" s="89" t="str">
        <f aca="false">IF(_PENDIENTES!$B$344&lt;&gt;"",_PENDIENTES!$B$344,"")</f>
        <v/>
      </c>
      <c r="N350" s="109" t="str">
        <f aca="false">IF(_PENDIENTES!$B$344&lt;&gt;"",_PENDIENTES!$L$344,"")</f>
        <v/>
      </c>
      <c r="O350" s="89"/>
      <c r="P350" s="89"/>
      <c r="Q350" s="89"/>
      <c r="R350" s="89"/>
      <c r="S350" s="89"/>
    </row>
    <row r="351" customFormat="false" ht="15.75" hidden="true" customHeight="true" outlineLevel="0" collapsed="false">
      <c r="A351" s="46" t="str">
        <f aca="false">IF(_PENDIENTES!$B$345&lt;&gt;"",344,"")</f>
        <v/>
      </c>
      <c r="B351" s="41" t="str">
        <f aca="false">IF(_PENDIENTES!$B$345&lt;&gt;"",_PENDIENTES!$A$345,"")</f>
        <v/>
      </c>
      <c r="C351" s="110" t="str">
        <f aca="false">IF(_PENDIENTES!$B$345&lt;&gt;"",_PENDIENTES!$C$345,"")</f>
        <v/>
      </c>
      <c r="D351" s="46" t="str">
        <f aca="false">IF(_PENDIENTES!$B$345&lt;&gt;"",_PENDIENTES!$D$345,"")</f>
        <v/>
      </c>
      <c r="E351" s="112" t="str">
        <f aca="false">IF(_PENDIENTES!$B$345&lt;&gt;"",_PENDIENTES!$E$345,"")</f>
        <v/>
      </c>
      <c r="F351" s="46" t="str">
        <f aca="false">IF(_PENDIENTES!$B$345&lt;&gt;"",_PENDIENTES!$F$345,"")</f>
        <v/>
      </c>
      <c r="G351" s="44" t="str">
        <f aca="false">IF(_PENDIENTES!$B$345&lt;&gt;"",_PENDIENTES!$G$345,"")</f>
        <v/>
      </c>
      <c r="H351" s="44" t="str">
        <f aca="false">IF(_PENDIENTES!$B$345&lt;&gt;"",_PENDIENTES!$H$345,"")</f>
        <v/>
      </c>
      <c r="I351" s="110" t="str">
        <f aca="false">IF(_PENDIENTES!$B$345&lt;&gt;"",_PENDIENTES!$I$345,"")</f>
        <v/>
      </c>
      <c r="J351" s="46" t="str">
        <f aca="false">IF(_PENDIENTES!$B$345&lt;&gt;"",_PENDIENTES!$J$345,"")</f>
        <v/>
      </c>
      <c r="K351" s="46" t="str">
        <f aca="false">IF(_PENDIENTES!$B$345&lt;&gt;"","POR RECOGER","")</f>
        <v/>
      </c>
      <c r="L351" s="46" t="str">
        <f aca="false">IF(_PENDIENTES!$B$345&lt;&gt;"",_PENDIENTES!$K$345,"")</f>
        <v/>
      </c>
      <c r="M351" s="89" t="str">
        <f aca="false">IF(_PENDIENTES!$B$345&lt;&gt;"",_PENDIENTES!$B$345,"")</f>
        <v/>
      </c>
      <c r="N351" s="109" t="str">
        <f aca="false">IF(_PENDIENTES!$B$345&lt;&gt;"",_PENDIENTES!$L$345,"")</f>
        <v/>
      </c>
      <c r="O351" s="89"/>
      <c r="P351" s="89"/>
      <c r="Q351" s="89"/>
      <c r="R351" s="89"/>
      <c r="S351" s="89"/>
    </row>
    <row r="352" customFormat="false" ht="15.75" hidden="true" customHeight="true" outlineLevel="0" collapsed="false">
      <c r="A352" s="106" t="str">
        <f aca="false">IF(_PENDIENTES!$B$346&lt;&gt;"",345,"")</f>
        <v/>
      </c>
      <c r="B352" s="47" t="str">
        <f aca="false">IF(_PENDIENTES!$B$346&lt;&gt;"",_PENDIENTES!$A$346,"")</f>
        <v/>
      </c>
      <c r="C352" s="107" t="str">
        <f aca="false">IF(_PENDIENTES!$B$346&lt;&gt;"",_PENDIENTES!$C$346,"")</f>
        <v/>
      </c>
      <c r="D352" s="106" t="str">
        <f aca="false">IF(_PENDIENTES!$B$346&lt;&gt;"",_PENDIENTES!$D$346,"")</f>
        <v/>
      </c>
      <c r="E352" s="111" t="str">
        <f aca="false">IF(_PENDIENTES!$B$346&lt;&gt;"",_PENDIENTES!$E$346,"")</f>
        <v/>
      </c>
      <c r="F352" s="106" t="str">
        <f aca="false">IF(_PENDIENTES!$B$346&lt;&gt;"",_PENDIENTES!$F$346,"")</f>
        <v/>
      </c>
      <c r="G352" s="50" t="str">
        <f aca="false">IF(_PENDIENTES!$B$346&lt;&gt;"",_PENDIENTES!$G$346,"")</f>
        <v/>
      </c>
      <c r="H352" s="50" t="str">
        <f aca="false">IF(_PENDIENTES!$B$346&lt;&gt;"",_PENDIENTES!$H$346,"")</f>
        <v/>
      </c>
      <c r="I352" s="107" t="str">
        <f aca="false">IF(_PENDIENTES!$B$346&lt;&gt;"",_PENDIENTES!$I$346,"")</f>
        <v/>
      </c>
      <c r="J352" s="106" t="str">
        <f aca="false">IF(_PENDIENTES!$B$346&lt;&gt;"",_PENDIENTES!$J$346,"")</f>
        <v/>
      </c>
      <c r="K352" s="106" t="str">
        <f aca="false">IF(_PENDIENTES!$B$346&lt;&gt;"","POR RECOGER","")</f>
        <v/>
      </c>
      <c r="L352" s="106" t="str">
        <f aca="false">IF(_PENDIENTES!$B$346&lt;&gt;"",_PENDIENTES!$K$346,"")</f>
        <v/>
      </c>
      <c r="M352" s="89" t="str">
        <f aca="false">IF(_PENDIENTES!$B$346&lt;&gt;"",_PENDIENTES!$B$346,"")</f>
        <v/>
      </c>
      <c r="N352" s="109" t="str">
        <f aca="false">IF(_PENDIENTES!$B$346&lt;&gt;"",_PENDIENTES!$L$346,"")</f>
        <v/>
      </c>
      <c r="O352" s="89"/>
      <c r="P352" s="89"/>
      <c r="Q352" s="89"/>
      <c r="R352" s="89"/>
      <c r="S352" s="89"/>
    </row>
    <row r="353" customFormat="false" ht="15.75" hidden="true" customHeight="true" outlineLevel="0" collapsed="false">
      <c r="A353" s="46" t="str">
        <f aca="false">IF(_PENDIENTES!$B$347&lt;&gt;"",346,"")</f>
        <v/>
      </c>
      <c r="B353" s="41" t="str">
        <f aca="false">IF(_PENDIENTES!$B$347&lt;&gt;"",_PENDIENTES!$A$347,"")</f>
        <v/>
      </c>
      <c r="C353" s="110" t="str">
        <f aca="false">IF(_PENDIENTES!$B$347&lt;&gt;"",_PENDIENTES!$C$347,"")</f>
        <v/>
      </c>
      <c r="D353" s="46" t="str">
        <f aca="false">IF(_PENDIENTES!$B$347&lt;&gt;"",_PENDIENTES!$D$347,"")</f>
        <v/>
      </c>
      <c r="E353" s="112" t="str">
        <f aca="false">IF(_PENDIENTES!$B$347&lt;&gt;"",_PENDIENTES!$E$347,"")</f>
        <v/>
      </c>
      <c r="F353" s="46" t="str">
        <f aca="false">IF(_PENDIENTES!$B$347&lt;&gt;"",_PENDIENTES!$F$347,"")</f>
        <v/>
      </c>
      <c r="G353" s="44" t="str">
        <f aca="false">IF(_PENDIENTES!$B$347&lt;&gt;"",_PENDIENTES!$G$347,"")</f>
        <v/>
      </c>
      <c r="H353" s="44" t="str">
        <f aca="false">IF(_PENDIENTES!$B$347&lt;&gt;"",_PENDIENTES!$H$347,"")</f>
        <v/>
      </c>
      <c r="I353" s="110" t="str">
        <f aca="false">IF(_PENDIENTES!$B$347&lt;&gt;"",_PENDIENTES!$I$347,"")</f>
        <v/>
      </c>
      <c r="J353" s="46" t="str">
        <f aca="false">IF(_PENDIENTES!$B$347&lt;&gt;"",_PENDIENTES!$J$347,"")</f>
        <v/>
      </c>
      <c r="K353" s="46" t="str">
        <f aca="false">IF(_PENDIENTES!$B$347&lt;&gt;"","POR RECOGER","")</f>
        <v/>
      </c>
      <c r="L353" s="46" t="str">
        <f aca="false">IF(_PENDIENTES!$B$347&lt;&gt;"",_PENDIENTES!$K$347,"")</f>
        <v/>
      </c>
      <c r="M353" s="89" t="str">
        <f aca="false">IF(_PENDIENTES!$B$347&lt;&gt;"",_PENDIENTES!$B$347,"")</f>
        <v/>
      </c>
      <c r="N353" s="109" t="str">
        <f aca="false">IF(_PENDIENTES!$B$347&lt;&gt;"",_PENDIENTES!$L$347,"")</f>
        <v/>
      </c>
      <c r="O353" s="89"/>
      <c r="P353" s="89"/>
      <c r="Q353" s="89"/>
      <c r="R353" s="89"/>
      <c r="S353" s="89"/>
    </row>
    <row r="354" customFormat="false" ht="15.75" hidden="true" customHeight="true" outlineLevel="0" collapsed="false">
      <c r="A354" s="106" t="str">
        <f aca="false">IF(_PENDIENTES!$B$348&lt;&gt;"",347,"")</f>
        <v/>
      </c>
      <c r="B354" s="47" t="str">
        <f aca="false">IF(_PENDIENTES!$B$348&lt;&gt;"",_PENDIENTES!$A$348,"")</f>
        <v/>
      </c>
      <c r="C354" s="107" t="str">
        <f aca="false">IF(_PENDIENTES!$B$348&lt;&gt;"",_PENDIENTES!$C$348,"")</f>
        <v/>
      </c>
      <c r="D354" s="106" t="str">
        <f aca="false">IF(_PENDIENTES!$B$348&lt;&gt;"",_PENDIENTES!$D$348,"")</f>
        <v/>
      </c>
      <c r="E354" s="111" t="str">
        <f aca="false">IF(_PENDIENTES!$B$348&lt;&gt;"",_PENDIENTES!$E$348,"")</f>
        <v/>
      </c>
      <c r="F354" s="106" t="str">
        <f aca="false">IF(_PENDIENTES!$B$348&lt;&gt;"",_PENDIENTES!$F$348,"")</f>
        <v/>
      </c>
      <c r="G354" s="50" t="str">
        <f aca="false">IF(_PENDIENTES!$B$348&lt;&gt;"",_PENDIENTES!$G$348,"")</f>
        <v/>
      </c>
      <c r="H354" s="50" t="str">
        <f aca="false">IF(_PENDIENTES!$B$348&lt;&gt;"",_PENDIENTES!$H$348,"")</f>
        <v/>
      </c>
      <c r="I354" s="107" t="str">
        <f aca="false">IF(_PENDIENTES!$B$348&lt;&gt;"",_PENDIENTES!$I$348,"")</f>
        <v/>
      </c>
      <c r="J354" s="106" t="str">
        <f aca="false">IF(_PENDIENTES!$B$348&lt;&gt;"",_PENDIENTES!$J$348,"")</f>
        <v/>
      </c>
      <c r="K354" s="106" t="str">
        <f aca="false">IF(_PENDIENTES!$B$348&lt;&gt;"","POR RECOGER","")</f>
        <v/>
      </c>
      <c r="L354" s="106" t="str">
        <f aca="false">IF(_PENDIENTES!$B$348&lt;&gt;"",_PENDIENTES!$K$348,"")</f>
        <v/>
      </c>
      <c r="M354" s="89" t="str">
        <f aca="false">IF(_PENDIENTES!$B$348&lt;&gt;"",_PENDIENTES!$B$348,"")</f>
        <v/>
      </c>
      <c r="N354" s="109" t="str">
        <f aca="false">IF(_PENDIENTES!$B$348&lt;&gt;"",_PENDIENTES!$L$348,"")</f>
        <v/>
      </c>
      <c r="O354" s="89"/>
      <c r="P354" s="89"/>
      <c r="Q354" s="89"/>
      <c r="R354" s="89"/>
      <c r="S354" s="89"/>
    </row>
    <row r="355" customFormat="false" ht="15.75" hidden="true" customHeight="true" outlineLevel="0" collapsed="false">
      <c r="A355" s="46" t="str">
        <f aca="false">IF(_PENDIENTES!$B$349&lt;&gt;"",348,"")</f>
        <v/>
      </c>
      <c r="B355" s="41" t="str">
        <f aca="false">IF(_PENDIENTES!$B$349&lt;&gt;"",_PENDIENTES!$A$349,"")</f>
        <v/>
      </c>
      <c r="C355" s="110" t="str">
        <f aca="false">IF(_PENDIENTES!$B$349&lt;&gt;"",_PENDIENTES!$C$349,"")</f>
        <v/>
      </c>
      <c r="D355" s="46" t="str">
        <f aca="false">IF(_PENDIENTES!$B$349&lt;&gt;"",_PENDIENTES!$D$349,"")</f>
        <v/>
      </c>
      <c r="E355" s="112" t="str">
        <f aca="false">IF(_PENDIENTES!$B$349&lt;&gt;"",_PENDIENTES!$E$349,"")</f>
        <v/>
      </c>
      <c r="F355" s="46" t="str">
        <f aca="false">IF(_PENDIENTES!$B$349&lt;&gt;"",_PENDIENTES!$F$349,"")</f>
        <v/>
      </c>
      <c r="G355" s="44" t="str">
        <f aca="false">IF(_PENDIENTES!$B$349&lt;&gt;"",_PENDIENTES!$G$349,"")</f>
        <v/>
      </c>
      <c r="H355" s="44" t="str">
        <f aca="false">IF(_PENDIENTES!$B$349&lt;&gt;"",_PENDIENTES!$H$349,"")</f>
        <v/>
      </c>
      <c r="I355" s="110" t="str">
        <f aca="false">IF(_PENDIENTES!$B$349&lt;&gt;"",_PENDIENTES!$I$349,"")</f>
        <v/>
      </c>
      <c r="J355" s="46" t="str">
        <f aca="false">IF(_PENDIENTES!$B$349&lt;&gt;"",_PENDIENTES!$J$349,"")</f>
        <v/>
      </c>
      <c r="K355" s="46" t="str">
        <f aca="false">IF(_PENDIENTES!$B$349&lt;&gt;"","POR RECOGER","")</f>
        <v/>
      </c>
      <c r="L355" s="46" t="str">
        <f aca="false">IF(_PENDIENTES!$B$349&lt;&gt;"",_PENDIENTES!$K$349,"")</f>
        <v/>
      </c>
      <c r="M355" s="89" t="str">
        <f aca="false">IF(_PENDIENTES!$B$349&lt;&gt;"",_PENDIENTES!$B$349,"")</f>
        <v/>
      </c>
      <c r="N355" s="109" t="str">
        <f aca="false">IF(_PENDIENTES!$B$349&lt;&gt;"",_PENDIENTES!$L$349,"")</f>
        <v/>
      </c>
      <c r="O355" s="89"/>
      <c r="P355" s="89"/>
      <c r="Q355" s="89"/>
      <c r="R355" s="89"/>
      <c r="S355" s="89"/>
    </row>
    <row r="356" customFormat="false" ht="15.75" hidden="true" customHeight="true" outlineLevel="0" collapsed="false">
      <c r="A356" s="106" t="str">
        <f aca="false">IF(_PENDIENTES!$B$350&lt;&gt;"",349,"")</f>
        <v/>
      </c>
      <c r="B356" s="47" t="str">
        <f aca="false">IF(_PENDIENTES!$B$350&lt;&gt;"",_PENDIENTES!$A$350,"")</f>
        <v/>
      </c>
      <c r="C356" s="107" t="str">
        <f aca="false">IF(_PENDIENTES!$B$350&lt;&gt;"",_PENDIENTES!$C$350,"")</f>
        <v/>
      </c>
      <c r="D356" s="106" t="str">
        <f aca="false">IF(_PENDIENTES!$B$350&lt;&gt;"",_PENDIENTES!$D$350,"")</f>
        <v/>
      </c>
      <c r="E356" s="111" t="str">
        <f aca="false">IF(_PENDIENTES!$B$350&lt;&gt;"",_PENDIENTES!$E$350,"")</f>
        <v/>
      </c>
      <c r="F356" s="106" t="str">
        <f aca="false">IF(_PENDIENTES!$B$350&lt;&gt;"",_PENDIENTES!$F$350,"")</f>
        <v/>
      </c>
      <c r="G356" s="50" t="str">
        <f aca="false">IF(_PENDIENTES!$B$350&lt;&gt;"",_PENDIENTES!$G$350,"")</f>
        <v/>
      </c>
      <c r="H356" s="50" t="str">
        <f aca="false">IF(_PENDIENTES!$B$350&lt;&gt;"",_PENDIENTES!$H$350,"")</f>
        <v/>
      </c>
      <c r="I356" s="107" t="str">
        <f aca="false">IF(_PENDIENTES!$B$350&lt;&gt;"",_PENDIENTES!$I$350,"")</f>
        <v/>
      </c>
      <c r="J356" s="106" t="str">
        <f aca="false">IF(_PENDIENTES!$B$350&lt;&gt;"",_PENDIENTES!$J$350,"")</f>
        <v/>
      </c>
      <c r="K356" s="106" t="str">
        <f aca="false">IF(_PENDIENTES!$B$350&lt;&gt;"","POR RECOGER","")</f>
        <v/>
      </c>
      <c r="L356" s="106" t="str">
        <f aca="false">IF(_PENDIENTES!$B$350&lt;&gt;"",_PENDIENTES!$K$350,"")</f>
        <v/>
      </c>
      <c r="M356" s="89" t="str">
        <f aca="false">IF(_PENDIENTES!$B$350&lt;&gt;"",_PENDIENTES!$B$350,"")</f>
        <v/>
      </c>
      <c r="N356" s="109" t="str">
        <f aca="false">IF(_PENDIENTES!$B$350&lt;&gt;"",_PENDIENTES!$L$350,"")</f>
        <v/>
      </c>
      <c r="O356" s="89"/>
      <c r="P356" s="89"/>
      <c r="Q356" s="89"/>
      <c r="R356" s="89"/>
      <c r="S356" s="89"/>
    </row>
    <row r="357" customFormat="false" ht="15.75" hidden="true" customHeight="true" outlineLevel="0" collapsed="false">
      <c r="A357" s="46" t="str">
        <f aca="false">IF(_PENDIENTES!$B$351&lt;&gt;"",350,"")</f>
        <v/>
      </c>
      <c r="B357" s="41" t="str">
        <f aca="false">IF(_PENDIENTES!$B$351&lt;&gt;"",_PENDIENTES!$A$351,"")</f>
        <v/>
      </c>
      <c r="C357" s="110" t="str">
        <f aca="false">IF(_PENDIENTES!$B$351&lt;&gt;"",_PENDIENTES!$C$351,"")</f>
        <v/>
      </c>
      <c r="D357" s="46" t="str">
        <f aca="false">IF(_PENDIENTES!$B$351&lt;&gt;"",_PENDIENTES!$D$351,"")</f>
        <v/>
      </c>
      <c r="E357" s="112" t="str">
        <f aca="false">IF(_PENDIENTES!$B$351&lt;&gt;"",_PENDIENTES!$E$351,"")</f>
        <v/>
      </c>
      <c r="F357" s="46" t="str">
        <f aca="false">IF(_PENDIENTES!$B$351&lt;&gt;"",_PENDIENTES!$F$351,"")</f>
        <v/>
      </c>
      <c r="G357" s="44" t="str">
        <f aca="false">IF(_PENDIENTES!$B$351&lt;&gt;"",_PENDIENTES!$G$351,"")</f>
        <v/>
      </c>
      <c r="H357" s="44" t="str">
        <f aca="false">IF(_PENDIENTES!$B$351&lt;&gt;"",_PENDIENTES!$H$351,"")</f>
        <v/>
      </c>
      <c r="I357" s="110" t="str">
        <f aca="false">IF(_PENDIENTES!$B$351&lt;&gt;"",_PENDIENTES!$I$351,"")</f>
        <v/>
      </c>
      <c r="J357" s="46" t="str">
        <f aca="false">IF(_PENDIENTES!$B$351&lt;&gt;"",_PENDIENTES!$J$351,"")</f>
        <v/>
      </c>
      <c r="K357" s="46" t="str">
        <f aca="false">IF(_PENDIENTES!$B$351&lt;&gt;"","POR RECOGER","")</f>
        <v/>
      </c>
      <c r="L357" s="46" t="str">
        <f aca="false">IF(_PENDIENTES!$B$351&lt;&gt;"",_PENDIENTES!$K$351,"")</f>
        <v/>
      </c>
      <c r="M357" s="89" t="str">
        <f aca="false">IF(_PENDIENTES!$B$351&lt;&gt;"",_PENDIENTES!$B$351,"")</f>
        <v/>
      </c>
      <c r="N357" s="109" t="str">
        <f aca="false">IF(_PENDIENTES!$B$351&lt;&gt;"",_PENDIENTES!$L$351,"")</f>
        <v/>
      </c>
      <c r="O357" s="89"/>
      <c r="P357" s="89"/>
      <c r="Q357" s="89"/>
      <c r="R357" s="89"/>
      <c r="S357" s="89"/>
    </row>
    <row r="358" customFormat="false" ht="15.75" hidden="true" customHeight="true" outlineLevel="0" collapsed="false">
      <c r="A358" s="106" t="str">
        <f aca="false">IF(_PENDIENTES!$B$352&lt;&gt;"",351,"")</f>
        <v/>
      </c>
      <c r="B358" s="47" t="str">
        <f aca="false">IF(_PENDIENTES!$B$352&lt;&gt;"",_PENDIENTES!$A$352,"")</f>
        <v/>
      </c>
      <c r="C358" s="107" t="str">
        <f aca="false">IF(_PENDIENTES!$B$352&lt;&gt;"",_PENDIENTES!$C$352,"")</f>
        <v/>
      </c>
      <c r="D358" s="106" t="str">
        <f aca="false">IF(_PENDIENTES!$B$352&lt;&gt;"",_PENDIENTES!$D$352,"")</f>
        <v/>
      </c>
      <c r="E358" s="106" t="str">
        <f aca="false">IF(_PENDIENTES!$B$352&lt;&gt;"",_PENDIENTES!$E$352,"")</f>
        <v/>
      </c>
      <c r="F358" s="106" t="str">
        <f aca="false">IF(_PENDIENTES!$B$352&lt;&gt;"",_PENDIENTES!$F$352,"")</f>
        <v/>
      </c>
      <c r="G358" s="50" t="str">
        <f aca="false">IF(_PENDIENTES!$B$352&lt;&gt;"",_PENDIENTES!$G$352,"")</f>
        <v/>
      </c>
      <c r="H358" s="50" t="str">
        <f aca="false">IF(_PENDIENTES!$B$352&lt;&gt;"",_PENDIENTES!$H$352,"")</f>
        <v/>
      </c>
      <c r="I358" s="107" t="str">
        <f aca="false">IF(_PENDIENTES!$B$352&lt;&gt;"",_PENDIENTES!$I$352,"")</f>
        <v/>
      </c>
      <c r="J358" s="106" t="str">
        <f aca="false">IF(_PENDIENTES!$B$352&lt;&gt;"",_PENDIENTES!$J$352,"")</f>
        <v/>
      </c>
      <c r="K358" s="106" t="str">
        <f aca="false">IF(_PENDIENTES!$B$352&lt;&gt;"","POR RECOGER","")</f>
        <v/>
      </c>
      <c r="L358" s="106" t="str">
        <f aca="false">IF(_PENDIENTES!$B$352&lt;&gt;"",_PENDIENTES!$K$352,"")</f>
        <v/>
      </c>
      <c r="M358" s="89" t="str">
        <f aca="false">IF(_PENDIENTES!$B$352&lt;&gt;"",_PENDIENTES!$B$352,"")</f>
        <v/>
      </c>
      <c r="N358" s="109" t="str">
        <f aca="false">IF(_PENDIENTES!$B$352&lt;&gt;"",_PENDIENTES!$L$352,"")</f>
        <v/>
      </c>
      <c r="O358" s="89"/>
      <c r="P358" s="89"/>
      <c r="Q358" s="89"/>
      <c r="R358" s="89"/>
      <c r="S358" s="89"/>
    </row>
    <row r="359" customFormat="false" ht="15.75" hidden="true" customHeight="true" outlineLevel="0" collapsed="false">
      <c r="A359" s="46" t="str">
        <f aca="false">IF(_PENDIENTES!$B$353&lt;&gt;"",352,"")</f>
        <v/>
      </c>
      <c r="B359" s="41" t="str">
        <f aca="false">IF(_PENDIENTES!$B$353&lt;&gt;"",_PENDIENTES!$A$353,"")</f>
        <v/>
      </c>
      <c r="C359" s="110" t="str">
        <f aca="false">IF(_PENDIENTES!$B$353&lt;&gt;"",_PENDIENTES!$C$353,"")</f>
        <v/>
      </c>
      <c r="D359" s="46" t="str">
        <f aca="false">IF(_PENDIENTES!$B$353&lt;&gt;"",_PENDIENTES!$D$353,"")</f>
        <v/>
      </c>
      <c r="E359" s="112" t="str">
        <f aca="false">IF(_PENDIENTES!$B$353&lt;&gt;"",_PENDIENTES!$E$353,"")</f>
        <v/>
      </c>
      <c r="F359" s="46" t="str">
        <f aca="false">IF(_PENDIENTES!$B$353&lt;&gt;"",_PENDIENTES!$F$353,"")</f>
        <v/>
      </c>
      <c r="G359" s="44" t="str">
        <f aca="false">IF(_PENDIENTES!$B$353&lt;&gt;"",_PENDIENTES!$G$353,"")</f>
        <v/>
      </c>
      <c r="H359" s="44" t="str">
        <f aca="false">IF(_PENDIENTES!$B$353&lt;&gt;"",_PENDIENTES!$H$353,"")</f>
        <v/>
      </c>
      <c r="I359" s="110" t="str">
        <f aca="false">IF(_PENDIENTES!$B$353&lt;&gt;"",_PENDIENTES!$I$353,"")</f>
        <v/>
      </c>
      <c r="J359" s="46" t="str">
        <f aca="false">IF(_PENDIENTES!$B$353&lt;&gt;"",_PENDIENTES!$J$353,"")</f>
        <v/>
      </c>
      <c r="K359" s="46" t="str">
        <f aca="false">IF(_PENDIENTES!$B$353&lt;&gt;"","POR RECOGER","")</f>
        <v/>
      </c>
      <c r="L359" s="46" t="str">
        <f aca="false">IF(_PENDIENTES!$B$353&lt;&gt;"",_PENDIENTES!$K$353,"")</f>
        <v/>
      </c>
      <c r="M359" s="89" t="str">
        <f aca="false">IF(_PENDIENTES!$B$353&lt;&gt;"",_PENDIENTES!$B$353,"")</f>
        <v/>
      </c>
      <c r="N359" s="109" t="str">
        <f aca="false">IF(_PENDIENTES!$B$353&lt;&gt;"",_PENDIENTES!$L$353,"")</f>
        <v/>
      </c>
      <c r="O359" s="89"/>
      <c r="P359" s="89"/>
      <c r="Q359" s="89"/>
      <c r="R359" s="89"/>
      <c r="S359" s="89"/>
    </row>
    <row r="360" customFormat="false" ht="15.75" hidden="true" customHeight="true" outlineLevel="0" collapsed="false">
      <c r="A360" s="106" t="str">
        <f aca="false">IF(_PENDIENTES!$B$354&lt;&gt;"",353,"")</f>
        <v/>
      </c>
      <c r="B360" s="47" t="str">
        <f aca="false">IF(_PENDIENTES!$B$354&lt;&gt;"",_PENDIENTES!$A$354,"")</f>
        <v/>
      </c>
      <c r="C360" s="107" t="str">
        <f aca="false">IF(_PENDIENTES!$B$354&lt;&gt;"",_PENDIENTES!$C$354,"")</f>
        <v/>
      </c>
      <c r="D360" s="106" t="str">
        <f aca="false">IF(_PENDIENTES!$B$354&lt;&gt;"",_PENDIENTES!$D$354,"")</f>
        <v/>
      </c>
      <c r="E360" s="111" t="str">
        <f aca="false">IF(_PENDIENTES!$B$354&lt;&gt;"",_PENDIENTES!$E$354,"")</f>
        <v/>
      </c>
      <c r="F360" s="106" t="str">
        <f aca="false">IF(_PENDIENTES!$B$354&lt;&gt;"",_PENDIENTES!$F$354,"")</f>
        <v/>
      </c>
      <c r="G360" s="50" t="str">
        <f aca="false">IF(_PENDIENTES!$B$354&lt;&gt;"",_PENDIENTES!$G$354,"")</f>
        <v/>
      </c>
      <c r="H360" s="50" t="str">
        <f aca="false">IF(_PENDIENTES!$B$354&lt;&gt;"",_PENDIENTES!$H$354,"")</f>
        <v/>
      </c>
      <c r="I360" s="107" t="str">
        <f aca="false">IF(_PENDIENTES!$B$354&lt;&gt;"",_PENDIENTES!$I$354,"")</f>
        <v/>
      </c>
      <c r="J360" s="106" t="str">
        <f aca="false">IF(_PENDIENTES!$B$354&lt;&gt;"",_PENDIENTES!$J$354,"")</f>
        <v/>
      </c>
      <c r="K360" s="106" t="str">
        <f aca="false">IF(_PENDIENTES!$B$354&lt;&gt;"","POR RECOGER","")</f>
        <v/>
      </c>
      <c r="L360" s="106" t="str">
        <f aca="false">IF(_PENDIENTES!$B$354&lt;&gt;"",_PENDIENTES!$K$354,"")</f>
        <v/>
      </c>
      <c r="M360" s="89" t="str">
        <f aca="false">IF(_PENDIENTES!$B$354&lt;&gt;"",_PENDIENTES!$B$354,"")</f>
        <v/>
      </c>
      <c r="N360" s="109" t="str">
        <f aca="false">IF(_PENDIENTES!$B$354&lt;&gt;"",_PENDIENTES!$L$354,"")</f>
        <v/>
      </c>
      <c r="O360" s="89"/>
      <c r="P360" s="89"/>
      <c r="Q360" s="89"/>
      <c r="R360" s="89"/>
      <c r="S360" s="89"/>
    </row>
    <row r="361" customFormat="false" ht="15.75" hidden="true" customHeight="true" outlineLevel="0" collapsed="false">
      <c r="A361" s="46" t="str">
        <f aca="false">IF(_PENDIENTES!$B$355&lt;&gt;"",354,"")</f>
        <v/>
      </c>
      <c r="B361" s="41" t="str">
        <f aca="false">IF(_PENDIENTES!$B$355&lt;&gt;"",_PENDIENTES!$A$355,"")</f>
        <v/>
      </c>
      <c r="C361" s="110" t="str">
        <f aca="false">IF(_PENDIENTES!$B$355&lt;&gt;"",_PENDIENTES!$C$355,"")</f>
        <v/>
      </c>
      <c r="D361" s="46" t="str">
        <f aca="false">IF(_PENDIENTES!$B$355&lt;&gt;"",_PENDIENTES!$D$355,"")</f>
        <v/>
      </c>
      <c r="E361" s="112" t="str">
        <f aca="false">IF(_PENDIENTES!$B$355&lt;&gt;"",_PENDIENTES!$E$355,"")</f>
        <v/>
      </c>
      <c r="F361" s="46" t="str">
        <f aca="false">IF(_PENDIENTES!$B$355&lt;&gt;"",_PENDIENTES!$F$355,"")</f>
        <v/>
      </c>
      <c r="G361" s="44" t="str">
        <f aca="false">IF(_PENDIENTES!$B$355&lt;&gt;"",_PENDIENTES!$G$355,"")</f>
        <v/>
      </c>
      <c r="H361" s="44" t="str">
        <f aca="false">IF(_PENDIENTES!$B$355&lt;&gt;"",_PENDIENTES!$H$355,"")</f>
        <v/>
      </c>
      <c r="I361" s="110" t="str">
        <f aca="false">IF(_PENDIENTES!$B$355&lt;&gt;"",_PENDIENTES!$I$355,"")</f>
        <v/>
      </c>
      <c r="J361" s="46" t="str">
        <f aca="false">IF(_PENDIENTES!$B$355&lt;&gt;"",_PENDIENTES!$J$355,"")</f>
        <v/>
      </c>
      <c r="K361" s="46" t="str">
        <f aca="false">IF(_PENDIENTES!$B$355&lt;&gt;"","POR RECOGER","")</f>
        <v/>
      </c>
      <c r="L361" s="46" t="str">
        <f aca="false">IF(_PENDIENTES!$B$355&lt;&gt;"",_PENDIENTES!$K$355,"")</f>
        <v/>
      </c>
      <c r="M361" s="89" t="str">
        <f aca="false">IF(_PENDIENTES!$B$355&lt;&gt;"",_PENDIENTES!$B$355,"")</f>
        <v/>
      </c>
      <c r="N361" s="109" t="str">
        <f aca="false">IF(_PENDIENTES!$B$355&lt;&gt;"",_PENDIENTES!$L$355,"")</f>
        <v/>
      </c>
      <c r="O361" s="89"/>
      <c r="P361" s="89"/>
      <c r="Q361" s="89"/>
      <c r="R361" s="89"/>
      <c r="S361" s="89"/>
    </row>
    <row r="362" customFormat="false" ht="15.75" hidden="true" customHeight="true" outlineLevel="0" collapsed="false">
      <c r="A362" s="106" t="str">
        <f aca="false">IF(_PENDIENTES!$B$356&lt;&gt;"",355,"")</f>
        <v/>
      </c>
      <c r="B362" s="47" t="str">
        <f aca="false">IF(_PENDIENTES!$B$356&lt;&gt;"",_PENDIENTES!$A$356,"")</f>
        <v/>
      </c>
      <c r="C362" s="107" t="str">
        <f aca="false">IF(_PENDIENTES!$B$356&lt;&gt;"",_PENDIENTES!$C$356,"")</f>
        <v/>
      </c>
      <c r="D362" s="106" t="str">
        <f aca="false">IF(_PENDIENTES!$B$356&lt;&gt;"",_PENDIENTES!$D$356,"")</f>
        <v/>
      </c>
      <c r="E362" s="111" t="str">
        <f aca="false">IF(_PENDIENTES!$B$356&lt;&gt;"",_PENDIENTES!$E$356,"")</f>
        <v/>
      </c>
      <c r="F362" s="106" t="str">
        <f aca="false">IF(_PENDIENTES!$B$356&lt;&gt;"",_PENDIENTES!$F$356,"")</f>
        <v/>
      </c>
      <c r="G362" s="50" t="str">
        <f aca="false">IF(_PENDIENTES!$B$356&lt;&gt;"",_PENDIENTES!$G$356,"")</f>
        <v/>
      </c>
      <c r="H362" s="50" t="str">
        <f aca="false">IF(_PENDIENTES!$B$356&lt;&gt;"",_PENDIENTES!$H$356,"")</f>
        <v/>
      </c>
      <c r="I362" s="107" t="str">
        <f aca="false">IF(_PENDIENTES!$B$356&lt;&gt;"",_PENDIENTES!$I$356,"")</f>
        <v/>
      </c>
      <c r="J362" s="106" t="str">
        <f aca="false">IF(_PENDIENTES!$B$356&lt;&gt;"",_PENDIENTES!$J$356,"")</f>
        <v/>
      </c>
      <c r="K362" s="106" t="str">
        <f aca="false">IF(_PENDIENTES!$B$356&lt;&gt;"","POR RECOGER","")</f>
        <v/>
      </c>
      <c r="L362" s="106" t="str">
        <f aca="false">IF(_PENDIENTES!$B$356&lt;&gt;"",_PENDIENTES!$K$356,"")</f>
        <v/>
      </c>
      <c r="M362" s="89" t="str">
        <f aca="false">IF(_PENDIENTES!$B$356&lt;&gt;"",_PENDIENTES!$B$356,"")</f>
        <v/>
      </c>
      <c r="N362" s="109" t="str">
        <f aca="false">IF(_PENDIENTES!$B$356&lt;&gt;"",_PENDIENTES!$L$356,"")</f>
        <v/>
      </c>
      <c r="O362" s="89"/>
      <c r="P362" s="89"/>
      <c r="Q362" s="89"/>
      <c r="R362" s="89"/>
      <c r="S362" s="89"/>
    </row>
    <row r="363" customFormat="false" ht="15.75" hidden="true" customHeight="true" outlineLevel="0" collapsed="false">
      <c r="A363" s="46" t="str">
        <f aca="false">IF(_PENDIENTES!$B$357&lt;&gt;"",356,"")</f>
        <v/>
      </c>
      <c r="B363" s="41" t="str">
        <f aca="false">IF(_PENDIENTES!$B$357&lt;&gt;"",_PENDIENTES!$A$357,"")</f>
        <v/>
      </c>
      <c r="C363" s="110" t="str">
        <f aca="false">IF(_PENDIENTES!$B$357&lt;&gt;"",_PENDIENTES!$C$357,"")</f>
        <v/>
      </c>
      <c r="D363" s="46" t="str">
        <f aca="false">IF(_PENDIENTES!$B$357&lt;&gt;"",_PENDIENTES!$D$357,"")</f>
        <v/>
      </c>
      <c r="E363" s="112" t="str">
        <f aca="false">IF(_PENDIENTES!$B$357&lt;&gt;"",_PENDIENTES!$E$357,"")</f>
        <v/>
      </c>
      <c r="F363" s="46" t="str">
        <f aca="false">IF(_PENDIENTES!$B$357&lt;&gt;"",_PENDIENTES!$F$357,"")</f>
        <v/>
      </c>
      <c r="G363" s="44" t="str">
        <f aca="false">IF(_PENDIENTES!$B$357&lt;&gt;"",_PENDIENTES!$G$357,"")</f>
        <v/>
      </c>
      <c r="H363" s="44" t="str">
        <f aca="false">IF(_PENDIENTES!$B$357&lt;&gt;"",_PENDIENTES!$H$357,"")</f>
        <v/>
      </c>
      <c r="I363" s="110" t="str">
        <f aca="false">IF(_PENDIENTES!$B$357&lt;&gt;"",_PENDIENTES!$I$357,"")</f>
        <v/>
      </c>
      <c r="J363" s="46" t="str">
        <f aca="false">IF(_PENDIENTES!$B$357&lt;&gt;"",_PENDIENTES!$J$357,"")</f>
        <v/>
      </c>
      <c r="K363" s="46" t="str">
        <f aca="false">IF(_PENDIENTES!$B$357&lt;&gt;"","POR RECOGER","")</f>
        <v/>
      </c>
      <c r="L363" s="46" t="str">
        <f aca="false">IF(_PENDIENTES!$B$357&lt;&gt;"",_PENDIENTES!$K$357,"")</f>
        <v/>
      </c>
      <c r="M363" s="89" t="str">
        <f aca="false">IF(_PENDIENTES!$B$357&lt;&gt;"",_PENDIENTES!$B$357,"")</f>
        <v/>
      </c>
      <c r="N363" s="109" t="str">
        <f aca="false">IF(_PENDIENTES!$B$357&lt;&gt;"",_PENDIENTES!$L$357,"")</f>
        <v/>
      </c>
      <c r="O363" s="89"/>
      <c r="P363" s="89"/>
      <c r="Q363" s="89"/>
      <c r="R363" s="89"/>
      <c r="S363" s="89"/>
    </row>
    <row r="364" customFormat="false" ht="15.75" hidden="true" customHeight="true" outlineLevel="0" collapsed="false">
      <c r="A364" s="106" t="str">
        <f aca="false">IF(_PENDIENTES!$B$358&lt;&gt;"",357,"")</f>
        <v/>
      </c>
      <c r="B364" s="47" t="str">
        <f aca="false">IF(_PENDIENTES!$B$358&lt;&gt;"",_PENDIENTES!$A$358,"")</f>
        <v/>
      </c>
      <c r="C364" s="107" t="str">
        <f aca="false">IF(_PENDIENTES!$B$358&lt;&gt;"",_PENDIENTES!$C$358,"")</f>
        <v/>
      </c>
      <c r="D364" s="106" t="str">
        <f aca="false">IF(_PENDIENTES!$B$358&lt;&gt;"",_PENDIENTES!$D$358,"")</f>
        <v/>
      </c>
      <c r="E364" s="111" t="str">
        <f aca="false">IF(_PENDIENTES!$B$358&lt;&gt;"",_PENDIENTES!$E$358,"")</f>
        <v/>
      </c>
      <c r="F364" s="106" t="str">
        <f aca="false">IF(_PENDIENTES!$B$358&lt;&gt;"",_PENDIENTES!$F$358,"")</f>
        <v/>
      </c>
      <c r="G364" s="50" t="str">
        <f aca="false">IF(_PENDIENTES!$B$358&lt;&gt;"",_PENDIENTES!$G$358,"")</f>
        <v/>
      </c>
      <c r="H364" s="50" t="str">
        <f aca="false">IF(_PENDIENTES!$B$358&lt;&gt;"",_PENDIENTES!$H$358,"")</f>
        <v/>
      </c>
      <c r="I364" s="107" t="str">
        <f aca="false">IF(_PENDIENTES!$B$358&lt;&gt;"",_PENDIENTES!$I$358,"")</f>
        <v/>
      </c>
      <c r="J364" s="106" t="str">
        <f aca="false">IF(_PENDIENTES!$B$358&lt;&gt;"",_PENDIENTES!$J$358,"")</f>
        <v/>
      </c>
      <c r="K364" s="106" t="str">
        <f aca="false">IF(_PENDIENTES!$B$358&lt;&gt;"","POR RECOGER","")</f>
        <v/>
      </c>
      <c r="L364" s="106" t="str">
        <f aca="false">IF(_PENDIENTES!$B$358&lt;&gt;"",_PENDIENTES!$K$358,"")</f>
        <v/>
      </c>
      <c r="M364" s="89" t="str">
        <f aca="false">IF(_PENDIENTES!$B$358&lt;&gt;"",_PENDIENTES!$B$358,"")</f>
        <v/>
      </c>
      <c r="N364" s="109" t="str">
        <f aca="false">IF(_PENDIENTES!$B$358&lt;&gt;"",_PENDIENTES!$L$358,"")</f>
        <v/>
      </c>
      <c r="O364" s="89"/>
      <c r="P364" s="89"/>
      <c r="Q364" s="89"/>
      <c r="R364" s="89"/>
      <c r="S364" s="89"/>
    </row>
    <row r="365" customFormat="false" ht="15.75" hidden="true" customHeight="true" outlineLevel="0" collapsed="false">
      <c r="A365" s="46" t="str">
        <f aca="false">IF(_PENDIENTES!$B$359&lt;&gt;"",358,"")</f>
        <v/>
      </c>
      <c r="B365" s="41" t="str">
        <f aca="false">IF(_PENDIENTES!$B$359&lt;&gt;"",_PENDIENTES!$A$359,"")</f>
        <v/>
      </c>
      <c r="C365" s="110" t="str">
        <f aca="false">IF(_PENDIENTES!$B$359&lt;&gt;"",_PENDIENTES!$C$359,"")</f>
        <v/>
      </c>
      <c r="D365" s="46" t="str">
        <f aca="false">IF(_PENDIENTES!$B$359&lt;&gt;"",_PENDIENTES!$D$359,"")</f>
        <v/>
      </c>
      <c r="E365" s="112" t="str">
        <f aca="false">IF(_PENDIENTES!$B$359&lt;&gt;"",_PENDIENTES!$E$359,"")</f>
        <v/>
      </c>
      <c r="F365" s="46" t="str">
        <f aca="false">IF(_PENDIENTES!$B$359&lt;&gt;"",_PENDIENTES!$F$359,"")</f>
        <v/>
      </c>
      <c r="G365" s="44" t="str">
        <f aca="false">IF(_PENDIENTES!$B$359&lt;&gt;"",_PENDIENTES!$G$359,"")</f>
        <v/>
      </c>
      <c r="H365" s="44" t="str">
        <f aca="false">IF(_PENDIENTES!$B$359&lt;&gt;"",_PENDIENTES!$H$359,"")</f>
        <v/>
      </c>
      <c r="I365" s="110" t="str">
        <f aca="false">IF(_PENDIENTES!$B$359&lt;&gt;"",_PENDIENTES!$I$359,"")</f>
        <v/>
      </c>
      <c r="J365" s="46" t="str">
        <f aca="false">IF(_PENDIENTES!$B$359&lt;&gt;"",_PENDIENTES!$J$359,"")</f>
        <v/>
      </c>
      <c r="K365" s="46" t="str">
        <f aca="false">IF(_PENDIENTES!$B$359&lt;&gt;"","POR RECOGER","")</f>
        <v/>
      </c>
      <c r="L365" s="46" t="str">
        <f aca="false">IF(_PENDIENTES!$B$359&lt;&gt;"",_PENDIENTES!$K$359,"")</f>
        <v/>
      </c>
      <c r="M365" s="89" t="str">
        <f aca="false">IF(_PENDIENTES!$B$359&lt;&gt;"",_PENDIENTES!$B$359,"")</f>
        <v/>
      </c>
      <c r="N365" s="109" t="str">
        <f aca="false">IF(_PENDIENTES!$B$359&lt;&gt;"",_PENDIENTES!$L$359,"")</f>
        <v/>
      </c>
      <c r="O365" s="89"/>
      <c r="P365" s="89"/>
      <c r="Q365" s="89"/>
      <c r="R365" s="89"/>
      <c r="S365" s="89"/>
    </row>
    <row r="366" customFormat="false" ht="15.75" hidden="true" customHeight="true" outlineLevel="0" collapsed="false">
      <c r="A366" s="106" t="str">
        <f aca="false">IF(_PENDIENTES!$B$360&lt;&gt;"",359,"")</f>
        <v/>
      </c>
      <c r="B366" s="47" t="str">
        <f aca="false">IF(_PENDIENTES!$B$360&lt;&gt;"",_PENDIENTES!$A$360,"")</f>
        <v/>
      </c>
      <c r="C366" s="107" t="str">
        <f aca="false">IF(_PENDIENTES!$B$360&lt;&gt;"",_PENDIENTES!$C$360,"")</f>
        <v/>
      </c>
      <c r="D366" s="106" t="str">
        <f aca="false">IF(_PENDIENTES!$B$360&lt;&gt;"",_PENDIENTES!$D$360,"")</f>
        <v/>
      </c>
      <c r="E366" s="111" t="str">
        <f aca="false">IF(_PENDIENTES!$B$360&lt;&gt;"",_PENDIENTES!$E$360,"")</f>
        <v/>
      </c>
      <c r="F366" s="106" t="str">
        <f aca="false">IF(_PENDIENTES!$B$360&lt;&gt;"",_PENDIENTES!$F$360,"")</f>
        <v/>
      </c>
      <c r="G366" s="50" t="str">
        <f aca="false">IF(_PENDIENTES!$B$360&lt;&gt;"",_PENDIENTES!$G$360,"")</f>
        <v/>
      </c>
      <c r="H366" s="50" t="str">
        <f aca="false">IF(_PENDIENTES!$B$360&lt;&gt;"",_PENDIENTES!$H$360,"")</f>
        <v/>
      </c>
      <c r="I366" s="107" t="str">
        <f aca="false">IF(_PENDIENTES!$B$360&lt;&gt;"",_PENDIENTES!$I$360,"")</f>
        <v/>
      </c>
      <c r="J366" s="106" t="str">
        <f aca="false">IF(_PENDIENTES!$B$360&lt;&gt;"",_PENDIENTES!$J$360,"")</f>
        <v/>
      </c>
      <c r="K366" s="106" t="str">
        <f aca="false">IF(_PENDIENTES!$B$360&lt;&gt;"","POR RECOGER","")</f>
        <v/>
      </c>
      <c r="L366" s="106" t="str">
        <f aca="false">IF(_PENDIENTES!$B$360&lt;&gt;"",_PENDIENTES!$K$360,"")</f>
        <v/>
      </c>
      <c r="M366" s="89" t="str">
        <f aca="false">IF(_PENDIENTES!$B$360&lt;&gt;"",_PENDIENTES!$B$360,"")</f>
        <v/>
      </c>
      <c r="N366" s="109" t="str">
        <f aca="false">IF(_PENDIENTES!$B$360&lt;&gt;"",_PENDIENTES!$L$360,"")</f>
        <v/>
      </c>
      <c r="O366" s="89"/>
      <c r="P366" s="89"/>
      <c r="Q366" s="89"/>
      <c r="R366" s="89"/>
      <c r="S366" s="89"/>
    </row>
    <row r="367" customFormat="false" ht="15.75" hidden="true" customHeight="true" outlineLevel="0" collapsed="false">
      <c r="A367" s="46" t="str">
        <f aca="false">IF(_PENDIENTES!$B$361&lt;&gt;"",360,"")</f>
        <v/>
      </c>
      <c r="B367" s="41" t="str">
        <f aca="false">IF(_PENDIENTES!$B$361&lt;&gt;"",_PENDIENTES!$A$361,"")</f>
        <v/>
      </c>
      <c r="C367" s="110" t="str">
        <f aca="false">IF(_PENDIENTES!$B$361&lt;&gt;"",_PENDIENTES!$C$361,"")</f>
        <v/>
      </c>
      <c r="D367" s="46" t="str">
        <f aca="false">IF(_PENDIENTES!$B$361&lt;&gt;"",_PENDIENTES!$D$361,"")</f>
        <v/>
      </c>
      <c r="E367" s="112" t="str">
        <f aca="false">IF(_PENDIENTES!$B$361&lt;&gt;"",_PENDIENTES!$E$361,"")</f>
        <v/>
      </c>
      <c r="F367" s="46" t="str">
        <f aca="false">IF(_PENDIENTES!$B$361&lt;&gt;"",_PENDIENTES!$F$361,"")</f>
        <v/>
      </c>
      <c r="G367" s="44" t="str">
        <f aca="false">IF(_PENDIENTES!$B$361&lt;&gt;"",_PENDIENTES!$G$361,"")</f>
        <v/>
      </c>
      <c r="H367" s="44" t="str">
        <f aca="false">IF(_PENDIENTES!$B$361&lt;&gt;"",_PENDIENTES!$H$361,"")</f>
        <v/>
      </c>
      <c r="I367" s="110" t="str">
        <f aca="false">IF(_PENDIENTES!$B$361&lt;&gt;"",_PENDIENTES!$I$361,"")</f>
        <v/>
      </c>
      <c r="J367" s="46" t="str">
        <f aca="false">IF(_PENDIENTES!$B$361&lt;&gt;"",_PENDIENTES!$J$361,"")</f>
        <v/>
      </c>
      <c r="K367" s="46" t="str">
        <f aca="false">IF(_PENDIENTES!$B$361&lt;&gt;"","POR RECOGER","")</f>
        <v/>
      </c>
      <c r="L367" s="46" t="str">
        <f aca="false">IF(_PENDIENTES!$B$361&lt;&gt;"",_PENDIENTES!$K$361,"")</f>
        <v/>
      </c>
      <c r="M367" s="89" t="str">
        <f aca="false">IF(_PENDIENTES!$B$361&lt;&gt;"",_PENDIENTES!$B$361,"")</f>
        <v/>
      </c>
      <c r="N367" s="109" t="str">
        <f aca="false">IF(_PENDIENTES!$B$361&lt;&gt;"",_PENDIENTES!$L$361,"")</f>
        <v/>
      </c>
      <c r="O367" s="89"/>
      <c r="P367" s="89"/>
      <c r="Q367" s="89"/>
      <c r="R367" s="89"/>
      <c r="S367" s="89"/>
    </row>
    <row r="368" customFormat="false" ht="15.75" hidden="true" customHeight="true" outlineLevel="0" collapsed="false">
      <c r="A368" s="106" t="str">
        <f aca="false">IF(_PENDIENTES!$B$362&lt;&gt;"",361,"")</f>
        <v/>
      </c>
      <c r="B368" s="47" t="str">
        <f aca="false">IF(_PENDIENTES!$B$362&lt;&gt;"",_PENDIENTES!$A$362,"")</f>
        <v/>
      </c>
      <c r="C368" s="107" t="str">
        <f aca="false">IF(_PENDIENTES!$B$362&lt;&gt;"",_PENDIENTES!$C$362,"")</f>
        <v/>
      </c>
      <c r="D368" s="106" t="str">
        <f aca="false">IF(_PENDIENTES!$B$362&lt;&gt;"",_PENDIENTES!$D$362,"")</f>
        <v/>
      </c>
      <c r="E368" s="111" t="str">
        <f aca="false">IF(_PENDIENTES!$B$362&lt;&gt;"",_PENDIENTES!$E$362,"")</f>
        <v/>
      </c>
      <c r="F368" s="106" t="str">
        <f aca="false">IF(_PENDIENTES!$B$362&lt;&gt;"",_PENDIENTES!$F$362,"")</f>
        <v/>
      </c>
      <c r="G368" s="50" t="str">
        <f aca="false">IF(_PENDIENTES!$B$362&lt;&gt;"",_PENDIENTES!$G$362,"")</f>
        <v/>
      </c>
      <c r="H368" s="50" t="str">
        <f aca="false">IF(_PENDIENTES!$B$362&lt;&gt;"",_PENDIENTES!$H$362,"")</f>
        <v/>
      </c>
      <c r="I368" s="107" t="str">
        <f aca="false">IF(_PENDIENTES!$B$362&lt;&gt;"",_PENDIENTES!$I$362,"")</f>
        <v/>
      </c>
      <c r="J368" s="106" t="str">
        <f aca="false">IF(_PENDIENTES!$B$362&lt;&gt;"",_PENDIENTES!$J$362,"")</f>
        <v/>
      </c>
      <c r="K368" s="106" t="str">
        <f aca="false">IF(_PENDIENTES!$B$362&lt;&gt;"","POR RECOGER","")</f>
        <v/>
      </c>
      <c r="L368" s="106" t="str">
        <f aca="false">IF(_PENDIENTES!$B$362&lt;&gt;"",_PENDIENTES!$K$362,"")</f>
        <v/>
      </c>
      <c r="M368" s="89" t="str">
        <f aca="false">IF(_PENDIENTES!$B$362&lt;&gt;"",_PENDIENTES!$B$362,"")</f>
        <v/>
      </c>
      <c r="N368" s="109" t="str">
        <f aca="false">IF(_PENDIENTES!$B$362&lt;&gt;"",_PENDIENTES!$L$362,"")</f>
        <v/>
      </c>
      <c r="O368" s="89"/>
      <c r="P368" s="89"/>
      <c r="Q368" s="89"/>
      <c r="R368" s="89"/>
      <c r="S368" s="89"/>
    </row>
    <row r="369" customFormat="false" ht="15.75" hidden="true" customHeight="true" outlineLevel="0" collapsed="false">
      <c r="A369" s="46" t="str">
        <f aca="false">IF(_PENDIENTES!$B$363&lt;&gt;"",362,"")</f>
        <v/>
      </c>
      <c r="B369" s="41" t="str">
        <f aca="false">IF(_PENDIENTES!$B$363&lt;&gt;"",_PENDIENTES!$A$363,"")</f>
        <v/>
      </c>
      <c r="C369" s="110" t="str">
        <f aca="false">IF(_PENDIENTES!$B$363&lt;&gt;"",_PENDIENTES!$C$363,"")</f>
        <v/>
      </c>
      <c r="D369" s="46" t="str">
        <f aca="false">IF(_PENDIENTES!$B$363&lt;&gt;"",_PENDIENTES!$D$363,"")</f>
        <v/>
      </c>
      <c r="E369" s="112" t="str">
        <f aca="false">IF(_PENDIENTES!$B$363&lt;&gt;"",_PENDIENTES!$E$363,"")</f>
        <v/>
      </c>
      <c r="F369" s="46" t="str">
        <f aca="false">IF(_PENDIENTES!$B$363&lt;&gt;"",_PENDIENTES!$F$363,"")</f>
        <v/>
      </c>
      <c r="G369" s="44" t="str">
        <f aca="false">IF(_PENDIENTES!$B$363&lt;&gt;"",_PENDIENTES!$G$363,"")</f>
        <v/>
      </c>
      <c r="H369" s="44" t="str">
        <f aca="false">IF(_PENDIENTES!$B$363&lt;&gt;"",_PENDIENTES!$H$363,"")</f>
        <v/>
      </c>
      <c r="I369" s="110" t="str">
        <f aca="false">IF(_PENDIENTES!$B$363&lt;&gt;"",_PENDIENTES!$I$363,"")</f>
        <v/>
      </c>
      <c r="J369" s="46" t="str">
        <f aca="false">IF(_PENDIENTES!$B$363&lt;&gt;"",_PENDIENTES!$J$363,"")</f>
        <v/>
      </c>
      <c r="K369" s="46" t="str">
        <f aca="false">IF(_PENDIENTES!$B$363&lt;&gt;"","POR RECOGER","")</f>
        <v/>
      </c>
      <c r="L369" s="46" t="str">
        <f aca="false">IF(_PENDIENTES!$B$363&lt;&gt;"",_PENDIENTES!$K$363,"")</f>
        <v/>
      </c>
      <c r="M369" s="89" t="str">
        <f aca="false">IF(_PENDIENTES!$B$363&lt;&gt;"",_PENDIENTES!$B$363,"")</f>
        <v/>
      </c>
      <c r="N369" s="109" t="str">
        <f aca="false">IF(_PENDIENTES!$B$363&lt;&gt;"",_PENDIENTES!$L$363,"")</f>
        <v/>
      </c>
      <c r="O369" s="89"/>
      <c r="P369" s="89"/>
      <c r="Q369" s="89"/>
      <c r="R369" s="89"/>
      <c r="S369" s="89"/>
    </row>
    <row r="370" customFormat="false" ht="15.75" hidden="true" customHeight="true" outlineLevel="0" collapsed="false">
      <c r="A370" s="106" t="str">
        <f aca="false">IF(_PENDIENTES!$B$364&lt;&gt;"",363,"")</f>
        <v/>
      </c>
      <c r="B370" s="47" t="str">
        <f aca="false">IF(_PENDIENTES!$B$364&lt;&gt;"",_PENDIENTES!$A$364,"")</f>
        <v/>
      </c>
      <c r="C370" s="107" t="str">
        <f aca="false">IF(_PENDIENTES!$B$364&lt;&gt;"",_PENDIENTES!$C$364,"")</f>
        <v/>
      </c>
      <c r="D370" s="106" t="str">
        <f aca="false">IF(_PENDIENTES!$B$364&lt;&gt;"",_PENDIENTES!$D$364,"")</f>
        <v/>
      </c>
      <c r="E370" s="111" t="str">
        <f aca="false">IF(_PENDIENTES!$B$364&lt;&gt;"",_PENDIENTES!$E$364,"")</f>
        <v/>
      </c>
      <c r="F370" s="106" t="str">
        <f aca="false">IF(_PENDIENTES!$B$364&lt;&gt;"",_PENDIENTES!$F$364,"")</f>
        <v/>
      </c>
      <c r="G370" s="50" t="str">
        <f aca="false">IF(_PENDIENTES!$B$364&lt;&gt;"",_PENDIENTES!$G$364,"")</f>
        <v/>
      </c>
      <c r="H370" s="50" t="str">
        <f aca="false">IF(_PENDIENTES!$B$364&lt;&gt;"",_PENDIENTES!$H$364,"")</f>
        <v/>
      </c>
      <c r="I370" s="107" t="str">
        <f aca="false">IF(_PENDIENTES!$B$364&lt;&gt;"",_PENDIENTES!$I$364,"")</f>
        <v/>
      </c>
      <c r="J370" s="106" t="str">
        <f aca="false">IF(_PENDIENTES!$B$364&lt;&gt;"",_PENDIENTES!$J$364,"")</f>
        <v/>
      </c>
      <c r="K370" s="106" t="str">
        <f aca="false">IF(_PENDIENTES!$B$364&lt;&gt;"","POR RECOGER","")</f>
        <v/>
      </c>
      <c r="L370" s="106" t="str">
        <f aca="false">IF(_PENDIENTES!$B$364&lt;&gt;"",_PENDIENTES!$K$364,"")</f>
        <v/>
      </c>
      <c r="M370" s="89" t="str">
        <f aca="false">IF(_PENDIENTES!$B$364&lt;&gt;"",_PENDIENTES!$B$364,"")</f>
        <v/>
      </c>
      <c r="N370" s="109" t="str">
        <f aca="false">IF(_PENDIENTES!$B$364&lt;&gt;"",_PENDIENTES!$L$364,"")</f>
        <v/>
      </c>
      <c r="O370" s="89"/>
      <c r="P370" s="89"/>
      <c r="Q370" s="89"/>
      <c r="R370" s="89"/>
      <c r="S370" s="89"/>
    </row>
    <row r="371" customFormat="false" ht="15.75" hidden="true" customHeight="true" outlineLevel="0" collapsed="false">
      <c r="A371" s="46" t="str">
        <f aca="false">IF(_PENDIENTES!$B$365&lt;&gt;"",364,"")</f>
        <v/>
      </c>
      <c r="B371" s="41" t="str">
        <f aca="false">IF(_PENDIENTES!$B$365&lt;&gt;"",_PENDIENTES!$A$365,"")</f>
        <v/>
      </c>
      <c r="C371" s="110" t="str">
        <f aca="false">IF(_PENDIENTES!$B$365&lt;&gt;"",_PENDIENTES!$C$365,"")</f>
        <v/>
      </c>
      <c r="D371" s="46" t="str">
        <f aca="false">IF(_PENDIENTES!$B$365&lt;&gt;"",_PENDIENTES!$D$365,"")</f>
        <v/>
      </c>
      <c r="E371" s="112" t="str">
        <f aca="false">IF(_PENDIENTES!$B$365&lt;&gt;"",_PENDIENTES!$E$365,"")</f>
        <v/>
      </c>
      <c r="F371" s="46" t="str">
        <f aca="false">IF(_PENDIENTES!$B$365&lt;&gt;"",_PENDIENTES!$F$365,"")</f>
        <v/>
      </c>
      <c r="G371" s="44" t="str">
        <f aca="false">IF(_PENDIENTES!$B$365&lt;&gt;"",_PENDIENTES!$G$365,"")</f>
        <v/>
      </c>
      <c r="H371" s="44" t="str">
        <f aca="false">IF(_PENDIENTES!$B$365&lt;&gt;"",_PENDIENTES!$H$365,"")</f>
        <v/>
      </c>
      <c r="I371" s="110" t="str">
        <f aca="false">IF(_PENDIENTES!$B$365&lt;&gt;"",_PENDIENTES!$I$365,"")</f>
        <v/>
      </c>
      <c r="J371" s="46" t="str">
        <f aca="false">IF(_PENDIENTES!$B$365&lt;&gt;"",_PENDIENTES!$J$365,"")</f>
        <v/>
      </c>
      <c r="K371" s="46" t="str">
        <f aca="false">IF(_PENDIENTES!$B$365&lt;&gt;"","POR RECOGER","")</f>
        <v/>
      </c>
      <c r="L371" s="46" t="str">
        <f aca="false">IF(_PENDIENTES!$B$365&lt;&gt;"",_PENDIENTES!$K$365,"")</f>
        <v/>
      </c>
      <c r="M371" s="89" t="str">
        <f aca="false">IF(_PENDIENTES!$B$365&lt;&gt;"",_PENDIENTES!$B$365,"")</f>
        <v/>
      </c>
      <c r="N371" s="109" t="str">
        <f aca="false">IF(_PENDIENTES!$B$365&lt;&gt;"",_PENDIENTES!$L$365,"")</f>
        <v/>
      </c>
      <c r="O371" s="89"/>
      <c r="P371" s="89"/>
      <c r="Q371" s="89"/>
      <c r="R371" s="89"/>
      <c r="S371" s="89"/>
    </row>
    <row r="372" customFormat="false" ht="15.75" hidden="true" customHeight="true" outlineLevel="0" collapsed="false">
      <c r="A372" s="106" t="str">
        <f aca="false">IF(_PENDIENTES!$B$366&lt;&gt;"",365,"")</f>
        <v/>
      </c>
      <c r="B372" s="47" t="str">
        <f aca="false">IF(_PENDIENTES!$B$366&lt;&gt;"",_PENDIENTES!$A$366,"")</f>
        <v/>
      </c>
      <c r="C372" s="107" t="str">
        <f aca="false">IF(_PENDIENTES!$B$366&lt;&gt;"",_PENDIENTES!$C$366,"")</f>
        <v/>
      </c>
      <c r="D372" s="106" t="str">
        <f aca="false">IF(_PENDIENTES!$B$366&lt;&gt;"",_PENDIENTES!$D$366,"")</f>
        <v/>
      </c>
      <c r="E372" s="111" t="str">
        <f aca="false">IF(_PENDIENTES!$B$366&lt;&gt;"",_PENDIENTES!$E$366,"")</f>
        <v/>
      </c>
      <c r="F372" s="106" t="str">
        <f aca="false">IF(_PENDIENTES!$B$366&lt;&gt;"",_PENDIENTES!$F$366,"")</f>
        <v/>
      </c>
      <c r="G372" s="50" t="str">
        <f aca="false">IF(_PENDIENTES!$B$366&lt;&gt;"",_PENDIENTES!$G$366,"")</f>
        <v/>
      </c>
      <c r="H372" s="50" t="str">
        <f aca="false">IF(_PENDIENTES!$B$366&lt;&gt;"",_PENDIENTES!$H$366,"")</f>
        <v/>
      </c>
      <c r="I372" s="107" t="str">
        <f aca="false">IF(_PENDIENTES!$B$366&lt;&gt;"",_PENDIENTES!$I$366,"")</f>
        <v/>
      </c>
      <c r="J372" s="106" t="str">
        <f aca="false">IF(_PENDIENTES!$B$366&lt;&gt;"",_PENDIENTES!$J$366,"")</f>
        <v/>
      </c>
      <c r="K372" s="106" t="str">
        <f aca="false">IF(_PENDIENTES!$B$366&lt;&gt;"","POR RECOGER","")</f>
        <v/>
      </c>
      <c r="L372" s="106" t="str">
        <f aca="false">IF(_PENDIENTES!$B$366&lt;&gt;"",_PENDIENTES!$K$366,"")</f>
        <v/>
      </c>
      <c r="M372" s="89" t="str">
        <f aca="false">IF(_PENDIENTES!$B$366&lt;&gt;"",_PENDIENTES!$B$366,"")</f>
        <v/>
      </c>
      <c r="N372" s="109" t="str">
        <f aca="false">IF(_PENDIENTES!$B$366&lt;&gt;"",_PENDIENTES!$L$366,"")</f>
        <v/>
      </c>
      <c r="O372" s="89"/>
      <c r="P372" s="89"/>
      <c r="Q372" s="89"/>
      <c r="R372" s="89"/>
      <c r="S372" s="89"/>
    </row>
    <row r="373" customFormat="false" ht="15.75" hidden="true" customHeight="true" outlineLevel="0" collapsed="false">
      <c r="A373" s="46" t="str">
        <f aca="false">IF(_PENDIENTES!$B$367&lt;&gt;"",366,"")</f>
        <v/>
      </c>
      <c r="B373" s="41" t="str">
        <f aca="false">IF(_PENDIENTES!$B$367&lt;&gt;"",_PENDIENTES!$A$367,"")</f>
        <v/>
      </c>
      <c r="C373" s="110" t="str">
        <f aca="false">IF(_PENDIENTES!$B$367&lt;&gt;"",_PENDIENTES!$C$367,"")</f>
        <v/>
      </c>
      <c r="D373" s="46" t="str">
        <f aca="false">IF(_PENDIENTES!$B$367&lt;&gt;"",_PENDIENTES!$D$367,"")</f>
        <v/>
      </c>
      <c r="E373" s="112" t="str">
        <f aca="false">IF(_PENDIENTES!$B$367&lt;&gt;"",_PENDIENTES!$E$367,"")</f>
        <v/>
      </c>
      <c r="F373" s="46" t="str">
        <f aca="false">IF(_PENDIENTES!$B$367&lt;&gt;"",_PENDIENTES!$F$367,"")</f>
        <v/>
      </c>
      <c r="G373" s="44" t="str">
        <f aca="false">IF(_PENDIENTES!$B$367&lt;&gt;"",_PENDIENTES!$G$367,"")</f>
        <v/>
      </c>
      <c r="H373" s="44" t="str">
        <f aca="false">IF(_PENDIENTES!$B$367&lt;&gt;"",_PENDIENTES!$H$367,"")</f>
        <v/>
      </c>
      <c r="I373" s="110" t="str">
        <f aca="false">IF(_PENDIENTES!$B$367&lt;&gt;"",_PENDIENTES!$I$367,"")</f>
        <v/>
      </c>
      <c r="J373" s="46" t="str">
        <f aca="false">IF(_PENDIENTES!$B$367&lt;&gt;"",_PENDIENTES!$J$367,"")</f>
        <v/>
      </c>
      <c r="K373" s="46" t="str">
        <f aca="false">IF(_PENDIENTES!$B$367&lt;&gt;"","POR RECOGER","")</f>
        <v/>
      </c>
      <c r="L373" s="46" t="str">
        <f aca="false">IF(_PENDIENTES!$B$367&lt;&gt;"",_PENDIENTES!$K$367,"")</f>
        <v/>
      </c>
      <c r="M373" s="89" t="str">
        <f aca="false">IF(_PENDIENTES!$B$367&lt;&gt;"",_PENDIENTES!$B$367,"")</f>
        <v/>
      </c>
      <c r="N373" s="109" t="str">
        <f aca="false">IF(_PENDIENTES!$B$367&lt;&gt;"",_PENDIENTES!$L$367,"")</f>
        <v/>
      </c>
      <c r="O373" s="89"/>
      <c r="P373" s="89"/>
      <c r="Q373" s="89"/>
      <c r="R373" s="89"/>
      <c r="S373" s="89"/>
    </row>
    <row r="374" customFormat="false" ht="15.75" hidden="true" customHeight="true" outlineLevel="0" collapsed="false">
      <c r="A374" s="106" t="str">
        <f aca="false">IF(_PENDIENTES!$B$368&lt;&gt;"",367,"")</f>
        <v/>
      </c>
      <c r="B374" s="47" t="str">
        <f aca="false">IF(_PENDIENTES!$B$368&lt;&gt;"",_PENDIENTES!$A$368,"")</f>
        <v/>
      </c>
      <c r="C374" s="107" t="str">
        <f aca="false">IF(_PENDIENTES!$B$368&lt;&gt;"",_PENDIENTES!$C$368,"")</f>
        <v/>
      </c>
      <c r="D374" s="106" t="str">
        <f aca="false">IF(_PENDIENTES!$B$368&lt;&gt;"",_PENDIENTES!$D$368,"")</f>
        <v/>
      </c>
      <c r="E374" s="111" t="str">
        <f aca="false">IF(_PENDIENTES!$B$368&lt;&gt;"",_PENDIENTES!$E$368,"")</f>
        <v/>
      </c>
      <c r="F374" s="106" t="str">
        <f aca="false">IF(_PENDIENTES!$B$368&lt;&gt;"",_PENDIENTES!$F$368,"")</f>
        <v/>
      </c>
      <c r="G374" s="50" t="str">
        <f aca="false">IF(_PENDIENTES!$B$368&lt;&gt;"",_PENDIENTES!$G$368,"")</f>
        <v/>
      </c>
      <c r="H374" s="50" t="str">
        <f aca="false">IF(_PENDIENTES!$B$368&lt;&gt;"",_PENDIENTES!$H$368,"")</f>
        <v/>
      </c>
      <c r="I374" s="107" t="str">
        <f aca="false">IF(_PENDIENTES!$B$368&lt;&gt;"",_PENDIENTES!$I$368,"")</f>
        <v/>
      </c>
      <c r="J374" s="106" t="str">
        <f aca="false">IF(_PENDIENTES!$B$368&lt;&gt;"",_PENDIENTES!$J$368,"")</f>
        <v/>
      </c>
      <c r="K374" s="106" t="str">
        <f aca="false">IF(_PENDIENTES!$B$368&lt;&gt;"","POR RECOGER","")</f>
        <v/>
      </c>
      <c r="L374" s="106" t="str">
        <f aca="false">IF(_PENDIENTES!$B$368&lt;&gt;"",_PENDIENTES!$K$368,"")</f>
        <v/>
      </c>
      <c r="M374" s="89" t="str">
        <f aca="false">IF(_PENDIENTES!$B$368&lt;&gt;"",_PENDIENTES!$B$368,"")</f>
        <v/>
      </c>
      <c r="N374" s="109" t="str">
        <f aca="false">IF(_PENDIENTES!$B$368&lt;&gt;"",_PENDIENTES!$L$368,"")</f>
        <v/>
      </c>
      <c r="O374" s="89"/>
      <c r="P374" s="89"/>
      <c r="Q374" s="89"/>
      <c r="R374" s="89"/>
      <c r="S374" s="89"/>
    </row>
    <row r="375" customFormat="false" ht="15.75" hidden="true" customHeight="true" outlineLevel="0" collapsed="false">
      <c r="A375" s="46" t="str">
        <f aca="false">IF(_PENDIENTES!$B$369&lt;&gt;"",368,"")</f>
        <v/>
      </c>
      <c r="B375" s="41" t="str">
        <f aca="false">IF(_PENDIENTES!$B$369&lt;&gt;"",_PENDIENTES!$A$369,"")</f>
        <v/>
      </c>
      <c r="C375" s="110" t="str">
        <f aca="false">IF(_PENDIENTES!$B$369&lt;&gt;"",_PENDIENTES!$C$369,"")</f>
        <v/>
      </c>
      <c r="D375" s="46" t="str">
        <f aca="false">IF(_PENDIENTES!$B$369&lt;&gt;"",_PENDIENTES!$D$369,"")</f>
        <v/>
      </c>
      <c r="E375" s="112" t="str">
        <f aca="false">IF(_PENDIENTES!$B$369&lt;&gt;"",_PENDIENTES!$E$369,"")</f>
        <v/>
      </c>
      <c r="F375" s="46" t="str">
        <f aca="false">IF(_PENDIENTES!$B$369&lt;&gt;"",_PENDIENTES!$F$369,"")</f>
        <v/>
      </c>
      <c r="G375" s="44" t="str">
        <f aca="false">IF(_PENDIENTES!$B$369&lt;&gt;"",_PENDIENTES!$G$369,"")</f>
        <v/>
      </c>
      <c r="H375" s="44" t="str">
        <f aca="false">IF(_PENDIENTES!$B$369&lt;&gt;"",_PENDIENTES!$H$369,"")</f>
        <v/>
      </c>
      <c r="I375" s="110" t="str">
        <f aca="false">IF(_PENDIENTES!$B$369&lt;&gt;"",_PENDIENTES!$I$369,"")</f>
        <v/>
      </c>
      <c r="J375" s="46" t="str">
        <f aca="false">IF(_PENDIENTES!$B$369&lt;&gt;"",_PENDIENTES!$J$369,"")</f>
        <v/>
      </c>
      <c r="K375" s="46" t="str">
        <f aca="false">IF(_PENDIENTES!$B$369&lt;&gt;"","POR RECOGER","")</f>
        <v/>
      </c>
      <c r="L375" s="46" t="str">
        <f aca="false">IF(_PENDIENTES!$B$369&lt;&gt;"",_PENDIENTES!$K$369,"")</f>
        <v/>
      </c>
      <c r="M375" s="89" t="str">
        <f aca="false">IF(_PENDIENTES!$B$369&lt;&gt;"",_PENDIENTES!$B$369,"")</f>
        <v/>
      </c>
      <c r="N375" s="109" t="str">
        <f aca="false">IF(_PENDIENTES!$B$369&lt;&gt;"",_PENDIENTES!$L$369,"")</f>
        <v/>
      </c>
      <c r="O375" s="89"/>
      <c r="P375" s="89"/>
      <c r="Q375" s="89"/>
      <c r="R375" s="89"/>
      <c r="S375" s="89"/>
    </row>
    <row r="376" customFormat="false" ht="15.75" hidden="true" customHeight="true" outlineLevel="0" collapsed="false">
      <c r="A376" s="106" t="str">
        <f aca="false">IF(_PENDIENTES!$B$370&lt;&gt;"",369,"")</f>
        <v/>
      </c>
      <c r="B376" s="47" t="str">
        <f aca="false">IF(_PENDIENTES!$B$370&lt;&gt;"",_PENDIENTES!$A$370,"")</f>
        <v/>
      </c>
      <c r="C376" s="107" t="str">
        <f aca="false">IF(_PENDIENTES!$B$370&lt;&gt;"",_PENDIENTES!$C$370,"")</f>
        <v/>
      </c>
      <c r="D376" s="106" t="str">
        <f aca="false">IF(_PENDIENTES!$B$370&lt;&gt;"",_PENDIENTES!$D$370,"")</f>
        <v/>
      </c>
      <c r="E376" s="111" t="str">
        <f aca="false">IF(_PENDIENTES!$B$370&lt;&gt;"",_PENDIENTES!$E$370,"")</f>
        <v/>
      </c>
      <c r="F376" s="106" t="str">
        <f aca="false">IF(_PENDIENTES!$B$370&lt;&gt;"",_PENDIENTES!$F$370,"")</f>
        <v/>
      </c>
      <c r="G376" s="50" t="str">
        <f aca="false">IF(_PENDIENTES!$B$370&lt;&gt;"",_PENDIENTES!$G$370,"")</f>
        <v/>
      </c>
      <c r="H376" s="50" t="str">
        <f aca="false">IF(_PENDIENTES!$B$370&lt;&gt;"",_PENDIENTES!$H$370,"")</f>
        <v/>
      </c>
      <c r="I376" s="107" t="str">
        <f aca="false">IF(_PENDIENTES!$B$370&lt;&gt;"",_PENDIENTES!$I$370,"")</f>
        <v/>
      </c>
      <c r="J376" s="106" t="str">
        <f aca="false">IF(_PENDIENTES!$B$370&lt;&gt;"",_PENDIENTES!$J$370,"")</f>
        <v/>
      </c>
      <c r="K376" s="106" t="str">
        <f aca="false">IF(_PENDIENTES!$B$370&lt;&gt;"","POR RECOGER","")</f>
        <v/>
      </c>
      <c r="L376" s="106" t="str">
        <f aca="false">IF(_PENDIENTES!$B$370&lt;&gt;"",_PENDIENTES!$K$370,"")</f>
        <v/>
      </c>
      <c r="M376" s="89" t="str">
        <f aca="false">IF(_PENDIENTES!$B$370&lt;&gt;"",_PENDIENTES!$B$370,"")</f>
        <v/>
      </c>
      <c r="N376" s="109" t="str">
        <f aca="false">IF(_PENDIENTES!$B$370&lt;&gt;"",_PENDIENTES!$L$370,"")</f>
        <v/>
      </c>
      <c r="O376" s="89"/>
      <c r="P376" s="89"/>
      <c r="Q376" s="89"/>
      <c r="R376" s="89"/>
      <c r="S376" s="89"/>
    </row>
    <row r="377" customFormat="false" ht="15.75" hidden="true" customHeight="true" outlineLevel="0" collapsed="false">
      <c r="A377" s="46" t="str">
        <f aca="false">IF(_PENDIENTES!$B$371&lt;&gt;"",370,"")</f>
        <v/>
      </c>
      <c r="B377" s="41" t="str">
        <f aca="false">IF(_PENDIENTES!$B$371&lt;&gt;"",_PENDIENTES!$A$371,"")</f>
        <v/>
      </c>
      <c r="C377" s="110" t="str">
        <f aca="false">IF(_PENDIENTES!$B$371&lt;&gt;"",_PENDIENTES!$C$371,"")</f>
        <v/>
      </c>
      <c r="D377" s="46" t="str">
        <f aca="false">IF(_PENDIENTES!$B$371&lt;&gt;"",_PENDIENTES!$D$371,"")</f>
        <v/>
      </c>
      <c r="E377" s="112" t="str">
        <f aca="false">IF(_PENDIENTES!$B$371&lt;&gt;"",_PENDIENTES!$E$371,"")</f>
        <v/>
      </c>
      <c r="F377" s="46" t="str">
        <f aca="false">IF(_PENDIENTES!$B$371&lt;&gt;"",_PENDIENTES!$F$371,"")</f>
        <v/>
      </c>
      <c r="G377" s="44" t="str">
        <f aca="false">IF(_PENDIENTES!$B$371&lt;&gt;"",_PENDIENTES!$G$371,"")</f>
        <v/>
      </c>
      <c r="H377" s="44" t="str">
        <f aca="false">IF(_PENDIENTES!$B$371&lt;&gt;"",_PENDIENTES!$H$371,"")</f>
        <v/>
      </c>
      <c r="I377" s="110" t="str">
        <f aca="false">IF(_PENDIENTES!$B$371&lt;&gt;"",_PENDIENTES!$I$371,"")</f>
        <v/>
      </c>
      <c r="J377" s="46" t="str">
        <f aca="false">IF(_PENDIENTES!$B$371&lt;&gt;"",_PENDIENTES!$J$371,"")</f>
        <v/>
      </c>
      <c r="K377" s="46" t="str">
        <f aca="false">IF(_PENDIENTES!$B$371&lt;&gt;"","POR RECOGER","")</f>
        <v/>
      </c>
      <c r="L377" s="46" t="str">
        <f aca="false">IF(_PENDIENTES!$B$371&lt;&gt;"",_PENDIENTES!$K$371,"")</f>
        <v/>
      </c>
      <c r="M377" s="89" t="str">
        <f aca="false">IF(_PENDIENTES!$B$371&lt;&gt;"",_PENDIENTES!$B$371,"")</f>
        <v/>
      </c>
      <c r="N377" s="109" t="str">
        <f aca="false">IF(_PENDIENTES!$B$371&lt;&gt;"",_PENDIENTES!$L$371,"")</f>
        <v/>
      </c>
      <c r="O377" s="89"/>
      <c r="P377" s="89"/>
      <c r="Q377" s="89"/>
      <c r="R377" s="89"/>
      <c r="S377" s="89"/>
    </row>
    <row r="378" customFormat="false" ht="15.75" hidden="true" customHeight="true" outlineLevel="0" collapsed="false">
      <c r="A378" s="106" t="str">
        <f aca="false">IF(_PENDIENTES!$B$372&lt;&gt;"",371,"")</f>
        <v/>
      </c>
      <c r="B378" s="47" t="str">
        <f aca="false">IF(_PENDIENTES!$B$372&lt;&gt;"",_PENDIENTES!$A$372,"")</f>
        <v/>
      </c>
      <c r="C378" s="107" t="str">
        <f aca="false">IF(_PENDIENTES!$B$372&lt;&gt;"",_PENDIENTES!$C$372,"")</f>
        <v/>
      </c>
      <c r="D378" s="106" t="str">
        <f aca="false">IF(_PENDIENTES!$B$372&lt;&gt;"",_PENDIENTES!$D$372,"")</f>
        <v/>
      </c>
      <c r="E378" s="111" t="str">
        <f aca="false">IF(_PENDIENTES!$B$372&lt;&gt;"",_PENDIENTES!$E$372,"")</f>
        <v/>
      </c>
      <c r="F378" s="106" t="str">
        <f aca="false">IF(_PENDIENTES!$B$372&lt;&gt;"",_PENDIENTES!$F$372,"")</f>
        <v/>
      </c>
      <c r="G378" s="50" t="str">
        <f aca="false">IF(_PENDIENTES!$B$372&lt;&gt;"",_PENDIENTES!$G$372,"")</f>
        <v/>
      </c>
      <c r="H378" s="50" t="str">
        <f aca="false">IF(_PENDIENTES!$B$372&lt;&gt;"",_PENDIENTES!$H$372,"")</f>
        <v/>
      </c>
      <c r="I378" s="107" t="str">
        <f aca="false">IF(_PENDIENTES!$B$372&lt;&gt;"",_PENDIENTES!$I$372,"")</f>
        <v/>
      </c>
      <c r="J378" s="106" t="str">
        <f aca="false">IF(_PENDIENTES!$B$372&lt;&gt;"",_PENDIENTES!$J$372,"")</f>
        <v/>
      </c>
      <c r="K378" s="106" t="str">
        <f aca="false">IF(_PENDIENTES!$B$372&lt;&gt;"","POR RECOGER","")</f>
        <v/>
      </c>
      <c r="L378" s="106" t="str">
        <f aca="false">IF(_PENDIENTES!$B$372&lt;&gt;"",_PENDIENTES!$K$372,"")</f>
        <v/>
      </c>
      <c r="M378" s="89" t="str">
        <f aca="false">IF(_PENDIENTES!$B$372&lt;&gt;"",_PENDIENTES!$B$372,"")</f>
        <v/>
      </c>
      <c r="N378" s="109" t="str">
        <f aca="false">IF(_PENDIENTES!$B$372&lt;&gt;"",_PENDIENTES!$L$372,"")</f>
        <v/>
      </c>
      <c r="O378" s="89"/>
      <c r="P378" s="89"/>
      <c r="Q378" s="89"/>
      <c r="R378" s="89"/>
      <c r="S378" s="89"/>
    </row>
    <row r="379" customFormat="false" ht="15.75" hidden="true" customHeight="true" outlineLevel="0" collapsed="false">
      <c r="A379" s="46" t="str">
        <f aca="false">IF(_PENDIENTES!$B$373&lt;&gt;"",372,"")</f>
        <v/>
      </c>
      <c r="B379" s="41" t="str">
        <f aca="false">IF(_PENDIENTES!$B$373&lt;&gt;"",_PENDIENTES!$A$373,"")</f>
        <v/>
      </c>
      <c r="C379" s="110" t="str">
        <f aca="false">IF(_PENDIENTES!$B$373&lt;&gt;"",_PENDIENTES!$C$373,"")</f>
        <v/>
      </c>
      <c r="D379" s="46" t="str">
        <f aca="false">IF(_PENDIENTES!$B$373&lt;&gt;"",_PENDIENTES!$D$373,"")</f>
        <v/>
      </c>
      <c r="E379" s="112" t="str">
        <f aca="false">IF(_PENDIENTES!$B$373&lt;&gt;"",_PENDIENTES!$E$373,"")</f>
        <v/>
      </c>
      <c r="F379" s="46" t="str">
        <f aca="false">IF(_PENDIENTES!$B$373&lt;&gt;"",_PENDIENTES!$F$373,"")</f>
        <v/>
      </c>
      <c r="G379" s="44" t="str">
        <f aca="false">IF(_PENDIENTES!$B$373&lt;&gt;"",_PENDIENTES!$G$373,"")</f>
        <v/>
      </c>
      <c r="H379" s="44" t="str">
        <f aca="false">IF(_PENDIENTES!$B$373&lt;&gt;"",_PENDIENTES!$H$373,"")</f>
        <v/>
      </c>
      <c r="I379" s="110" t="str">
        <f aca="false">IF(_PENDIENTES!$B$373&lt;&gt;"",_PENDIENTES!$I$373,"")</f>
        <v/>
      </c>
      <c r="J379" s="46" t="str">
        <f aca="false">IF(_PENDIENTES!$B$373&lt;&gt;"",_PENDIENTES!$J$373,"")</f>
        <v/>
      </c>
      <c r="K379" s="46" t="str">
        <f aca="false">IF(_PENDIENTES!$B$373&lt;&gt;"","POR RECOGER","")</f>
        <v/>
      </c>
      <c r="L379" s="46" t="str">
        <f aca="false">IF(_PENDIENTES!$B$373&lt;&gt;"",_PENDIENTES!$K$373,"")</f>
        <v/>
      </c>
      <c r="M379" s="89" t="str">
        <f aca="false">IF(_PENDIENTES!$B$373&lt;&gt;"",_PENDIENTES!$B$373,"")</f>
        <v/>
      </c>
      <c r="N379" s="109" t="str">
        <f aca="false">IF(_PENDIENTES!$B$373&lt;&gt;"",_PENDIENTES!$L$373,"")</f>
        <v/>
      </c>
      <c r="O379" s="89"/>
      <c r="P379" s="89"/>
      <c r="Q379" s="89"/>
      <c r="R379" s="89"/>
      <c r="S379" s="89"/>
    </row>
    <row r="380" customFormat="false" ht="15.75" hidden="true" customHeight="true" outlineLevel="0" collapsed="false">
      <c r="A380" s="106" t="str">
        <f aca="false">IF(_PENDIENTES!$B$374&lt;&gt;"",373,"")</f>
        <v/>
      </c>
      <c r="B380" s="47" t="str">
        <f aca="false">IF(_PENDIENTES!$B$374&lt;&gt;"",_PENDIENTES!$A$374,"")</f>
        <v/>
      </c>
      <c r="C380" s="107" t="str">
        <f aca="false">IF(_PENDIENTES!$B$374&lt;&gt;"",_PENDIENTES!$C$374,"")</f>
        <v/>
      </c>
      <c r="D380" s="106" t="str">
        <f aca="false">IF(_PENDIENTES!$B$374&lt;&gt;"",_PENDIENTES!$D$374,"")</f>
        <v/>
      </c>
      <c r="E380" s="111" t="str">
        <f aca="false">IF(_PENDIENTES!$B$374&lt;&gt;"",_PENDIENTES!$E$374,"")</f>
        <v/>
      </c>
      <c r="F380" s="106" t="str">
        <f aca="false">IF(_PENDIENTES!$B$374&lt;&gt;"",_PENDIENTES!$F$374,"")</f>
        <v/>
      </c>
      <c r="G380" s="50" t="str">
        <f aca="false">IF(_PENDIENTES!$B$374&lt;&gt;"",_PENDIENTES!$G$374,"")</f>
        <v/>
      </c>
      <c r="H380" s="50" t="str">
        <f aca="false">IF(_PENDIENTES!$B$374&lt;&gt;"",_PENDIENTES!$H$374,"")</f>
        <v/>
      </c>
      <c r="I380" s="107" t="str">
        <f aca="false">IF(_PENDIENTES!$B$374&lt;&gt;"",_PENDIENTES!$I$374,"")</f>
        <v/>
      </c>
      <c r="J380" s="106" t="str">
        <f aca="false">IF(_PENDIENTES!$B$374&lt;&gt;"",_PENDIENTES!$J$374,"")</f>
        <v/>
      </c>
      <c r="K380" s="106" t="str">
        <f aca="false">IF(_PENDIENTES!$B$374&lt;&gt;"","POR RECOGER","")</f>
        <v/>
      </c>
      <c r="L380" s="106" t="str">
        <f aca="false">IF(_PENDIENTES!$B$374&lt;&gt;"",_PENDIENTES!$K$374,"")</f>
        <v/>
      </c>
      <c r="M380" s="89" t="str">
        <f aca="false">IF(_PENDIENTES!$B$374&lt;&gt;"",_PENDIENTES!$B$374,"")</f>
        <v/>
      </c>
      <c r="N380" s="109" t="str">
        <f aca="false">IF(_PENDIENTES!$B$374&lt;&gt;"",_PENDIENTES!$L$374,"")</f>
        <v/>
      </c>
      <c r="O380" s="89"/>
      <c r="P380" s="89"/>
      <c r="Q380" s="89"/>
      <c r="R380" s="89"/>
      <c r="S380" s="89"/>
    </row>
    <row r="381" customFormat="false" ht="15.75" hidden="true" customHeight="true" outlineLevel="0" collapsed="false">
      <c r="A381" s="46" t="str">
        <f aca="false">IF(_PENDIENTES!$B$375&lt;&gt;"",374,"")</f>
        <v/>
      </c>
      <c r="B381" s="41" t="str">
        <f aca="false">IF(_PENDIENTES!$B$375&lt;&gt;"",_PENDIENTES!$A$375,"")</f>
        <v/>
      </c>
      <c r="C381" s="110" t="str">
        <f aca="false">IF(_PENDIENTES!$B$375&lt;&gt;"",_PENDIENTES!$C$375,"")</f>
        <v/>
      </c>
      <c r="D381" s="46" t="str">
        <f aca="false">IF(_PENDIENTES!$B$375&lt;&gt;"",_PENDIENTES!$D$375,"")</f>
        <v/>
      </c>
      <c r="E381" s="112" t="str">
        <f aca="false">IF(_PENDIENTES!$B$375&lt;&gt;"",_PENDIENTES!$E$375,"")</f>
        <v/>
      </c>
      <c r="F381" s="46" t="str">
        <f aca="false">IF(_PENDIENTES!$B$375&lt;&gt;"",_PENDIENTES!$F$375,"")</f>
        <v/>
      </c>
      <c r="G381" s="44" t="str">
        <f aca="false">IF(_PENDIENTES!$B$375&lt;&gt;"",_PENDIENTES!$G$375,"")</f>
        <v/>
      </c>
      <c r="H381" s="44" t="str">
        <f aca="false">IF(_PENDIENTES!$B$375&lt;&gt;"",_PENDIENTES!$H$375,"")</f>
        <v/>
      </c>
      <c r="I381" s="110" t="str">
        <f aca="false">IF(_PENDIENTES!$B$375&lt;&gt;"",_PENDIENTES!$I$375,"")</f>
        <v/>
      </c>
      <c r="J381" s="46" t="str">
        <f aca="false">IF(_PENDIENTES!$B$375&lt;&gt;"",_PENDIENTES!$J$375,"")</f>
        <v/>
      </c>
      <c r="K381" s="46" t="str">
        <f aca="false">IF(_PENDIENTES!$B$375&lt;&gt;"","POR RECOGER","")</f>
        <v/>
      </c>
      <c r="L381" s="46" t="str">
        <f aca="false">IF(_PENDIENTES!$B$375&lt;&gt;"",_PENDIENTES!$K$375,"")</f>
        <v/>
      </c>
      <c r="M381" s="89" t="str">
        <f aca="false">IF(_PENDIENTES!$B$375&lt;&gt;"",_PENDIENTES!$B$375,"")</f>
        <v/>
      </c>
      <c r="N381" s="109" t="str">
        <f aca="false">IF(_PENDIENTES!$B$375&lt;&gt;"",_PENDIENTES!$L$375,"")</f>
        <v/>
      </c>
      <c r="O381" s="89"/>
      <c r="P381" s="89"/>
      <c r="Q381" s="89"/>
      <c r="R381" s="89"/>
      <c r="S381" s="89"/>
    </row>
    <row r="382" customFormat="false" ht="15.75" hidden="true" customHeight="true" outlineLevel="0" collapsed="false">
      <c r="A382" s="106" t="str">
        <f aca="false">IF(_PENDIENTES!$B$376&lt;&gt;"",375,"")</f>
        <v/>
      </c>
      <c r="B382" s="47" t="str">
        <f aca="false">IF(_PENDIENTES!$B$376&lt;&gt;"",_PENDIENTES!$A$376,"")</f>
        <v/>
      </c>
      <c r="C382" s="107" t="str">
        <f aca="false">IF(_PENDIENTES!$B$376&lt;&gt;"",_PENDIENTES!$C$376,"")</f>
        <v/>
      </c>
      <c r="D382" s="106" t="str">
        <f aca="false">IF(_PENDIENTES!$B$376&lt;&gt;"",_PENDIENTES!$D$376,"")</f>
        <v/>
      </c>
      <c r="E382" s="111" t="str">
        <f aca="false">IF(_PENDIENTES!$B$376&lt;&gt;"",_PENDIENTES!$E$376,"")</f>
        <v/>
      </c>
      <c r="F382" s="106" t="str">
        <f aca="false">IF(_PENDIENTES!$B$376&lt;&gt;"",_PENDIENTES!$F$376,"")</f>
        <v/>
      </c>
      <c r="G382" s="50" t="str">
        <f aca="false">IF(_PENDIENTES!$B$376&lt;&gt;"",_PENDIENTES!$G$376,"")</f>
        <v/>
      </c>
      <c r="H382" s="50" t="str">
        <f aca="false">IF(_PENDIENTES!$B$376&lt;&gt;"",_PENDIENTES!$H$376,"")</f>
        <v/>
      </c>
      <c r="I382" s="107" t="str">
        <f aca="false">IF(_PENDIENTES!$B$376&lt;&gt;"",_PENDIENTES!$I$376,"")</f>
        <v/>
      </c>
      <c r="J382" s="106" t="str">
        <f aca="false">IF(_PENDIENTES!$B$376&lt;&gt;"",_PENDIENTES!$J$376,"")</f>
        <v/>
      </c>
      <c r="K382" s="106" t="str">
        <f aca="false">IF(_PENDIENTES!$B$376&lt;&gt;"","POR RECOGER","")</f>
        <v/>
      </c>
      <c r="L382" s="106" t="str">
        <f aca="false">IF(_PENDIENTES!$B$376&lt;&gt;"",_PENDIENTES!$K$376,"")</f>
        <v/>
      </c>
      <c r="M382" s="89" t="str">
        <f aca="false">IF(_PENDIENTES!$B$376&lt;&gt;"",_PENDIENTES!$B$376,"")</f>
        <v/>
      </c>
      <c r="N382" s="109" t="str">
        <f aca="false">IF(_PENDIENTES!$B$376&lt;&gt;"",_PENDIENTES!$L$376,"")</f>
        <v/>
      </c>
      <c r="O382" s="89"/>
      <c r="P382" s="89"/>
      <c r="Q382" s="89"/>
      <c r="R382" s="89"/>
      <c r="S382" s="89"/>
    </row>
    <row r="383" customFormat="false" ht="15.75" hidden="true" customHeight="true" outlineLevel="0" collapsed="false">
      <c r="A383" s="46" t="str">
        <f aca="false">IF(_PENDIENTES!$B$377&lt;&gt;"",376,"")</f>
        <v/>
      </c>
      <c r="B383" s="41" t="str">
        <f aca="false">IF(_PENDIENTES!$B$377&lt;&gt;"",_PENDIENTES!$A$377,"")</f>
        <v/>
      </c>
      <c r="C383" s="110" t="str">
        <f aca="false">IF(_PENDIENTES!$B$377&lt;&gt;"",_PENDIENTES!$C$377,"")</f>
        <v/>
      </c>
      <c r="D383" s="46" t="str">
        <f aca="false">IF(_PENDIENTES!$B$377&lt;&gt;"",_PENDIENTES!$D$377,"")</f>
        <v/>
      </c>
      <c r="E383" s="112" t="str">
        <f aca="false">IF(_PENDIENTES!$B$377&lt;&gt;"",_PENDIENTES!$E$377,"")</f>
        <v/>
      </c>
      <c r="F383" s="46" t="str">
        <f aca="false">IF(_PENDIENTES!$B$377&lt;&gt;"",_PENDIENTES!$F$377,"")</f>
        <v/>
      </c>
      <c r="G383" s="44" t="str">
        <f aca="false">IF(_PENDIENTES!$B$377&lt;&gt;"",_PENDIENTES!$G$377,"")</f>
        <v/>
      </c>
      <c r="H383" s="44" t="str">
        <f aca="false">IF(_PENDIENTES!$B$377&lt;&gt;"",_PENDIENTES!$H$377,"")</f>
        <v/>
      </c>
      <c r="I383" s="110" t="str">
        <f aca="false">IF(_PENDIENTES!$B$377&lt;&gt;"",_PENDIENTES!$I$377,"")</f>
        <v/>
      </c>
      <c r="J383" s="46" t="str">
        <f aca="false">IF(_PENDIENTES!$B$377&lt;&gt;"",_PENDIENTES!$J$377,"")</f>
        <v/>
      </c>
      <c r="K383" s="46" t="str">
        <f aca="false">IF(_PENDIENTES!$B$377&lt;&gt;"","POR RECOGER","")</f>
        <v/>
      </c>
      <c r="L383" s="46" t="str">
        <f aca="false">IF(_PENDIENTES!$B$377&lt;&gt;"",_PENDIENTES!$K$377,"")</f>
        <v/>
      </c>
      <c r="M383" s="89" t="str">
        <f aca="false">IF(_PENDIENTES!$B$377&lt;&gt;"",_PENDIENTES!$B$377,"")</f>
        <v/>
      </c>
      <c r="N383" s="109" t="str">
        <f aca="false">IF(_PENDIENTES!$B$377&lt;&gt;"",_PENDIENTES!$L$377,"")</f>
        <v/>
      </c>
      <c r="O383" s="89"/>
      <c r="P383" s="89"/>
      <c r="Q383" s="89"/>
      <c r="R383" s="89"/>
      <c r="S383" s="89"/>
    </row>
    <row r="384" customFormat="false" ht="15.75" hidden="true" customHeight="true" outlineLevel="0" collapsed="false">
      <c r="A384" s="106" t="str">
        <f aca="false">IF(_PENDIENTES!$B$378&lt;&gt;"",377,"")</f>
        <v/>
      </c>
      <c r="B384" s="47" t="str">
        <f aca="false">IF(_PENDIENTES!$B$378&lt;&gt;"",_PENDIENTES!$A$378,"")</f>
        <v/>
      </c>
      <c r="C384" s="107" t="str">
        <f aca="false">IF(_PENDIENTES!$B$378&lt;&gt;"",_PENDIENTES!$C$378,"")</f>
        <v/>
      </c>
      <c r="D384" s="106" t="str">
        <f aca="false">IF(_PENDIENTES!$B$378&lt;&gt;"",_PENDIENTES!$D$378,"")</f>
        <v/>
      </c>
      <c r="E384" s="111" t="str">
        <f aca="false">IF(_PENDIENTES!$B$378&lt;&gt;"",_PENDIENTES!$E$378,"")</f>
        <v/>
      </c>
      <c r="F384" s="106" t="str">
        <f aca="false">IF(_PENDIENTES!$B$378&lt;&gt;"",_PENDIENTES!$F$378,"")</f>
        <v/>
      </c>
      <c r="G384" s="50" t="str">
        <f aca="false">IF(_PENDIENTES!$B$378&lt;&gt;"",_PENDIENTES!$G$378,"")</f>
        <v/>
      </c>
      <c r="H384" s="50" t="str">
        <f aca="false">IF(_PENDIENTES!$B$378&lt;&gt;"",_PENDIENTES!$H$378,"")</f>
        <v/>
      </c>
      <c r="I384" s="107" t="str">
        <f aca="false">IF(_PENDIENTES!$B$378&lt;&gt;"",_PENDIENTES!$I$378,"")</f>
        <v/>
      </c>
      <c r="J384" s="106" t="str">
        <f aca="false">IF(_PENDIENTES!$B$378&lt;&gt;"",_PENDIENTES!$J$378,"")</f>
        <v/>
      </c>
      <c r="K384" s="106" t="str">
        <f aca="false">IF(_PENDIENTES!$B$378&lt;&gt;"","POR RECOGER","")</f>
        <v/>
      </c>
      <c r="L384" s="106" t="str">
        <f aca="false">IF(_PENDIENTES!$B$378&lt;&gt;"",_PENDIENTES!$K$378,"")</f>
        <v/>
      </c>
      <c r="M384" s="89" t="str">
        <f aca="false">IF(_PENDIENTES!$B$378&lt;&gt;"",_PENDIENTES!$B$378,"")</f>
        <v/>
      </c>
      <c r="N384" s="109" t="str">
        <f aca="false">IF(_PENDIENTES!$B$378&lt;&gt;"",_PENDIENTES!$L$378,"")</f>
        <v/>
      </c>
      <c r="O384" s="89"/>
      <c r="P384" s="89"/>
      <c r="Q384" s="89"/>
      <c r="R384" s="89"/>
      <c r="S384" s="89"/>
    </row>
    <row r="385" customFormat="false" ht="15.75" hidden="true" customHeight="true" outlineLevel="0" collapsed="false">
      <c r="A385" s="46" t="str">
        <f aca="false">IF(_PENDIENTES!$B$379&lt;&gt;"",378,"")</f>
        <v/>
      </c>
      <c r="B385" s="41" t="str">
        <f aca="false">IF(_PENDIENTES!$B$379&lt;&gt;"",_PENDIENTES!$A$379,"")</f>
        <v/>
      </c>
      <c r="C385" s="110" t="str">
        <f aca="false">IF(_PENDIENTES!$B$379&lt;&gt;"",_PENDIENTES!$C$379,"")</f>
        <v/>
      </c>
      <c r="D385" s="46" t="str">
        <f aca="false">IF(_PENDIENTES!$B$379&lt;&gt;"",_PENDIENTES!$D$379,"")</f>
        <v/>
      </c>
      <c r="E385" s="112" t="str">
        <f aca="false">IF(_PENDIENTES!$B$379&lt;&gt;"",_PENDIENTES!$E$379,"")</f>
        <v/>
      </c>
      <c r="F385" s="46" t="str">
        <f aca="false">IF(_PENDIENTES!$B$379&lt;&gt;"",_PENDIENTES!$F$379,"")</f>
        <v/>
      </c>
      <c r="G385" s="44" t="str">
        <f aca="false">IF(_PENDIENTES!$B$379&lt;&gt;"",_PENDIENTES!$G$379,"")</f>
        <v/>
      </c>
      <c r="H385" s="44" t="str">
        <f aca="false">IF(_PENDIENTES!$B$379&lt;&gt;"",_PENDIENTES!$H$379,"")</f>
        <v/>
      </c>
      <c r="I385" s="110" t="str">
        <f aca="false">IF(_PENDIENTES!$B$379&lt;&gt;"",_PENDIENTES!$I$379,"")</f>
        <v/>
      </c>
      <c r="J385" s="46" t="str">
        <f aca="false">IF(_PENDIENTES!$B$379&lt;&gt;"",_PENDIENTES!$J$379,"")</f>
        <v/>
      </c>
      <c r="K385" s="46" t="str">
        <f aca="false">IF(_PENDIENTES!$B$379&lt;&gt;"","POR RECOGER","")</f>
        <v/>
      </c>
      <c r="L385" s="46" t="str">
        <f aca="false">IF(_PENDIENTES!$B$379&lt;&gt;"",_PENDIENTES!$K$379,"")</f>
        <v/>
      </c>
      <c r="M385" s="89" t="str">
        <f aca="false">IF(_PENDIENTES!$B$379&lt;&gt;"",_PENDIENTES!$B$379,"")</f>
        <v/>
      </c>
      <c r="N385" s="109" t="str">
        <f aca="false">IF(_PENDIENTES!$B$379&lt;&gt;"",_PENDIENTES!$L$379,"")</f>
        <v/>
      </c>
      <c r="O385" s="89"/>
      <c r="P385" s="89"/>
      <c r="Q385" s="89"/>
      <c r="R385" s="89"/>
      <c r="S385" s="89"/>
    </row>
    <row r="386" customFormat="false" ht="15.75" hidden="true" customHeight="true" outlineLevel="0" collapsed="false">
      <c r="A386" s="106" t="str">
        <f aca="false">IF(_PENDIENTES!$B$380&lt;&gt;"",379,"")</f>
        <v/>
      </c>
      <c r="B386" s="47" t="str">
        <f aca="false">IF(_PENDIENTES!$B$380&lt;&gt;"",_PENDIENTES!$A$380,"")</f>
        <v/>
      </c>
      <c r="C386" s="107" t="str">
        <f aca="false">IF(_PENDIENTES!$B$380&lt;&gt;"",_PENDIENTES!$C$380,"")</f>
        <v/>
      </c>
      <c r="D386" s="106" t="str">
        <f aca="false">IF(_PENDIENTES!$B$380&lt;&gt;"",_PENDIENTES!$D$380,"")</f>
        <v/>
      </c>
      <c r="E386" s="111" t="str">
        <f aca="false">IF(_PENDIENTES!$B$380&lt;&gt;"",_PENDIENTES!$E$380,"")</f>
        <v/>
      </c>
      <c r="F386" s="106" t="str">
        <f aca="false">IF(_PENDIENTES!$B$380&lt;&gt;"",_PENDIENTES!$F$380,"")</f>
        <v/>
      </c>
      <c r="G386" s="50" t="str">
        <f aca="false">IF(_PENDIENTES!$B$380&lt;&gt;"",_PENDIENTES!$G$380,"")</f>
        <v/>
      </c>
      <c r="H386" s="50" t="str">
        <f aca="false">IF(_PENDIENTES!$B$380&lt;&gt;"",_PENDIENTES!$H$380,"")</f>
        <v/>
      </c>
      <c r="I386" s="107" t="str">
        <f aca="false">IF(_PENDIENTES!$B$380&lt;&gt;"",_PENDIENTES!$I$380,"")</f>
        <v/>
      </c>
      <c r="J386" s="106" t="str">
        <f aca="false">IF(_PENDIENTES!$B$380&lt;&gt;"",_PENDIENTES!$J$380,"")</f>
        <v/>
      </c>
      <c r="K386" s="106" t="str">
        <f aca="false">IF(_PENDIENTES!$B$380&lt;&gt;"","POR RECOGER","")</f>
        <v/>
      </c>
      <c r="L386" s="106" t="str">
        <f aca="false">IF(_PENDIENTES!$B$380&lt;&gt;"",_PENDIENTES!$K$380,"")</f>
        <v/>
      </c>
      <c r="M386" s="89" t="str">
        <f aca="false">IF(_PENDIENTES!$B$380&lt;&gt;"",_PENDIENTES!$B$380,"")</f>
        <v/>
      </c>
      <c r="N386" s="109" t="str">
        <f aca="false">IF(_PENDIENTES!$B$380&lt;&gt;"",_PENDIENTES!$L$380,"")</f>
        <v/>
      </c>
      <c r="O386" s="89"/>
      <c r="P386" s="89"/>
      <c r="Q386" s="89"/>
      <c r="R386" s="89"/>
      <c r="S386" s="89"/>
    </row>
    <row r="387" customFormat="false" ht="15.75" hidden="true" customHeight="true" outlineLevel="0" collapsed="false">
      <c r="A387" s="46" t="str">
        <f aca="false">IF(_PENDIENTES!$B$381&lt;&gt;"",380,"")</f>
        <v/>
      </c>
      <c r="B387" s="41" t="str">
        <f aca="false">IF(_PENDIENTES!$B$381&lt;&gt;"",_PENDIENTES!$A$381,"")</f>
        <v/>
      </c>
      <c r="C387" s="110" t="str">
        <f aca="false">IF(_PENDIENTES!$B$381&lt;&gt;"",_PENDIENTES!$C$381,"")</f>
        <v/>
      </c>
      <c r="D387" s="46" t="str">
        <f aca="false">IF(_PENDIENTES!$B$381&lt;&gt;"",_PENDIENTES!$D$381,"")</f>
        <v/>
      </c>
      <c r="E387" s="112" t="str">
        <f aca="false">IF(_PENDIENTES!$B$381&lt;&gt;"",_PENDIENTES!$E$381,"")</f>
        <v/>
      </c>
      <c r="F387" s="46" t="str">
        <f aca="false">IF(_PENDIENTES!$B$381&lt;&gt;"",_PENDIENTES!$F$381,"")</f>
        <v/>
      </c>
      <c r="G387" s="44" t="str">
        <f aca="false">IF(_PENDIENTES!$B$381&lt;&gt;"",_PENDIENTES!$G$381,"")</f>
        <v/>
      </c>
      <c r="H387" s="44" t="str">
        <f aca="false">IF(_PENDIENTES!$B$381&lt;&gt;"",_PENDIENTES!$H$381,"")</f>
        <v/>
      </c>
      <c r="I387" s="110" t="str">
        <f aca="false">IF(_PENDIENTES!$B$381&lt;&gt;"",_PENDIENTES!$I$381,"")</f>
        <v/>
      </c>
      <c r="J387" s="46" t="str">
        <f aca="false">IF(_PENDIENTES!$B$381&lt;&gt;"",_PENDIENTES!$J$381,"")</f>
        <v/>
      </c>
      <c r="K387" s="46" t="str">
        <f aca="false">IF(_PENDIENTES!$B$381&lt;&gt;"","POR RECOGER","")</f>
        <v/>
      </c>
      <c r="L387" s="46" t="str">
        <f aca="false">IF(_PENDIENTES!$B$381&lt;&gt;"",_PENDIENTES!$K$381,"")</f>
        <v/>
      </c>
      <c r="M387" s="89" t="str">
        <f aca="false">IF(_PENDIENTES!$B$381&lt;&gt;"",_PENDIENTES!$B$381,"")</f>
        <v/>
      </c>
      <c r="N387" s="109" t="str">
        <f aca="false">IF(_PENDIENTES!$B$381&lt;&gt;"",_PENDIENTES!$L$381,"")</f>
        <v/>
      </c>
      <c r="O387" s="89"/>
      <c r="P387" s="89"/>
      <c r="Q387" s="89"/>
      <c r="R387" s="89"/>
      <c r="S387" s="89"/>
    </row>
    <row r="388" customFormat="false" ht="15.75" hidden="true" customHeight="true" outlineLevel="0" collapsed="false">
      <c r="A388" s="106" t="str">
        <f aca="false">IF(_PENDIENTES!$B$382&lt;&gt;"",381,"")</f>
        <v/>
      </c>
      <c r="B388" s="47" t="str">
        <f aca="false">IF(_PENDIENTES!$B$382&lt;&gt;"",_PENDIENTES!$A$382,"")</f>
        <v/>
      </c>
      <c r="C388" s="107" t="str">
        <f aca="false">IF(_PENDIENTES!$B$382&lt;&gt;"",_PENDIENTES!$C$382,"")</f>
        <v/>
      </c>
      <c r="D388" s="106" t="str">
        <f aca="false">IF(_PENDIENTES!$B$382&lt;&gt;"",_PENDIENTES!$D$382,"")</f>
        <v/>
      </c>
      <c r="E388" s="111" t="str">
        <f aca="false">IF(_PENDIENTES!$B$382&lt;&gt;"",_PENDIENTES!$E$382,"")</f>
        <v/>
      </c>
      <c r="F388" s="106" t="str">
        <f aca="false">IF(_PENDIENTES!$B$382&lt;&gt;"",_PENDIENTES!$F$382,"")</f>
        <v/>
      </c>
      <c r="G388" s="50" t="str">
        <f aca="false">IF(_PENDIENTES!$B$382&lt;&gt;"",_PENDIENTES!$G$382,"")</f>
        <v/>
      </c>
      <c r="H388" s="50" t="str">
        <f aca="false">IF(_PENDIENTES!$B$382&lt;&gt;"",_PENDIENTES!$H$382,"")</f>
        <v/>
      </c>
      <c r="I388" s="107" t="str">
        <f aca="false">IF(_PENDIENTES!$B$382&lt;&gt;"",_PENDIENTES!$I$382,"")</f>
        <v/>
      </c>
      <c r="J388" s="106" t="str">
        <f aca="false">IF(_PENDIENTES!$B$382&lt;&gt;"",_PENDIENTES!$J$382,"")</f>
        <v/>
      </c>
      <c r="K388" s="106" t="str">
        <f aca="false">IF(_PENDIENTES!$B$382&lt;&gt;"","POR RECOGER","")</f>
        <v/>
      </c>
      <c r="L388" s="106" t="str">
        <f aca="false">IF(_PENDIENTES!$B$382&lt;&gt;"",_PENDIENTES!$K$382,"")</f>
        <v/>
      </c>
      <c r="M388" s="89" t="str">
        <f aca="false">IF(_PENDIENTES!$B$382&lt;&gt;"",_PENDIENTES!$B$382,"")</f>
        <v/>
      </c>
      <c r="N388" s="109" t="str">
        <f aca="false">IF(_PENDIENTES!$B$382&lt;&gt;"",_PENDIENTES!$L$382,"")</f>
        <v/>
      </c>
      <c r="O388" s="89"/>
      <c r="P388" s="89"/>
      <c r="Q388" s="89"/>
      <c r="R388" s="89"/>
      <c r="S388" s="89"/>
    </row>
    <row r="389" customFormat="false" ht="15.75" hidden="true" customHeight="true" outlineLevel="0" collapsed="false">
      <c r="A389" s="46" t="str">
        <f aca="false">IF(_PENDIENTES!$B$383&lt;&gt;"",382,"")</f>
        <v/>
      </c>
      <c r="B389" s="41" t="str">
        <f aca="false">IF(_PENDIENTES!$B$383&lt;&gt;"",_PENDIENTES!$A$383,"")</f>
        <v/>
      </c>
      <c r="C389" s="110" t="str">
        <f aca="false">IF(_PENDIENTES!$B$383&lt;&gt;"",_PENDIENTES!$C$383,"")</f>
        <v/>
      </c>
      <c r="D389" s="46" t="str">
        <f aca="false">IF(_PENDIENTES!$B$383&lt;&gt;"",_PENDIENTES!$D$383,"")</f>
        <v/>
      </c>
      <c r="E389" s="112" t="str">
        <f aca="false">IF(_PENDIENTES!$B$383&lt;&gt;"",_PENDIENTES!$E$383,"")</f>
        <v/>
      </c>
      <c r="F389" s="46" t="str">
        <f aca="false">IF(_PENDIENTES!$B$383&lt;&gt;"",_PENDIENTES!$F$383,"")</f>
        <v/>
      </c>
      <c r="G389" s="44" t="str">
        <f aca="false">IF(_PENDIENTES!$B$383&lt;&gt;"",_PENDIENTES!$G$383,"")</f>
        <v/>
      </c>
      <c r="H389" s="44" t="str">
        <f aca="false">IF(_PENDIENTES!$B$383&lt;&gt;"",_PENDIENTES!$H$383,"")</f>
        <v/>
      </c>
      <c r="I389" s="110" t="str">
        <f aca="false">IF(_PENDIENTES!$B$383&lt;&gt;"",_PENDIENTES!$I$383,"")</f>
        <v/>
      </c>
      <c r="J389" s="46" t="str">
        <f aca="false">IF(_PENDIENTES!$B$383&lt;&gt;"",_PENDIENTES!$J$383,"")</f>
        <v/>
      </c>
      <c r="K389" s="46" t="str">
        <f aca="false">IF(_PENDIENTES!$B$383&lt;&gt;"","POR RECOGER","")</f>
        <v/>
      </c>
      <c r="L389" s="46" t="str">
        <f aca="false">IF(_PENDIENTES!$B$383&lt;&gt;"",_PENDIENTES!$K$383,"")</f>
        <v/>
      </c>
      <c r="M389" s="89" t="str">
        <f aca="false">IF(_PENDIENTES!$B$383&lt;&gt;"",_PENDIENTES!$B$383,"")</f>
        <v/>
      </c>
      <c r="N389" s="109" t="str">
        <f aca="false">IF(_PENDIENTES!$B$383&lt;&gt;"",_PENDIENTES!$L$383,"")</f>
        <v/>
      </c>
      <c r="O389" s="89"/>
      <c r="P389" s="89"/>
      <c r="Q389" s="89"/>
      <c r="R389" s="89"/>
      <c r="S389" s="89"/>
    </row>
    <row r="390" customFormat="false" ht="15.75" hidden="true" customHeight="true" outlineLevel="0" collapsed="false">
      <c r="A390" s="106" t="str">
        <f aca="false">IF(_PENDIENTES!$B$384&lt;&gt;"",383,"")</f>
        <v/>
      </c>
      <c r="B390" s="47" t="str">
        <f aca="false">IF(_PENDIENTES!$B$384&lt;&gt;"",_PENDIENTES!$A$384,"")</f>
        <v/>
      </c>
      <c r="C390" s="107" t="str">
        <f aca="false">IF(_PENDIENTES!$B$384&lt;&gt;"",_PENDIENTES!$C$384,"")</f>
        <v/>
      </c>
      <c r="D390" s="106" t="str">
        <f aca="false">IF(_PENDIENTES!$B$384&lt;&gt;"",_PENDIENTES!$D$384,"")</f>
        <v/>
      </c>
      <c r="E390" s="111" t="str">
        <f aca="false">IF(_PENDIENTES!$B$384&lt;&gt;"",_PENDIENTES!$E$384,"")</f>
        <v/>
      </c>
      <c r="F390" s="106" t="str">
        <f aca="false">IF(_PENDIENTES!$B$384&lt;&gt;"",_PENDIENTES!$F$384,"")</f>
        <v/>
      </c>
      <c r="G390" s="50" t="str">
        <f aca="false">IF(_PENDIENTES!$B$384&lt;&gt;"",_PENDIENTES!$G$384,"")</f>
        <v/>
      </c>
      <c r="H390" s="50" t="str">
        <f aca="false">IF(_PENDIENTES!$B$384&lt;&gt;"",_PENDIENTES!$H$384,"")</f>
        <v/>
      </c>
      <c r="I390" s="107" t="str">
        <f aca="false">IF(_PENDIENTES!$B$384&lt;&gt;"",_PENDIENTES!$I$384,"")</f>
        <v/>
      </c>
      <c r="J390" s="106" t="str">
        <f aca="false">IF(_PENDIENTES!$B$384&lt;&gt;"",_PENDIENTES!$J$384,"")</f>
        <v/>
      </c>
      <c r="K390" s="106" t="str">
        <f aca="false">IF(_PENDIENTES!$B$384&lt;&gt;"","POR RECOGER","")</f>
        <v/>
      </c>
      <c r="L390" s="106" t="str">
        <f aca="false">IF(_PENDIENTES!$B$384&lt;&gt;"",_PENDIENTES!$K$384,"")</f>
        <v/>
      </c>
      <c r="M390" s="89" t="str">
        <f aca="false">IF(_PENDIENTES!$B$384&lt;&gt;"",_PENDIENTES!$B$384,"")</f>
        <v/>
      </c>
      <c r="N390" s="109" t="str">
        <f aca="false">IF(_PENDIENTES!$B$384&lt;&gt;"",_PENDIENTES!$L$384,"")</f>
        <v/>
      </c>
      <c r="O390" s="89"/>
      <c r="P390" s="89"/>
      <c r="Q390" s="89"/>
      <c r="R390" s="89"/>
      <c r="S390" s="89"/>
    </row>
    <row r="391" customFormat="false" ht="15.75" hidden="true" customHeight="true" outlineLevel="0" collapsed="false">
      <c r="A391" s="46" t="str">
        <f aca="false">IF(_PENDIENTES!$B$385&lt;&gt;"",384,"")</f>
        <v/>
      </c>
      <c r="B391" s="41" t="str">
        <f aca="false">IF(_PENDIENTES!$B$385&lt;&gt;"",_PENDIENTES!$A$385,"")</f>
        <v/>
      </c>
      <c r="C391" s="110" t="str">
        <f aca="false">IF(_PENDIENTES!$B$385&lt;&gt;"",_PENDIENTES!$C$385,"")</f>
        <v/>
      </c>
      <c r="D391" s="46" t="str">
        <f aca="false">IF(_PENDIENTES!$B$385&lt;&gt;"",_PENDIENTES!$D$385,"")</f>
        <v/>
      </c>
      <c r="E391" s="112" t="str">
        <f aca="false">IF(_PENDIENTES!$B$385&lt;&gt;"",_PENDIENTES!$E$385,"")</f>
        <v/>
      </c>
      <c r="F391" s="46" t="str">
        <f aca="false">IF(_PENDIENTES!$B$385&lt;&gt;"",_PENDIENTES!$F$385,"")</f>
        <v/>
      </c>
      <c r="G391" s="44" t="str">
        <f aca="false">IF(_PENDIENTES!$B$385&lt;&gt;"",_PENDIENTES!$G$385,"")</f>
        <v/>
      </c>
      <c r="H391" s="44" t="str">
        <f aca="false">IF(_PENDIENTES!$B$385&lt;&gt;"",_PENDIENTES!$H$385,"")</f>
        <v/>
      </c>
      <c r="I391" s="110" t="str">
        <f aca="false">IF(_PENDIENTES!$B$385&lt;&gt;"",_PENDIENTES!$I$385,"")</f>
        <v/>
      </c>
      <c r="J391" s="46" t="str">
        <f aca="false">IF(_PENDIENTES!$B$385&lt;&gt;"",_PENDIENTES!$J$385,"")</f>
        <v/>
      </c>
      <c r="K391" s="46" t="str">
        <f aca="false">IF(_PENDIENTES!$B$385&lt;&gt;"","POR RECOGER","")</f>
        <v/>
      </c>
      <c r="L391" s="46" t="str">
        <f aca="false">IF(_PENDIENTES!$B$385&lt;&gt;"",_PENDIENTES!$K$385,"")</f>
        <v/>
      </c>
      <c r="M391" s="89" t="str">
        <f aca="false">IF(_PENDIENTES!$B$385&lt;&gt;"",_PENDIENTES!$B$385,"")</f>
        <v/>
      </c>
      <c r="N391" s="109" t="str">
        <f aca="false">IF(_PENDIENTES!$B$385&lt;&gt;"",_PENDIENTES!$L$385,"")</f>
        <v/>
      </c>
      <c r="O391" s="89"/>
      <c r="P391" s="89"/>
      <c r="Q391" s="89"/>
      <c r="R391" s="89"/>
      <c r="S391" s="89"/>
    </row>
    <row r="392" customFormat="false" ht="15.75" hidden="true" customHeight="true" outlineLevel="0" collapsed="false">
      <c r="A392" s="106" t="str">
        <f aca="false">IF(_PENDIENTES!$B$386&lt;&gt;"",385,"")</f>
        <v/>
      </c>
      <c r="B392" s="47" t="str">
        <f aca="false">IF(_PENDIENTES!$B$386&lt;&gt;"",_PENDIENTES!$A$386,"")</f>
        <v/>
      </c>
      <c r="C392" s="107" t="str">
        <f aca="false">IF(_PENDIENTES!$B$386&lt;&gt;"",_PENDIENTES!$C$386,"")</f>
        <v/>
      </c>
      <c r="D392" s="106" t="str">
        <f aca="false">IF(_PENDIENTES!$B$386&lt;&gt;"",_PENDIENTES!$D$386,"")</f>
        <v/>
      </c>
      <c r="E392" s="111" t="str">
        <f aca="false">IF(_PENDIENTES!$B$386&lt;&gt;"",_PENDIENTES!$E$386,"")</f>
        <v/>
      </c>
      <c r="F392" s="106" t="str">
        <f aca="false">IF(_PENDIENTES!$B$386&lt;&gt;"",_PENDIENTES!$F$386,"")</f>
        <v/>
      </c>
      <c r="G392" s="50" t="str">
        <f aca="false">IF(_PENDIENTES!$B$386&lt;&gt;"",_PENDIENTES!$G$386,"")</f>
        <v/>
      </c>
      <c r="H392" s="50" t="str">
        <f aca="false">IF(_PENDIENTES!$B$386&lt;&gt;"",_PENDIENTES!$H$386,"")</f>
        <v/>
      </c>
      <c r="I392" s="107" t="str">
        <f aca="false">IF(_PENDIENTES!$B$386&lt;&gt;"",_PENDIENTES!$I$386,"")</f>
        <v/>
      </c>
      <c r="J392" s="106" t="str">
        <f aca="false">IF(_PENDIENTES!$B$386&lt;&gt;"",_PENDIENTES!$J$386,"")</f>
        <v/>
      </c>
      <c r="K392" s="106" t="str">
        <f aca="false">IF(_PENDIENTES!$B$386&lt;&gt;"","POR RECOGER","")</f>
        <v/>
      </c>
      <c r="L392" s="106" t="str">
        <f aca="false">IF(_PENDIENTES!$B$386&lt;&gt;"",_PENDIENTES!$K$386,"")</f>
        <v/>
      </c>
      <c r="M392" s="89" t="str">
        <f aca="false">IF(_PENDIENTES!$B$386&lt;&gt;"",_PENDIENTES!$B$386,"")</f>
        <v/>
      </c>
      <c r="N392" s="109" t="str">
        <f aca="false">IF(_PENDIENTES!$B$386&lt;&gt;"",_PENDIENTES!$L$386,"")</f>
        <v/>
      </c>
      <c r="O392" s="89"/>
      <c r="P392" s="89"/>
      <c r="Q392" s="89"/>
      <c r="R392" s="89"/>
      <c r="S392" s="89"/>
    </row>
    <row r="393" customFormat="false" ht="15.75" hidden="true" customHeight="true" outlineLevel="0" collapsed="false">
      <c r="A393" s="46" t="str">
        <f aca="false">IF(_PENDIENTES!$B$387&lt;&gt;"",386,"")</f>
        <v/>
      </c>
      <c r="B393" s="41" t="str">
        <f aca="false">IF(_PENDIENTES!$B$387&lt;&gt;"",_PENDIENTES!$A$387,"")</f>
        <v/>
      </c>
      <c r="C393" s="110" t="str">
        <f aca="false">IF(_PENDIENTES!$B$387&lt;&gt;"",_PENDIENTES!$C$387,"")</f>
        <v/>
      </c>
      <c r="D393" s="46" t="str">
        <f aca="false">IF(_PENDIENTES!$B$387&lt;&gt;"",_PENDIENTES!$D$387,"")</f>
        <v/>
      </c>
      <c r="E393" s="112" t="str">
        <f aca="false">IF(_PENDIENTES!$B$387&lt;&gt;"",_PENDIENTES!$E$387,"")</f>
        <v/>
      </c>
      <c r="F393" s="46" t="str">
        <f aca="false">IF(_PENDIENTES!$B$387&lt;&gt;"",_PENDIENTES!$F$387,"")</f>
        <v/>
      </c>
      <c r="G393" s="44" t="str">
        <f aca="false">IF(_PENDIENTES!$B$387&lt;&gt;"",_PENDIENTES!$G$387,"")</f>
        <v/>
      </c>
      <c r="H393" s="44" t="str">
        <f aca="false">IF(_PENDIENTES!$B$387&lt;&gt;"",_PENDIENTES!$H$387,"")</f>
        <v/>
      </c>
      <c r="I393" s="110" t="str">
        <f aca="false">IF(_PENDIENTES!$B$387&lt;&gt;"",_PENDIENTES!$I$387,"")</f>
        <v/>
      </c>
      <c r="J393" s="46" t="str">
        <f aca="false">IF(_PENDIENTES!$B$387&lt;&gt;"",_PENDIENTES!$J$387,"")</f>
        <v/>
      </c>
      <c r="K393" s="46" t="str">
        <f aca="false">IF(_PENDIENTES!$B$387&lt;&gt;"","POR RECOGER","")</f>
        <v/>
      </c>
      <c r="L393" s="46" t="str">
        <f aca="false">IF(_PENDIENTES!$B$387&lt;&gt;"",_PENDIENTES!$K$387,"")</f>
        <v/>
      </c>
      <c r="M393" s="89" t="str">
        <f aca="false">IF(_PENDIENTES!$B$387&lt;&gt;"",_PENDIENTES!$B$387,"")</f>
        <v/>
      </c>
      <c r="N393" s="109" t="str">
        <f aca="false">IF(_PENDIENTES!$B$387&lt;&gt;"",_PENDIENTES!$L$387,"")</f>
        <v/>
      </c>
      <c r="O393" s="89"/>
      <c r="P393" s="89"/>
      <c r="Q393" s="89"/>
      <c r="R393" s="89"/>
      <c r="S393" s="89"/>
    </row>
    <row r="394" customFormat="false" ht="15.75" hidden="true" customHeight="true" outlineLevel="0" collapsed="false">
      <c r="A394" s="106" t="str">
        <f aca="false">IF(_PENDIENTES!$B$388&lt;&gt;"",387,"")</f>
        <v/>
      </c>
      <c r="B394" s="47" t="str">
        <f aca="false">IF(_PENDIENTES!$B$388&lt;&gt;"",_PENDIENTES!$A$388,"")</f>
        <v/>
      </c>
      <c r="C394" s="107" t="str">
        <f aca="false">IF(_PENDIENTES!$B$388&lt;&gt;"",_PENDIENTES!$C$388,"")</f>
        <v/>
      </c>
      <c r="D394" s="106" t="str">
        <f aca="false">IF(_PENDIENTES!$B$388&lt;&gt;"",_PENDIENTES!$D$388,"")</f>
        <v/>
      </c>
      <c r="E394" s="111" t="str">
        <f aca="false">IF(_PENDIENTES!$B$388&lt;&gt;"",_PENDIENTES!$E$388,"")</f>
        <v/>
      </c>
      <c r="F394" s="106" t="str">
        <f aca="false">IF(_PENDIENTES!$B$388&lt;&gt;"",_PENDIENTES!$F$388,"")</f>
        <v/>
      </c>
      <c r="G394" s="50" t="str">
        <f aca="false">IF(_PENDIENTES!$B$388&lt;&gt;"",_PENDIENTES!$G$388,"")</f>
        <v/>
      </c>
      <c r="H394" s="50" t="str">
        <f aca="false">IF(_PENDIENTES!$B$388&lt;&gt;"",_PENDIENTES!$H$388,"")</f>
        <v/>
      </c>
      <c r="I394" s="107" t="str">
        <f aca="false">IF(_PENDIENTES!$B$388&lt;&gt;"",_PENDIENTES!$I$388,"")</f>
        <v/>
      </c>
      <c r="J394" s="106" t="str">
        <f aca="false">IF(_PENDIENTES!$B$388&lt;&gt;"",_PENDIENTES!$J$388,"")</f>
        <v/>
      </c>
      <c r="K394" s="106" t="str">
        <f aca="false">IF(_PENDIENTES!$B$388&lt;&gt;"","POR RECOGER","")</f>
        <v/>
      </c>
      <c r="L394" s="106" t="str">
        <f aca="false">IF(_PENDIENTES!$B$388&lt;&gt;"",_PENDIENTES!$K$388,"")</f>
        <v/>
      </c>
      <c r="M394" s="89" t="str">
        <f aca="false">IF(_PENDIENTES!$B$388&lt;&gt;"",_PENDIENTES!$B$388,"")</f>
        <v/>
      </c>
      <c r="N394" s="109" t="str">
        <f aca="false">IF(_PENDIENTES!$B$388&lt;&gt;"",_PENDIENTES!$L$388,"")</f>
        <v/>
      </c>
      <c r="O394" s="89"/>
      <c r="P394" s="89"/>
      <c r="Q394" s="89"/>
      <c r="R394" s="89"/>
      <c r="S394" s="89"/>
    </row>
    <row r="395" customFormat="false" ht="15.75" hidden="true" customHeight="true" outlineLevel="0" collapsed="false">
      <c r="A395" s="46" t="str">
        <f aca="false">IF(_PENDIENTES!$B$389&lt;&gt;"",388,"")</f>
        <v/>
      </c>
      <c r="B395" s="41" t="str">
        <f aca="false">IF(_PENDIENTES!$B$389&lt;&gt;"",_PENDIENTES!$A$389,"")</f>
        <v/>
      </c>
      <c r="C395" s="110" t="str">
        <f aca="false">IF(_PENDIENTES!$B$389&lt;&gt;"",_PENDIENTES!$C$389,"")</f>
        <v/>
      </c>
      <c r="D395" s="46" t="str">
        <f aca="false">IF(_PENDIENTES!$B$389&lt;&gt;"",_PENDIENTES!$D$389,"")</f>
        <v/>
      </c>
      <c r="E395" s="112" t="str">
        <f aca="false">IF(_PENDIENTES!$B$389&lt;&gt;"",_PENDIENTES!$E$389,"")</f>
        <v/>
      </c>
      <c r="F395" s="46" t="str">
        <f aca="false">IF(_PENDIENTES!$B$389&lt;&gt;"",_PENDIENTES!$F$389,"")</f>
        <v/>
      </c>
      <c r="G395" s="44" t="str">
        <f aca="false">IF(_PENDIENTES!$B$389&lt;&gt;"",_PENDIENTES!$G$389,"")</f>
        <v/>
      </c>
      <c r="H395" s="44" t="str">
        <f aca="false">IF(_PENDIENTES!$B$389&lt;&gt;"",_PENDIENTES!$H$389,"")</f>
        <v/>
      </c>
      <c r="I395" s="110" t="str">
        <f aca="false">IF(_PENDIENTES!$B$389&lt;&gt;"",_PENDIENTES!$I$389,"")</f>
        <v/>
      </c>
      <c r="J395" s="46" t="str">
        <f aca="false">IF(_PENDIENTES!$B$389&lt;&gt;"",_PENDIENTES!$J$389,"")</f>
        <v/>
      </c>
      <c r="K395" s="46" t="str">
        <f aca="false">IF(_PENDIENTES!$B$389&lt;&gt;"","POR RECOGER","")</f>
        <v/>
      </c>
      <c r="L395" s="46" t="str">
        <f aca="false">IF(_PENDIENTES!$B$389&lt;&gt;"",_PENDIENTES!$K$389,"")</f>
        <v/>
      </c>
      <c r="M395" s="89" t="str">
        <f aca="false">IF(_PENDIENTES!$B$389&lt;&gt;"",_PENDIENTES!$B$389,"")</f>
        <v/>
      </c>
      <c r="N395" s="109" t="str">
        <f aca="false">IF(_PENDIENTES!$B$389&lt;&gt;"",_PENDIENTES!$L$389,"")</f>
        <v/>
      </c>
      <c r="O395" s="89"/>
      <c r="P395" s="89"/>
      <c r="Q395" s="89"/>
      <c r="R395" s="89"/>
      <c r="S395" s="89"/>
    </row>
    <row r="396" customFormat="false" ht="15.75" hidden="true" customHeight="true" outlineLevel="0" collapsed="false">
      <c r="A396" s="106" t="str">
        <f aca="false">IF(_PENDIENTES!$B$390&lt;&gt;"",389,"")</f>
        <v/>
      </c>
      <c r="B396" s="47" t="str">
        <f aca="false">IF(_PENDIENTES!$B$390&lt;&gt;"",_PENDIENTES!$A$390,"")</f>
        <v/>
      </c>
      <c r="C396" s="107" t="str">
        <f aca="false">IF(_PENDIENTES!$B$390&lt;&gt;"",_PENDIENTES!$C$390,"")</f>
        <v/>
      </c>
      <c r="D396" s="106" t="str">
        <f aca="false">IF(_PENDIENTES!$B$390&lt;&gt;"",_PENDIENTES!$D$390,"")</f>
        <v/>
      </c>
      <c r="E396" s="111" t="str">
        <f aca="false">IF(_PENDIENTES!$B$390&lt;&gt;"",_PENDIENTES!$E$390,"")</f>
        <v/>
      </c>
      <c r="F396" s="106" t="str">
        <f aca="false">IF(_PENDIENTES!$B$390&lt;&gt;"",_PENDIENTES!$F$390,"")</f>
        <v/>
      </c>
      <c r="G396" s="50" t="str">
        <f aca="false">IF(_PENDIENTES!$B$390&lt;&gt;"",_PENDIENTES!$G$390,"")</f>
        <v/>
      </c>
      <c r="H396" s="50" t="str">
        <f aca="false">IF(_PENDIENTES!$B$390&lt;&gt;"",_PENDIENTES!$H$390,"")</f>
        <v/>
      </c>
      <c r="I396" s="107" t="str">
        <f aca="false">IF(_PENDIENTES!$B$390&lt;&gt;"",_PENDIENTES!$I$390,"")</f>
        <v/>
      </c>
      <c r="J396" s="106" t="str">
        <f aca="false">IF(_PENDIENTES!$B$390&lt;&gt;"",_PENDIENTES!$J$390,"")</f>
        <v/>
      </c>
      <c r="K396" s="106" t="str">
        <f aca="false">IF(_PENDIENTES!$B$390&lt;&gt;"","POR RECOGER","")</f>
        <v/>
      </c>
      <c r="L396" s="106" t="str">
        <f aca="false">IF(_PENDIENTES!$B$390&lt;&gt;"",_PENDIENTES!$K$390,"")</f>
        <v/>
      </c>
      <c r="M396" s="89" t="str">
        <f aca="false">IF(_PENDIENTES!$B$390&lt;&gt;"",_PENDIENTES!$B$390,"")</f>
        <v/>
      </c>
      <c r="N396" s="109" t="str">
        <f aca="false">IF(_PENDIENTES!$B$390&lt;&gt;"",_PENDIENTES!$L$390,"")</f>
        <v/>
      </c>
      <c r="O396" s="89"/>
      <c r="P396" s="89"/>
      <c r="Q396" s="89"/>
      <c r="R396" s="89"/>
      <c r="S396" s="89"/>
    </row>
    <row r="397" customFormat="false" ht="15.75" hidden="true" customHeight="true" outlineLevel="0" collapsed="false">
      <c r="A397" s="46" t="str">
        <f aca="false">IF(_PENDIENTES!$B$391&lt;&gt;"",390,"")</f>
        <v/>
      </c>
      <c r="B397" s="41" t="str">
        <f aca="false">IF(_PENDIENTES!$B$391&lt;&gt;"",_PENDIENTES!$A$391,"")</f>
        <v/>
      </c>
      <c r="C397" s="110" t="str">
        <f aca="false">IF(_PENDIENTES!$B$391&lt;&gt;"",_PENDIENTES!$C$391,"")</f>
        <v/>
      </c>
      <c r="D397" s="46" t="str">
        <f aca="false">IF(_PENDIENTES!$B$391&lt;&gt;"",_PENDIENTES!$D$391,"")</f>
        <v/>
      </c>
      <c r="E397" s="112" t="str">
        <f aca="false">IF(_PENDIENTES!$B$391&lt;&gt;"",_PENDIENTES!$E$391,"")</f>
        <v/>
      </c>
      <c r="F397" s="46" t="str">
        <f aca="false">IF(_PENDIENTES!$B$391&lt;&gt;"",_PENDIENTES!$F$391,"")</f>
        <v/>
      </c>
      <c r="G397" s="44" t="str">
        <f aca="false">IF(_PENDIENTES!$B$391&lt;&gt;"",_PENDIENTES!$G$391,"")</f>
        <v/>
      </c>
      <c r="H397" s="44" t="str">
        <f aca="false">IF(_PENDIENTES!$B$391&lt;&gt;"",_PENDIENTES!$H$391,"")</f>
        <v/>
      </c>
      <c r="I397" s="110" t="str">
        <f aca="false">IF(_PENDIENTES!$B$391&lt;&gt;"",_PENDIENTES!$I$391,"")</f>
        <v/>
      </c>
      <c r="J397" s="46" t="str">
        <f aca="false">IF(_PENDIENTES!$B$391&lt;&gt;"",_PENDIENTES!$J$391,"")</f>
        <v/>
      </c>
      <c r="K397" s="46" t="str">
        <f aca="false">IF(_PENDIENTES!$B$391&lt;&gt;"","POR RECOGER","")</f>
        <v/>
      </c>
      <c r="L397" s="46" t="str">
        <f aca="false">IF(_PENDIENTES!$B$391&lt;&gt;"",_PENDIENTES!$K$391,"")</f>
        <v/>
      </c>
      <c r="M397" s="89" t="str">
        <f aca="false">IF(_PENDIENTES!$B$391&lt;&gt;"",_PENDIENTES!$B$391,"")</f>
        <v/>
      </c>
      <c r="N397" s="109" t="str">
        <f aca="false">IF(_PENDIENTES!$B$391&lt;&gt;"",_PENDIENTES!$L$391,"")</f>
        <v/>
      </c>
      <c r="O397" s="89"/>
      <c r="P397" s="89"/>
      <c r="Q397" s="89"/>
      <c r="R397" s="89"/>
      <c r="S397" s="89"/>
    </row>
    <row r="398" customFormat="false" ht="15.75" hidden="true" customHeight="true" outlineLevel="0" collapsed="false">
      <c r="A398" s="106" t="str">
        <f aca="false">IF(_PENDIENTES!$B$392&lt;&gt;"",391,"")</f>
        <v/>
      </c>
      <c r="B398" s="47" t="str">
        <f aca="false">IF(_PENDIENTES!$B$392&lt;&gt;"",_PENDIENTES!$A$392,"")</f>
        <v/>
      </c>
      <c r="C398" s="107" t="str">
        <f aca="false">IF(_PENDIENTES!$B$392&lt;&gt;"",_PENDIENTES!$C$392,"")</f>
        <v/>
      </c>
      <c r="D398" s="106" t="str">
        <f aca="false">IF(_PENDIENTES!$B$392&lt;&gt;"",_PENDIENTES!$D$392,"")</f>
        <v/>
      </c>
      <c r="E398" s="111" t="str">
        <f aca="false">IF(_PENDIENTES!$B$392&lt;&gt;"",_PENDIENTES!$E$392,"")</f>
        <v/>
      </c>
      <c r="F398" s="106" t="str">
        <f aca="false">IF(_PENDIENTES!$B$392&lt;&gt;"",_PENDIENTES!$F$392,"")</f>
        <v/>
      </c>
      <c r="G398" s="50" t="str">
        <f aca="false">IF(_PENDIENTES!$B$392&lt;&gt;"",_PENDIENTES!$G$392,"")</f>
        <v/>
      </c>
      <c r="H398" s="50" t="str">
        <f aca="false">IF(_PENDIENTES!$B$392&lt;&gt;"",_PENDIENTES!$H$392,"")</f>
        <v/>
      </c>
      <c r="I398" s="107" t="str">
        <f aca="false">IF(_PENDIENTES!$B$392&lt;&gt;"",_PENDIENTES!$I$392,"")</f>
        <v/>
      </c>
      <c r="J398" s="106" t="str">
        <f aca="false">IF(_PENDIENTES!$B$392&lt;&gt;"",_PENDIENTES!$J$392,"")</f>
        <v/>
      </c>
      <c r="K398" s="106" t="str">
        <f aca="false">IF(_PENDIENTES!$B$392&lt;&gt;"","POR RECOGER","")</f>
        <v/>
      </c>
      <c r="L398" s="106" t="str">
        <f aca="false">IF(_PENDIENTES!$B$392&lt;&gt;"",_PENDIENTES!$K$392,"")</f>
        <v/>
      </c>
      <c r="M398" s="89" t="str">
        <f aca="false">IF(_PENDIENTES!$B$392&lt;&gt;"",_PENDIENTES!$B$392,"")</f>
        <v/>
      </c>
      <c r="N398" s="109" t="str">
        <f aca="false">IF(_PENDIENTES!$B$392&lt;&gt;"",_PENDIENTES!$L$392,"")</f>
        <v/>
      </c>
      <c r="O398" s="89"/>
      <c r="P398" s="89"/>
      <c r="Q398" s="89"/>
      <c r="R398" s="89"/>
      <c r="S398" s="89"/>
    </row>
    <row r="399" customFormat="false" ht="15.75" hidden="true" customHeight="true" outlineLevel="0" collapsed="false">
      <c r="A399" s="46" t="str">
        <f aca="false">IF(_PENDIENTES!$B$393&lt;&gt;"",392,"")</f>
        <v/>
      </c>
      <c r="B399" s="41" t="str">
        <f aca="false">IF(_PENDIENTES!$B$393&lt;&gt;"",_PENDIENTES!$A$393,"")</f>
        <v/>
      </c>
      <c r="C399" s="110" t="str">
        <f aca="false">IF(_PENDIENTES!$B$393&lt;&gt;"",_PENDIENTES!$C$393,"")</f>
        <v/>
      </c>
      <c r="D399" s="46" t="str">
        <f aca="false">IF(_PENDIENTES!$B$393&lt;&gt;"",_PENDIENTES!$D$393,"")</f>
        <v/>
      </c>
      <c r="E399" s="112" t="str">
        <f aca="false">IF(_PENDIENTES!$B$393&lt;&gt;"",_PENDIENTES!$E$393,"")</f>
        <v/>
      </c>
      <c r="F399" s="46" t="str">
        <f aca="false">IF(_PENDIENTES!$B$393&lt;&gt;"",_PENDIENTES!$F$393,"")</f>
        <v/>
      </c>
      <c r="G399" s="44" t="str">
        <f aca="false">IF(_PENDIENTES!$B$393&lt;&gt;"",_PENDIENTES!$G$393,"")</f>
        <v/>
      </c>
      <c r="H399" s="44" t="str">
        <f aca="false">IF(_PENDIENTES!$B$393&lt;&gt;"",_PENDIENTES!$H$393,"")</f>
        <v/>
      </c>
      <c r="I399" s="110" t="str">
        <f aca="false">IF(_PENDIENTES!$B$393&lt;&gt;"",_PENDIENTES!$I$393,"")</f>
        <v/>
      </c>
      <c r="J399" s="46" t="str">
        <f aca="false">IF(_PENDIENTES!$B$393&lt;&gt;"",_PENDIENTES!$J$393,"")</f>
        <v/>
      </c>
      <c r="K399" s="46" t="str">
        <f aca="false">IF(_PENDIENTES!$B$393&lt;&gt;"","POR RECOGER","")</f>
        <v/>
      </c>
      <c r="L399" s="46" t="str">
        <f aca="false">IF(_PENDIENTES!$B$393&lt;&gt;"",_PENDIENTES!$K$393,"")</f>
        <v/>
      </c>
      <c r="M399" s="89" t="str">
        <f aca="false">IF(_PENDIENTES!$B$393&lt;&gt;"",_PENDIENTES!$B$393,"")</f>
        <v/>
      </c>
      <c r="N399" s="109" t="str">
        <f aca="false">IF(_PENDIENTES!$B$393&lt;&gt;"",_PENDIENTES!$L$393,"")</f>
        <v/>
      </c>
      <c r="O399" s="89"/>
      <c r="P399" s="89"/>
      <c r="Q399" s="89"/>
      <c r="R399" s="89"/>
      <c r="S399" s="89"/>
    </row>
    <row r="400" customFormat="false" ht="15.75" hidden="true" customHeight="true" outlineLevel="0" collapsed="false">
      <c r="A400" s="106" t="str">
        <f aca="false">IF(_PENDIENTES!$B$394&lt;&gt;"",393,"")</f>
        <v/>
      </c>
      <c r="B400" s="47" t="str">
        <f aca="false">IF(_PENDIENTES!$B$394&lt;&gt;"",_PENDIENTES!$A$394,"")</f>
        <v/>
      </c>
      <c r="C400" s="107" t="str">
        <f aca="false">IF(_PENDIENTES!$B$394&lt;&gt;"",_PENDIENTES!$C$394,"")</f>
        <v/>
      </c>
      <c r="D400" s="106" t="str">
        <f aca="false">IF(_PENDIENTES!$B$394&lt;&gt;"",_PENDIENTES!$D$394,"")</f>
        <v/>
      </c>
      <c r="E400" s="111" t="str">
        <f aca="false">IF(_PENDIENTES!$B$394&lt;&gt;"",_PENDIENTES!$E$394,"")</f>
        <v/>
      </c>
      <c r="F400" s="106" t="str">
        <f aca="false">IF(_PENDIENTES!$B$394&lt;&gt;"",_PENDIENTES!$F$394,"")</f>
        <v/>
      </c>
      <c r="G400" s="50" t="str">
        <f aca="false">IF(_PENDIENTES!$B$394&lt;&gt;"",_PENDIENTES!$G$394,"")</f>
        <v/>
      </c>
      <c r="H400" s="50" t="str">
        <f aca="false">IF(_PENDIENTES!$B$394&lt;&gt;"",_PENDIENTES!$H$394,"")</f>
        <v/>
      </c>
      <c r="I400" s="107" t="str">
        <f aca="false">IF(_PENDIENTES!$B$394&lt;&gt;"",_PENDIENTES!$I$394,"")</f>
        <v/>
      </c>
      <c r="J400" s="106" t="str">
        <f aca="false">IF(_PENDIENTES!$B$394&lt;&gt;"",_PENDIENTES!$J$394,"")</f>
        <v/>
      </c>
      <c r="K400" s="106" t="str">
        <f aca="false">IF(_PENDIENTES!$B$394&lt;&gt;"","POR RECOGER","")</f>
        <v/>
      </c>
      <c r="L400" s="106" t="str">
        <f aca="false">IF(_PENDIENTES!$B$394&lt;&gt;"",_PENDIENTES!$K$394,"")</f>
        <v/>
      </c>
      <c r="M400" s="89" t="str">
        <f aca="false">IF(_PENDIENTES!$B$394&lt;&gt;"",_PENDIENTES!$B$394,"")</f>
        <v/>
      </c>
      <c r="N400" s="109" t="str">
        <f aca="false">IF(_PENDIENTES!$B$394&lt;&gt;"",_PENDIENTES!$L$394,"")</f>
        <v/>
      </c>
      <c r="O400" s="89"/>
      <c r="P400" s="89"/>
      <c r="Q400" s="89"/>
      <c r="R400" s="89"/>
      <c r="S400" s="89"/>
    </row>
    <row r="401" customFormat="false" ht="15.75" hidden="true" customHeight="true" outlineLevel="0" collapsed="false">
      <c r="A401" s="46" t="str">
        <f aca="false">IF(_PENDIENTES!$B$395&lt;&gt;"",394,"")</f>
        <v/>
      </c>
      <c r="B401" s="41" t="str">
        <f aca="false">IF(_PENDIENTES!$B$395&lt;&gt;"",_PENDIENTES!$A$395,"")</f>
        <v/>
      </c>
      <c r="C401" s="110" t="str">
        <f aca="false">IF(_PENDIENTES!$B$395&lt;&gt;"",_PENDIENTES!$C$395,"")</f>
        <v/>
      </c>
      <c r="D401" s="46" t="str">
        <f aca="false">IF(_PENDIENTES!$B$395&lt;&gt;"",_PENDIENTES!$D$395,"")</f>
        <v/>
      </c>
      <c r="E401" s="112" t="str">
        <f aca="false">IF(_PENDIENTES!$B$395&lt;&gt;"",_PENDIENTES!$E$395,"")</f>
        <v/>
      </c>
      <c r="F401" s="46" t="str">
        <f aca="false">IF(_PENDIENTES!$B$395&lt;&gt;"",_PENDIENTES!$F$395,"")</f>
        <v/>
      </c>
      <c r="G401" s="44" t="str">
        <f aca="false">IF(_PENDIENTES!$B$395&lt;&gt;"",_PENDIENTES!$G$395,"")</f>
        <v/>
      </c>
      <c r="H401" s="44" t="str">
        <f aca="false">IF(_PENDIENTES!$B$395&lt;&gt;"",_PENDIENTES!$H$395,"")</f>
        <v/>
      </c>
      <c r="I401" s="110" t="str">
        <f aca="false">IF(_PENDIENTES!$B$395&lt;&gt;"",_PENDIENTES!$I$395,"")</f>
        <v/>
      </c>
      <c r="J401" s="46" t="str">
        <f aca="false">IF(_PENDIENTES!$B$395&lt;&gt;"",_PENDIENTES!$J$395,"")</f>
        <v/>
      </c>
      <c r="K401" s="46" t="str">
        <f aca="false">IF(_PENDIENTES!$B$395&lt;&gt;"","POR RECOGER","")</f>
        <v/>
      </c>
      <c r="L401" s="46" t="str">
        <f aca="false">IF(_PENDIENTES!$B$395&lt;&gt;"",_PENDIENTES!$K$395,"")</f>
        <v/>
      </c>
      <c r="M401" s="89" t="str">
        <f aca="false">IF(_PENDIENTES!$B$395&lt;&gt;"",_PENDIENTES!$B$395,"")</f>
        <v/>
      </c>
      <c r="N401" s="109" t="str">
        <f aca="false">IF(_PENDIENTES!$B$395&lt;&gt;"",_PENDIENTES!$L$395,"")</f>
        <v/>
      </c>
      <c r="O401" s="89"/>
      <c r="P401" s="89"/>
      <c r="Q401" s="89"/>
      <c r="R401" s="89"/>
      <c r="S401" s="89"/>
    </row>
    <row r="402" customFormat="false" ht="15.75" hidden="true" customHeight="true" outlineLevel="0" collapsed="false">
      <c r="A402" s="106" t="str">
        <f aca="false">IF(_PENDIENTES!$B$396&lt;&gt;"",395,"")</f>
        <v/>
      </c>
      <c r="B402" s="47" t="str">
        <f aca="false">IF(_PENDIENTES!$B$396&lt;&gt;"",_PENDIENTES!$A$396,"")</f>
        <v/>
      </c>
      <c r="C402" s="107" t="str">
        <f aca="false">IF(_PENDIENTES!$B$396&lt;&gt;"",_PENDIENTES!$C$396,"")</f>
        <v/>
      </c>
      <c r="D402" s="106" t="str">
        <f aca="false">IF(_PENDIENTES!$B$396&lt;&gt;"",_PENDIENTES!$D$396,"")</f>
        <v/>
      </c>
      <c r="E402" s="111" t="str">
        <f aca="false">IF(_PENDIENTES!$B$396&lt;&gt;"",_PENDIENTES!$E$396,"")</f>
        <v/>
      </c>
      <c r="F402" s="106" t="str">
        <f aca="false">IF(_PENDIENTES!$B$396&lt;&gt;"",_PENDIENTES!$F$396,"")</f>
        <v/>
      </c>
      <c r="G402" s="50" t="str">
        <f aca="false">IF(_PENDIENTES!$B$396&lt;&gt;"",_PENDIENTES!$G$396,"")</f>
        <v/>
      </c>
      <c r="H402" s="50" t="str">
        <f aca="false">IF(_PENDIENTES!$B$396&lt;&gt;"",_PENDIENTES!$H$396,"")</f>
        <v/>
      </c>
      <c r="I402" s="107" t="str">
        <f aca="false">IF(_PENDIENTES!$B$396&lt;&gt;"",_PENDIENTES!$I$396,"")</f>
        <v/>
      </c>
      <c r="J402" s="106" t="str">
        <f aca="false">IF(_PENDIENTES!$B$396&lt;&gt;"",_PENDIENTES!$J$396,"")</f>
        <v/>
      </c>
      <c r="K402" s="106" t="str">
        <f aca="false">IF(_PENDIENTES!$B$396&lt;&gt;"","POR RECOGER","")</f>
        <v/>
      </c>
      <c r="L402" s="106" t="str">
        <f aca="false">IF(_PENDIENTES!$B$396&lt;&gt;"",_PENDIENTES!$K$396,"")</f>
        <v/>
      </c>
      <c r="M402" s="89" t="str">
        <f aca="false">IF(_PENDIENTES!$B$396&lt;&gt;"",_PENDIENTES!$B$396,"")</f>
        <v/>
      </c>
      <c r="N402" s="109" t="str">
        <f aca="false">IF(_PENDIENTES!$B$396&lt;&gt;"",_PENDIENTES!$L$396,"")</f>
        <v/>
      </c>
      <c r="O402" s="89"/>
      <c r="P402" s="89"/>
      <c r="Q402" s="89"/>
      <c r="R402" s="89"/>
      <c r="S402" s="89"/>
    </row>
    <row r="403" customFormat="false" ht="15.75" hidden="true" customHeight="true" outlineLevel="0" collapsed="false">
      <c r="A403" s="46" t="str">
        <f aca="false">IF(_PENDIENTES!$B$397&lt;&gt;"",396,"")</f>
        <v/>
      </c>
      <c r="B403" s="41" t="str">
        <f aca="false">IF(_PENDIENTES!$B$397&lt;&gt;"",_PENDIENTES!$A$397,"")</f>
        <v/>
      </c>
      <c r="C403" s="110" t="str">
        <f aca="false">IF(_PENDIENTES!$B$397&lt;&gt;"",_PENDIENTES!$C$397,"")</f>
        <v/>
      </c>
      <c r="D403" s="46" t="str">
        <f aca="false">IF(_PENDIENTES!$B$397&lt;&gt;"",_PENDIENTES!$D$397,"")</f>
        <v/>
      </c>
      <c r="E403" s="112" t="str">
        <f aca="false">IF(_PENDIENTES!$B$397&lt;&gt;"",_PENDIENTES!$E$397,"")</f>
        <v/>
      </c>
      <c r="F403" s="46" t="str">
        <f aca="false">IF(_PENDIENTES!$B$397&lt;&gt;"",_PENDIENTES!$F$397,"")</f>
        <v/>
      </c>
      <c r="G403" s="44" t="str">
        <f aca="false">IF(_PENDIENTES!$B$397&lt;&gt;"",_PENDIENTES!$G$397,"")</f>
        <v/>
      </c>
      <c r="H403" s="44" t="str">
        <f aca="false">IF(_PENDIENTES!$B$397&lt;&gt;"",_PENDIENTES!$H$397,"")</f>
        <v/>
      </c>
      <c r="I403" s="110" t="str">
        <f aca="false">IF(_PENDIENTES!$B$397&lt;&gt;"",_PENDIENTES!$I$397,"")</f>
        <v/>
      </c>
      <c r="J403" s="46" t="str">
        <f aca="false">IF(_PENDIENTES!$B$397&lt;&gt;"",_PENDIENTES!$J$397,"")</f>
        <v/>
      </c>
      <c r="K403" s="46" t="str">
        <f aca="false">IF(_PENDIENTES!$B$397&lt;&gt;"","POR RECOGER","")</f>
        <v/>
      </c>
      <c r="L403" s="46" t="str">
        <f aca="false">IF(_PENDIENTES!$B$397&lt;&gt;"",_PENDIENTES!$K$397,"")</f>
        <v/>
      </c>
      <c r="M403" s="89" t="str">
        <f aca="false">IF(_PENDIENTES!$B$397&lt;&gt;"",_PENDIENTES!$B$397,"")</f>
        <v/>
      </c>
      <c r="N403" s="109" t="str">
        <f aca="false">IF(_PENDIENTES!$B$397&lt;&gt;"",_PENDIENTES!$L$397,"")</f>
        <v/>
      </c>
      <c r="O403" s="89"/>
      <c r="P403" s="89"/>
      <c r="Q403" s="89"/>
      <c r="R403" s="89"/>
      <c r="S403" s="89"/>
    </row>
    <row r="404" customFormat="false" ht="15.75" hidden="true" customHeight="true" outlineLevel="0" collapsed="false">
      <c r="A404" s="106" t="str">
        <f aca="false">IF(_PENDIENTES!$B$398&lt;&gt;"",397,"")</f>
        <v/>
      </c>
      <c r="B404" s="47" t="str">
        <f aca="false">IF(_PENDIENTES!$B$398&lt;&gt;"",_PENDIENTES!$A$398,"")</f>
        <v/>
      </c>
      <c r="C404" s="107" t="str">
        <f aca="false">IF(_PENDIENTES!$B$398&lt;&gt;"",_PENDIENTES!$C$398,"")</f>
        <v/>
      </c>
      <c r="D404" s="106" t="str">
        <f aca="false">IF(_PENDIENTES!$B$398&lt;&gt;"",_PENDIENTES!$D$398,"")</f>
        <v/>
      </c>
      <c r="E404" s="111" t="str">
        <f aca="false">IF(_PENDIENTES!$B$398&lt;&gt;"",_PENDIENTES!$E$398,"")</f>
        <v/>
      </c>
      <c r="F404" s="106" t="str">
        <f aca="false">IF(_PENDIENTES!$B$398&lt;&gt;"",_PENDIENTES!$F$398,"")</f>
        <v/>
      </c>
      <c r="G404" s="50" t="str">
        <f aca="false">IF(_PENDIENTES!$B$398&lt;&gt;"",_PENDIENTES!$G$398,"")</f>
        <v/>
      </c>
      <c r="H404" s="50" t="str">
        <f aca="false">IF(_PENDIENTES!$B$398&lt;&gt;"",_PENDIENTES!$H$398,"")</f>
        <v/>
      </c>
      <c r="I404" s="107" t="str">
        <f aca="false">IF(_PENDIENTES!$B$398&lt;&gt;"",_PENDIENTES!$I$398,"")</f>
        <v/>
      </c>
      <c r="J404" s="106" t="str">
        <f aca="false">IF(_PENDIENTES!$B$398&lt;&gt;"",_PENDIENTES!$J$398,"")</f>
        <v/>
      </c>
      <c r="K404" s="106" t="str">
        <f aca="false">IF(_PENDIENTES!$B$398&lt;&gt;"","POR RECOGER","")</f>
        <v/>
      </c>
      <c r="L404" s="106" t="str">
        <f aca="false">IF(_PENDIENTES!$B$398&lt;&gt;"",_PENDIENTES!$K$398,"")</f>
        <v/>
      </c>
      <c r="M404" s="89" t="str">
        <f aca="false">IF(_PENDIENTES!$B$398&lt;&gt;"",_PENDIENTES!$B$398,"")</f>
        <v/>
      </c>
      <c r="N404" s="109" t="str">
        <f aca="false">IF(_PENDIENTES!$B$398&lt;&gt;"",_PENDIENTES!$L$398,"")</f>
        <v/>
      </c>
      <c r="O404" s="89"/>
      <c r="P404" s="89"/>
      <c r="Q404" s="89"/>
      <c r="R404" s="89"/>
      <c r="S404" s="89"/>
    </row>
    <row r="405" customFormat="false" ht="15.75" hidden="true" customHeight="true" outlineLevel="0" collapsed="false">
      <c r="A405" s="46" t="str">
        <f aca="false">IF(_PENDIENTES!$B$399&lt;&gt;"",398,"")</f>
        <v/>
      </c>
      <c r="B405" s="41" t="str">
        <f aca="false">IF(_PENDIENTES!$B$399&lt;&gt;"",_PENDIENTES!$A$399,"")</f>
        <v/>
      </c>
      <c r="C405" s="110" t="str">
        <f aca="false">IF(_PENDIENTES!$B$399&lt;&gt;"",_PENDIENTES!$C$399,"")</f>
        <v/>
      </c>
      <c r="D405" s="46" t="str">
        <f aca="false">IF(_PENDIENTES!$B$399&lt;&gt;"",_PENDIENTES!$D$399,"")</f>
        <v/>
      </c>
      <c r="E405" s="112" t="str">
        <f aca="false">IF(_PENDIENTES!$B$399&lt;&gt;"",_PENDIENTES!$E$399,"")</f>
        <v/>
      </c>
      <c r="F405" s="46" t="str">
        <f aca="false">IF(_PENDIENTES!$B$399&lt;&gt;"",_PENDIENTES!$F$399,"")</f>
        <v/>
      </c>
      <c r="G405" s="44" t="str">
        <f aca="false">IF(_PENDIENTES!$B$399&lt;&gt;"",_PENDIENTES!$G$399,"")</f>
        <v/>
      </c>
      <c r="H405" s="44" t="str">
        <f aca="false">IF(_PENDIENTES!$B$399&lt;&gt;"",_PENDIENTES!$H$399,"")</f>
        <v/>
      </c>
      <c r="I405" s="110" t="str">
        <f aca="false">IF(_PENDIENTES!$B$399&lt;&gt;"",_PENDIENTES!$I$399,"")</f>
        <v/>
      </c>
      <c r="J405" s="46" t="str">
        <f aca="false">IF(_PENDIENTES!$B$399&lt;&gt;"",_PENDIENTES!$J$399,"")</f>
        <v/>
      </c>
      <c r="K405" s="46" t="str">
        <f aca="false">IF(_PENDIENTES!$B$399&lt;&gt;"","POR RECOGER","")</f>
        <v/>
      </c>
      <c r="L405" s="46" t="str">
        <f aca="false">IF(_PENDIENTES!$B$399&lt;&gt;"",_PENDIENTES!$K$399,"")</f>
        <v/>
      </c>
      <c r="M405" s="89" t="str">
        <f aca="false">IF(_PENDIENTES!$B$399&lt;&gt;"",_PENDIENTES!$B$399,"")</f>
        <v/>
      </c>
      <c r="N405" s="109" t="str">
        <f aca="false">IF(_PENDIENTES!$B$399&lt;&gt;"",_PENDIENTES!$L$399,"")</f>
        <v/>
      </c>
      <c r="O405" s="89"/>
      <c r="P405" s="89"/>
      <c r="Q405" s="89"/>
      <c r="R405" s="89"/>
      <c r="S405" s="89"/>
    </row>
    <row r="406" customFormat="false" ht="15.75" hidden="true" customHeight="true" outlineLevel="0" collapsed="false">
      <c r="A406" s="106" t="str">
        <f aca="false">IF(_PENDIENTES!$B$400&lt;&gt;"",399,"")</f>
        <v/>
      </c>
      <c r="B406" s="47" t="str">
        <f aca="false">IF(_PENDIENTES!$B$400&lt;&gt;"",_PENDIENTES!$A$400,"")</f>
        <v/>
      </c>
      <c r="C406" s="107" t="str">
        <f aca="false">IF(_PENDIENTES!$B$400&lt;&gt;"",_PENDIENTES!$C$400,"")</f>
        <v/>
      </c>
      <c r="D406" s="106" t="str">
        <f aca="false">IF(_PENDIENTES!$B$400&lt;&gt;"",_PENDIENTES!$D$400,"")</f>
        <v/>
      </c>
      <c r="E406" s="111" t="str">
        <f aca="false">IF(_PENDIENTES!$B$400&lt;&gt;"",_PENDIENTES!$E$400,"")</f>
        <v/>
      </c>
      <c r="F406" s="106" t="str">
        <f aca="false">IF(_PENDIENTES!$B$400&lt;&gt;"",_PENDIENTES!$F$400,"")</f>
        <v/>
      </c>
      <c r="G406" s="50" t="str">
        <f aca="false">IF(_PENDIENTES!$B$400&lt;&gt;"",_PENDIENTES!$G$400,"")</f>
        <v/>
      </c>
      <c r="H406" s="50" t="str">
        <f aca="false">IF(_PENDIENTES!$B$400&lt;&gt;"",_PENDIENTES!$H$400,"")</f>
        <v/>
      </c>
      <c r="I406" s="107" t="str">
        <f aca="false">IF(_PENDIENTES!$B$400&lt;&gt;"",_PENDIENTES!$I$400,"")</f>
        <v/>
      </c>
      <c r="J406" s="106" t="str">
        <f aca="false">IF(_PENDIENTES!$B$400&lt;&gt;"",_PENDIENTES!$J$400,"")</f>
        <v/>
      </c>
      <c r="K406" s="106" t="str">
        <f aca="false">IF(_PENDIENTES!$B$400&lt;&gt;"","POR RECOGER","")</f>
        <v/>
      </c>
      <c r="L406" s="106" t="str">
        <f aca="false">IF(_PENDIENTES!$B$400&lt;&gt;"",_PENDIENTES!$K$400,"")</f>
        <v/>
      </c>
      <c r="M406" s="89" t="str">
        <f aca="false">IF(_PENDIENTES!$B$400&lt;&gt;"",_PENDIENTES!$B$400,"")</f>
        <v/>
      </c>
      <c r="N406" s="109" t="str">
        <f aca="false">IF(_PENDIENTES!$B$400&lt;&gt;"",_PENDIENTES!$L$400,"")</f>
        <v/>
      </c>
      <c r="O406" s="89"/>
      <c r="P406" s="89"/>
      <c r="Q406" s="89"/>
      <c r="R406" s="89"/>
      <c r="S406" s="89"/>
    </row>
    <row r="407" customFormat="false" ht="15.75" hidden="true" customHeight="true" outlineLevel="0" collapsed="false">
      <c r="A407" s="46" t="str">
        <f aca="false">IF(_PENDIENTES!$B$401&lt;&gt;"",400,"")</f>
        <v/>
      </c>
      <c r="B407" s="41" t="str">
        <f aca="false">IF(_PENDIENTES!$B$401&lt;&gt;"",_PENDIENTES!$A$401,"")</f>
        <v/>
      </c>
      <c r="C407" s="110" t="str">
        <f aca="false">IF(_PENDIENTES!$B$401&lt;&gt;"",_PENDIENTES!$C$401,"")</f>
        <v/>
      </c>
      <c r="D407" s="46" t="str">
        <f aca="false">IF(_PENDIENTES!$B$401&lt;&gt;"",_PENDIENTES!$D$401,"")</f>
        <v/>
      </c>
      <c r="E407" s="112" t="str">
        <f aca="false">IF(_PENDIENTES!$B$401&lt;&gt;"",_PENDIENTES!$E$401,"")</f>
        <v/>
      </c>
      <c r="F407" s="46" t="str">
        <f aca="false">IF(_PENDIENTES!$B$401&lt;&gt;"",_PENDIENTES!$F$401,"")</f>
        <v/>
      </c>
      <c r="G407" s="44" t="str">
        <f aca="false">IF(_PENDIENTES!$B$401&lt;&gt;"",_PENDIENTES!$G$401,"")</f>
        <v/>
      </c>
      <c r="H407" s="44" t="str">
        <f aca="false">IF(_PENDIENTES!$B$401&lt;&gt;"",_PENDIENTES!$H$401,"")</f>
        <v/>
      </c>
      <c r="I407" s="110" t="str">
        <f aca="false">IF(_PENDIENTES!$B$401&lt;&gt;"",_PENDIENTES!$I$401,"")</f>
        <v/>
      </c>
      <c r="J407" s="46" t="str">
        <f aca="false">IF(_PENDIENTES!$B$401&lt;&gt;"",_PENDIENTES!$J$401,"")</f>
        <v/>
      </c>
      <c r="K407" s="46" t="str">
        <f aca="false">IF(_PENDIENTES!$B$401&lt;&gt;"","POR RECOGER","")</f>
        <v/>
      </c>
      <c r="L407" s="46" t="str">
        <f aca="false">IF(_PENDIENTES!$B$401&lt;&gt;"",_PENDIENTES!$K$401,"")</f>
        <v/>
      </c>
      <c r="M407" s="89" t="str">
        <f aca="false">IF(_PENDIENTES!$B$401&lt;&gt;"",_PENDIENTES!$B$401,"")</f>
        <v/>
      </c>
      <c r="N407" s="109" t="str">
        <f aca="false">IF(_PENDIENTES!$B$401&lt;&gt;"",_PENDIENTES!$L$401,"")</f>
        <v/>
      </c>
      <c r="O407" s="89"/>
      <c r="P407" s="89"/>
      <c r="Q407" s="89"/>
      <c r="R407" s="89"/>
      <c r="S407" s="89"/>
    </row>
    <row r="408" customFormat="false" ht="15.75" hidden="true" customHeight="true" outlineLevel="0" collapsed="false">
      <c r="A408" s="106" t="str">
        <f aca="false">IF(_PENDIENTES!$B$402&lt;&gt;"",401,"")</f>
        <v/>
      </c>
      <c r="B408" s="47" t="str">
        <f aca="false">IF(_PENDIENTES!$B$402&lt;&gt;"",_PENDIENTES!$A$402,"")</f>
        <v/>
      </c>
      <c r="C408" s="107" t="str">
        <f aca="false">IF(_PENDIENTES!$B$402&lt;&gt;"",_PENDIENTES!$C$402,"")</f>
        <v/>
      </c>
      <c r="D408" s="106" t="str">
        <f aca="false">IF(_PENDIENTES!$B$402&lt;&gt;"",_PENDIENTES!$D$402,"")</f>
        <v/>
      </c>
      <c r="E408" s="111" t="str">
        <f aca="false">IF(_PENDIENTES!$B$402&lt;&gt;"",_PENDIENTES!$E$402,"")</f>
        <v/>
      </c>
      <c r="F408" s="106" t="str">
        <f aca="false">IF(_PENDIENTES!$B$402&lt;&gt;"",_PENDIENTES!$F$402,"")</f>
        <v/>
      </c>
      <c r="G408" s="50" t="str">
        <f aca="false">IF(_PENDIENTES!$B$402&lt;&gt;"",_PENDIENTES!$G$402,"")</f>
        <v/>
      </c>
      <c r="H408" s="50" t="str">
        <f aca="false">IF(_PENDIENTES!$B$402&lt;&gt;"",_PENDIENTES!$H$402,"")</f>
        <v/>
      </c>
      <c r="I408" s="107" t="str">
        <f aca="false">IF(_PENDIENTES!$B$402&lt;&gt;"",_PENDIENTES!$I$402,"")</f>
        <v/>
      </c>
      <c r="J408" s="106" t="str">
        <f aca="false">IF(_PENDIENTES!$B$402&lt;&gt;"",_PENDIENTES!$J$402,"")</f>
        <v/>
      </c>
      <c r="K408" s="106" t="str">
        <f aca="false">IF(_PENDIENTES!$B$402&lt;&gt;"","POR RECOGER","")</f>
        <v/>
      </c>
      <c r="L408" s="106" t="str">
        <f aca="false">IF(_PENDIENTES!$B$402&lt;&gt;"",_PENDIENTES!$K$402,"")</f>
        <v/>
      </c>
      <c r="M408" s="89" t="str">
        <f aca="false">IF(_PENDIENTES!$B$402&lt;&gt;"",_PENDIENTES!$B$402,"")</f>
        <v/>
      </c>
      <c r="N408" s="109" t="str">
        <f aca="false">IF(_PENDIENTES!$B$402&lt;&gt;"",_PENDIENTES!$L$402,"")</f>
        <v/>
      </c>
      <c r="O408" s="89"/>
      <c r="P408" s="89"/>
      <c r="Q408" s="89"/>
      <c r="R408" s="89"/>
      <c r="S408" s="89"/>
    </row>
    <row r="409" customFormat="false" ht="15.75" hidden="true" customHeight="true" outlineLevel="0" collapsed="false">
      <c r="A409" s="46" t="str">
        <f aca="false">IF(_PENDIENTES!$B$403&lt;&gt;"",402,"")</f>
        <v/>
      </c>
      <c r="B409" s="41" t="str">
        <f aca="false">IF(_PENDIENTES!$B$403&lt;&gt;"",_PENDIENTES!$A$403,"")</f>
        <v/>
      </c>
      <c r="C409" s="110" t="str">
        <f aca="false">IF(_PENDIENTES!$B$403&lt;&gt;"",_PENDIENTES!$C$403,"")</f>
        <v/>
      </c>
      <c r="D409" s="46" t="str">
        <f aca="false">IF(_PENDIENTES!$B$403&lt;&gt;"",_PENDIENTES!$D$403,"")</f>
        <v/>
      </c>
      <c r="E409" s="112" t="str">
        <f aca="false">IF(_PENDIENTES!$B$403&lt;&gt;"",_PENDIENTES!$E$403,"")</f>
        <v/>
      </c>
      <c r="F409" s="46" t="str">
        <f aca="false">IF(_PENDIENTES!$B$403&lt;&gt;"",_PENDIENTES!$F$403,"")</f>
        <v/>
      </c>
      <c r="G409" s="44" t="str">
        <f aca="false">IF(_PENDIENTES!$B$403&lt;&gt;"",_PENDIENTES!$G$403,"")</f>
        <v/>
      </c>
      <c r="H409" s="44" t="str">
        <f aca="false">IF(_PENDIENTES!$B$403&lt;&gt;"",_PENDIENTES!$H$403,"")</f>
        <v/>
      </c>
      <c r="I409" s="110" t="str">
        <f aca="false">IF(_PENDIENTES!$B$403&lt;&gt;"",_PENDIENTES!$I$403,"")</f>
        <v/>
      </c>
      <c r="J409" s="46" t="str">
        <f aca="false">IF(_PENDIENTES!$B$403&lt;&gt;"",_PENDIENTES!$J$403,"")</f>
        <v/>
      </c>
      <c r="K409" s="46" t="str">
        <f aca="false">IF(_PENDIENTES!$B$403&lt;&gt;"","POR RECOGER","")</f>
        <v/>
      </c>
      <c r="L409" s="46" t="str">
        <f aca="false">IF(_PENDIENTES!$B$403&lt;&gt;"",_PENDIENTES!$K$403,"")</f>
        <v/>
      </c>
      <c r="M409" s="89" t="str">
        <f aca="false">IF(_PENDIENTES!$B$403&lt;&gt;"",_PENDIENTES!$B$403,"")</f>
        <v/>
      </c>
      <c r="N409" s="109" t="str">
        <f aca="false">IF(_PENDIENTES!$B$403&lt;&gt;"",_PENDIENTES!$L$403,"")</f>
        <v/>
      </c>
      <c r="O409" s="89"/>
      <c r="P409" s="89"/>
      <c r="Q409" s="89"/>
      <c r="R409" s="89"/>
      <c r="S409" s="89"/>
    </row>
    <row r="410" customFormat="false" ht="15.75" hidden="true" customHeight="true" outlineLevel="0" collapsed="false">
      <c r="A410" s="106" t="str">
        <f aca="false">IF(_PENDIENTES!$B$404&lt;&gt;"",403,"")</f>
        <v/>
      </c>
      <c r="B410" s="47" t="str">
        <f aca="false">IF(_PENDIENTES!$B$404&lt;&gt;"",_PENDIENTES!$A$404,"")</f>
        <v/>
      </c>
      <c r="C410" s="107" t="str">
        <f aca="false">IF(_PENDIENTES!$B$404&lt;&gt;"",_PENDIENTES!$C$404,"")</f>
        <v/>
      </c>
      <c r="D410" s="106" t="str">
        <f aca="false">IF(_PENDIENTES!$B$404&lt;&gt;"",_PENDIENTES!$D$404,"")</f>
        <v/>
      </c>
      <c r="E410" s="111" t="str">
        <f aca="false">IF(_PENDIENTES!$B$404&lt;&gt;"",_PENDIENTES!$E$404,"")</f>
        <v/>
      </c>
      <c r="F410" s="106" t="str">
        <f aca="false">IF(_PENDIENTES!$B$404&lt;&gt;"",_PENDIENTES!$F$404,"")</f>
        <v/>
      </c>
      <c r="G410" s="50" t="str">
        <f aca="false">IF(_PENDIENTES!$B$404&lt;&gt;"",_PENDIENTES!$G$404,"")</f>
        <v/>
      </c>
      <c r="H410" s="50" t="str">
        <f aca="false">IF(_PENDIENTES!$B$404&lt;&gt;"",_PENDIENTES!$H$404,"")</f>
        <v/>
      </c>
      <c r="I410" s="107" t="str">
        <f aca="false">IF(_PENDIENTES!$B$404&lt;&gt;"",_PENDIENTES!$I$404,"")</f>
        <v/>
      </c>
      <c r="J410" s="106" t="str">
        <f aca="false">IF(_PENDIENTES!$B$404&lt;&gt;"",_PENDIENTES!$J$404,"")</f>
        <v/>
      </c>
      <c r="K410" s="106" t="str">
        <f aca="false">IF(_PENDIENTES!$B$404&lt;&gt;"","POR RECOGER","")</f>
        <v/>
      </c>
      <c r="L410" s="106" t="str">
        <f aca="false">IF(_PENDIENTES!$B$404&lt;&gt;"",_PENDIENTES!$K$404,"")</f>
        <v/>
      </c>
      <c r="M410" s="89" t="str">
        <f aca="false">IF(_PENDIENTES!$B$404&lt;&gt;"",_PENDIENTES!$B$404,"")</f>
        <v/>
      </c>
      <c r="N410" s="109" t="str">
        <f aca="false">IF(_PENDIENTES!$B$404&lt;&gt;"",_PENDIENTES!$L$404,"")</f>
        <v/>
      </c>
      <c r="O410" s="89"/>
      <c r="P410" s="89"/>
      <c r="Q410" s="89"/>
      <c r="R410" s="89"/>
      <c r="S410" s="89"/>
    </row>
    <row r="411" customFormat="false" ht="15.75" hidden="true" customHeight="true" outlineLevel="0" collapsed="false">
      <c r="A411" s="46" t="str">
        <f aca="false">IF(_PENDIENTES!$B$405&lt;&gt;"",404,"")</f>
        <v/>
      </c>
      <c r="B411" s="41" t="str">
        <f aca="false">IF(_PENDIENTES!$B$405&lt;&gt;"",_PENDIENTES!$A$405,"")</f>
        <v/>
      </c>
      <c r="C411" s="110" t="str">
        <f aca="false">IF(_PENDIENTES!$B$405&lt;&gt;"",_PENDIENTES!$C$405,"")</f>
        <v/>
      </c>
      <c r="D411" s="46" t="str">
        <f aca="false">IF(_PENDIENTES!$B$405&lt;&gt;"",_PENDIENTES!$D$405,"")</f>
        <v/>
      </c>
      <c r="E411" s="112" t="str">
        <f aca="false">IF(_PENDIENTES!$B$405&lt;&gt;"",_PENDIENTES!$E$405,"")</f>
        <v/>
      </c>
      <c r="F411" s="46" t="str">
        <f aca="false">IF(_PENDIENTES!$B$405&lt;&gt;"",_PENDIENTES!$F$405,"")</f>
        <v/>
      </c>
      <c r="G411" s="44" t="str">
        <f aca="false">IF(_PENDIENTES!$B$405&lt;&gt;"",_PENDIENTES!$G$405,"")</f>
        <v/>
      </c>
      <c r="H411" s="44" t="str">
        <f aca="false">IF(_PENDIENTES!$B$405&lt;&gt;"",_PENDIENTES!$H$405,"")</f>
        <v/>
      </c>
      <c r="I411" s="110" t="str">
        <f aca="false">IF(_PENDIENTES!$B$405&lt;&gt;"",_PENDIENTES!$I$405,"")</f>
        <v/>
      </c>
      <c r="J411" s="46" t="str">
        <f aca="false">IF(_PENDIENTES!$B$405&lt;&gt;"",_PENDIENTES!$J$405,"")</f>
        <v/>
      </c>
      <c r="K411" s="46" t="str">
        <f aca="false">IF(_PENDIENTES!$B$405&lt;&gt;"","POR RECOGER","")</f>
        <v/>
      </c>
      <c r="L411" s="46" t="str">
        <f aca="false">IF(_PENDIENTES!$B$405&lt;&gt;"",_PENDIENTES!$K$405,"")</f>
        <v/>
      </c>
      <c r="M411" s="89" t="str">
        <f aca="false">IF(_PENDIENTES!$B$405&lt;&gt;"",_PENDIENTES!$B$405,"")</f>
        <v/>
      </c>
      <c r="N411" s="109" t="str">
        <f aca="false">IF(_PENDIENTES!$B$405&lt;&gt;"",_PENDIENTES!$L$405,"")</f>
        <v/>
      </c>
      <c r="O411" s="89"/>
      <c r="P411" s="89"/>
      <c r="Q411" s="89"/>
      <c r="R411" s="89"/>
      <c r="S411" s="89"/>
    </row>
    <row r="412" customFormat="false" ht="15.75" hidden="true" customHeight="true" outlineLevel="0" collapsed="false">
      <c r="A412" s="106" t="str">
        <f aca="false">IF(_PENDIENTES!$B$406&lt;&gt;"",405,"")</f>
        <v/>
      </c>
      <c r="B412" s="47" t="str">
        <f aca="false">IF(_PENDIENTES!$B$406&lt;&gt;"",_PENDIENTES!$A$406,"")</f>
        <v/>
      </c>
      <c r="C412" s="107" t="str">
        <f aca="false">IF(_PENDIENTES!$B$406&lt;&gt;"",_PENDIENTES!$C$406,"")</f>
        <v/>
      </c>
      <c r="D412" s="106" t="str">
        <f aca="false">IF(_PENDIENTES!$B$406&lt;&gt;"",_PENDIENTES!$D$406,"")</f>
        <v/>
      </c>
      <c r="E412" s="111" t="str">
        <f aca="false">IF(_PENDIENTES!$B$406&lt;&gt;"",_PENDIENTES!$E$406,"")</f>
        <v/>
      </c>
      <c r="F412" s="106" t="str">
        <f aca="false">IF(_PENDIENTES!$B$406&lt;&gt;"",_PENDIENTES!$F$406,"")</f>
        <v/>
      </c>
      <c r="G412" s="50" t="str">
        <f aca="false">IF(_PENDIENTES!$B$406&lt;&gt;"",_PENDIENTES!$G$406,"")</f>
        <v/>
      </c>
      <c r="H412" s="50" t="str">
        <f aca="false">IF(_PENDIENTES!$B$406&lt;&gt;"",_PENDIENTES!$H$406,"")</f>
        <v/>
      </c>
      <c r="I412" s="107" t="str">
        <f aca="false">IF(_PENDIENTES!$B$406&lt;&gt;"",_PENDIENTES!$I$406,"")</f>
        <v/>
      </c>
      <c r="J412" s="106" t="str">
        <f aca="false">IF(_PENDIENTES!$B$406&lt;&gt;"",_PENDIENTES!$J$406,"")</f>
        <v/>
      </c>
      <c r="K412" s="106" t="str">
        <f aca="false">IF(_PENDIENTES!$B$406&lt;&gt;"","POR RECOGER","")</f>
        <v/>
      </c>
      <c r="L412" s="106" t="str">
        <f aca="false">IF(_PENDIENTES!$B$406&lt;&gt;"",_PENDIENTES!$K$406,"")</f>
        <v/>
      </c>
      <c r="M412" s="89" t="str">
        <f aca="false">IF(_PENDIENTES!$B$406&lt;&gt;"",_PENDIENTES!$B$406,"")</f>
        <v/>
      </c>
      <c r="N412" s="109" t="str">
        <f aca="false">IF(_PENDIENTES!$B$406&lt;&gt;"",_PENDIENTES!$L$406,"")</f>
        <v/>
      </c>
      <c r="O412" s="89"/>
      <c r="P412" s="89"/>
      <c r="Q412" s="89"/>
      <c r="R412" s="89"/>
      <c r="S412" s="89"/>
    </row>
    <row r="413" customFormat="false" ht="15.75" hidden="true" customHeight="true" outlineLevel="0" collapsed="false">
      <c r="A413" s="46" t="str">
        <f aca="false">IF(_PENDIENTES!$B$407&lt;&gt;"",406,"")</f>
        <v/>
      </c>
      <c r="B413" s="41" t="str">
        <f aca="false">IF(_PENDIENTES!$B$407&lt;&gt;"",_PENDIENTES!$A$407,"")</f>
        <v/>
      </c>
      <c r="C413" s="110" t="str">
        <f aca="false">IF(_PENDIENTES!$B$407&lt;&gt;"",_PENDIENTES!$C$407,"")</f>
        <v/>
      </c>
      <c r="D413" s="46" t="str">
        <f aca="false">IF(_PENDIENTES!$B$407&lt;&gt;"",_PENDIENTES!$D$407,"")</f>
        <v/>
      </c>
      <c r="E413" s="112" t="str">
        <f aca="false">IF(_PENDIENTES!$B$407&lt;&gt;"",_PENDIENTES!$E$407,"")</f>
        <v/>
      </c>
      <c r="F413" s="46" t="str">
        <f aca="false">IF(_PENDIENTES!$B$407&lt;&gt;"",_PENDIENTES!$F$407,"")</f>
        <v/>
      </c>
      <c r="G413" s="44" t="str">
        <f aca="false">IF(_PENDIENTES!$B$407&lt;&gt;"",_PENDIENTES!$G$407,"")</f>
        <v/>
      </c>
      <c r="H413" s="44" t="str">
        <f aca="false">IF(_PENDIENTES!$B$407&lt;&gt;"",_PENDIENTES!$H$407,"")</f>
        <v/>
      </c>
      <c r="I413" s="110" t="str">
        <f aca="false">IF(_PENDIENTES!$B$407&lt;&gt;"",_PENDIENTES!$I$407,"")</f>
        <v/>
      </c>
      <c r="J413" s="46" t="str">
        <f aca="false">IF(_PENDIENTES!$B$407&lt;&gt;"",_PENDIENTES!$J$407,"")</f>
        <v/>
      </c>
      <c r="K413" s="46" t="str">
        <f aca="false">IF(_PENDIENTES!$B$407&lt;&gt;"","POR RECOGER","")</f>
        <v/>
      </c>
      <c r="L413" s="46" t="str">
        <f aca="false">IF(_PENDIENTES!$B$407&lt;&gt;"",_PENDIENTES!$K$407,"")</f>
        <v/>
      </c>
      <c r="M413" s="89" t="str">
        <f aca="false">IF(_PENDIENTES!$B$407&lt;&gt;"",_PENDIENTES!$B$407,"")</f>
        <v/>
      </c>
      <c r="N413" s="109" t="str">
        <f aca="false">IF(_PENDIENTES!$B$407&lt;&gt;"",_PENDIENTES!$L$407,"")</f>
        <v/>
      </c>
      <c r="O413" s="89"/>
      <c r="P413" s="89"/>
      <c r="Q413" s="89"/>
      <c r="R413" s="89"/>
      <c r="S413" s="89"/>
    </row>
    <row r="414" customFormat="false" ht="15.75" hidden="true" customHeight="true" outlineLevel="0" collapsed="false">
      <c r="A414" s="106" t="str">
        <f aca="false">IF(_PENDIENTES!$B$408&lt;&gt;"",407,"")</f>
        <v/>
      </c>
      <c r="B414" s="47" t="str">
        <f aca="false">IF(_PENDIENTES!$B$408&lt;&gt;"",_PENDIENTES!$A$408,"")</f>
        <v/>
      </c>
      <c r="C414" s="107" t="str">
        <f aca="false">IF(_PENDIENTES!$B$408&lt;&gt;"",_PENDIENTES!$C$408,"")</f>
        <v/>
      </c>
      <c r="D414" s="106" t="str">
        <f aca="false">IF(_PENDIENTES!$B$408&lt;&gt;"",_PENDIENTES!$D$408,"")</f>
        <v/>
      </c>
      <c r="E414" s="111" t="str">
        <f aca="false">IF(_PENDIENTES!$B$408&lt;&gt;"",_PENDIENTES!$E$408,"")</f>
        <v/>
      </c>
      <c r="F414" s="106" t="str">
        <f aca="false">IF(_PENDIENTES!$B$408&lt;&gt;"",_PENDIENTES!$F$408,"")</f>
        <v/>
      </c>
      <c r="G414" s="50" t="str">
        <f aca="false">IF(_PENDIENTES!$B$408&lt;&gt;"",_PENDIENTES!$G$408,"")</f>
        <v/>
      </c>
      <c r="H414" s="50" t="str">
        <f aca="false">IF(_PENDIENTES!$B$408&lt;&gt;"",_PENDIENTES!$H$408,"")</f>
        <v/>
      </c>
      <c r="I414" s="107" t="str">
        <f aca="false">IF(_PENDIENTES!$B$408&lt;&gt;"",_PENDIENTES!$I$408,"")</f>
        <v/>
      </c>
      <c r="J414" s="106" t="str">
        <f aca="false">IF(_PENDIENTES!$B$408&lt;&gt;"",_PENDIENTES!$J$408,"")</f>
        <v/>
      </c>
      <c r="K414" s="106" t="str">
        <f aca="false">IF(_PENDIENTES!$B$408&lt;&gt;"","POR RECOGER","")</f>
        <v/>
      </c>
      <c r="L414" s="106" t="str">
        <f aca="false">IF(_PENDIENTES!$B$408&lt;&gt;"",_PENDIENTES!$K$408,"")</f>
        <v/>
      </c>
      <c r="M414" s="89" t="str">
        <f aca="false">IF(_PENDIENTES!$B$408&lt;&gt;"",_PENDIENTES!$B$408,"")</f>
        <v/>
      </c>
      <c r="N414" s="109" t="str">
        <f aca="false">IF(_PENDIENTES!$B$408&lt;&gt;"",_PENDIENTES!$L$408,"")</f>
        <v/>
      </c>
      <c r="O414" s="89"/>
      <c r="P414" s="89"/>
      <c r="Q414" s="89"/>
      <c r="R414" s="89"/>
      <c r="S414" s="89"/>
    </row>
    <row r="415" customFormat="false" ht="15.75" hidden="true" customHeight="true" outlineLevel="0" collapsed="false">
      <c r="A415" s="46" t="str">
        <f aca="false">IF(_PENDIENTES!$B$409&lt;&gt;"",408,"")</f>
        <v/>
      </c>
      <c r="B415" s="41" t="str">
        <f aca="false">IF(_PENDIENTES!$B$409&lt;&gt;"",_PENDIENTES!$A$409,"")</f>
        <v/>
      </c>
      <c r="C415" s="110" t="str">
        <f aca="false">IF(_PENDIENTES!$B$409&lt;&gt;"",_PENDIENTES!$C$409,"")</f>
        <v/>
      </c>
      <c r="D415" s="46" t="str">
        <f aca="false">IF(_PENDIENTES!$B$409&lt;&gt;"",_PENDIENTES!$D$409,"")</f>
        <v/>
      </c>
      <c r="E415" s="112" t="str">
        <f aca="false">IF(_PENDIENTES!$B$409&lt;&gt;"",_PENDIENTES!$E$409,"")</f>
        <v/>
      </c>
      <c r="F415" s="46" t="str">
        <f aca="false">IF(_PENDIENTES!$B$409&lt;&gt;"",_PENDIENTES!$F$409,"")</f>
        <v/>
      </c>
      <c r="G415" s="44" t="str">
        <f aca="false">IF(_PENDIENTES!$B$409&lt;&gt;"",_PENDIENTES!$G$409,"")</f>
        <v/>
      </c>
      <c r="H415" s="44" t="str">
        <f aca="false">IF(_PENDIENTES!$B$409&lt;&gt;"",_PENDIENTES!$H$409,"")</f>
        <v/>
      </c>
      <c r="I415" s="110" t="str">
        <f aca="false">IF(_PENDIENTES!$B$409&lt;&gt;"",_PENDIENTES!$I$409,"")</f>
        <v/>
      </c>
      <c r="J415" s="46" t="str">
        <f aca="false">IF(_PENDIENTES!$B$409&lt;&gt;"",_PENDIENTES!$J$409,"")</f>
        <v/>
      </c>
      <c r="K415" s="46" t="str">
        <f aca="false">IF(_PENDIENTES!$B$409&lt;&gt;"","POR RECOGER","")</f>
        <v/>
      </c>
      <c r="L415" s="46" t="str">
        <f aca="false">IF(_PENDIENTES!$B$409&lt;&gt;"",_PENDIENTES!$K$409,"")</f>
        <v/>
      </c>
      <c r="M415" s="89" t="str">
        <f aca="false">IF(_PENDIENTES!$B$409&lt;&gt;"",_PENDIENTES!$B$409,"")</f>
        <v/>
      </c>
      <c r="N415" s="109" t="str">
        <f aca="false">IF(_PENDIENTES!$B$409&lt;&gt;"",_PENDIENTES!$L$409,"")</f>
        <v/>
      </c>
      <c r="O415" s="89"/>
      <c r="P415" s="89"/>
      <c r="Q415" s="89"/>
      <c r="R415" s="89"/>
      <c r="S415" s="89"/>
    </row>
    <row r="416" customFormat="false" ht="15.75" hidden="true" customHeight="true" outlineLevel="0" collapsed="false">
      <c r="A416" s="106" t="str">
        <f aca="false">IF(_PENDIENTES!$B$410&lt;&gt;"",409,"")</f>
        <v/>
      </c>
      <c r="B416" s="47" t="str">
        <f aca="false">IF(_PENDIENTES!$B$410&lt;&gt;"",_PENDIENTES!$A$410,"")</f>
        <v/>
      </c>
      <c r="C416" s="107" t="str">
        <f aca="false">IF(_PENDIENTES!$B$410&lt;&gt;"",_PENDIENTES!$C$410,"")</f>
        <v/>
      </c>
      <c r="D416" s="106" t="str">
        <f aca="false">IF(_PENDIENTES!$B$410&lt;&gt;"",_PENDIENTES!$D$410,"")</f>
        <v/>
      </c>
      <c r="E416" s="111" t="str">
        <f aca="false">IF(_PENDIENTES!$B$410&lt;&gt;"",_PENDIENTES!$E$410,"")</f>
        <v/>
      </c>
      <c r="F416" s="106" t="str">
        <f aca="false">IF(_PENDIENTES!$B$410&lt;&gt;"",_PENDIENTES!$F$410,"")</f>
        <v/>
      </c>
      <c r="G416" s="50" t="str">
        <f aca="false">IF(_PENDIENTES!$B$410&lt;&gt;"",_PENDIENTES!$G$410,"")</f>
        <v/>
      </c>
      <c r="H416" s="50" t="str">
        <f aca="false">IF(_PENDIENTES!$B$410&lt;&gt;"",_PENDIENTES!$H$410,"")</f>
        <v/>
      </c>
      <c r="I416" s="107" t="str">
        <f aca="false">IF(_PENDIENTES!$B$410&lt;&gt;"",_PENDIENTES!$I$410,"")</f>
        <v/>
      </c>
      <c r="J416" s="106" t="str">
        <f aca="false">IF(_PENDIENTES!$B$410&lt;&gt;"",_PENDIENTES!$J$410,"")</f>
        <v/>
      </c>
      <c r="K416" s="106" t="str">
        <f aca="false">IF(_PENDIENTES!$B$410&lt;&gt;"","POR RECOGER","")</f>
        <v/>
      </c>
      <c r="L416" s="106" t="str">
        <f aca="false">IF(_PENDIENTES!$B$410&lt;&gt;"",_PENDIENTES!$K$410,"")</f>
        <v/>
      </c>
      <c r="M416" s="89" t="str">
        <f aca="false">IF(_PENDIENTES!$B$410&lt;&gt;"",_PENDIENTES!$B$410,"")</f>
        <v/>
      </c>
      <c r="N416" s="109" t="str">
        <f aca="false">IF(_PENDIENTES!$B$410&lt;&gt;"",_PENDIENTES!$L$410,"")</f>
        <v/>
      </c>
      <c r="O416" s="89"/>
      <c r="P416" s="89"/>
      <c r="Q416" s="89"/>
      <c r="R416" s="89"/>
      <c r="S416" s="89"/>
    </row>
    <row r="417" customFormat="false" ht="15.75" hidden="true" customHeight="true" outlineLevel="0" collapsed="false">
      <c r="A417" s="46" t="str">
        <f aca="false">IF(_PENDIENTES!$B$411&lt;&gt;"",410,"")</f>
        <v/>
      </c>
      <c r="B417" s="41" t="str">
        <f aca="false">IF(_PENDIENTES!$B$411&lt;&gt;"",_PENDIENTES!$A$411,"")</f>
        <v/>
      </c>
      <c r="C417" s="110" t="str">
        <f aca="false">IF(_PENDIENTES!$B$411&lt;&gt;"",_PENDIENTES!$C$411,"")</f>
        <v/>
      </c>
      <c r="D417" s="46" t="str">
        <f aca="false">IF(_PENDIENTES!$B$411&lt;&gt;"",_PENDIENTES!$D$411,"")</f>
        <v/>
      </c>
      <c r="E417" s="112" t="str">
        <f aca="false">IF(_PENDIENTES!$B$411&lt;&gt;"",_PENDIENTES!$E$411,"")</f>
        <v/>
      </c>
      <c r="F417" s="46" t="str">
        <f aca="false">IF(_PENDIENTES!$B$411&lt;&gt;"",_PENDIENTES!$F$411,"")</f>
        <v/>
      </c>
      <c r="G417" s="44" t="str">
        <f aca="false">IF(_PENDIENTES!$B$411&lt;&gt;"",_PENDIENTES!$G$411,"")</f>
        <v/>
      </c>
      <c r="H417" s="44" t="str">
        <f aca="false">IF(_PENDIENTES!$B$411&lt;&gt;"",_PENDIENTES!$H$411,"")</f>
        <v/>
      </c>
      <c r="I417" s="110" t="str">
        <f aca="false">IF(_PENDIENTES!$B$411&lt;&gt;"",_PENDIENTES!$I$411,"")</f>
        <v/>
      </c>
      <c r="J417" s="46" t="str">
        <f aca="false">IF(_PENDIENTES!$B$411&lt;&gt;"",_PENDIENTES!$J$411,"")</f>
        <v/>
      </c>
      <c r="K417" s="46" t="str">
        <f aca="false">IF(_PENDIENTES!$B$411&lt;&gt;"","POR RECOGER","")</f>
        <v/>
      </c>
      <c r="L417" s="46" t="str">
        <f aca="false">IF(_PENDIENTES!$B$411&lt;&gt;"",_PENDIENTES!$K$411,"")</f>
        <v/>
      </c>
      <c r="M417" s="89" t="str">
        <f aca="false">IF(_PENDIENTES!$B$411&lt;&gt;"",_PENDIENTES!$B$411,"")</f>
        <v/>
      </c>
      <c r="N417" s="109" t="str">
        <f aca="false">IF(_PENDIENTES!$B$411&lt;&gt;"",_PENDIENTES!$L$411,"")</f>
        <v/>
      </c>
      <c r="O417" s="89"/>
      <c r="P417" s="89"/>
      <c r="Q417" s="89"/>
      <c r="R417" s="89"/>
      <c r="S417" s="89"/>
    </row>
    <row r="418" customFormat="false" ht="15.75" hidden="true" customHeight="true" outlineLevel="0" collapsed="false">
      <c r="A418" s="106" t="str">
        <f aca="false">IF(_PENDIENTES!$B$412&lt;&gt;"",411,"")</f>
        <v/>
      </c>
      <c r="B418" s="47" t="str">
        <f aca="false">IF(_PENDIENTES!$B$412&lt;&gt;"",_PENDIENTES!$A$412,"")</f>
        <v/>
      </c>
      <c r="C418" s="107" t="str">
        <f aca="false">IF(_PENDIENTES!$B$412&lt;&gt;"",_PENDIENTES!$C$412,"")</f>
        <v/>
      </c>
      <c r="D418" s="106" t="str">
        <f aca="false">IF(_PENDIENTES!$B$412&lt;&gt;"",_PENDIENTES!$D$412,"")</f>
        <v/>
      </c>
      <c r="E418" s="111" t="str">
        <f aca="false">IF(_PENDIENTES!$B$412&lt;&gt;"",_PENDIENTES!$E$412,"")</f>
        <v/>
      </c>
      <c r="F418" s="106" t="str">
        <f aca="false">IF(_PENDIENTES!$B$412&lt;&gt;"",_PENDIENTES!$F$412,"")</f>
        <v/>
      </c>
      <c r="G418" s="50" t="str">
        <f aca="false">IF(_PENDIENTES!$B$412&lt;&gt;"",_PENDIENTES!$G$412,"")</f>
        <v/>
      </c>
      <c r="H418" s="50" t="str">
        <f aca="false">IF(_PENDIENTES!$B$412&lt;&gt;"",_PENDIENTES!$H$412,"")</f>
        <v/>
      </c>
      <c r="I418" s="107" t="str">
        <f aca="false">IF(_PENDIENTES!$B$412&lt;&gt;"",_PENDIENTES!$I$412,"")</f>
        <v/>
      </c>
      <c r="J418" s="106" t="str">
        <f aca="false">IF(_PENDIENTES!$B$412&lt;&gt;"",_PENDIENTES!$J$412,"")</f>
        <v/>
      </c>
      <c r="K418" s="106" t="str">
        <f aca="false">IF(_PENDIENTES!$B$412&lt;&gt;"","POR RECOGER","")</f>
        <v/>
      </c>
      <c r="L418" s="106" t="str">
        <f aca="false">IF(_PENDIENTES!$B$412&lt;&gt;"",_PENDIENTES!$K$412,"")</f>
        <v/>
      </c>
      <c r="M418" s="89" t="str">
        <f aca="false">IF(_PENDIENTES!$B$412&lt;&gt;"",_PENDIENTES!$B$412,"")</f>
        <v/>
      </c>
      <c r="N418" s="109" t="str">
        <f aca="false">IF(_PENDIENTES!$B$412&lt;&gt;"",_PENDIENTES!$L$412,"")</f>
        <v/>
      </c>
      <c r="O418" s="89"/>
      <c r="P418" s="89"/>
      <c r="Q418" s="89"/>
      <c r="R418" s="89"/>
      <c r="S418" s="89"/>
    </row>
    <row r="419" customFormat="false" ht="15.75" hidden="true" customHeight="true" outlineLevel="0" collapsed="false">
      <c r="A419" s="46" t="str">
        <f aca="false">IF(_PENDIENTES!$B$413&lt;&gt;"",412,"")</f>
        <v/>
      </c>
      <c r="B419" s="41" t="str">
        <f aca="false">IF(_PENDIENTES!$B$413&lt;&gt;"",_PENDIENTES!$A$413,"")</f>
        <v/>
      </c>
      <c r="C419" s="110" t="str">
        <f aca="false">IF(_PENDIENTES!$B$413&lt;&gt;"",_PENDIENTES!$C$413,"")</f>
        <v/>
      </c>
      <c r="D419" s="46" t="str">
        <f aca="false">IF(_PENDIENTES!$B$413&lt;&gt;"",_PENDIENTES!$D$413,"")</f>
        <v/>
      </c>
      <c r="E419" s="112" t="str">
        <f aca="false">IF(_PENDIENTES!$B$413&lt;&gt;"",_PENDIENTES!$E$413,"")</f>
        <v/>
      </c>
      <c r="F419" s="46" t="str">
        <f aca="false">IF(_PENDIENTES!$B$413&lt;&gt;"",_PENDIENTES!$F$413,"")</f>
        <v/>
      </c>
      <c r="G419" s="44" t="str">
        <f aca="false">IF(_PENDIENTES!$B$413&lt;&gt;"",_PENDIENTES!$G$413,"")</f>
        <v/>
      </c>
      <c r="H419" s="44" t="str">
        <f aca="false">IF(_PENDIENTES!$B$413&lt;&gt;"",_PENDIENTES!$H$413,"")</f>
        <v/>
      </c>
      <c r="I419" s="110" t="str">
        <f aca="false">IF(_PENDIENTES!$B$413&lt;&gt;"",_PENDIENTES!$I$413,"")</f>
        <v/>
      </c>
      <c r="J419" s="46" t="str">
        <f aca="false">IF(_PENDIENTES!$B$413&lt;&gt;"",_PENDIENTES!$J$413,"")</f>
        <v/>
      </c>
      <c r="K419" s="46" t="str">
        <f aca="false">IF(_PENDIENTES!$B$413&lt;&gt;"","POR RECOGER","")</f>
        <v/>
      </c>
      <c r="L419" s="46" t="str">
        <f aca="false">IF(_PENDIENTES!$B$413&lt;&gt;"",_PENDIENTES!$K$413,"")</f>
        <v/>
      </c>
      <c r="M419" s="89" t="str">
        <f aca="false">IF(_PENDIENTES!$B$413&lt;&gt;"",_PENDIENTES!$B$413,"")</f>
        <v/>
      </c>
      <c r="N419" s="109" t="str">
        <f aca="false">IF(_PENDIENTES!$B$413&lt;&gt;"",_PENDIENTES!$L$413,"")</f>
        <v/>
      </c>
      <c r="O419" s="89"/>
      <c r="P419" s="89"/>
      <c r="Q419" s="89"/>
      <c r="R419" s="89"/>
      <c r="S419" s="89"/>
    </row>
    <row r="420" customFormat="false" ht="15.75" hidden="true" customHeight="true" outlineLevel="0" collapsed="false">
      <c r="A420" s="106" t="str">
        <f aca="false">IF(_PENDIENTES!$B$414&lt;&gt;"",413,"")</f>
        <v/>
      </c>
      <c r="B420" s="47" t="str">
        <f aca="false">IF(_PENDIENTES!$B$414&lt;&gt;"",_PENDIENTES!$A$414,"")</f>
        <v/>
      </c>
      <c r="C420" s="107" t="str">
        <f aca="false">IF(_PENDIENTES!$B$414&lt;&gt;"",_PENDIENTES!$C$414,"")</f>
        <v/>
      </c>
      <c r="D420" s="106" t="str">
        <f aca="false">IF(_PENDIENTES!$B$414&lt;&gt;"",_PENDIENTES!$D$414,"")</f>
        <v/>
      </c>
      <c r="E420" s="111" t="str">
        <f aca="false">IF(_PENDIENTES!$B$414&lt;&gt;"",_PENDIENTES!$E$414,"")</f>
        <v/>
      </c>
      <c r="F420" s="106" t="str">
        <f aca="false">IF(_PENDIENTES!$B$414&lt;&gt;"",_PENDIENTES!$F$414,"")</f>
        <v/>
      </c>
      <c r="G420" s="50" t="str">
        <f aca="false">IF(_PENDIENTES!$B$414&lt;&gt;"",_PENDIENTES!$G$414,"")</f>
        <v/>
      </c>
      <c r="H420" s="50" t="str">
        <f aca="false">IF(_PENDIENTES!$B$414&lt;&gt;"",_PENDIENTES!$H$414,"")</f>
        <v/>
      </c>
      <c r="I420" s="107" t="str">
        <f aca="false">IF(_PENDIENTES!$B$414&lt;&gt;"",_PENDIENTES!$I$414,"")</f>
        <v/>
      </c>
      <c r="J420" s="106" t="str">
        <f aca="false">IF(_PENDIENTES!$B$414&lt;&gt;"",_PENDIENTES!$J$414,"")</f>
        <v/>
      </c>
      <c r="K420" s="106" t="str">
        <f aca="false">IF(_PENDIENTES!$B$414&lt;&gt;"","POR RECOGER","")</f>
        <v/>
      </c>
      <c r="L420" s="106" t="str">
        <f aca="false">IF(_PENDIENTES!$B$414&lt;&gt;"",_PENDIENTES!$K$414,"")</f>
        <v/>
      </c>
      <c r="M420" s="89" t="str">
        <f aca="false">IF(_PENDIENTES!$B$414&lt;&gt;"",_PENDIENTES!$B$414,"")</f>
        <v/>
      </c>
      <c r="N420" s="109" t="str">
        <f aca="false">IF(_PENDIENTES!$B$414&lt;&gt;"",_PENDIENTES!$L$414,"")</f>
        <v/>
      </c>
      <c r="O420" s="89"/>
      <c r="P420" s="89"/>
      <c r="Q420" s="89"/>
      <c r="R420" s="89"/>
      <c r="S420" s="89"/>
    </row>
    <row r="421" customFormat="false" ht="15.75" hidden="true" customHeight="true" outlineLevel="0" collapsed="false">
      <c r="A421" s="46" t="str">
        <f aca="false">IF(_PENDIENTES!$B$415&lt;&gt;"",414,"")</f>
        <v/>
      </c>
      <c r="B421" s="41" t="str">
        <f aca="false">IF(_PENDIENTES!$B$415&lt;&gt;"",_PENDIENTES!$A$415,"")</f>
        <v/>
      </c>
      <c r="C421" s="110" t="str">
        <f aca="false">IF(_PENDIENTES!$B$415&lt;&gt;"",_PENDIENTES!$C$415,"")</f>
        <v/>
      </c>
      <c r="D421" s="46" t="str">
        <f aca="false">IF(_PENDIENTES!$B$415&lt;&gt;"",_PENDIENTES!$D$415,"")</f>
        <v/>
      </c>
      <c r="E421" s="112" t="str">
        <f aca="false">IF(_PENDIENTES!$B$415&lt;&gt;"",_PENDIENTES!$E$415,"")</f>
        <v/>
      </c>
      <c r="F421" s="46" t="str">
        <f aca="false">IF(_PENDIENTES!$B$415&lt;&gt;"",_PENDIENTES!$F$415,"")</f>
        <v/>
      </c>
      <c r="G421" s="44" t="str">
        <f aca="false">IF(_PENDIENTES!$B$415&lt;&gt;"",_PENDIENTES!$G$415,"")</f>
        <v/>
      </c>
      <c r="H421" s="44" t="str">
        <f aca="false">IF(_PENDIENTES!$B$415&lt;&gt;"",_PENDIENTES!$H$415,"")</f>
        <v/>
      </c>
      <c r="I421" s="110" t="str">
        <f aca="false">IF(_PENDIENTES!$B$415&lt;&gt;"",_PENDIENTES!$I$415,"")</f>
        <v/>
      </c>
      <c r="J421" s="46" t="str">
        <f aca="false">IF(_PENDIENTES!$B$415&lt;&gt;"",_PENDIENTES!$J$415,"")</f>
        <v/>
      </c>
      <c r="K421" s="46" t="str">
        <f aca="false">IF(_PENDIENTES!$B$415&lt;&gt;"","POR RECOGER","")</f>
        <v/>
      </c>
      <c r="L421" s="46" t="str">
        <f aca="false">IF(_PENDIENTES!$B$415&lt;&gt;"",_PENDIENTES!$K$415,"")</f>
        <v/>
      </c>
      <c r="M421" s="89" t="str">
        <f aca="false">IF(_PENDIENTES!$B$415&lt;&gt;"",_PENDIENTES!$B$415,"")</f>
        <v/>
      </c>
      <c r="N421" s="109" t="str">
        <f aca="false">IF(_PENDIENTES!$B$415&lt;&gt;"",_PENDIENTES!$L$415,"")</f>
        <v/>
      </c>
      <c r="O421" s="89"/>
      <c r="P421" s="89"/>
      <c r="Q421" s="89"/>
      <c r="R421" s="89"/>
      <c r="S421" s="89"/>
    </row>
    <row r="422" customFormat="false" ht="15.75" hidden="true" customHeight="true" outlineLevel="0" collapsed="false">
      <c r="A422" s="106" t="str">
        <f aca="false">IF(_PENDIENTES!$B$416&lt;&gt;"",415,"")</f>
        <v/>
      </c>
      <c r="B422" s="47" t="str">
        <f aca="false">IF(_PENDIENTES!$B$416&lt;&gt;"",_PENDIENTES!$A$416,"")</f>
        <v/>
      </c>
      <c r="C422" s="107" t="str">
        <f aca="false">IF(_PENDIENTES!$B$416&lt;&gt;"",_PENDIENTES!$C$416,"")</f>
        <v/>
      </c>
      <c r="D422" s="106" t="str">
        <f aca="false">IF(_PENDIENTES!$B$416&lt;&gt;"",_PENDIENTES!$D$416,"")</f>
        <v/>
      </c>
      <c r="E422" s="111" t="str">
        <f aca="false">IF(_PENDIENTES!$B$416&lt;&gt;"",_PENDIENTES!$E$416,"")</f>
        <v/>
      </c>
      <c r="F422" s="106" t="str">
        <f aca="false">IF(_PENDIENTES!$B$416&lt;&gt;"",_PENDIENTES!$F$416,"")</f>
        <v/>
      </c>
      <c r="G422" s="50" t="str">
        <f aca="false">IF(_PENDIENTES!$B$416&lt;&gt;"",_PENDIENTES!$G$416,"")</f>
        <v/>
      </c>
      <c r="H422" s="50" t="str">
        <f aca="false">IF(_PENDIENTES!$B$416&lt;&gt;"",_PENDIENTES!$H$416,"")</f>
        <v/>
      </c>
      <c r="I422" s="107" t="str">
        <f aca="false">IF(_PENDIENTES!$B$416&lt;&gt;"",_PENDIENTES!$I$416,"")</f>
        <v/>
      </c>
      <c r="J422" s="106" t="str">
        <f aca="false">IF(_PENDIENTES!$B$416&lt;&gt;"",_PENDIENTES!$J$416,"")</f>
        <v/>
      </c>
      <c r="K422" s="106" t="str">
        <f aca="false">IF(_PENDIENTES!$B$416&lt;&gt;"","POR RECOGER","")</f>
        <v/>
      </c>
      <c r="L422" s="106" t="str">
        <f aca="false">IF(_PENDIENTES!$B$416&lt;&gt;"",_PENDIENTES!$K$416,"")</f>
        <v/>
      </c>
      <c r="M422" s="89" t="str">
        <f aca="false">IF(_PENDIENTES!$B$416&lt;&gt;"",_PENDIENTES!$B$416,"")</f>
        <v/>
      </c>
      <c r="N422" s="109" t="str">
        <f aca="false">IF(_PENDIENTES!$B$416&lt;&gt;"",_PENDIENTES!$L$416,"")</f>
        <v/>
      </c>
      <c r="O422" s="89"/>
      <c r="P422" s="89"/>
      <c r="Q422" s="89"/>
      <c r="R422" s="89"/>
      <c r="S422" s="89"/>
    </row>
    <row r="423" customFormat="false" ht="15.75" hidden="true" customHeight="true" outlineLevel="0" collapsed="false">
      <c r="A423" s="46" t="str">
        <f aca="false">IF(_PENDIENTES!$B$417&lt;&gt;"",416,"")</f>
        <v/>
      </c>
      <c r="B423" s="41" t="str">
        <f aca="false">IF(_PENDIENTES!$B$417&lt;&gt;"",_PENDIENTES!$A$417,"")</f>
        <v/>
      </c>
      <c r="C423" s="110" t="str">
        <f aca="false">IF(_PENDIENTES!$B$417&lt;&gt;"",_PENDIENTES!$C$417,"")</f>
        <v/>
      </c>
      <c r="D423" s="46" t="str">
        <f aca="false">IF(_PENDIENTES!$B$417&lt;&gt;"",_PENDIENTES!$D$417,"")</f>
        <v/>
      </c>
      <c r="E423" s="112" t="str">
        <f aca="false">IF(_PENDIENTES!$B$417&lt;&gt;"",_PENDIENTES!$E$417,"")</f>
        <v/>
      </c>
      <c r="F423" s="46" t="str">
        <f aca="false">IF(_PENDIENTES!$B$417&lt;&gt;"",_PENDIENTES!$F$417,"")</f>
        <v/>
      </c>
      <c r="G423" s="44" t="str">
        <f aca="false">IF(_PENDIENTES!$B$417&lt;&gt;"",_PENDIENTES!$G$417,"")</f>
        <v/>
      </c>
      <c r="H423" s="44" t="str">
        <f aca="false">IF(_PENDIENTES!$B$417&lt;&gt;"",_PENDIENTES!$H$417,"")</f>
        <v/>
      </c>
      <c r="I423" s="110" t="str">
        <f aca="false">IF(_PENDIENTES!$B$417&lt;&gt;"",_PENDIENTES!$I$417,"")</f>
        <v/>
      </c>
      <c r="J423" s="46" t="str">
        <f aca="false">IF(_PENDIENTES!$B$417&lt;&gt;"",_PENDIENTES!$J$417,"")</f>
        <v/>
      </c>
      <c r="K423" s="46" t="str">
        <f aca="false">IF(_PENDIENTES!$B$417&lt;&gt;"","POR RECOGER","")</f>
        <v/>
      </c>
      <c r="L423" s="46" t="str">
        <f aca="false">IF(_PENDIENTES!$B$417&lt;&gt;"",_PENDIENTES!$K$417,"")</f>
        <v/>
      </c>
      <c r="M423" s="89" t="str">
        <f aca="false">IF(_PENDIENTES!$B$417&lt;&gt;"",_PENDIENTES!$B$417,"")</f>
        <v/>
      </c>
      <c r="N423" s="109" t="str">
        <f aca="false">IF(_PENDIENTES!$B$417&lt;&gt;"",_PENDIENTES!$L$417,"")</f>
        <v/>
      </c>
      <c r="O423" s="89"/>
      <c r="P423" s="89"/>
      <c r="Q423" s="89"/>
      <c r="R423" s="89"/>
      <c r="S423" s="89"/>
    </row>
    <row r="424" customFormat="false" ht="15.75" hidden="true" customHeight="true" outlineLevel="0" collapsed="false">
      <c r="A424" s="106" t="str">
        <f aca="false">IF(_PENDIENTES!$B$418&lt;&gt;"",417,"")</f>
        <v/>
      </c>
      <c r="B424" s="47" t="str">
        <f aca="false">IF(_PENDIENTES!$B$418&lt;&gt;"",_PENDIENTES!$A$418,"")</f>
        <v/>
      </c>
      <c r="C424" s="107" t="str">
        <f aca="false">IF(_PENDIENTES!$B$418&lt;&gt;"",_PENDIENTES!$C$418,"")</f>
        <v/>
      </c>
      <c r="D424" s="106" t="str">
        <f aca="false">IF(_PENDIENTES!$B$418&lt;&gt;"",_PENDIENTES!$D$418,"")</f>
        <v/>
      </c>
      <c r="E424" s="111" t="str">
        <f aca="false">IF(_PENDIENTES!$B$418&lt;&gt;"",_PENDIENTES!$E$418,"")</f>
        <v/>
      </c>
      <c r="F424" s="106" t="str">
        <f aca="false">IF(_PENDIENTES!$B$418&lt;&gt;"",_PENDIENTES!$F$418,"")</f>
        <v/>
      </c>
      <c r="G424" s="50" t="str">
        <f aca="false">IF(_PENDIENTES!$B$418&lt;&gt;"",_PENDIENTES!$G$418,"")</f>
        <v/>
      </c>
      <c r="H424" s="50" t="str">
        <f aca="false">IF(_PENDIENTES!$B$418&lt;&gt;"",_PENDIENTES!$H$418,"")</f>
        <v/>
      </c>
      <c r="I424" s="107" t="str">
        <f aca="false">IF(_PENDIENTES!$B$418&lt;&gt;"",_PENDIENTES!$I$418,"")</f>
        <v/>
      </c>
      <c r="J424" s="106" t="str">
        <f aca="false">IF(_PENDIENTES!$B$418&lt;&gt;"",_PENDIENTES!$J$418,"")</f>
        <v/>
      </c>
      <c r="K424" s="106" t="str">
        <f aca="false">IF(_PENDIENTES!$B$418&lt;&gt;"","POR RECOGER","")</f>
        <v/>
      </c>
      <c r="L424" s="106" t="str">
        <f aca="false">IF(_PENDIENTES!$B$418&lt;&gt;"",_PENDIENTES!$K$418,"")</f>
        <v/>
      </c>
      <c r="M424" s="89" t="str">
        <f aca="false">IF(_PENDIENTES!$B$418&lt;&gt;"",_PENDIENTES!$B$418,"")</f>
        <v/>
      </c>
      <c r="N424" s="109" t="str">
        <f aca="false">IF(_PENDIENTES!$B$418&lt;&gt;"",_PENDIENTES!$L$418,"")</f>
        <v/>
      </c>
      <c r="O424" s="89"/>
      <c r="P424" s="89"/>
      <c r="Q424" s="89"/>
      <c r="R424" s="89"/>
      <c r="S424" s="89"/>
    </row>
    <row r="425" customFormat="false" ht="15.75" hidden="true" customHeight="true" outlineLevel="0" collapsed="false">
      <c r="A425" s="46" t="str">
        <f aca="false">IF(_PENDIENTES!$B$419&lt;&gt;"",418,"")</f>
        <v/>
      </c>
      <c r="B425" s="41" t="str">
        <f aca="false">IF(_PENDIENTES!$B$419&lt;&gt;"",_PENDIENTES!$A$419,"")</f>
        <v/>
      </c>
      <c r="C425" s="110" t="str">
        <f aca="false">IF(_PENDIENTES!$B$419&lt;&gt;"",_PENDIENTES!$C$419,"")</f>
        <v/>
      </c>
      <c r="D425" s="46" t="str">
        <f aca="false">IF(_PENDIENTES!$B$419&lt;&gt;"",_PENDIENTES!$D$419,"")</f>
        <v/>
      </c>
      <c r="E425" s="112" t="str">
        <f aca="false">IF(_PENDIENTES!$B$419&lt;&gt;"",_PENDIENTES!$E$419,"")</f>
        <v/>
      </c>
      <c r="F425" s="46" t="str">
        <f aca="false">IF(_PENDIENTES!$B$419&lt;&gt;"",_PENDIENTES!$F$419,"")</f>
        <v/>
      </c>
      <c r="G425" s="44" t="str">
        <f aca="false">IF(_PENDIENTES!$B$419&lt;&gt;"",_PENDIENTES!$G$419,"")</f>
        <v/>
      </c>
      <c r="H425" s="44" t="str">
        <f aca="false">IF(_PENDIENTES!$B$419&lt;&gt;"",_PENDIENTES!$H$419,"")</f>
        <v/>
      </c>
      <c r="I425" s="110" t="str">
        <f aca="false">IF(_PENDIENTES!$B$419&lt;&gt;"",_PENDIENTES!$I$419,"")</f>
        <v/>
      </c>
      <c r="J425" s="46" t="str">
        <f aca="false">IF(_PENDIENTES!$B$419&lt;&gt;"",_PENDIENTES!$J$419,"")</f>
        <v/>
      </c>
      <c r="K425" s="46" t="str">
        <f aca="false">IF(_PENDIENTES!$B$419&lt;&gt;"","POR RECOGER","")</f>
        <v/>
      </c>
      <c r="L425" s="46" t="str">
        <f aca="false">IF(_PENDIENTES!$B$419&lt;&gt;"",_PENDIENTES!$K$419,"")</f>
        <v/>
      </c>
      <c r="M425" s="89" t="str">
        <f aca="false">IF(_PENDIENTES!$B$419&lt;&gt;"",_PENDIENTES!$B$419,"")</f>
        <v/>
      </c>
      <c r="N425" s="109" t="str">
        <f aca="false">IF(_PENDIENTES!$B$419&lt;&gt;"",_PENDIENTES!$L$419,"")</f>
        <v/>
      </c>
      <c r="O425" s="89"/>
      <c r="P425" s="89"/>
      <c r="Q425" s="89"/>
      <c r="R425" s="89"/>
      <c r="S425" s="89"/>
    </row>
    <row r="426" customFormat="false" ht="15.75" hidden="true" customHeight="true" outlineLevel="0" collapsed="false">
      <c r="A426" s="106" t="str">
        <f aca="false">IF(_PENDIENTES!$B$420&lt;&gt;"",419,"")</f>
        <v/>
      </c>
      <c r="B426" s="47" t="str">
        <f aca="false">IF(_PENDIENTES!$B$420&lt;&gt;"",_PENDIENTES!$A$420,"")</f>
        <v/>
      </c>
      <c r="C426" s="107" t="str">
        <f aca="false">IF(_PENDIENTES!$B$420&lt;&gt;"",_PENDIENTES!$C$420,"")</f>
        <v/>
      </c>
      <c r="D426" s="106" t="str">
        <f aca="false">IF(_PENDIENTES!$B$420&lt;&gt;"",_PENDIENTES!$D$420,"")</f>
        <v/>
      </c>
      <c r="E426" s="111" t="str">
        <f aca="false">IF(_PENDIENTES!$B$420&lt;&gt;"",_PENDIENTES!$E$420,"")</f>
        <v/>
      </c>
      <c r="F426" s="106" t="str">
        <f aca="false">IF(_PENDIENTES!$B$420&lt;&gt;"",_PENDIENTES!$F$420,"")</f>
        <v/>
      </c>
      <c r="G426" s="50" t="str">
        <f aca="false">IF(_PENDIENTES!$B$420&lt;&gt;"",_PENDIENTES!$G$420,"")</f>
        <v/>
      </c>
      <c r="H426" s="50" t="str">
        <f aca="false">IF(_PENDIENTES!$B$420&lt;&gt;"",_PENDIENTES!$H$420,"")</f>
        <v/>
      </c>
      <c r="I426" s="107" t="str">
        <f aca="false">IF(_PENDIENTES!$B$420&lt;&gt;"",_PENDIENTES!$I$420,"")</f>
        <v/>
      </c>
      <c r="J426" s="106" t="str">
        <f aca="false">IF(_PENDIENTES!$B$420&lt;&gt;"",_PENDIENTES!$J$420,"")</f>
        <v/>
      </c>
      <c r="K426" s="106" t="str">
        <f aca="false">IF(_PENDIENTES!$B$420&lt;&gt;"","POR RECOGER","")</f>
        <v/>
      </c>
      <c r="L426" s="106" t="str">
        <f aca="false">IF(_PENDIENTES!$B$420&lt;&gt;"",_PENDIENTES!$K$420,"")</f>
        <v/>
      </c>
      <c r="M426" s="89" t="str">
        <f aca="false">IF(_PENDIENTES!$B$420&lt;&gt;"",_PENDIENTES!$B$420,"")</f>
        <v/>
      </c>
      <c r="N426" s="109" t="str">
        <f aca="false">IF(_PENDIENTES!$B$420&lt;&gt;"",_PENDIENTES!$L$420,"")</f>
        <v/>
      </c>
      <c r="O426" s="89"/>
      <c r="P426" s="89"/>
      <c r="Q426" s="89"/>
      <c r="R426" s="89"/>
      <c r="S426" s="89"/>
    </row>
    <row r="427" customFormat="false" ht="15.75" hidden="true" customHeight="true" outlineLevel="0" collapsed="false">
      <c r="A427" s="46" t="str">
        <f aca="false">IF(_PENDIENTES!$B$421&lt;&gt;"",420,"")</f>
        <v/>
      </c>
      <c r="B427" s="41" t="str">
        <f aca="false">IF(_PENDIENTES!$B$421&lt;&gt;"",_PENDIENTES!$A$421,"")</f>
        <v/>
      </c>
      <c r="C427" s="110" t="str">
        <f aca="false">IF(_PENDIENTES!$B$421&lt;&gt;"",_PENDIENTES!$C$421,"")</f>
        <v/>
      </c>
      <c r="D427" s="46" t="str">
        <f aca="false">IF(_PENDIENTES!$B$421&lt;&gt;"",_PENDIENTES!$D$421,"")</f>
        <v/>
      </c>
      <c r="E427" s="112" t="str">
        <f aca="false">IF(_PENDIENTES!$B$421&lt;&gt;"",_PENDIENTES!$E$421,"")</f>
        <v/>
      </c>
      <c r="F427" s="46" t="str">
        <f aca="false">IF(_PENDIENTES!$B$421&lt;&gt;"",_PENDIENTES!$F$421,"")</f>
        <v/>
      </c>
      <c r="G427" s="44" t="str">
        <f aca="false">IF(_PENDIENTES!$B$421&lt;&gt;"",_PENDIENTES!$G$421,"")</f>
        <v/>
      </c>
      <c r="H427" s="44" t="str">
        <f aca="false">IF(_PENDIENTES!$B$421&lt;&gt;"",_PENDIENTES!$H$421,"")</f>
        <v/>
      </c>
      <c r="I427" s="110" t="str">
        <f aca="false">IF(_PENDIENTES!$B$421&lt;&gt;"",_PENDIENTES!$I$421,"")</f>
        <v/>
      </c>
      <c r="J427" s="46" t="str">
        <f aca="false">IF(_PENDIENTES!$B$421&lt;&gt;"",_PENDIENTES!$J$421,"")</f>
        <v/>
      </c>
      <c r="K427" s="46" t="str">
        <f aca="false">IF(_PENDIENTES!$B$421&lt;&gt;"","POR RECOGER","")</f>
        <v/>
      </c>
      <c r="L427" s="46" t="str">
        <f aca="false">IF(_PENDIENTES!$B$421&lt;&gt;"",_PENDIENTES!$K$421,"")</f>
        <v/>
      </c>
      <c r="M427" s="89" t="str">
        <f aca="false">IF(_PENDIENTES!$B$421&lt;&gt;"",_PENDIENTES!$B$421,"")</f>
        <v/>
      </c>
      <c r="N427" s="109" t="str">
        <f aca="false">IF(_PENDIENTES!$B$421&lt;&gt;"",_PENDIENTES!$L$421,"")</f>
        <v/>
      </c>
      <c r="O427" s="89"/>
      <c r="P427" s="89"/>
      <c r="Q427" s="89"/>
      <c r="R427" s="89"/>
      <c r="S427" s="89"/>
    </row>
    <row r="428" customFormat="false" ht="15.75" hidden="true" customHeight="true" outlineLevel="0" collapsed="false">
      <c r="A428" s="106" t="str">
        <f aca="false">IF(_PENDIENTES!$B$422&lt;&gt;"",421,"")</f>
        <v/>
      </c>
      <c r="B428" s="47" t="str">
        <f aca="false">IF(_PENDIENTES!$B$422&lt;&gt;"",_PENDIENTES!$A$422,"")</f>
        <v/>
      </c>
      <c r="C428" s="107" t="str">
        <f aca="false">IF(_PENDIENTES!$B$422&lt;&gt;"",_PENDIENTES!$C$422,"")</f>
        <v/>
      </c>
      <c r="D428" s="106" t="str">
        <f aca="false">IF(_PENDIENTES!$B$422&lt;&gt;"",_PENDIENTES!$D$422,"")</f>
        <v/>
      </c>
      <c r="E428" s="111" t="str">
        <f aca="false">IF(_PENDIENTES!$B$422&lt;&gt;"",_PENDIENTES!$E$422,"")</f>
        <v/>
      </c>
      <c r="F428" s="106" t="str">
        <f aca="false">IF(_PENDIENTES!$B$422&lt;&gt;"",_PENDIENTES!$F$422,"")</f>
        <v/>
      </c>
      <c r="G428" s="50" t="str">
        <f aca="false">IF(_PENDIENTES!$B$422&lt;&gt;"",_PENDIENTES!$G$422,"")</f>
        <v/>
      </c>
      <c r="H428" s="50" t="str">
        <f aca="false">IF(_PENDIENTES!$B$422&lt;&gt;"",_PENDIENTES!$H$422,"")</f>
        <v/>
      </c>
      <c r="I428" s="107" t="str">
        <f aca="false">IF(_PENDIENTES!$B$422&lt;&gt;"",_PENDIENTES!$I$422,"")</f>
        <v/>
      </c>
      <c r="J428" s="106" t="str">
        <f aca="false">IF(_PENDIENTES!$B$422&lt;&gt;"",_PENDIENTES!$J$422,"")</f>
        <v/>
      </c>
      <c r="K428" s="106" t="str">
        <f aca="false">IF(_PENDIENTES!$B$422&lt;&gt;"","POR RECOGER","")</f>
        <v/>
      </c>
      <c r="L428" s="106" t="str">
        <f aca="false">IF(_PENDIENTES!$B$422&lt;&gt;"",_PENDIENTES!$K$422,"")</f>
        <v/>
      </c>
      <c r="M428" s="89" t="str">
        <f aca="false">IF(_PENDIENTES!$B$422&lt;&gt;"",_PENDIENTES!$B$422,"")</f>
        <v/>
      </c>
      <c r="N428" s="109" t="str">
        <f aca="false">IF(_PENDIENTES!$B$422&lt;&gt;"",_PENDIENTES!$L$422,"")</f>
        <v/>
      </c>
      <c r="O428" s="89"/>
      <c r="P428" s="89"/>
      <c r="Q428" s="89"/>
      <c r="R428" s="89"/>
      <c r="S428" s="89"/>
    </row>
    <row r="429" customFormat="false" ht="15.75" hidden="true" customHeight="true" outlineLevel="0" collapsed="false">
      <c r="A429" s="46" t="str">
        <f aca="false">IF(_PENDIENTES!$B$423&lt;&gt;"",422,"")</f>
        <v/>
      </c>
      <c r="B429" s="41" t="str">
        <f aca="false">IF(_PENDIENTES!$B$423&lt;&gt;"",_PENDIENTES!$A$423,"")</f>
        <v/>
      </c>
      <c r="C429" s="110" t="str">
        <f aca="false">IF(_PENDIENTES!$B$423&lt;&gt;"",_PENDIENTES!$C$423,"")</f>
        <v/>
      </c>
      <c r="D429" s="46" t="str">
        <f aca="false">IF(_PENDIENTES!$B$423&lt;&gt;"",_PENDIENTES!$D$423,"")</f>
        <v/>
      </c>
      <c r="E429" s="112" t="str">
        <f aca="false">IF(_PENDIENTES!$B$423&lt;&gt;"",_PENDIENTES!$E$423,"")</f>
        <v/>
      </c>
      <c r="F429" s="46" t="str">
        <f aca="false">IF(_PENDIENTES!$B$423&lt;&gt;"",_PENDIENTES!$F$423,"")</f>
        <v/>
      </c>
      <c r="G429" s="44" t="str">
        <f aca="false">IF(_PENDIENTES!$B$423&lt;&gt;"",_PENDIENTES!$G$423,"")</f>
        <v/>
      </c>
      <c r="H429" s="44" t="str">
        <f aca="false">IF(_PENDIENTES!$B$423&lt;&gt;"",_PENDIENTES!$H$423,"")</f>
        <v/>
      </c>
      <c r="I429" s="110" t="str">
        <f aca="false">IF(_PENDIENTES!$B$423&lt;&gt;"",_PENDIENTES!$I$423,"")</f>
        <v/>
      </c>
      <c r="J429" s="46" t="str">
        <f aca="false">IF(_PENDIENTES!$B$423&lt;&gt;"",_PENDIENTES!$J$423,"")</f>
        <v/>
      </c>
      <c r="K429" s="46" t="str">
        <f aca="false">IF(_PENDIENTES!$B$423&lt;&gt;"","POR RECOGER","")</f>
        <v/>
      </c>
      <c r="L429" s="46" t="str">
        <f aca="false">IF(_PENDIENTES!$B$423&lt;&gt;"",_PENDIENTES!$K$423,"")</f>
        <v/>
      </c>
      <c r="M429" s="89" t="str">
        <f aca="false">IF(_PENDIENTES!$B$423&lt;&gt;"",_PENDIENTES!$B$423,"")</f>
        <v/>
      </c>
      <c r="N429" s="109" t="str">
        <f aca="false">IF(_PENDIENTES!$B$423&lt;&gt;"",_PENDIENTES!$L$423,"")</f>
        <v/>
      </c>
      <c r="O429" s="89"/>
      <c r="P429" s="89"/>
      <c r="Q429" s="89"/>
      <c r="R429" s="89"/>
      <c r="S429" s="89"/>
    </row>
    <row r="430" customFormat="false" ht="15.75" hidden="true" customHeight="true" outlineLevel="0" collapsed="false">
      <c r="A430" s="106" t="str">
        <f aca="false">IF(_PENDIENTES!$B$424&lt;&gt;"",423,"")</f>
        <v/>
      </c>
      <c r="B430" s="47" t="str">
        <f aca="false">IF(_PENDIENTES!$B$424&lt;&gt;"",_PENDIENTES!$A$424,"")</f>
        <v/>
      </c>
      <c r="C430" s="107" t="str">
        <f aca="false">IF(_PENDIENTES!$B$424&lt;&gt;"",_PENDIENTES!$C$424,"")</f>
        <v/>
      </c>
      <c r="D430" s="106" t="str">
        <f aca="false">IF(_PENDIENTES!$B$424&lt;&gt;"",_PENDIENTES!$D$424,"")</f>
        <v/>
      </c>
      <c r="E430" s="111" t="str">
        <f aca="false">IF(_PENDIENTES!$B$424&lt;&gt;"",_PENDIENTES!$E$424,"")</f>
        <v/>
      </c>
      <c r="F430" s="106" t="str">
        <f aca="false">IF(_PENDIENTES!$B$424&lt;&gt;"",_PENDIENTES!$F$424,"")</f>
        <v/>
      </c>
      <c r="G430" s="50" t="str">
        <f aca="false">IF(_PENDIENTES!$B$424&lt;&gt;"",_PENDIENTES!$G$424,"")</f>
        <v/>
      </c>
      <c r="H430" s="50" t="str">
        <f aca="false">IF(_PENDIENTES!$B$424&lt;&gt;"",_PENDIENTES!$H$424,"")</f>
        <v/>
      </c>
      <c r="I430" s="107" t="str">
        <f aca="false">IF(_PENDIENTES!$B$424&lt;&gt;"",_PENDIENTES!$I$424,"")</f>
        <v/>
      </c>
      <c r="J430" s="106" t="str">
        <f aca="false">IF(_PENDIENTES!$B$424&lt;&gt;"",_PENDIENTES!$J$424,"")</f>
        <v/>
      </c>
      <c r="K430" s="106" t="str">
        <f aca="false">IF(_PENDIENTES!$B$424&lt;&gt;"","POR RECOGER","")</f>
        <v/>
      </c>
      <c r="L430" s="106" t="str">
        <f aca="false">IF(_PENDIENTES!$B$424&lt;&gt;"",_PENDIENTES!$K$424,"")</f>
        <v/>
      </c>
      <c r="M430" s="89" t="str">
        <f aca="false">IF(_PENDIENTES!$B$424&lt;&gt;"",_PENDIENTES!$B$424,"")</f>
        <v/>
      </c>
      <c r="N430" s="109" t="str">
        <f aca="false">IF(_PENDIENTES!$B$424&lt;&gt;"",_PENDIENTES!$L$424,"")</f>
        <v/>
      </c>
      <c r="O430" s="89"/>
      <c r="P430" s="89"/>
      <c r="Q430" s="89"/>
      <c r="R430" s="89"/>
      <c r="S430" s="89"/>
    </row>
    <row r="431" customFormat="false" ht="15.75" hidden="true" customHeight="true" outlineLevel="0" collapsed="false">
      <c r="A431" s="46" t="str">
        <f aca="false">IF(_PENDIENTES!$B$425&lt;&gt;"",424,"")</f>
        <v/>
      </c>
      <c r="B431" s="41" t="str">
        <f aca="false">IF(_PENDIENTES!$B$425&lt;&gt;"",_PENDIENTES!$A$425,"")</f>
        <v/>
      </c>
      <c r="C431" s="110" t="str">
        <f aca="false">IF(_PENDIENTES!$B$425&lt;&gt;"",_PENDIENTES!$C$425,"")</f>
        <v/>
      </c>
      <c r="D431" s="46" t="str">
        <f aca="false">IF(_PENDIENTES!$B$425&lt;&gt;"",_PENDIENTES!$D$425,"")</f>
        <v/>
      </c>
      <c r="E431" s="112" t="str">
        <f aca="false">IF(_PENDIENTES!$B$425&lt;&gt;"",_PENDIENTES!$E$425,"")</f>
        <v/>
      </c>
      <c r="F431" s="46" t="str">
        <f aca="false">IF(_PENDIENTES!$B$425&lt;&gt;"",_PENDIENTES!$F$425,"")</f>
        <v/>
      </c>
      <c r="G431" s="44" t="str">
        <f aca="false">IF(_PENDIENTES!$B$425&lt;&gt;"",_PENDIENTES!$G$425,"")</f>
        <v/>
      </c>
      <c r="H431" s="44" t="str">
        <f aca="false">IF(_PENDIENTES!$B$425&lt;&gt;"",_PENDIENTES!$H$425,"")</f>
        <v/>
      </c>
      <c r="I431" s="110" t="str">
        <f aca="false">IF(_PENDIENTES!$B$425&lt;&gt;"",_PENDIENTES!$I$425,"")</f>
        <v/>
      </c>
      <c r="J431" s="46" t="str">
        <f aca="false">IF(_PENDIENTES!$B$425&lt;&gt;"",_PENDIENTES!$J$425,"")</f>
        <v/>
      </c>
      <c r="K431" s="46" t="str">
        <f aca="false">IF(_PENDIENTES!$B$425&lt;&gt;"","POR RECOGER","")</f>
        <v/>
      </c>
      <c r="L431" s="46" t="str">
        <f aca="false">IF(_PENDIENTES!$B$425&lt;&gt;"",_PENDIENTES!$K$425,"")</f>
        <v/>
      </c>
      <c r="M431" s="89" t="str">
        <f aca="false">IF(_PENDIENTES!$B$425&lt;&gt;"",_PENDIENTES!$B$425,"")</f>
        <v/>
      </c>
      <c r="N431" s="109" t="str">
        <f aca="false">IF(_PENDIENTES!$B$425&lt;&gt;"",_PENDIENTES!$L$425,"")</f>
        <v/>
      </c>
      <c r="O431" s="89"/>
      <c r="P431" s="89"/>
      <c r="Q431" s="89"/>
      <c r="R431" s="89"/>
      <c r="S431" s="89"/>
    </row>
    <row r="432" customFormat="false" ht="15.75" hidden="true" customHeight="true" outlineLevel="0" collapsed="false">
      <c r="A432" s="106" t="str">
        <f aca="false">IF(_PENDIENTES!$B$426&lt;&gt;"",425,"")</f>
        <v/>
      </c>
      <c r="B432" s="47" t="str">
        <f aca="false">IF(_PENDIENTES!$B$426&lt;&gt;"",_PENDIENTES!$A$426,"")</f>
        <v/>
      </c>
      <c r="C432" s="107" t="str">
        <f aca="false">IF(_PENDIENTES!$B$426&lt;&gt;"",_PENDIENTES!$C$426,"")</f>
        <v/>
      </c>
      <c r="D432" s="106" t="str">
        <f aca="false">IF(_PENDIENTES!$B$426&lt;&gt;"",_PENDIENTES!$D$426,"")</f>
        <v/>
      </c>
      <c r="E432" s="111" t="str">
        <f aca="false">IF(_PENDIENTES!$B$426&lt;&gt;"",_PENDIENTES!$E$426,"")</f>
        <v/>
      </c>
      <c r="F432" s="106" t="str">
        <f aca="false">IF(_PENDIENTES!$B$426&lt;&gt;"",_PENDIENTES!$F$426,"")</f>
        <v/>
      </c>
      <c r="G432" s="50" t="str">
        <f aca="false">IF(_PENDIENTES!$B$426&lt;&gt;"",_PENDIENTES!$G$426,"")</f>
        <v/>
      </c>
      <c r="H432" s="50" t="str">
        <f aca="false">IF(_PENDIENTES!$B$426&lt;&gt;"",_PENDIENTES!$H$426,"")</f>
        <v/>
      </c>
      <c r="I432" s="107" t="str">
        <f aca="false">IF(_PENDIENTES!$B$426&lt;&gt;"",_PENDIENTES!$I$426,"")</f>
        <v/>
      </c>
      <c r="J432" s="106" t="str">
        <f aca="false">IF(_PENDIENTES!$B$426&lt;&gt;"",_PENDIENTES!$J$426,"")</f>
        <v/>
      </c>
      <c r="K432" s="106" t="str">
        <f aca="false">IF(_PENDIENTES!$B$426&lt;&gt;"","POR RECOGER","")</f>
        <v/>
      </c>
      <c r="L432" s="106" t="str">
        <f aca="false">IF(_PENDIENTES!$B$426&lt;&gt;"",_PENDIENTES!$K$426,"")</f>
        <v/>
      </c>
      <c r="M432" s="89" t="str">
        <f aca="false">IF(_PENDIENTES!$B$426&lt;&gt;"",_PENDIENTES!$B$426,"")</f>
        <v/>
      </c>
      <c r="N432" s="109" t="str">
        <f aca="false">IF(_PENDIENTES!$B$426&lt;&gt;"",_PENDIENTES!$L$426,"")</f>
        <v/>
      </c>
      <c r="O432" s="89"/>
      <c r="P432" s="89"/>
      <c r="Q432" s="89"/>
      <c r="R432" s="89"/>
      <c r="S432" s="89"/>
    </row>
    <row r="433" customFormat="false" ht="15.75" hidden="true" customHeight="true" outlineLevel="0" collapsed="false">
      <c r="A433" s="46" t="str">
        <f aca="false">IF(_PENDIENTES!$B$427&lt;&gt;"",426,"")</f>
        <v/>
      </c>
      <c r="B433" s="41" t="str">
        <f aca="false">IF(_PENDIENTES!$B$427&lt;&gt;"",_PENDIENTES!$A$427,"")</f>
        <v/>
      </c>
      <c r="C433" s="110" t="str">
        <f aca="false">IF(_PENDIENTES!$B$427&lt;&gt;"",_PENDIENTES!$C$427,"")</f>
        <v/>
      </c>
      <c r="D433" s="46" t="str">
        <f aca="false">IF(_PENDIENTES!$B$427&lt;&gt;"",_PENDIENTES!$D$427,"")</f>
        <v/>
      </c>
      <c r="E433" s="112" t="str">
        <f aca="false">IF(_PENDIENTES!$B$427&lt;&gt;"",_PENDIENTES!$E$427,"")</f>
        <v/>
      </c>
      <c r="F433" s="46" t="str">
        <f aca="false">IF(_PENDIENTES!$B$427&lt;&gt;"",_PENDIENTES!$F$427,"")</f>
        <v/>
      </c>
      <c r="G433" s="44" t="str">
        <f aca="false">IF(_PENDIENTES!$B$427&lt;&gt;"",_PENDIENTES!$G$427,"")</f>
        <v/>
      </c>
      <c r="H433" s="44" t="str">
        <f aca="false">IF(_PENDIENTES!$B$427&lt;&gt;"",_PENDIENTES!$H$427,"")</f>
        <v/>
      </c>
      <c r="I433" s="110" t="str">
        <f aca="false">IF(_PENDIENTES!$B$427&lt;&gt;"",_PENDIENTES!$I$427,"")</f>
        <v/>
      </c>
      <c r="J433" s="46" t="str">
        <f aca="false">IF(_PENDIENTES!$B$427&lt;&gt;"",_PENDIENTES!$J$427,"")</f>
        <v/>
      </c>
      <c r="K433" s="46" t="str">
        <f aca="false">IF(_PENDIENTES!$B$427&lt;&gt;"","POR RECOGER","")</f>
        <v/>
      </c>
      <c r="L433" s="46" t="str">
        <f aca="false">IF(_PENDIENTES!$B$427&lt;&gt;"",_PENDIENTES!$K$427,"")</f>
        <v/>
      </c>
      <c r="M433" s="89" t="str">
        <f aca="false">IF(_PENDIENTES!$B$427&lt;&gt;"",_PENDIENTES!$B$427,"")</f>
        <v/>
      </c>
      <c r="N433" s="109" t="str">
        <f aca="false">IF(_PENDIENTES!$B$427&lt;&gt;"",_PENDIENTES!$L$427,"")</f>
        <v/>
      </c>
      <c r="O433" s="89"/>
      <c r="P433" s="89"/>
      <c r="Q433" s="89"/>
      <c r="R433" s="89"/>
      <c r="S433" s="89"/>
    </row>
    <row r="434" customFormat="false" ht="15.75" hidden="true" customHeight="true" outlineLevel="0" collapsed="false">
      <c r="A434" s="106" t="str">
        <f aca="false">IF(_PENDIENTES!$B$428&lt;&gt;"",427,"")</f>
        <v/>
      </c>
      <c r="B434" s="47" t="str">
        <f aca="false">IF(_PENDIENTES!$B$428&lt;&gt;"",_PENDIENTES!$A$428,"")</f>
        <v/>
      </c>
      <c r="C434" s="107" t="str">
        <f aca="false">IF(_PENDIENTES!$B$428&lt;&gt;"",_PENDIENTES!$C$428,"")</f>
        <v/>
      </c>
      <c r="D434" s="106" t="str">
        <f aca="false">IF(_PENDIENTES!$B$428&lt;&gt;"",_PENDIENTES!$D$428,"")</f>
        <v/>
      </c>
      <c r="E434" s="111" t="str">
        <f aca="false">IF(_PENDIENTES!$B$428&lt;&gt;"",_PENDIENTES!$E$428,"")</f>
        <v/>
      </c>
      <c r="F434" s="106" t="str">
        <f aca="false">IF(_PENDIENTES!$B$428&lt;&gt;"",_PENDIENTES!$F$428,"")</f>
        <v/>
      </c>
      <c r="G434" s="50" t="str">
        <f aca="false">IF(_PENDIENTES!$B$428&lt;&gt;"",_PENDIENTES!$G$428,"")</f>
        <v/>
      </c>
      <c r="H434" s="50" t="str">
        <f aca="false">IF(_PENDIENTES!$B$428&lt;&gt;"",_PENDIENTES!$H$428,"")</f>
        <v/>
      </c>
      <c r="I434" s="107" t="str">
        <f aca="false">IF(_PENDIENTES!$B$428&lt;&gt;"",_PENDIENTES!$I$428,"")</f>
        <v/>
      </c>
      <c r="J434" s="106" t="str">
        <f aca="false">IF(_PENDIENTES!$B$428&lt;&gt;"",_PENDIENTES!$J$428,"")</f>
        <v/>
      </c>
      <c r="K434" s="106" t="str">
        <f aca="false">IF(_PENDIENTES!$B$428&lt;&gt;"","POR RECOGER","")</f>
        <v/>
      </c>
      <c r="L434" s="106" t="str">
        <f aca="false">IF(_PENDIENTES!$B$428&lt;&gt;"",_PENDIENTES!$K$428,"")</f>
        <v/>
      </c>
      <c r="M434" s="89" t="str">
        <f aca="false">IF(_PENDIENTES!$B$428&lt;&gt;"",_PENDIENTES!$B$428,"")</f>
        <v/>
      </c>
      <c r="N434" s="109" t="str">
        <f aca="false">IF(_PENDIENTES!$B$428&lt;&gt;"",_PENDIENTES!$L$428,"")</f>
        <v/>
      </c>
      <c r="O434" s="89"/>
      <c r="P434" s="89"/>
      <c r="Q434" s="89"/>
      <c r="R434" s="89"/>
      <c r="S434" s="89"/>
    </row>
    <row r="435" customFormat="false" ht="15.75" hidden="true" customHeight="true" outlineLevel="0" collapsed="false">
      <c r="A435" s="46" t="str">
        <f aca="false">IF(_PENDIENTES!$B$429&lt;&gt;"",428,"")</f>
        <v/>
      </c>
      <c r="B435" s="41" t="str">
        <f aca="false">IF(_PENDIENTES!$B$429&lt;&gt;"",_PENDIENTES!$A$429,"")</f>
        <v/>
      </c>
      <c r="C435" s="110" t="str">
        <f aca="false">IF(_PENDIENTES!$B$429&lt;&gt;"",_PENDIENTES!$C$429,"")</f>
        <v/>
      </c>
      <c r="D435" s="46" t="str">
        <f aca="false">IF(_PENDIENTES!$B$429&lt;&gt;"",_PENDIENTES!$D$429,"")</f>
        <v/>
      </c>
      <c r="E435" s="112" t="str">
        <f aca="false">IF(_PENDIENTES!$B$429&lt;&gt;"",_PENDIENTES!$E$429,"")</f>
        <v/>
      </c>
      <c r="F435" s="46" t="str">
        <f aca="false">IF(_PENDIENTES!$B$429&lt;&gt;"",_PENDIENTES!$F$429,"")</f>
        <v/>
      </c>
      <c r="G435" s="44" t="str">
        <f aca="false">IF(_PENDIENTES!$B$429&lt;&gt;"",_PENDIENTES!$G$429,"")</f>
        <v/>
      </c>
      <c r="H435" s="44" t="str">
        <f aca="false">IF(_PENDIENTES!$B$429&lt;&gt;"",_PENDIENTES!$H$429,"")</f>
        <v/>
      </c>
      <c r="I435" s="110" t="str">
        <f aca="false">IF(_PENDIENTES!$B$429&lt;&gt;"",_PENDIENTES!$I$429,"")</f>
        <v/>
      </c>
      <c r="J435" s="46" t="str">
        <f aca="false">IF(_PENDIENTES!$B$429&lt;&gt;"",_PENDIENTES!$J$429,"")</f>
        <v/>
      </c>
      <c r="K435" s="46" t="str">
        <f aca="false">IF(_PENDIENTES!$B$429&lt;&gt;"","POR RECOGER","")</f>
        <v/>
      </c>
      <c r="L435" s="46" t="str">
        <f aca="false">IF(_PENDIENTES!$B$429&lt;&gt;"",_PENDIENTES!$K$429,"")</f>
        <v/>
      </c>
      <c r="M435" s="89" t="str">
        <f aca="false">IF(_PENDIENTES!$B$429&lt;&gt;"",_PENDIENTES!$B$429,"")</f>
        <v/>
      </c>
      <c r="N435" s="109" t="str">
        <f aca="false">IF(_PENDIENTES!$B$429&lt;&gt;"",_PENDIENTES!$L$429,"")</f>
        <v/>
      </c>
      <c r="O435" s="89"/>
      <c r="P435" s="89"/>
      <c r="Q435" s="89"/>
      <c r="R435" s="89"/>
      <c r="S435" s="89"/>
    </row>
    <row r="436" customFormat="false" ht="15.75" hidden="true" customHeight="true" outlineLevel="0" collapsed="false">
      <c r="A436" s="106" t="str">
        <f aca="false">IF(_PENDIENTES!$B$430&lt;&gt;"",429,"")</f>
        <v/>
      </c>
      <c r="B436" s="47" t="str">
        <f aca="false">IF(_PENDIENTES!$B$430&lt;&gt;"",_PENDIENTES!$A$430,"")</f>
        <v/>
      </c>
      <c r="C436" s="107" t="str">
        <f aca="false">IF(_PENDIENTES!$B$430&lt;&gt;"",_PENDIENTES!$C$430,"")</f>
        <v/>
      </c>
      <c r="D436" s="106" t="str">
        <f aca="false">IF(_PENDIENTES!$B$430&lt;&gt;"",_PENDIENTES!$D$430,"")</f>
        <v/>
      </c>
      <c r="E436" s="111" t="str">
        <f aca="false">IF(_PENDIENTES!$B$430&lt;&gt;"",_PENDIENTES!$E$430,"")</f>
        <v/>
      </c>
      <c r="F436" s="106" t="str">
        <f aca="false">IF(_PENDIENTES!$B$430&lt;&gt;"",_PENDIENTES!$F$430,"")</f>
        <v/>
      </c>
      <c r="G436" s="50" t="str">
        <f aca="false">IF(_PENDIENTES!$B$430&lt;&gt;"",_PENDIENTES!$G$430,"")</f>
        <v/>
      </c>
      <c r="H436" s="50" t="str">
        <f aca="false">IF(_PENDIENTES!$B$430&lt;&gt;"",_PENDIENTES!$H$430,"")</f>
        <v/>
      </c>
      <c r="I436" s="107" t="str">
        <f aca="false">IF(_PENDIENTES!$B$430&lt;&gt;"",_PENDIENTES!$I$430,"")</f>
        <v/>
      </c>
      <c r="J436" s="106" t="str">
        <f aca="false">IF(_PENDIENTES!$B$430&lt;&gt;"",_PENDIENTES!$J$430,"")</f>
        <v/>
      </c>
      <c r="K436" s="106" t="str">
        <f aca="false">IF(_PENDIENTES!$B$430&lt;&gt;"","POR RECOGER","")</f>
        <v/>
      </c>
      <c r="L436" s="106" t="str">
        <f aca="false">IF(_PENDIENTES!$B$430&lt;&gt;"",_PENDIENTES!$K$430,"")</f>
        <v/>
      </c>
      <c r="M436" s="89" t="str">
        <f aca="false">IF(_PENDIENTES!$B$430&lt;&gt;"",_PENDIENTES!$B$430,"")</f>
        <v/>
      </c>
      <c r="N436" s="109" t="str">
        <f aca="false">IF(_PENDIENTES!$B$430&lt;&gt;"",_PENDIENTES!$L$430,"")</f>
        <v/>
      </c>
      <c r="O436" s="89"/>
      <c r="P436" s="89"/>
      <c r="Q436" s="89"/>
      <c r="R436" s="89"/>
      <c r="S436" s="89"/>
    </row>
    <row r="437" customFormat="false" ht="15.75" hidden="true" customHeight="true" outlineLevel="0" collapsed="false">
      <c r="A437" s="46" t="str">
        <f aca="false">IF(_PENDIENTES!$B$431&lt;&gt;"",430,"")</f>
        <v/>
      </c>
      <c r="B437" s="41" t="str">
        <f aca="false">IF(_PENDIENTES!$B$431&lt;&gt;"",_PENDIENTES!$A$431,"")</f>
        <v/>
      </c>
      <c r="C437" s="110" t="str">
        <f aca="false">IF(_PENDIENTES!$B$431&lt;&gt;"",_PENDIENTES!$C$431,"")</f>
        <v/>
      </c>
      <c r="D437" s="46" t="str">
        <f aca="false">IF(_PENDIENTES!$B$431&lt;&gt;"",_PENDIENTES!$D$431,"")</f>
        <v/>
      </c>
      <c r="E437" s="112" t="str">
        <f aca="false">IF(_PENDIENTES!$B$431&lt;&gt;"",_PENDIENTES!$E$431,"")</f>
        <v/>
      </c>
      <c r="F437" s="46" t="str">
        <f aca="false">IF(_PENDIENTES!$B$431&lt;&gt;"",_PENDIENTES!$F$431,"")</f>
        <v/>
      </c>
      <c r="G437" s="44" t="str">
        <f aca="false">IF(_PENDIENTES!$B$431&lt;&gt;"",_PENDIENTES!$G$431,"")</f>
        <v/>
      </c>
      <c r="H437" s="44" t="str">
        <f aca="false">IF(_PENDIENTES!$B$431&lt;&gt;"",_PENDIENTES!$H$431,"")</f>
        <v/>
      </c>
      <c r="I437" s="110" t="str">
        <f aca="false">IF(_PENDIENTES!$B$431&lt;&gt;"",_PENDIENTES!$I$431,"")</f>
        <v/>
      </c>
      <c r="J437" s="46" t="str">
        <f aca="false">IF(_PENDIENTES!$B$431&lt;&gt;"",_PENDIENTES!$J$431,"")</f>
        <v/>
      </c>
      <c r="K437" s="46" t="str">
        <f aca="false">IF(_PENDIENTES!$B$431&lt;&gt;"","POR RECOGER","")</f>
        <v/>
      </c>
      <c r="L437" s="46" t="str">
        <f aca="false">IF(_PENDIENTES!$B$431&lt;&gt;"",_PENDIENTES!$K$431,"")</f>
        <v/>
      </c>
      <c r="M437" s="89" t="str">
        <f aca="false">IF(_PENDIENTES!$B$431&lt;&gt;"",_PENDIENTES!$B$431,"")</f>
        <v/>
      </c>
      <c r="N437" s="109" t="str">
        <f aca="false">IF(_PENDIENTES!$B$431&lt;&gt;"",_PENDIENTES!$L$431,"")</f>
        <v/>
      </c>
      <c r="O437" s="89"/>
      <c r="P437" s="89"/>
      <c r="Q437" s="89"/>
      <c r="R437" s="89"/>
      <c r="S437" s="89"/>
    </row>
    <row r="438" customFormat="false" ht="15.75" hidden="true" customHeight="true" outlineLevel="0" collapsed="false">
      <c r="A438" s="106" t="str">
        <f aca="false">IF(_PENDIENTES!$B$432&lt;&gt;"",431,"")</f>
        <v/>
      </c>
      <c r="B438" s="47" t="str">
        <f aca="false">IF(_PENDIENTES!$B$432&lt;&gt;"",_PENDIENTES!$A$432,"")</f>
        <v/>
      </c>
      <c r="C438" s="107" t="str">
        <f aca="false">IF(_PENDIENTES!$B$432&lt;&gt;"",_PENDIENTES!$C$432,"")</f>
        <v/>
      </c>
      <c r="D438" s="106" t="str">
        <f aca="false">IF(_PENDIENTES!$B$432&lt;&gt;"",_PENDIENTES!$D$432,"")</f>
        <v/>
      </c>
      <c r="E438" s="111" t="str">
        <f aca="false">IF(_PENDIENTES!$B$432&lt;&gt;"",_PENDIENTES!$E$432,"")</f>
        <v/>
      </c>
      <c r="F438" s="106" t="str">
        <f aca="false">IF(_PENDIENTES!$B$432&lt;&gt;"",_PENDIENTES!$F$432,"")</f>
        <v/>
      </c>
      <c r="G438" s="50" t="str">
        <f aca="false">IF(_PENDIENTES!$B$432&lt;&gt;"",_PENDIENTES!$G$432,"")</f>
        <v/>
      </c>
      <c r="H438" s="50" t="str">
        <f aca="false">IF(_PENDIENTES!$B$432&lt;&gt;"",_PENDIENTES!$H$432,"")</f>
        <v/>
      </c>
      <c r="I438" s="107" t="str">
        <f aca="false">IF(_PENDIENTES!$B$432&lt;&gt;"",_PENDIENTES!$I$432,"")</f>
        <v/>
      </c>
      <c r="J438" s="106" t="str">
        <f aca="false">IF(_PENDIENTES!$B$432&lt;&gt;"",_PENDIENTES!$J$432,"")</f>
        <v/>
      </c>
      <c r="K438" s="106" t="str">
        <f aca="false">IF(_PENDIENTES!$B$432&lt;&gt;"","POR RECOGER","")</f>
        <v/>
      </c>
      <c r="L438" s="106" t="str">
        <f aca="false">IF(_PENDIENTES!$B$432&lt;&gt;"",_PENDIENTES!$K$432,"")</f>
        <v/>
      </c>
      <c r="M438" s="89" t="str">
        <f aca="false">IF(_PENDIENTES!$B$432&lt;&gt;"",_PENDIENTES!$B$432,"")</f>
        <v/>
      </c>
      <c r="N438" s="109" t="str">
        <f aca="false">IF(_PENDIENTES!$B$432&lt;&gt;"",_PENDIENTES!$L$432,"")</f>
        <v/>
      </c>
      <c r="O438" s="89"/>
      <c r="P438" s="89"/>
      <c r="Q438" s="89"/>
      <c r="R438" s="89"/>
      <c r="S438" s="89"/>
    </row>
    <row r="439" customFormat="false" ht="15.75" hidden="true" customHeight="true" outlineLevel="0" collapsed="false">
      <c r="A439" s="46" t="str">
        <f aca="false">IF(_PENDIENTES!$B$433&lt;&gt;"",432,"")</f>
        <v/>
      </c>
      <c r="B439" s="41" t="str">
        <f aca="false">IF(_PENDIENTES!$B$433&lt;&gt;"",_PENDIENTES!$A$433,"")</f>
        <v/>
      </c>
      <c r="C439" s="110" t="str">
        <f aca="false">IF(_PENDIENTES!$B$433&lt;&gt;"",_PENDIENTES!$C$433,"")</f>
        <v/>
      </c>
      <c r="D439" s="46" t="str">
        <f aca="false">IF(_PENDIENTES!$B$433&lt;&gt;"",_PENDIENTES!$D$433,"")</f>
        <v/>
      </c>
      <c r="E439" s="112" t="str">
        <f aca="false">IF(_PENDIENTES!$B$433&lt;&gt;"",_PENDIENTES!$E$433,"")</f>
        <v/>
      </c>
      <c r="F439" s="46" t="str">
        <f aca="false">IF(_PENDIENTES!$B$433&lt;&gt;"",_PENDIENTES!$F$433,"")</f>
        <v/>
      </c>
      <c r="G439" s="44" t="str">
        <f aca="false">IF(_PENDIENTES!$B$433&lt;&gt;"",_PENDIENTES!$G$433,"")</f>
        <v/>
      </c>
      <c r="H439" s="44" t="str">
        <f aca="false">IF(_PENDIENTES!$B$433&lt;&gt;"",_PENDIENTES!$H$433,"")</f>
        <v/>
      </c>
      <c r="I439" s="110" t="str">
        <f aca="false">IF(_PENDIENTES!$B$433&lt;&gt;"",_PENDIENTES!$I$433,"")</f>
        <v/>
      </c>
      <c r="J439" s="46" t="str">
        <f aca="false">IF(_PENDIENTES!$B$433&lt;&gt;"",_PENDIENTES!$J$433,"")</f>
        <v/>
      </c>
      <c r="K439" s="46" t="str">
        <f aca="false">IF(_PENDIENTES!$B$433&lt;&gt;"","POR RECOGER","")</f>
        <v/>
      </c>
      <c r="L439" s="46" t="str">
        <f aca="false">IF(_PENDIENTES!$B$433&lt;&gt;"",_PENDIENTES!$K$433,"")</f>
        <v/>
      </c>
      <c r="M439" s="89" t="str">
        <f aca="false">IF(_PENDIENTES!$B$433&lt;&gt;"",_PENDIENTES!$B$433,"")</f>
        <v/>
      </c>
      <c r="N439" s="109" t="str">
        <f aca="false">IF(_PENDIENTES!$B$433&lt;&gt;"",_PENDIENTES!$L$433,"")</f>
        <v/>
      </c>
      <c r="O439" s="89"/>
      <c r="P439" s="89"/>
      <c r="Q439" s="89"/>
      <c r="R439" s="89"/>
      <c r="S439" s="89"/>
    </row>
    <row r="440" customFormat="false" ht="15.75" hidden="true" customHeight="true" outlineLevel="0" collapsed="false">
      <c r="A440" s="106" t="str">
        <f aca="false">IF(_PENDIENTES!$B$434&lt;&gt;"",433,"")</f>
        <v/>
      </c>
      <c r="B440" s="47" t="str">
        <f aca="false">IF(_PENDIENTES!$B$434&lt;&gt;"",_PENDIENTES!$A$434,"")</f>
        <v/>
      </c>
      <c r="C440" s="107" t="str">
        <f aca="false">IF(_PENDIENTES!$B$434&lt;&gt;"",_PENDIENTES!$C$434,"")</f>
        <v/>
      </c>
      <c r="D440" s="106" t="str">
        <f aca="false">IF(_PENDIENTES!$B$434&lt;&gt;"",_PENDIENTES!$D$434,"")</f>
        <v/>
      </c>
      <c r="E440" s="111" t="str">
        <f aca="false">IF(_PENDIENTES!$B$434&lt;&gt;"",_PENDIENTES!$E$434,"")</f>
        <v/>
      </c>
      <c r="F440" s="106" t="str">
        <f aca="false">IF(_PENDIENTES!$B$434&lt;&gt;"",_PENDIENTES!$F$434,"")</f>
        <v/>
      </c>
      <c r="G440" s="50" t="str">
        <f aca="false">IF(_PENDIENTES!$B$434&lt;&gt;"",_PENDIENTES!$G$434,"")</f>
        <v/>
      </c>
      <c r="H440" s="50" t="str">
        <f aca="false">IF(_PENDIENTES!$B$434&lt;&gt;"",_PENDIENTES!$H$434,"")</f>
        <v/>
      </c>
      <c r="I440" s="107" t="str">
        <f aca="false">IF(_PENDIENTES!$B$434&lt;&gt;"",_PENDIENTES!$I$434,"")</f>
        <v/>
      </c>
      <c r="J440" s="106" t="str">
        <f aca="false">IF(_PENDIENTES!$B$434&lt;&gt;"",_PENDIENTES!$J$434,"")</f>
        <v/>
      </c>
      <c r="K440" s="106" t="str">
        <f aca="false">IF(_PENDIENTES!$B$434&lt;&gt;"","POR RECOGER","")</f>
        <v/>
      </c>
      <c r="L440" s="106" t="str">
        <f aca="false">IF(_PENDIENTES!$B$434&lt;&gt;"",_PENDIENTES!$K$434,"")</f>
        <v/>
      </c>
      <c r="M440" s="89" t="str">
        <f aca="false">IF(_PENDIENTES!$B$434&lt;&gt;"",_PENDIENTES!$B$434,"")</f>
        <v/>
      </c>
      <c r="N440" s="109" t="str">
        <f aca="false">IF(_PENDIENTES!$B$434&lt;&gt;"",_PENDIENTES!$L$434,"")</f>
        <v/>
      </c>
      <c r="O440" s="89"/>
      <c r="P440" s="89"/>
      <c r="Q440" s="89"/>
      <c r="R440" s="89"/>
      <c r="S440" s="89"/>
    </row>
    <row r="441" customFormat="false" ht="15.75" hidden="true" customHeight="true" outlineLevel="0" collapsed="false">
      <c r="A441" s="46" t="str">
        <f aca="false">IF(_PENDIENTES!$B$435&lt;&gt;"",434,"")</f>
        <v/>
      </c>
      <c r="B441" s="41" t="str">
        <f aca="false">IF(_PENDIENTES!$B$435&lt;&gt;"",_PENDIENTES!$A$435,"")</f>
        <v/>
      </c>
      <c r="C441" s="110" t="str">
        <f aca="false">IF(_PENDIENTES!$B$435&lt;&gt;"",_PENDIENTES!$C$435,"")</f>
        <v/>
      </c>
      <c r="D441" s="46" t="str">
        <f aca="false">IF(_PENDIENTES!$B$435&lt;&gt;"",_PENDIENTES!$D$435,"")</f>
        <v/>
      </c>
      <c r="E441" s="112" t="str">
        <f aca="false">IF(_PENDIENTES!$B$435&lt;&gt;"",_PENDIENTES!$E$435,"")</f>
        <v/>
      </c>
      <c r="F441" s="46" t="str">
        <f aca="false">IF(_PENDIENTES!$B$435&lt;&gt;"",_PENDIENTES!$F$435,"")</f>
        <v/>
      </c>
      <c r="G441" s="44" t="str">
        <f aca="false">IF(_PENDIENTES!$B$435&lt;&gt;"",_PENDIENTES!$G$435,"")</f>
        <v/>
      </c>
      <c r="H441" s="44" t="str">
        <f aca="false">IF(_PENDIENTES!$B$435&lt;&gt;"",_PENDIENTES!$H$435,"")</f>
        <v/>
      </c>
      <c r="I441" s="110" t="str">
        <f aca="false">IF(_PENDIENTES!$B$435&lt;&gt;"",_PENDIENTES!$I$435,"")</f>
        <v/>
      </c>
      <c r="J441" s="46" t="str">
        <f aca="false">IF(_PENDIENTES!$B$435&lt;&gt;"",_PENDIENTES!$J$435,"")</f>
        <v/>
      </c>
      <c r="K441" s="46" t="str">
        <f aca="false">IF(_PENDIENTES!$B$435&lt;&gt;"","POR RECOGER","")</f>
        <v/>
      </c>
      <c r="L441" s="46" t="str">
        <f aca="false">IF(_PENDIENTES!$B$435&lt;&gt;"",_PENDIENTES!$K$435,"")</f>
        <v/>
      </c>
      <c r="M441" s="89" t="str">
        <f aca="false">IF(_PENDIENTES!$B$435&lt;&gt;"",_PENDIENTES!$B$435,"")</f>
        <v/>
      </c>
      <c r="N441" s="109" t="str">
        <f aca="false">IF(_PENDIENTES!$B$435&lt;&gt;"",_PENDIENTES!$L$435,"")</f>
        <v/>
      </c>
      <c r="O441" s="89"/>
      <c r="P441" s="89"/>
      <c r="Q441" s="89"/>
      <c r="R441" s="89"/>
      <c r="S441" s="89"/>
    </row>
    <row r="442" customFormat="false" ht="15.75" hidden="true" customHeight="true" outlineLevel="0" collapsed="false">
      <c r="A442" s="106" t="str">
        <f aca="false">IF(_PENDIENTES!$B$436&lt;&gt;"",435,"")</f>
        <v/>
      </c>
      <c r="B442" s="47" t="str">
        <f aca="false">IF(_PENDIENTES!$B$436&lt;&gt;"",_PENDIENTES!$A$436,"")</f>
        <v/>
      </c>
      <c r="C442" s="107" t="str">
        <f aca="false">IF(_PENDIENTES!$B$436&lt;&gt;"",_PENDIENTES!$C$436,"")</f>
        <v/>
      </c>
      <c r="D442" s="106" t="str">
        <f aca="false">IF(_PENDIENTES!$B$436&lt;&gt;"",_PENDIENTES!$D$436,"")</f>
        <v/>
      </c>
      <c r="E442" s="111" t="str">
        <f aca="false">IF(_PENDIENTES!$B$436&lt;&gt;"",_PENDIENTES!$E$436,"")</f>
        <v/>
      </c>
      <c r="F442" s="106" t="str">
        <f aca="false">IF(_PENDIENTES!$B$436&lt;&gt;"",_PENDIENTES!$F$436,"")</f>
        <v/>
      </c>
      <c r="G442" s="50" t="str">
        <f aca="false">IF(_PENDIENTES!$B$436&lt;&gt;"",_PENDIENTES!$G$436,"")</f>
        <v/>
      </c>
      <c r="H442" s="50" t="str">
        <f aca="false">IF(_PENDIENTES!$B$436&lt;&gt;"",_PENDIENTES!$H$436,"")</f>
        <v/>
      </c>
      <c r="I442" s="107" t="str">
        <f aca="false">IF(_PENDIENTES!$B$436&lt;&gt;"",_PENDIENTES!$I$436,"")</f>
        <v/>
      </c>
      <c r="J442" s="106" t="str">
        <f aca="false">IF(_PENDIENTES!$B$436&lt;&gt;"",_PENDIENTES!$J$436,"")</f>
        <v/>
      </c>
      <c r="K442" s="106" t="str">
        <f aca="false">IF(_PENDIENTES!$B$436&lt;&gt;"","POR RECOGER","")</f>
        <v/>
      </c>
      <c r="L442" s="106" t="str">
        <f aca="false">IF(_PENDIENTES!$B$436&lt;&gt;"",_PENDIENTES!$K$436,"")</f>
        <v/>
      </c>
      <c r="M442" s="89" t="str">
        <f aca="false">IF(_PENDIENTES!$B$436&lt;&gt;"",_PENDIENTES!$B$436,"")</f>
        <v/>
      </c>
      <c r="N442" s="109" t="str">
        <f aca="false">IF(_PENDIENTES!$B$436&lt;&gt;"",_PENDIENTES!$L$436,"")</f>
        <v/>
      </c>
      <c r="O442" s="89"/>
      <c r="P442" s="89"/>
      <c r="Q442" s="89"/>
      <c r="R442" s="89"/>
      <c r="S442" s="89"/>
    </row>
    <row r="443" customFormat="false" ht="15.75" hidden="true" customHeight="true" outlineLevel="0" collapsed="false">
      <c r="A443" s="46" t="str">
        <f aca="false">IF(_PENDIENTES!$B$437&lt;&gt;"",436,"")</f>
        <v/>
      </c>
      <c r="B443" s="41" t="str">
        <f aca="false">IF(_PENDIENTES!$B$437&lt;&gt;"",_PENDIENTES!$A$437,"")</f>
        <v/>
      </c>
      <c r="C443" s="110" t="str">
        <f aca="false">IF(_PENDIENTES!$B$437&lt;&gt;"",_PENDIENTES!$C$437,"")</f>
        <v/>
      </c>
      <c r="D443" s="46" t="str">
        <f aca="false">IF(_PENDIENTES!$B$437&lt;&gt;"",_PENDIENTES!$D$437,"")</f>
        <v/>
      </c>
      <c r="E443" s="112" t="str">
        <f aca="false">IF(_PENDIENTES!$B$437&lt;&gt;"",_PENDIENTES!$E$437,"")</f>
        <v/>
      </c>
      <c r="F443" s="46" t="str">
        <f aca="false">IF(_PENDIENTES!$B$437&lt;&gt;"",_PENDIENTES!$F$437,"")</f>
        <v/>
      </c>
      <c r="G443" s="44" t="str">
        <f aca="false">IF(_PENDIENTES!$B$437&lt;&gt;"",_PENDIENTES!$G$437,"")</f>
        <v/>
      </c>
      <c r="H443" s="44" t="str">
        <f aca="false">IF(_PENDIENTES!$B$437&lt;&gt;"",_PENDIENTES!$H$437,"")</f>
        <v/>
      </c>
      <c r="I443" s="110" t="str">
        <f aca="false">IF(_PENDIENTES!$B$437&lt;&gt;"",_PENDIENTES!$I$437,"")</f>
        <v/>
      </c>
      <c r="J443" s="46" t="str">
        <f aca="false">IF(_PENDIENTES!$B$437&lt;&gt;"",_PENDIENTES!$J$437,"")</f>
        <v/>
      </c>
      <c r="K443" s="46" t="str">
        <f aca="false">IF(_PENDIENTES!$B$437&lt;&gt;"","POR RECOGER","")</f>
        <v/>
      </c>
      <c r="L443" s="46" t="str">
        <f aca="false">IF(_PENDIENTES!$B$437&lt;&gt;"",_PENDIENTES!$K$437,"")</f>
        <v/>
      </c>
      <c r="M443" s="89" t="str">
        <f aca="false">IF(_PENDIENTES!$B$437&lt;&gt;"",_PENDIENTES!$B$437,"")</f>
        <v/>
      </c>
      <c r="N443" s="109" t="str">
        <f aca="false">IF(_PENDIENTES!$B$437&lt;&gt;"",_PENDIENTES!$L$437,"")</f>
        <v/>
      </c>
      <c r="O443" s="89"/>
      <c r="P443" s="89"/>
      <c r="Q443" s="89"/>
      <c r="R443" s="89"/>
      <c r="S443" s="89"/>
    </row>
    <row r="444" customFormat="false" ht="15.75" hidden="true" customHeight="true" outlineLevel="0" collapsed="false">
      <c r="A444" s="106" t="str">
        <f aca="false">IF(_PENDIENTES!$B$438&lt;&gt;"",437,"")</f>
        <v/>
      </c>
      <c r="B444" s="47" t="str">
        <f aca="false">IF(_PENDIENTES!$B$438&lt;&gt;"",_PENDIENTES!$A$438,"")</f>
        <v/>
      </c>
      <c r="C444" s="107" t="str">
        <f aca="false">IF(_PENDIENTES!$B$438&lt;&gt;"",_PENDIENTES!$C$438,"")</f>
        <v/>
      </c>
      <c r="D444" s="106" t="str">
        <f aca="false">IF(_PENDIENTES!$B$438&lt;&gt;"",_PENDIENTES!$D$438,"")</f>
        <v/>
      </c>
      <c r="E444" s="111" t="str">
        <f aca="false">IF(_PENDIENTES!$B$438&lt;&gt;"",_PENDIENTES!$E$438,"")</f>
        <v/>
      </c>
      <c r="F444" s="106" t="str">
        <f aca="false">IF(_PENDIENTES!$B$438&lt;&gt;"",_PENDIENTES!$F$438,"")</f>
        <v/>
      </c>
      <c r="G444" s="50" t="str">
        <f aca="false">IF(_PENDIENTES!$B$438&lt;&gt;"",_PENDIENTES!$G$438,"")</f>
        <v/>
      </c>
      <c r="H444" s="50" t="str">
        <f aca="false">IF(_PENDIENTES!$B$438&lt;&gt;"",_PENDIENTES!$H$438,"")</f>
        <v/>
      </c>
      <c r="I444" s="107" t="str">
        <f aca="false">IF(_PENDIENTES!$B$438&lt;&gt;"",_PENDIENTES!$I$438,"")</f>
        <v/>
      </c>
      <c r="J444" s="106" t="str">
        <f aca="false">IF(_PENDIENTES!$B$438&lt;&gt;"",_PENDIENTES!$J$438,"")</f>
        <v/>
      </c>
      <c r="K444" s="106" t="str">
        <f aca="false">IF(_PENDIENTES!$B$438&lt;&gt;"","POR RECOGER","")</f>
        <v/>
      </c>
      <c r="L444" s="106" t="str">
        <f aca="false">IF(_PENDIENTES!$B$438&lt;&gt;"",_PENDIENTES!$K$438,"")</f>
        <v/>
      </c>
      <c r="M444" s="89" t="str">
        <f aca="false">IF(_PENDIENTES!$B$438&lt;&gt;"",_PENDIENTES!$B$438,"")</f>
        <v/>
      </c>
      <c r="N444" s="109" t="str">
        <f aca="false">IF(_PENDIENTES!$B$438&lt;&gt;"",_PENDIENTES!$L$438,"")</f>
        <v/>
      </c>
      <c r="O444" s="89"/>
      <c r="P444" s="89"/>
      <c r="Q444" s="89"/>
      <c r="R444" s="89"/>
      <c r="S444" s="89"/>
    </row>
    <row r="445" customFormat="false" ht="15.75" hidden="true" customHeight="true" outlineLevel="0" collapsed="false">
      <c r="A445" s="46" t="str">
        <f aca="false">IF(_PENDIENTES!$B$439&lt;&gt;"",438,"")</f>
        <v/>
      </c>
      <c r="B445" s="41" t="str">
        <f aca="false">IF(_PENDIENTES!$B$439&lt;&gt;"",_PENDIENTES!$A$439,"")</f>
        <v/>
      </c>
      <c r="C445" s="110" t="str">
        <f aca="false">IF(_PENDIENTES!$B$439&lt;&gt;"",_PENDIENTES!$C$439,"")</f>
        <v/>
      </c>
      <c r="D445" s="46" t="str">
        <f aca="false">IF(_PENDIENTES!$B$439&lt;&gt;"",_PENDIENTES!$D$439,"")</f>
        <v/>
      </c>
      <c r="E445" s="112" t="str">
        <f aca="false">IF(_PENDIENTES!$B$439&lt;&gt;"",_PENDIENTES!$E$439,"")</f>
        <v/>
      </c>
      <c r="F445" s="46" t="str">
        <f aca="false">IF(_PENDIENTES!$B$439&lt;&gt;"",_PENDIENTES!$F$439,"")</f>
        <v/>
      </c>
      <c r="G445" s="44" t="str">
        <f aca="false">IF(_PENDIENTES!$B$439&lt;&gt;"",_PENDIENTES!$G$439,"")</f>
        <v/>
      </c>
      <c r="H445" s="44" t="str">
        <f aca="false">IF(_PENDIENTES!$B$439&lt;&gt;"",_PENDIENTES!$H$439,"")</f>
        <v/>
      </c>
      <c r="I445" s="110" t="str">
        <f aca="false">IF(_PENDIENTES!$B$439&lt;&gt;"",_PENDIENTES!$I$439,"")</f>
        <v/>
      </c>
      <c r="J445" s="46" t="str">
        <f aca="false">IF(_PENDIENTES!$B$439&lt;&gt;"",_PENDIENTES!$J$439,"")</f>
        <v/>
      </c>
      <c r="K445" s="46" t="str">
        <f aca="false">IF(_PENDIENTES!$B$439&lt;&gt;"","POR RECOGER","")</f>
        <v/>
      </c>
      <c r="L445" s="46" t="str">
        <f aca="false">IF(_PENDIENTES!$B$439&lt;&gt;"",_PENDIENTES!$K$439,"")</f>
        <v/>
      </c>
      <c r="M445" s="89" t="str">
        <f aca="false">IF(_PENDIENTES!$B$439&lt;&gt;"",_PENDIENTES!$B$439,"")</f>
        <v/>
      </c>
      <c r="N445" s="109" t="str">
        <f aca="false">IF(_PENDIENTES!$B$439&lt;&gt;"",_PENDIENTES!$L$439,"")</f>
        <v/>
      </c>
      <c r="O445" s="89"/>
      <c r="P445" s="89"/>
      <c r="Q445" s="89"/>
      <c r="R445" s="89"/>
      <c r="S445" s="89"/>
    </row>
    <row r="446" customFormat="false" ht="15.75" hidden="true" customHeight="true" outlineLevel="0" collapsed="false">
      <c r="A446" s="106" t="str">
        <f aca="false">IF(_PENDIENTES!$B$440&lt;&gt;"",439,"")</f>
        <v/>
      </c>
      <c r="B446" s="47" t="str">
        <f aca="false">IF(_PENDIENTES!$B$440&lt;&gt;"",_PENDIENTES!$A$440,"")</f>
        <v/>
      </c>
      <c r="C446" s="107" t="str">
        <f aca="false">IF(_PENDIENTES!$B$440&lt;&gt;"",_PENDIENTES!$C$440,"")</f>
        <v/>
      </c>
      <c r="D446" s="106" t="str">
        <f aca="false">IF(_PENDIENTES!$B$440&lt;&gt;"",_PENDIENTES!$D$440,"")</f>
        <v/>
      </c>
      <c r="E446" s="111" t="str">
        <f aca="false">IF(_PENDIENTES!$B$440&lt;&gt;"",_PENDIENTES!$E$440,"")</f>
        <v/>
      </c>
      <c r="F446" s="106" t="str">
        <f aca="false">IF(_PENDIENTES!$B$440&lt;&gt;"",_PENDIENTES!$F$440,"")</f>
        <v/>
      </c>
      <c r="G446" s="50" t="str">
        <f aca="false">IF(_PENDIENTES!$B$440&lt;&gt;"",_PENDIENTES!$G$440,"")</f>
        <v/>
      </c>
      <c r="H446" s="50" t="str">
        <f aca="false">IF(_PENDIENTES!$B$440&lt;&gt;"",_PENDIENTES!$H$440,"")</f>
        <v/>
      </c>
      <c r="I446" s="107" t="str">
        <f aca="false">IF(_PENDIENTES!$B$440&lt;&gt;"",_PENDIENTES!$I$440,"")</f>
        <v/>
      </c>
      <c r="J446" s="106" t="str">
        <f aca="false">IF(_PENDIENTES!$B$440&lt;&gt;"",_PENDIENTES!$J$440,"")</f>
        <v/>
      </c>
      <c r="K446" s="106" t="str">
        <f aca="false">IF(_PENDIENTES!$B$440&lt;&gt;"","POR RECOGER","")</f>
        <v/>
      </c>
      <c r="L446" s="106" t="str">
        <f aca="false">IF(_PENDIENTES!$B$440&lt;&gt;"",_PENDIENTES!$K$440,"")</f>
        <v/>
      </c>
      <c r="M446" s="89" t="str">
        <f aca="false">IF(_PENDIENTES!$B$440&lt;&gt;"",_PENDIENTES!$B$440,"")</f>
        <v/>
      </c>
      <c r="N446" s="109" t="str">
        <f aca="false">IF(_PENDIENTES!$B$440&lt;&gt;"",_PENDIENTES!$L$440,"")</f>
        <v/>
      </c>
      <c r="O446" s="89"/>
      <c r="P446" s="89"/>
      <c r="Q446" s="89"/>
      <c r="R446" s="89"/>
      <c r="S446" s="89"/>
    </row>
    <row r="447" customFormat="false" ht="15.75" hidden="true" customHeight="true" outlineLevel="0" collapsed="false">
      <c r="A447" s="46" t="str">
        <f aca="false">IF(_PENDIENTES!$B$441&lt;&gt;"",440,"")</f>
        <v/>
      </c>
      <c r="B447" s="41" t="str">
        <f aca="false">IF(_PENDIENTES!$B$441&lt;&gt;"",_PENDIENTES!$A$441,"")</f>
        <v/>
      </c>
      <c r="C447" s="110" t="str">
        <f aca="false">IF(_PENDIENTES!$B$441&lt;&gt;"",_PENDIENTES!$C$441,"")</f>
        <v/>
      </c>
      <c r="D447" s="46" t="str">
        <f aca="false">IF(_PENDIENTES!$B$441&lt;&gt;"",_PENDIENTES!$D$441,"")</f>
        <v/>
      </c>
      <c r="E447" s="112" t="str">
        <f aca="false">IF(_PENDIENTES!$B$441&lt;&gt;"",_PENDIENTES!$E$441,"")</f>
        <v/>
      </c>
      <c r="F447" s="46" t="str">
        <f aca="false">IF(_PENDIENTES!$B$441&lt;&gt;"",_PENDIENTES!$F$441,"")</f>
        <v/>
      </c>
      <c r="G447" s="44" t="str">
        <f aca="false">IF(_PENDIENTES!$B$441&lt;&gt;"",_PENDIENTES!$G$441,"")</f>
        <v/>
      </c>
      <c r="H447" s="44" t="str">
        <f aca="false">IF(_PENDIENTES!$B$441&lt;&gt;"",_PENDIENTES!$H$441,"")</f>
        <v/>
      </c>
      <c r="I447" s="110" t="str">
        <f aca="false">IF(_PENDIENTES!$B$441&lt;&gt;"",_PENDIENTES!$I$441,"")</f>
        <v/>
      </c>
      <c r="J447" s="46" t="str">
        <f aca="false">IF(_PENDIENTES!$B$441&lt;&gt;"",_PENDIENTES!$J$441,"")</f>
        <v/>
      </c>
      <c r="K447" s="46" t="str">
        <f aca="false">IF(_PENDIENTES!$B$441&lt;&gt;"","POR RECOGER","")</f>
        <v/>
      </c>
      <c r="L447" s="46" t="str">
        <f aca="false">IF(_PENDIENTES!$B$441&lt;&gt;"",_PENDIENTES!$K$441,"")</f>
        <v/>
      </c>
      <c r="M447" s="89" t="str">
        <f aca="false">IF(_PENDIENTES!$B$441&lt;&gt;"",_PENDIENTES!$B$441,"")</f>
        <v/>
      </c>
      <c r="N447" s="109" t="str">
        <f aca="false">IF(_PENDIENTES!$B$441&lt;&gt;"",_PENDIENTES!$L$441,"")</f>
        <v/>
      </c>
      <c r="O447" s="89"/>
      <c r="P447" s="89"/>
      <c r="Q447" s="89"/>
      <c r="R447" s="89"/>
      <c r="S447" s="89"/>
    </row>
    <row r="448" customFormat="false" ht="15.75" hidden="true" customHeight="true" outlineLevel="0" collapsed="false">
      <c r="A448" s="106" t="str">
        <f aca="false">IF(_PENDIENTES!$B$442&lt;&gt;"",441,"")</f>
        <v/>
      </c>
      <c r="B448" s="47" t="str">
        <f aca="false">IF(_PENDIENTES!$B$442&lt;&gt;"",_PENDIENTES!$A$442,"")</f>
        <v/>
      </c>
      <c r="C448" s="107" t="str">
        <f aca="false">IF(_PENDIENTES!$B$442&lt;&gt;"",_PENDIENTES!$C$442,"")</f>
        <v/>
      </c>
      <c r="D448" s="106" t="str">
        <f aca="false">IF(_PENDIENTES!$B$442&lt;&gt;"",_PENDIENTES!$D$442,"")</f>
        <v/>
      </c>
      <c r="E448" s="111" t="str">
        <f aca="false">IF(_PENDIENTES!$B$442&lt;&gt;"",_PENDIENTES!$E$442,"")</f>
        <v/>
      </c>
      <c r="F448" s="106" t="str">
        <f aca="false">IF(_PENDIENTES!$B$442&lt;&gt;"",_PENDIENTES!$F$442,"")</f>
        <v/>
      </c>
      <c r="G448" s="50" t="str">
        <f aca="false">IF(_PENDIENTES!$B$442&lt;&gt;"",_PENDIENTES!$G$442,"")</f>
        <v/>
      </c>
      <c r="H448" s="50" t="str">
        <f aca="false">IF(_PENDIENTES!$B$442&lt;&gt;"",_PENDIENTES!$H$442,"")</f>
        <v/>
      </c>
      <c r="I448" s="107" t="str">
        <f aca="false">IF(_PENDIENTES!$B$442&lt;&gt;"",_PENDIENTES!$I$442,"")</f>
        <v/>
      </c>
      <c r="J448" s="106" t="str">
        <f aca="false">IF(_PENDIENTES!$B$442&lt;&gt;"",_PENDIENTES!$J$442,"")</f>
        <v/>
      </c>
      <c r="K448" s="106" t="str">
        <f aca="false">IF(_PENDIENTES!$B$442&lt;&gt;"","POR RECOGER","")</f>
        <v/>
      </c>
      <c r="L448" s="106" t="str">
        <f aca="false">IF(_PENDIENTES!$B$442&lt;&gt;"",_PENDIENTES!$K$442,"")</f>
        <v/>
      </c>
      <c r="M448" s="89" t="str">
        <f aca="false">IF(_PENDIENTES!$B$442&lt;&gt;"",_PENDIENTES!$B$442,"")</f>
        <v/>
      </c>
      <c r="N448" s="109" t="str">
        <f aca="false">IF(_PENDIENTES!$B$442&lt;&gt;"",_PENDIENTES!$L$442,"")</f>
        <v/>
      </c>
      <c r="O448" s="89"/>
      <c r="P448" s="89"/>
      <c r="Q448" s="89"/>
      <c r="R448" s="89"/>
      <c r="S448" s="89"/>
    </row>
    <row r="449" customFormat="false" ht="15.75" hidden="true" customHeight="true" outlineLevel="0" collapsed="false">
      <c r="A449" s="46" t="str">
        <f aca="false">IF(_PENDIENTES!$B$443&lt;&gt;"",442,"")</f>
        <v/>
      </c>
      <c r="B449" s="41" t="str">
        <f aca="false">IF(_PENDIENTES!$B$443&lt;&gt;"",_PENDIENTES!$A$443,"")</f>
        <v/>
      </c>
      <c r="C449" s="110" t="str">
        <f aca="false">IF(_PENDIENTES!$B$443&lt;&gt;"",_PENDIENTES!$C$443,"")</f>
        <v/>
      </c>
      <c r="D449" s="46" t="str">
        <f aca="false">IF(_PENDIENTES!$B$443&lt;&gt;"",_PENDIENTES!$D$443,"")</f>
        <v/>
      </c>
      <c r="E449" s="112" t="str">
        <f aca="false">IF(_PENDIENTES!$B$443&lt;&gt;"",_PENDIENTES!$E$443,"")</f>
        <v/>
      </c>
      <c r="F449" s="46" t="str">
        <f aca="false">IF(_PENDIENTES!$B$443&lt;&gt;"",_PENDIENTES!$F$443,"")</f>
        <v/>
      </c>
      <c r="G449" s="44" t="str">
        <f aca="false">IF(_PENDIENTES!$B$443&lt;&gt;"",_PENDIENTES!$G$443,"")</f>
        <v/>
      </c>
      <c r="H449" s="44" t="str">
        <f aca="false">IF(_PENDIENTES!$B$443&lt;&gt;"",_PENDIENTES!$H$443,"")</f>
        <v/>
      </c>
      <c r="I449" s="110" t="str">
        <f aca="false">IF(_PENDIENTES!$B$443&lt;&gt;"",_PENDIENTES!$I$443,"")</f>
        <v/>
      </c>
      <c r="J449" s="46" t="str">
        <f aca="false">IF(_PENDIENTES!$B$443&lt;&gt;"",_PENDIENTES!$J$443,"")</f>
        <v/>
      </c>
      <c r="K449" s="46" t="str">
        <f aca="false">IF(_PENDIENTES!$B$443&lt;&gt;"","POR RECOGER","")</f>
        <v/>
      </c>
      <c r="L449" s="46" t="str">
        <f aca="false">IF(_PENDIENTES!$B$443&lt;&gt;"",_PENDIENTES!$K$443,"")</f>
        <v/>
      </c>
      <c r="M449" s="89" t="str">
        <f aca="false">IF(_PENDIENTES!$B$443&lt;&gt;"",_PENDIENTES!$B$443,"")</f>
        <v/>
      </c>
      <c r="N449" s="109" t="str">
        <f aca="false">IF(_PENDIENTES!$B$443&lt;&gt;"",_PENDIENTES!$L$443,"")</f>
        <v/>
      </c>
      <c r="O449" s="89"/>
      <c r="P449" s="89"/>
      <c r="Q449" s="89"/>
      <c r="R449" s="89"/>
      <c r="S449" s="89"/>
    </row>
    <row r="450" customFormat="false" ht="15.75" hidden="true" customHeight="true" outlineLevel="0" collapsed="false">
      <c r="A450" s="106" t="str">
        <f aca="false">IF(_PENDIENTES!$B$444&lt;&gt;"",443,"")</f>
        <v/>
      </c>
      <c r="B450" s="47" t="str">
        <f aca="false">IF(_PENDIENTES!$B$444&lt;&gt;"",_PENDIENTES!$A$444,"")</f>
        <v/>
      </c>
      <c r="C450" s="107" t="str">
        <f aca="false">IF(_PENDIENTES!$B$444&lt;&gt;"",_PENDIENTES!$C$444,"")</f>
        <v/>
      </c>
      <c r="D450" s="106" t="str">
        <f aca="false">IF(_PENDIENTES!$B$444&lt;&gt;"",_PENDIENTES!$D$444,"")</f>
        <v/>
      </c>
      <c r="E450" s="111" t="str">
        <f aca="false">IF(_PENDIENTES!$B$444&lt;&gt;"",_PENDIENTES!$E$444,"")</f>
        <v/>
      </c>
      <c r="F450" s="106" t="str">
        <f aca="false">IF(_PENDIENTES!$B$444&lt;&gt;"",_PENDIENTES!$F$444,"")</f>
        <v/>
      </c>
      <c r="G450" s="50" t="str">
        <f aca="false">IF(_PENDIENTES!$B$444&lt;&gt;"",_PENDIENTES!$G$444,"")</f>
        <v/>
      </c>
      <c r="H450" s="50" t="str">
        <f aca="false">IF(_PENDIENTES!$B$444&lt;&gt;"",_PENDIENTES!$H$444,"")</f>
        <v/>
      </c>
      <c r="I450" s="107" t="str">
        <f aca="false">IF(_PENDIENTES!$B$444&lt;&gt;"",_PENDIENTES!$I$444,"")</f>
        <v/>
      </c>
      <c r="J450" s="106" t="str">
        <f aca="false">IF(_PENDIENTES!$B$444&lt;&gt;"",_PENDIENTES!$J$444,"")</f>
        <v/>
      </c>
      <c r="K450" s="106" t="str">
        <f aca="false">IF(_PENDIENTES!$B$444&lt;&gt;"","POR RECOGER","")</f>
        <v/>
      </c>
      <c r="L450" s="106" t="str">
        <f aca="false">IF(_PENDIENTES!$B$444&lt;&gt;"",_PENDIENTES!$K$444,"")</f>
        <v/>
      </c>
      <c r="M450" s="89" t="str">
        <f aca="false">IF(_PENDIENTES!$B$444&lt;&gt;"",_PENDIENTES!$B$444,"")</f>
        <v/>
      </c>
      <c r="N450" s="109" t="str">
        <f aca="false">IF(_PENDIENTES!$B$444&lt;&gt;"",_PENDIENTES!$L$444,"")</f>
        <v/>
      </c>
      <c r="O450" s="89"/>
      <c r="P450" s="89"/>
      <c r="Q450" s="89"/>
      <c r="R450" s="89"/>
      <c r="S450" s="89"/>
    </row>
    <row r="451" customFormat="false" ht="15.75" hidden="true" customHeight="true" outlineLevel="0" collapsed="false">
      <c r="A451" s="46" t="str">
        <f aca="false">IF(_PENDIENTES!$B$445&lt;&gt;"",444,"")</f>
        <v/>
      </c>
      <c r="B451" s="41" t="str">
        <f aca="false">IF(_PENDIENTES!$B$445&lt;&gt;"",_PENDIENTES!$A$445,"")</f>
        <v/>
      </c>
      <c r="C451" s="110" t="str">
        <f aca="false">IF(_PENDIENTES!$B$445&lt;&gt;"",_PENDIENTES!$C$445,"")</f>
        <v/>
      </c>
      <c r="D451" s="46" t="str">
        <f aca="false">IF(_PENDIENTES!$B$445&lt;&gt;"",_PENDIENTES!$D$445,"")</f>
        <v/>
      </c>
      <c r="E451" s="112" t="str">
        <f aca="false">IF(_PENDIENTES!$B$445&lt;&gt;"",_PENDIENTES!$E$445,"")</f>
        <v/>
      </c>
      <c r="F451" s="46" t="str">
        <f aca="false">IF(_PENDIENTES!$B$445&lt;&gt;"",_PENDIENTES!$F$445,"")</f>
        <v/>
      </c>
      <c r="G451" s="44" t="str">
        <f aca="false">IF(_PENDIENTES!$B$445&lt;&gt;"",_PENDIENTES!$G$445,"")</f>
        <v/>
      </c>
      <c r="H451" s="44" t="str">
        <f aca="false">IF(_PENDIENTES!$B$445&lt;&gt;"",_PENDIENTES!$H$445,"")</f>
        <v/>
      </c>
      <c r="I451" s="110" t="str">
        <f aca="false">IF(_PENDIENTES!$B$445&lt;&gt;"",_PENDIENTES!$I$445,"")</f>
        <v/>
      </c>
      <c r="J451" s="46" t="str">
        <f aca="false">IF(_PENDIENTES!$B$445&lt;&gt;"",_PENDIENTES!$J$445,"")</f>
        <v/>
      </c>
      <c r="K451" s="46" t="str">
        <f aca="false">IF(_PENDIENTES!$B$445&lt;&gt;"","POR RECOGER","")</f>
        <v/>
      </c>
      <c r="L451" s="46" t="str">
        <f aca="false">IF(_PENDIENTES!$B$445&lt;&gt;"",_PENDIENTES!$K$445,"")</f>
        <v/>
      </c>
      <c r="M451" s="89" t="str">
        <f aca="false">IF(_PENDIENTES!$B$445&lt;&gt;"",_PENDIENTES!$B$445,"")</f>
        <v/>
      </c>
      <c r="N451" s="109" t="str">
        <f aca="false">IF(_PENDIENTES!$B$445&lt;&gt;"",_PENDIENTES!$L$445,"")</f>
        <v/>
      </c>
      <c r="O451" s="89"/>
      <c r="P451" s="89"/>
      <c r="Q451" s="89"/>
      <c r="R451" s="89"/>
      <c r="S451" s="89"/>
    </row>
    <row r="452" customFormat="false" ht="15.75" hidden="true" customHeight="true" outlineLevel="0" collapsed="false">
      <c r="A452" s="106" t="str">
        <f aca="false">IF(_PENDIENTES!$B$446&lt;&gt;"",445,"")</f>
        <v/>
      </c>
      <c r="B452" s="47" t="str">
        <f aca="false">IF(_PENDIENTES!$B$446&lt;&gt;"",_PENDIENTES!$A$446,"")</f>
        <v/>
      </c>
      <c r="C452" s="107" t="str">
        <f aca="false">IF(_PENDIENTES!$B$446&lt;&gt;"",_PENDIENTES!$C$446,"")</f>
        <v/>
      </c>
      <c r="D452" s="106" t="str">
        <f aca="false">IF(_PENDIENTES!$B$446&lt;&gt;"",_PENDIENTES!$D$446,"")</f>
        <v/>
      </c>
      <c r="E452" s="111" t="str">
        <f aca="false">IF(_PENDIENTES!$B$446&lt;&gt;"",_PENDIENTES!$E$446,"")</f>
        <v/>
      </c>
      <c r="F452" s="106" t="str">
        <f aca="false">IF(_PENDIENTES!$B$446&lt;&gt;"",_PENDIENTES!$F$446,"")</f>
        <v/>
      </c>
      <c r="G452" s="50" t="str">
        <f aca="false">IF(_PENDIENTES!$B$446&lt;&gt;"",_PENDIENTES!$G$446,"")</f>
        <v/>
      </c>
      <c r="H452" s="50" t="str">
        <f aca="false">IF(_PENDIENTES!$B$446&lt;&gt;"",_PENDIENTES!$H$446,"")</f>
        <v/>
      </c>
      <c r="I452" s="107" t="str">
        <f aca="false">IF(_PENDIENTES!$B$446&lt;&gt;"",_PENDIENTES!$I$446,"")</f>
        <v/>
      </c>
      <c r="J452" s="106" t="str">
        <f aca="false">IF(_PENDIENTES!$B$446&lt;&gt;"",_PENDIENTES!$J$446,"")</f>
        <v/>
      </c>
      <c r="K452" s="106" t="str">
        <f aca="false">IF(_PENDIENTES!$B$446&lt;&gt;"","POR RECOGER","")</f>
        <v/>
      </c>
      <c r="L452" s="106" t="str">
        <f aca="false">IF(_PENDIENTES!$B$446&lt;&gt;"",_PENDIENTES!$K$446,"")</f>
        <v/>
      </c>
      <c r="M452" s="89" t="str">
        <f aca="false">IF(_PENDIENTES!$B$446&lt;&gt;"",_PENDIENTES!$B$446,"")</f>
        <v/>
      </c>
      <c r="N452" s="109" t="str">
        <f aca="false">IF(_PENDIENTES!$B$446&lt;&gt;"",_PENDIENTES!$L$446,"")</f>
        <v/>
      </c>
      <c r="O452" s="89"/>
      <c r="P452" s="89"/>
      <c r="Q452" s="89"/>
      <c r="R452" s="89"/>
      <c r="S452" s="89"/>
    </row>
    <row r="453" customFormat="false" ht="15.75" hidden="true" customHeight="true" outlineLevel="0" collapsed="false">
      <c r="A453" s="46" t="str">
        <f aca="false">IF(_PENDIENTES!$B$447&lt;&gt;"",446,"")</f>
        <v/>
      </c>
      <c r="B453" s="41" t="str">
        <f aca="false">IF(_PENDIENTES!$B$447&lt;&gt;"",_PENDIENTES!$A$447,"")</f>
        <v/>
      </c>
      <c r="C453" s="110" t="str">
        <f aca="false">IF(_PENDIENTES!$B$447&lt;&gt;"",_PENDIENTES!$C$447,"")</f>
        <v/>
      </c>
      <c r="D453" s="46" t="str">
        <f aca="false">IF(_PENDIENTES!$B$447&lt;&gt;"",_PENDIENTES!$D$447,"")</f>
        <v/>
      </c>
      <c r="E453" s="112" t="str">
        <f aca="false">IF(_PENDIENTES!$B$447&lt;&gt;"",_PENDIENTES!$E$447,"")</f>
        <v/>
      </c>
      <c r="F453" s="46" t="str">
        <f aca="false">IF(_PENDIENTES!$B$447&lt;&gt;"",_PENDIENTES!$F$447,"")</f>
        <v/>
      </c>
      <c r="G453" s="44" t="str">
        <f aca="false">IF(_PENDIENTES!$B$447&lt;&gt;"",_PENDIENTES!$G$447,"")</f>
        <v/>
      </c>
      <c r="H453" s="44" t="str">
        <f aca="false">IF(_PENDIENTES!$B$447&lt;&gt;"",_PENDIENTES!$H$447,"")</f>
        <v/>
      </c>
      <c r="I453" s="110" t="str">
        <f aca="false">IF(_PENDIENTES!$B$447&lt;&gt;"",_PENDIENTES!$I$447,"")</f>
        <v/>
      </c>
      <c r="J453" s="46" t="str">
        <f aca="false">IF(_PENDIENTES!$B$447&lt;&gt;"",_PENDIENTES!$J$447,"")</f>
        <v/>
      </c>
      <c r="K453" s="46" t="str">
        <f aca="false">IF(_PENDIENTES!$B$447&lt;&gt;"","POR RECOGER","")</f>
        <v/>
      </c>
      <c r="L453" s="46" t="str">
        <f aca="false">IF(_PENDIENTES!$B$447&lt;&gt;"",_PENDIENTES!$K$447,"")</f>
        <v/>
      </c>
      <c r="M453" s="89" t="str">
        <f aca="false">IF(_PENDIENTES!$B$447&lt;&gt;"",_PENDIENTES!$B$447,"")</f>
        <v/>
      </c>
      <c r="N453" s="109" t="str">
        <f aca="false">IF(_PENDIENTES!$B$447&lt;&gt;"",_PENDIENTES!$L$447,"")</f>
        <v/>
      </c>
      <c r="O453" s="89"/>
      <c r="P453" s="89"/>
      <c r="Q453" s="89"/>
      <c r="R453" s="89"/>
      <c r="S453" s="89"/>
    </row>
    <row r="454" customFormat="false" ht="15.75" hidden="true" customHeight="true" outlineLevel="0" collapsed="false">
      <c r="A454" s="106" t="str">
        <f aca="false">IF(_PENDIENTES!$B$448&lt;&gt;"",447,"")</f>
        <v/>
      </c>
      <c r="B454" s="47" t="str">
        <f aca="false">IF(_PENDIENTES!$B$448&lt;&gt;"",_PENDIENTES!$A$448,"")</f>
        <v/>
      </c>
      <c r="C454" s="107" t="str">
        <f aca="false">IF(_PENDIENTES!$B$448&lt;&gt;"",_PENDIENTES!$C$448,"")</f>
        <v/>
      </c>
      <c r="D454" s="106" t="str">
        <f aca="false">IF(_PENDIENTES!$B$448&lt;&gt;"",_PENDIENTES!$D$448,"")</f>
        <v/>
      </c>
      <c r="E454" s="111" t="str">
        <f aca="false">IF(_PENDIENTES!$B$448&lt;&gt;"",_PENDIENTES!$E$448,"")</f>
        <v/>
      </c>
      <c r="F454" s="106" t="str">
        <f aca="false">IF(_PENDIENTES!$B$448&lt;&gt;"",_PENDIENTES!$F$448,"")</f>
        <v/>
      </c>
      <c r="G454" s="50" t="str">
        <f aca="false">IF(_PENDIENTES!$B$448&lt;&gt;"",_PENDIENTES!$G$448,"")</f>
        <v/>
      </c>
      <c r="H454" s="50" t="str">
        <f aca="false">IF(_PENDIENTES!$B$448&lt;&gt;"",_PENDIENTES!$H$448,"")</f>
        <v/>
      </c>
      <c r="I454" s="107" t="str">
        <f aca="false">IF(_PENDIENTES!$B$448&lt;&gt;"",_PENDIENTES!$I$448,"")</f>
        <v/>
      </c>
      <c r="J454" s="106" t="str">
        <f aca="false">IF(_PENDIENTES!$B$448&lt;&gt;"",_PENDIENTES!$J$448,"")</f>
        <v/>
      </c>
      <c r="K454" s="106" t="str">
        <f aca="false">IF(_PENDIENTES!$B$448&lt;&gt;"","POR RECOGER","")</f>
        <v/>
      </c>
      <c r="L454" s="106" t="str">
        <f aca="false">IF(_PENDIENTES!$B$448&lt;&gt;"",_PENDIENTES!$K$448,"")</f>
        <v/>
      </c>
      <c r="M454" s="89" t="str">
        <f aca="false">IF(_PENDIENTES!$B$448&lt;&gt;"",_PENDIENTES!$B$448,"")</f>
        <v/>
      </c>
      <c r="N454" s="109" t="str">
        <f aca="false">IF(_PENDIENTES!$B$448&lt;&gt;"",_PENDIENTES!$L$448,"")</f>
        <v/>
      </c>
      <c r="O454" s="89"/>
      <c r="P454" s="89"/>
      <c r="Q454" s="89"/>
      <c r="R454" s="89"/>
      <c r="S454" s="89"/>
    </row>
    <row r="455" customFormat="false" ht="15.75" hidden="true" customHeight="true" outlineLevel="0" collapsed="false">
      <c r="A455" s="46" t="str">
        <f aca="false">IF(_PENDIENTES!$B$449&lt;&gt;"",448,"")</f>
        <v/>
      </c>
      <c r="B455" s="41" t="str">
        <f aca="false">IF(_PENDIENTES!$B$449&lt;&gt;"",_PENDIENTES!$A$449,"")</f>
        <v/>
      </c>
      <c r="C455" s="110" t="str">
        <f aca="false">IF(_PENDIENTES!$B$449&lt;&gt;"",_PENDIENTES!$C$449,"")</f>
        <v/>
      </c>
      <c r="D455" s="46" t="str">
        <f aca="false">IF(_PENDIENTES!$B$449&lt;&gt;"",_PENDIENTES!$D$449,"")</f>
        <v/>
      </c>
      <c r="E455" s="112" t="str">
        <f aca="false">IF(_PENDIENTES!$B$449&lt;&gt;"",_PENDIENTES!$E$449,"")</f>
        <v/>
      </c>
      <c r="F455" s="46" t="str">
        <f aca="false">IF(_PENDIENTES!$B$449&lt;&gt;"",_PENDIENTES!$F$449,"")</f>
        <v/>
      </c>
      <c r="G455" s="44" t="str">
        <f aca="false">IF(_PENDIENTES!$B$449&lt;&gt;"",_PENDIENTES!$G$449,"")</f>
        <v/>
      </c>
      <c r="H455" s="44" t="str">
        <f aca="false">IF(_PENDIENTES!$B$449&lt;&gt;"",_PENDIENTES!$H$449,"")</f>
        <v/>
      </c>
      <c r="I455" s="110" t="str">
        <f aca="false">IF(_PENDIENTES!$B$449&lt;&gt;"",_PENDIENTES!$I$449,"")</f>
        <v/>
      </c>
      <c r="J455" s="46" t="str">
        <f aca="false">IF(_PENDIENTES!$B$449&lt;&gt;"",_PENDIENTES!$J$449,"")</f>
        <v/>
      </c>
      <c r="K455" s="46" t="str">
        <f aca="false">IF(_PENDIENTES!$B$449&lt;&gt;"","POR RECOGER","")</f>
        <v/>
      </c>
      <c r="L455" s="46" t="str">
        <f aca="false">IF(_PENDIENTES!$B$449&lt;&gt;"",_PENDIENTES!$K$449,"")</f>
        <v/>
      </c>
      <c r="M455" s="89" t="str">
        <f aca="false">IF(_PENDIENTES!$B$449&lt;&gt;"",_PENDIENTES!$B$449,"")</f>
        <v/>
      </c>
      <c r="N455" s="109" t="str">
        <f aca="false">IF(_PENDIENTES!$B$449&lt;&gt;"",_PENDIENTES!$L$449,"")</f>
        <v/>
      </c>
      <c r="O455" s="89"/>
      <c r="P455" s="89"/>
      <c r="Q455" s="89"/>
      <c r="R455" s="89"/>
      <c r="S455" s="89"/>
    </row>
    <row r="456" customFormat="false" ht="15.75" hidden="true" customHeight="true" outlineLevel="0" collapsed="false">
      <c r="A456" s="106" t="str">
        <f aca="false">IF(_PENDIENTES!$B$450&lt;&gt;"",449,"")</f>
        <v/>
      </c>
      <c r="B456" s="47" t="str">
        <f aca="false">IF(_PENDIENTES!$B$450&lt;&gt;"",_PENDIENTES!$A$450,"")</f>
        <v/>
      </c>
      <c r="C456" s="107" t="str">
        <f aca="false">IF(_PENDIENTES!$B$450&lt;&gt;"",_PENDIENTES!$C$450,"")</f>
        <v/>
      </c>
      <c r="D456" s="106" t="str">
        <f aca="false">IF(_PENDIENTES!$B$450&lt;&gt;"",_PENDIENTES!$D$450,"")</f>
        <v/>
      </c>
      <c r="E456" s="111" t="str">
        <f aca="false">IF(_PENDIENTES!$B$450&lt;&gt;"",_PENDIENTES!$E$450,"")</f>
        <v/>
      </c>
      <c r="F456" s="106" t="str">
        <f aca="false">IF(_PENDIENTES!$B$450&lt;&gt;"",_PENDIENTES!$F$450,"")</f>
        <v/>
      </c>
      <c r="G456" s="50" t="str">
        <f aca="false">IF(_PENDIENTES!$B$450&lt;&gt;"",_PENDIENTES!$G$450,"")</f>
        <v/>
      </c>
      <c r="H456" s="50" t="str">
        <f aca="false">IF(_PENDIENTES!$B$450&lt;&gt;"",_PENDIENTES!$H$450,"")</f>
        <v/>
      </c>
      <c r="I456" s="107" t="str">
        <f aca="false">IF(_PENDIENTES!$B$450&lt;&gt;"",_PENDIENTES!$I$450,"")</f>
        <v/>
      </c>
      <c r="J456" s="106" t="str">
        <f aca="false">IF(_PENDIENTES!$B$450&lt;&gt;"",_PENDIENTES!$J$450,"")</f>
        <v/>
      </c>
      <c r="K456" s="106" t="str">
        <f aca="false">IF(_PENDIENTES!$B$450&lt;&gt;"","POR RECOGER","")</f>
        <v/>
      </c>
      <c r="L456" s="106" t="str">
        <f aca="false">IF(_PENDIENTES!$B$450&lt;&gt;"",_PENDIENTES!$K$450,"")</f>
        <v/>
      </c>
      <c r="M456" s="89" t="str">
        <f aca="false">IF(_PENDIENTES!$B$450&lt;&gt;"",_PENDIENTES!$B$450,"")</f>
        <v/>
      </c>
      <c r="N456" s="109" t="str">
        <f aca="false">IF(_PENDIENTES!$B$450&lt;&gt;"",_PENDIENTES!$L$450,"")</f>
        <v/>
      </c>
      <c r="O456" s="89"/>
      <c r="P456" s="89"/>
      <c r="Q456" s="89"/>
      <c r="R456" s="89"/>
      <c r="S456" s="89"/>
    </row>
    <row r="457" customFormat="false" ht="15.75" hidden="true" customHeight="true" outlineLevel="0" collapsed="false">
      <c r="A457" s="46" t="str">
        <f aca="false">IF(_PENDIENTES!$B$451&lt;&gt;"",450,"")</f>
        <v/>
      </c>
      <c r="B457" s="41" t="str">
        <f aca="false">IF(_PENDIENTES!$B$451&lt;&gt;"",_PENDIENTES!$A$451,"")</f>
        <v/>
      </c>
      <c r="C457" s="110" t="str">
        <f aca="false">IF(_PENDIENTES!$B$451&lt;&gt;"",_PENDIENTES!$C$451,"")</f>
        <v/>
      </c>
      <c r="D457" s="46" t="str">
        <f aca="false">IF(_PENDIENTES!$B$451&lt;&gt;"",_PENDIENTES!$D$451,"")</f>
        <v/>
      </c>
      <c r="E457" s="112" t="str">
        <f aca="false">IF(_PENDIENTES!$B$451&lt;&gt;"",_PENDIENTES!$E$451,"")</f>
        <v/>
      </c>
      <c r="F457" s="46" t="str">
        <f aca="false">IF(_PENDIENTES!$B$451&lt;&gt;"",_PENDIENTES!$F$451,"")</f>
        <v/>
      </c>
      <c r="G457" s="44" t="str">
        <f aca="false">IF(_PENDIENTES!$B$451&lt;&gt;"",_PENDIENTES!$G$451,"")</f>
        <v/>
      </c>
      <c r="H457" s="44" t="str">
        <f aca="false">IF(_PENDIENTES!$B$451&lt;&gt;"",_PENDIENTES!$H$451,"")</f>
        <v/>
      </c>
      <c r="I457" s="110" t="str">
        <f aca="false">IF(_PENDIENTES!$B$451&lt;&gt;"",_PENDIENTES!$I$451,"")</f>
        <v/>
      </c>
      <c r="J457" s="46" t="str">
        <f aca="false">IF(_PENDIENTES!$B$451&lt;&gt;"",_PENDIENTES!$J$451,"")</f>
        <v/>
      </c>
      <c r="K457" s="46" t="str">
        <f aca="false">IF(_PENDIENTES!$B$451&lt;&gt;"","POR RECOGER","")</f>
        <v/>
      </c>
      <c r="L457" s="46" t="str">
        <f aca="false">IF(_PENDIENTES!$B$451&lt;&gt;"",_PENDIENTES!$K$451,"")</f>
        <v/>
      </c>
      <c r="M457" s="89" t="str">
        <f aca="false">IF(_PENDIENTES!$B$451&lt;&gt;"",_PENDIENTES!$B$451,"")</f>
        <v/>
      </c>
      <c r="N457" s="109" t="str">
        <f aca="false">IF(_PENDIENTES!$B$451&lt;&gt;"",_PENDIENTES!$L$451,"")</f>
        <v/>
      </c>
      <c r="O457" s="89"/>
      <c r="P457" s="89"/>
      <c r="Q457" s="89"/>
      <c r="R457" s="89"/>
      <c r="S457" s="89"/>
    </row>
    <row r="458" customFormat="false" ht="15.75" hidden="true" customHeight="true" outlineLevel="0" collapsed="false">
      <c r="A458" s="106" t="str">
        <f aca="false">IF(_PENDIENTES!$B$452&lt;&gt;"",451,"")</f>
        <v/>
      </c>
      <c r="B458" s="47" t="str">
        <f aca="false">IF(_PENDIENTES!$B$452&lt;&gt;"",_PENDIENTES!$A$452,"")</f>
        <v/>
      </c>
      <c r="C458" s="107" t="str">
        <f aca="false">IF(_PENDIENTES!$B$452&lt;&gt;"",_PENDIENTES!$C$452,"")</f>
        <v/>
      </c>
      <c r="D458" s="106" t="str">
        <f aca="false">IF(_PENDIENTES!$B$452&lt;&gt;"",_PENDIENTES!$D$452,"")</f>
        <v/>
      </c>
      <c r="E458" s="111" t="str">
        <f aca="false">IF(_PENDIENTES!$B$452&lt;&gt;"",_PENDIENTES!$E$452,"")</f>
        <v/>
      </c>
      <c r="F458" s="106" t="str">
        <f aca="false">IF(_PENDIENTES!$B$452&lt;&gt;"",_PENDIENTES!$F$452,"")</f>
        <v/>
      </c>
      <c r="G458" s="50" t="str">
        <f aca="false">IF(_PENDIENTES!$B$452&lt;&gt;"",_PENDIENTES!$G$452,"")</f>
        <v/>
      </c>
      <c r="H458" s="50" t="str">
        <f aca="false">IF(_PENDIENTES!$B$452&lt;&gt;"",_PENDIENTES!$H$452,"")</f>
        <v/>
      </c>
      <c r="I458" s="107" t="str">
        <f aca="false">IF(_PENDIENTES!$B$452&lt;&gt;"",_PENDIENTES!$I$452,"")</f>
        <v/>
      </c>
      <c r="J458" s="106" t="str">
        <f aca="false">IF(_PENDIENTES!$B$452&lt;&gt;"",_PENDIENTES!$J$452,"")</f>
        <v/>
      </c>
      <c r="K458" s="106" t="str">
        <f aca="false">IF(_PENDIENTES!$B$452&lt;&gt;"","POR RECOGER","")</f>
        <v/>
      </c>
      <c r="L458" s="106" t="str">
        <f aca="false">IF(_PENDIENTES!$B$452&lt;&gt;"",_PENDIENTES!$K$452,"")</f>
        <v/>
      </c>
      <c r="M458" s="89" t="str">
        <f aca="false">IF(_PENDIENTES!$B$452&lt;&gt;"",_PENDIENTES!$B$452,"")</f>
        <v/>
      </c>
      <c r="N458" s="109" t="str">
        <f aca="false">IF(_PENDIENTES!$B$452&lt;&gt;"",_PENDIENTES!$L$452,"")</f>
        <v/>
      </c>
      <c r="O458" s="89"/>
      <c r="P458" s="89"/>
      <c r="Q458" s="89"/>
      <c r="R458" s="89"/>
      <c r="S458" s="89"/>
    </row>
    <row r="459" customFormat="false" ht="15.75" hidden="true" customHeight="true" outlineLevel="0" collapsed="false">
      <c r="A459" s="46" t="str">
        <f aca="false">IF(_PENDIENTES!$B$453&lt;&gt;"",452,"")</f>
        <v/>
      </c>
      <c r="B459" s="41" t="str">
        <f aca="false">IF(_PENDIENTES!$B$453&lt;&gt;"",_PENDIENTES!$A$453,"")</f>
        <v/>
      </c>
      <c r="C459" s="110" t="str">
        <f aca="false">IF(_PENDIENTES!$B$453&lt;&gt;"",_PENDIENTES!$C$453,"")</f>
        <v/>
      </c>
      <c r="D459" s="46" t="str">
        <f aca="false">IF(_PENDIENTES!$B$453&lt;&gt;"",_PENDIENTES!$D$453,"")</f>
        <v/>
      </c>
      <c r="E459" s="112" t="str">
        <f aca="false">IF(_PENDIENTES!$B$453&lt;&gt;"",_PENDIENTES!$E$453,"")</f>
        <v/>
      </c>
      <c r="F459" s="46" t="str">
        <f aca="false">IF(_PENDIENTES!$B$453&lt;&gt;"",_PENDIENTES!$F$453,"")</f>
        <v/>
      </c>
      <c r="G459" s="44" t="str">
        <f aca="false">IF(_PENDIENTES!$B$453&lt;&gt;"",_PENDIENTES!$G$453,"")</f>
        <v/>
      </c>
      <c r="H459" s="44" t="str">
        <f aca="false">IF(_PENDIENTES!$B$453&lt;&gt;"",_PENDIENTES!$H$453,"")</f>
        <v/>
      </c>
      <c r="I459" s="110" t="str">
        <f aca="false">IF(_PENDIENTES!$B$453&lt;&gt;"",_PENDIENTES!$I$453,"")</f>
        <v/>
      </c>
      <c r="J459" s="46" t="str">
        <f aca="false">IF(_PENDIENTES!$B$453&lt;&gt;"",_PENDIENTES!$J$453,"")</f>
        <v/>
      </c>
      <c r="K459" s="46" t="str">
        <f aca="false">IF(_PENDIENTES!$B$453&lt;&gt;"","POR RECOGER","")</f>
        <v/>
      </c>
      <c r="L459" s="46" t="str">
        <f aca="false">IF(_PENDIENTES!$B$453&lt;&gt;"",_PENDIENTES!$K$453,"")</f>
        <v/>
      </c>
      <c r="M459" s="89" t="str">
        <f aca="false">IF(_PENDIENTES!$B$453&lt;&gt;"",_PENDIENTES!$B$453,"")</f>
        <v/>
      </c>
      <c r="N459" s="109" t="str">
        <f aca="false">IF(_PENDIENTES!$B$453&lt;&gt;"",_PENDIENTES!$L$453,"")</f>
        <v/>
      </c>
      <c r="O459" s="89"/>
      <c r="P459" s="89"/>
      <c r="Q459" s="89"/>
      <c r="R459" s="89"/>
      <c r="S459" s="89"/>
    </row>
    <row r="460" customFormat="false" ht="15.75" hidden="true" customHeight="true" outlineLevel="0" collapsed="false">
      <c r="A460" s="106" t="str">
        <f aca="false">IF(_PENDIENTES!$B$454&lt;&gt;"",453,"")</f>
        <v/>
      </c>
      <c r="B460" s="47" t="str">
        <f aca="false">IF(_PENDIENTES!$B$454&lt;&gt;"",_PENDIENTES!$A$454,"")</f>
        <v/>
      </c>
      <c r="C460" s="107" t="str">
        <f aca="false">IF(_PENDIENTES!$B$454&lt;&gt;"",_PENDIENTES!$C$454,"")</f>
        <v/>
      </c>
      <c r="D460" s="106" t="str">
        <f aca="false">IF(_PENDIENTES!$B$454&lt;&gt;"",_PENDIENTES!$D$454,"")</f>
        <v/>
      </c>
      <c r="E460" s="111" t="str">
        <f aca="false">IF(_PENDIENTES!$B$454&lt;&gt;"",_PENDIENTES!$E$454,"")</f>
        <v/>
      </c>
      <c r="F460" s="106" t="str">
        <f aca="false">IF(_PENDIENTES!$B$454&lt;&gt;"",_PENDIENTES!$F$454,"")</f>
        <v/>
      </c>
      <c r="G460" s="50" t="str">
        <f aca="false">IF(_PENDIENTES!$B$454&lt;&gt;"",_PENDIENTES!$G$454,"")</f>
        <v/>
      </c>
      <c r="H460" s="50" t="str">
        <f aca="false">IF(_PENDIENTES!$B$454&lt;&gt;"",_PENDIENTES!$H$454,"")</f>
        <v/>
      </c>
      <c r="I460" s="107" t="str">
        <f aca="false">IF(_PENDIENTES!$B$454&lt;&gt;"",_PENDIENTES!$I$454,"")</f>
        <v/>
      </c>
      <c r="J460" s="106" t="str">
        <f aca="false">IF(_PENDIENTES!$B$454&lt;&gt;"",_PENDIENTES!$J$454,"")</f>
        <v/>
      </c>
      <c r="K460" s="106" t="str">
        <f aca="false">IF(_PENDIENTES!$B$454&lt;&gt;"","POR RECOGER","")</f>
        <v/>
      </c>
      <c r="L460" s="106" t="str">
        <f aca="false">IF(_PENDIENTES!$B$454&lt;&gt;"",_PENDIENTES!$K$454,"")</f>
        <v/>
      </c>
      <c r="M460" s="89" t="str">
        <f aca="false">IF(_PENDIENTES!$B$454&lt;&gt;"",_PENDIENTES!$B$454,"")</f>
        <v/>
      </c>
      <c r="N460" s="109" t="str">
        <f aca="false">IF(_PENDIENTES!$B$454&lt;&gt;"",_PENDIENTES!$L$454,"")</f>
        <v/>
      </c>
      <c r="O460" s="89"/>
      <c r="P460" s="89"/>
      <c r="Q460" s="89"/>
      <c r="R460" s="89"/>
      <c r="S460" s="89"/>
    </row>
    <row r="461" customFormat="false" ht="15.75" hidden="true" customHeight="true" outlineLevel="0" collapsed="false">
      <c r="A461" s="46" t="str">
        <f aca="false">IF(_PENDIENTES!$B$455&lt;&gt;"",454,"")</f>
        <v/>
      </c>
      <c r="B461" s="41" t="str">
        <f aca="false">IF(_PENDIENTES!$B$455&lt;&gt;"",_PENDIENTES!$A$455,"")</f>
        <v/>
      </c>
      <c r="C461" s="110" t="str">
        <f aca="false">IF(_PENDIENTES!$B$455&lt;&gt;"",_PENDIENTES!$C$455,"")</f>
        <v/>
      </c>
      <c r="D461" s="46" t="str">
        <f aca="false">IF(_PENDIENTES!$B$455&lt;&gt;"",_PENDIENTES!$D$455,"")</f>
        <v/>
      </c>
      <c r="E461" s="112" t="str">
        <f aca="false">IF(_PENDIENTES!$B$455&lt;&gt;"",_PENDIENTES!$E$455,"")</f>
        <v/>
      </c>
      <c r="F461" s="46" t="str">
        <f aca="false">IF(_PENDIENTES!$B$455&lt;&gt;"",_PENDIENTES!$F$455,"")</f>
        <v/>
      </c>
      <c r="G461" s="44" t="str">
        <f aca="false">IF(_PENDIENTES!$B$455&lt;&gt;"",_PENDIENTES!$G$455,"")</f>
        <v/>
      </c>
      <c r="H461" s="44" t="str">
        <f aca="false">IF(_PENDIENTES!$B$455&lt;&gt;"",_PENDIENTES!$H$455,"")</f>
        <v/>
      </c>
      <c r="I461" s="110" t="str">
        <f aca="false">IF(_PENDIENTES!$B$455&lt;&gt;"",_PENDIENTES!$I$455,"")</f>
        <v/>
      </c>
      <c r="J461" s="46" t="str">
        <f aca="false">IF(_PENDIENTES!$B$455&lt;&gt;"",_PENDIENTES!$J$455,"")</f>
        <v/>
      </c>
      <c r="K461" s="46" t="str">
        <f aca="false">IF(_PENDIENTES!$B$455&lt;&gt;"","POR RECOGER","")</f>
        <v/>
      </c>
      <c r="L461" s="46" t="str">
        <f aca="false">IF(_PENDIENTES!$B$455&lt;&gt;"",_PENDIENTES!$K$455,"")</f>
        <v/>
      </c>
      <c r="M461" s="89" t="str">
        <f aca="false">IF(_PENDIENTES!$B$455&lt;&gt;"",_PENDIENTES!$B$455,"")</f>
        <v/>
      </c>
      <c r="N461" s="109" t="str">
        <f aca="false">IF(_PENDIENTES!$B$455&lt;&gt;"",_PENDIENTES!$L$455,"")</f>
        <v/>
      </c>
      <c r="O461" s="89"/>
      <c r="P461" s="89"/>
      <c r="Q461" s="89"/>
      <c r="R461" s="89"/>
      <c r="S461" s="89"/>
    </row>
    <row r="462" customFormat="false" ht="15.75" hidden="true" customHeight="true" outlineLevel="0" collapsed="false">
      <c r="A462" s="106" t="str">
        <f aca="false">IF(_PENDIENTES!$B$456&lt;&gt;"",455,"")</f>
        <v/>
      </c>
      <c r="B462" s="47" t="str">
        <f aca="false">IF(_PENDIENTES!$B$456&lt;&gt;"",_PENDIENTES!$A$456,"")</f>
        <v/>
      </c>
      <c r="C462" s="107" t="str">
        <f aca="false">IF(_PENDIENTES!$B$456&lt;&gt;"",_PENDIENTES!$C$456,"")</f>
        <v/>
      </c>
      <c r="D462" s="106" t="str">
        <f aca="false">IF(_PENDIENTES!$B$456&lt;&gt;"",_PENDIENTES!$D$456,"")</f>
        <v/>
      </c>
      <c r="E462" s="111" t="str">
        <f aca="false">IF(_PENDIENTES!$B$456&lt;&gt;"",_PENDIENTES!$E$456,"")</f>
        <v/>
      </c>
      <c r="F462" s="106" t="str">
        <f aca="false">IF(_PENDIENTES!$B$456&lt;&gt;"",_PENDIENTES!$F$456,"")</f>
        <v/>
      </c>
      <c r="G462" s="50" t="str">
        <f aca="false">IF(_PENDIENTES!$B$456&lt;&gt;"",_PENDIENTES!$G$456,"")</f>
        <v/>
      </c>
      <c r="H462" s="50" t="str">
        <f aca="false">IF(_PENDIENTES!$B$456&lt;&gt;"",_PENDIENTES!$H$456,"")</f>
        <v/>
      </c>
      <c r="I462" s="107" t="str">
        <f aca="false">IF(_PENDIENTES!$B$456&lt;&gt;"",_PENDIENTES!$I$456,"")</f>
        <v/>
      </c>
      <c r="J462" s="106" t="str">
        <f aca="false">IF(_PENDIENTES!$B$456&lt;&gt;"",_PENDIENTES!$J$456,"")</f>
        <v/>
      </c>
      <c r="K462" s="106" t="str">
        <f aca="false">IF(_PENDIENTES!$B$456&lt;&gt;"","POR RECOGER","")</f>
        <v/>
      </c>
      <c r="L462" s="106" t="str">
        <f aca="false">IF(_PENDIENTES!$B$456&lt;&gt;"",_PENDIENTES!$K$456,"")</f>
        <v/>
      </c>
      <c r="M462" s="89" t="str">
        <f aca="false">IF(_PENDIENTES!$B$456&lt;&gt;"",_PENDIENTES!$B$456,"")</f>
        <v/>
      </c>
      <c r="N462" s="109" t="str">
        <f aca="false">IF(_PENDIENTES!$B$456&lt;&gt;"",_PENDIENTES!$L$456,"")</f>
        <v/>
      </c>
      <c r="O462" s="89"/>
      <c r="P462" s="89"/>
      <c r="Q462" s="89"/>
      <c r="R462" s="89"/>
      <c r="S462" s="89"/>
    </row>
    <row r="463" customFormat="false" ht="15.75" hidden="true" customHeight="true" outlineLevel="0" collapsed="false">
      <c r="A463" s="46" t="str">
        <f aca="false">IF(_PENDIENTES!$B$457&lt;&gt;"",456,"")</f>
        <v/>
      </c>
      <c r="B463" s="41" t="str">
        <f aca="false">IF(_PENDIENTES!$B$457&lt;&gt;"",_PENDIENTES!$A$457,"")</f>
        <v/>
      </c>
      <c r="C463" s="110" t="str">
        <f aca="false">IF(_PENDIENTES!$B$457&lt;&gt;"",_PENDIENTES!$C$457,"")</f>
        <v/>
      </c>
      <c r="D463" s="46" t="str">
        <f aca="false">IF(_PENDIENTES!$B$457&lt;&gt;"",_PENDIENTES!$D$457,"")</f>
        <v/>
      </c>
      <c r="E463" s="112" t="str">
        <f aca="false">IF(_PENDIENTES!$B$457&lt;&gt;"",_PENDIENTES!$E$457,"")</f>
        <v/>
      </c>
      <c r="F463" s="46" t="str">
        <f aca="false">IF(_PENDIENTES!$B$457&lt;&gt;"",_PENDIENTES!$F$457,"")</f>
        <v/>
      </c>
      <c r="G463" s="44" t="str">
        <f aca="false">IF(_PENDIENTES!$B$457&lt;&gt;"",_PENDIENTES!$G$457,"")</f>
        <v/>
      </c>
      <c r="H463" s="44" t="str">
        <f aca="false">IF(_PENDIENTES!$B$457&lt;&gt;"",_PENDIENTES!$H$457,"")</f>
        <v/>
      </c>
      <c r="I463" s="110" t="str">
        <f aca="false">IF(_PENDIENTES!$B$457&lt;&gt;"",_PENDIENTES!$I$457,"")</f>
        <v/>
      </c>
      <c r="J463" s="46" t="str">
        <f aca="false">IF(_PENDIENTES!$B$457&lt;&gt;"",_PENDIENTES!$J$457,"")</f>
        <v/>
      </c>
      <c r="K463" s="46" t="str">
        <f aca="false">IF(_PENDIENTES!$B$457&lt;&gt;"","POR RECOGER","")</f>
        <v/>
      </c>
      <c r="L463" s="46" t="str">
        <f aca="false">IF(_PENDIENTES!$B$457&lt;&gt;"",_PENDIENTES!$K$457,"")</f>
        <v/>
      </c>
      <c r="M463" s="89" t="str">
        <f aca="false">IF(_PENDIENTES!$B$457&lt;&gt;"",_PENDIENTES!$B$457,"")</f>
        <v/>
      </c>
      <c r="N463" s="109" t="str">
        <f aca="false">IF(_PENDIENTES!$B$457&lt;&gt;"",_PENDIENTES!$L$457,"")</f>
        <v/>
      </c>
      <c r="O463" s="89"/>
      <c r="P463" s="89"/>
      <c r="Q463" s="89"/>
      <c r="R463" s="89"/>
      <c r="S463" s="89"/>
    </row>
    <row r="464" customFormat="false" ht="15.75" hidden="true" customHeight="true" outlineLevel="0" collapsed="false">
      <c r="A464" s="106" t="str">
        <f aca="false">IF(_PENDIENTES!$B$458&lt;&gt;"",457,"")</f>
        <v/>
      </c>
      <c r="B464" s="47" t="str">
        <f aca="false">IF(_PENDIENTES!$B$458&lt;&gt;"",_PENDIENTES!$A$458,"")</f>
        <v/>
      </c>
      <c r="C464" s="107" t="str">
        <f aca="false">IF(_PENDIENTES!$B$458&lt;&gt;"",_PENDIENTES!$C$458,"")</f>
        <v/>
      </c>
      <c r="D464" s="106" t="str">
        <f aca="false">IF(_PENDIENTES!$B$458&lt;&gt;"",_PENDIENTES!$D$458,"")</f>
        <v/>
      </c>
      <c r="E464" s="111" t="str">
        <f aca="false">IF(_PENDIENTES!$B$458&lt;&gt;"",_PENDIENTES!$E$458,"")</f>
        <v/>
      </c>
      <c r="F464" s="106" t="str">
        <f aca="false">IF(_PENDIENTES!$B$458&lt;&gt;"",_PENDIENTES!$F$458,"")</f>
        <v/>
      </c>
      <c r="G464" s="50" t="str">
        <f aca="false">IF(_PENDIENTES!$B$458&lt;&gt;"",_PENDIENTES!$G$458,"")</f>
        <v/>
      </c>
      <c r="H464" s="50" t="str">
        <f aca="false">IF(_PENDIENTES!$B$458&lt;&gt;"",_PENDIENTES!$H$458,"")</f>
        <v/>
      </c>
      <c r="I464" s="107" t="str">
        <f aca="false">IF(_PENDIENTES!$B$458&lt;&gt;"",_PENDIENTES!$I$458,"")</f>
        <v/>
      </c>
      <c r="J464" s="106" t="str">
        <f aca="false">IF(_PENDIENTES!$B$458&lt;&gt;"",_PENDIENTES!$J$458,"")</f>
        <v/>
      </c>
      <c r="K464" s="106" t="str">
        <f aca="false">IF(_PENDIENTES!$B$458&lt;&gt;"","POR RECOGER","")</f>
        <v/>
      </c>
      <c r="L464" s="106" t="str">
        <f aca="false">IF(_PENDIENTES!$B$458&lt;&gt;"",_PENDIENTES!$K$458,"")</f>
        <v/>
      </c>
      <c r="M464" s="89" t="str">
        <f aca="false">IF(_PENDIENTES!$B$458&lt;&gt;"",_PENDIENTES!$B$458,"")</f>
        <v/>
      </c>
      <c r="N464" s="109" t="str">
        <f aca="false">IF(_PENDIENTES!$B$458&lt;&gt;"",_PENDIENTES!$L$458,"")</f>
        <v/>
      </c>
      <c r="O464" s="89"/>
      <c r="P464" s="89"/>
      <c r="Q464" s="89"/>
      <c r="R464" s="89"/>
      <c r="S464" s="89"/>
    </row>
    <row r="465" customFormat="false" ht="15.75" hidden="true" customHeight="true" outlineLevel="0" collapsed="false">
      <c r="A465" s="46" t="str">
        <f aca="false">IF(_PENDIENTES!$B$459&lt;&gt;"",458,"")</f>
        <v/>
      </c>
      <c r="B465" s="41" t="str">
        <f aca="false">IF(_PENDIENTES!$B$459&lt;&gt;"",_PENDIENTES!$A$459,"")</f>
        <v/>
      </c>
      <c r="C465" s="110" t="str">
        <f aca="false">IF(_PENDIENTES!$B$459&lt;&gt;"",_PENDIENTES!$C$459,"")</f>
        <v/>
      </c>
      <c r="D465" s="46" t="str">
        <f aca="false">IF(_PENDIENTES!$B$459&lt;&gt;"",_PENDIENTES!$D$459,"")</f>
        <v/>
      </c>
      <c r="E465" s="112" t="str">
        <f aca="false">IF(_PENDIENTES!$B$459&lt;&gt;"",_PENDIENTES!$E$459,"")</f>
        <v/>
      </c>
      <c r="F465" s="46" t="str">
        <f aca="false">IF(_PENDIENTES!$B$459&lt;&gt;"",_PENDIENTES!$F$459,"")</f>
        <v/>
      </c>
      <c r="G465" s="44" t="str">
        <f aca="false">IF(_PENDIENTES!$B$459&lt;&gt;"",_PENDIENTES!$G$459,"")</f>
        <v/>
      </c>
      <c r="H465" s="44" t="str">
        <f aca="false">IF(_PENDIENTES!$B$459&lt;&gt;"",_PENDIENTES!$H$459,"")</f>
        <v/>
      </c>
      <c r="I465" s="110" t="str">
        <f aca="false">IF(_PENDIENTES!$B$459&lt;&gt;"",_PENDIENTES!$I$459,"")</f>
        <v/>
      </c>
      <c r="J465" s="46" t="str">
        <f aca="false">IF(_PENDIENTES!$B$459&lt;&gt;"",_PENDIENTES!$J$459,"")</f>
        <v/>
      </c>
      <c r="K465" s="46" t="str">
        <f aca="false">IF(_PENDIENTES!$B$459&lt;&gt;"","POR RECOGER","")</f>
        <v/>
      </c>
      <c r="L465" s="46" t="str">
        <f aca="false">IF(_PENDIENTES!$B$459&lt;&gt;"",_PENDIENTES!$K$459,"")</f>
        <v/>
      </c>
      <c r="M465" s="89" t="str">
        <f aca="false">IF(_PENDIENTES!$B$459&lt;&gt;"",_PENDIENTES!$B$459,"")</f>
        <v/>
      </c>
      <c r="N465" s="109" t="str">
        <f aca="false">IF(_PENDIENTES!$B$459&lt;&gt;"",_PENDIENTES!$L$459,"")</f>
        <v/>
      </c>
      <c r="O465" s="89"/>
      <c r="P465" s="89"/>
      <c r="Q465" s="89"/>
      <c r="R465" s="89"/>
      <c r="S465" s="89"/>
    </row>
    <row r="466" customFormat="false" ht="15.75" hidden="true" customHeight="true" outlineLevel="0" collapsed="false">
      <c r="A466" s="106" t="str">
        <f aca="false">IF(_PENDIENTES!$B$460&lt;&gt;"",459,"")</f>
        <v/>
      </c>
      <c r="B466" s="47" t="str">
        <f aca="false">IF(_PENDIENTES!$B$460&lt;&gt;"",_PENDIENTES!$A$460,"")</f>
        <v/>
      </c>
      <c r="C466" s="107" t="str">
        <f aca="false">IF(_PENDIENTES!$B$460&lt;&gt;"",_PENDIENTES!$C$460,"")</f>
        <v/>
      </c>
      <c r="D466" s="106" t="str">
        <f aca="false">IF(_PENDIENTES!$B$460&lt;&gt;"",_PENDIENTES!$D$460,"")</f>
        <v/>
      </c>
      <c r="E466" s="111" t="str">
        <f aca="false">IF(_PENDIENTES!$B$460&lt;&gt;"",_PENDIENTES!$E$460,"")</f>
        <v/>
      </c>
      <c r="F466" s="106" t="str">
        <f aca="false">IF(_PENDIENTES!$B$460&lt;&gt;"",_PENDIENTES!$F$460,"")</f>
        <v/>
      </c>
      <c r="G466" s="50" t="str">
        <f aca="false">IF(_PENDIENTES!$B$460&lt;&gt;"",_PENDIENTES!$G$460,"")</f>
        <v/>
      </c>
      <c r="H466" s="50" t="str">
        <f aca="false">IF(_PENDIENTES!$B$460&lt;&gt;"",_PENDIENTES!$H$460,"")</f>
        <v/>
      </c>
      <c r="I466" s="107" t="str">
        <f aca="false">IF(_PENDIENTES!$B$460&lt;&gt;"",_PENDIENTES!$I$460,"")</f>
        <v/>
      </c>
      <c r="J466" s="106" t="str">
        <f aca="false">IF(_PENDIENTES!$B$460&lt;&gt;"",_PENDIENTES!$J$460,"")</f>
        <v/>
      </c>
      <c r="K466" s="106" t="str">
        <f aca="false">IF(_PENDIENTES!$B$460&lt;&gt;"","POR RECOGER","")</f>
        <v/>
      </c>
      <c r="L466" s="106" t="str">
        <f aca="false">IF(_PENDIENTES!$B$460&lt;&gt;"",_PENDIENTES!$K$460,"")</f>
        <v/>
      </c>
      <c r="M466" s="89" t="str">
        <f aca="false">IF(_PENDIENTES!$B$460&lt;&gt;"",_PENDIENTES!$B$460,"")</f>
        <v/>
      </c>
      <c r="N466" s="109" t="str">
        <f aca="false">IF(_PENDIENTES!$B$460&lt;&gt;"",_PENDIENTES!$L$460,"")</f>
        <v/>
      </c>
      <c r="O466" s="89"/>
      <c r="P466" s="89"/>
      <c r="Q466" s="89"/>
      <c r="R466" s="89"/>
      <c r="S466" s="89"/>
    </row>
    <row r="467" customFormat="false" ht="15.75" hidden="true" customHeight="true" outlineLevel="0" collapsed="false">
      <c r="A467" s="46" t="str">
        <f aca="false">IF(_PENDIENTES!$B$461&lt;&gt;"",460,"")</f>
        <v/>
      </c>
      <c r="B467" s="41" t="str">
        <f aca="false">IF(_PENDIENTES!$B$461&lt;&gt;"",_PENDIENTES!$A$461,"")</f>
        <v/>
      </c>
      <c r="C467" s="110" t="str">
        <f aca="false">IF(_PENDIENTES!$B$461&lt;&gt;"",_PENDIENTES!$C$461,"")</f>
        <v/>
      </c>
      <c r="D467" s="46" t="str">
        <f aca="false">IF(_PENDIENTES!$B$461&lt;&gt;"",_PENDIENTES!$D$461,"")</f>
        <v/>
      </c>
      <c r="E467" s="112" t="str">
        <f aca="false">IF(_PENDIENTES!$B$461&lt;&gt;"",_PENDIENTES!$E$461,"")</f>
        <v/>
      </c>
      <c r="F467" s="46" t="str">
        <f aca="false">IF(_PENDIENTES!$B$461&lt;&gt;"",_PENDIENTES!$F$461,"")</f>
        <v/>
      </c>
      <c r="G467" s="44" t="str">
        <f aca="false">IF(_PENDIENTES!$B$461&lt;&gt;"",_PENDIENTES!$G$461,"")</f>
        <v/>
      </c>
      <c r="H467" s="44" t="str">
        <f aca="false">IF(_PENDIENTES!$B$461&lt;&gt;"",_PENDIENTES!$H$461,"")</f>
        <v/>
      </c>
      <c r="I467" s="110" t="str">
        <f aca="false">IF(_PENDIENTES!$B$461&lt;&gt;"",_PENDIENTES!$I$461,"")</f>
        <v/>
      </c>
      <c r="J467" s="46" t="str">
        <f aca="false">IF(_PENDIENTES!$B$461&lt;&gt;"",_PENDIENTES!$J$461,"")</f>
        <v/>
      </c>
      <c r="K467" s="46" t="str">
        <f aca="false">IF(_PENDIENTES!$B$461&lt;&gt;"","POR RECOGER","")</f>
        <v/>
      </c>
      <c r="L467" s="46" t="str">
        <f aca="false">IF(_PENDIENTES!$B$461&lt;&gt;"",_PENDIENTES!$K$461,"")</f>
        <v/>
      </c>
      <c r="M467" s="89" t="str">
        <f aca="false">IF(_PENDIENTES!$B$461&lt;&gt;"",_PENDIENTES!$B$461,"")</f>
        <v/>
      </c>
      <c r="N467" s="109" t="str">
        <f aca="false">IF(_PENDIENTES!$B$461&lt;&gt;"",_PENDIENTES!$L$461,"")</f>
        <v/>
      </c>
      <c r="O467" s="89"/>
      <c r="P467" s="89"/>
      <c r="Q467" s="89"/>
      <c r="R467" s="89"/>
      <c r="S467" s="89"/>
    </row>
    <row r="468" customFormat="false" ht="15.75" hidden="true" customHeight="true" outlineLevel="0" collapsed="false">
      <c r="A468" s="106" t="str">
        <f aca="false">IF(_PENDIENTES!$B$462&lt;&gt;"",461,"")</f>
        <v/>
      </c>
      <c r="B468" s="47" t="str">
        <f aca="false">IF(_PENDIENTES!$B$462&lt;&gt;"",_PENDIENTES!$A$462,"")</f>
        <v/>
      </c>
      <c r="C468" s="107" t="str">
        <f aca="false">IF(_PENDIENTES!$B$462&lt;&gt;"",_PENDIENTES!$C$462,"")</f>
        <v/>
      </c>
      <c r="D468" s="106" t="str">
        <f aca="false">IF(_PENDIENTES!$B$462&lt;&gt;"",_PENDIENTES!$D$462,"")</f>
        <v/>
      </c>
      <c r="E468" s="111" t="str">
        <f aca="false">IF(_PENDIENTES!$B$462&lt;&gt;"",_PENDIENTES!$E$462,"")</f>
        <v/>
      </c>
      <c r="F468" s="106" t="str">
        <f aca="false">IF(_PENDIENTES!$B$462&lt;&gt;"",_PENDIENTES!$F$462,"")</f>
        <v/>
      </c>
      <c r="G468" s="50" t="str">
        <f aca="false">IF(_PENDIENTES!$B$462&lt;&gt;"",_PENDIENTES!$G$462,"")</f>
        <v/>
      </c>
      <c r="H468" s="50" t="str">
        <f aca="false">IF(_PENDIENTES!$B$462&lt;&gt;"",_PENDIENTES!$H$462,"")</f>
        <v/>
      </c>
      <c r="I468" s="107" t="str">
        <f aca="false">IF(_PENDIENTES!$B$462&lt;&gt;"",_PENDIENTES!$I$462,"")</f>
        <v/>
      </c>
      <c r="J468" s="106" t="str">
        <f aca="false">IF(_PENDIENTES!$B$462&lt;&gt;"",_PENDIENTES!$J$462,"")</f>
        <v/>
      </c>
      <c r="K468" s="106" t="str">
        <f aca="false">IF(_PENDIENTES!$B$462&lt;&gt;"","POR RECOGER","")</f>
        <v/>
      </c>
      <c r="L468" s="106" t="str">
        <f aca="false">IF(_PENDIENTES!$B$462&lt;&gt;"",_PENDIENTES!$K$462,"")</f>
        <v/>
      </c>
      <c r="M468" s="89" t="str">
        <f aca="false">IF(_PENDIENTES!$B$462&lt;&gt;"",_PENDIENTES!$B$462,"")</f>
        <v/>
      </c>
      <c r="N468" s="109" t="str">
        <f aca="false">IF(_PENDIENTES!$B$462&lt;&gt;"",_PENDIENTES!$L$462,"")</f>
        <v/>
      </c>
      <c r="O468" s="89"/>
      <c r="P468" s="89"/>
      <c r="Q468" s="89"/>
      <c r="R468" s="89"/>
      <c r="S468" s="89"/>
    </row>
    <row r="469" customFormat="false" ht="15.75" hidden="true" customHeight="true" outlineLevel="0" collapsed="false">
      <c r="A469" s="46" t="str">
        <f aca="false">IF(_PENDIENTES!$B$463&lt;&gt;"",462,"")</f>
        <v/>
      </c>
      <c r="B469" s="41" t="str">
        <f aca="false">IF(_PENDIENTES!$B$463&lt;&gt;"",_PENDIENTES!$A$463,"")</f>
        <v/>
      </c>
      <c r="C469" s="110" t="str">
        <f aca="false">IF(_PENDIENTES!$B$463&lt;&gt;"",_PENDIENTES!$C$463,"")</f>
        <v/>
      </c>
      <c r="D469" s="46" t="str">
        <f aca="false">IF(_PENDIENTES!$B$463&lt;&gt;"",_PENDIENTES!$D$463,"")</f>
        <v/>
      </c>
      <c r="E469" s="112" t="str">
        <f aca="false">IF(_PENDIENTES!$B$463&lt;&gt;"",_PENDIENTES!$E$463,"")</f>
        <v/>
      </c>
      <c r="F469" s="46" t="str">
        <f aca="false">IF(_PENDIENTES!$B$463&lt;&gt;"",_PENDIENTES!$F$463,"")</f>
        <v/>
      </c>
      <c r="G469" s="44" t="str">
        <f aca="false">IF(_PENDIENTES!$B$463&lt;&gt;"",_PENDIENTES!$G$463,"")</f>
        <v/>
      </c>
      <c r="H469" s="44" t="str">
        <f aca="false">IF(_PENDIENTES!$B$463&lt;&gt;"",_PENDIENTES!$H$463,"")</f>
        <v/>
      </c>
      <c r="I469" s="110" t="str">
        <f aca="false">IF(_PENDIENTES!$B$463&lt;&gt;"",_PENDIENTES!$I$463,"")</f>
        <v/>
      </c>
      <c r="J469" s="46" t="str">
        <f aca="false">IF(_PENDIENTES!$B$463&lt;&gt;"",_PENDIENTES!$J$463,"")</f>
        <v/>
      </c>
      <c r="K469" s="46" t="str">
        <f aca="false">IF(_PENDIENTES!$B$463&lt;&gt;"","POR RECOGER","")</f>
        <v/>
      </c>
      <c r="L469" s="46" t="str">
        <f aca="false">IF(_PENDIENTES!$B$463&lt;&gt;"",_PENDIENTES!$K$463,"")</f>
        <v/>
      </c>
      <c r="M469" s="89" t="str">
        <f aca="false">IF(_PENDIENTES!$B$463&lt;&gt;"",_PENDIENTES!$B$463,"")</f>
        <v/>
      </c>
      <c r="N469" s="109" t="str">
        <f aca="false">IF(_PENDIENTES!$B$463&lt;&gt;"",_PENDIENTES!$L$463,"")</f>
        <v/>
      </c>
      <c r="O469" s="89"/>
      <c r="P469" s="89"/>
      <c r="Q469" s="89"/>
      <c r="R469" s="89"/>
      <c r="S469" s="89"/>
    </row>
    <row r="470" customFormat="false" ht="15.75" hidden="true" customHeight="true" outlineLevel="0" collapsed="false">
      <c r="A470" s="106" t="str">
        <f aca="false">IF(_PENDIENTES!$B$464&lt;&gt;"",463,"")</f>
        <v/>
      </c>
      <c r="B470" s="47" t="str">
        <f aca="false">IF(_PENDIENTES!$B$464&lt;&gt;"",_PENDIENTES!$A$464,"")</f>
        <v/>
      </c>
      <c r="C470" s="107" t="str">
        <f aca="false">IF(_PENDIENTES!$B$464&lt;&gt;"",_PENDIENTES!$C$464,"")</f>
        <v/>
      </c>
      <c r="D470" s="106" t="str">
        <f aca="false">IF(_PENDIENTES!$B$464&lt;&gt;"",_PENDIENTES!$D$464,"")</f>
        <v/>
      </c>
      <c r="E470" s="111" t="str">
        <f aca="false">IF(_PENDIENTES!$B$464&lt;&gt;"",_PENDIENTES!$E$464,"")</f>
        <v/>
      </c>
      <c r="F470" s="106" t="str">
        <f aca="false">IF(_PENDIENTES!$B$464&lt;&gt;"",_PENDIENTES!$F$464,"")</f>
        <v/>
      </c>
      <c r="G470" s="50" t="str">
        <f aca="false">IF(_PENDIENTES!$B$464&lt;&gt;"",_PENDIENTES!$G$464,"")</f>
        <v/>
      </c>
      <c r="H470" s="50" t="str">
        <f aca="false">IF(_PENDIENTES!$B$464&lt;&gt;"",_PENDIENTES!$H$464,"")</f>
        <v/>
      </c>
      <c r="I470" s="107" t="str">
        <f aca="false">IF(_PENDIENTES!$B$464&lt;&gt;"",_PENDIENTES!$I$464,"")</f>
        <v/>
      </c>
      <c r="J470" s="106" t="str">
        <f aca="false">IF(_PENDIENTES!$B$464&lt;&gt;"",_PENDIENTES!$J$464,"")</f>
        <v/>
      </c>
      <c r="K470" s="106" t="str">
        <f aca="false">IF(_PENDIENTES!$B$464&lt;&gt;"","POR RECOGER","")</f>
        <v/>
      </c>
      <c r="L470" s="106" t="str">
        <f aca="false">IF(_PENDIENTES!$B$464&lt;&gt;"",_PENDIENTES!$K$464,"")</f>
        <v/>
      </c>
      <c r="M470" s="89" t="str">
        <f aca="false">IF(_PENDIENTES!$B$464&lt;&gt;"",_PENDIENTES!$B$464,"")</f>
        <v/>
      </c>
      <c r="N470" s="109" t="str">
        <f aca="false">IF(_PENDIENTES!$B$464&lt;&gt;"",_PENDIENTES!$L$464,"")</f>
        <v/>
      </c>
      <c r="O470" s="89"/>
      <c r="P470" s="89"/>
      <c r="Q470" s="89"/>
      <c r="R470" s="89"/>
      <c r="S470" s="89"/>
    </row>
    <row r="471" customFormat="false" ht="15.75" hidden="true" customHeight="true" outlineLevel="0" collapsed="false">
      <c r="A471" s="46" t="str">
        <f aca="false">IF(_PENDIENTES!$B$465&lt;&gt;"",464,"")</f>
        <v/>
      </c>
      <c r="B471" s="41" t="str">
        <f aca="false">IF(_PENDIENTES!$B$465&lt;&gt;"",_PENDIENTES!$A$465,"")</f>
        <v/>
      </c>
      <c r="C471" s="110" t="str">
        <f aca="false">IF(_PENDIENTES!$B$465&lt;&gt;"",_PENDIENTES!$C$465,"")</f>
        <v/>
      </c>
      <c r="D471" s="46" t="str">
        <f aca="false">IF(_PENDIENTES!$B$465&lt;&gt;"",_PENDIENTES!$D$465,"")</f>
        <v/>
      </c>
      <c r="E471" s="112" t="str">
        <f aca="false">IF(_PENDIENTES!$B$465&lt;&gt;"",_PENDIENTES!$E$465,"")</f>
        <v/>
      </c>
      <c r="F471" s="46" t="str">
        <f aca="false">IF(_PENDIENTES!$B$465&lt;&gt;"",_PENDIENTES!$F$465,"")</f>
        <v/>
      </c>
      <c r="G471" s="44" t="str">
        <f aca="false">IF(_PENDIENTES!$B$465&lt;&gt;"",_PENDIENTES!$G$465,"")</f>
        <v/>
      </c>
      <c r="H471" s="44" t="str">
        <f aca="false">IF(_PENDIENTES!$B$465&lt;&gt;"",_PENDIENTES!$H$465,"")</f>
        <v/>
      </c>
      <c r="I471" s="110" t="str">
        <f aca="false">IF(_PENDIENTES!$B$465&lt;&gt;"",_PENDIENTES!$I$465,"")</f>
        <v/>
      </c>
      <c r="J471" s="46" t="str">
        <f aca="false">IF(_PENDIENTES!$B$465&lt;&gt;"",_PENDIENTES!$J$465,"")</f>
        <v/>
      </c>
      <c r="K471" s="46" t="str">
        <f aca="false">IF(_PENDIENTES!$B$465&lt;&gt;"","POR RECOGER","")</f>
        <v/>
      </c>
      <c r="L471" s="46" t="str">
        <f aca="false">IF(_PENDIENTES!$B$465&lt;&gt;"",_PENDIENTES!$K$465,"")</f>
        <v/>
      </c>
      <c r="M471" s="89" t="str">
        <f aca="false">IF(_PENDIENTES!$B$465&lt;&gt;"",_PENDIENTES!$B$465,"")</f>
        <v/>
      </c>
      <c r="N471" s="109" t="str">
        <f aca="false">IF(_PENDIENTES!$B$465&lt;&gt;"",_PENDIENTES!$L$465,"")</f>
        <v/>
      </c>
      <c r="O471" s="89"/>
      <c r="P471" s="89"/>
      <c r="Q471" s="89"/>
      <c r="R471" s="89"/>
      <c r="S471" s="89"/>
    </row>
    <row r="472" customFormat="false" ht="15.75" hidden="true" customHeight="true" outlineLevel="0" collapsed="false">
      <c r="A472" s="106" t="str">
        <f aca="false">IF(_PENDIENTES!$B$466&lt;&gt;"",465,"")</f>
        <v/>
      </c>
      <c r="B472" s="47" t="str">
        <f aca="false">IF(_PENDIENTES!$B$466&lt;&gt;"",_PENDIENTES!$A$466,"")</f>
        <v/>
      </c>
      <c r="C472" s="107" t="str">
        <f aca="false">IF(_PENDIENTES!$B$466&lt;&gt;"",_PENDIENTES!$C$466,"")</f>
        <v/>
      </c>
      <c r="D472" s="106" t="str">
        <f aca="false">IF(_PENDIENTES!$B$466&lt;&gt;"",_PENDIENTES!$D$466,"")</f>
        <v/>
      </c>
      <c r="E472" s="111" t="str">
        <f aca="false">IF(_PENDIENTES!$B$466&lt;&gt;"",_PENDIENTES!$E$466,"")</f>
        <v/>
      </c>
      <c r="F472" s="106" t="str">
        <f aca="false">IF(_PENDIENTES!$B$466&lt;&gt;"",_PENDIENTES!$F$466,"")</f>
        <v/>
      </c>
      <c r="G472" s="50" t="str">
        <f aca="false">IF(_PENDIENTES!$B$466&lt;&gt;"",_PENDIENTES!$G$466,"")</f>
        <v/>
      </c>
      <c r="H472" s="50" t="str">
        <f aca="false">IF(_PENDIENTES!$B$466&lt;&gt;"",_PENDIENTES!$H$466,"")</f>
        <v/>
      </c>
      <c r="I472" s="107" t="str">
        <f aca="false">IF(_PENDIENTES!$B$466&lt;&gt;"",_PENDIENTES!$I$466,"")</f>
        <v/>
      </c>
      <c r="J472" s="106" t="str">
        <f aca="false">IF(_PENDIENTES!$B$466&lt;&gt;"",_PENDIENTES!$J$466,"")</f>
        <v/>
      </c>
      <c r="K472" s="106" t="str">
        <f aca="false">IF(_PENDIENTES!$B$466&lt;&gt;"","POR RECOGER","")</f>
        <v/>
      </c>
      <c r="L472" s="106" t="str">
        <f aca="false">IF(_PENDIENTES!$B$466&lt;&gt;"",_PENDIENTES!$K$466,"")</f>
        <v/>
      </c>
      <c r="M472" s="89" t="str">
        <f aca="false">IF(_PENDIENTES!$B$466&lt;&gt;"",_PENDIENTES!$B$466,"")</f>
        <v/>
      </c>
      <c r="N472" s="109" t="str">
        <f aca="false">IF(_PENDIENTES!$B$466&lt;&gt;"",_PENDIENTES!$L$466,"")</f>
        <v/>
      </c>
      <c r="O472" s="89"/>
      <c r="P472" s="89"/>
      <c r="Q472" s="89"/>
      <c r="R472" s="89"/>
      <c r="S472" s="89"/>
    </row>
    <row r="473" customFormat="false" ht="15.75" hidden="true" customHeight="true" outlineLevel="0" collapsed="false">
      <c r="A473" s="46" t="str">
        <f aca="false">IF(_PENDIENTES!$B$467&lt;&gt;"",466,"")</f>
        <v/>
      </c>
      <c r="B473" s="41" t="str">
        <f aca="false">IF(_PENDIENTES!$B$467&lt;&gt;"",_PENDIENTES!$A$467,"")</f>
        <v/>
      </c>
      <c r="C473" s="110" t="str">
        <f aca="false">IF(_PENDIENTES!$B$467&lt;&gt;"",_PENDIENTES!$C$467,"")</f>
        <v/>
      </c>
      <c r="D473" s="46" t="str">
        <f aca="false">IF(_PENDIENTES!$B$467&lt;&gt;"",_PENDIENTES!$D$467,"")</f>
        <v/>
      </c>
      <c r="E473" s="46" t="str">
        <f aca="false">IF(_PENDIENTES!$B$467&lt;&gt;"",_PENDIENTES!$E$467,"")</f>
        <v/>
      </c>
      <c r="F473" s="46" t="str">
        <f aca="false">IF(_PENDIENTES!$B$467&lt;&gt;"",_PENDIENTES!$F$467,"")</f>
        <v/>
      </c>
      <c r="G473" s="44" t="str">
        <f aca="false">IF(_PENDIENTES!$B$467&lt;&gt;"",_PENDIENTES!$G$467,"")</f>
        <v/>
      </c>
      <c r="H473" s="44" t="str">
        <f aca="false">IF(_PENDIENTES!$B$467&lt;&gt;"",_PENDIENTES!$H$467,"")</f>
        <v/>
      </c>
      <c r="I473" s="110" t="str">
        <f aca="false">IF(_PENDIENTES!$B$467&lt;&gt;"",_PENDIENTES!$I$467,"")</f>
        <v/>
      </c>
      <c r="J473" s="46" t="str">
        <f aca="false">IF(_PENDIENTES!$B$467&lt;&gt;"",_PENDIENTES!$J$467,"")</f>
        <v/>
      </c>
      <c r="K473" s="46" t="str">
        <f aca="false">IF(_PENDIENTES!$B$467&lt;&gt;"","POR RECOGER","")</f>
        <v/>
      </c>
      <c r="L473" s="46" t="str">
        <f aca="false">IF(_PENDIENTES!$B$467&lt;&gt;"",_PENDIENTES!$K$467,"")</f>
        <v/>
      </c>
      <c r="M473" s="89" t="str">
        <f aca="false">IF(_PENDIENTES!$B$467&lt;&gt;"",_PENDIENTES!$B$467,"")</f>
        <v/>
      </c>
      <c r="N473" s="109" t="str">
        <f aca="false">IF(_PENDIENTES!$B$467&lt;&gt;"",_PENDIENTES!$L$467,"")</f>
        <v/>
      </c>
      <c r="O473" s="89"/>
      <c r="P473" s="89"/>
      <c r="Q473" s="89"/>
      <c r="R473" s="89"/>
      <c r="S473" s="89"/>
    </row>
    <row r="474" customFormat="false" ht="15.75" hidden="true" customHeight="true" outlineLevel="0" collapsed="false">
      <c r="A474" s="106" t="str">
        <f aca="false">IF(_PENDIENTES!$B$468&lt;&gt;"",467,"")</f>
        <v/>
      </c>
      <c r="B474" s="47" t="str">
        <f aca="false">IF(_PENDIENTES!$B$468&lt;&gt;"",_PENDIENTES!$A$468,"")</f>
        <v/>
      </c>
      <c r="C474" s="107" t="str">
        <f aca="false">IF(_PENDIENTES!$B$468&lt;&gt;"",_PENDIENTES!$C$468,"")</f>
        <v/>
      </c>
      <c r="D474" s="106" t="str">
        <f aca="false">IF(_PENDIENTES!$B$468&lt;&gt;"",_PENDIENTES!$D$468,"")</f>
        <v/>
      </c>
      <c r="E474" s="111" t="str">
        <f aca="false">IF(_PENDIENTES!$B$468&lt;&gt;"",_PENDIENTES!$E$468,"")</f>
        <v/>
      </c>
      <c r="F474" s="106" t="str">
        <f aca="false">IF(_PENDIENTES!$B$468&lt;&gt;"",_PENDIENTES!$F$468,"")</f>
        <v/>
      </c>
      <c r="G474" s="50" t="str">
        <f aca="false">IF(_PENDIENTES!$B$468&lt;&gt;"",_PENDIENTES!$G$468,"")</f>
        <v/>
      </c>
      <c r="H474" s="50" t="str">
        <f aca="false">IF(_PENDIENTES!$B$468&lt;&gt;"",_PENDIENTES!$H$468,"")</f>
        <v/>
      </c>
      <c r="I474" s="107" t="str">
        <f aca="false">IF(_PENDIENTES!$B$468&lt;&gt;"",_PENDIENTES!$I$468,"")</f>
        <v/>
      </c>
      <c r="J474" s="106" t="str">
        <f aca="false">IF(_PENDIENTES!$B$468&lt;&gt;"",_PENDIENTES!$J$468,"")</f>
        <v/>
      </c>
      <c r="K474" s="106" t="str">
        <f aca="false">IF(_PENDIENTES!$B$468&lt;&gt;"","POR RECOGER","")</f>
        <v/>
      </c>
      <c r="L474" s="106" t="str">
        <f aca="false">IF(_PENDIENTES!$B$468&lt;&gt;"",_PENDIENTES!$K$468,"")</f>
        <v/>
      </c>
      <c r="M474" s="89" t="str">
        <f aca="false">IF(_PENDIENTES!$B$468&lt;&gt;"",_PENDIENTES!$B$468,"")</f>
        <v/>
      </c>
      <c r="N474" s="109" t="str">
        <f aca="false">IF(_PENDIENTES!$B$468&lt;&gt;"",_PENDIENTES!$L$468,"")</f>
        <v/>
      </c>
      <c r="O474" s="89"/>
      <c r="P474" s="89"/>
      <c r="Q474" s="89"/>
      <c r="R474" s="89"/>
      <c r="S474" s="89"/>
    </row>
    <row r="475" customFormat="false" ht="15.75" hidden="true" customHeight="true" outlineLevel="0" collapsed="false">
      <c r="A475" s="46" t="str">
        <f aca="false">IF(_PENDIENTES!$B$469&lt;&gt;"",468,"")</f>
        <v/>
      </c>
      <c r="B475" s="41" t="str">
        <f aca="false">IF(_PENDIENTES!$B$469&lt;&gt;"",_PENDIENTES!$A$469,"")</f>
        <v/>
      </c>
      <c r="C475" s="110" t="str">
        <f aca="false">IF(_PENDIENTES!$B$469&lt;&gt;"",_PENDIENTES!$C$469,"")</f>
        <v/>
      </c>
      <c r="D475" s="46" t="str">
        <f aca="false">IF(_PENDIENTES!$B$469&lt;&gt;"",_PENDIENTES!$D$469,"")</f>
        <v/>
      </c>
      <c r="E475" s="112" t="str">
        <f aca="false">IF(_PENDIENTES!$B$469&lt;&gt;"",_PENDIENTES!$E$469,"")</f>
        <v/>
      </c>
      <c r="F475" s="46" t="str">
        <f aca="false">IF(_PENDIENTES!$B$469&lt;&gt;"",_PENDIENTES!$F$469,"")</f>
        <v/>
      </c>
      <c r="G475" s="44" t="str">
        <f aca="false">IF(_PENDIENTES!$B$469&lt;&gt;"",_PENDIENTES!$G$469,"")</f>
        <v/>
      </c>
      <c r="H475" s="44" t="str">
        <f aca="false">IF(_PENDIENTES!$B$469&lt;&gt;"",_PENDIENTES!$H$469,"")</f>
        <v/>
      </c>
      <c r="I475" s="110" t="str">
        <f aca="false">IF(_PENDIENTES!$B$469&lt;&gt;"",_PENDIENTES!$I$469,"")</f>
        <v/>
      </c>
      <c r="J475" s="46" t="str">
        <f aca="false">IF(_PENDIENTES!$B$469&lt;&gt;"",_PENDIENTES!$J$469,"")</f>
        <v/>
      </c>
      <c r="K475" s="46" t="str">
        <f aca="false">IF(_PENDIENTES!$B$469&lt;&gt;"","POR RECOGER","")</f>
        <v/>
      </c>
      <c r="L475" s="46" t="str">
        <f aca="false">IF(_PENDIENTES!$B$469&lt;&gt;"",_PENDIENTES!$K$469,"")</f>
        <v/>
      </c>
      <c r="M475" s="89" t="str">
        <f aca="false">IF(_PENDIENTES!$B$469&lt;&gt;"",_PENDIENTES!$B$469,"")</f>
        <v/>
      </c>
      <c r="N475" s="109" t="str">
        <f aca="false">IF(_PENDIENTES!$B$469&lt;&gt;"",_PENDIENTES!$L$469,"")</f>
        <v/>
      </c>
      <c r="O475" s="89"/>
      <c r="P475" s="89"/>
      <c r="Q475" s="89"/>
      <c r="R475" s="89"/>
      <c r="S475" s="89"/>
    </row>
    <row r="476" customFormat="false" ht="15.75" hidden="true" customHeight="true" outlineLevel="0" collapsed="false">
      <c r="A476" s="106" t="str">
        <f aca="false">IF(_PENDIENTES!$B$470&lt;&gt;"",469,"")</f>
        <v/>
      </c>
      <c r="B476" s="47" t="str">
        <f aca="false">IF(_PENDIENTES!$B$470&lt;&gt;"",_PENDIENTES!$A$470,"")</f>
        <v/>
      </c>
      <c r="C476" s="107" t="str">
        <f aca="false">IF(_PENDIENTES!$B$470&lt;&gt;"",_PENDIENTES!$C$470,"")</f>
        <v/>
      </c>
      <c r="D476" s="106" t="str">
        <f aca="false">IF(_PENDIENTES!$B$470&lt;&gt;"",_PENDIENTES!$D$470,"")</f>
        <v/>
      </c>
      <c r="E476" s="111" t="str">
        <f aca="false">IF(_PENDIENTES!$B$470&lt;&gt;"",_PENDIENTES!$E$470,"")</f>
        <v/>
      </c>
      <c r="F476" s="106" t="str">
        <f aca="false">IF(_PENDIENTES!$B$470&lt;&gt;"",_PENDIENTES!$F$470,"")</f>
        <v/>
      </c>
      <c r="G476" s="50" t="str">
        <f aca="false">IF(_PENDIENTES!$B$470&lt;&gt;"",_PENDIENTES!$G$470,"")</f>
        <v/>
      </c>
      <c r="H476" s="50" t="str">
        <f aca="false">IF(_PENDIENTES!$B$470&lt;&gt;"",_PENDIENTES!$H$470,"")</f>
        <v/>
      </c>
      <c r="I476" s="107" t="str">
        <f aca="false">IF(_PENDIENTES!$B$470&lt;&gt;"",_PENDIENTES!$I$470,"")</f>
        <v/>
      </c>
      <c r="J476" s="106" t="str">
        <f aca="false">IF(_PENDIENTES!$B$470&lt;&gt;"",_PENDIENTES!$J$470,"")</f>
        <v/>
      </c>
      <c r="K476" s="106" t="str">
        <f aca="false">IF(_PENDIENTES!$B$470&lt;&gt;"","POR RECOGER","")</f>
        <v/>
      </c>
      <c r="L476" s="106" t="str">
        <f aca="false">IF(_PENDIENTES!$B$470&lt;&gt;"",_PENDIENTES!$K$470,"")</f>
        <v/>
      </c>
      <c r="M476" s="89" t="str">
        <f aca="false">IF(_PENDIENTES!$B$470&lt;&gt;"",_PENDIENTES!$B$470,"")</f>
        <v/>
      </c>
      <c r="N476" s="109" t="str">
        <f aca="false">IF(_PENDIENTES!$B$470&lt;&gt;"",_PENDIENTES!$L$470,"")</f>
        <v/>
      </c>
      <c r="O476" s="89"/>
      <c r="P476" s="89"/>
      <c r="Q476" s="89"/>
      <c r="R476" s="89"/>
      <c r="S476" s="89"/>
    </row>
    <row r="477" customFormat="false" ht="15.75" hidden="true" customHeight="true" outlineLevel="0" collapsed="false">
      <c r="A477" s="46" t="str">
        <f aca="false">IF(_PENDIENTES!$B$471&lt;&gt;"",470,"")</f>
        <v/>
      </c>
      <c r="B477" s="41" t="str">
        <f aca="false">IF(_PENDIENTES!$B$471&lt;&gt;"",_PENDIENTES!$A$471,"")</f>
        <v/>
      </c>
      <c r="C477" s="110" t="str">
        <f aca="false">IF(_PENDIENTES!$B$471&lt;&gt;"",_PENDIENTES!$C$471,"")</f>
        <v/>
      </c>
      <c r="D477" s="46" t="str">
        <f aca="false">IF(_PENDIENTES!$B$471&lt;&gt;"",_PENDIENTES!$D$471,"")</f>
        <v/>
      </c>
      <c r="E477" s="112" t="str">
        <f aca="false">IF(_PENDIENTES!$B$471&lt;&gt;"",_PENDIENTES!$E$471,"")</f>
        <v/>
      </c>
      <c r="F477" s="46" t="str">
        <f aca="false">IF(_PENDIENTES!$B$471&lt;&gt;"",_PENDIENTES!$F$471,"")</f>
        <v/>
      </c>
      <c r="G477" s="44" t="str">
        <f aca="false">IF(_PENDIENTES!$B$471&lt;&gt;"",_PENDIENTES!$G$471,"")</f>
        <v/>
      </c>
      <c r="H477" s="44" t="str">
        <f aca="false">IF(_PENDIENTES!$B$471&lt;&gt;"",_PENDIENTES!$H$471,"")</f>
        <v/>
      </c>
      <c r="I477" s="110" t="str">
        <f aca="false">IF(_PENDIENTES!$B$471&lt;&gt;"",_PENDIENTES!$I$471,"")</f>
        <v/>
      </c>
      <c r="J477" s="46" t="str">
        <f aca="false">IF(_PENDIENTES!$B$471&lt;&gt;"",_PENDIENTES!$J$471,"")</f>
        <v/>
      </c>
      <c r="K477" s="46" t="str">
        <f aca="false">IF(_PENDIENTES!$B$471&lt;&gt;"","POR RECOGER","")</f>
        <v/>
      </c>
      <c r="L477" s="46" t="str">
        <f aca="false">IF(_PENDIENTES!$B$471&lt;&gt;"",_PENDIENTES!$K$471,"")</f>
        <v/>
      </c>
      <c r="M477" s="89" t="str">
        <f aca="false">IF(_PENDIENTES!$B$471&lt;&gt;"",_PENDIENTES!$B$471,"")</f>
        <v/>
      </c>
      <c r="N477" s="109" t="str">
        <f aca="false">IF(_PENDIENTES!$B$471&lt;&gt;"",_PENDIENTES!$L$471,"")</f>
        <v/>
      </c>
      <c r="O477" s="89"/>
      <c r="P477" s="89"/>
      <c r="Q477" s="89"/>
      <c r="R477" s="89"/>
      <c r="S477" s="89"/>
    </row>
    <row r="478" customFormat="false" ht="15.75" hidden="true" customHeight="true" outlineLevel="0" collapsed="false">
      <c r="A478" s="106" t="str">
        <f aca="false">IF(_PENDIENTES!$B$472&lt;&gt;"",471,"")</f>
        <v/>
      </c>
      <c r="B478" s="47" t="str">
        <f aca="false">IF(_PENDIENTES!$B$472&lt;&gt;"",_PENDIENTES!$A$472,"")</f>
        <v/>
      </c>
      <c r="C478" s="107" t="str">
        <f aca="false">IF(_PENDIENTES!$B$472&lt;&gt;"",_PENDIENTES!$C$472,"")</f>
        <v/>
      </c>
      <c r="D478" s="106" t="str">
        <f aca="false">IF(_PENDIENTES!$B$472&lt;&gt;"",_PENDIENTES!$D$472,"")</f>
        <v/>
      </c>
      <c r="E478" s="111" t="str">
        <f aca="false">IF(_PENDIENTES!$B$472&lt;&gt;"",_PENDIENTES!$E$472,"")</f>
        <v/>
      </c>
      <c r="F478" s="106" t="str">
        <f aca="false">IF(_PENDIENTES!$B$472&lt;&gt;"",_PENDIENTES!$F$472,"")</f>
        <v/>
      </c>
      <c r="G478" s="50" t="str">
        <f aca="false">IF(_PENDIENTES!$B$472&lt;&gt;"",_PENDIENTES!$G$472,"")</f>
        <v/>
      </c>
      <c r="H478" s="50" t="str">
        <f aca="false">IF(_PENDIENTES!$B$472&lt;&gt;"",_PENDIENTES!$H$472,"")</f>
        <v/>
      </c>
      <c r="I478" s="107" t="str">
        <f aca="false">IF(_PENDIENTES!$B$472&lt;&gt;"",_PENDIENTES!$I$472,"")</f>
        <v/>
      </c>
      <c r="J478" s="106" t="str">
        <f aca="false">IF(_PENDIENTES!$B$472&lt;&gt;"",_PENDIENTES!$J$472,"")</f>
        <v/>
      </c>
      <c r="K478" s="106" t="str">
        <f aca="false">IF(_PENDIENTES!$B$472&lt;&gt;"","POR RECOGER","")</f>
        <v/>
      </c>
      <c r="L478" s="106" t="str">
        <f aca="false">IF(_PENDIENTES!$B$472&lt;&gt;"",_PENDIENTES!$K$472,"")</f>
        <v/>
      </c>
      <c r="M478" s="89" t="str">
        <f aca="false">IF(_PENDIENTES!$B$472&lt;&gt;"",_PENDIENTES!$B$472,"")</f>
        <v/>
      </c>
      <c r="N478" s="109" t="str">
        <f aca="false">IF(_PENDIENTES!$B$472&lt;&gt;"",_PENDIENTES!$L$472,"")</f>
        <v/>
      </c>
      <c r="O478" s="89"/>
      <c r="P478" s="89"/>
      <c r="Q478" s="89"/>
      <c r="R478" s="89"/>
      <c r="S478" s="89"/>
    </row>
    <row r="479" customFormat="false" ht="15.75" hidden="true" customHeight="true" outlineLevel="0" collapsed="false">
      <c r="A479" s="46" t="str">
        <f aca="false">IF(_PENDIENTES!$B$473&lt;&gt;"",472,"")</f>
        <v/>
      </c>
      <c r="B479" s="41" t="str">
        <f aca="false">IF(_PENDIENTES!$B$473&lt;&gt;"",_PENDIENTES!$A$473,"")</f>
        <v/>
      </c>
      <c r="C479" s="110" t="str">
        <f aca="false">IF(_PENDIENTES!$B$473&lt;&gt;"",_PENDIENTES!$C$473,"")</f>
        <v/>
      </c>
      <c r="D479" s="46" t="str">
        <f aca="false">IF(_PENDIENTES!$B$473&lt;&gt;"",_PENDIENTES!$D$473,"")</f>
        <v/>
      </c>
      <c r="E479" s="112" t="str">
        <f aca="false">IF(_PENDIENTES!$B$473&lt;&gt;"",_PENDIENTES!$E$473,"")</f>
        <v/>
      </c>
      <c r="F479" s="46" t="str">
        <f aca="false">IF(_PENDIENTES!$B$473&lt;&gt;"",_PENDIENTES!$F$473,"")</f>
        <v/>
      </c>
      <c r="G479" s="44" t="str">
        <f aca="false">IF(_PENDIENTES!$B$473&lt;&gt;"",_PENDIENTES!$G$473,"")</f>
        <v/>
      </c>
      <c r="H479" s="44" t="str">
        <f aca="false">IF(_PENDIENTES!$B$473&lt;&gt;"",_PENDIENTES!$H$473,"")</f>
        <v/>
      </c>
      <c r="I479" s="110" t="str">
        <f aca="false">IF(_PENDIENTES!$B$473&lt;&gt;"",_PENDIENTES!$I$473,"")</f>
        <v/>
      </c>
      <c r="J479" s="46" t="str">
        <f aca="false">IF(_PENDIENTES!$B$473&lt;&gt;"",_PENDIENTES!$J$473,"")</f>
        <v/>
      </c>
      <c r="K479" s="46" t="str">
        <f aca="false">IF(_PENDIENTES!$B$473&lt;&gt;"","POR RECOGER","")</f>
        <v/>
      </c>
      <c r="L479" s="46" t="str">
        <f aca="false">IF(_PENDIENTES!$B$473&lt;&gt;"",_PENDIENTES!$K$473,"")</f>
        <v/>
      </c>
      <c r="M479" s="89" t="str">
        <f aca="false">IF(_PENDIENTES!$B$473&lt;&gt;"",_PENDIENTES!$B$473,"")</f>
        <v/>
      </c>
      <c r="N479" s="109" t="str">
        <f aca="false">IF(_PENDIENTES!$B$473&lt;&gt;"",_PENDIENTES!$L$473,"")</f>
        <v/>
      </c>
      <c r="O479" s="89"/>
      <c r="P479" s="89"/>
      <c r="Q479" s="89"/>
      <c r="R479" s="89"/>
      <c r="S479" s="89"/>
    </row>
    <row r="480" customFormat="false" ht="15.75" hidden="true" customHeight="true" outlineLevel="0" collapsed="false">
      <c r="A480" s="106" t="str">
        <f aca="false">IF(_PENDIENTES!$B$474&lt;&gt;"",473,"")</f>
        <v/>
      </c>
      <c r="B480" s="47" t="str">
        <f aca="false">IF(_PENDIENTES!$B$474&lt;&gt;"",_PENDIENTES!$A$474,"")</f>
        <v/>
      </c>
      <c r="C480" s="107" t="str">
        <f aca="false">IF(_PENDIENTES!$B$474&lt;&gt;"",_PENDIENTES!$C$474,"")</f>
        <v/>
      </c>
      <c r="D480" s="106" t="str">
        <f aca="false">IF(_PENDIENTES!$B$474&lt;&gt;"",_PENDIENTES!$D$474,"")</f>
        <v/>
      </c>
      <c r="E480" s="111" t="str">
        <f aca="false">IF(_PENDIENTES!$B$474&lt;&gt;"",_PENDIENTES!$E$474,"")</f>
        <v/>
      </c>
      <c r="F480" s="106" t="str">
        <f aca="false">IF(_PENDIENTES!$B$474&lt;&gt;"",_PENDIENTES!$F$474,"")</f>
        <v/>
      </c>
      <c r="G480" s="50" t="str">
        <f aca="false">IF(_PENDIENTES!$B$474&lt;&gt;"",_PENDIENTES!$G$474,"")</f>
        <v/>
      </c>
      <c r="H480" s="50" t="str">
        <f aca="false">IF(_PENDIENTES!$B$474&lt;&gt;"",_PENDIENTES!$H$474,"")</f>
        <v/>
      </c>
      <c r="I480" s="107" t="str">
        <f aca="false">IF(_PENDIENTES!$B$474&lt;&gt;"",_PENDIENTES!$I$474,"")</f>
        <v/>
      </c>
      <c r="J480" s="106" t="str">
        <f aca="false">IF(_PENDIENTES!$B$474&lt;&gt;"",_PENDIENTES!$J$474,"")</f>
        <v/>
      </c>
      <c r="K480" s="106" t="str">
        <f aca="false">IF(_PENDIENTES!$B$474&lt;&gt;"","POR RECOGER","")</f>
        <v/>
      </c>
      <c r="L480" s="106" t="str">
        <f aca="false">IF(_PENDIENTES!$B$474&lt;&gt;"",_PENDIENTES!$K$474,"")</f>
        <v/>
      </c>
      <c r="M480" s="89" t="str">
        <f aca="false">IF(_PENDIENTES!$B$474&lt;&gt;"",_PENDIENTES!$B$474,"")</f>
        <v/>
      </c>
      <c r="N480" s="109" t="str">
        <f aca="false">IF(_PENDIENTES!$B$474&lt;&gt;"",_PENDIENTES!$L$474,"")</f>
        <v/>
      </c>
      <c r="O480" s="89"/>
      <c r="P480" s="89"/>
      <c r="Q480" s="89"/>
      <c r="R480" s="89"/>
      <c r="S480" s="89"/>
    </row>
    <row r="481" customFormat="false" ht="15.75" hidden="true" customHeight="true" outlineLevel="0" collapsed="false">
      <c r="A481" s="46" t="str">
        <f aca="false">IF(_PENDIENTES!$B$475&lt;&gt;"",474,"")</f>
        <v/>
      </c>
      <c r="B481" s="41" t="str">
        <f aca="false">IF(_PENDIENTES!$B$475&lt;&gt;"",_PENDIENTES!$A$475,"")</f>
        <v/>
      </c>
      <c r="C481" s="110" t="str">
        <f aca="false">IF(_PENDIENTES!$B$475&lt;&gt;"",_PENDIENTES!$C$475,"")</f>
        <v/>
      </c>
      <c r="D481" s="46" t="str">
        <f aca="false">IF(_PENDIENTES!$B$475&lt;&gt;"",_PENDIENTES!$D$475,"")</f>
        <v/>
      </c>
      <c r="E481" s="112" t="str">
        <f aca="false">IF(_PENDIENTES!$B$475&lt;&gt;"",_PENDIENTES!$E$475,"")</f>
        <v/>
      </c>
      <c r="F481" s="46" t="str">
        <f aca="false">IF(_PENDIENTES!$B$475&lt;&gt;"",_PENDIENTES!$F$475,"")</f>
        <v/>
      </c>
      <c r="G481" s="44" t="str">
        <f aca="false">IF(_PENDIENTES!$B$475&lt;&gt;"",_PENDIENTES!$G$475,"")</f>
        <v/>
      </c>
      <c r="H481" s="44" t="str">
        <f aca="false">IF(_PENDIENTES!$B$475&lt;&gt;"",_PENDIENTES!$H$475,"")</f>
        <v/>
      </c>
      <c r="I481" s="110" t="str">
        <f aca="false">IF(_PENDIENTES!$B$475&lt;&gt;"",_PENDIENTES!$I$475,"")</f>
        <v/>
      </c>
      <c r="J481" s="46" t="str">
        <f aca="false">IF(_PENDIENTES!$B$475&lt;&gt;"",_PENDIENTES!$J$475,"")</f>
        <v/>
      </c>
      <c r="K481" s="46" t="str">
        <f aca="false">IF(_PENDIENTES!$B$475&lt;&gt;"","POR RECOGER","")</f>
        <v/>
      </c>
      <c r="L481" s="46" t="str">
        <f aca="false">IF(_PENDIENTES!$B$475&lt;&gt;"",_PENDIENTES!$K$475,"")</f>
        <v/>
      </c>
      <c r="M481" s="89" t="str">
        <f aca="false">IF(_PENDIENTES!$B$475&lt;&gt;"",_PENDIENTES!$B$475,"")</f>
        <v/>
      </c>
      <c r="N481" s="109" t="str">
        <f aca="false">IF(_PENDIENTES!$B$475&lt;&gt;"",_PENDIENTES!$L$475,"")</f>
        <v/>
      </c>
      <c r="O481" s="89"/>
      <c r="P481" s="89"/>
      <c r="Q481" s="89"/>
      <c r="R481" s="89"/>
      <c r="S481" s="89"/>
    </row>
    <row r="482" customFormat="false" ht="15.75" hidden="true" customHeight="true" outlineLevel="0" collapsed="false">
      <c r="A482" s="106" t="str">
        <f aca="false">IF(_PENDIENTES!$B$476&lt;&gt;"",475,"")</f>
        <v/>
      </c>
      <c r="B482" s="47" t="str">
        <f aca="false">IF(_PENDIENTES!$B$476&lt;&gt;"",_PENDIENTES!$A$476,"")</f>
        <v/>
      </c>
      <c r="C482" s="107" t="str">
        <f aca="false">IF(_PENDIENTES!$B$476&lt;&gt;"",_PENDIENTES!$C$476,"")</f>
        <v/>
      </c>
      <c r="D482" s="106" t="str">
        <f aca="false">IF(_PENDIENTES!$B$476&lt;&gt;"",_PENDIENTES!$D$476,"")</f>
        <v/>
      </c>
      <c r="E482" s="111" t="str">
        <f aca="false">IF(_PENDIENTES!$B$476&lt;&gt;"",_PENDIENTES!$E$476,"")</f>
        <v/>
      </c>
      <c r="F482" s="106" t="str">
        <f aca="false">IF(_PENDIENTES!$B$476&lt;&gt;"",_PENDIENTES!$F$476,"")</f>
        <v/>
      </c>
      <c r="G482" s="50" t="str">
        <f aca="false">IF(_PENDIENTES!$B$476&lt;&gt;"",_PENDIENTES!$G$476,"")</f>
        <v/>
      </c>
      <c r="H482" s="50" t="str">
        <f aca="false">IF(_PENDIENTES!$B$476&lt;&gt;"",_PENDIENTES!$H$476,"")</f>
        <v/>
      </c>
      <c r="I482" s="107" t="str">
        <f aca="false">IF(_PENDIENTES!$B$476&lt;&gt;"",_PENDIENTES!$I$476,"")</f>
        <v/>
      </c>
      <c r="J482" s="106" t="str">
        <f aca="false">IF(_PENDIENTES!$B$476&lt;&gt;"",_PENDIENTES!$J$476,"")</f>
        <v/>
      </c>
      <c r="K482" s="106" t="str">
        <f aca="false">IF(_PENDIENTES!$B$476&lt;&gt;"","POR RECOGER","")</f>
        <v/>
      </c>
      <c r="L482" s="106" t="str">
        <f aca="false">IF(_PENDIENTES!$B$476&lt;&gt;"",_PENDIENTES!$K$476,"")</f>
        <v/>
      </c>
      <c r="M482" s="89" t="str">
        <f aca="false">IF(_PENDIENTES!$B$476&lt;&gt;"",_PENDIENTES!$B$476,"")</f>
        <v/>
      </c>
      <c r="N482" s="109" t="str">
        <f aca="false">IF(_PENDIENTES!$B$476&lt;&gt;"",_PENDIENTES!$L$476,"")</f>
        <v/>
      </c>
      <c r="O482" s="89"/>
      <c r="P482" s="89"/>
      <c r="Q482" s="89"/>
      <c r="R482" s="89"/>
      <c r="S482" s="89"/>
    </row>
    <row r="483" customFormat="false" ht="15.75" hidden="true" customHeight="true" outlineLevel="0" collapsed="false">
      <c r="A483" s="46" t="str">
        <f aca="false">IF(_PENDIENTES!$B$477&lt;&gt;"",476,"")</f>
        <v/>
      </c>
      <c r="B483" s="41" t="str">
        <f aca="false">IF(_PENDIENTES!$B$477&lt;&gt;"",_PENDIENTES!$A$477,"")</f>
        <v/>
      </c>
      <c r="C483" s="110" t="str">
        <f aca="false">IF(_PENDIENTES!$B$477&lt;&gt;"",_PENDIENTES!$C$477,"")</f>
        <v/>
      </c>
      <c r="D483" s="46" t="str">
        <f aca="false">IF(_PENDIENTES!$B$477&lt;&gt;"",_PENDIENTES!$D$477,"")</f>
        <v/>
      </c>
      <c r="E483" s="112" t="str">
        <f aca="false">IF(_PENDIENTES!$B$477&lt;&gt;"",_PENDIENTES!$E$477,"")</f>
        <v/>
      </c>
      <c r="F483" s="46" t="str">
        <f aca="false">IF(_PENDIENTES!$B$477&lt;&gt;"",_PENDIENTES!$F$477,"")</f>
        <v/>
      </c>
      <c r="G483" s="44" t="str">
        <f aca="false">IF(_PENDIENTES!$B$477&lt;&gt;"",_PENDIENTES!$G$477,"")</f>
        <v/>
      </c>
      <c r="H483" s="44" t="str">
        <f aca="false">IF(_PENDIENTES!$B$477&lt;&gt;"",_PENDIENTES!$H$477,"")</f>
        <v/>
      </c>
      <c r="I483" s="110" t="str">
        <f aca="false">IF(_PENDIENTES!$B$477&lt;&gt;"",_PENDIENTES!$I$477,"")</f>
        <v/>
      </c>
      <c r="J483" s="46" t="str">
        <f aca="false">IF(_PENDIENTES!$B$477&lt;&gt;"",_PENDIENTES!$J$477,"")</f>
        <v/>
      </c>
      <c r="K483" s="46" t="str">
        <f aca="false">IF(_PENDIENTES!$B$477&lt;&gt;"","POR RECOGER","")</f>
        <v/>
      </c>
      <c r="L483" s="46" t="str">
        <f aca="false">IF(_PENDIENTES!$B$477&lt;&gt;"",_PENDIENTES!$K$477,"")</f>
        <v/>
      </c>
      <c r="M483" s="89" t="str">
        <f aca="false">IF(_PENDIENTES!$B$477&lt;&gt;"",_PENDIENTES!$B$477,"")</f>
        <v/>
      </c>
      <c r="N483" s="109" t="str">
        <f aca="false">IF(_PENDIENTES!$B$477&lt;&gt;"",_PENDIENTES!$L$477,"")</f>
        <v/>
      </c>
      <c r="O483" s="89"/>
      <c r="P483" s="89"/>
      <c r="Q483" s="89"/>
      <c r="R483" s="89"/>
      <c r="S483" s="89"/>
    </row>
    <row r="484" customFormat="false" ht="15.75" hidden="true" customHeight="true" outlineLevel="0" collapsed="false">
      <c r="A484" s="106" t="str">
        <f aca="false">IF(_PENDIENTES!$B$478&lt;&gt;"",477,"")</f>
        <v/>
      </c>
      <c r="B484" s="47" t="str">
        <f aca="false">IF(_PENDIENTES!$B$478&lt;&gt;"",_PENDIENTES!$A$478,"")</f>
        <v/>
      </c>
      <c r="C484" s="107" t="str">
        <f aca="false">IF(_PENDIENTES!$B$478&lt;&gt;"",_PENDIENTES!$C$478,"")</f>
        <v/>
      </c>
      <c r="D484" s="106" t="str">
        <f aca="false">IF(_PENDIENTES!$B$478&lt;&gt;"",_PENDIENTES!$D$478,"")</f>
        <v/>
      </c>
      <c r="E484" s="111" t="str">
        <f aca="false">IF(_PENDIENTES!$B$478&lt;&gt;"",_PENDIENTES!$E$478,"")</f>
        <v/>
      </c>
      <c r="F484" s="106" t="str">
        <f aca="false">IF(_PENDIENTES!$B$478&lt;&gt;"",_PENDIENTES!$F$478,"")</f>
        <v/>
      </c>
      <c r="G484" s="50" t="str">
        <f aca="false">IF(_PENDIENTES!$B$478&lt;&gt;"",_PENDIENTES!$G$478,"")</f>
        <v/>
      </c>
      <c r="H484" s="50" t="str">
        <f aca="false">IF(_PENDIENTES!$B$478&lt;&gt;"",_PENDIENTES!$H$478,"")</f>
        <v/>
      </c>
      <c r="I484" s="107" t="str">
        <f aca="false">IF(_PENDIENTES!$B$478&lt;&gt;"",_PENDIENTES!$I$478,"")</f>
        <v/>
      </c>
      <c r="J484" s="106" t="str">
        <f aca="false">IF(_PENDIENTES!$B$478&lt;&gt;"",_PENDIENTES!$J$478,"")</f>
        <v/>
      </c>
      <c r="K484" s="106" t="str">
        <f aca="false">IF(_PENDIENTES!$B$478&lt;&gt;"","POR RECOGER","")</f>
        <v/>
      </c>
      <c r="L484" s="106" t="str">
        <f aca="false">IF(_PENDIENTES!$B$478&lt;&gt;"",_PENDIENTES!$K$478,"")</f>
        <v/>
      </c>
      <c r="M484" s="89" t="str">
        <f aca="false">IF(_PENDIENTES!$B$478&lt;&gt;"",_PENDIENTES!$B$478,"")</f>
        <v/>
      </c>
      <c r="N484" s="109" t="str">
        <f aca="false">IF(_PENDIENTES!$B$478&lt;&gt;"",_PENDIENTES!$L$478,"")</f>
        <v/>
      </c>
      <c r="O484" s="89"/>
      <c r="P484" s="89"/>
      <c r="Q484" s="89"/>
      <c r="R484" s="89"/>
      <c r="S484" s="89"/>
    </row>
    <row r="485" customFormat="false" ht="15.75" hidden="true" customHeight="true" outlineLevel="0" collapsed="false">
      <c r="A485" s="46" t="str">
        <f aca="false">IF(_PENDIENTES!$B$479&lt;&gt;"",478,"")</f>
        <v/>
      </c>
      <c r="B485" s="41" t="str">
        <f aca="false">IF(_PENDIENTES!$B$479&lt;&gt;"",_PENDIENTES!$A$479,"")</f>
        <v/>
      </c>
      <c r="C485" s="110" t="str">
        <f aca="false">IF(_PENDIENTES!$B$479&lt;&gt;"",_PENDIENTES!$C$479,"")</f>
        <v/>
      </c>
      <c r="D485" s="46" t="str">
        <f aca="false">IF(_PENDIENTES!$B$479&lt;&gt;"",_PENDIENTES!$D$479,"")</f>
        <v/>
      </c>
      <c r="E485" s="112" t="str">
        <f aca="false">IF(_PENDIENTES!$B$479&lt;&gt;"",_PENDIENTES!$E$479,"")</f>
        <v/>
      </c>
      <c r="F485" s="46" t="str">
        <f aca="false">IF(_PENDIENTES!$B$479&lt;&gt;"",_PENDIENTES!$F$479,"")</f>
        <v/>
      </c>
      <c r="G485" s="44" t="str">
        <f aca="false">IF(_PENDIENTES!$B$479&lt;&gt;"",_PENDIENTES!$G$479,"")</f>
        <v/>
      </c>
      <c r="H485" s="44" t="str">
        <f aca="false">IF(_PENDIENTES!$B$479&lt;&gt;"",_PENDIENTES!$H$479,"")</f>
        <v/>
      </c>
      <c r="I485" s="110" t="str">
        <f aca="false">IF(_PENDIENTES!$B$479&lt;&gt;"",_PENDIENTES!$I$479,"")</f>
        <v/>
      </c>
      <c r="J485" s="46" t="str">
        <f aca="false">IF(_PENDIENTES!$B$479&lt;&gt;"",_PENDIENTES!$J$479,"")</f>
        <v/>
      </c>
      <c r="K485" s="46" t="str">
        <f aca="false">IF(_PENDIENTES!$B$479&lt;&gt;"","POR RECOGER","")</f>
        <v/>
      </c>
      <c r="L485" s="46" t="str">
        <f aca="false">IF(_PENDIENTES!$B$479&lt;&gt;"",_PENDIENTES!$K$479,"")</f>
        <v/>
      </c>
      <c r="M485" s="89" t="str">
        <f aca="false">IF(_PENDIENTES!$B$479&lt;&gt;"",_PENDIENTES!$B$479,"")</f>
        <v/>
      </c>
      <c r="N485" s="109" t="str">
        <f aca="false">IF(_PENDIENTES!$B$479&lt;&gt;"",_PENDIENTES!$L$479,"")</f>
        <v/>
      </c>
      <c r="O485" s="89"/>
      <c r="P485" s="89"/>
      <c r="Q485" s="89"/>
      <c r="R485" s="89"/>
      <c r="S485" s="89"/>
    </row>
    <row r="486" customFormat="false" ht="15.75" hidden="true" customHeight="true" outlineLevel="0" collapsed="false">
      <c r="A486" s="106" t="str">
        <f aca="false">IF(_PENDIENTES!$B$480&lt;&gt;"",479,"")</f>
        <v/>
      </c>
      <c r="B486" s="47" t="str">
        <f aca="false">IF(_PENDIENTES!$B$480&lt;&gt;"",_PENDIENTES!$A$480,"")</f>
        <v/>
      </c>
      <c r="C486" s="107" t="str">
        <f aca="false">IF(_PENDIENTES!$B$480&lt;&gt;"",_PENDIENTES!$C$480,"")</f>
        <v/>
      </c>
      <c r="D486" s="106" t="str">
        <f aca="false">IF(_PENDIENTES!$B$480&lt;&gt;"",_PENDIENTES!$D$480,"")</f>
        <v/>
      </c>
      <c r="E486" s="111" t="str">
        <f aca="false">IF(_PENDIENTES!$B$480&lt;&gt;"",_PENDIENTES!$E$480,"")</f>
        <v/>
      </c>
      <c r="F486" s="106" t="str">
        <f aca="false">IF(_PENDIENTES!$B$480&lt;&gt;"",_PENDIENTES!$F$480,"")</f>
        <v/>
      </c>
      <c r="G486" s="50" t="str">
        <f aca="false">IF(_PENDIENTES!$B$480&lt;&gt;"",_PENDIENTES!$G$480,"")</f>
        <v/>
      </c>
      <c r="H486" s="50" t="str">
        <f aca="false">IF(_PENDIENTES!$B$480&lt;&gt;"",_PENDIENTES!$H$480,"")</f>
        <v/>
      </c>
      <c r="I486" s="107" t="str">
        <f aca="false">IF(_PENDIENTES!$B$480&lt;&gt;"",_PENDIENTES!$I$480,"")</f>
        <v/>
      </c>
      <c r="J486" s="106" t="str">
        <f aca="false">IF(_PENDIENTES!$B$480&lt;&gt;"",_PENDIENTES!$J$480,"")</f>
        <v/>
      </c>
      <c r="K486" s="106" t="str">
        <f aca="false">IF(_PENDIENTES!$B$480&lt;&gt;"","POR RECOGER","")</f>
        <v/>
      </c>
      <c r="L486" s="106" t="str">
        <f aca="false">IF(_PENDIENTES!$B$480&lt;&gt;"",_PENDIENTES!$K$480,"")</f>
        <v/>
      </c>
      <c r="M486" s="89" t="str">
        <f aca="false">IF(_PENDIENTES!$B$480&lt;&gt;"",_PENDIENTES!$B$480,"")</f>
        <v/>
      </c>
      <c r="N486" s="109" t="str">
        <f aca="false">IF(_PENDIENTES!$B$480&lt;&gt;"",_PENDIENTES!$L$480,"")</f>
        <v/>
      </c>
      <c r="O486" s="89"/>
      <c r="P486" s="89"/>
      <c r="Q486" s="89"/>
      <c r="R486" s="89"/>
      <c r="S486" s="89"/>
    </row>
    <row r="487" customFormat="false" ht="15.75" hidden="true" customHeight="true" outlineLevel="0" collapsed="false">
      <c r="A487" s="46" t="str">
        <f aca="false">IF(_PENDIENTES!$B$481&lt;&gt;"",480,"")</f>
        <v/>
      </c>
      <c r="B487" s="41" t="str">
        <f aca="false">IF(_PENDIENTES!$B$481&lt;&gt;"",_PENDIENTES!$A$481,"")</f>
        <v/>
      </c>
      <c r="C487" s="110" t="str">
        <f aca="false">IF(_PENDIENTES!$B$481&lt;&gt;"",_PENDIENTES!$C$481,"")</f>
        <v/>
      </c>
      <c r="D487" s="46" t="str">
        <f aca="false">IF(_PENDIENTES!$B$481&lt;&gt;"",_PENDIENTES!$D$481,"")</f>
        <v/>
      </c>
      <c r="E487" s="112" t="str">
        <f aca="false">IF(_PENDIENTES!$B$481&lt;&gt;"",_PENDIENTES!$E$481,"")</f>
        <v/>
      </c>
      <c r="F487" s="46" t="str">
        <f aca="false">IF(_PENDIENTES!$B$481&lt;&gt;"",_PENDIENTES!$F$481,"")</f>
        <v/>
      </c>
      <c r="G487" s="44" t="str">
        <f aca="false">IF(_PENDIENTES!$B$481&lt;&gt;"",_PENDIENTES!$G$481,"")</f>
        <v/>
      </c>
      <c r="H487" s="44" t="str">
        <f aca="false">IF(_PENDIENTES!$B$481&lt;&gt;"",_PENDIENTES!$H$481,"")</f>
        <v/>
      </c>
      <c r="I487" s="110" t="str">
        <f aca="false">IF(_PENDIENTES!$B$481&lt;&gt;"",_PENDIENTES!$I$481,"")</f>
        <v/>
      </c>
      <c r="J487" s="46" t="str">
        <f aca="false">IF(_PENDIENTES!$B$481&lt;&gt;"",_PENDIENTES!$J$481,"")</f>
        <v/>
      </c>
      <c r="K487" s="46" t="str">
        <f aca="false">IF(_PENDIENTES!$B$481&lt;&gt;"","POR RECOGER","")</f>
        <v/>
      </c>
      <c r="L487" s="46" t="str">
        <f aca="false">IF(_PENDIENTES!$B$481&lt;&gt;"",_PENDIENTES!$K$481,"")</f>
        <v/>
      </c>
      <c r="M487" s="89" t="str">
        <f aca="false">IF(_PENDIENTES!$B$481&lt;&gt;"",_PENDIENTES!$B$481,"")</f>
        <v/>
      </c>
      <c r="N487" s="109" t="str">
        <f aca="false">IF(_PENDIENTES!$B$481&lt;&gt;"",_PENDIENTES!$L$481,"")</f>
        <v/>
      </c>
      <c r="O487" s="89"/>
      <c r="P487" s="89"/>
      <c r="Q487" s="89"/>
      <c r="R487" s="89"/>
      <c r="S487" s="89"/>
    </row>
    <row r="488" customFormat="false" ht="15.75" hidden="true" customHeight="true" outlineLevel="0" collapsed="false">
      <c r="A488" s="106" t="str">
        <f aca="false">IF(_PENDIENTES!$B$482&lt;&gt;"",481,"")</f>
        <v/>
      </c>
      <c r="B488" s="47" t="str">
        <f aca="false">IF(_PENDIENTES!$B$482&lt;&gt;"",_PENDIENTES!$A$482,"")</f>
        <v/>
      </c>
      <c r="C488" s="107" t="str">
        <f aca="false">IF(_PENDIENTES!$B$482&lt;&gt;"",_PENDIENTES!$C$482,"")</f>
        <v/>
      </c>
      <c r="D488" s="106" t="str">
        <f aca="false">IF(_PENDIENTES!$B$482&lt;&gt;"",_PENDIENTES!$D$482,"")</f>
        <v/>
      </c>
      <c r="E488" s="111" t="str">
        <f aca="false">IF(_PENDIENTES!$B$482&lt;&gt;"",_PENDIENTES!$E$482,"")</f>
        <v/>
      </c>
      <c r="F488" s="106" t="str">
        <f aca="false">IF(_PENDIENTES!$B$482&lt;&gt;"",_PENDIENTES!$F$482,"")</f>
        <v/>
      </c>
      <c r="G488" s="50" t="str">
        <f aca="false">IF(_PENDIENTES!$B$482&lt;&gt;"",_PENDIENTES!$G$482,"")</f>
        <v/>
      </c>
      <c r="H488" s="50" t="str">
        <f aca="false">IF(_PENDIENTES!$B$482&lt;&gt;"",_PENDIENTES!$H$482,"")</f>
        <v/>
      </c>
      <c r="I488" s="107" t="str">
        <f aca="false">IF(_PENDIENTES!$B$482&lt;&gt;"",_PENDIENTES!$I$482,"")</f>
        <v/>
      </c>
      <c r="J488" s="106" t="str">
        <f aca="false">IF(_PENDIENTES!$B$482&lt;&gt;"",_PENDIENTES!$J$482,"")</f>
        <v/>
      </c>
      <c r="K488" s="106" t="str">
        <f aca="false">IF(_PENDIENTES!$B$482&lt;&gt;"","POR RECOGER","")</f>
        <v/>
      </c>
      <c r="L488" s="106" t="str">
        <f aca="false">IF(_PENDIENTES!$B$482&lt;&gt;"",_PENDIENTES!$K$482,"")</f>
        <v/>
      </c>
      <c r="M488" s="89" t="str">
        <f aca="false">IF(_PENDIENTES!$B$482&lt;&gt;"",_PENDIENTES!$B$482,"")</f>
        <v/>
      </c>
      <c r="N488" s="109" t="str">
        <f aca="false">IF(_PENDIENTES!$B$482&lt;&gt;"",_PENDIENTES!$L$482,"")</f>
        <v/>
      </c>
      <c r="O488" s="89"/>
      <c r="P488" s="89"/>
      <c r="Q488" s="89"/>
      <c r="R488" s="89"/>
      <c r="S488" s="89"/>
    </row>
    <row r="489" customFormat="false" ht="15.75" hidden="true" customHeight="true" outlineLevel="0" collapsed="false">
      <c r="A489" s="46" t="str">
        <f aca="false">IF(_PENDIENTES!$B$483&lt;&gt;"",482,"")</f>
        <v/>
      </c>
      <c r="B489" s="41" t="str">
        <f aca="false">IF(_PENDIENTES!$B$483&lt;&gt;"",_PENDIENTES!$A$483,"")</f>
        <v/>
      </c>
      <c r="C489" s="110" t="str">
        <f aca="false">IF(_PENDIENTES!$B$483&lt;&gt;"",_PENDIENTES!$C$483,"")</f>
        <v/>
      </c>
      <c r="D489" s="46" t="str">
        <f aca="false">IF(_PENDIENTES!$B$483&lt;&gt;"",_PENDIENTES!$D$483,"")</f>
        <v/>
      </c>
      <c r="E489" s="112" t="str">
        <f aca="false">IF(_PENDIENTES!$B$483&lt;&gt;"",_PENDIENTES!$E$483,"")</f>
        <v/>
      </c>
      <c r="F489" s="46" t="str">
        <f aca="false">IF(_PENDIENTES!$B$483&lt;&gt;"",_PENDIENTES!$F$483,"")</f>
        <v/>
      </c>
      <c r="G489" s="44" t="str">
        <f aca="false">IF(_PENDIENTES!$B$483&lt;&gt;"",_PENDIENTES!$G$483,"")</f>
        <v/>
      </c>
      <c r="H489" s="44" t="str">
        <f aca="false">IF(_PENDIENTES!$B$483&lt;&gt;"",_PENDIENTES!$H$483,"")</f>
        <v/>
      </c>
      <c r="I489" s="110" t="str">
        <f aca="false">IF(_PENDIENTES!$B$483&lt;&gt;"",_PENDIENTES!$I$483,"")</f>
        <v/>
      </c>
      <c r="J489" s="46" t="str">
        <f aca="false">IF(_PENDIENTES!$B$483&lt;&gt;"",_PENDIENTES!$J$483,"")</f>
        <v/>
      </c>
      <c r="K489" s="46" t="str">
        <f aca="false">IF(_PENDIENTES!$B$483&lt;&gt;"","POR RECOGER","")</f>
        <v/>
      </c>
      <c r="L489" s="46" t="str">
        <f aca="false">IF(_PENDIENTES!$B$483&lt;&gt;"",_PENDIENTES!$K$483,"")</f>
        <v/>
      </c>
      <c r="M489" s="89" t="str">
        <f aca="false">IF(_PENDIENTES!$B$483&lt;&gt;"",_PENDIENTES!$B$483,"")</f>
        <v/>
      </c>
      <c r="N489" s="109" t="str">
        <f aca="false">IF(_PENDIENTES!$B$483&lt;&gt;"",_PENDIENTES!$L$483,"")</f>
        <v/>
      </c>
      <c r="O489" s="89"/>
      <c r="P489" s="89"/>
      <c r="Q489" s="89"/>
      <c r="R489" s="89"/>
      <c r="S489" s="89"/>
    </row>
    <row r="490" customFormat="false" ht="15.75" hidden="true" customHeight="true" outlineLevel="0" collapsed="false">
      <c r="A490" s="106" t="str">
        <f aca="false">IF(_PENDIENTES!$B$484&lt;&gt;"",483,"")</f>
        <v/>
      </c>
      <c r="B490" s="47" t="str">
        <f aca="false">IF(_PENDIENTES!$B$484&lt;&gt;"",_PENDIENTES!$A$484,"")</f>
        <v/>
      </c>
      <c r="C490" s="107" t="str">
        <f aca="false">IF(_PENDIENTES!$B$484&lt;&gt;"",_PENDIENTES!$C$484,"")</f>
        <v/>
      </c>
      <c r="D490" s="106" t="str">
        <f aca="false">IF(_PENDIENTES!$B$484&lt;&gt;"",_PENDIENTES!$D$484,"")</f>
        <v/>
      </c>
      <c r="E490" s="111" t="str">
        <f aca="false">IF(_PENDIENTES!$B$484&lt;&gt;"",_PENDIENTES!$E$484,"")</f>
        <v/>
      </c>
      <c r="F490" s="106" t="str">
        <f aca="false">IF(_PENDIENTES!$B$484&lt;&gt;"",_PENDIENTES!$F$484,"")</f>
        <v/>
      </c>
      <c r="G490" s="50" t="str">
        <f aca="false">IF(_PENDIENTES!$B$484&lt;&gt;"",_PENDIENTES!$G$484,"")</f>
        <v/>
      </c>
      <c r="H490" s="50" t="str">
        <f aca="false">IF(_PENDIENTES!$B$484&lt;&gt;"",_PENDIENTES!$H$484,"")</f>
        <v/>
      </c>
      <c r="I490" s="107" t="str">
        <f aca="false">IF(_PENDIENTES!$B$484&lt;&gt;"",_PENDIENTES!$I$484,"")</f>
        <v/>
      </c>
      <c r="J490" s="106" t="str">
        <f aca="false">IF(_PENDIENTES!$B$484&lt;&gt;"",_PENDIENTES!$J$484,"")</f>
        <v/>
      </c>
      <c r="K490" s="106" t="str">
        <f aca="false">IF(_PENDIENTES!$B$484&lt;&gt;"","POR RECOGER","")</f>
        <v/>
      </c>
      <c r="L490" s="106" t="str">
        <f aca="false">IF(_PENDIENTES!$B$484&lt;&gt;"",_PENDIENTES!$K$484,"")</f>
        <v/>
      </c>
      <c r="M490" s="89" t="str">
        <f aca="false">IF(_PENDIENTES!$B$484&lt;&gt;"",_PENDIENTES!$B$484,"")</f>
        <v/>
      </c>
      <c r="N490" s="109" t="str">
        <f aca="false">IF(_PENDIENTES!$B$484&lt;&gt;"",_PENDIENTES!$L$484,"")</f>
        <v/>
      </c>
      <c r="O490" s="89"/>
      <c r="P490" s="89"/>
      <c r="Q490" s="89"/>
      <c r="R490" s="89"/>
      <c r="S490" s="89"/>
    </row>
    <row r="491" customFormat="false" ht="15.75" hidden="true" customHeight="true" outlineLevel="0" collapsed="false">
      <c r="A491" s="46" t="str">
        <f aca="false">IF(_PENDIENTES!$B$485&lt;&gt;"",484,"")</f>
        <v/>
      </c>
      <c r="B491" s="41" t="str">
        <f aca="false">IF(_PENDIENTES!$B$485&lt;&gt;"",_PENDIENTES!$A$485,"")</f>
        <v/>
      </c>
      <c r="C491" s="110" t="str">
        <f aca="false">IF(_PENDIENTES!$B$485&lt;&gt;"",_PENDIENTES!$C$485,"")</f>
        <v/>
      </c>
      <c r="D491" s="46" t="str">
        <f aca="false">IF(_PENDIENTES!$B$485&lt;&gt;"",_PENDIENTES!$D$485,"")</f>
        <v/>
      </c>
      <c r="E491" s="112" t="str">
        <f aca="false">IF(_PENDIENTES!$B$485&lt;&gt;"",_PENDIENTES!$E$485,"")</f>
        <v/>
      </c>
      <c r="F491" s="46" t="str">
        <f aca="false">IF(_PENDIENTES!$B$485&lt;&gt;"",_PENDIENTES!$F$485,"")</f>
        <v/>
      </c>
      <c r="G491" s="44" t="str">
        <f aca="false">IF(_PENDIENTES!$B$485&lt;&gt;"",_PENDIENTES!$G$485,"")</f>
        <v/>
      </c>
      <c r="H491" s="44" t="str">
        <f aca="false">IF(_PENDIENTES!$B$485&lt;&gt;"",_PENDIENTES!$H$485,"")</f>
        <v/>
      </c>
      <c r="I491" s="110" t="str">
        <f aca="false">IF(_PENDIENTES!$B$485&lt;&gt;"",_PENDIENTES!$I$485,"")</f>
        <v/>
      </c>
      <c r="J491" s="46" t="str">
        <f aca="false">IF(_PENDIENTES!$B$485&lt;&gt;"",_PENDIENTES!$J$485,"")</f>
        <v/>
      </c>
      <c r="K491" s="46" t="str">
        <f aca="false">IF(_PENDIENTES!$B$485&lt;&gt;"","POR RECOGER","")</f>
        <v/>
      </c>
      <c r="L491" s="46" t="str">
        <f aca="false">IF(_PENDIENTES!$B$485&lt;&gt;"",_PENDIENTES!$K$485,"")</f>
        <v/>
      </c>
      <c r="M491" s="89" t="str">
        <f aca="false">IF(_PENDIENTES!$B$485&lt;&gt;"",_PENDIENTES!$B$485,"")</f>
        <v/>
      </c>
      <c r="N491" s="109" t="str">
        <f aca="false">IF(_PENDIENTES!$B$485&lt;&gt;"",_PENDIENTES!$L$485,"")</f>
        <v/>
      </c>
      <c r="O491" s="89"/>
      <c r="P491" s="89"/>
      <c r="Q491" s="89"/>
      <c r="R491" s="89"/>
      <c r="S491" s="89"/>
    </row>
    <row r="492" customFormat="false" ht="15.75" hidden="true" customHeight="true" outlineLevel="0" collapsed="false">
      <c r="A492" s="106" t="str">
        <f aca="false">IF(_PENDIENTES!$B$486&lt;&gt;"",485,"")</f>
        <v/>
      </c>
      <c r="B492" s="47" t="str">
        <f aca="false">IF(_PENDIENTES!$B$486&lt;&gt;"",_PENDIENTES!$A$486,"")</f>
        <v/>
      </c>
      <c r="C492" s="107" t="str">
        <f aca="false">IF(_PENDIENTES!$B$486&lt;&gt;"",_PENDIENTES!$C$486,"")</f>
        <v/>
      </c>
      <c r="D492" s="106" t="str">
        <f aca="false">IF(_PENDIENTES!$B$486&lt;&gt;"",_PENDIENTES!$D$486,"")</f>
        <v/>
      </c>
      <c r="E492" s="111" t="str">
        <f aca="false">IF(_PENDIENTES!$B$486&lt;&gt;"",_PENDIENTES!$E$486,"")</f>
        <v/>
      </c>
      <c r="F492" s="106" t="str">
        <f aca="false">IF(_PENDIENTES!$B$486&lt;&gt;"",_PENDIENTES!$F$486,"")</f>
        <v/>
      </c>
      <c r="G492" s="50" t="str">
        <f aca="false">IF(_PENDIENTES!$B$486&lt;&gt;"",_PENDIENTES!$G$486,"")</f>
        <v/>
      </c>
      <c r="H492" s="50" t="str">
        <f aca="false">IF(_PENDIENTES!$B$486&lt;&gt;"",_PENDIENTES!$H$486,"")</f>
        <v/>
      </c>
      <c r="I492" s="107" t="str">
        <f aca="false">IF(_PENDIENTES!$B$486&lt;&gt;"",_PENDIENTES!$I$486,"")</f>
        <v/>
      </c>
      <c r="J492" s="106" t="str">
        <f aca="false">IF(_PENDIENTES!$B$486&lt;&gt;"",_PENDIENTES!$J$486,"")</f>
        <v/>
      </c>
      <c r="K492" s="106" t="str">
        <f aca="false">IF(_PENDIENTES!$B$486&lt;&gt;"","POR RECOGER","")</f>
        <v/>
      </c>
      <c r="L492" s="106" t="str">
        <f aca="false">IF(_PENDIENTES!$B$486&lt;&gt;"",_PENDIENTES!$K$486,"")</f>
        <v/>
      </c>
      <c r="M492" s="89" t="str">
        <f aca="false">IF(_PENDIENTES!$B$486&lt;&gt;"",_PENDIENTES!$B$486,"")</f>
        <v/>
      </c>
      <c r="N492" s="109" t="str">
        <f aca="false">IF(_PENDIENTES!$B$486&lt;&gt;"",_PENDIENTES!$L$486,"")</f>
        <v/>
      </c>
      <c r="O492" s="89"/>
      <c r="P492" s="89"/>
      <c r="Q492" s="89"/>
      <c r="R492" s="89"/>
      <c r="S492" s="89"/>
    </row>
    <row r="493" customFormat="false" ht="15.75" hidden="true" customHeight="true" outlineLevel="0" collapsed="false">
      <c r="A493" s="46" t="str">
        <f aca="false">IF(_PENDIENTES!$B$487&lt;&gt;"",486,"")</f>
        <v/>
      </c>
      <c r="B493" s="41" t="str">
        <f aca="false">IF(_PENDIENTES!$B$487&lt;&gt;"",_PENDIENTES!$A$487,"")</f>
        <v/>
      </c>
      <c r="C493" s="110" t="str">
        <f aca="false">IF(_PENDIENTES!$B$487&lt;&gt;"",_PENDIENTES!$C$487,"")</f>
        <v/>
      </c>
      <c r="D493" s="46" t="str">
        <f aca="false">IF(_PENDIENTES!$B$487&lt;&gt;"",_PENDIENTES!$D$487,"")</f>
        <v/>
      </c>
      <c r="E493" s="112" t="str">
        <f aca="false">IF(_PENDIENTES!$B$487&lt;&gt;"",_PENDIENTES!$E$487,"")</f>
        <v/>
      </c>
      <c r="F493" s="46" t="str">
        <f aca="false">IF(_PENDIENTES!$B$487&lt;&gt;"",_PENDIENTES!$F$487,"")</f>
        <v/>
      </c>
      <c r="G493" s="44" t="str">
        <f aca="false">IF(_PENDIENTES!$B$487&lt;&gt;"",_PENDIENTES!$G$487,"")</f>
        <v/>
      </c>
      <c r="H493" s="44" t="str">
        <f aca="false">IF(_PENDIENTES!$B$487&lt;&gt;"",_PENDIENTES!$H$487,"")</f>
        <v/>
      </c>
      <c r="I493" s="110" t="str">
        <f aca="false">IF(_PENDIENTES!$B$487&lt;&gt;"",_PENDIENTES!$I$487,"")</f>
        <v/>
      </c>
      <c r="J493" s="46" t="str">
        <f aca="false">IF(_PENDIENTES!$B$487&lt;&gt;"",_PENDIENTES!$J$487,"")</f>
        <v/>
      </c>
      <c r="K493" s="46" t="str">
        <f aca="false">IF(_PENDIENTES!$B$487&lt;&gt;"","POR RECOGER","")</f>
        <v/>
      </c>
      <c r="L493" s="46" t="str">
        <f aca="false">IF(_PENDIENTES!$B$487&lt;&gt;"",_PENDIENTES!$K$487,"")</f>
        <v/>
      </c>
      <c r="M493" s="89" t="str">
        <f aca="false">IF(_PENDIENTES!$B$487&lt;&gt;"",_PENDIENTES!$B$487,"")</f>
        <v/>
      </c>
      <c r="N493" s="109" t="str">
        <f aca="false">IF(_PENDIENTES!$B$487&lt;&gt;"",_PENDIENTES!$L$487,"")</f>
        <v/>
      </c>
      <c r="O493" s="89"/>
      <c r="P493" s="89"/>
      <c r="Q493" s="89"/>
      <c r="R493" s="89"/>
      <c r="S493" s="89"/>
    </row>
    <row r="494" customFormat="false" ht="15.75" hidden="true" customHeight="true" outlineLevel="0" collapsed="false">
      <c r="A494" s="106" t="str">
        <f aca="false">IF(_PENDIENTES!$B$488&lt;&gt;"",487,"")</f>
        <v/>
      </c>
      <c r="B494" s="47" t="str">
        <f aca="false">IF(_PENDIENTES!$B$488&lt;&gt;"",_PENDIENTES!$A$488,"")</f>
        <v/>
      </c>
      <c r="C494" s="107" t="str">
        <f aca="false">IF(_PENDIENTES!$B$488&lt;&gt;"",_PENDIENTES!$C$488,"")</f>
        <v/>
      </c>
      <c r="D494" s="106" t="str">
        <f aca="false">IF(_PENDIENTES!$B$488&lt;&gt;"",_PENDIENTES!$D$488,"")</f>
        <v/>
      </c>
      <c r="E494" s="111" t="str">
        <f aca="false">IF(_PENDIENTES!$B$488&lt;&gt;"",_PENDIENTES!$E$488,"")</f>
        <v/>
      </c>
      <c r="F494" s="106" t="str">
        <f aca="false">IF(_PENDIENTES!$B$488&lt;&gt;"",_PENDIENTES!$F$488,"")</f>
        <v/>
      </c>
      <c r="G494" s="50" t="str">
        <f aca="false">IF(_PENDIENTES!$B$488&lt;&gt;"",_PENDIENTES!$G$488,"")</f>
        <v/>
      </c>
      <c r="H494" s="50" t="str">
        <f aca="false">IF(_PENDIENTES!$B$488&lt;&gt;"",_PENDIENTES!$H$488,"")</f>
        <v/>
      </c>
      <c r="I494" s="107" t="str">
        <f aca="false">IF(_PENDIENTES!$B$488&lt;&gt;"",_PENDIENTES!$I$488,"")</f>
        <v/>
      </c>
      <c r="J494" s="106" t="str">
        <f aca="false">IF(_PENDIENTES!$B$488&lt;&gt;"",_PENDIENTES!$J$488,"")</f>
        <v/>
      </c>
      <c r="K494" s="106" t="str">
        <f aca="false">IF(_PENDIENTES!$B$488&lt;&gt;"","POR RECOGER","")</f>
        <v/>
      </c>
      <c r="L494" s="106" t="str">
        <f aca="false">IF(_PENDIENTES!$B$488&lt;&gt;"",_PENDIENTES!$K$488,"")</f>
        <v/>
      </c>
      <c r="M494" s="89" t="str">
        <f aca="false">IF(_PENDIENTES!$B$488&lt;&gt;"",_PENDIENTES!$B$488,"")</f>
        <v/>
      </c>
      <c r="N494" s="109" t="str">
        <f aca="false">IF(_PENDIENTES!$B$488&lt;&gt;"",_PENDIENTES!$L$488,"")</f>
        <v/>
      </c>
      <c r="O494" s="89"/>
      <c r="P494" s="89"/>
      <c r="Q494" s="89"/>
      <c r="R494" s="89"/>
      <c r="S494" s="89"/>
    </row>
    <row r="495" customFormat="false" ht="15.75" hidden="true" customHeight="true" outlineLevel="0" collapsed="false">
      <c r="A495" s="46" t="str">
        <f aca="false">IF(_PENDIENTES!$B$489&lt;&gt;"",488,"")</f>
        <v/>
      </c>
      <c r="B495" s="41" t="str">
        <f aca="false">IF(_PENDIENTES!$B$489&lt;&gt;"",_PENDIENTES!$A$489,"")</f>
        <v/>
      </c>
      <c r="C495" s="110" t="str">
        <f aca="false">IF(_PENDIENTES!$B$489&lt;&gt;"",_PENDIENTES!$C$489,"")</f>
        <v/>
      </c>
      <c r="D495" s="46" t="str">
        <f aca="false">IF(_PENDIENTES!$B$489&lt;&gt;"",_PENDIENTES!$D$489,"")</f>
        <v/>
      </c>
      <c r="E495" s="112" t="str">
        <f aca="false">IF(_PENDIENTES!$B$489&lt;&gt;"",_PENDIENTES!$E$489,"")</f>
        <v/>
      </c>
      <c r="F495" s="46" t="str">
        <f aca="false">IF(_PENDIENTES!$B$489&lt;&gt;"",_PENDIENTES!$F$489,"")</f>
        <v/>
      </c>
      <c r="G495" s="44" t="str">
        <f aca="false">IF(_PENDIENTES!$B$489&lt;&gt;"",_PENDIENTES!$G$489,"")</f>
        <v/>
      </c>
      <c r="H495" s="44" t="str">
        <f aca="false">IF(_PENDIENTES!$B$489&lt;&gt;"",_PENDIENTES!$H$489,"")</f>
        <v/>
      </c>
      <c r="I495" s="110" t="str">
        <f aca="false">IF(_PENDIENTES!$B$489&lt;&gt;"",_PENDIENTES!$I$489,"")</f>
        <v/>
      </c>
      <c r="J495" s="46" t="str">
        <f aca="false">IF(_PENDIENTES!$B$489&lt;&gt;"",_PENDIENTES!$J$489,"")</f>
        <v/>
      </c>
      <c r="K495" s="46" t="str">
        <f aca="false">IF(_PENDIENTES!$B$489&lt;&gt;"","POR RECOGER","")</f>
        <v/>
      </c>
      <c r="L495" s="46" t="str">
        <f aca="false">IF(_PENDIENTES!$B$489&lt;&gt;"",_PENDIENTES!$K$489,"")</f>
        <v/>
      </c>
      <c r="M495" s="89" t="str">
        <f aca="false">IF(_PENDIENTES!$B$489&lt;&gt;"",_PENDIENTES!$B$489,"")</f>
        <v/>
      </c>
      <c r="N495" s="109" t="str">
        <f aca="false">IF(_PENDIENTES!$B$489&lt;&gt;"",_PENDIENTES!$L$489,"")</f>
        <v/>
      </c>
      <c r="O495" s="89"/>
      <c r="P495" s="89"/>
      <c r="Q495" s="89"/>
      <c r="R495" s="89"/>
      <c r="S495" s="89"/>
    </row>
    <row r="496" customFormat="false" ht="15.75" hidden="true" customHeight="true" outlineLevel="0" collapsed="false">
      <c r="A496" s="106" t="str">
        <f aca="false">IF(_PENDIENTES!$B$490&lt;&gt;"",489,"")</f>
        <v/>
      </c>
      <c r="B496" s="47" t="str">
        <f aca="false">IF(_PENDIENTES!$B$490&lt;&gt;"",_PENDIENTES!$A$490,"")</f>
        <v/>
      </c>
      <c r="C496" s="107" t="str">
        <f aca="false">IF(_PENDIENTES!$B$490&lt;&gt;"",_PENDIENTES!$C$490,"")</f>
        <v/>
      </c>
      <c r="D496" s="106" t="str">
        <f aca="false">IF(_PENDIENTES!$B$490&lt;&gt;"",_PENDIENTES!$D$490,"")</f>
        <v/>
      </c>
      <c r="E496" s="111" t="str">
        <f aca="false">IF(_PENDIENTES!$B$490&lt;&gt;"",_PENDIENTES!$E$490,"")</f>
        <v/>
      </c>
      <c r="F496" s="106" t="str">
        <f aca="false">IF(_PENDIENTES!$B$490&lt;&gt;"",_PENDIENTES!$F$490,"")</f>
        <v/>
      </c>
      <c r="G496" s="50" t="str">
        <f aca="false">IF(_PENDIENTES!$B$490&lt;&gt;"",_PENDIENTES!$G$490,"")</f>
        <v/>
      </c>
      <c r="H496" s="50" t="str">
        <f aca="false">IF(_PENDIENTES!$B$490&lt;&gt;"",_PENDIENTES!$H$490,"")</f>
        <v/>
      </c>
      <c r="I496" s="107" t="str">
        <f aca="false">IF(_PENDIENTES!$B$490&lt;&gt;"",_PENDIENTES!$I$490,"")</f>
        <v/>
      </c>
      <c r="J496" s="106" t="str">
        <f aca="false">IF(_PENDIENTES!$B$490&lt;&gt;"",_PENDIENTES!$J$490,"")</f>
        <v/>
      </c>
      <c r="K496" s="106" t="str">
        <f aca="false">IF(_PENDIENTES!$B$490&lt;&gt;"","POR RECOGER","")</f>
        <v/>
      </c>
      <c r="L496" s="106" t="str">
        <f aca="false">IF(_PENDIENTES!$B$490&lt;&gt;"",_PENDIENTES!$K$490,"")</f>
        <v/>
      </c>
      <c r="M496" s="89" t="str">
        <f aca="false">IF(_PENDIENTES!$B$490&lt;&gt;"",_PENDIENTES!$B$490,"")</f>
        <v/>
      </c>
      <c r="N496" s="109" t="str">
        <f aca="false">IF(_PENDIENTES!$B$490&lt;&gt;"",_PENDIENTES!$L$490,"")</f>
        <v/>
      </c>
      <c r="O496" s="89"/>
      <c r="P496" s="89"/>
      <c r="Q496" s="89"/>
      <c r="R496" s="89"/>
      <c r="S496" s="89"/>
    </row>
    <row r="497" customFormat="false" ht="15.75" hidden="true" customHeight="true" outlineLevel="0" collapsed="false">
      <c r="A497" s="46" t="str">
        <f aca="false">IF(_PENDIENTES!$B$491&lt;&gt;"",490,"")</f>
        <v/>
      </c>
      <c r="B497" s="41" t="str">
        <f aca="false">IF(_PENDIENTES!$B$491&lt;&gt;"",_PENDIENTES!$A$491,"")</f>
        <v/>
      </c>
      <c r="C497" s="110" t="str">
        <f aca="false">IF(_PENDIENTES!$B$491&lt;&gt;"",_PENDIENTES!$C$491,"")</f>
        <v/>
      </c>
      <c r="D497" s="46" t="str">
        <f aca="false">IF(_PENDIENTES!$B$491&lt;&gt;"",_PENDIENTES!$D$491,"")</f>
        <v/>
      </c>
      <c r="E497" s="112" t="str">
        <f aca="false">IF(_PENDIENTES!$B$491&lt;&gt;"",_PENDIENTES!$E$491,"")</f>
        <v/>
      </c>
      <c r="F497" s="46" t="str">
        <f aca="false">IF(_PENDIENTES!$B$491&lt;&gt;"",_PENDIENTES!$F$491,"")</f>
        <v/>
      </c>
      <c r="G497" s="44" t="str">
        <f aca="false">IF(_PENDIENTES!$B$491&lt;&gt;"",_PENDIENTES!$G$491,"")</f>
        <v/>
      </c>
      <c r="H497" s="44" t="str">
        <f aca="false">IF(_PENDIENTES!$B$491&lt;&gt;"",_PENDIENTES!$H$491,"")</f>
        <v/>
      </c>
      <c r="I497" s="110" t="str">
        <f aca="false">IF(_PENDIENTES!$B$491&lt;&gt;"",_PENDIENTES!$I$491,"")</f>
        <v/>
      </c>
      <c r="J497" s="46" t="str">
        <f aca="false">IF(_PENDIENTES!$B$491&lt;&gt;"",_PENDIENTES!$J$491,"")</f>
        <v/>
      </c>
      <c r="K497" s="46" t="str">
        <f aca="false">IF(_PENDIENTES!$B$491&lt;&gt;"","POR RECOGER","")</f>
        <v/>
      </c>
      <c r="L497" s="46" t="str">
        <f aca="false">IF(_PENDIENTES!$B$491&lt;&gt;"",_PENDIENTES!$K$491,"")</f>
        <v/>
      </c>
      <c r="M497" s="89" t="str">
        <f aca="false">IF(_PENDIENTES!$B$491&lt;&gt;"",_PENDIENTES!$B$491,"")</f>
        <v/>
      </c>
      <c r="N497" s="109" t="str">
        <f aca="false">IF(_PENDIENTES!$B$491&lt;&gt;"",_PENDIENTES!$L$491,"")</f>
        <v/>
      </c>
      <c r="O497" s="89"/>
      <c r="P497" s="89"/>
      <c r="Q497" s="89"/>
      <c r="R497" s="89"/>
      <c r="S497" s="89"/>
    </row>
    <row r="498" customFormat="false" ht="15.75" hidden="true" customHeight="true" outlineLevel="0" collapsed="false">
      <c r="A498" s="106" t="str">
        <f aca="false">IF(_PENDIENTES!$B$492&lt;&gt;"",491,"")</f>
        <v/>
      </c>
      <c r="B498" s="47" t="str">
        <f aca="false">IF(_PENDIENTES!$B$492&lt;&gt;"",_PENDIENTES!$A$492,"")</f>
        <v/>
      </c>
      <c r="C498" s="107" t="str">
        <f aca="false">IF(_PENDIENTES!$B$492&lt;&gt;"",_PENDIENTES!$C$492,"")</f>
        <v/>
      </c>
      <c r="D498" s="106" t="str">
        <f aca="false">IF(_PENDIENTES!$B$492&lt;&gt;"",_PENDIENTES!$D$492,"")</f>
        <v/>
      </c>
      <c r="E498" s="111" t="str">
        <f aca="false">IF(_PENDIENTES!$B$492&lt;&gt;"",_PENDIENTES!$E$492,"")</f>
        <v/>
      </c>
      <c r="F498" s="106" t="str">
        <f aca="false">IF(_PENDIENTES!$B$492&lt;&gt;"",_PENDIENTES!$F$492,"")</f>
        <v/>
      </c>
      <c r="G498" s="50" t="str">
        <f aca="false">IF(_PENDIENTES!$B$492&lt;&gt;"",_PENDIENTES!$G$492,"")</f>
        <v/>
      </c>
      <c r="H498" s="50" t="str">
        <f aca="false">IF(_PENDIENTES!$B$492&lt;&gt;"",_PENDIENTES!$H$492,"")</f>
        <v/>
      </c>
      <c r="I498" s="107" t="str">
        <f aca="false">IF(_PENDIENTES!$B$492&lt;&gt;"",_PENDIENTES!$I$492,"")</f>
        <v/>
      </c>
      <c r="J498" s="106" t="str">
        <f aca="false">IF(_PENDIENTES!$B$492&lt;&gt;"",_PENDIENTES!$J$492,"")</f>
        <v/>
      </c>
      <c r="K498" s="106" t="str">
        <f aca="false">IF(_PENDIENTES!$B$492&lt;&gt;"","POR RECOGER","")</f>
        <v/>
      </c>
      <c r="L498" s="106" t="str">
        <f aca="false">IF(_PENDIENTES!$B$492&lt;&gt;"",_PENDIENTES!$K$492,"")</f>
        <v/>
      </c>
      <c r="M498" s="89" t="str">
        <f aca="false">IF(_PENDIENTES!$B$492&lt;&gt;"",_PENDIENTES!$B$492,"")</f>
        <v/>
      </c>
      <c r="N498" s="109" t="str">
        <f aca="false">IF(_PENDIENTES!$B$492&lt;&gt;"",_PENDIENTES!$L$492,"")</f>
        <v/>
      </c>
      <c r="O498" s="89"/>
      <c r="P498" s="89"/>
      <c r="Q498" s="89"/>
      <c r="R498" s="89"/>
      <c r="S498" s="89"/>
    </row>
    <row r="499" customFormat="false" ht="15.75" hidden="true" customHeight="true" outlineLevel="0" collapsed="false">
      <c r="A499" s="46" t="str">
        <f aca="false">IF(_PENDIENTES!$B$493&lt;&gt;"",492,"")</f>
        <v/>
      </c>
      <c r="B499" s="41" t="str">
        <f aca="false">IF(_PENDIENTES!$B$493&lt;&gt;"",_PENDIENTES!$A$493,"")</f>
        <v/>
      </c>
      <c r="C499" s="110" t="str">
        <f aca="false">IF(_PENDIENTES!$B$493&lt;&gt;"",_PENDIENTES!$C$493,"")</f>
        <v/>
      </c>
      <c r="D499" s="46" t="str">
        <f aca="false">IF(_PENDIENTES!$B$493&lt;&gt;"",_PENDIENTES!$D$493,"")</f>
        <v/>
      </c>
      <c r="E499" s="112" t="str">
        <f aca="false">IF(_PENDIENTES!$B$493&lt;&gt;"",_PENDIENTES!$E$493,"")</f>
        <v/>
      </c>
      <c r="F499" s="46" t="str">
        <f aca="false">IF(_PENDIENTES!$B$493&lt;&gt;"",_PENDIENTES!$F$493,"")</f>
        <v/>
      </c>
      <c r="G499" s="44" t="str">
        <f aca="false">IF(_PENDIENTES!$B$493&lt;&gt;"",_PENDIENTES!$G$493,"")</f>
        <v/>
      </c>
      <c r="H499" s="44" t="str">
        <f aca="false">IF(_PENDIENTES!$B$493&lt;&gt;"",_PENDIENTES!$H$493,"")</f>
        <v/>
      </c>
      <c r="I499" s="110" t="str">
        <f aca="false">IF(_PENDIENTES!$B$493&lt;&gt;"",_PENDIENTES!$I$493,"")</f>
        <v/>
      </c>
      <c r="J499" s="46" t="str">
        <f aca="false">IF(_PENDIENTES!$B$493&lt;&gt;"",_PENDIENTES!$J$493,"")</f>
        <v/>
      </c>
      <c r="K499" s="46" t="str">
        <f aca="false">IF(_PENDIENTES!$B$493&lt;&gt;"","POR RECOGER","")</f>
        <v/>
      </c>
      <c r="L499" s="46" t="str">
        <f aca="false">IF(_PENDIENTES!$B$493&lt;&gt;"",_PENDIENTES!$K$493,"")</f>
        <v/>
      </c>
      <c r="M499" s="89" t="str">
        <f aca="false">IF(_PENDIENTES!$B$493&lt;&gt;"",_PENDIENTES!$B$493,"")</f>
        <v/>
      </c>
      <c r="N499" s="109" t="str">
        <f aca="false">IF(_PENDIENTES!$B$493&lt;&gt;"",_PENDIENTES!$L$493,"")</f>
        <v/>
      </c>
      <c r="O499" s="89"/>
      <c r="P499" s="89"/>
      <c r="Q499" s="89"/>
      <c r="R499" s="89"/>
      <c r="S499" s="89"/>
    </row>
    <row r="500" customFormat="false" ht="15.75" hidden="true" customHeight="true" outlineLevel="0" collapsed="false">
      <c r="A500" s="106" t="str">
        <f aca="false">IF(_PENDIENTES!$B$494&lt;&gt;"",493,"")</f>
        <v/>
      </c>
      <c r="B500" s="47" t="str">
        <f aca="false">IF(_PENDIENTES!$B$494&lt;&gt;"",_PENDIENTES!$A$494,"")</f>
        <v/>
      </c>
      <c r="C500" s="107" t="str">
        <f aca="false">IF(_PENDIENTES!$B$494&lt;&gt;"",_PENDIENTES!$C$494,"")</f>
        <v/>
      </c>
      <c r="D500" s="106" t="str">
        <f aca="false">IF(_PENDIENTES!$B$494&lt;&gt;"",_PENDIENTES!$D$494,"")</f>
        <v/>
      </c>
      <c r="E500" s="111" t="str">
        <f aca="false">IF(_PENDIENTES!$B$494&lt;&gt;"",_PENDIENTES!$E$494,"")</f>
        <v/>
      </c>
      <c r="F500" s="106" t="str">
        <f aca="false">IF(_PENDIENTES!$B$494&lt;&gt;"",_PENDIENTES!$F$494,"")</f>
        <v/>
      </c>
      <c r="G500" s="50" t="str">
        <f aca="false">IF(_PENDIENTES!$B$494&lt;&gt;"",_PENDIENTES!$G$494,"")</f>
        <v/>
      </c>
      <c r="H500" s="50" t="str">
        <f aca="false">IF(_PENDIENTES!$B$494&lt;&gt;"",_PENDIENTES!$H$494,"")</f>
        <v/>
      </c>
      <c r="I500" s="107" t="str">
        <f aca="false">IF(_PENDIENTES!$B$494&lt;&gt;"",_PENDIENTES!$I$494,"")</f>
        <v/>
      </c>
      <c r="J500" s="106" t="str">
        <f aca="false">IF(_PENDIENTES!$B$494&lt;&gt;"",_PENDIENTES!$J$494,"")</f>
        <v/>
      </c>
      <c r="K500" s="106" t="str">
        <f aca="false">IF(_PENDIENTES!$B$494&lt;&gt;"","POR RECOGER","")</f>
        <v/>
      </c>
      <c r="L500" s="106" t="str">
        <f aca="false">IF(_PENDIENTES!$B$494&lt;&gt;"",_PENDIENTES!$K$494,"")</f>
        <v/>
      </c>
      <c r="M500" s="89" t="str">
        <f aca="false">IF(_PENDIENTES!$B$494&lt;&gt;"",_PENDIENTES!$B$494,"")</f>
        <v/>
      </c>
      <c r="N500" s="109" t="str">
        <f aca="false">IF(_PENDIENTES!$B$494&lt;&gt;"",_PENDIENTES!$L$494,"")</f>
        <v/>
      </c>
      <c r="O500" s="89"/>
      <c r="P500" s="89"/>
      <c r="Q500" s="89"/>
      <c r="R500" s="89"/>
      <c r="S500" s="89"/>
    </row>
    <row r="501" customFormat="false" ht="15.75" hidden="true" customHeight="true" outlineLevel="0" collapsed="false">
      <c r="A501" s="46" t="str">
        <f aca="false">IF(_PENDIENTES!$B$495&lt;&gt;"",494,"")</f>
        <v/>
      </c>
      <c r="B501" s="41" t="str">
        <f aca="false">IF(_PENDIENTES!$B$495&lt;&gt;"",_PENDIENTES!$A$495,"")</f>
        <v/>
      </c>
      <c r="C501" s="110" t="str">
        <f aca="false">IF(_PENDIENTES!$B$495&lt;&gt;"",_PENDIENTES!$C$495,"")</f>
        <v/>
      </c>
      <c r="D501" s="46" t="str">
        <f aca="false">IF(_PENDIENTES!$B$495&lt;&gt;"",_PENDIENTES!$D$495,"")</f>
        <v/>
      </c>
      <c r="E501" s="112" t="str">
        <f aca="false">IF(_PENDIENTES!$B$495&lt;&gt;"",_PENDIENTES!$E$495,"")</f>
        <v/>
      </c>
      <c r="F501" s="46" t="str">
        <f aca="false">IF(_PENDIENTES!$B$495&lt;&gt;"",_PENDIENTES!$F$495,"")</f>
        <v/>
      </c>
      <c r="G501" s="44" t="str">
        <f aca="false">IF(_PENDIENTES!$B$495&lt;&gt;"",_PENDIENTES!$G$495,"")</f>
        <v/>
      </c>
      <c r="H501" s="44" t="str">
        <f aca="false">IF(_PENDIENTES!$B$495&lt;&gt;"",_PENDIENTES!$H$495,"")</f>
        <v/>
      </c>
      <c r="I501" s="110" t="str">
        <f aca="false">IF(_PENDIENTES!$B$495&lt;&gt;"",_PENDIENTES!$I$495,"")</f>
        <v/>
      </c>
      <c r="J501" s="46" t="str">
        <f aca="false">IF(_PENDIENTES!$B$495&lt;&gt;"",_PENDIENTES!$J$495,"")</f>
        <v/>
      </c>
      <c r="K501" s="46" t="str">
        <f aca="false">IF(_PENDIENTES!$B$495&lt;&gt;"","POR RECOGER","")</f>
        <v/>
      </c>
      <c r="L501" s="46" t="str">
        <f aca="false">IF(_PENDIENTES!$B$495&lt;&gt;"",_PENDIENTES!$K$495,"")</f>
        <v/>
      </c>
      <c r="M501" s="89" t="str">
        <f aca="false">IF(_PENDIENTES!$B$495&lt;&gt;"",_PENDIENTES!$B$495,"")</f>
        <v/>
      </c>
      <c r="N501" s="109" t="str">
        <f aca="false">IF(_PENDIENTES!$B$495&lt;&gt;"",_PENDIENTES!$L$495,"")</f>
        <v/>
      </c>
      <c r="O501" s="89"/>
      <c r="P501" s="89"/>
      <c r="Q501" s="89"/>
      <c r="R501" s="89"/>
      <c r="S501" s="89"/>
    </row>
    <row r="502" customFormat="false" ht="15.75" hidden="true" customHeight="true" outlineLevel="0" collapsed="false">
      <c r="A502" s="106" t="str">
        <f aca="false">IF(_PENDIENTES!$B$496&lt;&gt;"",495,"")</f>
        <v/>
      </c>
      <c r="B502" s="47" t="str">
        <f aca="false">IF(_PENDIENTES!$B$496&lt;&gt;"",_PENDIENTES!$A$496,"")</f>
        <v/>
      </c>
      <c r="C502" s="107" t="str">
        <f aca="false">IF(_PENDIENTES!$B$496&lt;&gt;"",_PENDIENTES!$C$496,"")</f>
        <v/>
      </c>
      <c r="D502" s="106" t="str">
        <f aca="false">IF(_PENDIENTES!$B$496&lt;&gt;"",_PENDIENTES!$D$496,"")</f>
        <v/>
      </c>
      <c r="E502" s="111" t="str">
        <f aca="false">IF(_PENDIENTES!$B$496&lt;&gt;"",_PENDIENTES!$E$496,"")</f>
        <v/>
      </c>
      <c r="F502" s="106" t="str">
        <f aca="false">IF(_PENDIENTES!$B$496&lt;&gt;"",_PENDIENTES!$F$496,"")</f>
        <v/>
      </c>
      <c r="G502" s="50" t="str">
        <f aca="false">IF(_PENDIENTES!$B$496&lt;&gt;"",_PENDIENTES!$G$496,"")</f>
        <v/>
      </c>
      <c r="H502" s="50" t="str">
        <f aca="false">IF(_PENDIENTES!$B$496&lt;&gt;"",_PENDIENTES!$H$496,"")</f>
        <v/>
      </c>
      <c r="I502" s="107" t="str">
        <f aca="false">IF(_PENDIENTES!$B$496&lt;&gt;"",_PENDIENTES!$I$496,"")</f>
        <v/>
      </c>
      <c r="J502" s="106" t="str">
        <f aca="false">IF(_PENDIENTES!$B$496&lt;&gt;"",_PENDIENTES!$J$496,"")</f>
        <v/>
      </c>
      <c r="K502" s="106" t="str">
        <f aca="false">IF(_PENDIENTES!$B$496&lt;&gt;"","POR RECOGER","")</f>
        <v/>
      </c>
      <c r="L502" s="106" t="str">
        <f aca="false">IF(_PENDIENTES!$B$496&lt;&gt;"",_PENDIENTES!$K$496,"")</f>
        <v/>
      </c>
      <c r="M502" s="89" t="str">
        <f aca="false">IF(_PENDIENTES!$B$496&lt;&gt;"",_PENDIENTES!$B$496,"")</f>
        <v/>
      </c>
      <c r="N502" s="109" t="str">
        <f aca="false">IF(_PENDIENTES!$B$496&lt;&gt;"",_PENDIENTES!$L$496,"")</f>
        <v/>
      </c>
      <c r="O502" s="89"/>
      <c r="P502" s="89"/>
      <c r="Q502" s="89"/>
      <c r="R502" s="89"/>
      <c r="S502" s="89"/>
    </row>
    <row r="503" customFormat="false" ht="15.75" hidden="true" customHeight="true" outlineLevel="0" collapsed="false">
      <c r="A503" s="46" t="str">
        <f aca="false">IF(_PENDIENTES!$B$497&lt;&gt;"",496,"")</f>
        <v/>
      </c>
      <c r="B503" s="41" t="str">
        <f aca="false">IF(_PENDIENTES!$B$497&lt;&gt;"",_PENDIENTES!$A$497,"")</f>
        <v/>
      </c>
      <c r="C503" s="110" t="str">
        <f aca="false">IF(_PENDIENTES!$B$497&lt;&gt;"",_PENDIENTES!$C$497,"")</f>
        <v/>
      </c>
      <c r="D503" s="46" t="str">
        <f aca="false">IF(_PENDIENTES!$B$497&lt;&gt;"",_PENDIENTES!$D$497,"")</f>
        <v/>
      </c>
      <c r="E503" s="112" t="str">
        <f aca="false">IF(_PENDIENTES!$B$497&lt;&gt;"",_PENDIENTES!$E$497,"")</f>
        <v/>
      </c>
      <c r="F503" s="46" t="str">
        <f aca="false">IF(_PENDIENTES!$B$497&lt;&gt;"",_PENDIENTES!$F$497,"")</f>
        <v/>
      </c>
      <c r="G503" s="44" t="str">
        <f aca="false">IF(_PENDIENTES!$B$497&lt;&gt;"",_PENDIENTES!$G$497,"")</f>
        <v/>
      </c>
      <c r="H503" s="44" t="str">
        <f aca="false">IF(_PENDIENTES!$B$497&lt;&gt;"",_PENDIENTES!$H$497,"")</f>
        <v/>
      </c>
      <c r="I503" s="110" t="str">
        <f aca="false">IF(_PENDIENTES!$B$497&lt;&gt;"",_PENDIENTES!$I$497,"")</f>
        <v/>
      </c>
      <c r="J503" s="46" t="str">
        <f aca="false">IF(_PENDIENTES!$B$497&lt;&gt;"",_PENDIENTES!$J$497,"")</f>
        <v/>
      </c>
      <c r="K503" s="46" t="str">
        <f aca="false">IF(_PENDIENTES!$B$497&lt;&gt;"","POR RECOGER","")</f>
        <v/>
      </c>
      <c r="L503" s="46" t="str">
        <f aca="false">IF(_PENDIENTES!$B$497&lt;&gt;"",_PENDIENTES!$K$497,"")</f>
        <v/>
      </c>
      <c r="M503" s="89" t="str">
        <f aca="false">IF(_PENDIENTES!$B$497&lt;&gt;"",_PENDIENTES!$B$497,"")</f>
        <v/>
      </c>
      <c r="N503" s="109" t="str">
        <f aca="false">IF(_PENDIENTES!$B$497&lt;&gt;"",_PENDIENTES!$L$497,"")</f>
        <v/>
      </c>
      <c r="O503" s="89"/>
      <c r="P503" s="89"/>
      <c r="Q503" s="89"/>
      <c r="R503" s="89"/>
      <c r="S503" s="89"/>
    </row>
    <row r="504" customFormat="false" ht="15.75" hidden="true" customHeight="true" outlineLevel="0" collapsed="false">
      <c r="A504" s="106" t="str">
        <f aca="false">IF(_PENDIENTES!$B$498&lt;&gt;"",497,"")</f>
        <v/>
      </c>
      <c r="B504" s="47" t="str">
        <f aca="false">IF(_PENDIENTES!$B$498&lt;&gt;"",_PENDIENTES!$A$498,"")</f>
        <v/>
      </c>
      <c r="C504" s="107" t="str">
        <f aca="false">IF(_PENDIENTES!$B$498&lt;&gt;"",_PENDIENTES!$C$498,"")</f>
        <v/>
      </c>
      <c r="D504" s="106" t="str">
        <f aca="false">IF(_PENDIENTES!$B$498&lt;&gt;"",_PENDIENTES!$D$498,"")</f>
        <v/>
      </c>
      <c r="E504" s="111" t="str">
        <f aca="false">IF(_PENDIENTES!$B$498&lt;&gt;"",_PENDIENTES!$E$498,"")</f>
        <v/>
      </c>
      <c r="F504" s="106" t="str">
        <f aca="false">IF(_PENDIENTES!$B$498&lt;&gt;"",_PENDIENTES!$F$498,"")</f>
        <v/>
      </c>
      <c r="G504" s="50" t="str">
        <f aca="false">IF(_PENDIENTES!$B$498&lt;&gt;"",_PENDIENTES!$G$498,"")</f>
        <v/>
      </c>
      <c r="H504" s="50" t="str">
        <f aca="false">IF(_PENDIENTES!$B$498&lt;&gt;"",_PENDIENTES!$H$498,"")</f>
        <v/>
      </c>
      <c r="I504" s="107" t="str">
        <f aca="false">IF(_PENDIENTES!$B$498&lt;&gt;"",_PENDIENTES!$I$498,"")</f>
        <v/>
      </c>
      <c r="J504" s="106" t="str">
        <f aca="false">IF(_PENDIENTES!$B$498&lt;&gt;"",_PENDIENTES!$J$498,"")</f>
        <v/>
      </c>
      <c r="K504" s="106" t="str">
        <f aca="false">IF(_PENDIENTES!$B$498&lt;&gt;"","POR RECOGER","")</f>
        <v/>
      </c>
      <c r="L504" s="106" t="str">
        <f aca="false">IF(_PENDIENTES!$B$498&lt;&gt;"",_PENDIENTES!$K$498,"")</f>
        <v/>
      </c>
      <c r="M504" s="89" t="str">
        <f aca="false">IF(_PENDIENTES!$B$498&lt;&gt;"",_PENDIENTES!$B$498,"")</f>
        <v/>
      </c>
      <c r="N504" s="109" t="str">
        <f aca="false">IF(_PENDIENTES!$B$498&lt;&gt;"",_PENDIENTES!$L$498,"")</f>
        <v/>
      </c>
      <c r="O504" s="89"/>
      <c r="P504" s="89"/>
      <c r="Q504" s="89"/>
      <c r="R504" s="89"/>
      <c r="S504" s="89"/>
    </row>
    <row r="505" customFormat="false" ht="15.75" hidden="true" customHeight="true" outlineLevel="0" collapsed="false">
      <c r="A505" s="46" t="str">
        <f aca="false">IF(_PENDIENTES!$B$499&lt;&gt;"",498,"")</f>
        <v/>
      </c>
      <c r="B505" s="41" t="str">
        <f aca="false">IF(_PENDIENTES!$B$499&lt;&gt;"",_PENDIENTES!$A$499,"")</f>
        <v/>
      </c>
      <c r="C505" s="110" t="str">
        <f aca="false">IF(_PENDIENTES!$B$499&lt;&gt;"",_PENDIENTES!$C$499,"")</f>
        <v/>
      </c>
      <c r="D505" s="46" t="str">
        <f aca="false">IF(_PENDIENTES!$B$499&lt;&gt;"",_PENDIENTES!$D$499,"")</f>
        <v/>
      </c>
      <c r="E505" s="112" t="str">
        <f aca="false">IF(_PENDIENTES!$B$499&lt;&gt;"",_PENDIENTES!$E$499,"")</f>
        <v/>
      </c>
      <c r="F505" s="46" t="str">
        <f aca="false">IF(_PENDIENTES!$B$499&lt;&gt;"",_PENDIENTES!$F$499,"")</f>
        <v/>
      </c>
      <c r="G505" s="44" t="str">
        <f aca="false">IF(_PENDIENTES!$B$499&lt;&gt;"",_PENDIENTES!$G$499,"")</f>
        <v/>
      </c>
      <c r="H505" s="44" t="str">
        <f aca="false">IF(_PENDIENTES!$B$499&lt;&gt;"",_PENDIENTES!$H$499,"")</f>
        <v/>
      </c>
      <c r="I505" s="110" t="str">
        <f aca="false">IF(_PENDIENTES!$B$499&lt;&gt;"",_PENDIENTES!$I$499,"")</f>
        <v/>
      </c>
      <c r="J505" s="46" t="str">
        <f aca="false">IF(_PENDIENTES!$B$499&lt;&gt;"",_PENDIENTES!$J$499,"")</f>
        <v/>
      </c>
      <c r="K505" s="46" t="str">
        <f aca="false">IF(_PENDIENTES!$B$499&lt;&gt;"","POR RECOGER","")</f>
        <v/>
      </c>
      <c r="L505" s="46" t="str">
        <f aca="false">IF(_PENDIENTES!$B$499&lt;&gt;"",_PENDIENTES!$K$499,"")</f>
        <v/>
      </c>
      <c r="M505" s="89" t="str">
        <f aca="false">IF(_PENDIENTES!$B$499&lt;&gt;"",_PENDIENTES!$B$499,"")</f>
        <v/>
      </c>
      <c r="N505" s="109" t="str">
        <f aca="false">IF(_PENDIENTES!$B$499&lt;&gt;"",_PENDIENTES!$L$499,"")</f>
        <v/>
      </c>
      <c r="O505" s="89"/>
      <c r="P505" s="89"/>
      <c r="Q505" s="89"/>
      <c r="R505" s="89"/>
      <c r="S505" s="89"/>
    </row>
    <row r="506" customFormat="false" ht="15.75" hidden="true" customHeight="true" outlineLevel="0" collapsed="false">
      <c r="A506" s="106" t="str">
        <f aca="false">IF(_PENDIENTES!$B$500&lt;&gt;"",499,"")</f>
        <v/>
      </c>
      <c r="B506" s="47" t="str">
        <f aca="false">IF(_PENDIENTES!$B$500&lt;&gt;"",_PENDIENTES!$A$500,"")</f>
        <v/>
      </c>
      <c r="C506" s="107" t="str">
        <f aca="false">IF(_PENDIENTES!$B$500&lt;&gt;"",_PENDIENTES!$C$500,"")</f>
        <v/>
      </c>
      <c r="D506" s="106" t="str">
        <f aca="false">IF(_PENDIENTES!$B$500&lt;&gt;"",_PENDIENTES!$D$500,"")</f>
        <v/>
      </c>
      <c r="E506" s="111" t="str">
        <f aca="false">IF(_PENDIENTES!$B$500&lt;&gt;"",_PENDIENTES!$E$500,"")</f>
        <v/>
      </c>
      <c r="F506" s="106" t="str">
        <f aca="false">IF(_PENDIENTES!$B$500&lt;&gt;"",_PENDIENTES!$F$500,"")</f>
        <v/>
      </c>
      <c r="G506" s="50" t="str">
        <f aca="false">IF(_PENDIENTES!$B$500&lt;&gt;"",_PENDIENTES!$G$500,"")</f>
        <v/>
      </c>
      <c r="H506" s="50" t="str">
        <f aca="false">IF(_PENDIENTES!$B$500&lt;&gt;"",_PENDIENTES!$H$500,"")</f>
        <v/>
      </c>
      <c r="I506" s="107" t="str">
        <f aca="false">IF(_PENDIENTES!$B$500&lt;&gt;"",_PENDIENTES!$I$500,"")</f>
        <v/>
      </c>
      <c r="J506" s="106" t="str">
        <f aca="false">IF(_PENDIENTES!$B$500&lt;&gt;"",_PENDIENTES!$J$500,"")</f>
        <v/>
      </c>
      <c r="K506" s="106" t="str">
        <f aca="false">IF(_PENDIENTES!$B$500&lt;&gt;"","POR RECOGER","")</f>
        <v/>
      </c>
      <c r="L506" s="106" t="str">
        <f aca="false">IF(_PENDIENTES!$B$500&lt;&gt;"",_PENDIENTES!$K$500,"")</f>
        <v/>
      </c>
      <c r="M506" s="89" t="str">
        <f aca="false">IF(_PENDIENTES!$B$500&lt;&gt;"",_PENDIENTES!$B$500,"")</f>
        <v/>
      </c>
      <c r="N506" s="109" t="str">
        <f aca="false">IF(_PENDIENTES!$B$500&lt;&gt;"",_PENDIENTES!$L$500,"")</f>
        <v/>
      </c>
      <c r="O506" s="89"/>
      <c r="P506" s="89"/>
      <c r="Q506" s="89"/>
      <c r="R506" s="89"/>
      <c r="S506" s="89"/>
    </row>
    <row r="507" customFormat="false" ht="15.75" hidden="true" customHeight="true" outlineLevel="0" collapsed="false">
      <c r="A507" s="46" t="str">
        <f aca="false">IF(_PENDIENTES!$B$501&lt;&gt;"",500,"")</f>
        <v/>
      </c>
      <c r="B507" s="41" t="str">
        <f aca="false">IF(_PENDIENTES!$B$501&lt;&gt;"",_PENDIENTES!$A$501,"")</f>
        <v/>
      </c>
      <c r="C507" s="110" t="str">
        <f aca="false">IF(_PENDIENTES!$B$501&lt;&gt;"",_PENDIENTES!$C$501,"")</f>
        <v/>
      </c>
      <c r="D507" s="46" t="str">
        <f aca="false">IF(_PENDIENTES!$B$501&lt;&gt;"",_PENDIENTES!$D$501,"")</f>
        <v/>
      </c>
      <c r="E507" s="112" t="str">
        <f aca="false">IF(_PENDIENTES!$B$501&lt;&gt;"",_PENDIENTES!$E$501,"")</f>
        <v/>
      </c>
      <c r="F507" s="46" t="str">
        <f aca="false">IF(_PENDIENTES!$B$501&lt;&gt;"",_PENDIENTES!$F$501,"")</f>
        <v/>
      </c>
      <c r="G507" s="44" t="str">
        <f aca="false">IF(_PENDIENTES!$B$501&lt;&gt;"",_PENDIENTES!$G$501,"")</f>
        <v/>
      </c>
      <c r="H507" s="44" t="str">
        <f aca="false">IF(_PENDIENTES!$B$501&lt;&gt;"",_PENDIENTES!$H$501,"")</f>
        <v/>
      </c>
      <c r="I507" s="110" t="str">
        <f aca="false">IF(_PENDIENTES!$B$501&lt;&gt;"",_PENDIENTES!$I$501,"")</f>
        <v/>
      </c>
      <c r="J507" s="46" t="str">
        <f aca="false">IF(_PENDIENTES!$B$501&lt;&gt;"",_PENDIENTES!$J$501,"")</f>
        <v/>
      </c>
      <c r="K507" s="46" t="str">
        <f aca="false">IF(_PENDIENTES!$B$501&lt;&gt;"","POR RECOGER","")</f>
        <v/>
      </c>
      <c r="L507" s="46" t="str">
        <f aca="false">IF(_PENDIENTES!$B$501&lt;&gt;"",_PENDIENTES!$K$501,"")</f>
        <v/>
      </c>
      <c r="M507" s="89" t="str">
        <f aca="false">IF(_PENDIENTES!$B$501&lt;&gt;"",_PENDIENTES!$B$501,"")</f>
        <v/>
      </c>
      <c r="N507" s="109" t="str">
        <f aca="false">IF(_PENDIENTES!$B$501&lt;&gt;"",_PENDIENTES!$L$501,"")</f>
        <v/>
      </c>
      <c r="O507" s="89"/>
      <c r="P507" s="89"/>
      <c r="Q507" s="89"/>
      <c r="R507" s="89"/>
      <c r="S507" s="89"/>
    </row>
    <row r="508" customFormat="false" ht="15.75" hidden="true" customHeight="true" outlineLevel="0" collapsed="false">
      <c r="A508" s="106" t="str">
        <f aca="false">IF(_PENDIENTES!$B$502&lt;&gt;"",501,"")</f>
        <v/>
      </c>
      <c r="B508" s="47" t="str">
        <f aca="false">IF(_PENDIENTES!$B$502&lt;&gt;"",_PENDIENTES!$A$502,"")</f>
        <v/>
      </c>
      <c r="C508" s="107" t="str">
        <f aca="false">IF(_PENDIENTES!$B$502&lt;&gt;"",_PENDIENTES!$C$502,"")</f>
        <v/>
      </c>
      <c r="D508" s="106" t="str">
        <f aca="false">IF(_PENDIENTES!$B$502&lt;&gt;"",_PENDIENTES!$D$502,"")</f>
        <v/>
      </c>
      <c r="E508" s="111" t="str">
        <f aca="false">IF(_PENDIENTES!$B$502&lt;&gt;"",_PENDIENTES!$E$502,"")</f>
        <v/>
      </c>
      <c r="F508" s="106" t="str">
        <f aca="false">IF(_PENDIENTES!$B$502&lt;&gt;"",_PENDIENTES!$F$502,"")</f>
        <v/>
      </c>
      <c r="G508" s="50" t="str">
        <f aca="false">IF(_PENDIENTES!$B$502&lt;&gt;"",_PENDIENTES!$G$502,"")</f>
        <v/>
      </c>
      <c r="H508" s="50" t="str">
        <f aca="false">IF(_PENDIENTES!$B$502&lt;&gt;"",_PENDIENTES!$H$502,"")</f>
        <v/>
      </c>
      <c r="I508" s="107" t="str">
        <f aca="false">IF(_PENDIENTES!$B$502&lt;&gt;"",_PENDIENTES!$I$502,"")</f>
        <v/>
      </c>
      <c r="J508" s="106" t="str">
        <f aca="false">IF(_PENDIENTES!$B$502&lt;&gt;"",_PENDIENTES!$J$502,"")</f>
        <v/>
      </c>
      <c r="K508" s="106" t="str">
        <f aca="false">IF(_PENDIENTES!$B$502&lt;&gt;"","POR RECOGER","")</f>
        <v/>
      </c>
      <c r="L508" s="106" t="str">
        <f aca="false">IF(_PENDIENTES!$B$502&lt;&gt;"",_PENDIENTES!$K$502,"")</f>
        <v/>
      </c>
      <c r="M508" s="89" t="str">
        <f aca="false">IF(_PENDIENTES!$B$502&lt;&gt;"",_PENDIENTES!$B$502,"")</f>
        <v/>
      </c>
      <c r="N508" s="109" t="str">
        <f aca="false">IF(_PENDIENTES!$B$502&lt;&gt;"",_PENDIENTES!$L$502,"")</f>
        <v/>
      </c>
      <c r="O508" s="89"/>
      <c r="P508" s="89"/>
      <c r="Q508" s="89"/>
      <c r="R508" s="89"/>
      <c r="S508" s="89"/>
    </row>
    <row r="509" customFormat="false" ht="15.75" hidden="true" customHeight="true" outlineLevel="0" collapsed="false">
      <c r="A509" s="46" t="str">
        <f aca="false">IF(_PENDIENTES!$B$503&lt;&gt;"",502,"")</f>
        <v/>
      </c>
      <c r="B509" s="41" t="str">
        <f aca="false">IF(_PENDIENTES!$B$503&lt;&gt;"",_PENDIENTES!$A$503,"")</f>
        <v/>
      </c>
      <c r="C509" s="110" t="str">
        <f aca="false">IF(_PENDIENTES!$B$503&lt;&gt;"",_PENDIENTES!$C$503,"")</f>
        <v/>
      </c>
      <c r="D509" s="46" t="str">
        <f aca="false">IF(_PENDIENTES!$B$503&lt;&gt;"",_PENDIENTES!$D$503,"")</f>
        <v/>
      </c>
      <c r="E509" s="112" t="str">
        <f aca="false">IF(_PENDIENTES!$B$503&lt;&gt;"",_PENDIENTES!$E$503,"")</f>
        <v/>
      </c>
      <c r="F509" s="46" t="str">
        <f aca="false">IF(_PENDIENTES!$B$503&lt;&gt;"",_PENDIENTES!$F$503,"")</f>
        <v/>
      </c>
      <c r="G509" s="44" t="str">
        <f aca="false">IF(_PENDIENTES!$B$503&lt;&gt;"",_PENDIENTES!$G$503,"")</f>
        <v/>
      </c>
      <c r="H509" s="44" t="str">
        <f aca="false">IF(_PENDIENTES!$B$503&lt;&gt;"",_PENDIENTES!$H$503,"")</f>
        <v/>
      </c>
      <c r="I509" s="110" t="str">
        <f aca="false">IF(_PENDIENTES!$B$503&lt;&gt;"",_PENDIENTES!$I$503,"")</f>
        <v/>
      </c>
      <c r="J509" s="46" t="str">
        <f aca="false">IF(_PENDIENTES!$B$503&lt;&gt;"",_PENDIENTES!$J$503,"")</f>
        <v/>
      </c>
      <c r="K509" s="46" t="str">
        <f aca="false">IF(_PENDIENTES!$B$503&lt;&gt;"","POR RECOGER","")</f>
        <v/>
      </c>
      <c r="L509" s="46" t="str">
        <f aca="false">IF(_PENDIENTES!$B$503&lt;&gt;"",_PENDIENTES!$K$503,"")</f>
        <v/>
      </c>
      <c r="M509" s="89" t="str">
        <f aca="false">IF(_PENDIENTES!$B$503&lt;&gt;"",_PENDIENTES!$B$503,"")</f>
        <v/>
      </c>
      <c r="N509" s="109" t="str">
        <f aca="false">IF(_PENDIENTES!$B$503&lt;&gt;"",_PENDIENTES!$L$503,"")</f>
        <v/>
      </c>
      <c r="O509" s="89"/>
      <c r="P509" s="89"/>
      <c r="Q509" s="89"/>
      <c r="R509" s="89"/>
      <c r="S509" s="89"/>
    </row>
    <row r="510" customFormat="false" ht="15.75" hidden="true" customHeight="true" outlineLevel="0" collapsed="false">
      <c r="A510" s="106" t="str">
        <f aca="false">IF(_PENDIENTES!$B$504&lt;&gt;"",503,"")</f>
        <v/>
      </c>
      <c r="B510" s="47" t="str">
        <f aca="false">IF(_PENDIENTES!$B$504&lt;&gt;"",_PENDIENTES!$A$504,"")</f>
        <v/>
      </c>
      <c r="C510" s="107" t="str">
        <f aca="false">IF(_PENDIENTES!$B$504&lt;&gt;"",_PENDIENTES!$C$504,"")</f>
        <v/>
      </c>
      <c r="D510" s="106" t="str">
        <f aca="false">IF(_PENDIENTES!$B$504&lt;&gt;"",_PENDIENTES!$D$504,"")</f>
        <v/>
      </c>
      <c r="E510" s="111" t="str">
        <f aca="false">IF(_PENDIENTES!$B$504&lt;&gt;"",_PENDIENTES!$E$504,"")</f>
        <v/>
      </c>
      <c r="F510" s="106" t="str">
        <f aca="false">IF(_PENDIENTES!$B$504&lt;&gt;"",_PENDIENTES!$F$504,"")</f>
        <v/>
      </c>
      <c r="G510" s="50" t="str">
        <f aca="false">IF(_PENDIENTES!$B$504&lt;&gt;"",_PENDIENTES!$G$504,"")</f>
        <v/>
      </c>
      <c r="H510" s="50" t="str">
        <f aca="false">IF(_PENDIENTES!$B$504&lt;&gt;"",_PENDIENTES!$H$504,"")</f>
        <v/>
      </c>
      <c r="I510" s="107" t="str">
        <f aca="false">IF(_PENDIENTES!$B$504&lt;&gt;"",_PENDIENTES!$I$504,"")</f>
        <v/>
      </c>
      <c r="J510" s="106" t="str">
        <f aca="false">IF(_PENDIENTES!$B$504&lt;&gt;"",_PENDIENTES!$J$504,"")</f>
        <v/>
      </c>
      <c r="K510" s="106" t="str">
        <f aca="false">IF(_PENDIENTES!$B$504&lt;&gt;"","POR RECOGER","")</f>
        <v/>
      </c>
      <c r="L510" s="106" t="str">
        <f aca="false">IF(_PENDIENTES!$B$504&lt;&gt;"",_PENDIENTES!$K$504,"")</f>
        <v/>
      </c>
      <c r="M510" s="89" t="str">
        <f aca="false">IF(_PENDIENTES!$B$504&lt;&gt;"",_PENDIENTES!$B$504,"")</f>
        <v/>
      </c>
      <c r="N510" s="109" t="str">
        <f aca="false">IF(_PENDIENTES!$B$504&lt;&gt;"",_PENDIENTES!$L$504,"")</f>
        <v/>
      </c>
      <c r="O510" s="89"/>
      <c r="P510" s="89"/>
      <c r="Q510" s="89"/>
      <c r="R510" s="89"/>
      <c r="S510" s="89"/>
    </row>
    <row r="511" customFormat="false" ht="15.75" hidden="true" customHeight="true" outlineLevel="0" collapsed="false">
      <c r="A511" s="46" t="str">
        <f aca="false">IF(_PENDIENTES!$B$505&lt;&gt;"",504,"")</f>
        <v/>
      </c>
      <c r="B511" s="41" t="str">
        <f aca="false">IF(_PENDIENTES!$B$505&lt;&gt;"",_PENDIENTES!$A$505,"")</f>
        <v/>
      </c>
      <c r="C511" s="110" t="str">
        <f aca="false">IF(_PENDIENTES!$B$505&lt;&gt;"",_PENDIENTES!$C$505,"")</f>
        <v/>
      </c>
      <c r="D511" s="46" t="str">
        <f aca="false">IF(_PENDIENTES!$B$505&lt;&gt;"",_PENDIENTES!$D$505,"")</f>
        <v/>
      </c>
      <c r="E511" s="112" t="str">
        <f aca="false">IF(_PENDIENTES!$B$505&lt;&gt;"",_PENDIENTES!$E$505,"")</f>
        <v/>
      </c>
      <c r="F511" s="46" t="str">
        <f aca="false">IF(_PENDIENTES!$B$505&lt;&gt;"",_PENDIENTES!$F$505,"")</f>
        <v/>
      </c>
      <c r="G511" s="44" t="str">
        <f aca="false">IF(_PENDIENTES!$B$505&lt;&gt;"",_PENDIENTES!$G$505,"")</f>
        <v/>
      </c>
      <c r="H511" s="44" t="str">
        <f aca="false">IF(_PENDIENTES!$B$505&lt;&gt;"",_PENDIENTES!$H$505,"")</f>
        <v/>
      </c>
      <c r="I511" s="110" t="str">
        <f aca="false">IF(_PENDIENTES!$B$505&lt;&gt;"",_PENDIENTES!$I$505,"")</f>
        <v/>
      </c>
      <c r="J511" s="46" t="str">
        <f aca="false">IF(_PENDIENTES!$B$505&lt;&gt;"",_PENDIENTES!$J$505,"")</f>
        <v/>
      </c>
      <c r="K511" s="46" t="str">
        <f aca="false">IF(_PENDIENTES!$B$505&lt;&gt;"","POR RECOGER","")</f>
        <v/>
      </c>
      <c r="L511" s="46" t="str">
        <f aca="false">IF(_PENDIENTES!$B$505&lt;&gt;"",_PENDIENTES!$K$505,"")</f>
        <v/>
      </c>
      <c r="M511" s="89" t="str">
        <f aca="false">IF(_PENDIENTES!$B$505&lt;&gt;"",_PENDIENTES!$B$505,"")</f>
        <v/>
      </c>
      <c r="N511" s="109" t="str">
        <f aca="false">IF(_PENDIENTES!$B$505&lt;&gt;"",_PENDIENTES!$L$505,"")</f>
        <v/>
      </c>
      <c r="O511" s="89"/>
      <c r="P511" s="89"/>
      <c r="Q511" s="89"/>
      <c r="R511" s="89"/>
      <c r="S511" s="89"/>
    </row>
    <row r="512" customFormat="false" ht="15.75" hidden="true" customHeight="true" outlineLevel="0" collapsed="false">
      <c r="A512" s="106" t="str">
        <f aca="false">IF(_PENDIENTES!$B$506&lt;&gt;"",505,"")</f>
        <v/>
      </c>
      <c r="B512" s="47" t="str">
        <f aca="false">IF(_PENDIENTES!$B$506&lt;&gt;"",_PENDIENTES!$A$506,"")</f>
        <v/>
      </c>
      <c r="C512" s="107" t="str">
        <f aca="false">IF(_PENDIENTES!$B$506&lt;&gt;"",_PENDIENTES!$C$506,"")</f>
        <v/>
      </c>
      <c r="D512" s="106" t="str">
        <f aca="false">IF(_PENDIENTES!$B$506&lt;&gt;"",_PENDIENTES!$D$506,"")</f>
        <v/>
      </c>
      <c r="E512" s="111" t="str">
        <f aca="false">IF(_PENDIENTES!$B$506&lt;&gt;"",_PENDIENTES!$E$506,"")</f>
        <v/>
      </c>
      <c r="F512" s="106" t="str">
        <f aca="false">IF(_PENDIENTES!$B$506&lt;&gt;"",_PENDIENTES!$F$506,"")</f>
        <v/>
      </c>
      <c r="G512" s="50" t="str">
        <f aca="false">IF(_PENDIENTES!$B$506&lt;&gt;"",_PENDIENTES!$G$506,"")</f>
        <v/>
      </c>
      <c r="H512" s="50" t="str">
        <f aca="false">IF(_PENDIENTES!$B$506&lt;&gt;"",_PENDIENTES!$H$506,"")</f>
        <v/>
      </c>
      <c r="I512" s="107" t="str">
        <f aca="false">IF(_PENDIENTES!$B$506&lt;&gt;"",_PENDIENTES!$I$506,"")</f>
        <v/>
      </c>
      <c r="J512" s="106" t="str">
        <f aca="false">IF(_PENDIENTES!$B$506&lt;&gt;"",_PENDIENTES!$J$506,"")</f>
        <v/>
      </c>
      <c r="K512" s="106" t="str">
        <f aca="false">IF(_PENDIENTES!$B$506&lt;&gt;"","POR RECOGER","")</f>
        <v/>
      </c>
      <c r="L512" s="106" t="str">
        <f aca="false">IF(_PENDIENTES!$B$506&lt;&gt;"",_PENDIENTES!$K$506,"")</f>
        <v/>
      </c>
      <c r="M512" s="89" t="str">
        <f aca="false">IF(_PENDIENTES!$B$506&lt;&gt;"",_PENDIENTES!$B$506,"")</f>
        <v/>
      </c>
      <c r="N512" s="109" t="str">
        <f aca="false">IF(_PENDIENTES!$B$506&lt;&gt;"",_PENDIENTES!$L$506,"")</f>
        <v/>
      </c>
      <c r="O512" s="89"/>
      <c r="P512" s="89"/>
      <c r="Q512" s="89"/>
      <c r="R512" s="89"/>
      <c r="S512" s="89"/>
    </row>
    <row r="513" customFormat="false" ht="15.75" hidden="true" customHeight="true" outlineLevel="0" collapsed="false">
      <c r="A513" s="46" t="str">
        <f aca="false">IF(_PENDIENTES!$B$507&lt;&gt;"",506,"")</f>
        <v/>
      </c>
      <c r="B513" s="41" t="str">
        <f aca="false">IF(_PENDIENTES!$B$507&lt;&gt;"",_PENDIENTES!$A$507,"")</f>
        <v/>
      </c>
      <c r="C513" s="110" t="str">
        <f aca="false">IF(_PENDIENTES!$B$507&lt;&gt;"",_PENDIENTES!$C$507,"")</f>
        <v/>
      </c>
      <c r="D513" s="46" t="str">
        <f aca="false">IF(_PENDIENTES!$B$507&lt;&gt;"",_PENDIENTES!$D$507,"")</f>
        <v/>
      </c>
      <c r="E513" s="112" t="str">
        <f aca="false">IF(_PENDIENTES!$B$507&lt;&gt;"",_PENDIENTES!$E$507,"")</f>
        <v/>
      </c>
      <c r="F513" s="46" t="str">
        <f aca="false">IF(_PENDIENTES!$B$507&lt;&gt;"",_PENDIENTES!$F$507,"")</f>
        <v/>
      </c>
      <c r="G513" s="44" t="str">
        <f aca="false">IF(_PENDIENTES!$B$507&lt;&gt;"",_PENDIENTES!$G$507,"")</f>
        <v/>
      </c>
      <c r="H513" s="44" t="str">
        <f aca="false">IF(_PENDIENTES!$B$507&lt;&gt;"",_PENDIENTES!$H$507,"")</f>
        <v/>
      </c>
      <c r="I513" s="110" t="str">
        <f aca="false">IF(_PENDIENTES!$B$507&lt;&gt;"",_PENDIENTES!$I$507,"")</f>
        <v/>
      </c>
      <c r="J513" s="46" t="str">
        <f aca="false">IF(_PENDIENTES!$B$507&lt;&gt;"",_PENDIENTES!$J$507,"")</f>
        <v/>
      </c>
      <c r="K513" s="46" t="str">
        <f aca="false">IF(_PENDIENTES!$B$507&lt;&gt;"","POR RECOGER","")</f>
        <v/>
      </c>
      <c r="L513" s="46" t="str">
        <f aca="false">IF(_PENDIENTES!$B$507&lt;&gt;"",_PENDIENTES!$K$507,"")</f>
        <v/>
      </c>
      <c r="M513" s="89" t="str">
        <f aca="false">IF(_PENDIENTES!$B$507&lt;&gt;"",_PENDIENTES!$B$507,"")</f>
        <v/>
      </c>
      <c r="N513" s="109" t="str">
        <f aca="false">IF(_PENDIENTES!$B$507&lt;&gt;"",_PENDIENTES!$L$507,"")</f>
        <v/>
      </c>
      <c r="O513" s="89"/>
      <c r="P513" s="89"/>
      <c r="Q513" s="89"/>
      <c r="R513" s="89"/>
      <c r="S513" s="89"/>
    </row>
    <row r="514" customFormat="false" ht="15.75" hidden="true" customHeight="true" outlineLevel="0" collapsed="false">
      <c r="A514" s="106" t="str">
        <f aca="false">IF(_PENDIENTES!$B$508&lt;&gt;"",507,"")</f>
        <v/>
      </c>
      <c r="B514" s="47" t="str">
        <f aca="false">IF(_PENDIENTES!$B$508&lt;&gt;"",_PENDIENTES!$A$508,"")</f>
        <v/>
      </c>
      <c r="C514" s="107" t="str">
        <f aca="false">IF(_PENDIENTES!$B$508&lt;&gt;"",_PENDIENTES!$C$508,"")</f>
        <v/>
      </c>
      <c r="D514" s="106" t="str">
        <f aca="false">IF(_PENDIENTES!$B$508&lt;&gt;"",_PENDIENTES!$D$508,"")</f>
        <v/>
      </c>
      <c r="E514" s="111" t="str">
        <f aca="false">IF(_PENDIENTES!$B$508&lt;&gt;"",_PENDIENTES!$E$508,"")</f>
        <v/>
      </c>
      <c r="F514" s="106" t="str">
        <f aca="false">IF(_PENDIENTES!$B$508&lt;&gt;"",_PENDIENTES!$F$508,"")</f>
        <v/>
      </c>
      <c r="G514" s="50" t="str">
        <f aca="false">IF(_PENDIENTES!$B$508&lt;&gt;"",_PENDIENTES!$G$508,"")</f>
        <v/>
      </c>
      <c r="H514" s="50" t="str">
        <f aca="false">IF(_PENDIENTES!$B$508&lt;&gt;"",_PENDIENTES!$H$508,"")</f>
        <v/>
      </c>
      <c r="I514" s="107" t="str">
        <f aca="false">IF(_PENDIENTES!$B$508&lt;&gt;"",_PENDIENTES!$I$508,"")</f>
        <v/>
      </c>
      <c r="J514" s="106" t="str">
        <f aca="false">IF(_PENDIENTES!$B$508&lt;&gt;"",_PENDIENTES!$J$508,"")</f>
        <v/>
      </c>
      <c r="K514" s="106" t="str">
        <f aca="false">IF(_PENDIENTES!$B$508&lt;&gt;"","POR RECOGER","")</f>
        <v/>
      </c>
      <c r="L514" s="106" t="str">
        <f aca="false">IF(_PENDIENTES!$B$508&lt;&gt;"",_PENDIENTES!$K$508,"")</f>
        <v/>
      </c>
      <c r="M514" s="89" t="str">
        <f aca="false">IF(_PENDIENTES!$B$508&lt;&gt;"",_PENDIENTES!$B$508,"")</f>
        <v/>
      </c>
      <c r="N514" s="109" t="str">
        <f aca="false">IF(_PENDIENTES!$B$508&lt;&gt;"",_PENDIENTES!$L$508,"")</f>
        <v/>
      </c>
      <c r="O514" s="89"/>
      <c r="P514" s="89"/>
      <c r="Q514" s="89"/>
      <c r="R514" s="89"/>
      <c r="S514" s="89"/>
    </row>
    <row r="515" customFormat="false" ht="15.75" hidden="true" customHeight="true" outlineLevel="0" collapsed="false">
      <c r="A515" s="46" t="str">
        <f aca="false">IF(_PENDIENTES!$B$509&lt;&gt;"",508,"")</f>
        <v/>
      </c>
      <c r="B515" s="41" t="str">
        <f aca="false">IF(_PENDIENTES!$B$509&lt;&gt;"",_PENDIENTES!$A$509,"")</f>
        <v/>
      </c>
      <c r="C515" s="110" t="str">
        <f aca="false">IF(_PENDIENTES!$B$509&lt;&gt;"",_PENDIENTES!$C$509,"")</f>
        <v/>
      </c>
      <c r="D515" s="46" t="str">
        <f aca="false">IF(_PENDIENTES!$B$509&lt;&gt;"",_PENDIENTES!$D$509,"")</f>
        <v/>
      </c>
      <c r="E515" s="112" t="str">
        <f aca="false">IF(_PENDIENTES!$B$509&lt;&gt;"",_PENDIENTES!$E$509,"")</f>
        <v/>
      </c>
      <c r="F515" s="46" t="str">
        <f aca="false">IF(_PENDIENTES!$B$509&lt;&gt;"",_PENDIENTES!$F$509,"")</f>
        <v/>
      </c>
      <c r="G515" s="44" t="str">
        <f aca="false">IF(_PENDIENTES!$B$509&lt;&gt;"",_PENDIENTES!$G$509,"")</f>
        <v/>
      </c>
      <c r="H515" s="44" t="str">
        <f aca="false">IF(_PENDIENTES!$B$509&lt;&gt;"",_PENDIENTES!$H$509,"")</f>
        <v/>
      </c>
      <c r="I515" s="110" t="str">
        <f aca="false">IF(_PENDIENTES!$B$509&lt;&gt;"",_PENDIENTES!$I$509,"")</f>
        <v/>
      </c>
      <c r="J515" s="46" t="str">
        <f aca="false">IF(_PENDIENTES!$B$509&lt;&gt;"",_PENDIENTES!$J$509,"")</f>
        <v/>
      </c>
      <c r="K515" s="46" t="str">
        <f aca="false">IF(_PENDIENTES!$B$509&lt;&gt;"","POR RECOGER","")</f>
        <v/>
      </c>
      <c r="L515" s="46" t="str">
        <f aca="false">IF(_PENDIENTES!$B$509&lt;&gt;"",_PENDIENTES!$K$509,"")</f>
        <v/>
      </c>
      <c r="M515" s="89" t="str">
        <f aca="false">IF(_PENDIENTES!$B$509&lt;&gt;"",_PENDIENTES!$B$509,"")</f>
        <v/>
      </c>
      <c r="N515" s="109" t="str">
        <f aca="false">IF(_PENDIENTES!$B$509&lt;&gt;"",_PENDIENTES!$L$509,"")</f>
        <v/>
      </c>
      <c r="O515" s="89"/>
      <c r="P515" s="89"/>
      <c r="Q515" s="89"/>
      <c r="R515" s="89"/>
      <c r="S515" s="89"/>
    </row>
    <row r="516" customFormat="false" ht="15.75" hidden="true" customHeight="true" outlineLevel="0" collapsed="false">
      <c r="A516" s="106" t="str">
        <f aca="false">IF(_PENDIENTES!$B$510&lt;&gt;"",509,"")</f>
        <v/>
      </c>
      <c r="B516" s="47" t="str">
        <f aca="false">IF(_PENDIENTES!$B$510&lt;&gt;"",_PENDIENTES!$A$510,"")</f>
        <v/>
      </c>
      <c r="C516" s="107" t="str">
        <f aca="false">IF(_PENDIENTES!$B$510&lt;&gt;"",_PENDIENTES!$C$510,"")</f>
        <v/>
      </c>
      <c r="D516" s="106" t="str">
        <f aca="false">IF(_PENDIENTES!$B$510&lt;&gt;"",_PENDIENTES!$D$510,"")</f>
        <v/>
      </c>
      <c r="E516" s="111" t="str">
        <f aca="false">IF(_PENDIENTES!$B$510&lt;&gt;"",_PENDIENTES!$E$510,"")</f>
        <v/>
      </c>
      <c r="F516" s="106" t="str">
        <f aca="false">IF(_PENDIENTES!$B$510&lt;&gt;"",_PENDIENTES!$F$510,"")</f>
        <v/>
      </c>
      <c r="G516" s="50" t="str">
        <f aca="false">IF(_PENDIENTES!$B$510&lt;&gt;"",_PENDIENTES!$G$510,"")</f>
        <v/>
      </c>
      <c r="H516" s="50" t="str">
        <f aca="false">IF(_PENDIENTES!$B$510&lt;&gt;"",_PENDIENTES!$H$510,"")</f>
        <v/>
      </c>
      <c r="I516" s="107" t="str">
        <f aca="false">IF(_PENDIENTES!$B$510&lt;&gt;"",_PENDIENTES!$I$510,"")</f>
        <v/>
      </c>
      <c r="J516" s="106" t="str">
        <f aca="false">IF(_PENDIENTES!$B$510&lt;&gt;"",_PENDIENTES!$J$510,"")</f>
        <v/>
      </c>
      <c r="K516" s="106" t="str">
        <f aca="false">IF(_PENDIENTES!$B$510&lt;&gt;"","POR RECOGER","")</f>
        <v/>
      </c>
      <c r="L516" s="106" t="str">
        <f aca="false">IF(_PENDIENTES!$B$510&lt;&gt;"",_PENDIENTES!$K$510,"")</f>
        <v/>
      </c>
      <c r="M516" s="89" t="str">
        <f aca="false">IF(_PENDIENTES!$B$510&lt;&gt;"",_PENDIENTES!$B$510,"")</f>
        <v/>
      </c>
      <c r="N516" s="109" t="str">
        <f aca="false">IF(_PENDIENTES!$B$510&lt;&gt;"",_PENDIENTES!$L$510,"")</f>
        <v/>
      </c>
      <c r="O516" s="89"/>
      <c r="P516" s="89"/>
      <c r="Q516" s="89"/>
      <c r="R516" s="89"/>
      <c r="S516" s="89"/>
    </row>
    <row r="517" customFormat="false" ht="15.75" hidden="true" customHeight="true" outlineLevel="0" collapsed="false">
      <c r="A517" s="46" t="str">
        <f aca="false">IF(_PENDIENTES!$B$511&lt;&gt;"",510,"")</f>
        <v/>
      </c>
      <c r="B517" s="41" t="str">
        <f aca="false">IF(_PENDIENTES!$B$511&lt;&gt;"",_PENDIENTES!$A$511,"")</f>
        <v/>
      </c>
      <c r="C517" s="110" t="str">
        <f aca="false">IF(_PENDIENTES!$B$511&lt;&gt;"",_PENDIENTES!$C$511,"")</f>
        <v/>
      </c>
      <c r="D517" s="46" t="str">
        <f aca="false">IF(_PENDIENTES!$B$511&lt;&gt;"",_PENDIENTES!$D$511,"")</f>
        <v/>
      </c>
      <c r="E517" s="112" t="str">
        <f aca="false">IF(_PENDIENTES!$B$511&lt;&gt;"",_PENDIENTES!$E$511,"")</f>
        <v/>
      </c>
      <c r="F517" s="46" t="str">
        <f aca="false">IF(_PENDIENTES!$B$511&lt;&gt;"",_PENDIENTES!$F$511,"")</f>
        <v/>
      </c>
      <c r="G517" s="44" t="str">
        <f aca="false">IF(_PENDIENTES!$B$511&lt;&gt;"",_PENDIENTES!$G$511,"")</f>
        <v/>
      </c>
      <c r="H517" s="44" t="str">
        <f aca="false">IF(_PENDIENTES!$B$511&lt;&gt;"",_PENDIENTES!$H$511,"")</f>
        <v/>
      </c>
      <c r="I517" s="110" t="str">
        <f aca="false">IF(_PENDIENTES!$B$511&lt;&gt;"",_PENDIENTES!$I$511,"")</f>
        <v/>
      </c>
      <c r="J517" s="46" t="str">
        <f aca="false">IF(_PENDIENTES!$B$511&lt;&gt;"",_PENDIENTES!$J$511,"")</f>
        <v/>
      </c>
      <c r="K517" s="46" t="str">
        <f aca="false">IF(_PENDIENTES!$B$511&lt;&gt;"","POR RECOGER","")</f>
        <v/>
      </c>
      <c r="L517" s="46" t="str">
        <f aca="false">IF(_PENDIENTES!$B$511&lt;&gt;"",_PENDIENTES!$K$511,"")</f>
        <v/>
      </c>
      <c r="M517" s="89" t="str">
        <f aca="false">IF(_PENDIENTES!$B$511&lt;&gt;"",_PENDIENTES!$B$511,"")</f>
        <v/>
      </c>
      <c r="N517" s="109" t="str">
        <f aca="false">IF(_PENDIENTES!$B$511&lt;&gt;"",_PENDIENTES!$L$511,"")</f>
        <v/>
      </c>
      <c r="O517" s="89"/>
      <c r="P517" s="89"/>
      <c r="Q517" s="89"/>
      <c r="R517" s="89"/>
      <c r="S517" s="89"/>
    </row>
    <row r="518" customFormat="false" ht="15.75" hidden="true" customHeight="true" outlineLevel="0" collapsed="false">
      <c r="A518" s="106" t="str">
        <f aca="false">IF(_PENDIENTES!$B$512&lt;&gt;"",511,"")</f>
        <v/>
      </c>
      <c r="B518" s="47" t="str">
        <f aca="false">IF(_PENDIENTES!$B$512&lt;&gt;"",_PENDIENTES!$A$512,"")</f>
        <v/>
      </c>
      <c r="C518" s="107" t="str">
        <f aca="false">IF(_PENDIENTES!$B$512&lt;&gt;"",_PENDIENTES!$C$512,"")</f>
        <v/>
      </c>
      <c r="D518" s="106" t="str">
        <f aca="false">IF(_PENDIENTES!$B$512&lt;&gt;"",_PENDIENTES!$D$512,"")</f>
        <v/>
      </c>
      <c r="E518" s="111" t="str">
        <f aca="false">IF(_PENDIENTES!$B$512&lt;&gt;"",_PENDIENTES!$E$512,"")</f>
        <v/>
      </c>
      <c r="F518" s="106" t="str">
        <f aca="false">IF(_PENDIENTES!$B$512&lt;&gt;"",_PENDIENTES!$F$512,"")</f>
        <v/>
      </c>
      <c r="G518" s="50" t="str">
        <f aca="false">IF(_PENDIENTES!$B$512&lt;&gt;"",_PENDIENTES!$G$512,"")</f>
        <v/>
      </c>
      <c r="H518" s="50" t="str">
        <f aca="false">IF(_PENDIENTES!$B$512&lt;&gt;"",_PENDIENTES!$H$512,"")</f>
        <v/>
      </c>
      <c r="I518" s="107" t="str">
        <f aca="false">IF(_PENDIENTES!$B$512&lt;&gt;"",_PENDIENTES!$I$512,"")</f>
        <v/>
      </c>
      <c r="J518" s="106" t="str">
        <f aca="false">IF(_PENDIENTES!$B$512&lt;&gt;"",_PENDIENTES!$J$512,"")</f>
        <v/>
      </c>
      <c r="K518" s="106" t="str">
        <f aca="false">IF(_PENDIENTES!$B$512&lt;&gt;"","POR RECOGER","")</f>
        <v/>
      </c>
      <c r="L518" s="106" t="str">
        <f aca="false">IF(_PENDIENTES!$B$512&lt;&gt;"",_PENDIENTES!$K$512,"")</f>
        <v/>
      </c>
      <c r="M518" s="89" t="str">
        <f aca="false">IF(_PENDIENTES!$B$512&lt;&gt;"",_PENDIENTES!$B$512,"")</f>
        <v/>
      </c>
      <c r="N518" s="109" t="str">
        <f aca="false">IF(_PENDIENTES!$B$512&lt;&gt;"",_PENDIENTES!$L$512,"")</f>
        <v/>
      </c>
      <c r="O518" s="89"/>
      <c r="P518" s="89"/>
      <c r="Q518" s="89"/>
      <c r="R518" s="89"/>
      <c r="S518" s="89"/>
    </row>
    <row r="519" customFormat="false" ht="15.75" hidden="true" customHeight="true" outlineLevel="0" collapsed="false">
      <c r="A519" s="46" t="str">
        <f aca="false">IF(_PENDIENTES!$B$513&lt;&gt;"",512,"")</f>
        <v/>
      </c>
      <c r="B519" s="41" t="str">
        <f aca="false">IF(_PENDIENTES!$B$513&lt;&gt;"",_PENDIENTES!$A$513,"")</f>
        <v/>
      </c>
      <c r="C519" s="110" t="str">
        <f aca="false">IF(_PENDIENTES!$B$513&lt;&gt;"",_PENDIENTES!$C$513,"")</f>
        <v/>
      </c>
      <c r="D519" s="46" t="str">
        <f aca="false">IF(_PENDIENTES!$B$513&lt;&gt;"",_PENDIENTES!$D$513,"")</f>
        <v/>
      </c>
      <c r="E519" s="112" t="str">
        <f aca="false">IF(_PENDIENTES!$B$513&lt;&gt;"",_PENDIENTES!$E$513,"")</f>
        <v/>
      </c>
      <c r="F519" s="46" t="str">
        <f aca="false">IF(_PENDIENTES!$B$513&lt;&gt;"",_PENDIENTES!$F$513,"")</f>
        <v/>
      </c>
      <c r="G519" s="44" t="str">
        <f aca="false">IF(_PENDIENTES!$B$513&lt;&gt;"",_PENDIENTES!$G$513,"")</f>
        <v/>
      </c>
      <c r="H519" s="44" t="str">
        <f aca="false">IF(_PENDIENTES!$B$513&lt;&gt;"",_PENDIENTES!$H$513,"")</f>
        <v/>
      </c>
      <c r="I519" s="110" t="str">
        <f aca="false">IF(_PENDIENTES!$B$513&lt;&gt;"",_PENDIENTES!$I$513,"")</f>
        <v/>
      </c>
      <c r="J519" s="46" t="str">
        <f aca="false">IF(_PENDIENTES!$B$513&lt;&gt;"",_PENDIENTES!$J$513,"")</f>
        <v/>
      </c>
      <c r="K519" s="46" t="str">
        <f aca="false">IF(_PENDIENTES!$B$513&lt;&gt;"","POR RECOGER","")</f>
        <v/>
      </c>
      <c r="L519" s="46" t="str">
        <f aca="false">IF(_PENDIENTES!$B$513&lt;&gt;"",_PENDIENTES!$K$513,"")</f>
        <v/>
      </c>
      <c r="M519" s="89" t="str">
        <f aca="false">IF(_PENDIENTES!$B$513&lt;&gt;"",_PENDIENTES!$B$513,"")</f>
        <v/>
      </c>
      <c r="N519" s="109" t="str">
        <f aca="false">IF(_PENDIENTES!$B$513&lt;&gt;"",_PENDIENTES!$L$513,"")</f>
        <v/>
      </c>
      <c r="O519" s="89"/>
      <c r="P519" s="89"/>
      <c r="Q519" s="89"/>
      <c r="R519" s="89"/>
      <c r="S519" s="89"/>
    </row>
    <row r="520" customFormat="false" ht="15.75" hidden="true" customHeight="true" outlineLevel="0" collapsed="false">
      <c r="A520" s="106" t="str">
        <f aca="false">IF(_PENDIENTES!$B$514&lt;&gt;"",513,"")</f>
        <v/>
      </c>
      <c r="B520" s="47" t="str">
        <f aca="false">IF(_PENDIENTES!$B$514&lt;&gt;"",_PENDIENTES!$A$514,"")</f>
        <v/>
      </c>
      <c r="C520" s="107" t="str">
        <f aca="false">IF(_PENDIENTES!$B$514&lt;&gt;"",_PENDIENTES!$C$514,"")</f>
        <v/>
      </c>
      <c r="D520" s="106" t="str">
        <f aca="false">IF(_PENDIENTES!$B$514&lt;&gt;"",_PENDIENTES!$D$514,"")</f>
        <v/>
      </c>
      <c r="E520" s="111" t="str">
        <f aca="false">IF(_PENDIENTES!$B$514&lt;&gt;"",_PENDIENTES!$E$514,"")</f>
        <v/>
      </c>
      <c r="F520" s="106" t="str">
        <f aca="false">IF(_PENDIENTES!$B$514&lt;&gt;"",_PENDIENTES!$F$514,"")</f>
        <v/>
      </c>
      <c r="G520" s="50" t="str">
        <f aca="false">IF(_PENDIENTES!$B$514&lt;&gt;"",_PENDIENTES!$G$514,"")</f>
        <v/>
      </c>
      <c r="H520" s="50" t="str">
        <f aca="false">IF(_PENDIENTES!$B$514&lt;&gt;"",_PENDIENTES!$H$514,"")</f>
        <v/>
      </c>
      <c r="I520" s="107" t="str">
        <f aca="false">IF(_PENDIENTES!$B$514&lt;&gt;"",_PENDIENTES!$I$514,"")</f>
        <v/>
      </c>
      <c r="J520" s="106" t="str">
        <f aca="false">IF(_PENDIENTES!$B$514&lt;&gt;"",_PENDIENTES!$J$514,"")</f>
        <v/>
      </c>
      <c r="K520" s="106" t="str">
        <f aca="false">IF(_PENDIENTES!$B$514&lt;&gt;"","POR RECOGER","")</f>
        <v/>
      </c>
      <c r="L520" s="106" t="str">
        <f aca="false">IF(_PENDIENTES!$B$514&lt;&gt;"",_PENDIENTES!$K$514,"")</f>
        <v/>
      </c>
      <c r="M520" s="89" t="str">
        <f aca="false">IF(_PENDIENTES!$B$514&lt;&gt;"",_PENDIENTES!$B$514,"")</f>
        <v/>
      </c>
      <c r="N520" s="109" t="str">
        <f aca="false">IF(_PENDIENTES!$B$514&lt;&gt;"",_PENDIENTES!$L$514,"")</f>
        <v/>
      </c>
      <c r="O520" s="89"/>
      <c r="P520" s="89"/>
      <c r="Q520" s="89"/>
      <c r="R520" s="89"/>
      <c r="S520" s="89"/>
    </row>
    <row r="521" customFormat="false" ht="15.75" hidden="true" customHeight="true" outlineLevel="0" collapsed="false">
      <c r="A521" s="46" t="str">
        <f aca="false">IF(_PENDIENTES!$B$515&lt;&gt;"",514,"")</f>
        <v/>
      </c>
      <c r="B521" s="41" t="str">
        <f aca="false">IF(_PENDIENTES!$B$515&lt;&gt;"",_PENDIENTES!$A$515,"")</f>
        <v/>
      </c>
      <c r="C521" s="110" t="str">
        <f aca="false">IF(_PENDIENTES!$B$515&lt;&gt;"",_PENDIENTES!$C$515,"")</f>
        <v/>
      </c>
      <c r="D521" s="46" t="str">
        <f aca="false">IF(_PENDIENTES!$B$515&lt;&gt;"",_PENDIENTES!$D$515,"")</f>
        <v/>
      </c>
      <c r="E521" s="112" t="str">
        <f aca="false">IF(_PENDIENTES!$B$515&lt;&gt;"",_PENDIENTES!$E$515,"")</f>
        <v/>
      </c>
      <c r="F521" s="46" t="str">
        <f aca="false">IF(_PENDIENTES!$B$515&lt;&gt;"",_PENDIENTES!$F$515,"")</f>
        <v/>
      </c>
      <c r="G521" s="44" t="str">
        <f aca="false">IF(_PENDIENTES!$B$515&lt;&gt;"",_PENDIENTES!$G$515,"")</f>
        <v/>
      </c>
      <c r="H521" s="44" t="str">
        <f aca="false">IF(_PENDIENTES!$B$515&lt;&gt;"",_PENDIENTES!$H$515,"")</f>
        <v/>
      </c>
      <c r="I521" s="110" t="str">
        <f aca="false">IF(_PENDIENTES!$B$515&lt;&gt;"",_PENDIENTES!$I$515,"")</f>
        <v/>
      </c>
      <c r="J521" s="46" t="str">
        <f aca="false">IF(_PENDIENTES!$B$515&lt;&gt;"",_PENDIENTES!$J$515,"")</f>
        <v/>
      </c>
      <c r="K521" s="46" t="str">
        <f aca="false">IF(_PENDIENTES!$B$515&lt;&gt;"","POR RECOGER","")</f>
        <v/>
      </c>
      <c r="L521" s="46" t="str">
        <f aca="false">IF(_PENDIENTES!$B$515&lt;&gt;"",_PENDIENTES!$K$515,"")</f>
        <v/>
      </c>
      <c r="M521" s="89" t="str">
        <f aca="false">IF(_PENDIENTES!$B$515&lt;&gt;"",_PENDIENTES!$B$515,"")</f>
        <v/>
      </c>
      <c r="N521" s="109" t="str">
        <f aca="false">IF(_PENDIENTES!$B$515&lt;&gt;"",_PENDIENTES!$L$515,"")</f>
        <v/>
      </c>
      <c r="O521" s="89"/>
      <c r="P521" s="89"/>
      <c r="Q521" s="89"/>
      <c r="R521" s="89"/>
      <c r="S521" s="89"/>
    </row>
    <row r="522" customFormat="false" ht="15.75" hidden="true" customHeight="true" outlineLevel="0" collapsed="false">
      <c r="A522" s="106" t="str">
        <f aca="false">IF(_PENDIENTES!$B$516&lt;&gt;"",515,"")</f>
        <v/>
      </c>
      <c r="B522" s="47" t="str">
        <f aca="false">IF(_PENDIENTES!$B$516&lt;&gt;"",_PENDIENTES!$A$516,"")</f>
        <v/>
      </c>
      <c r="C522" s="107" t="str">
        <f aca="false">IF(_PENDIENTES!$B$516&lt;&gt;"",_PENDIENTES!$C$516,"")</f>
        <v/>
      </c>
      <c r="D522" s="106" t="str">
        <f aca="false">IF(_PENDIENTES!$B$516&lt;&gt;"",_PENDIENTES!$D$516,"")</f>
        <v/>
      </c>
      <c r="E522" s="111" t="str">
        <f aca="false">IF(_PENDIENTES!$B$516&lt;&gt;"",_PENDIENTES!$E$516,"")</f>
        <v/>
      </c>
      <c r="F522" s="106" t="str">
        <f aca="false">IF(_PENDIENTES!$B$516&lt;&gt;"",_PENDIENTES!$F$516,"")</f>
        <v/>
      </c>
      <c r="G522" s="50" t="str">
        <f aca="false">IF(_PENDIENTES!$B$516&lt;&gt;"",_PENDIENTES!$G$516,"")</f>
        <v/>
      </c>
      <c r="H522" s="50" t="str">
        <f aca="false">IF(_PENDIENTES!$B$516&lt;&gt;"",_PENDIENTES!$H$516,"")</f>
        <v/>
      </c>
      <c r="I522" s="107" t="str">
        <f aca="false">IF(_PENDIENTES!$B$516&lt;&gt;"",_PENDIENTES!$I$516,"")</f>
        <v/>
      </c>
      <c r="J522" s="106" t="str">
        <f aca="false">IF(_PENDIENTES!$B$516&lt;&gt;"",_PENDIENTES!$J$516,"")</f>
        <v/>
      </c>
      <c r="K522" s="106" t="str">
        <f aca="false">IF(_PENDIENTES!$B$516&lt;&gt;"","POR RECOGER","")</f>
        <v/>
      </c>
      <c r="L522" s="106" t="str">
        <f aca="false">IF(_PENDIENTES!$B$516&lt;&gt;"",_PENDIENTES!$K$516,"")</f>
        <v/>
      </c>
      <c r="M522" s="89" t="str">
        <f aca="false">IF(_PENDIENTES!$B$516&lt;&gt;"",_PENDIENTES!$B$516,"")</f>
        <v/>
      </c>
      <c r="N522" s="109" t="str">
        <f aca="false">IF(_PENDIENTES!$B$516&lt;&gt;"",_PENDIENTES!$L$516,"")</f>
        <v/>
      </c>
      <c r="O522" s="89"/>
      <c r="P522" s="89"/>
      <c r="Q522" s="89"/>
      <c r="R522" s="89"/>
      <c r="S522" s="89"/>
    </row>
    <row r="523" customFormat="false" ht="15.75" hidden="true" customHeight="true" outlineLevel="0" collapsed="false">
      <c r="A523" s="46" t="str">
        <f aca="false">IF(_PENDIENTES!$B$517&lt;&gt;"",516,"")</f>
        <v/>
      </c>
      <c r="B523" s="41" t="str">
        <f aca="false">IF(_PENDIENTES!$B$517&lt;&gt;"",_PENDIENTES!$A$517,"")</f>
        <v/>
      </c>
      <c r="C523" s="110" t="str">
        <f aca="false">IF(_PENDIENTES!$B$517&lt;&gt;"",_PENDIENTES!$C$517,"")</f>
        <v/>
      </c>
      <c r="D523" s="46" t="str">
        <f aca="false">IF(_PENDIENTES!$B$517&lt;&gt;"",_PENDIENTES!$D$517,"")</f>
        <v/>
      </c>
      <c r="E523" s="112" t="str">
        <f aca="false">IF(_PENDIENTES!$B$517&lt;&gt;"",_PENDIENTES!$E$517,"")</f>
        <v/>
      </c>
      <c r="F523" s="46" t="str">
        <f aca="false">IF(_PENDIENTES!$B$517&lt;&gt;"",_PENDIENTES!$F$517,"")</f>
        <v/>
      </c>
      <c r="G523" s="44" t="str">
        <f aca="false">IF(_PENDIENTES!$B$517&lt;&gt;"",_PENDIENTES!$G$517,"")</f>
        <v/>
      </c>
      <c r="H523" s="44" t="str">
        <f aca="false">IF(_PENDIENTES!$B$517&lt;&gt;"",_PENDIENTES!$H$517,"")</f>
        <v/>
      </c>
      <c r="I523" s="110" t="str">
        <f aca="false">IF(_PENDIENTES!$B$517&lt;&gt;"",_PENDIENTES!$I$517,"")</f>
        <v/>
      </c>
      <c r="J523" s="46" t="str">
        <f aca="false">IF(_PENDIENTES!$B$517&lt;&gt;"",_PENDIENTES!$J$517,"")</f>
        <v/>
      </c>
      <c r="K523" s="46" t="str">
        <f aca="false">IF(_PENDIENTES!$B$517&lt;&gt;"","POR RECOGER","")</f>
        <v/>
      </c>
      <c r="L523" s="46" t="str">
        <f aca="false">IF(_PENDIENTES!$B$517&lt;&gt;"",_PENDIENTES!$K$517,"")</f>
        <v/>
      </c>
      <c r="M523" s="89" t="str">
        <f aca="false">IF(_PENDIENTES!$B$517&lt;&gt;"",_PENDIENTES!$B$517,"")</f>
        <v/>
      </c>
      <c r="N523" s="109" t="str">
        <f aca="false">IF(_PENDIENTES!$B$517&lt;&gt;"",_PENDIENTES!$L$517,"")</f>
        <v/>
      </c>
      <c r="O523" s="89"/>
      <c r="P523" s="89"/>
      <c r="Q523" s="89"/>
      <c r="R523" s="89"/>
      <c r="S523" s="89"/>
    </row>
    <row r="524" customFormat="false" ht="15.75" hidden="true" customHeight="true" outlineLevel="0" collapsed="false">
      <c r="A524" s="106" t="str">
        <f aca="false">IF(_PENDIENTES!$B$518&lt;&gt;"",517,"")</f>
        <v/>
      </c>
      <c r="B524" s="47" t="str">
        <f aca="false">IF(_PENDIENTES!$B$518&lt;&gt;"",_PENDIENTES!$A$518,"")</f>
        <v/>
      </c>
      <c r="C524" s="107" t="str">
        <f aca="false">IF(_PENDIENTES!$B$518&lt;&gt;"",_PENDIENTES!$C$518,"")</f>
        <v/>
      </c>
      <c r="D524" s="106" t="str">
        <f aca="false">IF(_PENDIENTES!$B$518&lt;&gt;"",_PENDIENTES!$D$518,"")</f>
        <v/>
      </c>
      <c r="E524" s="111" t="str">
        <f aca="false">IF(_PENDIENTES!$B$518&lt;&gt;"",_PENDIENTES!$E$518,"")</f>
        <v/>
      </c>
      <c r="F524" s="106" t="str">
        <f aca="false">IF(_PENDIENTES!$B$518&lt;&gt;"",_PENDIENTES!$F$518,"")</f>
        <v/>
      </c>
      <c r="G524" s="50" t="str">
        <f aca="false">IF(_PENDIENTES!$B$518&lt;&gt;"",_PENDIENTES!$G$518,"")</f>
        <v/>
      </c>
      <c r="H524" s="50" t="str">
        <f aca="false">IF(_PENDIENTES!$B$518&lt;&gt;"",_PENDIENTES!$H$518,"")</f>
        <v/>
      </c>
      <c r="I524" s="107" t="str">
        <f aca="false">IF(_PENDIENTES!$B$518&lt;&gt;"",_PENDIENTES!$I$518,"")</f>
        <v/>
      </c>
      <c r="J524" s="106" t="str">
        <f aca="false">IF(_PENDIENTES!$B$518&lt;&gt;"",_PENDIENTES!$J$518,"")</f>
        <v/>
      </c>
      <c r="K524" s="106" t="str">
        <f aca="false">IF(_PENDIENTES!$B$518&lt;&gt;"","POR RECOGER","")</f>
        <v/>
      </c>
      <c r="L524" s="106" t="str">
        <f aca="false">IF(_PENDIENTES!$B$518&lt;&gt;"",_PENDIENTES!$K$518,"")</f>
        <v/>
      </c>
      <c r="M524" s="89" t="str">
        <f aca="false">IF(_PENDIENTES!$B$518&lt;&gt;"",_PENDIENTES!$B$518,"")</f>
        <v/>
      </c>
      <c r="N524" s="109" t="str">
        <f aca="false">IF(_PENDIENTES!$B$518&lt;&gt;"",_PENDIENTES!$L$518,"")</f>
        <v/>
      </c>
      <c r="O524" s="89"/>
      <c r="P524" s="89"/>
      <c r="Q524" s="89"/>
      <c r="R524" s="89"/>
      <c r="S524" s="89"/>
    </row>
    <row r="525" customFormat="false" ht="15.75" hidden="true" customHeight="true" outlineLevel="0" collapsed="false">
      <c r="A525" s="46" t="str">
        <f aca="false">IF(_PENDIENTES!$B$519&lt;&gt;"",518,"")</f>
        <v/>
      </c>
      <c r="B525" s="41" t="str">
        <f aca="false">IF(_PENDIENTES!$B$519&lt;&gt;"",_PENDIENTES!$A$519,"")</f>
        <v/>
      </c>
      <c r="C525" s="110" t="str">
        <f aca="false">IF(_PENDIENTES!$B$519&lt;&gt;"",_PENDIENTES!$C$519,"")</f>
        <v/>
      </c>
      <c r="D525" s="46" t="str">
        <f aca="false">IF(_PENDIENTES!$B$519&lt;&gt;"",_PENDIENTES!$D$519,"")</f>
        <v/>
      </c>
      <c r="E525" s="112" t="str">
        <f aca="false">IF(_PENDIENTES!$B$519&lt;&gt;"",_PENDIENTES!$E$519,"")</f>
        <v/>
      </c>
      <c r="F525" s="46" t="str">
        <f aca="false">IF(_PENDIENTES!$B$519&lt;&gt;"",_PENDIENTES!$F$519,"")</f>
        <v/>
      </c>
      <c r="G525" s="44" t="str">
        <f aca="false">IF(_PENDIENTES!$B$519&lt;&gt;"",_PENDIENTES!$G$519,"")</f>
        <v/>
      </c>
      <c r="H525" s="44" t="str">
        <f aca="false">IF(_PENDIENTES!$B$519&lt;&gt;"",_PENDIENTES!$H$519,"")</f>
        <v/>
      </c>
      <c r="I525" s="110" t="str">
        <f aca="false">IF(_PENDIENTES!$B$519&lt;&gt;"",_PENDIENTES!$I$519,"")</f>
        <v/>
      </c>
      <c r="J525" s="46" t="str">
        <f aca="false">IF(_PENDIENTES!$B$519&lt;&gt;"",_PENDIENTES!$J$519,"")</f>
        <v/>
      </c>
      <c r="K525" s="46" t="str">
        <f aca="false">IF(_PENDIENTES!$B$519&lt;&gt;"","POR RECOGER","")</f>
        <v/>
      </c>
      <c r="L525" s="46" t="str">
        <f aca="false">IF(_PENDIENTES!$B$519&lt;&gt;"",_PENDIENTES!$K$519,"")</f>
        <v/>
      </c>
      <c r="M525" s="89" t="str">
        <f aca="false">IF(_PENDIENTES!$B$519&lt;&gt;"",_PENDIENTES!$B$519,"")</f>
        <v/>
      </c>
      <c r="N525" s="109" t="str">
        <f aca="false">IF(_PENDIENTES!$B$519&lt;&gt;"",_PENDIENTES!$L$519,"")</f>
        <v/>
      </c>
      <c r="O525" s="89"/>
      <c r="P525" s="89"/>
      <c r="Q525" s="89"/>
      <c r="R525" s="89"/>
      <c r="S525" s="89"/>
    </row>
    <row r="526" customFormat="false" ht="15.75" hidden="true" customHeight="true" outlineLevel="0" collapsed="false">
      <c r="A526" s="106" t="str">
        <f aca="false">IF(_PENDIENTES!$B$520&lt;&gt;"",519,"")</f>
        <v/>
      </c>
      <c r="B526" s="47" t="str">
        <f aca="false">IF(_PENDIENTES!$B$520&lt;&gt;"",_PENDIENTES!$A$520,"")</f>
        <v/>
      </c>
      <c r="C526" s="107" t="str">
        <f aca="false">IF(_PENDIENTES!$B$520&lt;&gt;"",_PENDIENTES!$C$520,"")</f>
        <v/>
      </c>
      <c r="D526" s="106" t="str">
        <f aca="false">IF(_PENDIENTES!$B$520&lt;&gt;"",_PENDIENTES!$D$520,"")</f>
        <v/>
      </c>
      <c r="E526" s="111" t="str">
        <f aca="false">IF(_PENDIENTES!$B$520&lt;&gt;"",_PENDIENTES!$E$520,"")</f>
        <v/>
      </c>
      <c r="F526" s="106" t="str">
        <f aca="false">IF(_PENDIENTES!$B$520&lt;&gt;"",_PENDIENTES!$F$520,"")</f>
        <v/>
      </c>
      <c r="G526" s="50" t="str">
        <f aca="false">IF(_PENDIENTES!$B$520&lt;&gt;"",_PENDIENTES!$G$520,"")</f>
        <v/>
      </c>
      <c r="H526" s="50" t="str">
        <f aca="false">IF(_PENDIENTES!$B$520&lt;&gt;"",_PENDIENTES!$H$520,"")</f>
        <v/>
      </c>
      <c r="I526" s="107" t="str">
        <f aca="false">IF(_PENDIENTES!$B$520&lt;&gt;"",_PENDIENTES!$I$520,"")</f>
        <v/>
      </c>
      <c r="J526" s="106" t="str">
        <f aca="false">IF(_PENDIENTES!$B$520&lt;&gt;"",_PENDIENTES!$J$520,"")</f>
        <v/>
      </c>
      <c r="K526" s="106" t="str">
        <f aca="false">IF(_PENDIENTES!$B$520&lt;&gt;"","POR RECOGER","")</f>
        <v/>
      </c>
      <c r="L526" s="106" t="str">
        <f aca="false">IF(_PENDIENTES!$B$520&lt;&gt;"",_PENDIENTES!$K$520,"")</f>
        <v/>
      </c>
      <c r="M526" s="89" t="str">
        <f aca="false">IF(_PENDIENTES!$B$520&lt;&gt;"",_PENDIENTES!$B$520,"")</f>
        <v/>
      </c>
      <c r="N526" s="109" t="str">
        <f aca="false">IF(_PENDIENTES!$B$520&lt;&gt;"",_PENDIENTES!$L$520,"")</f>
        <v/>
      </c>
      <c r="O526" s="89"/>
      <c r="P526" s="89"/>
      <c r="Q526" s="89"/>
      <c r="R526" s="89"/>
      <c r="S526" s="89"/>
    </row>
    <row r="527" customFormat="false" ht="15.75" hidden="true" customHeight="true" outlineLevel="0" collapsed="false">
      <c r="A527" s="46" t="str">
        <f aca="false">IF(_PENDIENTES!$B$521&lt;&gt;"",520,"")</f>
        <v/>
      </c>
      <c r="B527" s="41" t="str">
        <f aca="false">IF(_PENDIENTES!$B$521&lt;&gt;"",_PENDIENTES!$A$521,"")</f>
        <v/>
      </c>
      <c r="C527" s="110" t="str">
        <f aca="false">IF(_PENDIENTES!$B$521&lt;&gt;"",_PENDIENTES!$C$521,"")</f>
        <v/>
      </c>
      <c r="D527" s="46" t="str">
        <f aca="false">IF(_PENDIENTES!$B$521&lt;&gt;"",_PENDIENTES!$D$521,"")</f>
        <v/>
      </c>
      <c r="E527" s="112" t="str">
        <f aca="false">IF(_PENDIENTES!$B$521&lt;&gt;"",_PENDIENTES!$E$521,"")</f>
        <v/>
      </c>
      <c r="F527" s="46" t="str">
        <f aca="false">IF(_PENDIENTES!$B$521&lt;&gt;"",_PENDIENTES!$F$521,"")</f>
        <v/>
      </c>
      <c r="G527" s="44" t="str">
        <f aca="false">IF(_PENDIENTES!$B$521&lt;&gt;"",_PENDIENTES!$G$521,"")</f>
        <v/>
      </c>
      <c r="H527" s="44" t="str">
        <f aca="false">IF(_PENDIENTES!$B$521&lt;&gt;"",_PENDIENTES!$H$521,"")</f>
        <v/>
      </c>
      <c r="I527" s="110" t="str">
        <f aca="false">IF(_PENDIENTES!$B$521&lt;&gt;"",_PENDIENTES!$I$521,"")</f>
        <v/>
      </c>
      <c r="J527" s="46" t="str">
        <f aca="false">IF(_PENDIENTES!$B$521&lt;&gt;"",_PENDIENTES!$J$521,"")</f>
        <v/>
      </c>
      <c r="K527" s="46" t="str">
        <f aca="false">IF(_PENDIENTES!$B$521&lt;&gt;"","POR RECOGER","")</f>
        <v/>
      </c>
      <c r="L527" s="46" t="str">
        <f aca="false">IF(_PENDIENTES!$B$521&lt;&gt;"",_PENDIENTES!$K$521,"")</f>
        <v/>
      </c>
      <c r="M527" s="89" t="str">
        <f aca="false">IF(_PENDIENTES!$B$521&lt;&gt;"",_PENDIENTES!$B$521,"")</f>
        <v/>
      </c>
      <c r="N527" s="109" t="str">
        <f aca="false">IF(_PENDIENTES!$B$521&lt;&gt;"",_PENDIENTES!$L$521,"")</f>
        <v/>
      </c>
      <c r="O527" s="89"/>
      <c r="P527" s="89"/>
      <c r="Q527" s="89"/>
      <c r="R527" s="89"/>
      <c r="S527" s="89"/>
    </row>
    <row r="528" customFormat="false" ht="15.75" hidden="true" customHeight="true" outlineLevel="0" collapsed="false">
      <c r="A528" s="106" t="str">
        <f aca="false">IF(_PENDIENTES!$B$522&lt;&gt;"",521,"")</f>
        <v/>
      </c>
      <c r="B528" s="47" t="str">
        <f aca="false">IF(_PENDIENTES!$B$522&lt;&gt;"",_PENDIENTES!$A$522,"")</f>
        <v/>
      </c>
      <c r="C528" s="107" t="str">
        <f aca="false">IF(_PENDIENTES!$B$522&lt;&gt;"",_PENDIENTES!$C$522,"")</f>
        <v/>
      </c>
      <c r="D528" s="106" t="str">
        <f aca="false">IF(_PENDIENTES!$B$522&lt;&gt;"",_PENDIENTES!$D$522,"")</f>
        <v/>
      </c>
      <c r="E528" s="111" t="str">
        <f aca="false">IF(_PENDIENTES!$B$522&lt;&gt;"",_PENDIENTES!$E$522,"")</f>
        <v/>
      </c>
      <c r="F528" s="106" t="str">
        <f aca="false">IF(_PENDIENTES!$B$522&lt;&gt;"",_PENDIENTES!$F$522,"")</f>
        <v/>
      </c>
      <c r="G528" s="50" t="str">
        <f aca="false">IF(_PENDIENTES!$B$522&lt;&gt;"",_PENDIENTES!$G$522,"")</f>
        <v/>
      </c>
      <c r="H528" s="50" t="str">
        <f aca="false">IF(_PENDIENTES!$B$522&lt;&gt;"",_PENDIENTES!$H$522,"")</f>
        <v/>
      </c>
      <c r="I528" s="107" t="str">
        <f aca="false">IF(_PENDIENTES!$B$522&lt;&gt;"",_PENDIENTES!$I$522,"")</f>
        <v/>
      </c>
      <c r="J528" s="106" t="str">
        <f aca="false">IF(_PENDIENTES!$B$522&lt;&gt;"",_PENDIENTES!$J$522,"")</f>
        <v/>
      </c>
      <c r="K528" s="106" t="str">
        <f aca="false">IF(_PENDIENTES!$B$522&lt;&gt;"","POR RECOGER","")</f>
        <v/>
      </c>
      <c r="L528" s="106" t="str">
        <f aca="false">IF(_PENDIENTES!$B$522&lt;&gt;"",_PENDIENTES!$K$522,"")</f>
        <v/>
      </c>
      <c r="M528" s="89" t="str">
        <f aca="false">IF(_PENDIENTES!$B$522&lt;&gt;"",_PENDIENTES!$B$522,"")</f>
        <v/>
      </c>
      <c r="N528" s="109" t="str">
        <f aca="false">IF(_PENDIENTES!$B$522&lt;&gt;"",_PENDIENTES!$L$522,"")</f>
        <v/>
      </c>
      <c r="O528" s="89"/>
      <c r="P528" s="89"/>
      <c r="Q528" s="89"/>
      <c r="R528" s="89"/>
      <c r="S528" s="89"/>
    </row>
    <row r="529" customFormat="false" ht="15.75" hidden="true" customHeight="true" outlineLevel="0" collapsed="false">
      <c r="A529" s="46" t="str">
        <f aca="false">IF(_PENDIENTES!$B$523&lt;&gt;"",522,"")</f>
        <v/>
      </c>
      <c r="B529" s="41" t="str">
        <f aca="false">IF(_PENDIENTES!$B$523&lt;&gt;"",_PENDIENTES!$A$523,"")</f>
        <v/>
      </c>
      <c r="C529" s="110" t="str">
        <f aca="false">IF(_PENDIENTES!$B$523&lt;&gt;"",_PENDIENTES!$C$523,"")</f>
        <v/>
      </c>
      <c r="D529" s="46" t="str">
        <f aca="false">IF(_PENDIENTES!$B$523&lt;&gt;"",_PENDIENTES!$D$523,"")</f>
        <v/>
      </c>
      <c r="E529" s="112" t="str">
        <f aca="false">IF(_PENDIENTES!$B$523&lt;&gt;"",_PENDIENTES!$E$523,"")</f>
        <v/>
      </c>
      <c r="F529" s="46" t="str">
        <f aca="false">IF(_PENDIENTES!$B$523&lt;&gt;"",_PENDIENTES!$F$523,"")</f>
        <v/>
      </c>
      <c r="G529" s="44" t="str">
        <f aca="false">IF(_PENDIENTES!$B$523&lt;&gt;"",_PENDIENTES!$G$523,"")</f>
        <v/>
      </c>
      <c r="H529" s="44" t="str">
        <f aca="false">IF(_PENDIENTES!$B$523&lt;&gt;"",_PENDIENTES!$H$523,"")</f>
        <v/>
      </c>
      <c r="I529" s="110" t="str">
        <f aca="false">IF(_PENDIENTES!$B$523&lt;&gt;"",_PENDIENTES!$I$523,"")</f>
        <v/>
      </c>
      <c r="J529" s="46" t="str">
        <f aca="false">IF(_PENDIENTES!$B$523&lt;&gt;"",_PENDIENTES!$J$523,"")</f>
        <v/>
      </c>
      <c r="K529" s="46" t="str">
        <f aca="false">IF(_PENDIENTES!$B$523&lt;&gt;"","POR RECOGER","")</f>
        <v/>
      </c>
      <c r="L529" s="46" t="str">
        <f aca="false">IF(_PENDIENTES!$B$523&lt;&gt;"",_PENDIENTES!$K$523,"")</f>
        <v/>
      </c>
      <c r="M529" s="89" t="str">
        <f aca="false">IF(_PENDIENTES!$B$523&lt;&gt;"",_PENDIENTES!$B$523,"")</f>
        <v/>
      </c>
      <c r="N529" s="109" t="str">
        <f aca="false">IF(_PENDIENTES!$B$523&lt;&gt;"",_PENDIENTES!$L$523,"")</f>
        <v/>
      </c>
      <c r="O529" s="89"/>
      <c r="P529" s="89"/>
      <c r="Q529" s="89"/>
      <c r="R529" s="89"/>
      <c r="S529" s="89"/>
    </row>
    <row r="530" customFormat="false" ht="15.75" hidden="true" customHeight="true" outlineLevel="0" collapsed="false">
      <c r="A530" s="106" t="str">
        <f aca="false">IF(_PENDIENTES!$B$524&lt;&gt;"",523,"")</f>
        <v/>
      </c>
      <c r="B530" s="47" t="str">
        <f aca="false">IF(_PENDIENTES!$B$524&lt;&gt;"",_PENDIENTES!$A$524,"")</f>
        <v/>
      </c>
      <c r="C530" s="107" t="str">
        <f aca="false">IF(_PENDIENTES!$B$524&lt;&gt;"",_PENDIENTES!$C$524,"")</f>
        <v/>
      </c>
      <c r="D530" s="106" t="str">
        <f aca="false">IF(_PENDIENTES!$B$524&lt;&gt;"",_PENDIENTES!$D$524,"")</f>
        <v/>
      </c>
      <c r="E530" s="111" t="str">
        <f aca="false">IF(_PENDIENTES!$B$524&lt;&gt;"",_PENDIENTES!$E$524,"")</f>
        <v/>
      </c>
      <c r="F530" s="106" t="str">
        <f aca="false">IF(_PENDIENTES!$B$524&lt;&gt;"",_PENDIENTES!$F$524,"")</f>
        <v/>
      </c>
      <c r="G530" s="50" t="str">
        <f aca="false">IF(_PENDIENTES!$B$524&lt;&gt;"",_PENDIENTES!$G$524,"")</f>
        <v/>
      </c>
      <c r="H530" s="50" t="str">
        <f aca="false">IF(_PENDIENTES!$B$524&lt;&gt;"",_PENDIENTES!$H$524,"")</f>
        <v/>
      </c>
      <c r="I530" s="107" t="str">
        <f aca="false">IF(_PENDIENTES!$B$524&lt;&gt;"",_PENDIENTES!$I$524,"")</f>
        <v/>
      </c>
      <c r="J530" s="106" t="str">
        <f aca="false">IF(_PENDIENTES!$B$524&lt;&gt;"",_PENDIENTES!$J$524,"")</f>
        <v/>
      </c>
      <c r="K530" s="106" t="str">
        <f aca="false">IF(_PENDIENTES!$B$524&lt;&gt;"","POR RECOGER","")</f>
        <v/>
      </c>
      <c r="L530" s="106" t="str">
        <f aca="false">IF(_PENDIENTES!$B$524&lt;&gt;"",_PENDIENTES!$K$524,"")</f>
        <v/>
      </c>
      <c r="M530" s="89" t="str">
        <f aca="false">IF(_PENDIENTES!$B$524&lt;&gt;"",_PENDIENTES!$B$524,"")</f>
        <v/>
      </c>
      <c r="N530" s="109" t="str">
        <f aca="false">IF(_PENDIENTES!$B$524&lt;&gt;"",_PENDIENTES!$L$524,"")</f>
        <v/>
      </c>
      <c r="O530" s="89"/>
      <c r="P530" s="89"/>
      <c r="Q530" s="89"/>
      <c r="R530" s="89"/>
      <c r="S530" s="89"/>
    </row>
    <row r="531" customFormat="false" ht="15.75" hidden="true" customHeight="true" outlineLevel="0" collapsed="false">
      <c r="A531" s="46" t="str">
        <f aca="false">IF(_PENDIENTES!$B$525&lt;&gt;"",524,"")</f>
        <v/>
      </c>
      <c r="B531" s="41" t="str">
        <f aca="false">IF(_PENDIENTES!$B$525&lt;&gt;"",_PENDIENTES!$A$525,"")</f>
        <v/>
      </c>
      <c r="C531" s="110" t="str">
        <f aca="false">IF(_PENDIENTES!$B$525&lt;&gt;"",_PENDIENTES!$C$525,"")</f>
        <v/>
      </c>
      <c r="D531" s="46" t="str">
        <f aca="false">IF(_PENDIENTES!$B$525&lt;&gt;"",_PENDIENTES!$D$525,"")</f>
        <v/>
      </c>
      <c r="E531" s="112" t="str">
        <f aca="false">IF(_PENDIENTES!$B$525&lt;&gt;"",_PENDIENTES!$E$525,"")</f>
        <v/>
      </c>
      <c r="F531" s="46" t="str">
        <f aca="false">IF(_PENDIENTES!$B$525&lt;&gt;"",_PENDIENTES!$F$525,"")</f>
        <v/>
      </c>
      <c r="G531" s="44" t="str">
        <f aca="false">IF(_PENDIENTES!$B$525&lt;&gt;"",_PENDIENTES!$G$525,"")</f>
        <v/>
      </c>
      <c r="H531" s="44" t="str">
        <f aca="false">IF(_PENDIENTES!$B$525&lt;&gt;"",_PENDIENTES!$H$525,"")</f>
        <v/>
      </c>
      <c r="I531" s="110" t="str">
        <f aca="false">IF(_PENDIENTES!$B$525&lt;&gt;"",_PENDIENTES!$I$525,"")</f>
        <v/>
      </c>
      <c r="J531" s="46" t="str">
        <f aca="false">IF(_PENDIENTES!$B$525&lt;&gt;"",_PENDIENTES!$J$525,"")</f>
        <v/>
      </c>
      <c r="K531" s="46" t="str">
        <f aca="false">IF(_PENDIENTES!$B$525&lt;&gt;"","POR RECOGER","")</f>
        <v/>
      </c>
      <c r="L531" s="46" t="str">
        <f aca="false">IF(_PENDIENTES!$B$525&lt;&gt;"",_PENDIENTES!$K$525,"")</f>
        <v/>
      </c>
      <c r="M531" s="89" t="str">
        <f aca="false">IF(_PENDIENTES!$B$525&lt;&gt;"",_PENDIENTES!$B$525,"")</f>
        <v/>
      </c>
      <c r="N531" s="109" t="str">
        <f aca="false">IF(_PENDIENTES!$B$525&lt;&gt;"",_PENDIENTES!$L$525,"")</f>
        <v/>
      </c>
      <c r="O531" s="89"/>
      <c r="P531" s="89"/>
      <c r="Q531" s="89"/>
      <c r="R531" s="89"/>
      <c r="S531" s="89"/>
    </row>
    <row r="532" customFormat="false" ht="15.75" hidden="true" customHeight="true" outlineLevel="0" collapsed="false">
      <c r="A532" s="106" t="str">
        <f aca="false">IF(_PENDIENTES!$B$526&lt;&gt;"",525,"")</f>
        <v/>
      </c>
      <c r="B532" s="47" t="str">
        <f aca="false">IF(_PENDIENTES!$B$526&lt;&gt;"",_PENDIENTES!$A$526,"")</f>
        <v/>
      </c>
      <c r="C532" s="107" t="str">
        <f aca="false">IF(_PENDIENTES!$B$526&lt;&gt;"",_PENDIENTES!$C$526,"")</f>
        <v/>
      </c>
      <c r="D532" s="106" t="str">
        <f aca="false">IF(_PENDIENTES!$B$526&lt;&gt;"",_PENDIENTES!$D$526,"")</f>
        <v/>
      </c>
      <c r="E532" s="111" t="str">
        <f aca="false">IF(_PENDIENTES!$B$526&lt;&gt;"",_PENDIENTES!$E$526,"")</f>
        <v/>
      </c>
      <c r="F532" s="106" t="str">
        <f aca="false">IF(_PENDIENTES!$B$526&lt;&gt;"",_PENDIENTES!$F$526,"")</f>
        <v/>
      </c>
      <c r="G532" s="50" t="str">
        <f aca="false">IF(_PENDIENTES!$B$526&lt;&gt;"",_PENDIENTES!$G$526,"")</f>
        <v/>
      </c>
      <c r="H532" s="50" t="str">
        <f aca="false">IF(_PENDIENTES!$B$526&lt;&gt;"",_PENDIENTES!$H$526,"")</f>
        <v/>
      </c>
      <c r="I532" s="107" t="str">
        <f aca="false">IF(_PENDIENTES!$B$526&lt;&gt;"",_PENDIENTES!$I$526,"")</f>
        <v/>
      </c>
      <c r="J532" s="106" t="str">
        <f aca="false">IF(_PENDIENTES!$B$526&lt;&gt;"",_PENDIENTES!$J$526,"")</f>
        <v/>
      </c>
      <c r="K532" s="106" t="str">
        <f aca="false">IF(_PENDIENTES!$B$526&lt;&gt;"","POR RECOGER","")</f>
        <v/>
      </c>
      <c r="L532" s="106" t="str">
        <f aca="false">IF(_PENDIENTES!$B$526&lt;&gt;"",_PENDIENTES!$K$526,"")</f>
        <v/>
      </c>
      <c r="M532" s="89" t="str">
        <f aca="false">IF(_PENDIENTES!$B$526&lt;&gt;"",_PENDIENTES!$B$526,"")</f>
        <v/>
      </c>
      <c r="N532" s="109" t="str">
        <f aca="false">IF(_PENDIENTES!$B$526&lt;&gt;"",_PENDIENTES!$L$526,"")</f>
        <v/>
      </c>
      <c r="O532" s="89"/>
      <c r="P532" s="89"/>
      <c r="Q532" s="89"/>
      <c r="R532" s="89"/>
      <c r="S532" s="89"/>
    </row>
    <row r="533" customFormat="false" ht="15.75" hidden="true" customHeight="true" outlineLevel="0" collapsed="false">
      <c r="A533" s="46" t="str">
        <f aca="false">IF(_PENDIENTES!$B$527&lt;&gt;"",526,"")</f>
        <v/>
      </c>
      <c r="B533" s="41" t="str">
        <f aca="false">IF(_PENDIENTES!$B$527&lt;&gt;"",_PENDIENTES!$A$527,"")</f>
        <v/>
      </c>
      <c r="C533" s="110" t="str">
        <f aca="false">IF(_PENDIENTES!$B$527&lt;&gt;"",_PENDIENTES!$C$527,"")</f>
        <v/>
      </c>
      <c r="D533" s="46" t="str">
        <f aca="false">IF(_PENDIENTES!$B$527&lt;&gt;"",_PENDIENTES!$D$527,"")</f>
        <v/>
      </c>
      <c r="E533" s="112" t="str">
        <f aca="false">IF(_PENDIENTES!$B$527&lt;&gt;"",_PENDIENTES!$E$527,"")</f>
        <v/>
      </c>
      <c r="F533" s="46" t="str">
        <f aca="false">IF(_PENDIENTES!$B$527&lt;&gt;"",_PENDIENTES!$F$527,"")</f>
        <v/>
      </c>
      <c r="G533" s="44" t="str">
        <f aca="false">IF(_PENDIENTES!$B$527&lt;&gt;"",_PENDIENTES!$G$527,"")</f>
        <v/>
      </c>
      <c r="H533" s="44" t="str">
        <f aca="false">IF(_PENDIENTES!$B$527&lt;&gt;"",_PENDIENTES!$H$527,"")</f>
        <v/>
      </c>
      <c r="I533" s="110" t="str">
        <f aca="false">IF(_PENDIENTES!$B$527&lt;&gt;"",_PENDIENTES!$I$527,"")</f>
        <v/>
      </c>
      <c r="J533" s="46" t="str">
        <f aca="false">IF(_PENDIENTES!$B$527&lt;&gt;"",_PENDIENTES!$J$527,"")</f>
        <v/>
      </c>
      <c r="K533" s="46" t="str">
        <f aca="false">IF(_PENDIENTES!$B$527&lt;&gt;"","POR RECOGER","")</f>
        <v/>
      </c>
      <c r="L533" s="46" t="str">
        <f aca="false">IF(_PENDIENTES!$B$527&lt;&gt;"",_PENDIENTES!$K$527,"")</f>
        <v/>
      </c>
      <c r="M533" s="89" t="str">
        <f aca="false">IF(_PENDIENTES!$B$527&lt;&gt;"",_PENDIENTES!$B$527,"")</f>
        <v/>
      </c>
      <c r="N533" s="109" t="str">
        <f aca="false">IF(_PENDIENTES!$B$527&lt;&gt;"",_PENDIENTES!$L$527,"")</f>
        <v/>
      </c>
      <c r="O533" s="89"/>
      <c r="P533" s="89"/>
      <c r="Q533" s="89"/>
      <c r="R533" s="89"/>
      <c r="S533" s="89"/>
    </row>
    <row r="534" customFormat="false" ht="15.75" hidden="true" customHeight="true" outlineLevel="0" collapsed="false">
      <c r="A534" s="106" t="str">
        <f aca="false">IF(_PENDIENTES!$B$528&lt;&gt;"",527,"")</f>
        <v/>
      </c>
      <c r="B534" s="47" t="str">
        <f aca="false">IF(_PENDIENTES!$B$528&lt;&gt;"",_PENDIENTES!$A$528,"")</f>
        <v/>
      </c>
      <c r="C534" s="107" t="str">
        <f aca="false">IF(_PENDIENTES!$B$528&lt;&gt;"",_PENDIENTES!$C$528,"")</f>
        <v/>
      </c>
      <c r="D534" s="106" t="str">
        <f aca="false">IF(_PENDIENTES!$B$528&lt;&gt;"",_PENDIENTES!$D$528,"")</f>
        <v/>
      </c>
      <c r="E534" s="111" t="str">
        <f aca="false">IF(_PENDIENTES!$B$528&lt;&gt;"",_PENDIENTES!$E$528,"")</f>
        <v/>
      </c>
      <c r="F534" s="106" t="str">
        <f aca="false">IF(_PENDIENTES!$B$528&lt;&gt;"",_PENDIENTES!$F$528,"")</f>
        <v/>
      </c>
      <c r="G534" s="50" t="str">
        <f aca="false">IF(_PENDIENTES!$B$528&lt;&gt;"",_PENDIENTES!$G$528,"")</f>
        <v/>
      </c>
      <c r="H534" s="50" t="str">
        <f aca="false">IF(_PENDIENTES!$B$528&lt;&gt;"",_PENDIENTES!$H$528,"")</f>
        <v/>
      </c>
      <c r="I534" s="107" t="str">
        <f aca="false">IF(_PENDIENTES!$B$528&lt;&gt;"",_PENDIENTES!$I$528,"")</f>
        <v/>
      </c>
      <c r="J534" s="106" t="str">
        <f aca="false">IF(_PENDIENTES!$B$528&lt;&gt;"",_PENDIENTES!$J$528,"")</f>
        <v/>
      </c>
      <c r="K534" s="106" t="str">
        <f aca="false">IF(_PENDIENTES!$B$528&lt;&gt;"","POR RECOGER","")</f>
        <v/>
      </c>
      <c r="L534" s="106" t="str">
        <f aca="false">IF(_PENDIENTES!$B$528&lt;&gt;"",_PENDIENTES!$K$528,"")</f>
        <v/>
      </c>
      <c r="M534" s="89" t="str">
        <f aca="false">IF(_PENDIENTES!$B$528&lt;&gt;"",_PENDIENTES!$B$528,"")</f>
        <v/>
      </c>
      <c r="N534" s="109" t="str">
        <f aca="false">IF(_PENDIENTES!$B$528&lt;&gt;"",_PENDIENTES!$L$528,"")</f>
        <v/>
      </c>
      <c r="O534" s="89"/>
      <c r="P534" s="89"/>
      <c r="Q534" s="89"/>
      <c r="R534" s="89"/>
      <c r="S534" s="89"/>
    </row>
    <row r="535" customFormat="false" ht="15.75" hidden="true" customHeight="true" outlineLevel="0" collapsed="false">
      <c r="A535" s="46" t="str">
        <f aca="false">IF(_PENDIENTES!$B$529&lt;&gt;"",528,"")</f>
        <v/>
      </c>
      <c r="B535" s="41" t="str">
        <f aca="false">IF(_PENDIENTES!$B$529&lt;&gt;"",_PENDIENTES!$A$529,"")</f>
        <v/>
      </c>
      <c r="C535" s="110" t="str">
        <f aca="false">IF(_PENDIENTES!$B$529&lt;&gt;"",_PENDIENTES!$C$529,"")</f>
        <v/>
      </c>
      <c r="D535" s="46" t="str">
        <f aca="false">IF(_PENDIENTES!$B$529&lt;&gt;"",_PENDIENTES!$D$529,"")</f>
        <v/>
      </c>
      <c r="E535" s="112" t="str">
        <f aca="false">IF(_PENDIENTES!$B$529&lt;&gt;"",_PENDIENTES!$E$529,"")</f>
        <v/>
      </c>
      <c r="F535" s="46" t="str">
        <f aca="false">IF(_PENDIENTES!$B$529&lt;&gt;"",_PENDIENTES!$F$529,"")</f>
        <v/>
      </c>
      <c r="G535" s="44" t="str">
        <f aca="false">IF(_PENDIENTES!$B$529&lt;&gt;"",_PENDIENTES!$G$529,"")</f>
        <v/>
      </c>
      <c r="H535" s="44" t="str">
        <f aca="false">IF(_PENDIENTES!$B$529&lt;&gt;"",_PENDIENTES!$H$529,"")</f>
        <v/>
      </c>
      <c r="I535" s="110" t="str">
        <f aca="false">IF(_PENDIENTES!$B$529&lt;&gt;"",_PENDIENTES!$I$529,"")</f>
        <v/>
      </c>
      <c r="J535" s="46" t="str">
        <f aca="false">IF(_PENDIENTES!$B$529&lt;&gt;"",_PENDIENTES!$J$529,"")</f>
        <v/>
      </c>
      <c r="K535" s="46" t="str">
        <f aca="false">IF(_PENDIENTES!$B$529&lt;&gt;"","POR RECOGER","")</f>
        <v/>
      </c>
      <c r="L535" s="46" t="str">
        <f aca="false">IF(_PENDIENTES!$B$529&lt;&gt;"",_PENDIENTES!$K$529,"")</f>
        <v/>
      </c>
      <c r="M535" s="89" t="str">
        <f aca="false">IF(_PENDIENTES!$B$529&lt;&gt;"",_PENDIENTES!$B$529,"")</f>
        <v/>
      </c>
      <c r="N535" s="109" t="str">
        <f aca="false">IF(_PENDIENTES!$B$529&lt;&gt;"",_PENDIENTES!$L$529,"")</f>
        <v/>
      </c>
      <c r="O535" s="89"/>
      <c r="P535" s="89"/>
      <c r="Q535" s="89"/>
      <c r="R535" s="89"/>
      <c r="S535" s="89"/>
    </row>
    <row r="536" customFormat="false" ht="15.75" hidden="true" customHeight="true" outlineLevel="0" collapsed="false">
      <c r="A536" s="106" t="str">
        <f aca="false">IF(_PENDIENTES!$B$530&lt;&gt;"",529,"")</f>
        <v/>
      </c>
      <c r="B536" s="47" t="str">
        <f aca="false">IF(_PENDIENTES!$B$530&lt;&gt;"",_PENDIENTES!$A$530,"")</f>
        <v/>
      </c>
      <c r="C536" s="107" t="str">
        <f aca="false">IF(_PENDIENTES!$B$530&lt;&gt;"",_PENDIENTES!$C$530,"")</f>
        <v/>
      </c>
      <c r="D536" s="106" t="str">
        <f aca="false">IF(_PENDIENTES!$B$530&lt;&gt;"",_PENDIENTES!$D$530,"")</f>
        <v/>
      </c>
      <c r="E536" s="111" t="str">
        <f aca="false">IF(_PENDIENTES!$B$530&lt;&gt;"",_PENDIENTES!$E$530,"")</f>
        <v/>
      </c>
      <c r="F536" s="106" t="str">
        <f aca="false">IF(_PENDIENTES!$B$530&lt;&gt;"",_PENDIENTES!$F$530,"")</f>
        <v/>
      </c>
      <c r="G536" s="50" t="str">
        <f aca="false">IF(_PENDIENTES!$B$530&lt;&gt;"",_PENDIENTES!$G$530,"")</f>
        <v/>
      </c>
      <c r="H536" s="50" t="str">
        <f aca="false">IF(_PENDIENTES!$B$530&lt;&gt;"",_PENDIENTES!$H$530,"")</f>
        <v/>
      </c>
      <c r="I536" s="107" t="str">
        <f aca="false">IF(_PENDIENTES!$B$530&lt;&gt;"",_PENDIENTES!$I$530,"")</f>
        <v/>
      </c>
      <c r="J536" s="106" t="str">
        <f aca="false">IF(_PENDIENTES!$B$530&lt;&gt;"",_PENDIENTES!$J$530,"")</f>
        <v/>
      </c>
      <c r="K536" s="106" t="str">
        <f aca="false">IF(_PENDIENTES!$B$530&lt;&gt;"","POR RECOGER","")</f>
        <v/>
      </c>
      <c r="L536" s="106" t="str">
        <f aca="false">IF(_PENDIENTES!$B$530&lt;&gt;"",_PENDIENTES!$K$530,"")</f>
        <v/>
      </c>
      <c r="M536" s="89" t="str">
        <f aca="false">IF(_PENDIENTES!$B$530&lt;&gt;"",_PENDIENTES!$B$530,"")</f>
        <v/>
      </c>
      <c r="N536" s="109" t="str">
        <f aca="false">IF(_PENDIENTES!$B$530&lt;&gt;"",_PENDIENTES!$L$530,"")</f>
        <v/>
      </c>
      <c r="O536" s="89"/>
      <c r="P536" s="89"/>
      <c r="Q536" s="89"/>
      <c r="R536" s="89"/>
      <c r="S536" s="89"/>
    </row>
    <row r="537" customFormat="false" ht="15.75" hidden="true" customHeight="true" outlineLevel="0" collapsed="false">
      <c r="A537" s="46" t="str">
        <f aca="false">IF(_PENDIENTES!$B$531&lt;&gt;"",530,"")</f>
        <v/>
      </c>
      <c r="B537" s="41" t="str">
        <f aca="false">IF(_PENDIENTES!$B$531&lt;&gt;"",_PENDIENTES!$A$531,"")</f>
        <v/>
      </c>
      <c r="C537" s="110" t="str">
        <f aca="false">IF(_PENDIENTES!$B$531&lt;&gt;"",_PENDIENTES!$C$531,"")</f>
        <v/>
      </c>
      <c r="D537" s="46" t="str">
        <f aca="false">IF(_PENDIENTES!$B$531&lt;&gt;"",_PENDIENTES!$D$531,"")</f>
        <v/>
      </c>
      <c r="E537" s="112" t="str">
        <f aca="false">IF(_PENDIENTES!$B$531&lt;&gt;"",_PENDIENTES!$E$531,"")</f>
        <v/>
      </c>
      <c r="F537" s="46" t="str">
        <f aca="false">IF(_PENDIENTES!$B$531&lt;&gt;"",_PENDIENTES!$F$531,"")</f>
        <v/>
      </c>
      <c r="G537" s="44" t="str">
        <f aca="false">IF(_PENDIENTES!$B$531&lt;&gt;"",_PENDIENTES!$G$531,"")</f>
        <v/>
      </c>
      <c r="H537" s="44" t="str">
        <f aca="false">IF(_PENDIENTES!$B$531&lt;&gt;"",_PENDIENTES!$H$531,"")</f>
        <v/>
      </c>
      <c r="I537" s="110" t="str">
        <f aca="false">IF(_PENDIENTES!$B$531&lt;&gt;"",_PENDIENTES!$I$531,"")</f>
        <v/>
      </c>
      <c r="J537" s="46" t="str">
        <f aca="false">IF(_PENDIENTES!$B$531&lt;&gt;"",_PENDIENTES!$J$531,"")</f>
        <v/>
      </c>
      <c r="K537" s="46" t="str">
        <f aca="false">IF(_PENDIENTES!$B$531&lt;&gt;"","POR RECOGER","")</f>
        <v/>
      </c>
      <c r="L537" s="46" t="str">
        <f aca="false">IF(_PENDIENTES!$B$531&lt;&gt;"",_PENDIENTES!$K$531,"")</f>
        <v/>
      </c>
      <c r="M537" s="89" t="str">
        <f aca="false">IF(_PENDIENTES!$B$531&lt;&gt;"",_PENDIENTES!$B$531,"")</f>
        <v/>
      </c>
      <c r="N537" s="109" t="str">
        <f aca="false">IF(_PENDIENTES!$B$531&lt;&gt;"",_PENDIENTES!$L$531,"")</f>
        <v/>
      </c>
      <c r="O537" s="89"/>
      <c r="P537" s="89"/>
      <c r="Q537" s="89"/>
      <c r="R537" s="89"/>
      <c r="S537" s="89"/>
    </row>
    <row r="538" customFormat="false" ht="15.75" hidden="true" customHeight="true" outlineLevel="0" collapsed="false">
      <c r="A538" s="106" t="str">
        <f aca="false">IF(_PENDIENTES!$B$532&lt;&gt;"",531,"")</f>
        <v/>
      </c>
      <c r="B538" s="47" t="str">
        <f aca="false">IF(_PENDIENTES!$B$532&lt;&gt;"",_PENDIENTES!$A$532,"")</f>
        <v/>
      </c>
      <c r="C538" s="107" t="str">
        <f aca="false">IF(_PENDIENTES!$B$532&lt;&gt;"",_PENDIENTES!$C$532,"")</f>
        <v/>
      </c>
      <c r="D538" s="106" t="str">
        <f aca="false">IF(_PENDIENTES!$B$532&lt;&gt;"",_PENDIENTES!$D$532,"")</f>
        <v/>
      </c>
      <c r="E538" s="111" t="str">
        <f aca="false">IF(_PENDIENTES!$B$532&lt;&gt;"",_PENDIENTES!$E$532,"")</f>
        <v/>
      </c>
      <c r="F538" s="106" t="str">
        <f aca="false">IF(_PENDIENTES!$B$532&lt;&gt;"",_PENDIENTES!$F$532,"")</f>
        <v/>
      </c>
      <c r="G538" s="50" t="str">
        <f aca="false">IF(_PENDIENTES!$B$532&lt;&gt;"",_PENDIENTES!$G$532,"")</f>
        <v/>
      </c>
      <c r="H538" s="50" t="str">
        <f aca="false">IF(_PENDIENTES!$B$532&lt;&gt;"",_PENDIENTES!$H$532,"")</f>
        <v/>
      </c>
      <c r="I538" s="107" t="str">
        <f aca="false">IF(_PENDIENTES!$B$532&lt;&gt;"",_PENDIENTES!$I$532,"")</f>
        <v/>
      </c>
      <c r="J538" s="106" t="str">
        <f aca="false">IF(_PENDIENTES!$B$532&lt;&gt;"",_PENDIENTES!$J$532,"")</f>
        <v/>
      </c>
      <c r="K538" s="106" t="str">
        <f aca="false">IF(_PENDIENTES!$B$532&lt;&gt;"","POR RECOGER","")</f>
        <v/>
      </c>
      <c r="L538" s="106" t="str">
        <f aca="false">IF(_PENDIENTES!$B$532&lt;&gt;"",_PENDIENTES!$K$532,"")</f>
        <v/>
      </c>
      <c r="M538" s="89" t="str">
        <f aca="false">IF(_PENDIENTES!$B$532&lt;&gt;"",_PENDIENTES!$B$532,"")</f>
        <v/>
      </c>
      <c r="N538" s="109" t="str">
        <f aca="false">IF(_PENDIENTES!$B$532&lt;&gt;"",_PENDIENTES!$L$532,"")</f>
        <v/>
      </c>
      <c r="O538" s="89"/>
      <c r="P538" s="89"/>
      <c r="Q538" s="89"/>
      <c r="R538" s="89"/>
      <c r="S538" s="89"/>
    </row>
    <row r="539" customFormat="false" ht="15.75" hidden="true" customHeight="true" outlineLevel="0" collapsed="false">
      <c r="A539" s="46" t="str">
        <f aca="false">IF(_PENDIENTES!$B$533&lt;&gt;"",532,"")</f>
        <v/>
      </c>
      <c r="B539" s="41" t="str">
        <f aca="false">IF(_PENDIENTES!$B$533&lt;&gt;"",_PENDIENTES!$A$533,"")</f>
        <v/>
      </c>
      <c r="C539" s="110" t="str">
        <f aca="false">IF(_PENDIENTES!$B$533&lt;&gt;"",_PENDIENTES!$C$533,"")</f>
        <v/>
      </c>
      <c r="D539" s="46" t="str">
        <f aca="false">IF(_PENDIENTES!$B$533&lt;&gt;"",_PENDIENTES!$D$533,"")</f>
        <v/>
      </c>
      <c r="E539" s="112" t="str">
        <f aca="false">IF(_PENDIENTES!$B$533&lt;&gt;"",_PENDIENTES!$E$533,"")</f>
        <v/>
      </c>
      <c r="F539" s="46" t="str">
        <f aca="false">IF(_PENDIENTES!$B$533&lt;&gt;"",_PENDIENTES!$F$533,"")</f>
        <v/>
      </c>
      <c r="G539" s="44" t="str">
        <f aca="false">IF(_PENDIENTES!$B$533&lt;&gt;"",_PENDIENTES!$G$533,"")</f>
        <v/>
      </c>
      <c r="H539" s="44" t="str">
        <f aca="false">IF(_PENDIENTES!$B$533&lt;&gt;"",_PENDIENTES!$H$533,"")</f>
        <v/>
      </c>
      <c r="I539" s="110" t="str">
        <f aca="false">IF(_PENDIENTES!$B$533&lt;&gt;"",_PENDIENTES!$I$533,"")</f>
        <v/>
      </c>
      <c r="J539" s="46" t="str">
        <f aca="false">IF(_PENDIENTES!$B$533&lt;&gt;"",_PENDIENTES!$J$533,"")</f>
        <v/>
      </c>
      <c r="K539" s="46" t="str">
        <f aca="false">IF(_PENDIENTES!$B$533&lt;&gt;"","POR RECOGER","")</f>
        <v/>
      </c>
      <c r="L539" s="46" t="str">
        <f aca="false">IF(_PENDIENTES!$B$533&lt;&gt;"",_PENDIENTES!$K$533,"")</f>
        <v/>
      </c>
      <c r="M539" s="89" t="str">
        <f aca="false">IF(_PENDIENTES!$B$533&lt;&gt;"",_PENDIENTES!$B$533,"")</f>
        <v/>
      </c>
      <c r="N539" s="109" t="str">
        <f aca="false">IF(_PENDIENTES!$B$533&lt;&gt;"",_PENDIENTES!$L$533,"")</f>
        <v/>
      </c>
      <c r="O539" s="89"/>
      <c r="P539" s="89"/>
      <c r="Q539" s="89"/>
      <c r="R539" s="89"/>
      <c r="S539" s="89"/>
    </row>
    <row r="540" customFormat="false" ht="15.75" hidden="true" customHeight="true" outlineLevel="0" collapsed="false">
      <c r="A540" s="106" t="str">
        <f aca="false">IF(_PENDIENTES!$B$534&lt;&gt;"",533,"")</f>
        <v/>
      </c>
      <c r="B540" s="47" t="str">
        <f aca="false">IF(_PENDIENTES!$B$534&lt;&gt;"",_PENDIENTES!$A$534,"")</f>
        <v/>
      </c>
      <c r="C540" s="107" t="str">
        <f aca="false">IF(_PENDIENTES!$B$534&lt;&gt;"",_PENDIENTES!$C$534,"")</f>
        <v/>
      </c>
      <c r="D540" s="106" t="str">
        <f aca="false">IF(_PENDIENTES!$B$534&lt;&gt;"",_PENDIENTES!$D$534,"")</f>
        <v/>
      </c>
      <c r="E540" s="111" t="str">
        <f aca="false">IF(_PENDIENTES!$B$534&lt;&gt;"",_PENDIENTES!$E$534,"")</f>
        <v/>
      </c>
      <c r="F540" s="106" t="str">
        <f aca="false">IF(_PENDIENTES!$B$534&lt;&gt;"",_PENDIENTES!$F$534,"")</f>
        <v/>
      </c>
      <c r="G540" s="50" t="str">
        <f aca="false">IF(_PENDIENTES!$B$534&lt;&gt;"",_PENDIENTES!$G$534,"")</f>
        <v/>
      </c>
      <c r="H540" s="50" t="str">
        <f aca="false">IF(_PENDIENTES!$B$534&lt;&gt;"",_PENDIENTES!$H$534,"")</f>
        <v/>
      </c>
      <c r="I540" s="107" t="str">
        <f aca="false">IF(_PENDIENTES!$B$534&lt;&gt;"",_PENDIENTES!$I$534,"")</f>
        <v/>
      </c>
      <c r="J540" s="106" t="str">
        <f aca="false">IF(_PENDIENTES!$B$534&lt;&gt;"",_PENDIENTES!$J$534,"")</f>
        <v/>
      </c>
      <c r="K540" s="106" t="str">
        <f aca="false">IF(_PENDIENTES!$B$534&lt;&gt;"","POR RECOGER","")</f>
        <v/>
      </c>
      <c r="L540" s="106" t="str">
        <f aca="false">IF(_PENDIENTES!$B$534&lt;&gt;"",_PENDIENTES!$K$534,"")</f>
        <v/>
      </c>
      <c r="M540" s="89" t="str">
        <f aca="false">IF(_PENDIENTES!$B$534&lt;&gt;"",_PENDIENTES!$B$534,"")</f>
        <v/>
      </c>
      <c r="N540" s="109" t="str">
        <f aca="false">IF(_PENDIENTES!$B$534&lt;&gt;"",_PENDIENTES!$L$534,"")</f>
        <v/>
      </c>
      <c r="O540" s="89"/>
      <c r="P540" s="89"/>
      <c r="Q540" s="89"/>
      <c r="R540" s="89"/>
      <c r="S540" s="89"/>
    </row>
    <row r="541" customFormat="false" ht="15.75" hidden="true" customHeight="true" outlineLevel="0" collapsed="false">
      <c r="A541" s="46" t="str">
        <f aca="false">IF(_PENDIENTES!$B$535&lt;&gt;"",534,"")</f>
        <v/>
      </c>
      <c r="B541" s="41" t="str">
        <f aca="false">IF(_PENDIENTES!$B$535&lt;&gt;"",_PENDIENTES!$A$535,"")</f>
        <v/>
      </c>
      <c r="C541" s="110" t="str">
        <f aca="false">IF(_PENDIENTES!$B$535&lt;&gt;"",_PENDIENTES!$C$535,"")</f>
        <v/>
      </c>
      <c r="D541" s="46" t="str">
        <f aca="false">IF(_PENDIENTES!$B$535&lt;&gt;"",_PENDIENTES!$D$535,"")</f>
        <v/>
      </c>
      <c r="E541" s="112" t="str">
        <f aca="false">IF(_PENDIENTES!$B$535&lt;&gt;"",_PENDIENTES!$E$535,"")</f>
        <v/>
      </c>
      <c r="F541" s="46" t="str">
        <f aca="false">IF(_PENDIENTES!$B$535&lt;&gt;"",_PENDIENTES!$F$535,"")</f>
        <v/>
      </c>
      <c r="G541" s="44" t="str">
        <f aca="false">IF(_PENDIENTES!$B$535&lt;&gt;"",_PENDIENTES!$G$535,"")</f>
        <v/>
      </c>
      <c r="H541" s="44" t="str">
        <f aca="false">IF(_PENDIENTES!$B$535&lt;&gt;"",_PENDIENTES!$H$535,"")</f>
        <v/>
      </c>
      <c r="I541" s="110" t="str">
        <f aca="false">IF(_PENDIENTES!$B$535&lt;&gt;"",_PENDIENTES!$I$535,"")</f>
        <v/>
      </c>
      <c r="J541" s="46" t="str">
        <f aca="false">IF(_PENDIENTES!$B$535&lt;&gt;"",_PENDIENTES!$J$535,"")</f>
        <v/>
      </c>
      <c r="K541" s="46" t="str">
        <f aca="false">IF(_PENDIENTES!$B$535&lt;&gt;"","POR RECOGER","")</f>
        <v/>
      </c>
      <c r="L541" s="46" t="str">
        <f aca="false">IF(_PENDIENTES!$B$535&lt;&gt;"",_PENDIENTES!$K$535,"")</f>
        <v/>
      </c>
      <c r="M541" s="89" t="str">
        <f aca="false">IF(_PENDIENTES!$B$535&lt;&gt;"",_PENDIENTES!$B$535,"")</f>
        <v/>
      </c>
      <c r="N541" s="109" t="str">
        <f aca="false">IF(_PENDIENTES!$B$535&lt;&gt;"",_PENDIENTES!$L$535,"")</f>
        <v/>
      </c>
      <c r="O541" s="89"/>
      <c r="P541" s="89"/>
      <c r="Q541" s="89"/>
      <c r="R541" s="89"/>
      <c r="S541" s="89"/>
    </row>
    <row r="542" customFormat="false" ht="15.75" hidden="true" customHeight="true" outlineLevel="0" collapsed="false">
      <c r="A542" s="106" t="str">
        <f aca="false">IF(_PENDIENTES!$B$536&lt;&gt;"",535,"")</f>
        <v/>
      </c>
      <c r="B542" s="47" t="str">
        <f aca="false">IF(_PENDIENTES!$B$536&lt;&gt;"",_PENDIENTES!$A$536,"")</f>
        <v/>
      </c>
      <c r="C542" s="107" t="str">
        <f aca="false">IF(_PENDIENTES!$B$536&lt;&gt;"",_PENDIENTES!$C$536,"")</f>
        <v/>
      </c>
      <c r="D542" s="106" t="str">
        <f aca="false">IF(_PENDIENTES!$B$536&lt;&gt;"",_PENDIENTES!$D$536,"")</f>
        <v/>
      </c>
      <c r="E542" s="111" t="str">
        <f aca="false">IF(_PENDIENTES!$B$536&lt;&gt;"",_PENDIENTES!$E$536,"")</f>
        <v/>
      </c>
      <c r="F542" s="106" t="str">
        <f aca="false">IF(_PENDIENTES!$B$536&lt;&gt;"",_PENDIENTES!$F$536,"")</f>
        <v/>
      </c>
      <c r="G542" s="50" t="str">
        <f aca="false">IF(_PENDIENTES!$B$536&lt;&gt;"",_PENDIENTES!$G$536,"")</f>
        <v/>
      </c>
      <c r="H542" s="50" t="str">
        <f aca="false">IF(_PENDIENTES!$B$536&lt;&gt;"",_PENDIENTES!$H$536,"")</f>
        <v/>
      </c>
      <c r="I542" s="107" t="str">
        <f aca="false">IF(_PENDIENTES!$B$536&lt;&gt;"",_PENDIENTES!$I$536,"")</f>
        <v/>
      </c>
      <c r="J542" s="106" t="str">
        <f aca="false">IF(_PENDIENTES!$B$536&lt;&gt;"",_PENDIENTES!$J$536,"")</f>
        <v/>
      </c>
      <c r="K542" s="106" t="str">
        <f aca="false">IF(_PENDIENTES!$B$536&lt;&gt;"","POR RECOGER","")</f>
        <v/>
      </c>
      <c r="L542" s="106" t="str">
        <f aca="false">IF(_PENDIENTES!$B$536&lt;&gt;"",_PENDIENTES!$K$536,"")</f>
        <v/>
      </c>
      <c r="M542" s="89" t="str">
        <f aca="false">IF(_PENDIENTES!$B$536&lt;&gt;"",_PENDIENTES!$B$536,"")</f>
        <v/>
      </c>
      <c r="N542" s="109" t="str">
        <f aca="false">IF(_PENDIENTES!$B$536&lt;&gt;"",_PENDIENTES!$L$536,"")</f>
        <v/>
      </c>
      <c r="O542" s="89"/>
      <c r="P542" s="89"/>
      <c r="Q542" s="89"/>
      <c r="R542" s="89"/>
      <c r="S542" s="89"/>
    </row>
    <row r="543" customFormat="false" ht="15.75" hidden="true" customHeight="true" outlineLevel="0" collapsed="false">
      <c r="A543" s="46" t="str">
        <f aca="false">IF(_PENDIENTES!$B$537&lt;&gt;"",536,"")</f>
        <v/>
      </c>
      <c r="B543" s="41" t="str">
        <f aca="false">IF(_PENDIENTES!$B$537&lt;&gt;"",_PENDIENTES!$A$537,"")</f>
        <v/>
      </c>
      <c r="C543" s="110" t="str">
        <f aca="false">IF(_PENDIENTES!$B$537&lt;&gt;"",_PENDIENTES!$C$537,"")</f>
        <v/>
      </c>
      <c r="D543" s="46" t="str">
        <f aca="false">IF(_PENDIENTES!$B$537&lt;&gt;"",_PENDIENTES!$D$537,"")</f>
        <v/>
      </c>
      <c r="E543" s="112" t="str">
        <f aca="false">IF(_PENDIENTES!$B$537&lt;&gt;"",_PENDIENTES!$E$537,"")</f>
        <v/>
      </c>
      <c r="F543" s="46" t="str">
        <f aca="false">IF(_PENDIENTES!$B$537&lt;&gt;"",_PENDIENTES!$F$537,"")</f>
        <v/>
      </c>
      <c r="G543" s="44" t="str">
        <f aca="false">IF(_PENDIENTES!$B$537&lt;&gt;"",_PENDIENTES!$G$537,"")</f>
        <v/>
      </c>
      <c r="H543" s="44" t="str">
        <f aca="false">IF(_PENDIENTES!$B$537&lt;&gt;"",_PENDIENTES!$H$537,"")</f>
        <v/>
      </c>
      <c r="I543" s="110" t="str">
        <f aca="false">IF(_PENDIENTES!$B$537&lt;&gt;"",_PENDIENTES!$I$537,"")</f>
        <v/>
      </c>
      <c r="J543" s="46" t="str">
        <f aca="false">IF(_PENDIENTES!$B$537&lt;&gt;"",_PENDIENTES!$J$537,"")</f>
        <v/>
      </c>
      <c r="K543" s="46" t="str">
        <f aca="false">IF(_PENDIENTES!$B$537&lt;&gt;"","POR RECOGER","")</f>
        <v/>
      </c>
      <c r="L543" s="46" t="str">
        <f aca="false">IF(_PENDIENTES!$B$537&lt;&gt;"",_PENDIENTES!$K$537,"")</f>
        <v/>
      </c>
      <c r="M543" s="89" t="str">
        <f aca="false">IF(_PENDIENTES!$B$537&lt;&gt;"",_PENDIENTES!$B$537,"")</f>
        <v/>
      </c>
      <c r="N543" s="109" t="str">
        <f aca="false">IF(_PENDIENTES!$B$537&lt;&gt;"",_PENDIENTES!$L$537,"")</f>
        <v/>
      </c>
      <c r="O543" s="89"/>
      <c r="P543" s="89"/>
      <c r="Q543" s="89"/>
      <c r="R543" s="89"/>
      <c r="S543" s="89"/>
    </row>
    <row r="544" customFormat="false" ht="15.75" hidden="true" customHeight="true" outlineLevel="0" collapsed="false">
      <c r="A544" s="106" t="str">
        <f aca="false">IF(_PENDIENTES!$B$538&lt;&gt;"",537,"")</f>
        <v/>
      </c>
      <c r="B544" s="47" t="str">
        <f aca="false">IF(_PENDIENTES!$B$538&lt;&gt;"",_PENDIENTES!$A$538,"")</f>
        <v/>
      </c>
      <c r="C544" s="107" t="str">
        <f aca="false">IF(_PENDIENTES!$B$538&lt;&gt;"",_PENDIENTES!$C$538,"")</f>
        <v/>
      </c>
      <c r="D544" s="106" t="str">
        <f aca="false">IF(_PENDIENTES!$B$538&lt;&gt;"",_PENDIENTES!$D$538,"")</f>
        <v/>
      </c>
      <c r="E544" s="111" t="str">
        <f aca="false">IF(_PENDIENTES!$B$538&lt;&gt;"",_PENDIENTES!$E$538,"")</f>
        <v/>
      </c>
      <c r="F544" s="106" t="str">
        <f aca="false">IF(_PENDIENTES!$B$538&lt;&gt;"",_PENDIENTES!$F$538,"")</f>
        <v/>
      </c>
      <c r="G544" s="50" t="str">
        <f aca="false">IF(_PENDIENTES!$B$538&lt;&gt;"",_PENDIENTES!$G$538,"")</f>
        <v/>
      </c>
      <c r="H544" s="50" t="str">
        <f aca="false">IF(_PENDIENTES!$B$538&lt;&gt;"",_PENDIENTES!$H$538,"")</f>
        <v/>
      </c>
      <c r="I544" s="107" t="str">
        <f aca="false">IF(_PENDIENTES!$B$538&lt;&gt;"",_PENDIENTES!$I$538,"")</f>
        <v/>
      </c>
      <c r="J544" s="106" t="str">
        <f aca="false">IF(_PENDIENTES!$B$538&lt;&gt;"",_PENDIENTES!$J$538,"")</f>
        <v/>
      </c>
      <c r="K544" s="106" t="str">
        <f aca="false">IF(_PENDIENTES!$B$538&lt;&gt;"","POR RECOGER","")</f>
        <v/>
      </c>
      <c r="L544" s="106" t="str">
        <f aca="false">IF(_PENDIENTES!$B$538&lt;&gt;"",_PENDIENTES!$K$538,"")</f>
        <v/>
      </c>
      <c r="M544" s="89" t="str">
        <f aca="false">IF(_PENDIENTES!$B$538&lt;&gt;"",_PENDIENTES!$B$538,"")</f>
        <v/>
      </c>
      <c r="N544" s="109" t="str">
        <f aca="false">IF(_PENDIENTES!$B$538&lt;&gt;"",_PENDIENTES!$L$538,"")</f>
        <v/>
      </c>
      <c r="O544" s="89"/>
      <c r="P544" s="89"/>
      <c r="Q544" s="89"/>
      <c r="R544" s="89"/>
      <c r="S544" s="89"/>
    </row>
    <row r="545" customFormat="false" ht="15.75" hidden="true" customHeight="true" outlineLevel="0" collapsed="false">
      <c r="A545" s="46" t="str">
        <f aca="false">IF(_PENDIENTES!$B$539&lt;&gt;"",538,"")</f>
        <v/>
      </c>
      <c r="B545" s="41" t="str">
        <f aca="false">IF(_PENDIENTES!$B$539&lt;&gt;"",_PENDIENTES!$A$539,"")</f>
        <v/>
      </c>
      <c r="C545" s="110" t="str">
        <f aca="false">IF(_PENDIENTES!$B$539&lt;&gt;"",_PENDIENTES!$C$539,"")</f>
        <v/>
      </c>
      <c r="D545" s="46" t="str">
        <f aca="false">IF(_PENDIENTES!$B$539&lt;&gt;"",_PENDIENTES!$D$539,"")</f>
        <v/>
      </c>
      <c r="E545" s="112" t="str">
        <f aca="false">IF(_PENDIENTES!$B$539&lt;&gt;"",_PENDIENTES!$E$539,"")</f>
        <v/>
      </c>
      <c r="F545" s="46" t="str">
        <f aca="false">IF(_PENDIENTES!$B$539&lt;&gt;"",_PENDIENTES!$F$539,"")</f>
        <v/>
      </c>
      <c r="G545" s="44" t="str">
        <f aca="false">IF(_PENDIENTES!$B$539&lt;&gt;"",_PENDIENTES!$G$539,"")</f>
        <v/>
      </c>
      <c r="H545" s="44" t="str">
        <f aca="false">IF(_PENDIENTES!$B$539&lt;&gt;"",_PENDIENTES!$H$539,"")</f>
        <v/>
      </c>
      <c r="I545" s="110" t="str">
        <f aca="false">IF(_PENDIENTES!$B$539&lt;&gt;"",_PENDIENTES!$I$539,"")</f>
        <v/>
      </c>
      <c r="J545" s="46" t="str">
        <f aca="false">IF(_PENDIENTES!$B$539&lt;&gt;"",_PENDIENTES!$J$539,"")</f>
        <v/>
      </c>
      <c r="K545" s="46" t="str">
        <f aca="false">IF(_PENDIENTES!$B$539&lt;&gt;"","POR RECOGER","")</f>
        <v/>
      </c>
      <c r="L545" s="46" t="str">
        <f aca="false">IF(_PENDIENTES!$B$539&lt;&gt;"",_PENDIENTES!$K$539,"")</f>
        <v/>
      </c>
      <c r="M545" s="89" t="str">
        <f aca="false">IF(_PENDIENTES!$B$539&lt;&gt;"",_PENDIENTES!$B$539,"")</f>
        <v/>
      </c>
      <c r="N545" s="109" t="str">
        <f aca="false">IF(_PENDIENTES!$B$539&lt;&gt;"",_PENDIENTES!$L$539,"")</f>
        <v/>
      </c>
      <c r="O545" s="89"/>
      <c r="P545" s="89"/>
      <c r="Q545" s="89"/>
      <c r="R545" s="89"/>
      <c r="S545" s="89"/>
    </row>
    <row r="546" customFormat="false" ht="15.75" hidden="true" customHeight="true" outlineLevel="0" collapsed="false">
      <c r="A546" s="106" t="str">
        <f aca="false">IF(_PENDIENTES!$B$540&lt;&gt;"",539,"")</f>
        <v/>
      </c>
      <c r="B546" s="47" t="str">
        <f aca="false">IF(_PENDIENTES!$B$540&lt;&gt;"",_PENDIENTES!$A$540,"")</f>
        <v/>
      </c>
      <c r="C546" s="107" t="str">
        <f aca="false">IF(_PENDIENTES!$B$540&lt;&gt;"",_PENDIENTES!$C$540,"")</f>
        <v/>
      </c>
      <c r="D546" s="106" t="str">
        <f aca="false">IF(_PENDIENTES!$B$540&lt;&gt;"",_PENDIENTES!$D$540,"")</f>
        <v/>
      </c>
      <c r="E546" s="111" t="str">
        <f aca="false">IF(_PENDIENTES!$B$540&lt;&gt;"",_PENDIENTES!$E$540,"")</f>
        <v/>
      </c>
      <c r="F546" s="106" t="str">
        <f aca="false">IF(_PENDIENTES!$B$540&lt;&gt;"",_PENDIENTES!$F$540,"")</f>
        <v/>
      </c>
      <c r="G546" s="50" t="str">
        <f aca="false">IF(_PENDIENTES!$B$540&lt;&gt;"",_PENDIENTES!$G$540,"")</f>
        <v/>
      </c>
      <c r="H546" s="50" t="str">
        <f aca="false">IF(_PENDIENTES!$B$540&lt;&gt;"",_PENDIENTES!$H$540,"")</f>
        <v/>
      </c>
      <c r="I546" s="107" t="str">
        <f aca="false">IF(_PENDIENTES!$B$540&lt;&gt;"",_PENDIENTES!$I$540,"")</f>
        <v/>
      </c>
      <c r="J546" s="106" t="str">
        <f aca="false">IF(_PENDIENTES!$B$540&lt;&gt;"",_PENDIENTES!$J$540,"")</f>
        <v/>
      </c>
      <c r="K546" s="106" t="str">
        <f aca="false">IF(_PENDIENTES!$B$540&lt;&gt;"","POR RECOGER","")</f>
        <v/>
      </c>
      <c r="L546" s="106" t="str">
        <f aca="false">IF(_PENDIENTES!$B$540&lt;&gt;"",_PENDIENTES!$K$540,"")</f>
        <v/>
      </c>
      <c r="M546" s="89" t="str">
        <f aca="false">IF(_PENDIENTES!$B$540&lt;&gt;"",_PENDIENTES!$B$540,"")</f>
        <v/>
      </c>
      <c r="N546" s="109" t="str">
        <f aca="false">IF(_PENDIENTES!$B$540&lt;&gt;"",_PENDIENTES!$L$540,"")</f>
        <v/>
      </c>
      <c r="O546" s="89"/>
      <c r="P546" s="89"/>
      <c r="Q546" s="89"/>
      <c r="R546" s="89"/>
      <c r="S546" s="89"/>
    </row>
    <row r="547" customFormat="false" ht="15.75" hidden="true" customHeight="true" outlineLevel="0" collapsed="false">
      <c r="A547" s="46" t="str">
        <f aca="false">IF(_PENDIENTES!$B$541&lt;&gt;"",540,"")</f>
        <v/>
      </c>
      <c r="B547" s="41" t="str">
        <f aca="false">IF(_PENDIENTES!$B$541&lt;&gt;"",_PENDIENTES!$A$541,"")</f>
        <v/>
      </c>
      <c r="C547" s="110" t="str">
        <f aca="false">IF(_PENDIENTES!$B$541&lt;&gt;"",_PENDIENTES!$C$541,"")</f>
        <v/>
      </c>
      <c r="D547" s="46" t="str">
        <f aca="false">IF(_PENDIENTES!$B$541&lt;&gt;"",_PENDIENTES!$D$541,"")</f>
        <v/>
      </c>
      <c r="E547" s="112" t="str">
        <f aca="false">IF(_PENDIENTES!$B$541&lt;&gt;"",_PENDIENTES!$E$541,"")</f>
        <v/>
      </c>
      <c r="F547" s="46" t="str">
        <f aca="false">IF(_PENDIENTES!$B$541&lt;&gt;"",_PENDIENTES!$F$541,"")</f>
        <v/>
      </c>
      <c r="G547" s="44" t="str">
        <f aca="false">IF(_PENDIENTES!$B$541&lt;&gt;"",_PENDIENTES!$G$541,"")</f>
        <v/>
      </c>
      <c r="H547" s="44" t="str">
        <f aca="false">IF(_PENDIENTES!$B$541&lt;&gt;"",_PENDIENTES!$H$541,"")</f>
        <v/>
      </c>
      <c r="I547" s="110" t="str">
        <f aca="false">IF(_PENDIENTES!$B$541&lt;&gt;"",_PENDIENTES!$I$541,"")</f>
        <v/>
      </c>
      <c r="J547" s="46" t="str">
        <f aca="false">IF(_PENDIENTES!$B$541&lt;&gt;"",_PENDIENTES!$J$541,"")</f>
        <v/>
      </c>
      <c r="K547" s="46" t="str">
        <f aca="false">IF(_PENDIENTES!$B$541&lt;&gt;"","POR RECOGER","")</f>
        <v/>
      </c>
      <c r="L547" s="46" t="str">
        <f aca="false">IF(_PENDIENTES!$B$541&lt;&gt;"",_PENDIENTES!$K$541,"")</f>
        <v/>
      </c>
      <c r="M547" s="89" t="str">
        <f aca="false">IF(_PENDIENTES!$B$541&lt;&gt;"",_PENDIENTES!$B$541,"")</f>
        <v/>
      </c>
      <c r="N547" s="109" t="str">
        <f aca="false">IF(_PENDIENTES!$B$541&lt;&gt;"",_PENDIENTES!$L$541,"")</f>
        <v/>
      </c>
      <c r="O547" s="89"/>
      <c r="P547" s="89"/>
      <c r="Q547" s="89"/>
      <c r="R547" s="89"/>
      <c r="S547" s="89"/>
    </row>
    <row r="548" customFormat="false" ht="15.75" hidden="true" customHeight="true" outlineLevel="0" collapsed="false">
      <c r="A548" s="106" t="str">
        <f aca="false">IF(_PENDIENTES!$B$542&lt;&gt;"",541,"")</f>
        <v/>
      </c>
      <c r="B548" s="47" t="str">
        <f aca="false">IF(_PENDIENTES!$B$542&lt;&gt;"",_PENDIENTES!$A$542,"")</f>
        <v/>
      </c>
      <c r="C548" s="107" t="str">
        <f aca="false">IF(_PENDIENTES!$B$542&lt;&gt;"",_PENDIENTES!$C$542,"")</f>
        <v/>
      </c>
      <c r="D548" s="106" t="str">
        <f aca="false">IF(_PENDIENTES!$B$542&lt;&gt;"",_PENDIENTES!$D$542,"")</f>
        <v/>
      </c>
      <c r="E548" s="111" t="str">
        <f aca="false">IF(_PENDIENTES!$B$542&lt;&gt;"",_PENDIENTES!$E$542,"")</f>
        <v/>
      </c>
      <c r="F548" s="106" t="str">
        <f aca="false">IF(_PENDIENTES!$B$542&lt;&gt;"",_PENDIENTES!$F$542,"")</f>
        <v/>
      </c>
      <c r="G548" s="50" t="str">
        <f aca="false">IF(_PENDIENTES!$B$542&lt;&gt;"",_PENDIENTES!$G$542,"")</f>
        <v/>
      </c>
      <c r="H548" s="50" t="str">
        <f aca="false">IF(_PENDIENTES!$B$542&lt;&gt;"",_PENDIENTES!$H$542,"")</f>
        <v/>
      </c>
      <c r="I548" s="107" t="str">
        <f aca="false">IF(_PENDIENTES!$B$542&lt;&gt;"",_PENDIENTES!$I$542,"")</f>
        <v/>
      </c>
      <c r="J548" s="106" t="str">
        <f aca="false">IF(_PENDIENTES!$B$542&lt;&gt;"",_PENDIENTES!$J$542,"")</f>
        <v/>
      </c>
      <c r="K548" s="106" t="str">
        <f aca="false">IF(_PENDIENTES!$B$542&lt;&gt;"","POR RECOGER","")</f>
        <v/>
      </c>
      <c r="L548" s="106" t="str">
        <f aca="false">IF(_PENDIENTES!$B$542&lt;&gt;"",_PENDIENTES!$K$542,"")</f>
        <v/>
      </c>
      <c r="M548" s="89" t="str">
        <f aca="false">IF(_PENDIENTES!$B$542&lt;&gt;"",_PENDIENTES!$B$542,"")</f>
        <v/>
      </c>
      <c r="N548" s="109" t="str">
        <f aca="false">IF(_PENDIENTES!$B$542&lt;&gt;"",_PENDIENTES!$L$542,"")</f>
        <v/>
      </c>
      <c r="O548" s="89"/>
      <c r="P548" s="89"/>
      <c r="Q548" s="89"/>
      <c r="R548" s="89"/>
      <c r="S548" s="89"/>
    </row>
    <row r="549" customFormat="false" ht="15.75" hidden="true" customHeight="true" outlineLevel="0" collapsed="false">
      <c r="A549" s="46" t="str">
        <f aca="false">IF(_PENDIENTES!$B$543&lt;&gt;"",542,"")</f>
        <v/>
      </c>
      <c r="B549" s="41" t="str">
        <f aca="false">IF(_PENDIENTES!$B$543&lt;&gt;"",_PENDIENTES!$A$543,"")</f>
        <v/>
      </c>
      <c r="C549" s="110" t="str">
        <f aca="false">IF(_PENDIENTES!$B$543&lt;&gt;"",_PENDIENTES!$C$543,"")</f>
        <v/>
      </c>
      <c r="D549" s="46" t="str">
        <f aca="false">IF(_PENDIENTES!$B$543&lt;&gt;"",_PENDIENTES!$D$543,"")</f>
        <v/>
      </c>
      <c r="E549" s="112" t="str">
        <f aca="false">IF(_PENDIENTES!$B$543&lt;&gt;"",_PENDIENTES!$E$543,"")</f>
        <v/>
      </c>
      <c r="F549" s="46" t="str">
        <f aca="false">IF(_PENDIENTES!$B$543&lt;&gt;"",_PENDIENTES!$F$543,"")</f>
        <v/>
      </c>
      <c r="G549" s="44" t="str">
        <f aca="false">IF(_PENDIENTES!$B$543&lt;&gt;"",_PENDIENTES!$G$543,"")</f>
        <v/>
      </c>
      <c r="H549" s="44" t="str">
        <f aca="false">IF(_PENDIENTES!$B$543&lt;&gt;"",_PENDIENTES!$H$543,"")</f>
        <v/>
      </c>
      <c r="I549" s="110" t="str">
        <f aca="false">IF(_PENDIENTES!$B$543&lt;&gt;"",_PENDIENTES!$I$543,"")</f>
        <v/>
      </c>
      <c r="J549" s="46" t="str">
        <f aca="false">IF(_PENDIENTES!$B$543&lt;&gt;"",_PENDIENTES!$J$543,"")</f>
        <v/>
      </c>
      <c r="K549" s="46" t="str">
        <f aca="false">IF(_PENDIENTES!$B$543&lt;&gt;"","POR RECOGER","")</f>
        <v/>
      </c>
      <c r="L549" s="46" t="str">
        <f aca="false">IF(_PENDIENTES!$B$543&lt;&gt;"",_PENDIENTES!$K$543,"")</f>
        <v/>
      </c>
      <c r="M549" s="89" t="str">
        <f aca="false">IF(_PENDIENTES!$B$543&lt;&gt;"",_PENDIENTES!$B$543,"")</f>
        <v/>
      </c>
      <c r="N549" s="109" t="str">
        <f aca="false">IF(_PENDIENTES!$B$543&lt;&gt;"",_PENDIENTES!$L$543,"")</f>
        <v/>
      </c>
      <c r="O549" s="89"/>
      <c r="P549" s="89"/>
      <c r="Q549" s="89"/>
      <c r="R549" s="89"/>
      <c r="S549" s="89"/>
    </row>
    <row r="550" customFormat="false" ht="15.75" hidden="true" customHeight="true" outlineLevel="0" collapsed="false">
      <c r="A550" s="106" t="str">
        <f aca="false">IF(_PENDIENTES!$B$544&lt;&gt;"",543,"")</f>
        <v/>
      </c>
      <c r="B550" s="47" t="str">
        <f aca="false">IF(_PENDIENTES!$B$544&lt;&gt;"",_PENDIENTES!$A$544,"")</f>
        <v/>
      </c>
      <c r="C550" s="107" t="str">
        <f aca="false">IF(_PENDIENTES!$B$544&lt;&gt;"",_PENDIENTES!$C$544,"")</f>
        <v/>
      </c>
      <c r="D550" s="106" t="str">
        <f aca="false">IF(_PENDIENTES!$B$544&lt;&gt;"",_PENDIENTES!$D$544,"")</f>
        <v/>
      </c>
      <c r="E550" s="111" t="str">
        <f aca="false">IF(_PENDIENTES!$B$544&lt;&gt;"",_PENDIENTES!$E$544,"")</f>
        <v/>
      </c>
      <c r="F550" s="106" t="str">
        <f aca="false">IF(_PENDIENTES!$B$544&lt;&gt;"",_PENDIENTES!$F$544,"")</f>
        <v/>
      </c>
      <c r="G550" s="50" t="str">
        <f aca="false">IF(_PENDIENTES!$B$544&lt;&gt;"",_PENDIENTES!$G$544,"")</f>
        <v/>
      </c>
      <c r="H550" s="50" t="str">
        <f aca="false">IF(_PENDIENTES!$B$544&lt;&gt;"",_PENDIENTES!$H$544,"")</f>
        <v/>
      </c>
      <c r="I550" s="107" t="str">
        <f aca="false">IF(_PENDIENTES!$B$544&lt;&gt;"",_PENDIENTES!$I$544,"")</f>
        <v/>
      </c>
      <c r="J550" s="106" t="str">
        <f aca="false">IF(_PENDIENTES!$B$544&lt;&gt;"",_PENDIENTES!$J$544,"")</f>
        <v/>
      </c>
      <c r="K550" s="106" t="str">
        <f aca="false">IF(_PENDIENTES!$B$544&lt;&gt;"","POR RECOGER","")</f>
        <v/>
      </c>
      <c r="L550" s="106" t="str">
        <f aca="false">IF(_PENDIENTES!$B$544&lt;&gt;"",_PENDIENTES!$K$544,"")</f>
        <v/>
      </c>
      <c r="M550" s="89" t="str">
        <f aca="false">IF(_PENDIENTES!$B$544&lt;&gt;"",_PENDIENTES!$B$544,"")</f>
        <v/>
      </c>
      <c r="N550" s="109" t="str">
        <f aca="false">IF(_PENDIENTES!$B$544&lt;&gt;"",_PENDIENTES!$L$544,"")</f>
        <v/>
      </c>
      <c r="O550" s="89"/>
      <c r="P550" s="89"/>
      <c r="Q550" s="89"/>
      <c r="R550" s="89"/>
      <c r="S550" s="89"/>
    </row>
    <row r="551" customFormat="false" ht="15.75" hidden="true" customHeight="true" outlineLevel="0" collapsed="false">
      <c r="A551" s="46" t="str">
        <f aca="false">IF(_PENDIENTES!$B$545&lt;&gt;"",544,"")</f>
        <v/>
      </c>
      <c r="B551" s="41" t="str">
        <f aca="false">IF(_PENDIENTES!$B$545&lt;&gt;"",_PENDIENTES!$A$545,"")</f>
        <v/>
      </c>
      <c r="C551" s="110" t="str">
        <f aca="false">IF(_PENDIENTES!$B$545&lt;&gt;"",_PENDIENTES!$C$545,"")</f>
        <v/>
      </c>
      <c r="D551" s="46" t="str">
        <f aca="false">IF(_PENDIENTES!$B$545&lt;&gt;"",_PENDIENTES!$D$545,"")</f>
        <v/>
      </c>
      <c r="E551" s="112" t="str">
        <f aca="false">IF(_PENDIENTES!$B$545&lt;&gt;"",_PENDIENTES!$E$545,"")</f>
        <v/>
      </c>
      <c r="F551" s="46" t="str">
        <f aca="false">IF(_PENDIENTES!$B$545&lt;&gt;"",_PENDIENTES!$F$545,"")</f>
        <v/>
      </c>
      <c r="G551" s="44" t="str">
        <f aca="false">IF(_PENDIENTES!$B$545&lt;&gt;"",_PENDIENTES!$G$545,"")</f>
        <v/>
      </c>
      <c r="H551" s="44" t="str">
        <f aca="false">IF(_PENDIENTES!$B$545&lt;&gt;"",_PENDIENTES!$H$545,"")</f>
        <v/>
      </c>
      <c r="I551" s="110" t="str">
        <f aca="false">IF(_PENDIENTES!$B$545&lt;&gt;"",_PENDIENTES!$I$545,"")</f>
        <v/>
      </c>
      <c r="J551" s="46" t="str">
        <f aca="false">IF(_PENDIENTES!$B$545&lt;&gt;"",_PENDIENTES!$J$545,"")</f>
        <v/>
      </c>
      <c r="K551" s="46" t="str">
        <f aca="false">IF(_PENDIENTES!$B$545&lt;&gt;"","POR RECOGER","")</f>
        <v/>
      </c>
      <c r="L551" s="46" t="str">
        <f aca="false">IF(_PENDIENTES!$B$545&lt;&gt;"",_PENDIENTES!$K$545,"")</f>
        <v/>
      </c>
      <c r="M551" s="89" t="str">
        <f aca="false">IF(_PENDIENTES!$B$545&lt;&gt;"",_PENDIENTES!$B$545,"")</f>
        <v/>
      </c>
      <c r="N551" s="109" t="str">
        <f aca="false">IF(_PENDIENTES!$B$545&lt;&gt;"",_PENDIENTES!$L$545,"")</f>
        <v/>
      </c>
      <c r="O551" s="89"/>
      <c r="P551" s="89"/>
      <c r="Q551" s="89"/>
      <c r="R551" s="89"/>
      <c r="S551" s="89"/>
    </row>
    <row r="552" customFormat="false" ht="15.75" hidden="true" customHeight="true" outlineLevel="0" collapsed="false">
      <c r="A552" s="106" t="str">
        <f aca="false">IF(_PENDIENTES!$B$546&lt;&gt;"",545,"")</f>
        <v/>
      </c>
      <c r="B552" s="47" t="str">
        <f aca="false">IF(_PENDIENTES!$B$546&lt;&gt;"",_PENDIENTES!$A$546,"")</f>
        <v/>
      </c>
      <c r="C552" s="107" t="str">
        <f aca="false">IF(_PENDIENTES!$B$546&lt;&gt;"",_PENDIENTES!$C$546,"")</f>
        <v/>
      </c>
      <c r="D552" s="106" t="str">
        <f aca="false">IF(_PENDIENTES!$B$546&lt;&gt;"",_PENDIENTES!$D$546,"")</f>
        <v/>
      </c>
      <c r="E552" s="111" t="str">
        <f aca="false">IF(_PENDIENTES!$B$546&lt;&gt;"",_PENDIENTES!$E$546,"")</f>
        <v/>
      </c>
      <c r="F552" s="106" t="str">
        <f aca="false">IF(_PENDIENTES!$B$546&lt;&gt;"",_PENDIENTES!$F$546,"")</f>
        <v/>
      </c>
      <c r="G552" s="50" t="str">
        <f aca="false">IF(_PENDIENTES!$B$546&lt;&gt;"",_PENDIENTES!$G$546,"")</f>
        <v/>
      </c>
      <c r="H552" s="50" t="str">
        <f aca="false">IF(_PENDIENTES!$B$546&lt;&gt;"",_PENDIENTES!$H$546,"")</f>
        <v/>
      </c>
      <c r="I552" s="107" t="str">
        <f aca="false">IF(_PENDIENTES!$B$546&lt;&gt;"",_PENDIENTES!$I$546,"")</f>
        <v/>
      </c>
      <c r="J552" s="106" t="str">
        <f aca="false">IF(_PENDIENTES!$B$546&lt;&gt;"",_PENDIENTES!$J$546,"")</f>
        <v/>
      </c>
      <c r="K552" s="106" t="str">
        <f aca="false">IF(_PENDIENTES!$B$546&lt;&gt;"","POR RECOGER","")</f>
        <v/>
      </c>
      <c r="L552" s="106" t="str">
        <f aca="false">IF(_PENDIENTES!$B$546&lt;&gt;"",_PENDIENTES!$K$546,"")</f>
        <v/>
      </c>
      <c r="M552" s="89" t="str">
        <f aca="false">IF(_PENDIENTES!$B$546&lt;&gt;"",_PENDIENTES!$B$546,"")</f>
        <v/>
      </c>
      <c r="N552" s="109" t="str">
        <f aca="false">IF(_PENDIENTES!$B$546&lt;&gt;"",_PENDIENTES!$L$546,"")</f>
        <v/>
      </c>
      <c r="O552" s="89"/>
      <c r="P552" s="89"/>
      <c r="Q552" s="89"/>
      <c r="R552" s="89"/>
      <c r="S552" s="89"/>
    </row>
    <row r="553" customFormat="false" ht="15.75" hidden="true" customHeight="true" outlineLevel="0" collapsed="false">
      <c r="A553" s="46" t="str">
        <f aca="false">IF(_PENDIENTES!$B$547&lt;&gt;"",546,"")</f>
        <v/>
      </c>
      <c r="B553" s="41" t="str">
        <f aca="false">IF(_PENDIENTES!$B$547&lt;&gt;"",_PENDIENTES!$A$547,"")</f>
        <v/>
      </c>
      <c r="C553" s="110" t="str">
        <f aca="false">IF(_PENDIENTES!$B$547&lt;&gt;"",_PENDIENTES!$C$547,"")</f>
        <v/>
      </c>
      <c r="D553" s="46" t="str">
        <f aca="false">IF(_PENDIENTES!$B$547&lt;&gt;"",_PENDIENTES!$D$547,"")</f>
        <v/>
      </c>
      <c r="E553" s="112" t="str">
        <f aca="false">IF(_PENDIENTES!$B$547&lt;&gt;"",_PENDIENTES!$E$547,"")</f>
        <v/>
      </c>
      <c r="F553" s="46" t="str">
        <f aca="false">IF(_PENDIENTES!$B$547&lt;&gt;"",_PENDIENTES!$F$547,"")</f>
        <v/>
      </c>
      <c r="G553" s="44" t="str">
        <f aca="false">IF(_PENDIENTES!$B$547&lt;&gt;"",_PENDIENTES!$G$547,"")</f>
        <v/>
      </c>
      <c r="H553" s="44" t="str">
        <f aca="false">IF(_PENDIENTES!$B$547&lt;&gt;"",_PENDIENTES!$H$547,"")</f>
        <v/>
      </c>
      <c r="I553" s="110" t="str">
        <f aca="false">IF(_PENDIENTES!$B$547&lt;&gt;"",_PENDIENTES!$I$547,"")</f>
        <v/>
      </c>
      <c r="J553" s="46" t="str">
        <f aca="false">IF(_PENDIENTES!$B$547&lt;&gt;"",_PENDIENTES!$J$547,"")</f>
        <v/>
      </c>
      <c r="K553" s="46" t="str">
        <f aca="false">IF(_PENDIENTES!$B$547&lt;&gt;"","POR RECOGER","")</f>
        <v/>
      </c>
      <c r="L553" s="46" t="str">
        <f aca="false">IF(_PENDIENTES!$B$547&lt;&gt;"",_PENDIENTES!$K$547,"")</f>
        <v/>
      </c>
      <c r="M553" s="89" t="str">
        <f aca="false">IF(_PENDIENTES!$B$547&lt;&gt;"",_PENDIENTES!$B$547,"")</f>
        <v/>
      </c>
      <c r="N553" s="109" t="str">
        <f aca="false">IF(_PENDIENTES!$B$547&lt;&gt;"",_PENDIENTES!$L$547,"")</f>
        <v/>
      </c>
      <c r="O553" s="89"/>
      <c r="P553" s="89"/>
      <c r="Q553" s="89"/>
      <c r="R553" s="89"/>
      <c r="S553" s="89"/>
    </row>
    <row r="554" customFormat="false" ht="15.75" hidden="true" customHeight="true" outlineLevel="0" collapsed="false">
      <c r="A554" s="106" t="str">
        <f aca="false">IF(_PENDIENTES!$B$548&lt;&gt;"",547,"")</f>
        <v/>
      </c>
      <c r="B554" s="47" t="str">
        <f aca="false">IF(_PENDIENTES!$B$548&lt;&gt;"",_PENDIENTES!$A$548,"")</f>
        <v/>
      </c>
      <c r="C554" s="107" t="str">
        <f aca="false">IF(_PENDIENTES!$B$548&lt;&gt;"",_PENDIENTES!$C$548,"")</f>
        <v/>
      </c>
      <c r="D554" s="106" t="str">
        <f aca="false">IF(_PENDIENTES!$B$548&lt;&gt;"",_PENDIENTES!$D$548,"")</f>
        <v/>
      </c>
      <c r="E554" s="111" t="str">
        <f aca="false">IF(_PENDIENTES!$B$548&lt;&gt;"",_PENDIENTES!$E$548,"")</f>
        <v/>
      </c>
      <c r="F554" s="106" t="str">
        <f aca="false">IF(_PENDIENTES!$B$548&lt;&gt;"",_PENDIENTES!$F$548,"")</f>
        <v/>
      </c>
      <c r="G554" s="50" t="str">
        <f aca="false">IF(_PENDIENTES!$B$548&lt;&gt;"",_PENDIENTES!$G$548,"")</f>
        <v/>
      </c>
      <c r="H554" s="50" t="str">
        <f aca="false">IF(_PENDIENTES!$B$548&lt;&gt;"",_PENDIENTES!$H$548,"")</f>
        <v/>
      </c>
      <c r="I554" s="107" t="str">
        <f aca="false">IF(_PENDIENTES!$B$548&lt;&gt;"",_PENDIENTES!$I$548,"")</f>
        <v/>
      </c>
      <c r="J554" s="106" t="str">
        <f aca="false">IF(_PENDIENTES!$B$548&lt;&gt;"",_PENDIENTES!$J$548,"")</f>
        <v/>
      </c>
      <c r="K554" s="106" t="str">
        <f aca="false">IF(_PENDIENTES!$B$548&lt;&gt;"","POR RECOGER","")</f>
        <v/>
      </c>
      <c r="L554" s="106" t="str">
        <f aca="false">IF(_PENDIENTES!$B$548&lt;&gt;"",_PENDIENTES!$K$548,"")</f>
        <v/>
      </c>
      <c r="M554" s="89" t="str">
        <f aca="false">IF(_PENDIENTES!$B$548&lt;&gt;"",_PENDIENTES!$B$548,"")</f>
        <v/>
      </c>
      <c r="N554" s="109" t="str">
        <f aca="false">IF(_PENDIENTES!$B$548&lt;&gt;"",_PENDIENTES!$L$548,"")</f>
        <v/>
      </c>
      <c r="O554" s="89"/>
      <c r="P554" s="89"/>
      <c r="Q554" s="89"/>
      <c r="R554" s="89"/>
      <c r="S554" s="89"/>
    </row>
    <row r="555" customFormat="false" ht="15.75" hidden="true" customHeight="true" outlineLevel="0" collapsed="false">
      <c r="A555" s="46" t="str">
        <f aca="false">IF(_PENDIENTES!$B$549&lt;&gt;"",548,"")</f>
        <v/>
      </c>
      <c r="B555" s="41" t="str">
        <f aca="false">IF(_PENDIENTES!$B$549&lt;&gt;"",_PENDIENTES!$A$549,"")</f>
        <v/>
      </c>
      <c r="C555" s="110" t="str">
        <f aca="false">IF(_PENDIENTES!$B$549&lt;&gt;"",_PENDIENTES!$C$549,"")</f>
        <v/>
      </c>
      <c r="D555" s="46" t="str">
        <f aca="false">IF(_PENDIENTES!$B$549&lt;&gt;"",_PENDIENTES!$D$549,"")</f>
        <v/>
      </c>
      <c r="E555" s="112" t="str">
        <f aca="false">IF(_PENDIENTES!$B$549&lt;&gt;"",_PENDIENTES!$E$549,"")</f>
        <v/>
      </c>
      <c r="F555" s="46" t="str">
        <f aca="false">IF(_PENDIENTES!$B$549&lt;&gt;"",_PENDIENTES!$F$549,"")</f>
        <v/>
      </c>
      <c r="G555" s="44" t="str">
        <f aca="false">IF(_PENDIENTES!$B$549&lt;&gt;"",_PENDIENTES!$G$549,"")</f>
        <v/>
      </c>
      <c r="H555" s="44" t="str">
        <f aca="false">IF(_PENDIENTES!$B$549&lt;&gt;"",_PENDIENTES!$H$549,"")</f>
        <v/>
      </c>
      <c r="I555" s="110" t="str">
        <f aca="false">IF(_PENDIENTES!$B$549&lt;&gt;"",_PENDIENTES!$I$549,"")</f>
        <v/>
      </c>
      <c r="J555" s="46" t="str">
        <f aca="false">IF(_PENDIENTES!$B$549&lt;&gt;"",_PENDIENTES!$J$549,"")</f>
        <v/>
      </c>
      <c r="K555" s="46" t="str">
        <f aca="false">IF(_PENDIENTES!$B$549&lt;&gt;"","POR RECOGER","")</f>
        <v/>
      </c>
      <c r="L555" s="46" t="str">
        <f aca="false">IF(_PENDIENTES!$B$549&lt;&gt;"",_PENDIENTES!$K$549,"")</f>
        <v/>
      </c>
      <c r="M555" s="89" t="str">
        <f aca="false">IF(_PENDIENTES!$B$549&lt;&gt;"",_PENDIENTES!$B$549,"")</f>
        <v/>
      </c>
      <c r="N555" s="109" t="str">
        <f aca="false">IF(_PENDIENTES!$B$549&lt;&gt;"",_PENDIENTES!$L$549,"")</f>
        <v/>
      </c>
      <c r="O555" s="89"/>
      <c r="P555" s="89"/>
      <c r="Q555" s="89"/>
      <c r="R555" s="89"/>
      <c r="S555" s="89"/>
    </row>
    <row r="556" customFormat="false" ht="15.75" hidden="true" customHeight="true" outlineLevel="0" collapsed="false">
      <c r="A556" s="106" t="str">
        <f aca="false">IF(_PENDIENTES!$B$550&lt;&gt;"",549,"")</f>
        <v/>
      </c>
      <c r="B556" s="47" t="str">
        <f aca="false">IF(_PENDIENTES!$B$550&lt;&gt;"",_PENDIENTES!$A$550,"")</f>
        <v/>
      </c>
      <c r="C556" s="107" t="str">
        <f aca="false">IF(_PENDIENTES!$B$550&lt;&gt;"",_PENDIENTES!$C$550,"")</f>
        <v/>
      </c>
      <c r="D556" s="106" t="str">
        <f aca="false">IF(_PENDIENTES!$B$550&lt;&gt;"",_PENDIENTES!$D$550,"")</f>
        <v/>
      </c>
      <c r="E556" s="111" t="str">
        <f aca="false">IF(_PENDIENTES!$B$550&lt;&gt;"",_PENDIENTES!$E$550,"")</f>
        <v/>
      </c>
      <c r="F556" s="106" t="str">
        <f aca="false">IF(_PENDIENTES!$B$550&lt;&gt;"",_PENDIENTES!$F$550,"")</f>
        <v/>
      </c>
      <c r="G556" s="50" t="str">
        <f aca="false">IF(_PENDIENTES!$B$550&lt;&gt;"",_PENDIENTES!$G$550,"")</f>
        <v/>
      </c>
      <c r="H556" s="50" t="str">
        <f aca="false">IF(_PENDIENTES!$B$550&lt;&gt;"",_PENDIENTES!$H$550,"")</f>
        <v/>
      </c>
      <c r="I556" s="107" t="str">
        <f aca="false">IF(_PENDIENTES!$B$550&lt;&gt;"",_PENDIENTES!$I$550,"")</f>
        <v/>
      </c>
      <c r="J556" s="106" t="str">
        <f aca="false">IF(_PENDIENTES!$B$550&lt;&gt;"",_PENDIENTES!$J$550,"")</f>
        <v/>
      </c>
      <c r="K556" s="106" t="str">
        <f aca="false">IF(_PENDIENTES!$B$550&lt;&gt;"","POR RECOGER","")</f>
        <v/>
      </c>
      <c r="L556" s="106" t="str">
        <f aca="false">IF(_PENDIENTES!$B$550&lt;&gt;"",_PENDIENTES!$K$550,"")</f>
        <v/>
      </c>
      <c r="M556" s="89" t="str">
        <f aca="false">IF(_PENDIENTES!$B$550&lt;&gt;"",_PENDIENTES!$B$550,"")</f>
        <v/>
      </c>
      <c r="N556" s="109" t="str">
        <f aca="false">IF(_PENDIENTES!$B$550&lt;&gt;"",_PENDIENTES!$L$550,"")</f>
        <v/>
      </c>
      <c r="O556" s="89"/>
      <c r="P556" s="89"/>
      <c r="Q556" s="89"/>
      <c r="R556" s="89"/>
      <c r="S556" s="89"/>
    </row>
    <row r="557" customFormat="false" ht="15.75" hidden="true" customHeight="true" outlineLevel="0" collapsed="false">
      <c r="A557" s="46" t="str">
        <f aca="false">IF(_PENDIENTES!$B$551&lt;&gt;"",550,"")</f>
        <v/>
      </c>
      <c r="B557" s="41" t="str">
        <f aca="false">IF(_PENDIENTES!$B$551&lt;&gt;"",_PENDIENTES!$A$551,"")</f>
        <v/>
      </c>
      <c r="C557" s="110" t="str">
        <f aca="false">IF(_PENDIENTES!$B$551&lt;&gt;"",_PENDIENTES!$C$551,"")</f>
        <v/>
      </c>
      <c r="D557" s="46" t="str">
        <f aca="false">IF(_PENDIENTES!$B$551&lt;&gt;"",_PENDIENTES!$D$551,"")</f>
        <v/>
      </c>
      <c r="E557" s="112" t="str">
        <f aca="false">IF(_PENDIENTES!$B$551&lt;&gt;"",_PENDIENTES!$E$551,"")</f>
        <v/>
      </c>
      <c r="F557" s="46" t="str">
        <f aca="false">IF(_PENDIENTES!$B$551&lt;&gt;"",_PENDIENTES!$F$551,"")</f>
        <v/>
      </c>
      <c r="G557" s="44" t="str">
        <f aca="false">IF(_PENDIENTES!$B$551&lt;&gt;"",_PENDIENTES!$G$551,"")</f>
        <v/>
      </c>
      <c r="H557" s="44" t="str">
        <f aca="false">IF(_PENDIENTES!$B$551&lt;&gt;"",_PENDIENTES!$H$551,"")</f>
        <v/>
      </c>
      <c r="I557" s="110" t="str">
        <f aca="false">IF(_PENDIENTES!$B$551&lt;&gt;"",_PENDIENTES!$I$551,"")</f>
        <v/>
      </c>
      <c r="J557" s="46" t="str">
        <f aca="false">IF(_PENDIENTES!$B$551&lt;&gt;"",_PENDIENTES!$J$551,"")</f>
        <v/>
      </c>
      <c r="K557" s="46" t="str">
        <f aca="false">IF(_PENDIENTES!$B$551&lt;&gt;"","POR RECOGER","")</f>
        <v/>
      </c>
      <c r="L557" s="46" t="str">
        <f aca="false">IF(_PENDIENTES!$B$551&lt;&gt;"",_PENDIENTES!$K$551,"")</f>
        <v/>
      </c>
      <c r="M557" s="89" t="str">
        <f aca="false">IF(_PENDIENTES!$B$551&lt;&gt;"",_PENDIENTES!$B$551,"")</f>
        <v/>
      </c>
      <c r="N557" s="109" t="str">
        <f aca="false">IF(_PENDIENTES!$B$551&lt;&gt;"",_PENDIENTES!$L$551,"")</f>
        <v/>
      </c>
      <c r="O557" s="89"/>
      <c r="P557" s="89"/>
      <c r="Q557" s="89"/>
      <c r="R557" s="89"/>
      <c r="S557" s="89"/>
    </row>
    <row r="558" customFormat="false" ht="15.75" hidden="true" customHeight="true" outlineLevel="0" collapsed="false">
      <c r="A558" s="106" t="str">
        <f aca="false">IF(_PENDIENTES!$B$552&lt;&gt;"",551,"")</f>
        <v/>
      </c>
      <c r="B558" s="47" t="str">
        <f aca="false">IF(_PENDIENTES!$B$552&lt;&gt;"",_PENDIENTES!$A$552,"")</f>
        <v/>
      </c>
      <c r="C558" s="107" t="str">
        <f aca="false">IF(_PENDIENTES!$B$552&lt;&gt;"",_PENDIENTES!$C$552,"")</f>
        <v/>
      </c>
      <c r="D558" s="106" t="str">
        <f aca="false">IF(_PENDIENTES!$B$552&lt;&gt;"",_PENDIENTES!$D$552,"")</f>
        <v/>
      </c>
      <c r="E558" s="111" t="str">
        <f aca="false">IF(_PENDIENTES!$B$552&lt;&gt;"",_PENDIENTES!$E$552,"")</f>
        <v/>
      </c>
      <c r="F558" s="106" t="str">
        <f aca="false">IF(_PENDIENTES!$B$552&lt;&gt;"",_PENDIENTES!$F$552,"")</f>
        <v/>
      </c>
      <c r="G558" s="50" t="str">
        <f aca="false">IF(_PENDIENTES!$B$552&lt;&gt;"",_PENDIENTES!$G$552,"")</f>
        <v/>
      </c>
      <c r="H558" s="50" t="str">
        <f aca="false">IF(_PENDIENTES!$B$552&lt;&gt;"",_PENDIENTES!$H$552,"")</f>
        <v/>
      </c>
      <c r="I558" s="107" t="str">
        <f aca="false">IF(_PENDIENTES!$B$552&lt;&gt;"",_PENDIENTES!$I$552,"")</f>
        <v/>
      </c>
      <c r="J558" s="106" t="str">
        <f aca="false">IF(_PENDIENTES!$B$552&lt;&gt;"",_PENDIENTES!$J$552,"")</f>
        <v/>
      </c>
      <c r="K558" s="106" t="str">
        <f aca="false">IF(_PENDIENTES!$B$552&lt;&gt;"","POR RECOGER","")</f>
        <v/>
      </c>
      <c r="L558" s="106" t="str">
        <f aca="false">IF(_PENDIENTES!$B$552&lt;&gt;"",_PENDIENTES!$K$552,"")</f>
        <v/>
      </c>
      <c r="M558" s="89" t="str">
        <f aca="false">IF(_PENDIENTES!$B$552&lt;&gt;"",_PENDIENTES!$B$552,"")</f>
        <v/>
      </c>
      <c r="N558" s="109" t="str">
        <f aca="false">IF(_PENDIENTES!$B$552&lt;&gt;"",_PENDIENTES!$L$552,"")</f>
        <v/>
      </c>
      <c r="O558" s="89"/>
      <c r="P558" s="89"/>
      <c r="Q558" s="89"/>
      <c r="R558" s="89"/>
      <c r="S558" s="89"/>
    </row>
    <row r="559" customFormat="false" ht="15.75" hidden="true" customHeight="true" outlineLevel="0" collapsed="false">
      <c r="A559" s="46" t="str">
        <f aca="false">IF(_PENDIENTES!$B$553&lt;&gt;"",552,"")</f>
        <v/>
      </c>
      <c r="B559" s="41" t="str">
        <f aca="false">IF(_PENDIENTES!$B$553&lt;&gt;"",_PENDIENTES!$A$553,"")</f>
        <v/>
      </c>
      <c r="C559" s="110" t="str">
        <f aca="false">IF(_PENDIENTES!$B$553&lt;&gt;"",_PENDIENTES!$C$553,"")</f>
        <v/>
      </c>
      <c r="D559" s="46" t="str">
        <f aca="false">IF(_PENDIENTES!$B$553&lt;&gt;"",_PENDIENTES!$D$553,"")</f>
        <v/>
      </c>
      <c r="E559" s="112" t="str">
        <f aca="false">IF(_PENDIENTES!$B$553&lt;&gt;"",_PENDIENTES!$E$553,"")</f>
        <v/>
      </c>
      <c r="F559" s="46" t="str">
        <f aca="false">IF(_PENDIENTES!$B$553&lt;&gt;"",_PENDIENTES!$F$553,"")</f>
        <v/>
      </c>
      <c r="G559" s="44" t="str">
        <f aca="false">IF(_PENDIENTES!$B$553&lt;&gt;"",_PENDIENTES!$G$553,"")</f>
        <v/>
      </c>
      <c r="H559" s="44" t="str">
        <f aca="false">IF(_PENDIENTES!$B$553&lt;&gt;"",_PENDIENTES!$H$553,"")</f>
        <v/>
      </c>
      <c r="I559" s="110" t="str">
        <f aca="false">IF(_PENDIENTES!$B$553&lt;&gt;"",_PENDIENTES!$I$553,"")</f>
        <v/>
      </c>
      <c r="J559" s="46" t="str">
        <f aca="false">IF(_PENDIENTES!$B$553&lt;&gt;"",_PENDIENTES!$J$553,"")</f>
        <v/>
      </c>
      <c r="K559" s="46" t="str">
        <f aca="false">IF(_PENDIENTES!$B$553&lt;&gt;"","POR RECOGER","")</f>
        <v/>
      </c>
      <c r="L559" s="46" t="str">
        <f aca="false">IF(_PENDIENTES!$B$553&lt;&gt;"",_PENDIENTES!$K$553,"")</f>
        <v/>
      </c>
      <c r="M559" s="89" t="str">
        <f aca="false">IF(_PENDIENTES!$B$553&lt;&gt;"",_PENDIENTES!$B$553,"")</f>
        <v/>
      </c>
      <c r="N559" s="109" t="str">
        <f aca="false">IF(_PENDIENTES!$B$553&lt;&gt;"",_PENDIENTES!$L$553,"")</f>
        <v/>
      </c>
      <c r="O559" s="89"/>
      <c r="P559" s="89"/>
      <c r="Q559" s="89"/>
      <c r="R559" s="89"/>
      <c r="S559" s="89"/>
    </row>
    <row r="560" customFormat="false" ht="15.75" hidden="true" customHeight="true" outlineLevel="0" collapsed="false">
      <c r="A560" s="106" t="str">
        <f aca="false">IF(_PENDIENTES!$B$554&lt;&gt;"",553,"")</f>
        <v/>
      </c>
      <c r="B560" s="47" t="str">
        <f aca="false">IF(_PENDIENTES!$B$554&lt;&gt;"",_PENDIENTES!$A$554,"")</f>
        <v/>
      </c>
      <c r="C560" s="107" t="str">
        <f aca="false">IF(_PENDIENTES!$B$554&lt;&gt;"",_PENDIENTES!$C$554,"")</f>
        <v/>
      </c>
      <c r="D560" s="106" t="str">
        <f aca="false">IF(_PENDIENTES!$B$554&lt;&gt;"",_PENDIENTES!$D$554,"")</f>
        <v/>
      </c>
      <c r="E560" s="111" t="str">
        <f aca="false">IF(_PENDIENTES!$B$554&lt;&gt;"",_PENDIENTES!$E$554,"")</f>
        <v/>
      </c>
      <c r="F560" s="106" t="str">
        <f aca="false">IF(_PENDIENTES!$B$554&lt;&gt;"",_PENDIENTES!$F$554,"")</f>
        <v/>
      </c>
      <c r="G560" s="50" t="str">
        <f aca="false">IF(_PENDIENTES!$B$554&lt;&gt;"",_PENDIENTES!$G$554,"")</f>
        <v/>
      </c>
      <c r="H560" s="50" t="str">
        <f aca="false">IF(_PENDIENTES!$B$554&lt;&gt;"",_PENDIENTES!$H$554,"")</f>
        <v/>
      </c>
      <c r="I560" s="107" t="str">
        <f aca="false">IF(_PENDIENTES!$B$554&lt;&gt;"",_PENDIENTES!$I$554,"")</f>
        <v/>
      </c>
      <c r="J560" s="106" t="str">
        <f aca="false">IF(_PENDIENTES!$B$554&lt;&gt;"",_PENDIENTES!$J$554,"")</f>
        <v/>
      </c>
      <c r="K560" s="106" t="str">
        <f aca="false">IF(_PENDIENTES!$B$554&lt;&gt;"","POR RECOGER","")</f>
        <v/>
      </c>
      <c r="L560" s="106" t="str">
        <f aca="false">IF(_PENDIENTES!$B$554&lt;&gt;"",_PENDIENTES!$K$554,"")</f>
        <v/>
      </c>
      <c r="M560" s="89" t="str">
        <f aca="false">IF(_PENDIENTES!$B$554&lt;&gt;"",_PENDIENTES!$B$554,"")</f>
        <v/>
      </c>
      <c r="N560" s="109" t="str">
        <f aca="false">IF(_PENDIENTES!$B$554&lt;&gt;"",_PENDIENTES!$L$554,"")</f>
        <v/>
      </c>
      <c r="O560" s="89"/>
      <c r="P560" s="89"/>
      <c r="Q560" s="89"/>
      <c r="R560" s="89"/>
      <c r="S560" s="89"/>
    </row>
    <row r="561" customFormat="false" ht="15.75" hidden="true" customHeight="true" outlineLevel="0" collapsed="false">
      <c r="A561" s="46" t="str">
        <f aca="false">IF(_PENDIENTES!$B$555&lt;&gt;"",554,"")</f>
        <v/>
      </c>
      <c r="B561" s="41" t="str">
        <f aca="false">IF(_PENDIENTES!$B$555&lt;&gt;"",_PENDIENTES!$A$555,"")</f>
        <v/>
      </c>
      <c r="C561" s="110" t="str">
        <f aca="false">IF(_PENDIENTES!$B$555&lt;&gt;"",_PENDIENTES!$C$555,"")</f>
        <v/>
      </c>
      <c r="D561" s="46" t="str">
        <f aca="false">IF(_PENDIENTES!$B$555&lt;&gt;"",_PENDIENTES!$D$555,"")</f>
        <v/>
      </c>
      <c r="E561" s="112" t="str">
        <f aca="false">IF(_PENDIENTES!$B$555&lt;&gt;"",_PENDIENTES!$E$555,"")</f>
        <v/>
      </c>
      <c r="F561" s="46" t="str">
        <f aca="false">IF(_PENDIENTES!$B$555&lt;&gt;"",_PENDIENTES!$F$555,"")</f>
        <v/>
      </c>
      <c r="G561" s="44" t="str">
        <f aca="false">IF(_PENDIENTES!$B$555&lt;&gt;"",_PENDIENTES!$G$555,"")</f>
        <v/>
      </c>
      <c r="H561" s="44" t="str">
        <f aca="false">IF(_PENDIENTES!$B$555&lt;&gt;"",_PENDIENTES!$H$555,"")</f>
        <v/>
      </c>
      <c r="I561" s="110" t="str">
        <f aca="false">IF(_PENDIENTES!$B$555&lt;&gt;"",_PENDIENTES!$I$555,"")</f>
        <v/>
      </c>
      <c r="J561" s="46" t="str">
        <f aca="false">IF(_PENDIENTES!$B$555&lt;&gt;"",_PENDIENTES!$J$555,"")</f>
        <v/>
      </c>
      <c r="K561" s="46" t="str">
        <f aca="false">IF(_PENDIENTES!$B$555&lt;&gt;"","POR RECOGER","")</f>
        <v/>
      </c>
      <c r="L561" s="46" t="str">
        <f aca="false">IF(_PENDIENTES!$B$555&lt;&gt;"",_PENDIENTES!$K$555,"")</f>
        <v/>
      </c>
      <c r="M561" s="89" t="str">
        <f aca="false">IF(_PENDIENTES!$B$555&lt;&gt;"",_PENDIENTES!$B$555,"")</f>
        <v/>
      </c>
      <c r="N561" s="109" t="str">
        <f aca="false">IF(_PENDIENTES!$B$555&lt;&gt;"",_PENDIENTES!$L$555,"")</f>
        <v/>
      </c>
      <c r="O561" s="89"/>
      <c r="P561" s="89"/>
      <c r="Q561" s="89"/>
      <c r="R561" s="89"/>
      <c r="S561" s="89"/>
    </row>
    <row r="562" customFormat="false" ht="15.75" hidden="true" customHeight="true" outlineLevel="0" collapsed="false">
      <c r="A562" s="106" t="str">
        <f aca="false">IF(_PENDIENTES!$B$556&lt;&gt;"",555,"")</f>
        <v/>
      </c>
      <c r="B562" s="47" t="str">
        <f aca="false">IF(_PENDIENTES!$B$556&lt;&gt;"",_PENDIENTES!$A$556,"")</f>
        <v/>
      </c>
      <c r="C562" s="107" t="str">
        <f aca="false">IF(_PENDIENTES!$B$556&lt;&gt;"",_PENDIENTES!$C$556,"")</f>
        <v/>
      </c>
      <c r="D562" s="106" t="str">
        <f aca="false">IF(_PENDIENTES!$B$556&lt;&gt;"",_PENDIENTES!$D$556,"")</f>
        <v/>
      </c>
      <c r="E562" s="111" t="str">
        <f aca="false">IF(_PENDIENTES!$B$556&lt;&gt;"",_PENDIENTES!$E$556,"")</f>
        <v/>
      </c>
      <c r="F562" s="106" t="str">
        <f aca="false">IF(_PENDIENTES!$B$556&lt;&gt;"",_PENDIENTES!$F$556,"")</f>
        <v/>
      </c>
      <c r="G562" s="50" t="str">
        <f aca="false">IF(_PENDIENTES!$B$556&lt;&gt;"",_PENDIENTES!$G$556,"")</f>
        <v/>
      </c>
      <c r="H562" s="50" t="str">
        <f aca="false">IF(_PENDIENTES!$B$556&lt;&gt;"",_PENDIENTES!$H$556,"")</f>
        <v/>
      </c>
      <c r="I562" s="107" t="str">
        <f aca="false">IF(_PENDIENTES!$B$556&lt;&gt;"",_PENDIENTES!$I$556,"")</f>
        <v/>
      </c>
      <c r="J562" s="106" t="str">
        <f aca="false">IF(_PENDIENTES!$B$556&lt;&gt;"",_PENDIENTES!$J$556,"")</f>
        <v/>
      </c>
      <c r="K562" s="106" t="str">
        <f aca="false">IF(_PENDIENTES!$B$556&lt;&gt;"","POR RECOGER","")</f>
        <v/>
      </c>
      <c r="L562" s="106" t="str">
        <f aca="false">IF(_PENDIENTES!$B$556&lt;&gt;"",_PENDIENTES!$K$556,"")</f>
        <v/>
      </c>
      <c r="M562" s="89" t="str">
        <f aca="false">IF(_PENDIENTES!$B$556&lt;&gt;"",_PENDIENTES!$B$556,"")</f>
        <v/>
      </c>
      <c r="N562" s="109" t="str">
        <f aca="false">IF(_PENDIENTES!$B$556&lt;&gt;"",_PENDIENTES!$L$556,"")</f>
        <v/>
      </c>
      <c r="O562" s="89"/>
      <c r="P562" s="89"/>
      <c r="Q562" s="89"/>
      <c r="R562" s="89"/>
      <c r="S562" s="89"/>
    </row>
    <row r="563" customFormat="false" ht="15.75" hidden="true" customHeight="true" outlineLevel="0" collapsed="false">
      <c r="A563" s="46" t="str">
        <f aca="false">IF(_PENDIENTES!$B$557&lt;&gt;"",556,"")</f>
        <v/>
      </c>
      <c r="B563" s="41" t="str">
        <f aca="false">IF(_PENDIENTES!$B$557&lt;&gt;"",_PENDIENTES!$A$557,"")</f>
        <v/>
      </c>
      <c r="C563" s="110" t="str">
        <f aca="false">IF(_PENDIENTES!$B$557&lt;&gt;"",_PENDIENTES!$C$557,"")</f>
        <v/>
      </c>
      <c r="D563" s="46" t="str">
        <f aca="false">IF(_PENDIENTES!$B$557&lt;&gt;"",_PENDIENTES!$D$557,"")</f>
        <v/>
      </c>
      <c r="E563" s="112" t="str">
        <f aca="false">IF(_PENDIENTES!$B$557&lt;&gt;"",_PENDIENTES!$E$557,"")</f>
        <v/>
      </c>
      <c r="F563" s="46" t="str">
        <f aca="false">IF(_PENDIENTES!$B$557&lt;&gt;"",_PENDIENTES!$F$557,"")</f>
        <v/>
      </c>
      <c r="G563" s="44" t="str">
        <f aca="false">IF(_PENDIENTES!$B$557&lt;&gt;"",_PENDIENTES!$G$557,"")</f>
        <v/>
      </c>
      <c r="H563" s="44" t="str">
        <f aca="false">IF(_PENDIENTES!$B$557&lt;&gt;"",_PENDIENTES!$H$557,"")</f>
        <v/>
      </c>
      <c r="I563" s="110" t="str">
        <f aca="false">IF(_PENDIENTES!$B$557&lt;&gt;"",_PENDIENTES!$I$557,"")</f>
        <v/>
      </c>
      <c r="J563" s="46" t="str">
        <f aca="false">IF(_PENDIENTES!$B$557&lt;&gt;"",_PENDIENTES!$J$557,"")</f>
        <v/>
      </c>
      <c r="K563" s="46" t="str">
        <f aca="false">IF(_PENDIENTES!$B$557&lt;&gt;"","POR RECOGER","")</f>
        <v/>
      </c>
      <c r="L563" s="46" t="str">
        <f aca="false">IF(_PENDIENTES!$B$557&lt;&gt;"",_PENDIENTES!$K$557,"")</f>
        <v/>
      </c>
      <c r="M563" s="89" t="str">
        <f aca="false">IF(_PENDIENTES!$B$557&lt;&gt;"",_PENDIENTES!$B$557,"")</f>
        <v/>
      </c>
      <c r="N563" s="109" t="str">
        <f aca="false">IF(_PENDIENTES!$B$557&lt;&gt;"",_PENDIENTES!$L$557,"")</f>
        <v/>
      </c>
      <c r="O563" s="89"/>
      <c r="P563" s="89"/>
      <c r="Q563" s="89"/>
      <c r="R563" s="89"/>
      <c r="S563" s="89"/>
    </row>
    <row r="564" customFormat="false" ht="15.75" hidden="true" customHeight="true" outlineLevel="0" collapsed="false">
      <c r="A564" s="106" t="str">
        <f aca="false">IF(_PENDIENTES!$B$558&lt;&gt;"",557,"")</f>
        <v/>
      </c>
      <c r="B564" s="47" t="str">
        <f aca="false">IF(_PENDIENTES!$B$558&lt;&gt;"",_PENDIENTES!$A$558,"")</f>
        <v/>
      </c>
      <c r="C564" s="107" t="str">
        <f aca="false">IF(_PENDIENTES!$B$558&lt;&gt;"",_PENDIENTES!$C$558,"")</f>
        <v/>
      </c>
      <c r="D564" s="106" t="str">
        <f aca="false">IF(_PENDIENTES!$B$558&lt;&gt;"",_PENDIENTES!$D$558,"")</f>
        <v/>
      </c>
      <c r="E564" s="111" t="str">
        <f aca="false">IF(_PENDIENTES!$B$558&lt;&gt;"",_PENDIENTES!$E$558,"")</f>
        <v/>
      </c>
      <c r="F564" s="106" t="str">
        <f aca="false">IF(_PENDIENTES!$B$558&lt;&gt;"",_PENDIENTES!$F$558,"")</f>
        <v/>
      </c>
      <c r="G564" s="50" t="str">
        <f aca="false">IF(_PENDIENTES!$B$558&lt;&gt;"",_PENDIENTES!$G$558,"")</f>
        <v/>
      </c>
      <c r="H564" s="50" t="str">
        <f aca="false">IF(_PENDIENTES!$B$558&lt;&gt;"",_PENDIENTES!$H$558,"")</f>
        <v/>
      </c>
      <c r="I564" s="107" t="str">
        <f aca="false">IF(_PENDIENTES!$B$558&lt;&gt;"",_PENDIENTES!$I$558,"")</f>
        <v/>
      </c>
      <c r="J564" s="106" t="str">
        <f aca="false">IF(_PENDIENTES!$B$558&lt;&gt;"",_PENDIENTES!$J$558,"")</f>
        <v/>
      </c>
      <c r="K564" s="106" t="str">
        <f aca="false">IF(_PENDIENTES!$B$558&lt;&gt;"","POR RECOGER","")</f>
        <v/>
      </c>
      <c r="L564" s="106" t="str">
        <f aca="false">IF(_PENDIENTES!$B$558&lt;&gt;"",_PENDIENTES!$K$558,"")</f>
        <v/>
      </c>
      <c r="M564" s="89" t="str">
        <f aca="false">IF(_PENDIENTES!$B$558&lt;&gt;"",_PENDIENTES!$B$558,"")</f>
        <v/>
      </c>
      <c r="N564" s="109" t="str">
        <f aca="false">IF(_PENDIENTES!$B$558&lt;&gt;"",_PENDIENTES!$L$558,"")</f>
        <v/>
      </c>
      <c r="O564" s="89"/>
      <c r="P564" s="89"/>
      <c r="Q564" s="89"/>
      <c r="R564" s="89"/>
      <c r="S564" s="89"/>
    </row>
    <row r="565" customFormat="false" ht="15.75" hidden="true" customHeight="true" outlineLevel="0" collapsed="false">
      <c r="A565" s="46" t="str">
        <f aca="false">IF(_PENDIENTES!$B$559&lt;&gt;"",558,"")</f>
        <v/>
      </c>
      <c r="B565" s="41" t="str">
        <f aca="false">IF(_PENDIENTES!$B$559&lt;&gt;"",_PENDIENTES!$A$559,"")</f>
        <v/>
      </c>
      <c r="C565" s="110" t="str">
        <f aca="false">IF(_PENDIENTES!$B$559&lt;&gt;"",_PENDIENTES!$C$559,"")</f>
        <v/>
      </c>
      <c r="D565" s="46" t="str">
        <f aca="false">IF(_PENDIENTES!$B$559&lt;&gt;"",_PENDIENTES!$D$559,"")</f>
        <v/>
      </c>
      <c r="E565" s="112" t="str">
        <f aca="false">IF(_PENDIENTES!$B$559&lt;&gt;"",_PENDIENTES!$E$559,"")</f>
        <v/>
      </c>
      <c r="F565" s="46" t="str">
        <f aca="false">IF(_PENDIENTES!$B$559&lt;&gt;"",_PENDIENTES!$F$559,"")</f>
        <v/>
      </c>
      <c r="G565" s="44" t="str">
        <f aca="false">IF(_PENDIENTES!$B$559&lt;&gt;"",_PENDIENTES!$G$559,"")</f>
        <v/>
      </c>
      <c r="H565" s="44" t="str">
        <f aca="false">IF(_PENDIENTES!$B$559&lt;&gt;"",_PENDIENTES!$H$559,"")</f>
        <v/>
      </c>
      <c r="I565" s="110" t="str">
        <f aca="false">IF(_PENDIENTES!$B$559&lt;&gt;"",_PENDIENTES!$I$559,"")</f>
        <v/>
      </c>
      <c r="J565" s="46" t="str">
        <f aca="false">IF(_PENDIENTES!$B$559&lt;&gt;"",_PENDIENTES!$J$559,"")</f>
        <v/>
      </c>
      <c r="K565" s="46" t="str">
        <f aca="false">IF(_PENDIENTES!$B$559&lt;&gt;"","POR RECOGER","")</f>
        <v/>
      </c>
      <c r="L565" s="46" t="str">
        <f aca="false">IF(_PENDIENTES!$B$559&lt;&gt;"",_PENDIENTES!$K$559,"")</f>
        <v/>
      </c>
      <c r="M565" s="89" t="str">
        <f aca="false">IF(_PENDIENTES!$B$559&lt;&gt;"",_PENDIENTES!$B$559,"")</f>
        <v/>
      </c>
      <c r="N565" s="109" t="str">
        <f aca="false">IF(_PENDIENTES!$B$559&lt;&gt;"",_PENDIENTES!$L$559,"")</f>
        <v/>
      </c>
      <c r="O565" s="89"/>
      <c r="P565" s="89"/>
      <c r="Q565" s="89"/>
      <c r="R565" s="89"/>
      <c r="S565" s="89"/>
    </row>
    <row r="566" customFormat="false" ht="15.75" hidden="true" customHeight="true" outlineLevel="0" collapsed="false">
      <c r="A566" s="106" t="str">
        <f aca="false">IF(_PENDIENTES!$B$560&lt;&gt;"",559,"")</f>
        <v/>
      </c>
      <c r="B566" s="47" t="str">
        <f aca="false">IF(_PENDIENTES!$B$560&lt;&gt;"",_PENDIENTES!$A$560,"")</f>
        <v/>
      </c>
      <c r="C566" s="107" t="str">
        <f aca="false">IF(_PENDIENTES!$B$560&lt;&gt;"",_PENDIENTES!$C$560,"")</f>
        <v/>
      </c>
      <c r="D566" s="106" t="str">
        <f aca="false">IF(_PENDIENTES!$B$560&lt;&gt;"",_PENDIENTES!$D$560,"")</f>
        <v/>
      </c>
      <c r="E566" s="111" t="str">
        <f aca="false">IF(_PENDIENTES!$B$560&lt;&gt;"",_PENDIENTES!$E$560,"")</f>
        <v/>
      </c>
      <c r="F566" s="106" t="str">
        <f aca="false">IF(_PENDIENTES!$B$560&lt;&gt;"",_PENDIENTES!$F$560,"")</f>
        <v/>
      </c>
      <c r="G566" s="50" t="str">
        <f aca="false">IF(_PENDIENTES!$B$560&lt;&gt;"",_PENDIENTES!$G$560,"")</f>
        <v/>
      </c>
      <c r="H566" s="50" t="str">
        <f aca="false">IF(_PENDIENTES!$B$560&lt;&gt;"",_PENDIENTES!$H$560,"")</f>
        <v/>
      </c>
      <c r="I566" s="107" t="str">
        <f aca="false">IF(_PENDIENTES!$B$560&lt;&gt;"",_PENDIENTES!$I$560,"")</f>
        <v/>
      </c>
      <c r="J566" s="106" t="str">
        <f aca="false">IF(_PENDIENTES!$B$560&lt;&gt;"",_PENDIENTES!$J$560,"")</f>
        <v/>
      </c>
      <c r="K566" s="106" t="str">
        <f aca="false">IF(_PENDIENTES!$B$560&lt;&gt;"","POR RECOGER","")</f>
        <v/>
      </c>
      <c r="L566" s="106" t="str">
        <f aca="false">IF(_PENDIENTES!$B$560&lt;&gt;"",_PENDIENTES!$K$560,"")</f>
        <v/>
      </c>
      <c r="M566" s="89" t="str">
        <f aca="false">IF(_PENDIENTES!$B$560&lt;&gt;"",_PENDIENTES!$B$560,"")</f>
        <v/>
      </c>
      <c r="N566" s="109" t="str">
        <f aca="false">IF(_PENDIENTES!$B$560&lt;&gt;"",_PENDIENTES!$L$560,"")</f>
        <v/>
      </c>
      <c r="O566" s="89"/>
      <c r="P566" s="89"/>
      <c r="Q566" s="89"/>
      <c r="R566" s="89"/>
      <c r="S566" s="89"/>
    </row>
    <row r="567" customFormat="false" ht="15.75" hidden="true" customHeight="true" outlineLevel="0" collapsed="false">
      <c r="A567" s="46" t="str">
        <f aca="false">IF(_PENDIENTES!$B$561&lt;&gt;"",560,"")</f>
        <v/>
      </c>
      <c r="B567" s="41" t="str">
        <f aca="false">IF(_PENDIENTES!$B$561&lt;&gt;"",_PENDIENTES!$A$561,"")</f>
        <v/>
      </c>
      <c r="C567" s="110" t="str">
        <f aca="false">IF(_PENDIENTES!$B$561&lt;&gt;"",_PENDIENTES!$C$561,"")</f>
        <v/>
      </c>
      <c r="D567" s="46" t="str">
        <f aca="false">IF(_PENDIENTES!$B$561&lt;&gt;"",_PENDIENTES!$D$561,"")</f>
        <v/>
      </c>
      <c r="E567" s="112" t="str">
        <f aca="false">IF(_PENDIENTES!$B$561&lt;&gt;"",_PENDIENTES!$E$561,"")</f>
        <v/>
      </c>
      <c r="F567" s="46" t="str">
        <f aca="false">IF(_PENDIENTES!$B$561&lt;&gt;"",_PENDIENTES!$F$561,"")</f>
        <v/>
      </c>
      <c r="G567" s="44" t="str">
        <f aca="false">IF(_PENDIENTES!$B$561&lt;&gt;"",_PENDIENTES!$G$561,"")</f>
        <v/>
      </c>
      <c r="H567" s="44" t="str">
        <f aca="false">IF(_PENDIENTES!$B$561&lt;&gt;"",_PENDIENTES!$H$561,"")</f>
        <v/>
      </c>
      <c r="I567" s="110" t="str">
        <f aca="false">IF(_PENDIENTES!$B$561&lt;&gt;"",_PENDIENTES!$I$561,"")</f>
        <v/>
      </c>
      <c r="J567" s="46" t="str">
        <f aca="false">IF(_PENDIENTES!$B$561&lt;&gt;"",_PENDIENTES!$J$561,"")</f>
        <v/>
      </c>
      <c r="K567" s="46" t="str">
        <f aca="false">IF(_PENDIENTES!$B$561&lt;&gt;"","POR RECOGER","")</f>
        <v/>
      </c>
      <c r="L567" s="46" t="str">
        <f aca="false">IF(_PENDIENTES!$B$561&lt;&gt;"",_PENDIENTES!$K$561,"")</f>
        <v/>
      </c>
      <c r="M567" s="89" t="str">
        <f aca="false">IF(_PENDIENTES!$B$561&lt;&gt;"",_PENDIENTES!$B$561,"")</f>
        <v/>
      </c>
      <c r="N567" s="109" t="str">
        <f aca="false">IF(_PENDIENTES!$B$561&lt;&gt;"",_PENDIENTES!$L$561,"")</f>
        <v/>
      </c>
      <c r="O567" s="89"/>
      <c r="P567" s="89"/>
      <c r="Q567" s="89"/>
      <c r="R567" s="89"/>
      <c r="S567" s="89"/>
    </row>
    <row r="568" customFormat="false" ht="15.75" hidden="true" customHeight="true" outlineLevel="0" collapsed="false">
      <c r="A568" s="106" t="str">
        <f aca="false">IF(_PENDIENTES!$B$562&lt;&gt;"",561,"")</f>
        <v/>
      </c>
      <c r="B568" s="47" t="str">
        <f aca="false">IF(_PENDIENTES!$B$562&lt;&gt;"",_PENDIENTES!$A$562,"")</f>
        <v/>
      </c>
      <c r="C568" s="107" t="str">
        <f aca="false">IF(_PENDIENTES!$B$562&lt;&gt;"",_PENDIENTES!$C$562,"")</f>
        <v/>
      </c>
      <c r="D568" s="106" t="str">
        <f aca="false">IF(_PENDIENTES!$B$562&lt;&gt;"",_PENDIENTES!$D$562,"")</f>
        <v/>
      </c>
      <c r="E568" s="111" t="str">
        <f aca="false">IF(_PENDIENTES!$B$562&lt;&gt;"",_PENDIENTES!$E$562,"")</f>
        <v/>
      </c>
      <c r="F568" s="106" t="str">
        <f aca="false">IF(_PENDIENTES!$B$562&lt;&gt;"",_PENDIENTES!$F$562,"")</f>
        <v/>
      </c>
      <c r="G568" s="50" t="str">
        <f aca="false">IF(_PENDIENTES!$B$562&lt;&gt;"",_PENDIENTES!$G$562,"")</f>
        <v/>
      </c>
      <c r="H568" s="50" t="str">
        <f aca="false">IF(_PENDIENTES!$B$562&lt;&gt;"",_PENDIENTES!$H$562,"")</f>
        <v/>
      </c>
      <c r="I568" s="107" t="str">
        <f aca="false">IF(_PENDIENTES!$B$562&lt;&gt;"",_PENDIENTES!$I$562,"")</f>
        <v/>
      </c>
      <c r="J568" s="106" t="str">
        <f aca="false">IF(_PENDIENTES!$B$562&lt;&gt;"",_PENDIENTES!$J$562,"")</f>
        <v/>
      </c>
      <c r="K568" s="106" t="str">
        <f aca="false">IF(_PENDIENTES!$B$562&lt;&gt;"","POR RECOGER","")</f>
        <v/>
      </c>
      <c r="L568" s="106" t="str">
        <f aca="false">IF(_PENDIENTES!$B$562&lt;&gt;"",_PENDIENTES!$K$562,"")</f>
        <v/>
      </c>
      <c r="M568" s="89" t="str">
        <f aca="false">IF(_PENDIENTES!$B$562&lt;&gt;"",_PENDIENTES!$B$562,"")</f>
        <v/>
      </c>
      <c r="N568" s="109" t="str">
        <f aca="false">IF(_PENDIENTES!$B$562&lt;&gt;"",_PENDIENTES!$L$562,"")</f>
        <v/>
      </c>
      <c r="O568" s="89"/>
      <c r="P568" s="89"/>
      <c r="Q568" s="89"/>
      <c r="R568" s="89"/>
      <c r="S568" s="89"/>
    </row>
    <row r="569" customFormat="false" ht="15.75" hidden="true" customHeight="true" outlineLevel="0" collapsed="false">
      <c r="A569" s="46" t="str">
        <f aca="false">IF(_PENDIENTES!$B$563&lt;&gt;"",562,"")</f>
        <v/>
      </c>
      <c r="B569" s="41" t="str">
        <f aca="false">IF(_PENDIENTES!$B$563&lt;&gt;"",_PENDIENTES!$A$563,"")</f>
        <v/>
      </c>
      <c r="C569" s="110" t="str">
        <f aca="false">IF(_PENDIENTES!$B$563&lt;&gt;"",_PENDIENTES!$C$563,"")</f>
        <v/>
      </c>
      <c r="D569" s="46" t="str">
        <f aca="false">IF(_PENDIENTES!$B$563&lt;&gt;"",_PENDIENTES!$D$563,"")</f>
        <v/>
      </c>
      <c r="E569" s="112" t="str">
        <f aca="false">IF(_PENDIENTES!$B$563&lt;&gt;"",_PENDIENTES!$E$563,"")</f>
        <v/>
      </c>
      <c r="F569" s="46" t="str">
        <f aca="false">IF(_PENDIENTES!$B$563&lt;&gt;"",_PENDIENTES!$F$563,"")</f>
        <v/>
      </c>
      <c r="G569" s="44" t="str">
        <f aca="false">IF(_PENDIENTES!$B$563&lt;&gt;"",_PENDIENTES!$G$563,"")</f>
        <v/>
      </c>
      <c r="H569" s="44" t="str">
        <f aca="false">IF(_PENDIENTES!$B$563&lt;&gt;"",_PENDIENTES!$H$563,"")</f>
        <v/>
      </c>
      <c r="I569" s="110" t="str">
        <f aca="false">IF(_PENDIENTES!$B$563&lt;&gt;"",_PENDIENTES!$I$563,"")</f>
        <v/>
      </c>
      <c r="J569" s="46" t="str">
        <f aca="false">IF(_PENDIENTES!$B$563&lt;&gt;"",_PENDIENTES!$J$563,"")</f>
        <v/>
      </c>
      <c r="K569" s="46" t="str">
        <f aca="false">IF(_PENDIENTES!$B$563&lt;&gt;"","POR RECOGER","")</f>
        <v/>
      </c>
      <c r="L569" s="46" t="str">
        <f aca="false">IF(_PENDIENTES!$B$563&lt;&gt;"",_PENDIENTES!$K$563,"")</f>
        <v/>
      </c>
      <c r="M569" s="89" t="str">
        <f aca="false">IF(_PENDIENTES!$B$563&lt;&gt;"",_PENDIENTES!$B$563,"")</f>
        <v/>
      </c>
      <c r="N569" s="109" t="str">
        <f aca="false">IF(_PENDIENTES!$B$563&lt;&gt;"",_PENDIENTES!$L$563,"")</f>
        <v/>
      </c>
      <c r="O569" s="89"/>
      <c r="P569" s="89"/>
      <c r="Q569" s="89"/>
      <c r="R569" s="89"/>
      <c r="S569" s="89"/>
    </row>
    <row r="570" customFormat="false" ht="15.75" hidden="true" customHeight="true" outlineLevel="0" collapsed="false">
      <c r="A570" s="106" t="str">
        <f aca="false">IF(_PENDIENTES!$B$564&lt;&gt;"",563,"")</f>
        <v/>
      </c>
      <c r="B570" s="47" t="str">
        <f aca="false">IF(_PENDIENTES!$B$564&lt;&gt;"",_PENDIENTES!$A$564,"")</f>
        <v/>
      </c>
      <c r="C570" s="107" t="str">
        <f aca="false">IF(_PENDIENTES!$B$564&lt;&gt;"",_PENDIENTES!$C$564,"")</f>
        <v/>
      </c>
      <c r="D570" s="106" t="str">
        <f aca="false">IF(_PENDIENTES!$B$564&lt;&gt;"",_PENDIENTES!$D$564,"")</f>
        <v/>
      </c>
      <c r="E570" s="111" t="str">
        <f aca="false">IF(_PENDIENTES!$B$564&lt;&gt;"",_PENDIENTES!$E$564,"")</f>
        <v/>
      </c>
      <c r="F570" s="106" t="str">
        <f aca="false">IF(_PENDIENTES!$B$564&lt;&gt;"",_PENDIENTES!$F$564,"")</f>
        <v/>
      </c>
      <c r="G570" s="50" t="str">
        <f aca="false">IF(_PENDIENTES!$B$564&lt;&gt;"",_PENDIENTES!$G$564,"")</f>
        <v/>
      </c>
      <c r="H570" s="50" t="str">
        <f aca="false">IF(_PENDIENTES!$B$564&lt;&gt;"",_PENDIENTES!$H$564,"")</f>
        <v/>
      </c>
      <c r="I570" s="107" t="str">
        <f aca="false">IF(_PENDIENTES!$B$564&lt;&gt;"",_PENDIENTES!$I$564,"")</f>
        <v/>
      </c>
      <c r="J570" s="106" t="str">
        <f aca="false">IF(_PENDIENTES!$B$564&lt;&gt;"",_PENDIENTES!$J$564,"")</f>
        <v/>
      </c>
      <c r="K570" s="106" t="str">
        <f aca="false">IF(_PENDIENTES!$B$564&lt;&gt;"","POR RECOGER","")</f>
        <v/>
      </c>
      <c r="L570" s="106" t="str">
        <f aca="false">IF(_PENDIENTES!$B$564&lt;&gt;"",_PENDIENTES!$K$564,"")</f>
        <v/>
      </c>
      <c r="M570" s="89" t="str">
        <f aca="false">IF(_PENDIENTES!$B$564&lt;&gt;"",_PENDIENTES!$B$564,"")</f>
        <v/>
      </c>
      <c r="N570" s="109" t="str">
        <f aca="false">IF(_PENDIENTES!$B$564&lt;&gt;"",_PENDIENTES!$L$564,"")</f>
        <v/>
      </c>
      <c r="O570" s="89"/>
      <c r="P570" s="89"/>
      <c r="Q570" s="89"/>
      <c r="R570" s="89"/>
      <c r="S570" s="89"/>
    </row>
    <row r="571" customFormat="false" ht="15.75" hidden="true" customHeight="true" outlineLevel="0" collapsed="false">
      <c r="A571" s="46" t="str">
        <f aca="false">IF(_PENDIENTES!$B$565&lt;&gt;"",564,"")</f>
        <v/>
      </c>
      <c r="B571" s="41" t="str">
        <f aca="false">IF(_PENDIENTES!$B$565&lt;&gt;"",_PENDIENTES!$A$565,"")</f>
        <v/>
      </c>
      <c r="C571" s="110" t="str">
        <f aca="false">IF(_PENDIENTES!$B$565&lt;&gt;"",_PENDIENTES!$C$565,"")</f>
        <v/>
      </c>
      <c r="D571" s="46" t="str">
        <f aca="false">IF(_PENDIENTES!$B$565&lt;&gt;"",_PENDIENTES!$D$565,"")</f>
        <v/>
      </c>
      <c r="E571" s="112" t="str">
        <f aca="false">IF(_PENDIENTES!$B$565&lt;&gt;"",_PENDIENTES!$E$565,"")</f>
        <v/>
      </c>
      <c r="F571" s="46" t="str">
        <f aca="false">IF(_PENDIENTES!$B$565&lt;&gt;"",_PENDIENTES!$F$565,"")</f>
        <v/>
      </c>
      <c r="G571" s="44" t="str">
        <f aca="false">IF(_PENDIENTES!$B$565&lt;&gt;"",_PENDIENTES!$G$565,"")</f>
        <v/>
      </c>
      <c r="H571" s="44" t="str">
        <f aca="false">IF(_PENDIENTES!$B$565&lt;&gt;"",_PENDIENTES!$H$565,"")</f>
        <v/>
      </c>
      <c r="I571" s="110" t="str">
        <f aca="false">IF(_PENDIENTES!$B$565&lt;&gt;"",_PENDIENTES!$I$565,"")</f>
        <v/>
      </c>
      <c r="J571" s="46" t="str">
        <f aca="false">IF(_PENDIENTES!$B$565&lt;&gt;"",_PENDIENTES!$J$565,"")</f>
        <v/>
      </c>
      <c r="K571" s="46" t="str">
        <f aca="false">IF(_PENDIENTES!$B$565&lt;&gt;"","POR RECOGER","")</f>
        <v/>
      </c>
      <c r="L571" s="46" t="str">
        <f aca="false">IF(_PENDIENTES!$B$565&lt;&gt;"",_PENDIENTES!$K$565,"")</f>
        <v/>
      </c>
      <c r="M571" s="89" t="str">
        <f aca="false">IF(_PENDIENTES!$B$565&lt;&gt;"",_PENDIENTES!$B$565,"")</f>
        <v/>
      </c>
      <c r="N571" s="109" t="str">
        <f aca="false">IF(_PENDIENTES!$B$565&lt;&gt;"",_PENDIENTES!$L$565,"")</f>
        <v/>
      </c>
      <c r="O571" s="89"/>
      <c r="P571" s="89"/>
      <c r="Q571" s="89"/>
      <c r="R571" s="89"/>
      <c r="S571" s="89"/>
    </row>
    <row r="572" customFormat="false" ht="15.75" hidden="true" customHeight="true" outlineLevel="0" collapsed="false">
      <c r="A572" s="106" t="str">
        <f aca="false">IF(_PENDIENTES!$B$566&lt;&gt;"",565,"")</f>
        <v/>
      </c>
      <c r="B572" s="47" t="str">
        <f aca="false">IF(_PENDIENTES!$B$566&lt;&gt;"",_PENDIENTES!$A$566,"")</f>
        <v/>
      </c>
      <c r="C572" s="107" t="str">
        <f aca="false">IF(_PENDIENTES!$B$566&lt;&gt;"",_PENDIENTES!$C$566,"")</f>
        <v/>
      </c>
      <c r="D572" s="106" t="str">
        <f aca="false">IF(_PENDIENTES!$B$566&lt;&gt;"",_PENDIENTES!$D$566,"")</f>
        <v/>
      </c>
      <c r="E572" s="111" t="str">
        <f aca="false">IF(_PENDIENTES!$B$566&lt;&gt;"",_PENDIENTES!$E$566,"")</f>
        <v/>
      </c>
      <c r="F572" s="106" t="str">
        <f aca="false">IF(_PENDIENTES!$B$566&lt;&gt;"",_PENDIENTES!$F$566,"")</f>
        <v/>
      </c>
      <c r="G572" s="50" t="str">
        <f aca="false">IF(_PENDIENTES!$B$566&lt;&gt;"",_PENDIENTES!$G$566,"")</f>
        <v/>
      </c>
      <c r="H572" s="50" t="str">
        <f aca="false">IF(_PENDIENTES!$B$566&lt;&gt;"",_PENDIENTES!$H$566,"")</f>
        <v/>
      </c>
      <c r="I572" s="107" t="str">
        <f aca="false">IF(_PENDIENTES!$B$566&lt;&gt;"",_PENDIENTES!$I$566,"")</f>
        <v/>
      </c>
      <c r="J572" s="106" t="str">
        <f aca="false">IF(_PENDIENTES!$B$566&lt;&gt;"",_PENDIENTES!$J$566,"")</f>
        <v/>
      </c>
      <c r="K572" s="106" t="str">
        <f aca="false">IF(_PENDIENTES!$B$566&lt;&gt;"","POR RECOGER","")</f>
        <v/>
      </c>
      <c r="L572" s="106" t="str">
        <f aca="false">IF(_PENDIENTES!$B$566&lt;&gt;"",_PENDIENTES!$K$566,"")</f>
        <v/>
      </c>
      <c r="M572" s="89" t="str">
        <f aca="false">IF(_PENDIENTES!$B$566&lt;&gt;"",_PENDIENTES!$B$566,"")</f>
        <v/>
      </c>
      <c r="N572" s="109" t="str">
        <f aca="false">IF(_PENDIENTES!$B$566&lt;&gt;"",_PENDIENTES!$L$566,"")</f>
        <v/>
      </c>
      <c r="O572" s="89"/>
      <c r="P572" s="89"/>
      <c r="Q572" s="89"/>
      <c r="R572" s="89"/>
      <c r="S572" s="89"/>
    </row>
    <row r="573" customFormat="false" ht="15.75" hidden="true" customHeight="true" outlineLevel="0" collapsed="false">
      <c r="A573" s="46" t="str">
        <f aca="false">IF(_PENDIENTES!$B$567&lt;&gt;"",566,"")</f>
        <v/>
      </c>
      <c r="B573" s="41" t="str">
        <f aca="false">IF(_PENDIENTES!$B$567&lt;&gt;"",_PENDIENTES!$A$567,"")</f>
        <v/>
      </c>
      <c r="C573" s="110" t="str">
        <f aca="false">IF(_PENDIENTES!$B$567&lt;&gt;"",_PENDIENTES!$C$567,"")</f>
        <v/>
      </c>
      <c r="D573" s="46" t="str">
        <f aca="false">IF(_PENDIENTES!$B$567&lt;&gt;"",_PENDIENTES!$D$567,"")</f>
        <v/>
      </c>
      <c r="E573" s="112" t="str">
        <f aca="false">IF(_PENDIENTES!$B$567&lt;&gt;"",_PENDIENTES!$E$567,"")</f>
        <v/>
      </c>
      <c r="F573" s="46" t="str">
        <f aca="false">IF(_PENDIENTES!$B$567&lt;&gt;"",_PENDIENTES!$F$567,"")</f>
        <v/>
      </c>
      <c r="G573" s="44" t="str">
        <f aca="false">IF(_PENDIENTES!$B$567&lt;&gt;"",_PENDIENTES!$G$567,"")</f>
        <v/>
      </c>
      <c r="H573" s="44" t="str">
        <f aca="false">IF(_PENDIENTES!$B$567&lt;&gt;"",_PENDIENTES!$H$567,"")</f>
        <v/>
      </c>
      <c r="I573" s="110" t="str">
        <f aca="false">IF(_PENDIENTES!$B$567&lt;&gt;"",_PENDIENTES!$I$567,"")</f>
        <v/>
      </c>
      <c r="J573" s="46" t="str">
        <f aca="false">IF(_PENDIENTES!$B$567&lt;&gt;"",_PENDIENTES!$J$567,"")</f>
        <v/>
      </c>
      <c r="K573" s="46" t="str">
        <f aca="false">IF(_PENDIENTES!$B$567&lt;&gt;"","POR RECOGER","")</f>
        <v/>
      </c>
      <c r="L573" s="46" t="str">
        <f aca="false">IF(_PENDIENTES!$B$567&lt;&gt;"",_PENDIENTES!$K$567,"")</f>
        <v/>
      </c>
      <c r="M573" s="89" t="str">
        <f aca="false">IF(_PENDIENTES!$B$567&lt;&gt;"",_PENDIENTES!$B$567,"")</f>
        <v/>
      </c>
      <c r="N573" s="109" t="str">
        <f aca="false">IF(_PENDIENTES!$B$567&lt;&gt;"",_PENDIENTES!$L$567,"")</f>
        <v/>
      </c>
      <c r="O573" s="89"/>
      <c r="P573" s="89"/>
      <c r="Q573" s="89"/>
      <c r="R573" s="89"/>
      <c r="S573" s="89"/>
    </row>
    <row r="574" customFormat="false" ht="15.75" hidden="true" customHeight="true" outlineLevel="0" collapsed="false">
      <c r="A574" s="106" t="str">
        <f aca="false">IF(_PENDIENTES!$B$568&lt;&gt;"",567,"")</f>
        <v/>
      </c>
      <c r="B574" s="47" t="str">
        <f aca="false">IF(_PENDIENTES!$B$568&lt;&gt;"",_PENDIENTES!$A$568,"")</f>
        <v/>
      </c>
      <c r="C574" s="107" t="str">
        <f aca="false">IF(_PENDIENTES!$B$568&lt;&gt;"",_PENDIENTES!$C$568,"")</f>
        <v/>
      </c>
      <c r="D574" s="106" t="str">
        <f aca="false">IF(_PENDIENTES!$B$568&lt;&gt;"",_PENDIENTES!$D$568,"")</f>
        <v/>
      </c>
      <c r="E574" s="111" t="str">
        <f aca="false">IF(_PENDIENTES!$B$568&lt;&gt;"",_PENDIENTES!$E$568,"")</f>
        <v/>
      </c>
      <c r="F574" s="106" t="str">
        <f aca="false">IF(_PENDIENTES!$B$568&lt;&gt;"",_PENDIENTES!$F$568,"")</f>
        <v/>
      </c>
      <c r="G574" s="50" t="str">
        <f aca="false">IF(_PENDIENTES!$B$568&lt;&gt;"",_PENDIENTES!$G$568,"")</f>
        <v/>
      </c>
      <c r="H574" s="50" t="str">
        <f aca="false">IF(_PENDIENTES!$B$568&lt;&gt;"",_PENDIENTES!$H$568,"")</f>
        <v/>
      </c>
      <c r="I574" s="107" t="str">
        <f aca="false">IF(_PENDIENTES!$B$568&lt;&gt;"",_PENDIENTES!$I$568,"")</f>
        <v/>
      </c>
      <c r="J574" s="106" t="str">
        <f aca="false">IF(_PENDIENTES!$B$568&lt;&gt;"",_PENDIENTES!$J$568,"")</f>
        <v/>
      </c>
      <c r="K574" s="106" t="str">
        <f aca="false">IF(_PENDIENTES!$B$568&lt;&gt;"","POR RECOGER","")</f>
        <v/>
      </c>
      <c r="L574" s="106" t="str">
        <f aca="false">IF(_PENDIENTES!$B$568&lt;&gt;"",_PENDIENTES!$K$568,"")</f>
        <v/>
      </c>
      <c r="M574" s="89" t="str">
        <f aca="false">IF(_PENDIENTES!$B$568&lt;&gt;"",_PENDIENTES!$B$568,"")</f>
        <v/>
      </c>
      <c r="N574" s="109" t="str">
        <f aca="false">IF(_PENDIENTES!$B$568&lt;&gt;"",_PENDIENTES!$L$568,"")</f>
        <v/>
      </c>
      <c r="O574" s="89"/>
      <c r="P574" s="89"/>
      <c r="Q574" s="89"/>
      <c r="R574" s="89"/>
      <c r="S574" s="89"/>
    </row>
    <row r="575" customFormat="false" ht="15.75" hidden="true" customHeight="true" outlineLevel="0" collapsed="false">
      <c r="A575" s="46" t="str">
        <f aca="false">IF(_PENDIENTES!$B$569&lt;&gt;"",568,"")</f>
        <v/>
      </c>
      <c r="B575" s="41" t="str">
        <f aca="false">IF(_PENDIENTES!$B$569&lt;&gt;"",_PENDIENTES!$A$569,"")</f>
        <v/>
      </c>
      <c r="C575" s="110" t="str">
        <f aca="false">IF(_PENDIENTES!$B$569&lt;&gt;"",_PENDIENTES!$C$569,"")</f>
        <v/>
      </c>
      <c r="D575" s="46" t="str">
        <f aca="false">IF(_PENDIENTES!$B$569&lt;&gt;"",_PENDIENTES!$D$569,"")</f>
        <v/>
      </c>
      <c r="E575" s="112" t="str">
        <f aca="false">IF(_PENDIENTES!$B$569&lt;&gt;"",_PENDIENTES!$E$569,"")</f>
        <v/>
      </c>
      <c r="F575" s="46" t="str">
        <f aca="false">IF(_PENDIENTES!$B$569&lt;&gt;"",_PENDIENTES!$F$569,"")</f>
        <v/>
      </c>
      <c r="G575" s="44" t="str">
        <f aca="false">IF(_PENDIENTES!$B$569&lt;&gt;"",_PENDIENTES!$G$569,"")</f>
        <v/>
      </c>
      <c r="H575" s="44" t="str">
        <f aca="false">IF(_PENDIENTES!$B$569&lt;&gt;"",_PENDIENTES!$H$569,"")</f>
        <v/>
      </c>
      <c r="I575" s="110" t="str">
        <f aca="false">IF(_PENDIENTES!$B$569&lt;&gt;"",_PENDIENTES!$I$569,"")</f>
        <v/>
      </c>
      <c r="J575" s="46" t="str">
        <f aca="false">IF(_PENDIENTES!$B$569&lt;&gt;"",_PENDIENTES!$J$569,"")</f>
        <v/>
      </c>
      <c r="K575" s="46" t="str">
        <f aca="false">IF(_PENDIENTES!$B$569&lt;&gt;"","POR RECOGER","")</f>
        <v/>
      </c>
      <c r="L575" s="46" t="str">
        <f aca="false">IF(_PENDIENTES!$B$569&lt;&gt;"",_PENDIENTES!$K$569,"")</f>
        <v/>
      </c>
      <c r="M575" s="89" t="str">
        <f aca="false">IF(_PENDIENTES!$B$569&lt;&gt;"",_PENDIENTES!$B$569,"")</f>
        <v/>
      </c>
      <c r="N575" s="109" t="str">
        <f aca="false">IF(_PENDIENTES!$B$569&lt;&gt;"",_PENDIENTES!$L$569,"")</f>
        <v/>
      </c>
      <c r="O575" s="89"/>
      <c r="P575" s="89"/>
      <c r="Q575" s="89"/>
      <c r="R575" s="89"/>
      <c r="S575" s="89"/>
    </row>
    <row r="576" customFormat="false" ht="15.75" hidden="true" customHeight="true" outlineLevel="0" collapsed="false">
      <c r="A576" s="106" t="str">
        <f aca="false">IF(_PENDIENTES!$B$570&lt;&gt;"",569,"")</f>
        <v/>
      </c>
      <c r="B576" s="47" t="str">
        <f aca="false">IF(_PENDIENTES!$B$570&lt;&gt;"",_PENDIENTES!$A$570,"")</f>
        <v/>
      </c>
      <c r="C576" s="107" t="str">
        <f aca="false">IF(_PENDIENTES!$B$570&lt;&gt;"",_PENDIENTES!$C$570,"")</f>
        <v/>
      </c>
      <c r="D576" s="106" t="str">
        <f aca="false">IF(_PENDIENTES!$B$570&lt;&gt;"",_PENDIENTES!$D$570,"")</f>
        <v/>
      </c>
      <c r="E576" s="111" t="str">
        <f aca="false">IF(_PENDIENTES!$B$570&lt;&gt;"",_PENDIENTES!$E$570,"")</f>
        <v/>
      </c>
      <c r="F576" s="106" t="str">
        <f aca="false">IF(_PENDIENTES!$B$570&lt;&gt;"",_PENDIENTES!$F$570,"")</f>
        <v/>
      </c>
      <c r="G576" s="50" t="str">
        <f aca="false">IF(_PENDIENTES!$B$570&lt;&gt;"",_PENDIENTES!$G$570,"")</f>
        <v/>
      </c>
      <c r="H576" s="50" t="str">
        <f aca="false">IF(_PENDIENTES!$B$570&lt;&gt;"",_PENDIENTES!$H$570,"")</f>
        <v/>
      </c>
      <c r="I576" s="107" t="str">
        <f aca="false">IF(_PENDIENTES!$B$570&lt;&gt;"",_PENDIENTES!$I$570,"")</f>
        <v/>
      </c>
      <c r="J576" s="106" t="str">
        <f aca="false">IF(_PENDIENTES!$B$570&lt;&gt;"",_PENDIENTES!$J$570,"")</f>
        <v/>
      </c>
      <c r="K576" s="106" t="str">
        <f aca="false">IF(_PENDIENTES!$B$570&lt;&gt;"","POR RECOGER","")</f>
        <v/>
      </c>
      <c r="L576" s="106" t="str">
        <f aca="false">IF(_PENDIENTES!$B$570&lt;&gt;"",_PENDIENTES!$K$570,"")</f>
        <v/>
      </c>
      <c r="M576" s="89" t="str">
        <f aca="false">IF(_PENDIENTES!$B$570&lt;&gt;"",_PENDIENTES!$B$570,"")</f>
        <v/>
      </c>
      <c r="N576" s="109" t="str">
        <f aca="false">IF(_PENDIENTES!$B$570&lt;&gt;"",_PENDIENTES!$L$570,"")</f>
        <v/>
      </c>
      <c r="O576" s="89"/>
      <c r="P576" s="89"/>
      <c r="Q576" s="89"/>
      <c r="R576" s="89"/>
      <c r="S576" s="89"/>
    </row>
    <row r="577" customFormat="false" ht="15.75" hidden="true" customHeight="true" outlineLevel="0" collapsed="false">
      <c r="A577" s="46" t="str">
        <f aca="false">IF(_PENDIENTES!$B$571&lt;&gt;"",570,"")</f>
        <v/>
      </c>
      <c r="B577" s="41" t="str">
        <f aca="false">IF(_PENDIENTES!$B$571&lt;&gt;"",_PENDIENTES!$A$571,"")</f>
        <v/>
      </c>
      <c r="C577" s="110" t="str">
        <f aca="false">IF(_PENDIENTES!$B$571&lt;&gt;"",_PENDIENTES!$C$571,"")</f>
        <v/>
      </c>
      <c r="D577" s="46" t="str">
        <f aca="false">IF(_PENDIENTES!$B$571&lt;&gt;"",_PENDIENTES!$D$571,"")</f>
        <v/>
      </c>
      <c r="E577" s="112" t="str">
        <f aca="false">IF(_PENDIENTES!$B$571&lt;&gt;"",_PENDIENTES!$E$571,"")</f>
        <v/>
      </c>
      <c r="F577" s="46" t="str">
        <f aca="false">IF(_PENDIENTES!$B$571&lt;&gt;"",_PENDIENTES!$F$571,"")</f>
        <v/>
      </c>
      <c r="G577" s="44" t="str">
        <f aca="false">IF(_PENDIENTES!$B$571&lt;&gt;"",_PENDIENTES!$G$571,"")</f>
        <v/>
      </c>
      <c r="H577" s="44" t="str">
        <f aca="false">IF(_PENDIENTES!$B$571&lt;&gt;"",_PENDIENTES!$H$571,"")</f>
        <v/>
      </c>
      <c r="I577" s="110" t="str">
        <f aca="false">IF(_PENDIENTES!$B$571&lt;&gt;"",_PENDIENTES!$I$571,"")</f>
        <v/>
      </c>
      <c r="J577" s="46" t="str">
        <f aca="false">IF(_PENDIENTES!$B$571&lt;&gt;"",_PENDIENTES!$J$571,"")</f>
        <v/>
      </c>
      <c r="K577" s="46" t="str">
        <f aca="false">IF(_PENDIENTES!$B$571&lt;&gt;"","POR RECOGER","")</f>
        <v/>
      </c>
      <c r="L577" s="46" t="str">
        <f aca="false">IF(_PENDIENTES!$B$571&lt;&gt;"",_PENDIENTES!$K$571,"")</f>
        <v/>
      </c>
      <c r="M577" s="89" t="str">
        <f aca="false">IF(_PENDIENTES!$B$571&lt;&gt;"",_PENDIENTES!$B$571,"")</f>
        <v/>
      </c>
      <c r="N577" s="109" t="str">
        <f aca="false">IF(_PENDIENTES!$B$571&lt;&gt;"",_PENDIENTES!$L$571,"")</f>
        <v/>
      </c>
      <c r="O577" s="89"/>
      <c r="P577" s="89"/>
      <c r="Q577" s="89"/>
      <c r="R577" s="89"/>
      <c r="S577" s="89"/>
    </row>
    <row r="578" customFormat="false" ht="15.75" hidden="true" customHeight="true" outlineLevel="0" collapsed="false">
      <c r="A578" s="106" t="str">
        <f aca="false">IF(_PENDIENTES!$B$572&lt;&gt;"",571,"")</f>
        <v/>
      </c>
      <c r="B578" s="47" t="str">
        <f aca="false">IF(_PENDIENTES!$B$572&lt;&gt;"",_PENDIENTES!$A$572,"")</f>
        <v/>
      </c>
      <c r="C578" s="107" t="str">
        <f aca="false">IF(_PENDIENTES!$B$572&lt;&gt;"",_PENDIENTES!$C$572,"")</f>
        <v/>
      </c>
      <c r="D578" s="106" t="str">
        <f aca="false">IF(_PENDIENTES!$B$572&lt;&gt;"",_PENDIENTES!$D$572,"")</f>
        <v/>
      </c>
      <c r="E578" s="111" t="str">
        <f aca="false">IF(_PENDIENTES!$B$572&lt;&gt;"",_PENDIENTES!$E$572,"")</f>
        <v/>
      </c>
      <c r="F578" s="106" t="str">
        <f aca="false">IF(_PENDIENTES!$B$572&lt;&gt;"",_PENDIENTES!$F$572,"")</f>
        <v/>
      </c>
      <c r="G578" s="50" t="str">
        <f aca="false">IF(_PENDIENTES!$B$572&lt;&gt;"",_PENDIENTES!$G$572,"")</f>
        <v/>
      </c>
      <c r="H578" s="50" t="str">
        <f aca="false">IF(_PENDIENTES!$B$572&lt;&gt;"",_PENDIENTES!$H$572,"")</f>
        <v/>
      </c>
      <c r="I578" s="107" t="str">
        <f aca="false">IF(_PENDIENTES!$B$572&lt;&gt;"",_PENDIENTES!$I$572,"")</f>
        <v/>
      </c>
      <c r="J578" s="106" t="str">
        <f aca="false">IF(_PENDIENTES!$B$572&lt;&gt;"",_PENDIENTES!$J$572,"")</f>
        <v/>
      </c>
      <c r="K578" s="106" t="str">
        <f aca="false">IF(_PENDIENTES!$B$572&lt;&gt;"","POR RECOGER","")</f>
        <v/>
      </c>
      <c r="L578" s="106" t="str">
        <f aca="false">IF(_PENDIENTES!$B$572&lt;&gt;"",_PENDIENTES!$K$572,"")</f>
        <v/>
      </c>
      <c r="M578" s="89" t="str">
        <f aca="false">IF(_PENDIENTES!$B$572&lt;&gt;"",_PENDIENTES!$B$572,"")</f>
        <v/>
      </c>
      <c r="N578" s="109" t="str">
        <f aca="false">IF(_PENDIENTES!$B$572&lt;&gt;"",_PENDIENTES!$L$572,"")</f>
        <v/>
      </c>
      <c r="O578" s="89"/>
      <c r="P578" s="89"/>
      <c r="Q578" s="89"/>
      <c r="R578" s="89"/>
      <c r="S578" s="89"/>
    </row>
    <row r="579" customFormat="false" ht="15.75" hidden="true" customHeight="true" outlineLevel="0" collapsed="false">
      <c r="A579" s="46" t="str">
        <f aca="false">IF(_PENDIENTES!$B$573&lt;&gt;"",572,"")</f>
        <v/>
      </c>
      <c r="B579" s="41" t="str">
        <f aca="false">IF(_PENDIENTES!$B$573&lt;&gt;"",_PENDIENTES!$A$573,"")</f>
        <v/>
      </c>
      <c r="C579" s="110" t="str">
        <f aca="false">IF(_PENDIENTES!$B$573&lt;&gt;"",_PENDIENTES!$C$573,"")</f>
        <v/>
      </c>
      <c r="D579" s="46" t="str">
        <f aca="false">IF(_PENDIENTES!$B$573&lt;&gt;"",_PENDIENTES!$D$573,"")</f>
        <v/>
      </c>
      <c r="E579" s="46" t="str">
        <f aca="false">IF(_PENDIENTES!$B$573&lt;&gt;"",_PENDIENTES!$E$573,"")</f>
        <v/>
      </c>
      <c r="F579" s="46" t="str">
        <f aca="false">IF(_PENDIENTES!$B$573&lt;&gt;"",_PENDIENTES!$F$573,"")</f>
        <v/>
      </c>
      <c r="G579" s="44" t="str">
        <f aca="false">IF(_PENDIENTES!$B$573&lt;&gt;"",_PENDIENTES!$G$573,"")</f>
        <v/>
      </c>
      <c r="H579" s="44" t="str">
        <f aca="false">IF(_PENDIENTES!$B$573&lt;&gt;"",_PENDIENTES!$H$573,"")</f>
        <v/>
      </c>
      <c r="I579" s="110" t="str">
        <f aca="false">IF(_PENDIENTES!$B$573&lt;&gt;"",_PENDIENTES!$I$573,"")</f>
        <v/>
      </c>
      <c r="J579" s="46" t="str">
        <f aca="false">IF(_PENDIENTES!$B$573&lt;&gt;"",_PENDIENTES!$J$573,"")</f>
        <v/>
      </c>
      <c r="K579" s="46" t="str">
        <f aca="false">IF(_PENDIENTES!$B$573&lt;&gt;"","POR RECOGER","")</f>
        <v/>
      </c>
      <c r="L579" s="46" t="str">
        <f aca="false">IF(_PENDIENTES!$B$573&lt;&gt;"",_PENDIENTES!$K$573,"")</f>
        <v/>
      </c>
      <c r="M579" s="89" t="str">
        <f aca="false">IF(_PENDIENTES!$B$573&lt;&gt;"",_PENDIENTES!$B$573,"")</f>
        <v/>
      </c>
      <c r="N579" s="109" t="str">
        <f aca="false">IF(_PENDIENTES!$B$573&lt;&gt;"",_PENDIENTES!$L$573,"")</f>
        <v/>
      </c>
      <c r="O579" s="89"/>
      <c r="P579" s="89"/>
      <c r="Q579" s="89"/>
      <c r="R579" s="89"/>
      <c r="S579" s="89"/>
    </row>
    <row r="580" customFormat="false" ht="15.75" hidden="true" customHeight="true" outlineLevel="0" collapsed="false">
      <c r="A580" s="106" t="str">
        <f aca="false">IF(_PENDIENTES!$B$574&lt;&gt;"",573,"")</f>
        <v/>
      </c>
      <c r="B580" s="47" t="str">
        <f aca="false">IF(_PENDIENTES!$B$574&lt;&gt;"",_PENDIENTES!$A$574,"")</f>
        <v/>
      </c>
      <c r="C580" s="107" t="str">
        <f aca="false">IF(_PENDIENTES!$B$574&lt;&gt;"",_PENDIENTES!$C$574,"")</f>
        <v/>
      </c>
      <c r="D580" s="106" t="str">
        <f aca="false">IF(_PENDIENTES!$B$574&lt;&gt;"",_PENDIENTES!$D$574,"")</f>
        <v/>
      </c>
      <c r="E580" s="111" t="str">
        <f aca="false">IF(_PENDIENTES!$B$574&lt;&gt;"",_PENDIENTES!$E$574,"")</f>
        <v/>
      </c>
      <c r="F580" s="106" t="str">
        <f aca="false">IF(_PENDIENTES!$B$574&lt;&gt;"",_PENDIENTES!$F$574,"")</f>
        <v/>
      </c>
      <c r="G580" s="50" t="str">
        <f aca="false">IF(_PENDIENTES!$B$574&lt;&gt;"",_PENDIENTES!$G$574,"")</f>
        <v/>
      </c>
      <c r="H580" s="50" t="str">
        <f aca="false">IF(_PENDIENTES!$B$574&lt;&gt;"",_PENDIENTES!$H$574,"")</f>
        <v/>
      </c>
      <c r="I580" s="107" t="str">
        <f aca="false">IF(_PENDIENTES!$B$574&lt;&gt;"",_PENDIENTES!$I$574,"")</f>
        <v/>
      </c>
      <c r="J580" s="106" t="str">
        <f aca="false">IF(_PENDIENTES!$B$574&lt;&gt;"",_PENDIENTES!$J$574,"")</f>
        <v/>
      </c>
      <c r="K580" s="106" t="str">
        <f aca="false">IF(_PENDIENTES!$B$574&lt;&gt;"","POR RECOGER","")</f>
        <v/>
      </c>
      <c r="L580" s="106" t="str">
        <f aca="false">IF(_PENDIENTES!$B$574&lt;&gt;"",_PENDIENTES!$K$574,"")</f>
        <v/>
      </c>
      <c r="M580" s="89" t="str">
        <f aca="false">IF(_PENDIENTES!$B$574&lt;&gt;"",_PENDIENTES!$B$574,"")</f>
        <v/>
      </c>
      <c r="N580" s="109" t="str">
        <f aca="false">IF(_PENDIENTES!$B$574&lt;&gt;"",_PENDIENTES!$L$574,"")</f>
        <v/>
      </c>
      <c r="O580" s="89"/>
      <c r="P580" s="89"/>
      <c r="Q580" s="89"/>
      <c r="R580" s="89"/>
      <c r="S580" s="89"/>
    </row>
    <row r="581" customFormat="false" ht="15.75" hidden="true" customHeight="true" outlineLevel="0" collapsed="false">
      <c r="A581" s="46" t="str">
        <f aca="false">IF(_PENDIENTES!$B$575&lt;&gt;"",574,"")</f>
        <v/>
      </c>
      <c r="B581" s="41" t="str">
        <f aca="false">IF(_PENDIENTES!$B$575&lt;&gt;"",_PENDIENTES!$A$575,"")</f>
        <v/>
      </c>
      <c r="C581" s="110" t="str">
        <f aca="false">IF(_PENDIENTES!$B$575&lt;&gt;"",_PENDIENTES!$C$575,"")</f>
        <v/>
      </c>
      <c r="D581" s="46" t="str">
        <f aca="false">IF(_PENDIENTES!$B$575&lt;&gt;"",_PENDIENTES!$D$575,"")</f>
        <v/>
      </c>
      <c r="E581" s="112" t="str">
        <f aca="false">IF(_PENDIENTES!$B$575&lt;&gt;"",_PENDIENTES!$E$575,"")</f>
        <v/>
      </c>
      <c r="F581" s="46" t="str">
        <f aca="false">IF(_PENDIENTES!$B$575&lt;&gt;"",_PENDIENTES!$F$575,"")</f>
        <v/>
      </c>
      <c r="G581" s="44" t="str">
        <f aca="false">IF(_PENDIENTES!$B$575&lt;&gt;"",_PENDIENTES!$G$575,"")</f>
        <v/>
      </c>
      <c r="H581" s="44" t="str">
        <f aca="false">IF(_PENDIENTES!$B$575&lt;&gt;"",_PENDIENTES!$H$575,"")</f>
        <v/>
      </c>
      <c r="I581" s="110" t="str">
        <f aca="false">IF(_PENDIENTES!$B$575&lt;&gt;"",_PENDIENTES!$I$575,"")</f>
        <v/>
      </c>
      <c r="J581" s="46" t="str">
        <f aca="false">IF(_PENDIENTES!$B$575&lt;&gt;"",_PENDIENTES!$J$575,"")</f>
        <v/>
      </c>
      <c r="K581" s="46" t="str">
        <f aca="false">IF(_PENDIENTES!$B$575&lt;&gt;"","POR RECOGER","")</f>
        <v/>
      </c>
      <c r="L581" s="46" t="str">
        <f aca="false">IF(_PENDIENTES!$B$575&lt;&gt;"",_PENDIENTES!$K$575,"")</f>
        <v/>
      </c>
      <c r="M581" s="89" t="str">
        <f aca="false">IF(_PENDIENTES!$B$575&lt;&gt;"",_PENDIENTES!$B$575,"")</f>
        <v/>
      </c>
      <c r="N581" s="109" t="str">
        <f aca="false">IF(_PENDIENTES!$B$575&lt;&gt;"",_PENDIENTES!$L$575,"")</f>
        <v/>
      </c>
      <c r="O581" s="89"/>
      <c r="P581" s="89"/>
      <c r="Q581" s="89"/>
      <c r="R581" s="89"/>
      <c r="S581" s="89"/>
    </row>
    <row r="582" customFormat="false" ht="15.75" hidden="true" customHeight="true" outlineLevel="0" collapsed="false">
      <c r="A582" s="106" t="str">
        <f aca="false">IF(_PENDIENTES!$B$576&lt;&gt;"",575,"")</f>
        <v/>
      </c>
      <c r="B582" s="47" t="str">
        <f aca="false">IF(_PENDIENTES!$B$576&lt;&gt;"",_PENDIENTES!$A$576,"")</f>
        <v/>
      </c>
      <c r="C582" s="107" t="str">
        <f aca="false">IF(_PENDIENTES!$B$576&lt;&gt;"",_PENDIENTES!$C$576,"")</f>
        <v/>
      </c>
      <c r="D582" s="106" t="str">
        <f aca="false">IF(_PENDIENTES!$B$576&lt;&gt;"",_PENDIENTES!$D$576,"")</f>
        <v/>
      </c>
      <c r="E582" s="111" t="str">
        <f aca="false">IF(_PENDIENTES!$B$576&lt;&gt;"",_PENDIENTES!$E$576,"")</f>
        <v/>
      </c>
      <c r="F582" s="106" t="str">
        <f aca="false">IF(_PENDIENTES!$B$576&lt;&gt;"",_PENDIENTES!$F$576,"")</f>
        <v/>
      </c>
      <c r="G582" s="50" t="str">
        <f aca="false">IF(_PENDIENTES!$B$576&lt;&gt;"",_PENDIENTES!$G$576,"")</f>
        <v/>
      </c>
      <c r="H582" s="50" t="str">
        <f aca="false">IF(_PENDIENTES!$B$576&lt;&gt;"",_PENDIENTES!$H$576,"")</f>
        <v/>
      </c>
      <c r="I582" s="107" t="str">
        <f aca="false">IF(_PENDIENTES!$B$576&lt;&gt;"",_PENDIENTES!$I$576,"")</f>
        <v/>
      </c>
      <c r="J582" s="106" t="str">
        <f aca="false">IF(_PENDIENTES!$B$576&lt;&gt;"",_PENDIENTES!$J$576,"")</f>
        <v/>
      </c>
      <c r="K582" s="106" t="str">
        <f aca="false">IF(_PENDIENTES!$B$576&lt;&gt;"","POR RECOGER","")</f>
        <v/>
      </c>
      <c r="L582" s="106" t="str">
        <f aca="false">IF(_PENDIENTES!$B$576&lt;&gt;"",_PENDIENTES!$K$576,"")</f>
        <v/>
      </c>
      <c r="M582" s="89" t="str">
        <f aca="false">IF(_PENDIENTES!$B$576&lt;&gt;"",_PENDIENTES!$B$576,"")</f>
        <v/>
      </c>
      <c r="N582" s="109" t="str">
        <f aca="false">IF(_PENDIENTES!$B$576&lt;&gt;"",_PENDIENTES!$L$576,"")</f>
        <v/>
      </c>
      <c r="O582" s="89"/>
      <c r="P582" s="89"/>
      <c r="Q582" s="89"/>
      <c r="R582" s="89"/>
      <c r="S582" s="89"/>
    </row>
    <row r="583" customFormat="false" ht="15.75" hidden="true" customHeight="true" outlineLevel="0" collapsed="false">
      <c r="A583" s="46" t="str">
        <f aca="false">IF(_PENDIENTES!$B$577&lt;&gt;"",576,"")</f>
        <v/>
      </c>
      <c r="B583" s="41" t="str">
        <f aca="false">IF(_PENDIENTES!$B$577&lt;&gt;"",_PENDIENTES!$A$577,"")</f>
        <v/>
      </c>
      <c r="C583" s="110" t="str">
        <f aca="false">IF(_PENDIENTES!$B$577&lt;&gt;"",_PENDIENTES!$C$577,"")</f>
        <v/>
      </c>
      <c r="D583" s="46" t="str">
        <f aca="false">IF(_PENDIENTES!$B$577&lt;&gt;"",_PENDIENTES!$D$577,"")</f>
        <v/>
      </c>
      <c r="E583" s="112" t="str">
        <f aca="false">IF(_PENDIENTES!$B$577&lt;&gt;"",_PENDIENTES!$E$577,"")</f>
        <v/>
      </c>
      <c r="F583" s="46" t="str">
        <f aca="false">IF(_PENDIENTES!$B$577&lt;&gt;"",_PENDIENTES!$F$577,"")</f>
        <v/>
      </c>
      <c r="G583" s="44" t="str">
        <f aca="false">IF(_PENDIENTES!$B$577&lt;&gt;"",_PENDIENTES!$G$577,"")</f>
        <v/>
      </c>
      <c r="H583" s="44" t="str">
        <f aca="false">IF(_PENDIENTES!$B$577&lt;&gt;"",_PENDIENTES!$H$577,"")</f>
        <v/>
      </c>
      <c r="I583" s="110" t="str">
        <f aca="false">IF(_PENDIENTES!$B$577&lt;&gt;"",_PENDIENTES!$I$577,"")</f>
        <v/>
      </c>
      <c r="J583" s="46" t="str">
        <f aca="false">IF(_PENDIENTES!$B$577&lt;&gt;"",_PENDIENTES!$J$577,"")</f>
        <v/>
      </c>
      <c r="K583" s="46" t="str">
        <f aca="false">IF(_PENDIENTES!$B$577&lt;&gt;"","POR RECOGER","")</f>
        <v/>
      </c>
      <c r="L583" s="46" t="str">
        <f aca="false">IF(_PENDIENTES!$B$577&lt;&gt;"",_PENDIENTES!$K$577,"")</f>
        <v/>
      </c>
      <c r="M583" s="89" t="str">
        <f aca="false">IF(_PENDIENTES!$B$577&lt;&gt;"",_PENDIENTES!$B$577,"")</f>
        <v/>
      </c>
      <c r="N583" s="109" t="str">
        <f aca="false">IF(_PENDIENTES!$B$577&lt;&gt;"",_PENDIENTES!$L$577,"")</f>
        <v/>
      </c>
      <c r="O583" s="89"/>
      <c r="P583" s="89"/>
      <c r="Q583" s="89"/>
      <c r="R583" s="89"/>
      <c r="S583" s="89"/>
    </row>
    <row r="584" customFormat="false" ht="15.75" hidden="true" customHeight="true" outlineLevel="0" collapsed="false">
      <c r="A584" s="106" t="str">
        <f aca="false">IF(_PENDIENTES!$B$578&lt;&gt;"",577,"")</f>
        <v/>
      </c>
      <c r="B584" s="47" t="str">
        <f aca="false">IF(_PENDIENTES!$B$578&lt;&gt;"",_PENDIENTES!$A$578,"")</f>
        <v/>
      </c>
      <c r="C584" s="107" t="str">
        <f aca="false">IF(_PENDIENTES!$B$578&lt;&gt;"",_PENDIENTES!$C$578,"")</f>
        <v/>
      </c>
      <c r="D584" s="106" t="str">
        <f aca="false">IF(_PENDIENTES!$B$578&lt;&gt;"",_PENDIENTES!$D$578,"")</f>
        <v/>
      </c>
      <c r="E584" s="111" t="str">
        <f aca="false">IF(_PENDIENTES!$B$578&lt;&gt;"",_PENDIENTES!$E$578,"")</f>
        <v/>
      </c>
      <c r="F584" s="106" t="str">
        <f aca="false">IF(_PENDIENTES!$B$578&lt;&gt;"",_PENDIENTES!$F$578,"")</f>
        <v/>
      </c>
      <c r="G584" s="50" t="str">
        <f aca="false">IF(_PENDIENTES!$B$578&lt;&gt;"",_PENDIENTES!$G$578,"")</f>
        <v/>
      </c>
      <c r="H584" s="50" t="str">
        <f aca="false">IF(_PENDIENTES!$B$578&lt;&gt;"",_PENDIENTES!$H$578,"")</f>
        <v/>
      </c>
      <c r="I584" s="107" t="str">
        <f aca="false">IF(_PENDIENTES!$B$578&lt;&gt;"",_PENDIENTES!$I$578,"")</f>
        <v/>
      </c>
      <c r="J584" s="106" t="str">
        <f aca="false">IF(_PENDIENTES!$B$578&lt;&gt;"",_PENDIENTES!$J$578,"")</f>
        <v/>
      </c>
      <c r="K584" s="106" t="str">
        <f aca="false">IF(_PENDIENTES!$B$578&lt;&gt;"","POR RECOGER","")</f>
        <v/>
      </c>
      <c r="L584" s="106" t="str">
        <f aca="false">IF(_PENDIENTES!$B$578&lt;&gt;"",_PENDIENTES!$K$578,"")</f>
        <v/>
      </c>
      <c r="M584" s="89" t="str">
        <f aca="false">IF(_PENDIENTES!$B$578&lt;&gt;"",_PENDIENTES!$B$578,"")</f>
        <v/>
      </c>
      <c r="N584" s="109" t="str">
        <f aca="false">IF(_PENDIENTES!$B$578&lt;&gt;"",_PENDIENTES!$L$578,"")</f>
        <v/>
      </c>
      <c r="O584" s="89"/>
      <c r="P584" s="89"/>
      <c r="Q584" s="89"/>
      <c r="R584" s="89"/>
      <c r="S584" s="89"/>
    </row>
    <row r="585" customFormat="false" ht="15.75" hidden="true" customHeight="true" outlineLevel="0" collapsed="false">
      <c r="A585" s="46" t="str">
        <f aca="false">IF(_PENDIENTES!$B$579&lt;&gt;"",578,"")</f>
        <v/>
      </c>
      <c r="B585" s="41" t="str">
        <f aca="false">IF(_PENDIENTES!$B$579&lt;&gt;"",_PENDIENTES!$A$579,"")</f>
        <v/>
      </c>
      <c r="C585" s="110" t="str">
        <f aca="false">IF(_PENDIENTES!$B$579&lt;&gt;"",_PENDIENTES!$C$579,"")</f>
        <v/>
      </c>
      <c r="D585" s="46" t="str">
        <f aca="false">IF(_PENDIENTES!$B$579&lt;&gt;"",_PENDIENTES!$D$579,"")</f>
        <v/>
      </c>
      <c r="E585" s="112" t="str">
        <f aca="false">IF(_PENDIENTES!$B$579&lt;&gt;"",_PENDIENTES!$E$579,"")</f>
        <v/>
      </c>
      <c r="F585" s="46" t="str">
        <f aca="false">IF(_PENDIENTES!$B$579&lt;&gt;"",_PENDIENTES!$F$579,"")</f>
        <v/>
      </c>
      <c r="G585" s="44" t="str">
        <f aca="false">IF(_PENDIENTES!$B$579&lt;&gt;"",_PENDIENTES!$G$579,"")</f>
        <v/>
      </c>
      <c r="H585" s="44" t="str">
        <f aca="false">IF(_PENDIENTES!$B$579&lt;&gt;"",_PENDIENTES!$H$579,"")</f>
        <v/>
      </c>
      <c r="I585" s="110" t="str">
        <f aca="false">IF(_PENDIENTES!$B$579&lt;&gt;"",_PENDIENTES!$I$579,"")</f>
        <v/>
      </c>
      <c r="J585" s="46" t="str">
        <f aca="false">IF(_PENDIENTES!$B$579&lt;&gt;"",_PENDIENTES!$J$579,"")</f>
        <v/>
      </c>
      <c r="K585" s="46" t="str">
        <f aca="false">IF(_PENDIENTES!$B$579&lt;&gt;"","POR RECOGER","")</f>
        <v/>
      </c>
      <c r="L585" s="46" t="str">
        <f aca="false">IF(_PENDIENTES!$B$579&lt;&gt;"",_PENDIENTES!$K$579,"")</f>
        <v/>
      </c>
      <c r="M585" s="89" t="str">
        <f aca="false">IF(_PENDIENTES!$B$579&lt;&gt;"",_PENDIENTES!$B$579,"")</f>
        <v/>
      </c>
      <c r="N585" s="109" t="str">
        <f aca="false">IF(_PENDIENTES!$B$579&lt;&gt;"",_PENDIENTES!$L$579,"")</f>
        <v/>
      </c>
      <c r="O585" s="89"/>
      <c r="P585" s="89"/>
      <c r="Q585" s="89"/>
      <c r="R585" s="89"/>
      <c r="S585" s="89"/>
    </row>
    <row r="586" customFormat="false" ht="15.75" hidden="true" customHeight="true" outlineLevel="0" collapsed="false">
      <c r="A586" s="106" t="str">
        <f aca="false">IF(_PENDIENTES!$B$580&lt;&gt;"",579,"")</f>
        <v/>
      </c>
      <c r="B586" s="47" t="str">
        <f aca="false">IF(_PENDIENTES!$B$580&lt;&gt;"",_PENDIENTES!$A$580,"")</f>
        <v/>
      </c>
      <c r="C586" s="107" t="str">
        <f aca="false">IF(_PENDIENTES!$B$580&lt;&gt;"",_PENDIENTES!$C$580,"")</f>
        <v/>
      </c>
      <c r="D586" s="106" t="str">
        <f aca="false">IF(_PENDIENTES!$B$580&lt;&gt;"",_PENDIENTES!$D$580,"")</f>
        <v/>
      </c>
      <c r="E586" s="111" t="str">
        <f aca="false">IF(_PENDIENTES!$B$580&lt;&gt;"",_PENDIENTES!$E$580,"")</f>
        <v/>
      </c>
      <c r="F586" s="106" t="str">
        <f aca="false">IF(_PENDIENTES!$B$580&lt;&gt;"",_PENDIENTES!$F$580,"")</f>
        <v/>
      </c>
      <c r="G586" s="50" t="str">
        <f aca="false">IF(_PENDIENTES!$B$580&lt;&gt;"",_PENDIENTES!$G$580,"")</f>
        <v/>
      </c>
      <c r="H586" s="50" t="str">
        <f aca="false">IF(_PENDIENTES!$B$580&lt;&gt;"",_PENDIENTES!$H$580,"")</f>
        <v/>
      </c>
      <c r="I586" s="107" t="str">
        <f aca="false">IF(_PENDIENTES!$B$580&lt;&gt;"",_PENDIENTES!$I$580,"")</f>
        <v/>
      </c>
      <c r="J586" s="106" t="str">
        <f aca="false">IF(_PENDIENTES!$B$580&lt;&gt;"",_PENDIENTES!$J$580,"")</f>
        <v/>
      </c>
      <c r="K586" s="106" t="str">
        <f aca="false">IF(_PENDIENTES!$B$580&lt;&gt;"","POR RECOGER","")</f>
        <v/>
      </c>
      <c r="L586" s="106" t="str">
        <f aca="false">IF(_PENDIENTES!$B$580&lt;&gt;"",_PENDIENTES!$K$580,"")</f>
        <v/>
      </c>
      <c r="M586" s="89" t="str">
        <f aca="false">IF(_PENDIENTES!$B$580&lt;&gt;"",_PENDIENTES!$B$580,"")</f>
        <v/>
      </c>
      <c r="N586" s="109" t="str">
        <f aca="false">IF(_PENDIENTES!$B$580&lt;&gt;"",_PENDIENTES!$L$580,"")</f>
        <v/>
      </c>
      <c r="O586" s="89"/>
      <c r="P586" s="89"/>
      <c r="Q586" s="89"/>
      <c r="R586" s="89"/>
      <c r="S586" s="89"/>
    </row>
    <row r="587" customFormat="false" ht="15.75" hidden="true" customHeight="true" outlineLevel="0" collapsed="false">
      <c r="A587" s="46" t="str">
        <f aca="false">IF(_PENDIENTES!$B$581&lt;&gt;"",580,"")</f>
        <v/>
      </c>
      <c r="B587" s="41" t="str">
        <f aca="false">IF(_PENDIENTES!$B$581&lt;&gt;"",_PENDIENTES!$A$581,"")</f>
        <v/>
      </c>
      <c r="C587" s="110" t="str">
        <f aca="false">IF(_PENDIENTES!$B$581&lt;&gt;"",_PENDIENTES!$C$581,"")</f>
        <v/>
      </c>
      <c r="D587" s="46" t="str">
        <f aca="false">IF(_PENDIENTES!$B$581&lt;&gt;"",_PENDIENTES!$D$581,"")</f>
        <v/>
      </c>
      <c r="E587" s="112" t="str">
        <f aca="false">IF(_PENDIENTES!$B$581&lt;&gt;"",_PENDIENTES!$E$581,"")</f>
        <v/>
      </c>
      <c r="F587" s="46" t="str">
        <f aca="false">IF(_PENDIENTES!$B$581&lt;&gt;"",_PENDIENTES!$F$581,"")</f>
        <v/>
      </c>
      <c r="G587" s="44" t="str">
        <f aca="false">IF(_PENDIENTES!$B$581&lt;&gt;"",_PENDIENTES!$G$581,"")</f>
        <v/>
      </c>
      <c r="H587" s="44" t="str">
        <f aca="false">IF(_PENDIENTES!$B$581&lt;&gt;"",_PENDIENTES!$H$581,"")</f>
        <v/>
      </c>
      <c r="I587" s="110" t="str">
        <f aca="false">IF(_PENDIENTES!$B$581&lt;&gt;"",_PENDIENTES!$I$581,"")</f>
        <v/>
      </c>
      <c r="J587" s="46" t="str">
        <f aca="false">IF(_PENDIENTES!$B$581&lt;&gt;"",_PENDIENTES!$J$581,"")</f>
        <v/>
      </c>
      <c r="K587" s="46" t="str">
        <f aca="false">IF(_PENDIENTES!$B$581&lt;&gt;"","POR RECOGER","")</f>
        <v/>
      </c>
      <c r="L587" s="46" t="str">
        <f aca="false">IF(_PENDIENTES!$B$581&lt;&gt;"",_PENDIENTES!$K$581,"")</f>
        <v/>
      </c>
      <c r="M587" s="89" t="str">
        <f aca="false">IF(_PENDIENTES!$B$581&lt;&gt;"",_PENDIENTES!$B$581,"")</f>
        <v/>
      </c>
      <c r="N587" s="109" t="str">
        <f aca="false">IF(_PENDIENTES!$B$581&lt;&gt;"",_PENDIENTES!$L$581,"")</f>
        <v/>
      </c>
      <c r="O587" s="89"/>
      <c r="P587" s="89"/>
      <c r="Q587" s="89"/>
      <c r="R587" s="89"/>
      <c r="S587" s="89"/>
    </row>
    <row r="588" customFormat="false" ht="15.75" hidden="true" customHeight="true" outlineLevel="0" collapsed="false">
      <c r="A588" s="106" t="str">
        <f aca="false">IF(_PENDIENTES!$B$582&lt;&gt;"",581,"")</f>
        <v/>
      </c>
      <c r="B588" s="47" t="str">
        <f aca="false">IF(_PENDIENTES!$B$582&lt;&gt;"",_PENDIENTES!$A$582,"")</f>
        <v/>
      </c>
      <c r="C588" s="107" t="str">
        <f aca="false">IF(_PENDIENTES!$B$582&lt;&gt;"",_PENDIENTES!$C$582,"")</f>
        <v/>
      </c>
      <c r="D588" s="106" t="str">
        <f aca="false">IF(_PENDIENTES!$B$582&lt;&gt;"",_PENDIENTES!$D$582,"")</f>
        <v/>
      </c>
      <c r="E588" s="111" t="str">
        <f aca="false">IF(_PENDIENTES!$B$582&lt;&gt;"",_PENDIENTES!$E$582,"")</f>
        <v/>
      </c>
      <c r="F588" s="106" t="str">
        <f aca="false">IF(_PENDIENTES!$B$582&lt;&gt;"",_PENDIENTES!$F$582,"")</f>
        <v/>
      </c>
      <c r="G588" s="50" t="str">
        <f aca="false">IF(_PENDIENTES!$B$582&lt;&gt;"",_PENDIENTES!$G$582,"")</f>
        <v/>
      </c>
      <c r="H588" s="50" t="str">
        <f aca="false">IF(_PENDIENTES!$B$582&lt;&gt;"",_PENDIENTES!$H$582,"")</f>
        <v/>
      </c>
      <c r="I588" s="107" t="str">
        <f aca="false">IF(_PENDIENTES!$B$582&lt;&gt;"",_PENDIENTES!$I$582,"")</f>
        <v/>
      </c>
      <c r="J588" s="106" t="str">
        <f aca="false">IF(_PENDIENTES!$B$582&lt;&gt;"",_PENDIENTES!$J$582,"")</f>
        <v/>
      </c>
      <c r="K588" s="106" t="str">
        <f aca="false">IF(_PENDIENTES!$B$582&lt;&gt;"","POR RECOGER","")</f>
        <v/>
      </c>
      <c r="L588" s="106" t="str">
        <f aca="false">IF(_PENDIENTES!$B$582&lt;&gt;"",_PENDIENTES!$K$582,"")</f>
        <v/>
      </c>
      <c r="M588" s="89" t="str">
        <f aca="false">IF(_PENDIENTES!$B$582&lt;&gt;"",_PENDIENTES!$B$582,"")</f>
        <v/>
      </c>
      <c r="N588" s="109" t="str">
        <f aca="false">IF(_PENDIENTES!$B$582&lt;&gt;"",_PENDIENTES!$L$582,"")</f>
        <v/>
      </c>
      <c r="O588" s="89"/>
      <c r="P588" s="89"/>
      <c r="Q588" s="89"/>
      <c r="R588" s="89"/>
      <c r="S588" s="89"/>
    </row>
    <row r="589" customFormat="false" ht="15.75" hidden="true" customHeight="true" outlineLevel="0" collapsed="false">
      <c r="A589" s="46" t="str">
        <f aca="false">IF(_PENDIENTES!$B$583&lt;&gt;"",582,"")</f>
        <v/>
      </c>
      <c r="B589" s="41" t="str">
        <f aca="false">IF(_PENDIENTES!$B$583&lt;&gt;"",_PENDIENTES!$A$583,"")</f>
        <v/>
      </c>
      <c r="C589" s="110" t="str">
        <f aca="false">IF(_PENDIENTES!$B$583&lt;&gt;"",_PENDIENTES!$C$583,"")</f>
        <v/>
      </c>
      <c r="D589" s="46" t="str">
        <f aca="false">IF(_PENDIENTES!$B$583&lt;&gt;"",_PENDIENTES!$D$583,"")</f>
        <v/>
      </c>
      <c r="E589" s="112" t="str">
        <f aca="false">IF(_PENDIENTES!$B$583&lt;&gt;"",_PENDIENTES!$E$583,"")</f>
        <v/>
      </c>
      <c r="F589" s="46" t="str">
        <f aca="false">IF(_PENDIENTES!$B$583&lt;&gt;"",_PENDIENTES!$F$583,"")</f>
        <v/>
      </c>
      <c r="G589" s="44" t="str">
        <f aca="false">IF(_PENDIENTES!$B$583&lt;&gt;"",_PENDIENTES!$G$583,"")</f>
        <v/>
      </c>
      <c r="H589" s="44" t="str">
        <f aca="false">IF(_PENDIENTES!$B$583&lt;&gt;"",_PENDIENTES!$H$583,"")</f>
        <v/>
      </c>
      <c r="I589" s="110" t="str">
        <f aca="false">IF(_PENDIENTES!$B$583&lt;&gt;"",_PENDIENTES!$I$583,"")</f>
        <v/>
      </c>
      <c r="J589" s="46" t="str">
        <f aca="false">IF(_PENDIENTES!$B$583&lt;&gt;"",_PENDIENTES!$J$583,"")</f>
        <v/>
      </c>
      <c r="K589" s="46" t="str">
        <f aca="false">IF(_PENDIENTES!$B$583&lt;&gt;"","POR RECOGER","")</f>
        <v/>
      </c>
      <c r="L589" s="46" t="str">
        <f aca="false">IF(_PENDIENTES!$B$583&lt;&gt;"",_PENDIENTES!$K$583,"")</f>
        <v/>
      </c>
      <c r="M589" s="89" t="str">
        <f aca="false">IF(_PENDIENTES!$B$583&lt;&gt;"",_PENDIENTES!$B$583,"")</f>
        <v/>
      </c>
      <c r="N589" s="109" t="str">
        <f aca="false">IF(_PENDIENTES!$B$583&lt;&gt;"",_PENDIENTES!$L$583,"")</f>
        <v/>
      </c>
      <c r="O589" s="89"/>
      <c r="P589" s="89"/>
      <c r="Q589" s="89"/>
      <c r="R589" s="89"/>
      <c r="S589" s="89"/>
    </row>
    <row r="590" customFormat="false" ht="15.75" hidden="true" customHeight="true" outlineLevel="0" collapsed="false">
      <c r="A590" s="106" t="str">
        <f aca="false">IF(_PENDIENTES!$B$584&lt;&gt;"",583,"")</f>
        <v/>
      </c>
      <c r="B590" s="47" t="str">
        <f aca="false">IF(_PENDIENTES!$B$584&lt;&gt;"",_PENDIENTES!$A$584,"")</f>
        <v/>
      </c>
      <c r="C590" s="107" t="str">
        <f aca="false">IF(_PENDIENTES!$B$584&lt;&gt;"",_PENDIENTES!$C$584,"")</f>
        <v/>
      </c>
      <c r="D590" s="106" t="str">
        <f aca="false">IF(_PENDIENTES!$B$584&lt;&gt;"",_PENDIENTES!$D$584,"")</f>
        <v/>
      </c>
      <c r="E590" s="111" t="str">
        <f aca="false">IF(_PENDIENTES!$B$584&lt;&gt;"",_PENDIENTES!$E$584,"")</f>
        <v/>
      </c>
      <c r="F590" s="106" t="str">
        <f aca="false">IF(_PENDIENTES!$B$584&lt;&gt;"",_PENDIENTES!$F$584,"")</f>
        <v/>
      </c>
      <c r="G590" s="50" t="str">
        <f aca="false">IF(_PENDIENTES!$B$584&lt;&gt;"",_PENDIENTES!$G$584,"")</f>
        <v/>
      </c>
      <c r="H590" s="50" t="str">
        <f aca="false">IF(_PENDIENTES!$B$584&lt;&gt;"",_PENDIENTES!$H$584,"")</f>
        <v/>
      </c>
      <c r="I590" s="107" t="str">
        <f aca="false">IF(_PENDIENTES!$B$584&lt;&gt;"",_PENDIENTES!$I$584,"")</f>
        <v/>
      </c>
      <c r="J590" s="106" t="str">
        <f aca="false">IF(_PENDIENTES!$B$584&lt;&gt;"",_PENDIENTES!$J$584,"")</f>
        <v/>
      </c>
      <c r="K590" s="106" t="str">
        <f aca="false">IF(_PENDIENTES!$B$584&lt;&gt;"","POR RECOGER","")</f>
        <v/>
      </c>
      <c r="L590" s="106" t="str">
        <f aca="false">IF(_PENDIENTES!$B$584&lt;&gt;"",_PENDIENTES!$K$584,"")</f>
        <v/>
      </c>
      <c r="M590" s="89" t="str">
        <f aca="false">IF(_PENDIENTES!$B$584&lt;&gt;"",_PENDIENTES!$B$584,"")</f>
        <v/>
      </c>
      <c r="N590" s="109" t="str">
        <f aca="false">IF(_PENDIENTES!$B$584&lt;&gt;"",_PENDIENTES!$L$584,"")</f>
        <v/>
      </c>
      <c r="O590" s="89"/>
      <c r="P590" s="89"/>
      <c r="Q590" s="89"/>
      <c r="R590" s="89"/>
      <c r="S590" s="89"/>
    </row>
    <row r="591" customFormat="false" ht="15.75" hidden="true" customHeight="true" outlineLevel="0" collapsed="false">
      <c r="A591" s="46" t="str">
        <f aca="false">IF(_PENDIENTES!$B$585&lt;&gt;"",584,"")</f>
        <v/>
      </c>
      <c r="B591" s="41" t="str">
        <f aca="false">IF(_PENDIENTES!$B$585&lt;&gt;"",_PENDIENTES!$A$585,"")</f>
        <v/>
      </c>
      <c r="C591" s="110" t="str">
        <f aca="false">IF(_PENDIENTES!$B$585&lt;&gt;"",_PENDIENTES!$C$585,"")</f>
        <v/>
      </c>
      <c r="D591" s="46" t="str">
        <f aca="false">IF(_PENDIENTES!$B$585&lt;&gt;"",_PENDIENTES!$D$585,"")</f>
        <v/>
      </c>
      <c r="E591" s="112" t="str">
        <f aca="false">IF(_PENDIENTES!$B$585&lt;&gt;"",_PENDIENTES!$E$585,"")</f>
        <v/>
      </c>
      <c r="F591" s="46" t="str">
        <f aca="false">IF(_PENDIENTES!$B$585&lt;&gt;"",_PENDIENTES!$F$585,"")</f>
        <v/>
      </c>
      <c r="G591" s="44" t="str">
        <f aca="false">IF(_PENDIENTES!$B$585&lt;&gt;"",_PENDIENTES!$G$585,"")</f>
        <v/>
      </c>
      <c r="H591" s="44" t="str">
        <f aca="false">IF(_PENDIENTES!$B$585&lt;&gt;"",_PENDIENTES!$H$585,"")</f>
        <v/>
      </c>
      <c r="I591" s="110" t="str">
        <f aca="false">IF(_PENDIENTES!$B$585&lt;&gt;"",_PENDIENTES!$I$585,"")</f>
        <v/>
      </c>
      <c r="J591" s="46" t="str">
        <f aca="false">IF(_PENDIENTES!$B$585&lt;&gt;"",_PENDIENTES!$J$585,"")</f>
        <v/>
      </c>
      <c r="K591" s="46" t="str">
        <f aca="false">IF(_PENDIENTES!$B$585&lt;&gt;"","POR RECOGER","")</f>
        <v/>
      </c>
      <c r="L591" s="46" t="str">
        <f aca="false">IF(_PENDIENTES!$B$585&lt;&gt;"",_PENDIENTES!$K$585,"")</f>
        <v/>
      </c>
      <c r="M591" s="89" t="str">
        <f aca="false">IF(_PENDIENTES!$B$585&lt;&gt;"",_PENDIENTES!$B$585,"")</f>
        <v/>
      </c>
      <c r="N591" s="109" t="str">
        <f aca="false">IF(_PENDIENTES!$B$585&lt;&gt;"",_PENDIENTES!$L$585,"")</f>
        <v/>
      </c>
      <c r="O591" s="89"/>
      <c r="P591" s="89"/>
      <c r="Q591" s="89"/>
      <c r="R591" s="89"/>
      <c r="S591" s="89"/>
    </row>
    <row r="592" customFormat="false" ht="15.75" hidden="true" customHeight="true" outlineLevel="0" collapsed="false">
      <c r="A592" s="106" t="str">
        <f aca="false">IF(_PENDIENTES!$B$586&lt;&gt;"",585,"")</f>
        <v/>
      </c>
      <c r="B592" s="47" t="str">
        <f aca="false">IF(_PENDIENTES!$B$586&lt;&gt;"",_PENDIENTES!$A$586,"")</f>
        <v/>
      </c>
      <c r="C592" s="107" t="str">
        <f aca="false">IF(_PENDIENTES!$B$586&lt;&gt;"",_PENDIENTES!$C$586,"")</f>
        <v/>
      </c>
      <c r="D592" s="106" t="str">
        <f aca="false">IF(_PENDIENTES!$B$586&lt;&gt;"",_PENDIENTES!$D$586,"")</f>
        <v/>
      </c>
      <c r="E592" s="111" t="str">
        <f aca="false">IF(_PENDIENTES!$B$586&lt;&gt;"",_PENDIENTES!$E$586,"")</f>
        <v/>
      </c>
      <c r="F592" s="106" t="str">
        <f aca="false">IF(_PENDIENTES!$B$586&lt;&gt;"",_PENDIENTES!$F$586,"")</f>
        <v/>
      </c>
      <c r="G592" s="50" t="str">
        <f aca="false">IF(_PENDIENTES!$B$586&lt;&gt;"",_PENDIENTES!$G$586,"")</f>
        <v/>
      </c>
      <c r="H592" s="50" t="str">
        <f aca="false">IF(_PENDIENTES!$B$586&lt;&gt;"",_PENDIENTES!$H$586,"")</f>
        <v/>
      </c>
      <c r="I592" s="107" t="str">
        <f aca="false">IF(_PENDIENTES!$B$586&lt;&gt;"",_PENDIENTES!$I$586,"")</f>
        <v/>
      </c>
      <c r="J592" s="106" t="str">
        <f aca="false">IF(_PENDIENTES!$B$586&lt;&gt;"",_PENDIENTES!$J$586,"")</f>
        <v/>
      </c>
      <c r="K592" s="106" t="str">
        <f aca="false">IF(_PENDIENTES!$B$586&lt;&gt;"","POR RECOGER","")</f>
        <v/>
      </c>
      <c r="L592" s="106" t="str">
        <f aca="false">IF(_PENDIENTES!$B$586&lt;&gt;"",_PENDIENTES!$K$586,"")</f>
        <v/>
      </c>
      <c r="M592" s="89" t="str">
        <f aca="false">IF(_PENDIENTES!$B$586&lt;&gt;"",_PENDIENTES!$B$586,"")</f>
        <v/>
      </c>
      <c r="N592" s="109" t="str">
        <f aca="false">IF(_PENDIENTES!$B$586&lt;&gt;"",_PENDIENTES!$L$586,"")</f>
        <v/>
      </c>
      <c r="O592" s="89"/>
      <c r="P592" s="89"/>
      <c r="Q592" s="89"/>
      <c r="R592" s="89"/>
      <c r="S592" s="89"/>
    </row>
    <row r="593" customFormat="false" ht="15.75" hidden="true" customHeight="true" outlineLevel="0" collapsed="false">
      <c r="A593" s="46" t="str">
        <f aca="false">IF(_PENDIENTES!$B$587&lt;&gt;"",586,"")</f>
        <v/>
      </c>
      <c r="B593" s="41" t="str">
        <f aca="false">IF(_PENDIENTES!$B$587&lt;&gt;"",_PENDIENTES!$A$587,"")</f>
        <v/>
      </c>
      <c r="C593" s="110" t="str">
        <f aca="false">IF(_PENDIENTES!$B$587&lt;&gt;"",_PENDIENTES!$C$587,"")</f>
        <v/>
      </c>
      <c r="D593" s="46" t="str">
        <f aca="false">IF(_PENDIENTES!$B$587&lt;&gt;"",_PENDIENTES!$D$587,"")</f>
        <v/>
      </c>
      <c r="E593" s="112" t="str">
        <f aca="false">IF(_PENDIENTES!$B$587&lt;&gt;"",_PENDIENTES!$E$587,"")</f>
        <v/>
      </c>
      <c r="F593" s="46" t="str">
        <f aca="false">IF(_PENDIENTES!$B$587&lt;&gt;"",_PENDIENTES!$F$587,"")</f>
        <v/>
      </c>
      <c r="G593" s="44" t="str">
        <f aca="false">IF(_PENDIENTES!$B$587&lt;&gt;"",_PENDIENTES!$G$587,"")</f>
        <v/>
      </c>
      <c r="H593" s="44" t="str">
        <f aca="false">IF(_PENDIENTES!$B$587&lt;&gt;"",_PENDIENTES!$H$587,"")</f>
        <v/>
      </c>
      <c r="I593" s="110" t="str">
        <f aca="false">IF(_PENDIENTES!$B$587&lt;&gt;"",_PENDIENTES!$I$587,"")</f>
        <v/>
      </c>
      <c r="J593" s="46" t="str">
        <f aca="false">IF(_PENDIENTES!$B$587&lt;&gt;"",_PENDIENTES!$J$587,"")</f>
        <v/>
      </c>
      <c r="K593" s="46" t="str">
        <f aca="false">IF(_PENDIENTES!$B$587&lt;&gt;"","POR RECOGER","")</f>
        <v/>
      </c>
      <c r="L593" s="46" t="str">
        <f aca="false">IF(_PENDIENTES!$B$587&lt;&gt;"",_PENDIENTES!$K$587,"")</f>
        <v/>
      </c>
      <c r="M593" s="89" t="str">
        <f aca="false">IF(_PENDIENTES!$B$587&lt;&gt;"",_PENDIENTES!$B$587,"")</f>
        <v/>
      </c>
      <c r="N593" s="109" t="str">
        <f aca="false">IF(_PENDIENTES!$B$587&lt;&gt;"",_PENDIENTES!$L$587,"")</f>
        <v/>
      </c>
      <c r="O593" s="89"/>
      <c r="P593" s="89"/>
      <c r="Q593" s="89"/>
      <c r="R593" s="89"/>
      <c r="S593" s="89"/>
    </row>
    <row r="594" customFormat="false" ht="15.75" hidden="true" customHeight="true" outlineLevel="0" collapsed="false">
      <c r="A594" s="106" t="str">
        <f aca="false">IF(_PENDIENTES!$B$588&lt;&gt;"",587,"")</f>
        <v/>
      </c>
      <c r="B594" s="47" t="str">
        <f aca="false">IF(_PENDIENTES!$B$588&lt;&gt;"",_PENDIENTES!$A$588,"")</f>
        <v/>
      </c>
      <c r="C594" s="107" t="str">
        <f aca="false">IF(_PENDIENTES!$B$588&lt;&gt;"",_PENDIENTES!$C$588,"")</f>
        <v/>
      </c>
      <c r="D594" s="106" t="str">
        <f aca="false">IF(_PENDIENTES!$B$588&lt;&gt;"",_PENDIENTES!$D$588,"")</f>
        <v/>
      </c>
      <c r="E594" s="111" t="str">
        <f aca="false">IF(_PENDIENTES!$B$588&lt;&gt;"",_PENDIENTES!$E$588,"")</f>
        <v/>
      </c>
      <c r="F594" s="106" t="str">
        <f aca="false">IF(_PENDIENTES!$B$588&lt;&gt;"",_PENDIENTES!$F$588,"")</f>
        <v/>
      </c>
      <c r="G594" s="50" t="str">
        <f aca="false">IF(_PENDIENTES!$B$588&lt;&gt;"",_PENDIENTES!$G$588,"")</f>
        <v/>
      </c>
      <c r="H594" s="50" t="str">
        <f aca="false">IF(_PENDIENTES!$B$588&lt;&gt;"",_PENDIENTES!$H$588,"")</f>
        <v/>
      </c>
      <c r="I594" s="107" t="str">
        <f aca="false">IF(_PENDIENTES!$B$588&lt;&gt;"",_PENDIENTES!$I$588,"")</f>
        <v/>
      </c>
      <c r="J594" s="106" t="str">
        <f aca="false">IF(_PENDIENTES!$B$588&lt;&gt;"",_PENDIENTES!$J$588,"")</f>
        <v/>
      </c>
      <c r="K594" s="106" t="str">
        <f aca="false">IF(_PENDIENTES!$B$588&lt;&gt;"","POR RECOGER","")</f>
        <v/>
      </c>
      <c r="L594" s="106" t="str">
        <f aca="false">IF(_PENDIENTES!$B$588&lt;&gt;"",_PENDIENTES!$K$588,"")</f>
        <v/>
      </c>
      <c r="M594" s="89" t="str">
        <f aca="false">IF(_PENDIENTES!$B$588&lt;&gt;"",_PENDIENTES!$B$588,"")</f>
        <v/>
      </c>
      <c r="N594" s="109" t="str">
        <f aca="false">IF(_PENDIENTES!$B$588&lt;&gt;"",_PENDIENTES!$L$588,"")</f>
        <v/>
      </c>
      <c r="O594" s="89"/>
      <c r="P594" s="89"/>
      <c r="Q594" s="89"/>
      <c r="R594" s="89"/>
      <c r="S594" s="89"/>
    </row>
    <row r="595" customFormat="false" ht="15.75" hidden="true" customHeight="true" outlineLevel="0" collapsed="false">
      <c r="A595" s="46" t="str">
        <f aca="false">IF(_PENDIENTES!$B$589&lt;&gt;"",588,"")</f>
        <v/>
      </c>
      <c r="B595" s="41" t="str">
        <f aca="false">IF(_PENDIENTES!$B$589&lt;&gt;"",_PENDIENTES!$A$589,"")</f>
        <v/>
      </c>
      <c r="C595" s="110" t="str">
        <f aca="false">IF(_PENDIENTES!$B$589&lt;&gt;"",_PENDIENTES!$C$589,"")</f>
        <v/>
      </c>
      <c r="D595" s="46" t="str">
        <f aca="false">IF(_PENDIENTES!$B$589&lt;&gt;"",_PENDIENTES!$D$589,"")</f>
        <v/>
      </c>
      <c r="E595" s="112" t="str">
        <f aca="false">IF(_PENDIENTES!$B$589&lt;&gt;"",_PENDIENTES!$E$589,"")</f>
        <v/>
      </c>
      <c r="F595" s="46" t="str">
        <f aca="false">IF(_PENDIENTES!$B$589&lt;&gt;"",_PENDIENTES!$F$589,"")</f>
        <v/>
      </c>
      <c r="G595" s="44" t="str">
        <f aca="false">IF(_PENDIENTES!$B$589&lt;&gt;"",_PENDIENTES!$G$589,"")</f>
        <v/>
      </c>
      <c r="H595" s="44" t="str">
        <f aca="false">IF(_PENDIENTES!$B$589&lt;&gt;"",_PENDIENTES!$H$589,"")</f>
        <v/>
      </c>
      <c r="I595" s="110" t="str">
        <f aca="false">IF(_PENDIENTES!$B$589&lt;&gt;"",_PENDIENTES!$I$589,"")</f>
        <v/>
      </c>
      <c r="J595" s="46" t="str">
        <f aca="false">IF(_PENDIENTES!$B$589&lt;&gt;"",_PENDIENTES!$J$589,"")</f>
        <v/>
      </c>
      <c r="K595" s="46" t="str">
        <f aca="false">IF(_PENDIENTES!$B$589&lt;&gt;"","POR RECOGER","")</f>
        <v/>
      </c>
      <c r="L595" s="46" t="str">
        <f aca="false">IF(_PENDIENTES!$B$589&lt;&gt;"",_PENDIENTES!$K$589,"")</f>
        <v/>
      </c>
      <c r="M595" s="89" t="str">
        <f aca="false">IF(_PENDIENTES!$B$589&lt;&gt;"",_PENDIENTES!$B$589,"")</f>
        <v/>
      </c>
      <c r="N595" s="109" t="str">
        <f aca="false">IF(_PENDIENTES!$B$589&lt;&gt;"",_PENDIENTES!$L$589,"")</f>
        <v/>
      </c>
      <c r="O595" s="89"/>
      <c r="P595" s="89"/>
      <c r="Q595" s="89"/>
      <c r="R595" s="89"/>
      <c r="S595" s="89"/>
    </row>
    <row r="596" customFormat="false" ht="15.75" hidden="true" customHeight="true" outlineLevel="0" collapsed="false">
      <c r="A596" s="106" t="str">
        <f aca="false">IF(_PENDIENTES!$B$590&lt;&gt;"",589,"")</f>
        <v/>
      </c>
      <c r="B596" s="47" t="str">
        <f aca="false">IF(_PENDIENTES!$B$590&lt;&gt;"",_PENDIENTES!$A$590,"")</f>
        <v/>
      </c>
      <c r="C596" s="107" t="str">
        <f aca="false">IF(_PENDIENTES!$B$590&lt;&gt;"",_PENDIENTES!$C$590,"")</f>
        <v/>
      </c>
      <c r="D596" s="106" t="str">
        <f aca="false">IF(_PENDIENTES!$B$590&lt;&gt;"",_PENDIENTES!$D$590,"")</f>
        <v/>
      </c>
      <c r="E596" s="111" t="str">
        <f aca="false">IF(_PENDIENTES!$B$590&lt;&gt;"",_PENDIENTES!$E$590,"")</f>
        <v/>
      </c>
      <c r="F596" s="106" t="str">
        <f aca="false">IF(_PENDIENTES!$B$590&lt;&gt;"",_PENDIENTES!$F$590,"")</f>
        <v/>
      </c>
      <c r="G596" s="50" t="str">
        <f aca="false">IF(_PENDIENTES!$B$590&lt;&gt;"",_PENDIENTES!$G$590,"")</f>
        <v/>
      </c>
      <c r="H596" s="50" t="str">
        <f aca="false">IF(_PENDIENTES!$B$590&lt;&gt;"",_PENDIENTES!$H$590,"")</f>
        <v/>
      </c>
      <c r="I596" s="107" t="str">
        <f aca="false">IF(_PENDIENTES!$B$590&lt;&gt;"",_PENDIENTES!$I$590,"")</f>
        <v/>
      </c>
      <c r="J596" s="106" t="str">
        <f aca="false">IF(_PENDIENTES!$B$590&lt;&gt;"",_PENDIENTES!$J$590,"")</f>
        <v/>
      </c>
      <c r="K596" s="106" t="str">
        <f aca="false">IF(_PENDIENTES!$B$590&lt;&gt;"","POR RECOGER","")</f>
        <v/>
      </c>
      <c r="L596" s="106" t="str">
        <f aca="false">IF(_PENDIENTES!$B$590&lt;&gt;"",_PENDIENTES!$K$590,"")</f>
        <v/>
      </c>
      <c r="M596" s="89" t="str">
        <f aca="false">IF(_PENDIENTES!$B$590&lt;&gt;"",_PENDIENTES!$B$590,"")</f>
        <v/>
      </c>
      <c r="N596" s="109" t="str">
        <f aca="false">IF(_PENDIENTES!$B$590&lt;&gt;"",_PENDIENTES!$L$590,"")</f>
        <v/>
      </c>
      <c r="O596" s="89"/>
      <c r="P596" s="89"/>
      <c r="Q596" s="89"/>
      <c r="R596" s="89"/>
      <c r="S596" s="89"/>
    </row>
    <row r="597" customFormat="false" ht="15.75" hidden="true" customHeight="true" outlineLevel="0" collapsed="false">
      <c r="A597" s="46" t="str">
        <f aca="false">IF(_PENDIENTES!$B$591&lt;&gt;"",590,"")</f>
        <v/>
      </c>
      <c r="B597" s="41" t="str">
        <f aca="false">IF(_PENDIENTES!$B$591&lt;&gt;"",_PENDIENTES!$A$591,"")</f>
        <v/>
      </c>
      <c r="C597" s="110" t="str">
        <f aca="false">IF(_PENDIENTES!$B$591&lt;&gt;"",_PENDIENTES!$C$591,"")</f>
        <v/>
      </c>
      <c r="D597" s="46" t="str">
        <f aca="false">IF(_PENDIENTES!$B$591&lt;&gt;"",_PENDIENTES!$D$591,"")</f>
        <v/>
      </c>
      <c r="E597" s="112" t="str">
        <f aca="false">IF(_PENDIENTES!$B$591&lt;&gt;"",_PENDIENTES!$E$591,"")</f>
        <v/>
      </c>
      <c r="F597" s="46" t="str">
        <f aca="false">IF(_PENDIENTES!$B$591&lt;&gt;"",_PENDIENTES!$F$591,"")</f>
        <v/>
      </c>
      <c r="G597" s="44" t="str">
        <f aca="false">IF(_PENDIENTES!$B$591&lt;&gt;"",_PENDIENTES!$G$591,"")</f>
        <v/>
      </c>
      <c r="H597" s="44" t="str">
        <f aca="false">IF(_PENDIENTES!$B$591&lt;&gt;"",_PENDIENTES!$H$591,"")</f>
        <v/>
      </c>
      <c r="I597" s="110" t="str">
        <f aca="false">IF(_PENDIENTES!$B$591&lt;&gt;"",_PENDIENTES!$I$591,"")</f>
        <v/>
      </c>
      <c r="J597" s="46" t="str">
        <f aca="false">IF(_PENDIENTES!$B$591&lt;&gt;"",_PENDIENTES!$J$591,"")</f>
        <v/>
      </c>
      <c r="K597" s="46" t="str">
        <f aca="false">IF(_PENDIENTES!$B$591&lt;&gt;"","POR RECOGER","")</f>
        <v/>
      </c>
      <c r="L597" s="46" t="str">
        <f aca="false">IF(_PENDIENTES!$B$591&lt;&gt;"",_PENDIENTES!$K$591,"")</f>
        <v/>
      </c>
      <c r="M597" s="89" t="str">
        <f aca="false">IF(_PENDIENTES!$B$591&lt;&gt;"",_PENDIENTES!$B$591,"")</f>
        <v/>
      </c>
      <c r="N597" s="109" t="str">
        <f aca="false">IF(_PENDIENTES!$B$591&lt;&gt;"",_PENDIENTES!$L$591,"")</f>
        <v/>
      </c>
      <c r="O597" s="89"/>
      <c r="P597" s="89"/>
      <c r="Q597" s="89"/>
      <c r="R597" s="89"/>
      <c r="S597" s="89"/>
    </row>
    <row r="598" customFormat="false" ht="15.75" hidden="true" customHeight="true" outlineLevel="0" collapsed="false">
      <c r="A598" s="106" t="str">
        <f aca="false">IF(_PENDIENTES!$B$592&lt;&gt;"",591,"")</f>
        <v/>
      </c>
      <c r="B598" s="47" t="str">
        <f aca="false">IF(_PENDIENTES!$B$592&lt;&gt;"",_PENDIENTES!$A$592,"")</f>
        <v/>
      </c>
      <c r="C598" s="107" t="str">
        <f aca="false">IF(_PENDIENTES!$B$592&lt;&gt;"",_PENDIENTES!$C$592,"")</f>
        <v/>
      </c>
      <c r="D598" s="106" t="str">
        <f aca="false">IF(_PENDIENTES!$B$592&lt;&gt;"",_PENDIENTES!$D$592,"")</f>
        <v/>
      </c>
      <c r="E598" s="111" t="str">
        <f aca="false">IF(_PENDIENTES!$B$592&lt;&gt;"",_PENDIENTES!$E$592,"")</f>
        <v/>
      </c>
      <c r="F598" s="106" t="str">
        <f aca="false">IF(_PENDIENTES!$B$592&lt;&gt;"",_PENDIENTES!$F$592,"")</f>
        <v/>
      </c>
      <c r="G598" s="50" t="str">
        <f aca="false">IF(_PENDIENTES!$B$592&lt;&gt;"",_PENDIENTES!$G$592,"")</f>
        <v/>
      </c>
      <c r="H598" s="50" t="str">
        <f aca="false">IF(_PENDIENTES!$B$592&lt;&gt;"",_PENDIENTES!$H$592,"")</f>
        <v/>
      </c>
      <c r="I598" s="107" t="str">
        <f aca="false">IF(_PENDIENTES!$B$592&lt;&gt;"",_PENDIENTES!$I$592,"")</f>
        <v/>
      </c>
      <c r="J598" s="106" t="str">
        <f aca="false">IF(_PENDIENTES!$B$592&lt;&gt;"",_PENDIENTES!$J$592,"")</f>
        <v/>
      </c>
      <c r="K598" s="106" t="str">
        <f aca="false">IF(_PENDIENTES!$B$592&lt;&gt;"","POR RECOGER","")</f>
        <v/>
      </c>
      <c r="L598" s="106" t="str">
        <f aca="false">IF(_PENDIENTES!$B$592&lt;&gt;"",_PENDIENTES!$K$592,"")</f>
        <v/>
      </c>
      <c r="M598" s="89" t="str">
        <f aca="false">IF(_PENDIENTES!$B$592&lt;&gt;"",_PENDIENTES!$B$592,"")</f>
        <v/>
      </c>
      <c r="N598" s="109" t="str">
        <f aca="false">IF(_PENDIENTES!$B$592&lt;&gt;"",_PENDIENTES!$L$592,"")</f>
        <v/>
      </c>
      <c r="O598" s="89"/>
      <c r="P598" s="89"/>
      <c r="Q598" s="89"/>
      <c r="R598" s="89"/>
      <c r="S598" s="89"/>
    </row>
    <row r="599" customFormat="false" ht="15.75" hidden="true" customHeight="true" outlineLevel="0" collapsed="false">
      <c r="A599" s="46" t="str">
        <f aca="false">IF(_PENDIENTES!$B$593&lt;&gt;"",592,"")</f>
        <v/>
      </c>
      <c r="B599" s="41" t="str">
        <f aca="false">IF(_PENDIENTES!$B$593&lt;&gt;"",_PENDIENTES!$A$593,"")</f>
        <v/>
      </c>
      <c r="C599" s="110" t="str">
        <f aca="false">IF(_PENDIENTES!$B$593&lt;&gt;"",_PENDIENTES!$C$593,"")</f>
        <v/>
      </c>
      <c r="D599" s="46" t="str">
        <f aca="false">IF(_PENDIENTES!$B$593&lt;&gt;"",_PENDIENTES!$D$593,"")</f>
        <v/>
      </c>
      <c r="E599" s="112" t="str">
        <f aca="false">IF(_PENDIENTES!$B$593&lt;&gt;"",_PENDIENTES!$E$593,"")</f>
        <v/>
      </c>
      <c r="F599" s="46" t="str">
        <f aca="false">IF(_PENDIENTES!$B$593&lt;&gt;"",_PENDIENTES!$F$593,"")</f>
        <v/>
      </c>
      <c r="G599" s="44" t="str">
        <f aca="false">IF(_PENDIENTES!$B$593&lt;&gt;"",_PENDIENTES!$G$593,"")</f>
        <v/>
      </c>
      <c r="H599" s="44" t="str">
        <f aca="false">IF(_PENDIENTES!$B$593&lt;&gt;"",_PENDIENTES!$H$593,"")</f>
        <v/>
      </c>
      <c r="I599" s="110" t="str">
        <f aca="false">IF(_PENDIENTES!$B$593&lt;&gt;"",_PENDIENTES!$I$593,"")</f>
        <v/>
      </c>
      <c r="J599" s="46" t="str">
        <f aca="false">IF(_PENDIENTES!$B$593&lt;&gt;"",_PENDIENTES!$J$593,"")</f>
        <v/>
      </c>
      <c r="K599" s="46" t="str">
        <f aca="false">IF(_PENDIENTES!$B$593&lt;&gt;"","POR RECOGER","")</f>
        <v/>
      </c>
      <c r="L599" s="46" t="str">
        <f aca="false">IF(_PENDIENTES!$B$593&lt;&gt;"",_PENDIENTES!$K$593,"")</f>
        <v/>
      </c>
      <c r="M599" s="89" t="str">
        <f aca="false">IF(_PENDIENTES!$B$593&lt;&gt;"",_PENDIENTES!$B$593,"")</f>
        <v/>
      </c>
      <c r="N599" s="109" t="str">
        <f aca="false">IF(_PENDIENTES!$B$593&lt;&gt;"",_PENDIENTES!$L$593,"")</f>
        <v/>
      </c>
      <c r="O599" s="89"/>
      <c r="P599" s="89"/>
      <c r="Q599" s="89"/>
      <c r="R599" s="89"/>
      <c r="S599" s="89"/>
    </row>
    <row r="600" customFormat="false" ht="15.75" hidden="true" customHeight="true" outlineLevel="0" collapsed="false">
      <c r="A600" s="106" t="str">
        <f aca="false">IF(_PENDIENTES!$B$594&lt;&gt;"",593,"")</f>
        <v/>
      </c>
      <c r="B600" s="47" t="str">
        <f aca="false">IF(_PENDIENTES!$B$594&lt;&gt;"",_PENDIENTES!$A$594,"")</f>
        <v/>
      </c>
      <c r="C600" s="107" t="str">
        <f aca="false">IF(_PENDIENTES!$B$594&lt;&gt;"",_PENDIENTES!$C$594,"")</f>
        <v/>
      </c>
      <c r="D600" s="106" t="str">
        <f aca="false">IF(_PENDIENTES!$B$594&lt;&gt;"",_PENDIENTES!$D$594,"")</f>
        <v/>
      </c>
      <c r="E600" s="111" t="str">
        <f aca="false">IF(_PENDIENTES!$B$594&lt;&gt;"",_PENDIENTES!$E$594,"")</f>
        <v/>
      </c>
      <c r="F600" s="106" t="str">
        <f aca="false">IF(_PENDIENTES!$B$594&lt;&gt;"",_PENDIENTES!$F$594,"")</f>
        <v/>
      </c>
      <c r="G600" s="50" t="str">
        <f aca="false">IF(_PENDIENTES!$B$594&lt;&gt;"",_PENDIENTES!$G$594,"")</f>
        <v/>
      </c>
      <c r="H600" s="50" t="str">
        <f aca="false">IF(_PENDIENTES!$B$594&lt;&gt;"",_PENDIENTES!$H$594,"")</f>
        <v/>
      </c>
      <c r="I600" s="107" t="str">
        <f aca="false">IF(_PENDIENTES!$B$594&lt;&gt;"",_PENDIENTES!$I$594,"")</f>
        <v/>
      </c>
      <c r="J600" s="106" t="str">
        <f aca="false">IF(_PENDIENTES!$B$594&lt;&gt;"",_PENDIENTES!$J$594,"")</f>
        <v/>
      </c>
      <c r="K600" s="106" t="str">
        <f aca="false">IF(_PENDIENTES!$B$594&lt;&gt;"","POR RECOGER","")</f>
        <v/>
      </c>
      <c r="L600" s="106" t="str">
        <f aca="false">IF(_PENDIENTES!$B$594&lt;&gt;"",_PENDIENTES!$K$594,"")</f>
        <v/>
      </c>
      <c r="M600" s="89" t="str">
        <f aca="false">IF(_PENDIENTES!$B$594&lt;&gt;"",_PENDIENTES!$B$594,"")</f>
        <v/>
      </c>
      <c r="N600" s="109" t="str">
        <f aca="false">IF(_PENDIENTES!$B$594&lt;&gt;"",_PENDIENTES!$L$594,"")</f>
        <v/>
      </c>
      <c r="O600" s="89"/>
      <c r="P600" s="89"/>
      <c r="Q600" s="89"/>
      <c r="R600" s="89"/>
      <c r="S600" s="89"/>
    </row>
    <row r="601" customFormat="false" ht="15.75" hidden="true" customHeight="true" outlineLevel="0" collapsed="false">
      <c r="A601" s="46" t="str">
        <f aca="false">IF(_PENDIENTES!$B$595&lt;&gt;"",594,"")</f>
        <v/>
      </c>
      <c r="B601" s="41" t="str">
        <f aca="false">IF(_PENDIENTES!$B$595&lt;&gt;"",_PENDIENTES!$A$595,"")</f>
        <v/>
      </c>
      <c r="C601" s="110" t="str">
        <f aca="false">IF(_PENDIENTES!$B$595&lt;&gt;"",_PENDIENTES!$C$595,"")</f>
        <v/>
      </c>
      <c r="D601" s="46" t="str">
        <f aca="false">IF(_PENDIENTES!$B$595&lt;&gt;"",_PENDIENTES!$D$595,"")</f>
        <v/>
      </c>
      <c r="E601" s="112" t="str">
        <f aca="false">IF(_PENDIENTES!$B$595&lt;&gt;"",_PENDIENTES!$E$595,"")</f>
        <v/>
      </c>
      <c r="F601" s="46" t="str">
        <f aca="false">IF(_PENDIENTES!$B$595&lt;&gt;"",_PENDIENTES!$F$595,"")</f>
        <v/>
      </c>
      <c r="G601" s="44" t="str">
        <f aca="false">IF(_PENDIENTES!$B$595&lt;&gt;"",_PENDIENTES!$G$595,"")</f>
        <v/>
      </c>
      <c r="H601" s="44" t="str">
        <f aca="false">IF(_PENDIENTES!$B$595&lt;&gt;"",_PENDIENTES!$H$595,"")</f>
        <v/>
      </c>
      <c r="I601" s="110" t="str">
        <f aca="false">IF(_PENDIENTES!$B$595&lt;&gt;"",_PENDIENTES!$I$595,"")</f>
        <v/>
      </c>
      <c r="J601" s="46" t="str">
        <f aca="false">IF(_PENDIENTES!$B$595&lt;&gt;"",_PENDIENTES!$J$595,"")</f>
        <v/>
      </c>
      <c r="K601" s="46" t="str">
        <f aca="false">IF(_PENDIENTES!$B$595&lt;&gt;"","POR RECOGER","")</f>
        <v/>
      </c>
      <c r="L601" s="46" t="str">
        <f aca="false">IF(_PENDIENTES!$B$595&lt;&gt;"",_PENDIENTES!$K$595,"")</f>
        <v/>
      </c>
      <c r="M601" s="89" t="str">
        <f aca="false">IF(_PENDIENTES!$B$595&lt;&gt;"",_PENDIENTES!$B$595,"")</f>
        <v/>
      </c>
      <c r="N601" s="109" t="str">
        <f aca="false">IF(_PENDIENTES!$B$595&lt;&gt;"",_PENDIENTES!$L$595,"")</f>
        <v/>
      </c>
      <c r="O601" s="89"/>
      <c r="P601" s="89"/>
      <c r="Q601" s="89"/>
      <c r="R601" s="89"/>
      <c r="S601" s="89"/>
    </row>
    <row r="602" customFormat="false" ht="15.75" hidden="true" customHeight="true" outlineLevel="0" collapsed="false">
      <c r="A602" s="106" t="str">
        <f aca="false">IF(_PENDIENTES!$B$596&lt;&gt;"",595,"")</f>
        <v/>
      </c>
      <c r="B602" s="47" t="str">
        <f aca="false">IF(_PENDIENTES!$B$596&lt;&gt;"",_PENDIENTES!$A$596,"")</f>
        <v/>
      </c>
      <c r="C602" s="107" t="str">
        <f aca="false">IF(_PENDIENTES!$B$596&lt;&gt;"",_PENDIENTES!$C$596,"")</f>
        <v/>
      </c>
      <c r="D602" s="106" t="str">
        <f aca="false">IF(_PENDIENTES!$B$596&lt;&gt;"",_PENDIENTES!$D$596,"")</f>
        <v/>
      </c>
      <c r="E602" s="111" t="str">
        <f aca="false">IF(_PENDIENTES!$B$596&lt;&gt;"",_PENDIENTES!$E$596,"")</f>
        <v/>
      </c>
      <c r="F602" s="106" t="str">
        <f aca="false">IF(_PENDIENTES!$B$596&lt;&gt;"",_PENDIENTES!$F$596,"")</f>
        <v/>
      </c>
      <c r="G602" s="50" t="str">
        <f aca="false">IF(_PENDIENTES!$B$596&lt;&gt;"",_PENDIENTES!$G$596,"")</f>
        <v/>
      </c>
      <c r="H602" s="50" t="str">
        <f aca="false">IF(_PENDIENTES!$B$596&lt;&gt;"",_PENDIENTES!$H$596,"")</f>
        <v/>
      </c>
      <c r="I602" s="107" t="str">
        <f aca="false">IF(_PENDIENTES!$B$596&lt;&gt;"",_PENDIENTES!$I$596,"")</f>
        <v/>
      </c>
      <c r="J602" s="106" t="str">
        <f aca="false">IF(_PENDIENTES!$B$596&lt;&gt;"",_PENDIENTES!$J$596,"")</f>
        <v/>
      </c>
      <c r="K602" s="106" t="str">
        <f aca="false">IF(_PENDIENTES!$B$596&lt;&gt;"","POR RECOGER","")</f>
        <v/>
      </c>
      <c r="L602" s="106" t="str">
        <f aca="false">IF(_PENDIENTES!$B$596&lt;&gt;"",_PENDIENTES!$K$596,"")</f>
        <v/>
      </c>
      <c r="M602" s="89" t="str">
        <f aca="false">IF(_PENDIENTES!$B$596&lt;&gt;"",_PENDIENTES!$B$596,"")</f>
        <v/>
      </c>
      <c r="N602" s="109" t="str">
        <f aca="false">IF(_PENDIENTES!$B$596&lt;&gt;"",_PENDIENTES!$L$596,"")</f>
        <v/>
      </c>
      <c r="O602" s="89"/>
      <c r="P602" s="89"/>
      <c r="Q602" s="89"/>
      <c r="R602" s="89"/>
      <c r="S602" s="89"/>
    </row>
    <row r="603" customFormat="false" ht="15.75" hidden="true" customHeight="true" outlineLevel="0" collapsed="false">
      <c r="A603" s="46" t="str">
        <f aca="false">IF(_PENDIENTES!$B$597&lt;&gt;"",596,"")</f>
        <v/>
      </c>
      <c r="B603" s="41" t="str">
        <f aca="false">IF(_PENDIENTES!$B$597&lt;&gt;"",_PENDIENTES!$A$597,"")</f>
        <v/>
      </c>
      <c r="C603" s="110" t="str">
        <f aca="false">IF(_PENDIENTES!$B$597&lt;&gt;"",_PENDIENTES!$C$597,"")</f>
        <v/>
      </c>
      <c r="D603" s="46" t="str">
        <f aca="false">IF(_PENDIENTES!$B$597&lt;&gt;"",_PENDIENTES!$D$597,"")</f>
        <v/>
      </c>
      <c r="E603" s="112" t="str">
        <f aca="false">IF(_PENDIENTES!$B$597&lt;&gt;"",_PENDIENTES!$E$597,"")</f>
        <v/>
      </c>
      <c r="F603" s="46" t="str">
        <f aca="false">IF(_PENDIENTES!$B$597&lt;&gt;"",_PENDIENTES!$F$597,"")</f>
        <v/>
      </c>
      <c r="G603" s="44" t="str">
        <f aca="false">IF(_PENDIENTES!$B$597&lt;&gt;"",_PENDIENTES!$G$597,"")</f>
        <v/>
      </c>
      <c r="H603" s="44" t="str">
        <f aca="false">IF(_PENDIENTES!$B$597&lt;&gt;"",_PENDIENTES!$H$597,"")</f>
        <v/>
      </c>
      <c r="I603" s="110" t="str">
        <f aca="false">IF(_PENDIENTES!$B$597&lt;&gt;"",_PENDIENTES!$I$597,"")</f>
        <v/>
      </c>
      <c r="J603" s="46" t="str">
        <f aca="false">IF(_PENDIENTES!$B$597&lt;&gt;"",_PENDIENTES!$J$597,"")</f>
        <v/>
      </c>
      <c r="K603" s="46" t="str">
        <f aca="false">IF(_PENDIENTES!$B$597&lt;&gt;"","POR RECOGER","")</f>
        <v/>
      </c>
      <c r="L603" s="46" t="str">
        <f aca="false">IF(_PENDIENTES!$B$597&lt;&gt;"",_PENDIENTES!$K$597,"")</f>
        <v/>
      </c>
      <c r="M603" s="89" t="str">
        <f aca="false">IF(_PENDIENTES!$B$597&lt;&gt;"",_PENDIENTES!$B$597,"")</f>
        <v/>
      </c>
      <c r="N603" s="109" t="str">
        <f aca="false">IF(_PENDIENTES!$B$597&lt;&gt;"",_PENDIENTES!$L$597,"")</f>
        <v/>
      </c>
      <c r="O603" s="89"/>
      <c r="P603" s="89"/>
      <c r="Q603" s="89"/>
      <c r="R603" s="89"/>
      <c r="S603" s="89"/>
    </row>
    <row r="604" customFormat="false" ht="15.75" hidden="true" customHeight="true" outlineLevel="0" collapsed="false">
      <c r="A604" s="106" t="str">
        <f aca="false">IF(_PENDIENTES!$B$598&lt;&gt;"",597,"")</f>
        <v/>
      </c>
      <c r="B604" s="47" t="str">
        <f aca="false">IF(_PENDIENTES!$B$598&lt;&gt;"",_PENDIENTES!$A$598,"")</f>
        <v/>
      </c>
      <c r="C604" s="107" t="str">
        <f aca="false">IF(_PENDIENTES!$B$598&lt;&gt;"",_PENDIENTES!$C$598,"")</f>
        <v/>
      </c>
      <c r="D604" s="106" t="str">
        <f aca="false">IF(_PENDIENTES!$B$598&lt;&gt;"",_PENDIENTES!$D$598,"")</f>
        <v/>
      </c>
      <c r="E604" s="111" t="str">
        <f aca="false">IF(_PENDIENTES!$B$598&lt;&gt;"",_PENDIENTES!$E$598,"")</f>
        <v/>
      </c>
      <c r="F604" s="106" t="str">
        <f aca="false">IF(_PENDIENTES!$B$598&lt;&gt;"",_PENDIENTES!$F$598,"")</f>
        <v/>
      </c>
      <c r="G604" s="50" t="str">
        <f aca="false">IF(_PENDIENTES!$B$598&lt;&gt;"",_PENDIENTES!$G$598,"")</f>
        <v/>
      </c>
      <c r="H604" s="50" t="str">
        <f aca="false">IF(_PENDIENTES!$B$598&lt;&gt;"",_PENDIENTES!$H$598,"")</f>
        <v/>
      </c>
      <c r="I604" s="107" t="str">
        <f aca="false">IF(_PENDIENTES!$B$598&lt;&gt;"",_PENDIENTES!$I$598,"")</f>
        <v/>
      </c>
      <c r="J604" s="106" t="str">
        <f aca="false">IF(_PENDIENTES!$B$598&lt;&gt;"",_PENDIENTES!$J$598,"")</f>
        <v/>
      </c>
      <c r="K604" s="106" t="str">
        <f aca="false">IF(_PENDIENTES!$B$598&lt;&gt;"","POR RECOGER","")</f>
        <v/>
      </c>
      <c r="L604" s="106" t="str">
        <f aca="false">IF(_PENDIENTES!$B$598&lt;&gt;"",_PENDIENTES!$K$598,"")</f>
        <v/>
      </c>
      <c r="M604" s="89" t="str">
        <f aca="false">IF(_PENDIENTES!$B$598&lt;&gt;"",_PENDIENTES!$B$598,"")</f>
        <v/>
      </c>
      <c r="N604" s="109" t="str">
        <f aca="false">IF(_PENDIENTES!$B$598&lt;&gt;"",_PENDIENTES!$L$598,"")</f>
        <v/>
      </c>
      <c r="O604" s="89"/>
      <c r="P604" s="89"/>
      <c r="Q604" s="89"/>
      <c r="R604" s="89"/>
      <c r="S604" s="89"/>
    </row>
    <row r="605" customFormat="false" ht="15.75" hidden="true" customHeight="true" outlineLevel="0" collapsed="false">
      <c r="A605" s="46" t="str">
        <f aca="false">IF(_PENDIENTES!$B$599&lt;&gt;"",598,"")</f>
        <v/>
      </c>
      <c r="B605" s="41" t="str">
        <f aca="false">IF(_PENDIENTES!$B$599&lt;&gt;"",_PENDIENTES!$A$599,"")</f>
        <v/>
      </c>
      <c r="C605" s="110" t="str">
        <f aca="false">IF(_PENDIENTES!$B$599&lt;&gt;"",_PENDIENTES!$C$599,"")</f>
        <v/>
      </c>
      <c r="D605" s="46" t="str">
        <f aca="false">IF(_PENDIENTES!$B$599&lt;&gt;"",_PENDIENTES!$D$599,"")</f>
        <v/>
      </c>
      <c r="E605" s="112" t="str">
        <f aca="false">IF(_PENDIENTES!$B$599&lt;&gt;"",_PENDIENTES!$E$599,"")</f>
        <v/>
      </c>
      <c r="F605" s="46" t="str">
        <f aca="false">IF(_PENDIENTES!$B$599&lt;&gt;"",_PENDIENTES!$F$599,"")</f>
        <v/>
      </c>
      <c r="G605" s="44" t="str">
        <f aca="false">IF(_PENDIENTES!$B$599&lt;&gt;"",_PENDIENTES!$G$599,"")</f>
        <v/>
      </c>
      <c r="H605" s="44" t="str">
        <f aca="false">IF(_PENDIENTES!$B$599&lt;&gt;"",_PENDIENTES!$H$599,"")</f>
        <v/>
      </c>
      <c r="I605" s="110" t="str">
        <f aca="false">IF(_PENDIENTES!$B$599&lt;&gt;"",_PENDIENTES!$I$599,"")</f>
        <v/>
      </c>
      <c r="J605" s="46" t="str">
        <f aca="false">IF(_PENDIENTES!$B$599&lt;&gt;"",_PENDIENTES!$J$599,"")</f>
        <v/>
      </c>
      <c r="K605" s="46" t="str">
        <f aca="false">IF(_PENDIENTES!$B$599&lt;&gt;"","POR RECOGER","")</f>
        <v/>
      </c>
      <c r="L605" s="46" t="str">
        <f aca="false">IF(_PENDIENTES!$B$599&lt;&gt;"",_PENDIENTES!$K$599,"")</f>
        <v/>
      </c>
      <c r="M605" s="89" t="str">
        <f aca="false">IF(_PENDIENTES!$B$599&lt;&gt;"",_PENDIENTES!$B$599,"")</f>
        <v/>
      </c>
      <c r="N605" s="109" t="str">
        <f aca="false">IF(_PENDIENTES!$B$599&lt;&gt;"",_PENDIENTES!$L$599,"")</f>
        <v/>
      </c>
      <c r="O605" s="89"/>
      <c r="P605" s="89"/>
      <c r="Q605" s="89"/>
      <c r="R605" s="89"/>
      <c r="S605" s="89"/>
    </row>
    <row r="606" customFormat="false" ht="15.75" hidden="true" customHeight="true" outlineLevel="0" collapsed="false">
      <c r="A606" s="106" t="str">
        <f aca="false">IF(_PENDIENTES!$B$600&lt;&gt;"",599,"")</f>
        <v/>
      </c>
      <c r="B606" s="47" t="str">
        <f aca="false">IF(_PENDIENTES!$B$600&lt;&gt;"",_PENDIENTES!$A$600,"")</f>
        <v/>
      </c>
      <c r="C606" s="107" t="str">
        <f aca="false">IF(_PENDIENTES!$B$600&lt;&gt;"",_PENDIENTES!$C$600,"")</f>
        <v/>
      </c>
      <c r="D606" s="106" t="str">
        <f aca="false">IF(_PENDIENTES!$B$600&lt;&gt;"",_PENDIENTES!$D$600,"")</f>
        <v/>
      </c>
      <c r="E606" s="111" t="str">
        <f aca="false">IF(_PENDIENTES!$B$600&lt;&gt;"",_PENDIENTES!$E$600,"")</f>
        <v/>
      </c>
      <c r="F606" s="106" t="str">
        <f aca="false">IF(_PENDIENTES!$B$600&lt;&gt;"",_PENDIENTES!$F$600,"")</f>
        <v/>
      </c>
      <c r="G606" s="50" t="str">
        <f aca="false">IF(_PENDIENTES!$B$600&lt;&gt;"",_PENDIENTES!$G$600,"")</f>
        <v/>
      </c>
      <c r="H606" s="50" t="str">
        <f aca="false">IF(_PENDIENTES!$B$600&lt;&gt;"",_PENDIENTES!$H$600,"")</f>
        <v/>
      </c>
      <c r="I606" s="107" t="str">
        <f aca="false">IF(_PENDIENTES!$B$600&lt;&gt;"",_PENDIENTES!$I$600,"")</f>
        <v/>
      </c>
      <c r="J606" s="106" t="str">
        <f aca="false">IF(_PENDIENTES!$B$600&lt;&gt;"",_PENDIENTES!$J$600,"")</f>
        <v/>
      </c>
      <c r="K606" s="106" t="str">
        <f aca="false">IF(_PENDIENTES!$B$600&lt;&gt;"","POR RECOGER","")</f>
        <v/>
      </c>
      <c r="L606" s="106" t="str">
        <f aca="false">IF(_PENDIENTES!$B$600&lt;&gt;"",_PENDIENTES!$K$600,"")</f>
        <v/>
      </c>
      <c r="M606" s="89" t="str">
        <f aca="false">IF(_PENDIENTES!$B$600&lt;&gt;"",_PENDIENTES!$B$600,"")</f>
        <v/>
      </c>
      <c r="N606" s="109" t="str">
        <f aca="false">IF(_PENDIENTES!$B$600&lt;&gt;"",_PENDIENTES!$L$600,"")</f>
        <v/>
      </c>
      <c r="O606" s="89"/>
      <c r="P606" s="89"/>
      <c r="Q606" s="89"/>
      <c r="R606" s="89"/>
      <c r="S606" s="89"/>
    </row>
    <row r="607" customFormat="false" ht="15.75" hidden="true" customHeight="true" outlineLevel="0" collapsed="false">
      <c r="A607" s="46" t="str">
        <f aca="false">IF(_PENDIENTES!$B$601&lt;&gt;"",600,"")</f>
        <v/>
      </c>
      <c r="B607" s="41" t="str">
        <f aca="false">IF(_PENDIENTES!$B$601&lt;&gt;"",_PENDIENTES!$A$601,"")</f>
        <v/>
      </c>
      <c r="C607" s="110" t="str">
        <f aca="false">IF(_PENDIENTES!$B$601&lt;&gt;"",_PENDIENTES!$C$601,"")</f>
        <v/>
      </c>
      <c r="D607" s="46" t="str">
        <f aca="false">IF(_PENDIENTES!$B$601&lt;&gt;"",_PENDIENTES!$D$601,"")</f>
        <v/>
      </c>
      <c r="E607" s="112" t="str">
        <f aca="false">IF(_PENDIENTES!$B$601&lt;&gt;"",_PENDIENTES!$E$601,"")</f>
        <v/>
      </c>
      <c r="F607" s="46" t="str">
        <f aca="false">IF(_PENDIENTES!$B$601&lt;&gt;"",_PENDIENTES!$F$601,"")</f>
        <v/>
      </c>
      <c r="G607" s="44" t="str">
        <f aca="false">IF(_PENDIENTES!$B$601&lt;&gt;"",_PENDIENTES!$G$601,"")</f>
        <v/>
      </c>
      <c r="H607" s="44" t="str">
        <f aca="false">IF(_PENDIENTES!$B$601&lt;&gt;"",_PENDIENTES!$H$601,"")</f>
        <v/>
      </c>
      <c r="I607" s="110" t="str">
        <f aca="false">IF(_PENDIENTES!$B$601&lt;&gt;"",_PENDIENTES!$I$601,"")</f>
        <v/>
      </c>
      <c r="J607" s="46" t="str">
        <f aca="false">IF(_PENDIENTES!$B$601&lt;&gt;"",_PENDIENTES!$J$601,"")</f>
        <v/>
      </c>
      <c r="K607" s="46" t="str">
        <f aca="false">IF(_PENDIENTES!$B$601&lt;&gt;"","POR RECOGER","")</f>
        <v/>
      </c>
      <c r="L607" s="46" t="str">
        <f aca="false">IF(_PENDIENTES!$B$601&lt;&gt;"",_PENDIENTES!$K$601,"")</f>
        <v/>
      </c>
      <c r="M607" s="89" t="str">
        <f aca="false">IF(_PENDIENTES!$B$601&lt;&gt;"",_PENDIENTES!$B$601,"")</f>
        <v/>
      </c>
      <c r="N607" s="109" t="str">
        <f aca="false">IF(_PENDIENTES!$B$601&lt;&gt;"",_PENDIENTES!$L$601,"")</f>
        <v/>
      </c>
      <c r="O607" s="89"/>
      <c r="P607" s="89"/>
      <c r="Q607" s="89"/>
      <c r="R607" s="89"/>
      <c r="S607" s="89"/>
    </row>
    <row r="608" customFormat="false" ht="15.75" hidden="true" customHeight="true" outlineLevel="0" collapsed="false">
      <c r="A608" s="106" t="str">
        <f aca="false">IF(_PENDIENTES!$B$602&lt;&gt;"",601,"")</f>
        <v/>
      </c>
      <c r="B608" s="47" t="str">
        <f aca="false">IF(_PENDIENTES!$B$602&lt;&gt;"",_PENDIENTES!$A$602,"")</f>
        <v/>
      </c>
      <c r="C608" s="107" t="str">
        <f aca="false">IF(_PENDIENTES!$B$602&lt;&gt;"",_PENDIENTES!$C$602,"")</f>
        <v/>
      </c>
      <c r="D608" s="106" t="str">
        <f aca="false">IF(_PENDIENTES!$B$602&lt;&gt;"",_PENDIENTES!$D$602,"")</f>
        <v/>
      </c>
      <c r="E608" s="111" t="str">
        <f aca="false">IF(_PENDIENTES!$B$602&lt;&gt;"",_PENDIENTES!$E$602,"")</f>
        <v/>
      </c>
      <c r="F608" s="106" t="str">
        <f aca="false">IF(_PENDIENTES!$B$602&lt;&gt;"",_PENDIENTES!$F$602,"")</f>
        <v/>
      </c>
      <c r="G608" s="50" t="str">
        <f aca="false">IF(_PENDIENTES!$B$602&lt;&gt;"",_PENDIENTES!$G$602,"")</f>
        <v/>
      </c>
      <c r="H608" s="50" t="str">
        <f aca="false">IF(_PENDIENTES!$B$602&lt;&gt;"",_PENDIENTES!$H$602,"")</f>
        <v/>
      </c>
      <c r="I608" s="107" t="str">
        <f aca="false">IF(_PENDIENTES!$B$602&lt;&gt;"",_PENDIENTES!$I$602,"")</f>
        <v/>
      </c>
      <c r="J608" s="106" t="str">
        <f aca="false">IF(_PENDIENTES!$B$602&lt;&gt;"",_PENDIENTES!$J$602,"")</f>
        <v/>
      </c>
      <c r="K608" s="106" t="str">
        <f aca="false">IF(_PENDIENTES!$B$602&lt;&gt;"","POR RECOGER","")</f>
        <v/>
      </c>
      <c r="L608" s="106" t="str">
        <f aca="false">IF(_PENDIENTES!$B$602&lt;&gt;"",_PENDIENTES!$K$602,"")</f>
        <v/>
      </c>
      <c r="M608" s="89" t="str">
        <f aca="false">IF(_PENDIENTES!$B$602&lt;&gt;"",_PENDIENTES!$B$602,"")</f>
        <v/>
      </c>
      <c r="N608" s="109" t="str">
        <f aca="false">IF(_PENDIENTES!$B$602&lt;&gt;"",_PENDIENTES!$L$602,"")</f>
        <v/>
      </c>
      <c r="O608" s="89"/>
      <c r="P608" s="89"/>
      <c r="Q608" s="89"/>
      <c r="R608" s="89"/>
      <c r="S608" s="89"/>
    </row>
    <row r="609" customFormat="false" ht="15.75" hidden="true" customHeight="true" outlineLevel="0" collapsed="false">
      <c r="A609" s="46" t="str">
        <f aca="false">IF(_PENDIENTES!$B$603&lt;&gt;"",602,"")</f>
        <v/>
      </c>
      <c r="B609" s="41" t="str">
        <f aca="false">IF(_PENDIENTES!$B$603&lt;&gt;"",_PENDIENTES!$A$603,"")</f>
        <v/>
      </c>
      <c r="C609" s="110" t="str">
        <f aca="false">IF(_PENDIENTES!$B$603&lt;&gt;"",_PENDIENTES!$C$603,"")</f>
        <v/>
      </c>
      <c r="D609" s="46" t="str">
        <f aca="false">IF(_PENDIENTES!$B$603&lt;&gt;"",_PENDIENTES!$D$603,"")</f>
        <v/>
      </c>
      <c r="E609" s="112" t="str">
        <f aca="false">IF(_PENDIENTES!$B$603&lt;&gt;"",_PENDIENTES!$E$603,"")</f>
        <v/>
      </c>
      <c r="F609" s="46" t="str">
        <f aca="false">IF(_PENDIENTES!$B$603&lt;&gt;"",_PENDIENTES!$F$603,"")</f>
        <v/>
      </c>
      <c r="G609" s="44" t="str">
        <f aca="false">IF(_PENDIENTES!$B$603&lt;&gt;"",_PENDIENTES!$G$603,"")</f>
        <v/>
      </c>
      <c r="H609" s="44" t="str">
        <f aca="false">IF(_PENDIENTES!$B$603&lt;&gt;"",_PENDIENTES!$H$603,"")</f>
        <v/>
      </c>
      <c r="I609" s="110" t="str">
        <f aca="false">IF(_PENDIENTES!$B$603&lt;&gt;"",_PENDIENTES!$I$603,"")</f>
        <v/>
      </c>
      <c r="J609" s="46" t="str">
        <f aca="false">IF(_PENDIENTES!$B$603&lt;&gt;"",_PENDIENTES!$J$603,"")</f>
        <v/>
      </c>
      <c r="K609" s="46" t="str">
        <f aca="false">IF(_PENDIENTES!$B$603&lt;&gt;"","POR RECOGER","")</f>
        <v/>
      </c>
      <c r="L609" s="46" t="str">
        <f aca="false">IF(_PENDIENTES!$B$603&lt;&gt;"",_PENDIENTES!$K$603,"")</f>
        <v/>
      </c>
      <c r="M609" s="89" t="str">
        <f aca="false">IF(_PENDIENTES!$B$603&lt;&gt;"",_PENDIENTES!$B$603,"")</f>
        <v/>
      </c>
      <c r="N609" s="109" t="str">
        <f aca="false">IF(_PENDIENTES!$B$603&lt;&gt;"",_PENDIENTES!$L$603,"")</f>
        <v/>
      </c>
      <c r="O609" s="89"/>
      <c r="P609" s="89"/>
      <c r="Q609" s="89"/>
      <c r="R609" s="89"/>
      <c r="S609" s="89"/>
    </row>
    <row r="610" customFormat="false" ht="15.75" hidden="true" customHeight="true" outlineLevel="0" collapsed="false">
      <c r="A610" s="106" t="str">
        <f aca="false">IF(_PENDIENTES!$B$604&lt;&gt;"",603,"")</f>
        <v/>
      </c>
      <c r="B610" s="47" t="str">
        <f aca="false">IF(_PENDIENTES!$B$604&lt;&gt;"",_PENDIENTES!$A$604,"")</f>
        <v/>
      </c>
      <c r="C610" s="107" t="str">
        <f aca="false">IF(_PENDIENTES!$B$604&lt;&gt;"",_PENDIENTES!$C$604,"")</f>
        <v/>
      </c>
      <c r="D610" s="106" t="str">
        <f aca="false">IF(_PENDIENTES!$B$604&lt;&gt;"",_PENDIENTES!$D$604,"")</f>
        <v/>
      </c>
      <c r="E610" s="111" t="str">
        <f aca="false">IF(_PENDIENTES!$B$604&lt;&gt;"",_PENDIENTES!$E$604,"")</f>
        <v/>
      </c>
      <c r="F610" s="106" t="str">
        <f aca="false">IF(_PENDIENTES!$B$604&lt;&gt;"",_PENDIENTES!$F$604,"")</f>
        <v/>
      </c>
      <c r="G610" s="50" t="str">
        <f aca="false">IF(_PENDIENTES!$B$604&lt;&gt;"",_PENDIENTES!$G$604,"")</f>
        <v/>
      </c>
      <c r="H610" s="50" t="str">
        <f aca="false">IF(_PENDIENTES!$B$604&lt;&gt;"",_PENDIENTES!$H$604,"")</f>
        <v/>
      </c>
      <c r="I610" s="107" t="str">
        <f aca="false">IF(_PENDIENTES!$B$604&lt;&gt;"",_PENDIENTES!$I$604,"")</f>
        <v/>
      </c>
      <c r="J610" s="106" t="str">
        <f aca="false">IF(_PENDIENTES!$B$604&lt;&gt;"",_PENDIENTES!$J$604,"")</f>
        <v/>
      </c>
      <c r="K610" s="106" t="str">
        <f aca="false">IF(_PENDIENTES!$B$604&lt;&gt;"","POR RECOGER","")</f>
        <v/>
      </c>
      <c r="L610" s="106" t="str">
        <f aca="false">IF(_PENDIENTES!$B$604&lt;&gt;"",_PENDIENTES!$K$604,"")</f>
        <v/>
      </c>
      <c r="M610" s="89" t="str">
        <f aca="false">IF(_PENDIENTES!$B$604&lt;&gt;"",_PENDIENTES!$B$604,"")</f>
        <v/>
      </c>
      <c r="N610" s="109" t="str">
        <f aca="false">IF(_PENDIENTES!$B$604&lt;&gt;"",_PENDIENTES!$L$604,"")</f>
        <v/>
      </c>
      <c r="O610" s="89"/>
      <c r="P610" s="89"/>
      <c r="Q610" s="89"/>
      <c r="R610" s="89"/>
      <c r="S610" s="89"/>
    </row>
    <row r="611" customFormat="false" ht="15.75" hidden="true" customHeight="true" outlineLevel="0" collapsed="false">
      <c r="A611" s="46" t="str">
        <f aca="false">IF(_PENDIENTES!$B$605&lt;&gt;"",604,"")</f>
        <v/>
      </c>
      <c r="B611" s="41" t="str">
        <f aca="false">IF(_PENDIENTES!$B$605&lt;&gt;"",_PENDIENTES!$A$605,"")</f>
        <v/>
      </c>
      <c r="C611" s="110" t="str">
        <f aca="false">IF(_PENDIENTES!$B$605&lt;&gt;"",_PENDIENTES!$C$605,"")</f>
        <v/>
      </c>
      <c r="D611" s="46" t="str">
        <f aca="false">IF(_PENDIENTES!$B$605&lt;&gt;"",_PENDIENTES!$D$605,"")</f>
        <v/>
      </c>
      <c r="E611" s="112" t="str">
        <f aca="false">IF(_PENDIENTES!$B$605&lt;&gt;"",_PENDIENTES!$E$605,"")</f>
        <v/>
      </c>
      <c r="F611" s="46" t="str">
        <f aca="false">IF(_PENDIENTES!$B$605&lt;&gt;"",_PENDIENTES!$F$605,"")</f>
        <v/>
      </c>
      <c r="G611" s="44" t="str">
        <f aca="false">IF(_PENDIENTES!$B$605&lt;&gt;"",_PENDIENTES!$G$605,"")</f>
        <v/>
      </c>
      <c r="H611" s="44" t="str">
        <f aca="false">IF(_PENDIENTES!$B$605&lt;&gt;"",_PENDIENTES!$H$605,"")</f>
        <v/>
      </c>
      <c r="I611" s="110" t="str">
        <f aca="false">IF(_PENDIENTES!$B$605&lt;&gt;"",_PENDIENTES!$I$605,"")</f>
        <v/>
      </c>
      <c r="J611" s="46" t="str">
        <f aca="false">IF(_PENDIENTES!$B$605&lt;&gt;"",_PENDIENTES!$J$605,"")</f>
        <v/>
      </c>
      <c r="K611" s="46" t="str">
        <f aca="false">IF(_PENDIENTES!$B$605&lt;&gt;"","POR RECOGER","")</f>
        <v/>
      </c>
      <c r="L611" s="46" t="str">
        <f aca="false">IF(_PENDIENTES!$B$605&lt;&gt;"",_PENDIENTES!$K$605,"")</f>
        <v/>
      </c>
      <c r="M611" s="89" t="str">
        <f aca="false">IF(_PENDIENTES!$B$605&lt;&gt;"",_PENDIENTES!$B$605,"")</f>
        <v/>
      </c>
      <c r="N611" s="109" t="str">
        <f aca="false">IF(_PENDIENTES!$B$605&lt;&gt;"",_PENDIENTES!$L$605,"")</f>
        <v/>
      </c>
      <c r="O611" s="89"/>
      <c r="P611" s="89"/>
      <c r="Q611" s="89"/>
      <c r="R611" s="89"/>
      <c r="S611" s="89"/>
    </row>
    <row r="612" customFormat="false" ht="15.75" hidden="true" customHeight="true" outlineLevel="0" collapsed="false">
      <c r="A612" s="106" t="str">
        <f aca="false">IF(_PENDIENTES!$B$606&lt;&gt;"",605,"")</f>
        <v/>
      </c>
      <c r="B612" s="47" t="str">
        <f aca="false">IF(_PENDIENTES!$B$606&lt;&gt;"",_PENDIENTES!$A$606,"")</f>
        <v/>
      </c>
      <c r="C612" s="107" t="str">
        <f aca="false">IF(_PENDIENTES!$B$606&lt;&gt;"",_PENDIENTES!$C$606,"")</f>
        <v/>
      </c>
      <c r="D612" s="106" t="str">
        <f aca="false">IF(_PENDIENTES!$B$606&lt;&gt;"",_PENDIENTES!$D$606,"")</f>
        <v/>
      </c>
      <c r="E612" s="111" t="str">
        <f aca="false">IF(_PENDIENTES!$B$606&lt;&gt;"",_PENDIENTES!$E$606,"")</f>
        <v/>
      </c>
      <c r="F612" s="106" t="str">
        <f aca="false">IF(_PENDIENTES!$B$606&lt;&gt;"",_PENDIENTES!$F$606,"")</f>
        <v/>
      </c>
      <c r="G612" s="50" t="str">
        <f aca="false">IF(_PENDIENTES!$B$606&lt;&gt;"",_PENDIENTES!$G$606,"")</f>
        <v/>
      </c>
      <c r="H612" s="50" t="str">
        <f aca="false">IF(_PENDIENTES!$B$606&lt;&gt;"",_PENDIENTES!$H$606,"")</f>
        <v/>
      </c>
      <c r="I612" s="107" t="str">
        <f aca="false">IF(_PENDIENTES!$B$606&lt;&gt;"",_PENDIENTES!$I$606,"")</f>
        <v/>
      </c>
      <c r="J612" s="106" t="str">
        <f aca="false">IF(_PENDIENTES!$B$606&lt;&gt;"",_PENDIENTES!$J$606,"")</f>
        <v/>
      </c>
      <c r="K612" s="106" t="str">
        <f aca="false">IF(_PENDIENTES!$B$606&lt;&gt;"","POR RECOGER","")</f>
        <v/>
      </c>
      <c r="L612" s="106" t="str">
        <f aca="false">IF(_PENDIENTES!$B$606&lt;&gt;"",_PENDIENTES!$K$606,"")</f>
        <v/>
      </c>
      <c r="M612" s="89" t="str">
        <f aca="false">IF(_PENDIENTES!$B$606&lt;&gt;"",_PENDIENTES!$B$606,"")</f>
        <v/>
      </c>
      <c r="N612" s="109" t="str">
        <f aca="false">IF(_PENDIENTES!$B$606&lt;&gt;"",_PENDIENTES!$L$606,"")</f>
        <v/>
      </c>
      <c r="O612" s="89"/>
      <c r="P612" s="89"/>
      <c r="Q612" s="89"/>
      <c r="R612" s="89"/>
      <c r="S612" s="89"/>
    </row>
    <row r="613" customFormat="false" ht="15.75" hidden="true" customHeight="true" outlineLevel="0" collapsed="false">
      <c r="A613" s="46" t="str">
        <f aca="false">IF(_PENDIENTES!$B$607&lt;&gt;"",606,"")</f>
        <v/>
      </c>
      <c r="B613" s="41" t="str">
        <f aca="false">IF(_PENDIENTES!$B$607&lt;&gt;"",_PENDIENTES!$A$607,"")</f>
        <v/>
      </c>
      <c r="C613" s="110" t="str">
        <f aca="false">IF(_PENDIENTES!$B$607&lt;&gt;"",_PENDIENTES!$C$607,"")</f>
        <v/>
      </c>
      <c r="D613" s="46" t="str">
        <f aca="false">IF(_PENDIENTES!$B$607&lt;&gt;"",_PENDIENTES!$D$607,"")</f>
        <v/>
      </c>
      <c r="E613" s="112" t="str">
        <f aca="false">IF(_PENDIENTES!$B$607&lt;&gt;"",_PENDIENTES!$E$607,"")</f>
        <v/>
      </c>
      <c r="F613" s="46" t="str">
        <f aca="false">IF(_PENDIENTES!$B$607&lt;&gt;"",_PENDIENTES!$F$607,"")</f>
        <v/>
      </c>
      <c r="G613" s="44" t="str">
        <f aca="false">IF(_PENDIENTES!$B$607&lt;&gt;"",_PENDIENTES!$G$607,"")</f>
        <v/>
      </c>
      <c r="H613" s="44" t="str">
        <f aca="false">IF(_PENDIENTES!$B$607&lt;&gt;"",_PENDIENTES!$H$607,"")</f>
        <v/>
      </c>
      <c r="I613" s="110" t="str">
        <f aca="false">IF(_PENDIENTES!$B$607&lt;&gt;"",_PENDIENTES!$I$607,"")</f>
        <v/>
      </c>
      <c r="J613" s="46" t="str">
        <f aca="false">IF(_PENDIENTES!$B$607&lt;&gt;"",_PENDIENTES!$J$607,"")</f>
        <v/>
      </c>
      <c r="K613" s="46" t="str">
        <f aca="false">IF(_PENDIENTES!$B$607&lt;&gt;"","POR RECOGER","")</f>
        <v/>
      </c>
      <c r="L613" s="46" t="str">
        <f aca="false">IF(_PENDIENTES!$B$607&lt;&gt;"",_PENDIENTES!$K$607,"")</f>
        <v/>
      </c>
      <c r="M613" s="89" t="str">
        <f aca="false">IF(_PENDIENTES!$B$607&lt;&gt;"",_PENDIENTES!$B$607,"")</f>
        <v/>
      </c>
      <c r="N613" s="109" t="str">
        <f aca="false">IF(_PENDIENTES!$B$607&lt;&gt;"",_PENDIENTES!$L$607,"")</f>
        <v/>
      </c>
      <c r="O613" s="89"/>
      <c r="P613" s="89"/>
      <c r="Q613" s="89"/>
      <c r="R613" s="89"/>
      <c r="S613" s="89"/>
    </row>
    <row r="614" customFormat="false" ht="15.75" hidden="true" customHeight="true" outlineLevel="0" collapsed="false">
      <c r="A614" s="106" t="str">
        <f aca="false">IF(_PENDIENTES!$B$608&lt;&gt;"",607,"")</f>
        <v/>
      </c>
      <c r="B614" s="47" t="str">
        <f aca="false">IF(_PENDIENTES!$B$608&lt;&gt;"",_PENDIENTES!$A$608,"")</f>
        <v/>
      </c>
      <c r="C614" s="107" t="str">
        <f aca="false">IF(_PENDIENTES!$B$608&lt;&gt;"",_PENDIENTES!$C$608,"")</f>
        <v/>
      </c>
      <c r="D614" s="106" t="str">
        <f aca="false">IF(_PENDIENTES!$B$608&lt;&gt;"",_PENDIENTES!$D$608,"")</f>
        <v/>
      </c>
      <c r="E614" s="111" t="str">
        <f aca="false">IF(_PENDIENTES!$B$608&lt;&gt;"",_PENDIENTES!$E$608,"")</f>
        <v/>
      </c>
      <c r="F614" s="106" t="str">
        <f aca="false">IF(_PENDIENTES!$B$608&lt;&gt;"",_PENDIENTES!$F$608,"")</f>
        <v/>
      </c>
      <c r="G614" s="50" t="str">
        <f aca="false">IF(_PENDIENTES!$B$608&lt;&gt;"",_PENDIENTES!$G$608,"")</f>
        <v/>
      </c>
      <c r="H614" s="50" t="str">
        <f aca="false">IF(_PENDIENTES!$B$608&lt;&gt;"",_PENDIENTES!$H$608,"")</f>
        <v/>
      </c>
      <c r="I614" s="107" t="str">
        <f aca="false">IF(_PENDIENTES!$B$608&lt;&gt;"",_PENDIENTES!$I$608,"")</f>
        <v/>
      </c>
      <c r="J614" s="106" t="str">
        <f aca="false">IF(_PENDIENTES!$B$608&lt;&gt;"",_PENDIENTES!$J$608,"")</f>
        <v/>
      </c>
      <c r="K614" s="106" t="str">
        <f aca="false">IF(_PENDIENTES!$B$608&lt;&gt;"","POR RECOGER","")</f>
        <v/>
      </c>
      <c r="L614" s="106" t="str">
        <f aca="false">IF(_PENDIENTES!$B$608&lt;&gt;"",_PENDIENTES!$K$608,"")</f>
        <v/>
      </c>
      <c r="M614" s="89" t="str">
        <f aca="false">IF(_PENDIENTES!$B$608&lt;&gt;"",_PENDIENTES!$B$608,"")</f>
        <v/>
      </c>
      <c r="N614" s="109" t="str">
        <f aca="false">IF(_PENDIENTES!$B$608&lt;&gt;"",_PENDIENTES!$L$608,"")</f>
        <v/>
      </c>
      <c r="O614" s="89"/>
      <c r="P614" s="89"/>
      <c r="Q614" s="89"/>
      <c r="R614" s="89"/>
      <c r="S614" s="89"/>
    </row>
    <row r="615" customFormat="false" ht="15.75" hidden="true" customHeight="true" outlineLevel="0" collapsed="false">
      <c r="A615" s="46" t="str">
        <f aca="false">IF(_PENDIENTES!$B$609&lt;&gt;"",608,"")</f>
        <v/>
      </c>
      <c r="B615" s="41" t="str">
        <f aca="false">IF(_PENDIENTES!$B$609&lt;&gt;"",_PENDIENTES!$A$609,"")</f>
        <v/>
      </c>
      <c r="C615" s="110" t="str">
        <f aca="false">IF(_PENDIENTES!$B$609&lt;&gt;"",_PENDIENTES!$C$609,"")</f>
        <v/>
      </c>
      <c r="D615" s="46" t="str">
        <f aca="false">IF(_PENDIENTES!$B$609&lt;&gt;"",_PENDIENTES!$D$609,"")</f>
        <v/>
      </c>
      <c r="E615" s="112" t="str">
        <f aca="false">IF(_PENDIENTES!$B$609&lt;&gt;"",_PENDIENTES!$E$609,"")</f>
        <v/>
      </c>
      <c r="F615" s="46" t="str">
        <f aca="false">IF(_PENDIENTES!$B$609&lt;&gt;"",_PENDIENTES!$F$609,"")</f>
        <v/>
      </c>
      <c r="G615" s="44" t="str">
        <f aca="false">IF(_PENDIENTES!$B$609&lt;&gt;"",_PENDIENTES!$G$609,"")</f>
        <v/>
      </c>
      <c r="H615" s="44" t="str">
        <f aca="false">IF(_PENDIENTES!$B$609&lt;&gt;"",_PENDIENTES!$H$609,"")</f>
        <v/>
      </c>
      <c r="I615" s="110" t="str">
        <f aca="false">IF(_PENDIENTES!$B$609&lt;&gt;"",_PENDIENTES!$I$609,"")</f>
        <v/>
      </c>
      <c r="J615" s="46" t="str">
        <f aca="false">IF(_PENDIENTES!$B$609&lt;&gt;"",_PENDIENTES!$J$609,"")</f>
        <v/>
      </c>
      <c r="K615" s="46" t="str">
        <f aca="false">IF(_PENDIENTES!$B$609&lt;&gt;"","POR RECOGER","")</f>
        <v/>
      </c>
      <c r="L615" s="46" t="str">
        <f aca="false">IF(_PENDIENTES!$B$609&lt;&gt;"",_PENDIENTES!$K$609,"")</f>
        <v/>
      </c>
      <c r="M615" s="89" t="str">
        <f aca="false">IF(_PENDIENTES!$B$609&lt;&gt;"",_PENDIENTES!$B$609,"")</f>
        <v/>
      </c>
      <c r="N615" s="109" t="str">
        <f aca="false">IF(_PENDIENTES!$B$609&lt;&gt;"",_PENDIENTES!$L$609,"")</f>
        <v/>
      </c>
      <c r="O615" s="89"/>
      <c r="P615" s="89"/>
      <c r="Q615" s="89"/>
      <c r="R615" s="89"/>
      <c r="S615" s="89"/>
    </row>
    <row r="616" customFormat="false" ht="15.75" hidden="true" customHeight="true" outlineLevel="0" collapsed="false">
      <c r="A616" s="106" t="str">
        <f aca="false">IF(_PENDIENTES!$B$610&lt;&gt;"",609,"")</f>
        <v/>
      </c>
      <c r="B616" s="47" t="str">
        <f aca="false">IF(_PENDIENTES!$B$610&lt;&gt;"",_PENDIENTES!$A$610,"")</f>
        <v/>
      </c>
      <c r="C616" s="107" t="str">
        <f aca="false">IF(_PENDIENTES!$B$610&lt;&gt;"",_PENDIENTES!$C$610,"")</f>
        <v/>
      </c>
      <c r="D616" s="106" t="str">
        <f aca="false">IF(_PENDIENTES!$B$610&lt;&gt;"",_PENDIENTES!$D$610,"")</f>
        <v/>
      </c>
      <c r="E616" s="111" t="str">
        <f aca="false">IF(_PENDIENTES!$B$610&lt;&gt;"",_PENDIENTES!$E$610,"")</f>
        <v/>
      </c>
      <c r="F616" s="106" t="str">
        <f aca="false">IF(_PENDIENTES!$B$610&lt;&gt;"",_PENDIENTES!$F$610,"")</f>
        <v/>
      </c>
      <c r="G616" s="50" t="str">
        <f aca="false">IF(_PENDIENTES!$B$610&lt;&gt;"",_PENDIENTES!$G$610,"")</f>
        <v/>
      </c>
      <c r="H616" s="50" t="str">
        <f aca="false">IF(_PENDIENTES!$B$610&lt;&gt;"",_PENDIENTES!$H$610,"")</f>
        <v/>
      </c>
      <c r="I616" s="107" t="str">
        <f aca="false">IF(_PENDIENTES!$B$610&lt;&gt;"",_PENDIENTES!$I$610,"")</f>
        <v/>
      </c>
      <c r="J616" s="106" t="str">
        <f aca="false">IF(_PENDIENTES!$B$610&lt;&gt;"",_PENDIENTES!$J$610,"")</f>
        <v/>
      </c>
      <c r="K616" s="106" t="str">
        <f aca="false">IF(_PENDIENTES!$B$610&lt;&gt;"","POR RECOGER","")</f>
        <v/>
      </c>
      <c r="L616" s="106" t="str">
        <f aca="false">IF(_PENDIENTES!$B$610&lt;&gt;"",_PENDIENTES!$K$610,"")</f>
        <v/>
      </c>
      <c r="M616" s="89" t="str">
        <f aca="false">IF(_PENDIENTES!$B$610&lt;&gt;"",_PENDIENTES!$B$610,"")</f>
        <v/>
      </c>
      <c r="N616" s="109" t="str">
        <f aca="false">IF(_PENDIENTES!$B$610&lt;&gt;"",_PENDIENTES!$L$610,"")</f>
        <v/>
      </c>
      <c r="O616" s="89"/>
      <c r="P616" s="89"/>
      <c r="Q616" s="89"/>
      <c r="R616" s="89"/>
      <c r="S616" s="89"/>
    </row>
    <row r="617" customFormat="false" ht="15.75" hidden="true" customHeight="true" outlineLevel="0" collapsed="false">
      <c r="A617" s="46" t="str">
        <f aca="false">IF(_PENDIENTES!$B$611&lt;&gt;"",610,"")</f>
        <v/>
      </c>
      <c r="B617" s="41" t="str">
        <f aca="false">IF(_PENDIENTES!$B$611&lt;&gt;"",_PENDIENTES!$A$611,"")</f>
        <v/>
      </c>
      <c r="C617" s="110" t="str">
        <f aca="false">IF(_PENDIENTES!$B$611&lt;&gt;"",_PENDIENTES!$C$611,"")</f>
        <v/>
      </c>
      <c r="D617" s="46" t="str">
        <f aca="false">IF(_PENDIENTES!$B$611&lt;&gt;"",_PENDIENTES!$D$611,"")</f>
        <v/>
      </c>
      <c r="E617" s="112" t="str">
        <f aca="false">IF(_PENDIENTES!$B$611&lt;&gt;"",_PENDIENTES!$E$611,"")</f>
        <v/>
      </c>
      <c r="F617" s="46" t="str">
        <f aca="false">IF(_PENDIENTES!$B$611&lt;&gt;"",_PENDIENTES!$F$611,"")</f>
        <v/>
      </c>
      <c r="G617" s="44" t="str">
        <f aca="false">IF(_PENDIENTES!$B$611&lt;&gt;"",_PENDIENTES!$G$611,"")</f>
        <v/>
      </c>
      <c r="H617" s="44" t="str">
        <f aca="false">IF(_PENDIENTES!$B$611&lt;&gt;"",_PENDIENTES!$H$611,"")</f>
        <v/>
      </c>
      <c r="I617" s="110" t="str">
        <f aca="false">IF(_PENDIENTES!$B$611&lt;&gt;"",_PENDIENTES!$I$611,"")</f>
        <v/>
      </c>
      <c r="J617" s="46" t="str">
        <f aca="false">IF(_PENDIENTES!$B$611&lt;&gt;"",_PENDIENTES!$J$611,"")</f>
        <v/>
      </c>
      <c r="K617" s="46" t="str">
        <f aca="false">IF(_PENDIENTES!$B$611&lt;&gt;"","POR RECOGER","")</f>
        <v/>
      </c>
      <c r="L617" s="46" t="str">
        <f aca="false">IF(_PENDIENTES!$B$611&lt;&gt;"",_PENDIENTES!$K$611,"")</f>
        <v/>
      </c>
      <c r="M617" s="89" t="str">
        <f aca="false">IF(_PENDIENTES!$B$611&lt;&gt;"",_PENDIENTES!$B$611,"")</f>
        <v/>
      </c>
      <c r="N617" s="109" t="str">
        <f aca="false">IF(_PENDIENTES!$B$611&lt;&gt;"",_PENDIENTES!$L$611,"")</f>
        <v/>
      </c>
      <c r="O617" s="89"/>
      <c r="P617" s="89"/>
      <c r="Q617" s="89"/>
      <c r="R617" s="89"/>
      <c r="S617" s="89"/>
    </row>
    <row r="618" customFormat="false" ht="15.75" hidden="true" customHeight="true" outlineLevel="0" collapsed="false">
      <c r="A618" s="106" t="str">
        <f aca="false">IF(_PENDIENTES!$B$612&lt;&gt;"",611,"")</f>
        <v/>
      </c>
      <c r="B618" s="47" t="str">
        <f aca="false">IF(_PENDIENTES!$B$612&lt;&gt;"",_PENDIENTES!$A$612,"")</f>
        <v/>
      </c>
      <c r="C618" s="107" t="str">
        <f aca="false">IF(_PENDIENTES!$B$612&lt;&gt;"",_PENDIENTES!$C$612,"")</f>
        <v/>
      </c>
      <c r="D618" s="106" t="str">
        <f aca="false">IF(_PENDIENTES!$B$612&lt;&gt;"",_PENDIENTES!$D$612,"")</f>
        <v/>
      </c>
      <c r="E618" s="111" t="str">
        <f aca="false">IF(_PENDIENTES!$B$612&lt;&gt;"",_PENDIENTES!$E$612,"")</f>
        <v/>
      </c>
      <c r="F618" s="106" t="str">
        <f aca="false">IF(_PENDIENTES!$B$612&lt;&gt;"",_PENDIENTES!$F$612,"")</f>
        <v/>
      </c>
      <c r="G618" s="50" t="str">
        <f aca="false">IF(_PENDIENTES!$B$612&lt;&gt;"",_PENDIENTES!$G$612,"")</f>
        <v/>
      </c>
      <c r="H618" s="50" t="str">
        <f aca="false">IF(_PENDIENTES!$B$612&lt;&gt;"",_PENDIENTES!$H$612,"")</f>
        <v/>
      </c>
      <c r="I618" s="107" t="str">
        <f aca="false">IF(_PENDIENTES!$B$612&lt;&gt;"",_PENDIENTES!$I$612,"")</f>
        <v/>
      </c>
      <c r="J618" s="106" t="str">
        <f aca="false">IF(_PENDIENTES!$B$612&lt;&gt;"",_PENDIENTES!$J$612,"")</f>
        <v/>
      </c>
      <c r="K618" s="106" t="str">
        <f aca="false">IF(_PENDIENTES!$B$612&lt;&gt;"","POR RECOGER","")</f>
        <v/>
      </c>
      <c r="L618" s="106" t="str">
        <f aca="false">IF(_PENDIENTES!$B$612&lt;&gt;"",_PENDIENTES!$K$612,"")</f>
        <v/>
      </c>
      <c r="M618" s="89" t="str">
        <f aca="false">IF(_PENDIENTES!$B$612&lt;&gt;"",_PENDIENTES!$B$612,"")</f>
        <v/>
      </c>
      <c r="N618" s="109" t="str">
        <f aca="false">IF(_PENDIENTES!$B$612&lt;&gt;"",_PENDIENTES!$L$612,"")</f>
        <v/>
      </c>
      <c r="O618" s="89"/>
      <c r="P618" s="89"/>
      <c r="Q618" s="89"/>
      <c r="R618" s="89"/>
      <c r="S618" s="89"/>
    </row>
    <row r="619" customFormat="false" ht="15.75" hidden="true" customHeight="true" outlineLevel="0" collapsed="false">
      <c r="A619" s="46" t="str">
        <f aca="false">IF(_PENDIENTES!$B$613&lt;&gt;"",612,"")</f>
        <v/>
      </c>
      <c r="B619" s="41" t="str">
        <f aca="false">IF(_PENDIENTES!$B$613&lt;&gt;"",_PENDIENTES!$A$613,"")</f>
        <v/>
      </c>
      <c r="C619" s="110" t="str">
        <f aca="false">IF(_PENDIENTES!$B$613&lt;&gt;"",_PENDIENTES!$C$613,"")</f>
        <v/>
      </c>
      <c r="D619" s="46" t="str">
        <f aca="false">IF(_PENDIENTES!$B$613&lt;&gt;"",_PENDIENTES!$D$613,"")</f>
        <v/>
      </c>
      <c r="E619" s="112" t="str">
        <f aca="false">IF(_PENDIENTES!$B$613&lt;&gt;"",_PENDIENTES!$E$613,"")</f>
        <v/>
      </c>
      <c r="F619" s="46" t="str">
        <f aca="false">IF(_PENDIENTES!$B$613&lt;&gt;"",_PENDIENTES!$F$613,"")</f>
        <v/>
      </c>
      <c r="G619" s="44" t="str">
        <f aca="false">IF(_PENDIENTES!$B$613&lt;&gt;"",_PENDIENTES!$G$613,"")</f>
        <v/>
      </c>
      <c r="H619" s="44" t="str">
        <f aca="false">IF(_PENDIENTES!$B$613&lt;&gt;"",_PENDIENTES!$H$613,"")</f>
        <v/>
      </c>
      <c r="I619" s="110" t="str">
        <f aca="false">IF(_PENDIENTES!$B$613&lt;&gt;"",_PENDIENTES!$I$613,"")</f>
        <v/>
      </c>
      <c r="J619" s="46" t="str">
        <f aca="false">IF(_PENDIENTES!$B$613&lt;&gt;"",_PENDIENTES!$J$613,"")</f>
        <v/>
      </c>
      <c r="K619" s="46" t="str">
        <f aca="false">IF(_PENDIENTES!$B$613&lt;&gt;"","POR RECOGER","")</f>
        <v/>
      </c>
      <c r="L619" s="46" t="str">
        <f aca="false">IF(_PENDIENTES!$B$613&lt;&gt;"",_PENDIENTES!$K$613,"")</f>
        <v/>
      </c>
      <c r="M619" s="89" t="str">
        <f aca="false">IF(_PENDIENTES!$B$613&lt;&gt;"",_PENDIENTES!$B$613,"")</f>
        <v/>
      </c>
      <c r="N619" s="109" t="str">
        <f aca="false">IF(_PENDIENTES!$B$613&lt;&gt;"",_PENDIENTES!$L$613,"")</f>
        <v/>
      </c>
      <c r="O619" s="89"/>
      <c r="P619" s="89"/>
      <c r="Q619" s="89"/>
      <c r="R619" s="89"/>
      <c r="S619" s="89"/>
    </row>
    <row r="620" customFormat="false" ht="15.75" hidden="true" customHeight="true" outlineLevel="0" collapsed="false">
      <c r="A620" s="106" t="str">
        <f aca="false">IF(_PENDIENTES!$B$614&lt;&gt;"",613,"")</f>
        <v/>
      </c>
      <c r="B620" s="47" t="str">
        <f aca="false">IF(_PENDIENTES!$B$614&lt;&gt;"",_PENDIENTES!$A$614,"")</f>
        <v/>
      </c>
      <c r="C620" s="107" t="str">
        <f aca="false">IF(_PENDIENTES!$B$614&lt;&gt;"",_PENDIENTES!$C$614,"")</f>
        <v/>
      </c>
      <c r="D620" s="106" t="str">
        <f aca="false">IF(_PENDIENTES!$B$614&lt;&gt;"",_PENDIENTES!$D$614,"")</f>
        <v/>
      </c>
      <c r="E620" s="111" t="str">
        <f aca="false">IF(_PENDIENTES!$B$614&lt;&gt;"",_PENDIENTES!$E$614,"")</f>
        <v/>
      </c>
      <c r="F620" s="106" t="str">
        <f aca="false">IF(_PENDIENTES!$B$614&lt;&gt;"",_PENDIENTES!$F$614,"")</f>
        <v/>
      </c>
      <c r="G620" s="50" t="str">
        <f aca="false">IF(_PENDIENTES!$B$614&lt;&gt;"",_PENDIENTES!$G$614,"")</f>
        <v/>
      </c>
      <c r="H620" s="50" t="str">
        <f aca="false">IF(_PENDIENTES!$B$614&lt;&gt;"",_PENDIENTES!$H$614,"")</f>
        <v/>
      </c>
      <c r="I620" s="107" t="str">
        <f aca="false">IF(_PENDIENTES!$B$614&lt;&gt;"",_PENDIENTES!$I$614,"")</f>
        <v/>
      </c>
      <c r="J620" s="106" t="str">
        <f aca="false">IF(_PENDIENTES!$B$614&lt;&gt;"",_PENDIENTES!$J$614,"")</f>
        <v/>
      </c>
      <c r="K620" s="106" t="str">
        <f aca="false">IF(_PENDIENTES!$B$614&lt;&gt;"","POR RECOGER","")</f>
        <v/>
      </c>
      <c r="L620" s="106" t="str">
        <f aca="false">IF(_PENDIENTES!$B$614&lt;&gt;"",_PENDIENTES!$K$614,"")</f>
        <v/>
      </c>
      <c r="M620" s="89" t="str">
        <f aca="false">IF(_PENDIENTES!$B$614&lt;&gt;"",_PENDIENTES!$B$614,"")</f>
        <v/>
      </c>
      <c r="N620" s="109" t="str">
        <f aca="false">IF(_PENDIENTES!$B$614&lt;&gt;"",_PENDIENTES!$L$614,"")</f>
        <v/>
      </c>
      <c r="O620" s="89"/>
      <c r="P620" s="89"/>
      <c r="Q620" s="89"/>
      <c r="R620" s="89"/>
      <c r="S620" s="89"/>
    </row>
    <row r="621" customFormat="false" ht="15.75" hidden="true" customHeight="true" outlineLevel="0" collapsed="false">
      <c r="A621" s="46" t="str">
        <f aca="false">IF(_PENDIENTES!$B$615&lt;&gt;"",614,"")</f>
        <v/>
      </c>
      <c r="B621" s="41" t="str">
        <f aca="false">IF(_PENDIENTES!$B$615&lt;&gt;"",_PENDIENTES!$A$615,"")</f>
        <v/>
      </c>
      <c r="C621" s="110" t="str">
        <f aca="false">IF(_PENDIENTES!$B$615&lt;&gt;"",_PENDIENTES!$C$615,"")</f>
        <v/>
      </c>
      <c r="D621" s="46" t="str">
        <f aca="false">IF(_PENDIENTES!$B$615&lt;&gt;"",_PENDIENTES!$D$615,"")</f>
        <v/>
      </c>
      <c r="E621" s="112" t="str">
        <f aca="false">IF(_PENDIENTES!$B$615&lt;&gt;"",_PENDIENTES!$E$615,"")</f>
        <v/>
      </c>
      <c r="F621" s="46" t="str">
        <f aca="false">IF(_PENDIENTES!$B$615&lt;&gt;"",_PENDIENTES!$F$615,"")</f>
        <v/>
      </c>
      <c r="G621" s="44" t="str">
        <f aca="false">IF(_PENDIENTES!$B$615&lt;&gt;"",_PENDIENTES!$G$615,"")</f>
        <v/>
      </c>
      <c r="H621" s="44" t="str">
        <f aca="false">IF(_PENDIENTES!$B$615&lt;&gt;"",_PENDIENTES!$H$615,"")</f>
        <v/>
      </c>
      <c r="I621" s="110" t="str">
        <f aca="false">IF(_PENDIENTES!$B$615&lt;&gt;"",_PENDIENTES!$I$615,"")</f>
        <v/>
      </c>
      <c r="J621" s="46" t="str">
        <f aca="false">IF(_PENDIENTES!$B$615&lt;&gt;"",_PENDIENTES!$J$615,"")</f>
        <v/>
      </c>
      <c r="K621" s="46" t="str">
        <f aca="false">IF(_PENDIENTES!$B$615&lt;&gt;"","POR RECOGER","")</f>
        <v/>
      </c>
      <c r="L621" s="46" t="str">
        <f aca="false">IF(_PENDIENTES!$B$615&lt;&gt;"",_PENDIENTES!$K$615,"")</f>
        <v/>
      </c>
      <c r="M621" s="89" t="str">
        <f aca="false">IF(_PENDIENTES!$B$615&lt;&gt;"",_PENDIENTES!$B$615,"")</f>
        <v/>
      </c>
      <c r="N621" s="109" t="str">
        <f aca="false">IF(_PENDIENTES!$B$615&lt;&gt;"",_PENDIENTES!$L$615,"")</f>
        <v/>
      </c>
      <c r="O621" s="89"/>
      <c r="P621" s="89"/>
      <c r="Q621" s="89"/>
      <c r="R621" s="89"/>
      <c r="S621" s="89"/>
    </row>
    <row r="622" customFormat="false" ht="15.75" hidden="true" customHeight="true" outlineLevel="0" collapsed="false">
      <c r="A622" s="106" t="str">
        <f aca="false">IF(_PENDIENTES!$B$616&lt;&gt;"",615,"")</f>
        <v/>
      </c>
      <c r="B622" s="47" t="str">
        <f aca="false">IF(_PENDIENTES!$B$616&lt;&gt;"",_PENDIENTES!$A$616,"")</f>
        <v/>
      </c>
      <c r="C622" s="107" t="str">
        <f aca="false">IF(_PENDIENTES!$B$616&lt;&gt;"",_PENDIENTES!$C$616,"")</f>
        <v/>
      </c>
      <c r="D622" s="106" t="str">
        <f aca="false">IF(_PENDIENTES!$B$616&lt;&gt;"",_PENDIENTES!$D$616,"")</f>
        <v/>
      </c>
      <c r="E622" s="111" t="str">
        <f aca="false">IF(_PENDIENTES!$B$616&lt;&gt;"",_PENDIENTES!$E$616,"")</f>
        <v/>
      </c>
      <c r="F622" s="106" t="str">
        <f aca="false">IF(_PENDIENTES!$B$616&lt;&gt;"",_PENDIENTES!$F$616,"")</f>
        <v/>
      </c>
      <c r="G622" s="50" t="str">
        <f aca="false">IF(_PENDIENTES!$B$616&lt;&gt;"",_PENDIENTES!$G$616,"")</f>
        <v/>
      </c>
      <c r="H622" s="50" t="str">
        <f aca="false">IF(_PENDIENTES!$B$616&lt;&gt;"",_PENDIENTES!$H$616,"")</f>
        <v/>
      </c>
      <c r="I622" s="107" t="str">
        <f aca="false">IF(_PENDIENTES!$B$616&lt;&gt;"",_PENDIENTES!$I$616,"")</f>
        <v/>
      </c>
      <c r="J622" s="106" t="str">
        <f aca="false">IF(_PENDIENTES!$B$616&lt;&gt;"",_PENDIENTES!$J$616,"")</f>
        <v/>
      </c>
      <c r="K622" s="106" t="str">
        <f aca="false">IF(_PENDIENTES!$B$616&lt;&gt;"","POR RECOGER","")</f>
        <v/>
      </c>
      <c r="L622" s="106" t="str">
        <f aca="false">IF(_PENDIENTES!$B$616&lt;&gt;"",_PENDIENTES!$K$616,"")</f>
        <v/>
      </c>
      <c r="M622" s="89" t="str">
        <f aca="false">IF(_PENDIENTES!$B$616&lt;&gt;"",_PENDIENTES!$B$616,"")</f>
        <v/>
      </c>
      <c r="N622" s="109" t="str">
        <f aca="false">IF(_PENDIENTES!$B$616&lt;&gt;"",_PENDIENTES!$L$616,"")</f>
        <v/>
      </c>
      <c r="O622" s="89"/>
      <c r="P622" s="89"/>
      <c r="Q622" s="89"/>
      <c r="R622" s="89"/>
      <c r="S622" s="89"/>
    </row>
    <row r="623" customFormat="false" ht="15.75" hidden="true" customHeight="true" outlineLevel="0" collapsed="false">
      <c r="A623" s="46" t="str">
        <f aca="false">IF(_PENDIENTES!$B$617&lt;&gt;"",616,"")</f>
        <v/>
      </c>
      <c r="B623" s="41" t="str">
        <f aca="false">IF(_PENDIENTES!$B$617&lt;&gt;"",_PENDIENTES!$A$617,"")</f>
        <v/>
      </c>
      <c r="C623" s="110" t="str">
        <f aca="false">IF(_PENDIENTES!$B$617&lt;&gt;"",_PENDIENTES!$C$617,"")</f>
        <v/>
      </c>
      <c r="D623" s="46" t="str">
        <f aca="false">IF(_PENDIENTES!$B$617&lt;&gt;"",_PENDIENTES!$D$617,"")</f>
        <v/>
      </c>
      <c r="E623" s="112" t="str">
        <f aca="false">IF(_PENDIENTES!$B$617&lt;&gt;"",_PENDIENTES!$E$617,"")</f>
        <v/>
      </c>
      <c r="F623" s="46" t="str">
        <f aca="false">IF(_PENDIENTES!$B$617&lt;&gt;"",_PENDIENTES!$F$617,"")</f>
        <v/>
      </c>
      <c r="G623" s="44" t="str">
        <f aca="false">IF(_PENDIENTES!$B$617&lt;&gt;"",_PENDIENTES!$G$617,"")</f>
        <v/>
      </c>
      <c r="H623" s="44" t="str">
        <f aca="false">IF(_PENDIENTES!$B$617&lt;&gt;"",_PENDIENTES!$H$617,"")</f>
        <v/>
      </c>
      <c r="I623" s="110" t="str">
        <f aca="false">IF(_PENDIENTES!$B$617&lt;&gt;"",_PENDIENTES!$I$617,"")</f>
        <v/>
      </c>
      <c r="J623" s="46" t="str">
        <f aca="false">IF(_PENDIENTES!$B$617&lt;&gt;"",_PENDIENTES!$J$617,"")</f>
        <v/>
      </c>
      <c r="K623" s="46" t="str">
        <f aca="false">IF(_PENDIENTES!$B$617&lt;&gt;"","POR RECOGER","")</f>
        <v/>
      </c>
      <c r="L623" s="46" t="str">
        <f aca="false">IF(_PENDIENTES!$B$617&lt;&gt;"",_PENDIENTES!$K$617,"")</f>
        <v/>
      </c>
      <c r="M623" s="89" t="str">
        <f aca="false">IF(_PENDIENTES!$B$617&lt;&gt;"",_PENDIENTES!$B$617,"")</f>
        <v/>
      </c>
      <c r="N623" s="109" t="str">
        <f aca="false">IF(_PENDIENTES!$B$617&lt;&gt;"",_PENDIENTES!$L$617,"")</f>
        <v/>
      </c>
      <c r="O623" s="89"/>
      <c r="P623" s="89"/>
      <c r="Q623" s="89"/>
      <c r="R623" s="89"/>
      <c r="S623" s="89"/>
    </row>
    <row r="624" customFormat="false" ht="15.75" hidden="true" customHeight="true" outlineLevel="0" collapsed="false">
      <c r="A624" s="106" t="str">
        <f aca="false">IF(_PENDIENTES!$B$618&lt;&gt;"",617,"")</f>
        <v/>
      </c>
      <c r="B624" s="47" t="str">
        <f aca="false">IF(_PENDIENTES!$B$618&lt;&gt;"",_PENDIENTES!$A$618,"")</f>
        <v/>
      </c>
      <c r="C624" s="107" t="str">
        <f aca="false">IF(_PENDIENTES!$B$618&lt;&gt;"",_PENDIENTES!$C$618,"")</f>
        <v/>
      </c>
      <c r="D624" s="106" t="str">
        <f aca="false">IF(_PENDIENTES!$B$618&lt;&gt;"",_PENDIENTES!$D$618,"")</f>
        <v/>
      </c>
      <c r="E624" s="111" t="str">
        <f aca="false">IF(_PENDIENTES!$B$618&lt;&gt;"",_PENDIENTES!$E$618,"")</f>
        <v/>
      </c>
      <c r="F624" s="106" t="str">
        <f aca="false">IF(_PENDIENTES!$B$618&lt;&gt;"",_PENDIENTES!$F$618,"")</f>
        <v/>
      </c>
      <c r="G624" s="50" t="str">
        <f aca="false">IF(_PENDIENTES!$B$618&lt;&gt;"",_PENDIENTES!$G$618,"")</f>
        <v/>
      </c>
      <c r="H624" s="50" t="str">
        <f aca="false">IF(_PENDIENTES!$B$618&lt;&gt;"",_PENDIENTES!$H$618,"")</f>
        <v/>
      </c>
      <c r="I624" s="107" t="str">
        <f aca="false">IF(_PENDIENTES!$B$618&lt;&gt;"",_PENDIENTES!$I$618,"")</f>
        <v/>
      </c>
      <c r="J624" s="106" t="str">
        <f aca="false">IF(_PENDIENTES!$B$618&lt;&gt;"",_PENDIENTES!$J$618,"")</f>
        <v/>
      </c>
      <c r="K624" s="106" t="str">
        <f aca="false">IF(_PENDIENTES!$B$618&lt;&gt;"","POR RECOGER","")</f>
        <v/>
      </c>
      <c r="L624" s="106" t="str">
        <f aca="false">IF(_PENDIENTES!$B$618&lt;&gt;"",_PENDIENTES!$K$618,"")</f>
        <v/>
      </c>
      <c r="M624" s="89" t="str">
        <f aca="false">IF(_PENDIENTES!$B$618&lt;&gt;"",_PENDIENTES!$B$618,"")</f>
        <v/>
      </c>
      <c r="N624" s="109" t="str">
        <f aca="false">IF(_PENDIENTES!$B$618&lt;&gt;"",_PENDIENTES!$L$618,"")</f>
        <v/>
      </c>
      <c r="O624" s="89"/>
      <c r="P624" s="89"/>
      <c r="Q624" s="89"/>
      <c r="R624" s="89"/>
      <c r="S624" s="89"/>
    </row>
    <row r="625" customFormat="false" ht="15.75" hidden="true" customHeight="true" outlineLevel="0" collapsed="false">
      <c r="A625" s="46" t="str">
        <f aca="false">IF(_PENDIENTES!$B$619&lt;&gt;"",618,"")</f>
        <v/>
      </c>
      <c r="B625" s="41" t="str">
        <f aca="false">IF(_PENDIENTES!$B$619&lt;&gt;"",_PENDIENTES!$A$619,"")</f>
        <v/>
      </c>
      <c r="C625" s="110" t="str">
        <f aca="false">IF(_PENDIENTES!$B$619&lt;&gt;"",_PENDIENTES!$C$619,"")</f>
        <v/>
      </c>
      <c r="D625" s="46" t="str">
        <f aca="false">IF(_PENDIENTES!$B$619&lt;&gt;"",_PENDIENTES!$D$619,"")</f>
        <v/>
      </c>
      <c r="E625" s="112" t="str">
        <f aca="false">IF(_PENDIENTES!$B$619&lt;&gt;"",_PENDIENTES!$E$619,"")</f>
        <v/>
      </c>
      <c r="F625" s="46" t="str">
        <f aca="false">IF(_PENDIENTES!$B$619&lt;&gt;"",_PENDIENTES!$F$619,"")</f>
        <v/>
      </c>
      <c r="G625" s="44" t="str">
        <f aca="false">IF(_PENDIENTES!$B$619&lt;&gt;"",_PENDIENTES!$G$619,"")</f>
        <v/>
      </c>
      <c r="H625" s="44" t="str">
        <f aca="false">IF(_PENDIENTES!$B$619&lt;&gt;"",_PENDIENTES!$H$619,"")</f>
        <v/>
      </c>
      <c r="I625" s="110" t="str">
        <f aca="false">IF(_PENDIENTES!$B$619&lt;&gt;"",_PENDIENTES!$I$619,"")</f>
        <v/>
      </c>
      <c r="J625" s="46" t="str">
        <f aca="false">IF(_PENDIENTES!$B$619&lt;&gt;"",_PENDIENTES!$J$619,"")</f>
        <v/>
      </c>
      <c r="K625" s="46" t="str">
        <f aca="false">IF(_PENDIENTES!$B$619&lt;&gt;"","POR RECOGER","")</f>
        <v/>
      </c>
      <c r="L625" s="46" t="str">
        <f aca="false">IF(_PENDIENTES!$B$619&lt;&gt;"",_PENDIENTES!$K$619,"")</f>
        <v/>
      </c>
      <c r="M625" s="89" t="str">
        <f aca="false">IF(_PENDIENTES!$B$619&lt;&gt;"",_PENDIENTES!$B$619,"")</f>
        <v/>
      </c>
      <c r="N625" s="109" t="str">
        <f aca="false">IF(_PENDIENTES!$B$619&lt;&gt;"",_PENDIENTES!$L$619,"")</f>
        <v/>
      </c>
      <c r="O625" s="89"/>
      <c r="P625" s="89"/>
      <c r="Q625" s="89"/>
      <c r="R625" s="89"/>
      <c r="S625" s="89"/>
    </row>
    <row r="626" customFormat="false" ht="15.75" hidden="true" customHeight="true" outlineLevel="0" collapsed="false">
      <c r="A626" s="106" t="str">
        <f aca="false">IF(_PENDIENTES!$B$620&lt;&gt;"",619,"")</f>
        <v/>
      </c>
      <c r="B626" s="47" t="str">
        <f aca="false">IF(_PENDIENTES!$B$620&lt;&gt;"",_PENDIENTES!$A$620,"")</f>
        <v/>
      </c>
      <c r="C626" s="107" t="str">
        <f aca="false">IF(_PENDIENTES!$B$620&lt;&gt;"",_PENDIENTES!$C$620,"")</f>
        <v/>
      </c>
      <c r="D626" s="106" t="str">
        <f aca="false">IF(_PENDIENTES!$B$620&lt;&gt;"",_PENDIENTES!$D$620,"")</f>
        <v/>
      </c>
      <c r="E626" s="111" t="str">
        <f aca="false">IF(_PENDIENTES!$B$620&lt;&gt;"",_PENDIENTES!$E$620,"")</f>
        <v/>
      </c>
      <c r="F626" s="106" t="str">
        <f aca="false">IF(_PENDIENTES!$B$620&lt;&gt;"",_PENDIENTES!$F$620,"")</f>
        <v/>
      </c>
      <c r="G626" s="50" t="str">
        <f aca="false">IF(_PENDIENTES!$B$620&lt;&gt;"",_PENDIENTES!$G$620,"")</f>
        <v/>
      </c>
      <c r="H626" s="50" t="str">
        <f aca="false">IF(_PENDIENTES!$B$620&lt;&gt;"",_PENDIENTES!$H$620,"")</f>
        <v/>
      </c>
      <c r="I626" s="107" t="str">
        <f aca="false">IF(_PENDIENTES!$B$620&lt;&gt;"",_PENDIENTES!$I$620,"")</f>
        <v/>
      </c>
      <c r="J626" s="106" t="str">
        <f aca="false">IF(_PENDIENTES!$B$620&lt;&gt;"",_PENDIENTES!$J$620,"")</f>
        <v/>
      </c>
      <c r="K626" s="106" t="str">
        <f aca="false">IF(_PENDIENTES!$B$620&lt;&gt;"","POR RECOGER","")</f>
        <v/>
      </c>
      <c r="L626" s="106" t="str">
        <f aca="false">IF(_PENDIENTES!$B$620&lt;&gt;"",_PENDIENTES!$K$620,"")</f>
        <v/>
      </c>
      <c r="M626" s="89" t="str">
        <f aca="false">IF(_PENDIENTES!$B$620&lt;&gt;"",_PENDIENTES!$B$620,"")</f>
        <v/>
      </c>
      <c r="N626" s="109" t="str">
        <f aca="false">IF(_PENDIENTES!$B$620&lt;&gt;"",_PENDIENTES!$L$620,"")</f>
        <v/>
      </c>
      <c r="O626" s="89"/>
      <c r="P626" s="89"/>
      <c r="Q626" s="89"/>
      <c r="R626" s="89"/>
      <c r="S626" s="89"/>
    </row>
    <row r="627" customFormat="false" ht="15.75" hidden="true" customHeight="true" outlineLevel="0" collapsed="false">
      <c r="A627" s="46" t="str">
        <f aca="false">IF(_PENDIENTES!$B$621&lt;&gt;"",620,"")</f>
        <v/>
      </c>
      <c r="B627" s="41" t="str">
        <f aca="false">IF(_PENDIENTES!$B$621&lt;&gt;"",_PENDIENTES!$A$621,"")</f>
        <v/>
      </c>
      <c r="C627" s="110" t="str">
        <f aca="false">IF(_PENDIENTES!$B$621&lt;&gt;"",_PENDIENTES!$C$621,"")</f>
        <v/>
      </c>
      <c r="D627" s="46" t="str">
        <f aca="false">IF(_PENDIENTES!$B$621&lt;&gt;"",_PENDIENTES!$D$621,"")</f>
        <v/>
      </c>
      <c r="E627" s="112" t="str">
        <f aca="false">IF(_PENDIENTES!$B$621&lt;&gt;"",_PENDIENTES!$E$621,"")</f>
        <v/>
      </c>
      <c r="F627" s="46" t="str">
        <f aca="false">IF(_PENDIENTES!$B$621&lt;&gt;"",_PENDIENTES!$F$621,"")</f>
        <v/>
      </c>
      <c r="G627" s="44" t="str">
        <f aca="false">IF(_PENDIENTES!$B$621&lt;&gt;"",_PENDIENTES!$G$621,"")</f>
        <v/>
      </c>
      <c r="H627" s="44" t="str">
        <f aca="false">IF(_PENDIENTES!$B$621&lt;&gt;"",_PENDIENTES!$H$621,"")</f>
        <v/>
      </c>
      <c r="I627" s="110" t="str">
        <f aca="false">IF(_PENDIENTES!$B$621&lt;&gt;"",_PENDIENTES!$I$621,"")</f>
        <v/>
      </c>
      <c r="J627" s="46" t="str">
        <f aca="false">IF(_PENDIENTES!$B$621&lt;&gt;"",_PENDIENTES!$J$621,"")</f>
        <v/>
      </c>
      <c r="K627" s="46" t="str">
        <f aca="false">IF(_PENDIENTES!$B$621&lt;&gt;"","POR RECOGER","")</f>
        <v/>
      </c>
      <c r="L627" s="46" t="str">
        <f aca="false">IF(_PENDIENTES!$B$621&lt;&gt;"",_PENDIENTES!$K$621,"")</f>
        <v/>
      </c>
      <c r="M627" s="89" t="str">
        <f aca="false">IF(_PENDIENTES!$B$621&lt;&gt;"",_PENDIENTES!$B$621,"")</f>
        <v/>
      </c>
      <c r="N627" s="109" t="str">
        <f aca="false">IF(_PENDIENTES!$B$621&lt;&gt;"",_PENDIENTES!$L$621,"")</f>
        <v/>
      </c>
      <c r="O627" s="89"/>
      <c r="P627" s="89"/>
      <c r="Q627" s="89"/>
      <c r="R627" s="89"/>
      <c r="S627" s="89"/>
    </row>
    <row r="628" customFormat="false" ht="15.75" hidden="true" customHeight="true" outlineLevel="0" collapsed="false">
      <c r="A628" s="106" t="str">
        <f aca="false">IF(_PENDIENTES!$B$622&lt;&gt;"",621,"")</f>
        <v/>
      </c>
      <c r="B628" s="47" t="str">
        <f aca="false">IF(_PENDIENTES!$B$622&lt;&gt;"",_PENDIENTES!$A$622,"")</f>
        <v/>
      </c>
      <c r="C628" s="107" t="str">
        <f aca="false">IF(_PENDIENTES!$B$622&lt;&gt;"",_PENDIENTES!$C$622,"")</f>
        <v/>
      </c>
      <c r="D628" s="106" t="str">
        <f aca="false">IF(_PENDIENTES!$B$622&lt;&gt;"",_PENDIENTES!$D$622,"")</f>
        <v/>
      </c>
      <c r="E628" s="111" t="str">
        <f aca="false">IF(_PENDIENTES!$B$622&lt;&gt;"",_PENDIENTES!$E$622,"")</f>
        <v/>
      </c>
      <c r="F628" s="106" t="str">
        <f aca="false">IF(_PENDIENTES!$B$622&lt;&gt;"",_PENDIENTES!$F$622,"")</f>
        <v/>
      </c>
      <c r="G628" s="50" t="str">
        <f aca="false">IF(_PENDIENTES!$B$622&lt;&gt;"",_PENDIENTES!$G$622,"")</f>
        <v/>
      </c>
      <c r="H628" s="50" t="str">
        <f aca="false">IF(_PENDIENTES!$B$622&lt;&gt;"",_PENDIENTES!$H$622,"")</f>
        <v/>
      </c>
      <c r="I628" s="107" t="str">
        <f aca="false">IF(_PENDIENTES!$B$622&lt;&gt;"",_PENDIENTES!$I$622,"")</f>
        <v/>
      </c>
      <c r="J628" s="106" t="str">
        <f aca="false">IF(_PENDIENTES!$B$622&lt;&gt;"",_PENDIENTES!$J$622,"")</f>
        <v/>
      </c>
      <c r="K628" s="106" t="str">
        <f aca="false">IF(_PENDIENTES!$B$622&lt;&gt;"","POR RECOGER","")</f>
        <v/>
      </c>
      <c r="L628" s="106" t="str">
        <f aca="false">IF(_PENDIENTES!$B$622&lt;&gt;"",_PENDIENTES!$K$622,"")</f>
        <v/>
      </c>
      <c r="M628" s="89" t="str">
        <f aca="false">IF(_PENDIENTES!$B$622&lt;&gt;"",_PENDIENTES!$B$622,"")</f>
        <v/>
      </c>
      <c r="N628" s="109" t="str">
        <f aca="false">IF(_PENDIENTES!$B$622&lt;&gt;"",_PENDIENTES!$L$622,"")</f>
        <v/>
      </c>
      <c r="O628" s="89"/>
      <c r="P628" s="89"/>
      <c r="Q628" s="89"/>
      <c r="R628" s="89"/>
      <c r="S628" s="89"/>
    </row>
    <row r="629" customFormat="false" ht="15.75" hidden="true" customHeight="true" outlineLevel="0" collapsed="false">
      <c r="A629" s="46" t="str">
        <f aca="false">IF(_PENDIENTES!$B$623&lt;&gt;"",622,"")</f>
        <v/>
      </c>
      <c r="B629" s="41" t="str">
        <f aca="false">IF(_PENDIENTES!$B$623&lt;&gt;"",_PENDIENTES!$A$623,"")</f>
        <v/>
      </c>
      <c r="C629" s="110" t="str">
        <f aca="false">IF(_PENDIENTES!$B$623&lt;&gt;"",_PENDIENTES!$C$623,"")</f>
        <v/>
      </c>
      <c r="D629" s="46" t="str">
        <f aca="false">IF(_PENDIENTES!$B$623&lt;&gt;"",_PENDIENTES!$D$623,"")</f>
        <v/>
      </c>
      <c r="E629" s="112" t="str">
        <f aca="false">IF(_PENDIENTES!$B$623&lt;&gt;"",_PENDIENTES!$E$623,"")</f>
        <v/>
      </c>
      <c r="F629" s="46" t="str">
        <f aca="false">IF(_PENDIENTES!$B$623&lt;&gt;"",_PENDIENTES!$F$623,"")</f>
        <v/>
      </c>
      <c r="G629" s="44" t="str">
        <f aca="false">IF(_PENDIENTES!$B$623&lt;&gt;"",_PENDIENTES!$G$623,"")</f>
        <v/>
      </c>
      <c r="H629" s="44" t="str">
        <f aca="false">IF(_PENDIENTES!$B$623&lt;&gt;"",_PENDIENTES!$H$623,"")</f>
        <v/>
      </c>
      <c r="I629" s="110" t="str">
        <f aca="false">IF(_PENDIENTES!$B$623&lt;&gt;"",_PENDIENTES!$I$623,"")</f>
        <v/>
      </c>
      <c r="J629" s="46" t="str">
        <f aca="false">IF(_PENDIENTES!$B$623&lt;&gt;"",_PENDIENTES!$J$623,"")</f>
        <v/>
      </c>
      <c r="K629" s="46" t="str">
        <f aca="false">IF(_PENDIENTES!$B$623&lt;&gt;"","POR RECOGER","")</f>
        <v/>
      </c>
      <c r="L629" s="46" t="str">
        <f aca="false">IF(_PENDIENTES!$B$623&lt;&gt;"",_PENDIENTES!$K$623,"")</f>
        <v/>
      </c>
      <c r="M629" s="89" t="str">
        <f aca="false">IF(_PENDIENTES!$B$623&lt;&gt;"",_PENDIENTES!$B$623,"")</f>
        <v/>
      </c>
      <c r="N629" s="109" t="str">
        <f aca="false">IF(_PENDIENTES!$B$623&lt;&gt;"",_PENDIENTES!$L$623,"")</f>
        <v/>
      </c>
      <c r="O629" s="89"/>
      <c r="P629" s="89"/>
      <c r="Q629" s="89"/>
      <c r="R629" s="89"/>
      <c r="S629" s="89"/>
    </row>
    <row r="630" customFormat="false" ht="15.75" hidden="true" customHeight="true" outlineLevel="0" collapsed="false">
      <c r="A630" s="106" t="str">
        <f aca="false">IF(_PENDIENTES!$B$624&lt;&gt;"",623,"")</f>
        <v/>
      </c>
      <c r="B630" s="47" t="str">
        <f aca="false">IF(_PENDIENTES!$B$624&lt;&gt;"",_PENDIENTES!$A$624,"")</f>
        <v/>
      </c>
      <c r="C630" s="107" t="str">
        <f aca="false">IF(_PENDIENTES!$B$624&lt;&gt;"",_PENDIENTES!$C$624,"")</f>
        <v/>
      </c>
      <c r="D630" s="106" t="str">
        <f aca="false">IF(_PENDIENTES!$B$624&lt;&gt;"",_PENDIENTES!$D$624,"")</f>
        <v/>
      </c>
      <c r="E630" s="111" t="str">
        <f aca="false">IF(_PENDIENTES!$B$624&lt;&gt;"",_PENDIENTES!$E$624,"")</f>
        <v/>
      </c>
      <c r="F630" s="106" t="str">
        <f aca="false">IF(_PENDIENTES!$B$624&lt;&gt;"",_PENDIENTES!$F$624,"")</f>
        <v/>
      </c>
      <c r="G630" s="50" t="str">
        <f aca="false">IF(_PENDIENTES!$B$624&lt;&gt;"",_PENDIENTES!$G$624,"")</f>
        <v/>
      </c>
      <c r="H630" s="50" t="str">
        <f aca="false">IF(_PENDIENTES!$B$624&lt;&gt;"",_PENDIENTES!$H$624,"")</f>
        <v/>
      </c>
      <c r="I630" s="107" t="str">
        <f aca="false">IF(_PENDIENTES!$B$624&lt;&gt;"",_PENDIENTES!$I$624,"")</f>
        <v/>
      </c>
      <c r="J630" s="106" t="str">
        <f aca="false">IF(_PENDIENTES!$B$624&lt;&gt;"",_PENDIENTES!$J$624,"")</f>
        <v/>
      </c>
      <c r="K630" s="106" t="str">
        <f aca="false">IF(_PENDIENTES!$B$624&lt;&gt;"","POR RECOGER","")</f>
        <v/>
      </c>
      <c r="L630" s="106" t="str">
        <f aca="false">IF(_PENDIENTES!$B$624&lt;&gt;"",_PENDIENTES!$K$624,"")</f>
        <v/>
      </c>
      <c r="M630" s="89" t="str">
        <f aca="false">IF(_PENDIENTES!$B$624&lt;&gt;"",_PENDIENTES!$B$624,"")</f>
        <v/>
      </c>
      <c r="N630" s="109" t="str">
        <f aca="false">IF(_PENDIENTES!$B$624&lt;&gt;"",_PENDIENTES!$L$624,"")</f>
        <v/>
      </c>
      <c r="O630" s="89"/>
      <c r="P630" s="89"/>
      <c r="Q630" s="89"/>
      <c r="R630" s="89"/>
      <c r="S630" s="89"/>
    </row>
    <row r="631" customFormat="false" ht="15.75" hidden="true" customHeight="true" outlineLevel="0" collapsed="false">
      <c r="A631" s="46" t="str">
        <f aca="false">IF(_PENDIENTES!$B$625&lt;&gt;"",624,"")</f>
        <v/>
      </c>
      <c r="B631" s="41" t="str">
        <f aca="false">IF(_PENDIENTES!$B$625&lt;&gt;"",_PENDIENTES!$A$625,"")</f>
        <v/>
      </c>
      <c r="C631" s="110" t="str">
        <f aca="false">IF(_PENDIENTES!$B$625&lt;&gt;"",_PENDIENTES!$C$625,"")</f>
        <v/>
      </c>
      <c r="D631" s="46" t="str">
        <f aca="false">IF(_PENDIENTES!$B$625&lt;&gt;"",_PENDIENTES!$D$625,"")</f>
        <v/>
      </c>
      <c r="E631" s="112" t="str">
        <f aca="false">IF(_PENDIENTES!$B$625&lt;&gt;"",_PENDIENTES!$E$625,"")</f>
        <v/>
      </c>
      <c r="F631" s="46" t="str">
        <f aca="false">IF(_PENDIENTES!$B$625&lt;&gt;"",_PENDIENTES!$F$625,"")</f>
        <v/>
      </c>
      <c r="G631" s="44" t="str">
        <f aca="false">IF(_PENDIENTES!$B$625&lt;&gt;"",_PENDIENTES!$G$625,"")</f>
        <v/>
      </c>
      <c r="H631" s="44" t="str">
        <f aca="false">IF(_PENDIENTES!$B$625&lt;&gt;"",_PENDIENTES!$H$625,"")</f>
        <v/>
      </c>
      <c r="I631" s="110" t="str">
        <f aca="false">IF(_PENDIENTES!$B$625&lt;&gt;"",_PENDIENTES!$I$625,"")</f>
        <v/>
      </c>
      <c r="J631" s="46" t="str">
        <f aca="false">IF(_PENDIENTES!$B$625&lt;&gt;"",_PENDIENTES!$J$625,"")</f>
        <v/>
      </c>
      <c r="K631" s="46" t="str">
        <f aca="false">IF(_PENDIENTES!$B$625&lt;&gt;"","POR RECOGER","")</f>
        <v/>
      </c>
      <c r="L631" s="46" t="str">
        <f aca="false">IF(_PENDIENTES!$B$625&lt;&gt;"",_PENDIENTES!$K$625,"")</f>
        <v/>
      </c>
      <c r="M631" s="89" t="str">
        <f aca="false">IF(_PENDIENTES!$B$625&lt;&gt;"",_PENDIENTES!$B$625,"")</f>
        <v/>
      </c>
      <c r="N631" s="109" t="str">
        <f aca="false">IF(_PENDIENTES!$B$625&lt;&gt;"",_PENDIENTES!$L$625,"")</f>
        <v/>
      </c>
      <c r="O631" s="89"/>
      <c r="P631" s="89"/>
      <c r="Q631" s="89"/>
      <c r="R631" s="89"/>
      <c r="S631" s="89"/>
    </row>
    <row r="632" customFormat="false" ht="15.75" hidden="true" customHeight="true" outlineLevel="0" collapsed="false">
      <c r="A632" s="106" t="str">
        <f aca="false">IF(_PENDIENTES!$B$626&lt;&gt;"",625,"")</f>
        <v/>
      </c>
      <c r="B632" s="47" t="str">
        <f aca="false">IF(_PENDIENTES!$B$626&lt;&gt;"",_PENDIENTES!$A$626,"")</f>
        <v/>
      </c>
      <c r="C632" s="107" t="str">
        <f aca="false">IF(_PENDIENTES!$B$626&lt;&gt;"",_PENDIENTES!$C$626,"")</f>
        <v/>
      </c>
      <c r="D632" s="106" t="str">
        <f aca="false">IF(_PENDIENTES!$B$626&lt;&gt;"",_PENDIENTES!$D$626,"")</f>
        <v/>
      </c>
      <c r="E632" s="111" t="str">
        <f aca="false">IF(_PENDIENTES!$B$626&lt;&gt;"",_PENDIENTES!$E$626,"")</f>
        <v/>
      </c>
      <c r="F632" s="106" t="str">
        <f aca="false">IF(_PENDIENTES!$B$626&lt;&gt;"",_PENDIENTES!$F$626,"")</f>
        <v/>
      </c>
      <c r="G632" s="50" t="str">
        <f aca="false">IF(_PENDIENTES!$B$626&lt;&gt;"",_PENDIENTES!$G$626,"")</f>
        <v/>
      </c>
      <c r="H632" s="50" t="str">
        <f aca="false">IF(_PENDIENTES!$B$626&lt;&gt;"",_PENDIENTES!$H$626,"")</f>
        <v/>
      </c>
      <c r="I632" s="107" t="str">
        <f aca="false">IF(_PENDIENTES!$B$626&lt;&gt;"",_PENDIENTES!$I$626,"")</f>
        <v/>
      </c>
      <c r="J632" s="106" t="str">
        <f aca="false">IF(_PENDIENTES!$B$626&lt;&gt;"",_PENDIENTES!$J$626,"")</f>
        <v/>
      </c>
      <c r="K632" s="106" t="str">
        <f aca="false">IF(_PENDIENTES!$B$626&lt;&gt;"","POR RECOGER","")</f>
        <v/>
      </c>
      <c r="L632" s="106" t="str">
        <f aca="false">IF(_PENDIENTES!$B$626&lt;&gt;"",_PENDIENTES!$K$626,"")</f>
        <v/>
      </c>
      <c r="M632" s="89" t="str">
        <f aca="false">IF(_PENDIENTES!$B$626&lt;&gt;"",_PENDIENTES!$B$626,"")</f>
        <v/>
      </c>
      <c r="N632" s="109" t="str">
        <f aca="false">IF(_PENDIENTES!$B$626&lt;&gt;"",_PENDIENTES!$L$626,"")</f>
        <v/>
      </c>
      <c r="O632" s="89"/>
      <c r="P632" s="89"/>
      <c r="Q632" s="89"/>
      <c r="R632" s="89"/>
      <c r="S632" s="89"/>
    </row>
    <row r="633" customFormat="false" ht="15.75" hidden="true" customHeight="true" outlineLevel="0" collapsed="false">
      <c r="A633" s="46" t="str">
        <f aca="false">IF(_PENDIENTES!$B$627&lt;&gt;"",626,"")</f>
        <v/>
      </c>
      <c r="B633" s="41" t="str">
        <f aca="false">IF(_PENDIENTES!$B$627&lt;&gt;"",_PENDIENTES!$A$627,"")</f>
        <v/>
      </c>
      <c r="C633" s="110" t="str">
        <f aca="false">IF(_PENDIENTES!$B$627&lt;&gt;"",_PENDIENTES!$C$627,"")</f>
        <v/>
      </c>
      <c r="D633" s="46" t="str">
        <f aca="false">IF(_PENDIENTES!$B$627&lt;&gt;"",_PENDIENTES!$D$627,"")</f>
        <v/>
      </c>
      <c r="E633" s="112" t="str">
        <f aca="false">IF(_PENDIENTES!$B$627&lt;&gt;"",_PENDIENTES!$E$627,"")</f>
        <v/>
      </c>
      <c r="F633" s="46" t="str">
        <f aca="false">IF(_PENDIENTES!$B$627&lt;&gt;"",_PENDIENTES!$F$627,"")</f>
        <v/>
      </c>
      <c r="G633" s="44" t="str">
        <f aca="false">IF(_PENDIENTES!$B$627&lt;&gt;"",_PENDIENTES!$G$627,"")</f>
        <v/>
      </c>
      <c r="H633" s="44" t="str">
        <f aca="false">IF(_PENDIENTES!$B$627&lt;&gt;"",_PENDIENTES!$H$627,"")</f>
        <v/>
      </c>
      <c r="I633" s="110" t="str">
        <f aca="false">IF(_PENDIENTES!$B$627&lt;&gt;"",_PENDIENTES!$I$627,"")</f>
        <v/>
      </c>
      <c r="J633" s="46" t="str">
        <f aca="false">IF(_PENDIENTES!$B$627&lt;&gt;"",_PENDIENTES!$J$627,"")</f>
        <v/>
      </c>
      <c r="K633" s="46" t="str">
        <f aca="false">IF(_PENDIENTES!$B$627&lt;&gt;"","POR RECOGER","")</f>
        <v/>
      </c>
      <c r="L633" s="46" t="str">
        <f aca="false">IF(_PENDIENTES!$B$627&lt;&gt;"",_PENDIENTES!$K$627,"")</f>
        <v/>
      </c>
      <c r="M633" s="89" t="str">
        <f aca="false">IF(_PENDIENTES!$B$627&lt;&gt;"",_PENDIENTES!$B$627,"")</f>
        <v/>
      </c>
      <c r="N633" s="109" t="str">
        <f aca="false">IF(_PENDIENTES!$B$627&lt;&gt;"",_PENDIENTES!$L$627,"")</f>
        <v/>
      </c>
      <c r="O633" s="89"/>
      <c r="P633" s="89"/>
      <c r="Q633" s="89"/>
      <c r="R633" s="89"/>
      <c r="S633" s="89"/>
    </row>
    <row r="634" customFormat="false" ht="15.75" hidden="true" customHeight="true" outlineLevel="0" collapsed="false">
      <c r="A634" s="106" t="str">
        <f aca="false">IF(_PENDIENTES!$B$628&lt;&gt;"",627,"")</f>
        <v/>
      </c>
      <c r="B634" s="47" t="str">
        <f aca="false">IF(_PENDIENTES!$B$628&lt;&gt;"",_PENDIENTES!$A$628,"")</f>
        <v/>
      </c>
      <c r="C634" s="107" t="str">
        <f aca="false">IF(_PENDIENTES!$B$628&lt;&gt;"",_PENDIENTES!$C$628,"")</f>
        <v/>
      </c>
      <c r="D634" s="106" t="str">
        <f aca="false">IF(_PENDIENTES!$B$628&lt;&gt;"",_PENDIENTES!$D$628,"")</f>
        <v/>
      </c>
      <c r="E634" s="111" t="str">
        <f aca="false">IF(_PENDIENTES!$B$628&lt;&gt;"",_PENDIENTES!$E$628,"")</f>
        <v/>
      </c>
      <c r="F634" s="106" t="str">
        <f aca="false">IF(_PENDIENTES!$B$628&lt;&gt;"",_PENDIENTES!$F$628,"")</f>
        <v/>
      </c>
      <c r="G634" s="50" t="str">
        <f aca="false">IF(_PENDIENTES!$B$628&lt;&gt;"",_PENDIENTES!$G$628,"")</f>
        <v/>
      </c>
      <c r="H634" s="50" t="str">
        <f aca="false">IF(_PENDIENTES!$B$628&lt;&gt;"",_PENDIENTES!$H$628,"")</f>
        <v/>
      </c>
      <c r="I634" s="107" t="str">
        <f aca="false">IF(_PENDIENTES!$B$628&lt;&gt;"",_PENDIENTES!$I$628,"")</f>
        <v/>
      </c>
      <c r="J634" s="106" t="str">
        <f aca="false">IF(_PENDIENTES!$B$628&lt;&gt;"",_PENDIENTES!$J$628,"")</f>
        <v/>
      </c>
      <c r="K634" s="106" t="str">
        <f aca="false">IF(_PENDIENTES!$B$628&lt;&gt;"","POR RECOGER","")</f>
        <v/>
      </c>
      <c r="L634" s="106" t="str">
        <f aca="false">IF(_PENDIENTES!$B$628&lt;&gt;"",_PENDIENTES!$K$628,"")</f>
        <v/>
      </c>
      <c r="M634" s="89" t="str">
        <f aca="false">IF(_PENDIENTES!$B$628&lt;&gt;"",_PENDIENTES!$B$628,"")</f>
        <v/>
      </c>
      <c r="N634" s="109" t="str">
        <f aca="false">IF(_PENDIENTES!$B$628&lt;&gt;"",_PENDIENTES!$L$628,"")</f>
        <v/>
      </c>
      <c r="O634" s="89"/>
      <c r="P634" s="89"/>
      <c r="Q634" s="89"/>
      <c r="R634" s="89"/>
      <c r="S634" s="89"/>
    </row>
    <row r="635" customFormat="false" ht="15.75" hidden="true" customHeight="true" outlineLevel="0" collapsed="false">
      <c r="A635" s="46" t="str">
        <f aca="false">IF(_PENDIENTES!$B$629&lt;&gt;"",628,"")</f>
        <v/>
      </c>
      <c r="B635" s="41" t="str">
        <f aca="false">IF(_PENDIENTES!$B$629&lt;&gt;"",_PENDIENTES!$A$629,"")</f>
        <v/>
      </c>
      <c r="C635" s="110" t="str">
        <f aca="false">IF(_PENDIENTES!$B$629&lt;&gt;"",_PENDIENTES!$C$629,"")</f>
        <v/>
      </c>
      <c r="D635" s="46" t="str">
        <f aca="false">IF(_PENDIENTES!$B$629&lt;&gt;"",_PENDIENTES!$D$629,"")</f>
        <v/>
      </c>
      <c r="E635" s="112" t="str">
        <f aca="false">IF(_PENDIENTES!$B$629&lt;&gt;"",_PENDIENTES!$E$629,"")</f>
        <v/>
      </c>
      <c r="F635" s="46" t="str">
        <f aca="false">IF(_PENDIENTES!$B$629&lt;&gt;"",_PENDIENTES!$F$629,"")</f>
        <v/>
      </c>
      <c r="G635" s="44" t="str">
        <f aca="false">IF(_PENDIENTES!$B$629&lt;&gt;"",_PENDIENTES!$G$629,"")</f>
        <v/>
      </c>
      <c r="H635" s="44" t="str">
        <f aca="false">IF(_PENDIENTES!$B$629&lt;&gt;"",_PENDIENTES!$H$629,"")</f>
        <v/>
      </c>
      <c r="I635" s="110" t="str">
        <f aca="false">IF(_PENDIENTES!$B$629&lt;&gt;"",_PENDIENTES!$I$629,"")</f>
        <v/>
      </c>
      <c r="J635" s="46" t="str">
        <f aca="false">IF(_PENDIENTES!$B$629&lt;&gt;"",_PENDIENTES!$J$629,"")</f>
        <v/>
      </c>
      <c r="K635" s="46" t="str">
        <f aca="false">IF(_PENDIENTES!$B$629&lt;&gt;"","POR RECOGER","")</f>
        <v/>
      </c>
      <c r="L635" s="46" t="str">
        <f aca="false">IF(_PENDIENTES!$B$629&lt;&gt;"",_PENDIENTES!$K$629,"")</f>
        <v/>
      </c>
      <c r="M635" s="89" t="str">
        <f aca="false">IF(_PENDIENTES!$B$629&lt;&gt;"",_PENDIENTES!$B$629,"")</f>
        <v/>
      </c>
      <c r="N635" s="109" t="str">
        <f aca="false">IF(_PENDIENTES!$B$629&lt;&gt;"",_PENDIENTES!$L$629,"")</f>
        <v/>
      </c>
      <c r="O635" s="89"/>
      <c r="P635" s="89"/>
      <c r="Q635" s="89"/>
      <c r="R635" s="89"/>
      <c r="S635" s="89"/>
    </row>
    <row r="636" customFormat="false" ht="15.75" hidden="true" customHeight="true" outlineLevel="0" collapsed="false">
      <c r="A636" s="106" t="str">
        <f aca="false">IF(_PENDIENTES!$B$630&lt;&gt;"",629,"")</f>
        <v/>
      </c>
      <c r="B636" s="47" t="str">
        <f aca="false">IF(_PENDIENTES!$B$630&lt;&gt;"",_PENDIENTES!$A$630,"")</f>
        <v/>
      </c>
      <c r="C636" s="107" t="str">
        <f aca="false">IF(_PENDIENTES!$B$630&lt;&gt;"",_PENDIENTES!$C$630,"")</f>
        <v/>
      </c>
      <c r="D636" s="106" t="str">
        <f aca="false">IF(_PENDIENTES!$B$630&lt;&gt;"",_PENDIENTES!$D$630,"")</f>
        <v/>
      </c>
      <c r="E636" s="111" t="str">
        <f aca="false">IF(_PENDIENTES!$B$630&lt;&gt;"",_PENDIENTES!$E$630,"")</f>
        <v/>
      </c>
      <c r="F636" s="106" t="str">
        <f aca="false">IF(_PENDIENTES!$B$630&lt;&gt;"",_PENDIENTES!$F$630,"")</f>
        <v/>
      </c>
      <c r="G636" s="50" t="str">
        <f aca="false">IF(_PENDIENTES!$B$630&lt;&gt;"",_PENDIENTES!$G$630,"")</f>
        <v/>
      </c>
      <c r="H636" s="50" t="str">
        <f aca="false">IF(_PENDIENTES!$B$630&lt;&gt;"",_PENDIENTES!$H$630,"")</f>
        <v/>
      </c>
      <c r="I636" s="107" t="str">
        <f aca="false">IF(_PENDIENTES!$B$630&lt;&gt;"",_PENDIENTES!$I$630,"")</f>
        <v/>
      </c>
      <c r="J636" s="106" t="str">
        <f aca="false">IF(_PENDIENTES!$B$630&lt;&gt;"",_PENDIENTES!$J$630,"")</f>
        <v/>
      </c>
      <c r="K636" s="106" t="str">
        <f aca="false">IF(_PENDIENTES!$B$630&lt;&gt;"","POR RECOGER","")</f>
        <v/>
      </c>
      <c r="L636" s="106" t="str">
        <f aca="false">IF(_PENDIENTES!$B$630&lt;&gt;"",_PENDIENTES!$K$630,"")</f>
        <v/>
      </c>
      <c r="M636" s="89" t="str">
        <f aca="false">IF(_PENDIENTES!$B$630&lt;&gt;"",_PENDIENTES!$B$630,"")</f>
        <v/>
      </c>
      <c r="N636" s="109" t="str">
        <f aca="false">IF(_PENDIENTES!$B$630&lt;&gt;"",_PENDIENTES!$L$630,"")</f>
        <v/>
      </c>
      <c r="O636" s="89"/>
      <c r="P636" s="89"/>
      <c r="Q636" s="89"/>
      <c r="R636" s="89"/>
      <c r="S636" s="89"/>
    </row>
    <row r="637" customFormat="false" ht="15.75" hidden="true" customHeight="true" outlineLevel="0" collapsed="false">
      <c r="A637" s="46" t="str">
        <f aca="false">IF(_PENDIENTES!$B$631&lt;&gt;"",630,"")</f>
        <v/>
      </c>
      <c r="B637" s="41" t="str">
        <f aca="false">IF(_PENDIENTES!$B$631&lt;&gt;"",_PENDIENTES!$A$631,"")</f>
        <v/>
      </c>
      <c r="C637" s="110" t="str">
        <f aca="false">IF(_PENDIENTES!$B$631&lt;&gt;"",_PENDIENTES!$C$631,"")</f>
        <v/>
      </c>
      <c r="D637" s="46" t="str">
        <f aca="false">IF(_PENDIENTES!$B$631&lt;&gt;"",_PENDIENTES!$D$631,"")</f>
        <v/>
      </c>
      <c r="E637" s="112" t="str">
        <f aca="false">IF(_PENDIENTES!$B$631&lt;&gt;"",_PENDIENTES!$E$631,"")</f>
        <v/>
      </c>
      <c r="F637" s="46" t="str">
        <f aca="false">IF(_PENDIENTES!$B$631&lt;&gt;"",_PENDIENTES!$F$631,"")</f>
        <v/>
      </c>
      <c r="G637" s="44" t="str">
        <f aca="false">IF(_PENDIENTES!$B$631&lt;&gt;"",_PENDIENTES!$G$631,"")</f>
        <v/>
      </c>
      <c r="H637" s="44" t="str">
        <f aca="false">IF(_PENDIENTES!$B$631&lt;&gt;"",_PENDIENTES!$H$631,"")</f>
        <v/>
      </c>
      <c r="I637" s="110" t="str">
        <f aca="false">IF(_PENDIENTES!$B$631&lt;&gt;"",_PENDIENTES!$I$631,"")</f>
        <v/>
      </c>
      <c r="J637" s="46" t="str">
        <f aca="false">IF(_PENDIENTES!$B$631&lt;&gt;"",_PENDIENTES!$J$631,"")</f>
        <v/>
      </c>
      <c r="K637" s="46" t="str">
        <f aca="false">IF(_PENDIENTES!$B$631&lt;&gt;"","POR RECOGER","")</f>
        <v/>
      </c>
      <c r="L637" s="46" t="str">
        <f aca="false">IF(_PENDIENTES!$B$631&lt;&gt;"",_PENDIENTES!$K$631,"")</f>
        <v/>
      </c>
      <c r="M637" s="89" t="str">
        <f aca="false">IF(_PENDIENTES!$B$631&lt;&gt;"",_PENDIENTES!$B$631,"")</f>
        <v/>
      </c>
      <c r="N637" s="109" t="str">
        <f aca="false">IF(_PENDIENTES!$B$631&lt;&gt;"",_PENDIENTES!$L$631,"")</f>
        <v/>
      </c>
      <c r="O637" s="89"/>
      <c r="P637" s="89"/>
      <c r="Q637" s="89"/>
      <c r="R637" s="89"/>
      <c r="S637" s="89"/>
    </row>
    <row r="638" customFormat="false" ht="15.75" hidden="true" customHeight="true" outlineLevel="0" collapsed="false">
      <c r="A638" s="106" t="str">
        <f aca="false">IF(_PENDIENTES!$B$632&lt;&gt;"",631,"")</f>
        <v/>
      </c>
      <c r="B638" s="47" t="str">
        <f aca="false">IF(_PENDIENTES!$B$632&lt;&gt;"",_PENDIENTES!$A$632,"")</f>
        <v/>
      </c>
      <c r="C638" s="107" t="str">
        <f aca="false">IF(_PENDIENTES!$B$632&lt;&gt;"",_PENDIENTES!$C$632,"")</f>
        <v/>
      </c>
      <c r="D638" s="106" t="str">
        <f aca="false">IF(_PENDIENTES!$B$632&lt;&gt;"",_PENDIENTES!$D$632,"")</f>
        <v/>
      </c>
      <c r="E638" s="111" t="str">
        <f aca="false">IF(_PENDIENTES!$B$632&lt;&gt;"",_PENDIENTES!$E$632,"")</f>
        <v/>
      </c>
      <c r="F638" s="106" t="str">
        <f aca="false">IF(_PENDIENTES!$B$632&lt;&gt;"",_PENDIENTES!$F$632,"")</f>
        <v/>
      </c>
      <c r="G638" s="50" t="str">
        <f aca="false">IF(_PENDIENTES!$B$632&lt;&gt;"",_PENDIENTES!$G$632,"")</f>
        <v/>
      </c>
      <c r="H638" s="50" t="str">
        <f aca="false">IF(_PENDIENTES!$B$632&lt;&gt;"",_PENDIENTES!$H$632,"")</f>
        <v/>
      </c>
      <c r="I638" s="107" t="str">
        <f aca="false">IF(_PENDIENTES!$B$632&lt;&gt;"",_PENDIENTES!$I$632,"")</f>
        <v/>
      </c>
      <c r="J638" s="106" t="str">
        <f aca="false">IF(_PENDIENTES!$B$632&lt;&gt;"",_PENDIENTES!$J$632,"")</f>
        <v/>
      </c>
      <c r="K638" s="106" t="str">
        <f aca="false">IF(_PENDIENTES!$B$632&lt;&gt;"","POR RECOGER","")</f>
        <v/>
      </c>
      <c r="L638" s="106" t="str">
        <f aca="false">IF(_PENDIENTES!$B$632&lt;&gt;"",_PENDIENTES!$K$632,"")</f>
        <v/>
      </c>
      <c r="M638" s="89" t="str">
        <f aca="false">IF(_PENDIENTES!$B$632&lt;&gt;"",_PENDIENTES!$B$632,"")</f>
        <v/>
      </c>
      <c r="N638" s="109" t="str">
        <f aca="false">IF(_PENDIENTES!$B$632&lt;&gt;"",_PENDIENTES!$L$632,"")</f>
        <v/>
      </c>
      <c r="O638" s="89"/>
      <c r="P638" s="89"/>
      <c r="Q638" s="89"/>
      <c r="R638" s="89"/>
      <c r="S638" s="89"/>
    </row>
    <row r="639" customFormat="false" ht="15.75" hidden="true" customHeight="true" outlineLevel="0" collapsed="false">
      <c r="A639" s="46" t="str">
        <f aca="false">IF(_PENDIENTES!$B$633&lt;&gt;"",632,"")</f>
        <v/>
      </c>
      <c r="B639" s="41" t="str">
        <f aca="false">IF(_PENDIENTES!$B$633&lt;&gt;"",_PENDIENTES!$A$633,"")</f>
        <v/>
      </c>
      <c r="C639" s="110" t="str">
        <f aca="false">IF(_PENDIENTES!$B$633&lt;&gt;"",_PENDIENTES!$C$633,"")</f>
        <v/>
      </c>
      <c r="D639" s="46" t="str">
        <f aca="false">IF(_PENDIENTES!$B$633&lt;&gt;"",_PENDIENTES!$D$633,"")</f>
        <v/>
      </c>
      <c r="E639" s="112" t="str">
        <f aca="false">IF(_PENDIENTES!$B$633&lt;&gt;"",_PENDIENTES!$E$633,"")</f>
        <v/>
      </c>
      <c r="F639" s="46" t="str">
        <f aca="false">IF(_PENDIENTES!$B$633&lt;&gt;"",_PENDIENTES!$F$633,"")</f>
        <v/>
      </c>
      <c r="G639" s="44" t="str">
        <f aca="false">IF(_PENDIENTES!$B$633&lt;&gt;"",_PENDIENTES!$G$633,"")</f>
        <v/>
      </c>
      <c r="H639" s="44" t="str">
        <f aca="false">IF(_PENDIENTES!$B$633&lt;&gt;"",_PENDIENTES!$H$633,"")</f>
        <v/>
      </c>
      <c r="I639" s="110" t="str">
        <f aca="false">IF(_PENDIENTES!$B$633&lt;&gt;"",_PENDIENTES!$I$633,"")</f>
        <v/>
      </c>
      <c r="J639" s="46" t="str">
        <f aca="false">IF(_PENDIENTES!$B$633&lt;&gt;"",_PENDIENTES!$J$633,"")</f>
        <v/>
      </c>
      <c r="K639" s="46" t="str">
        <f aca="false">IF(_PENDIENTES!$B$633&lt;&gt;"","POR RECOGER","")</f>
        <v/>
      </c>
      <c r="L639" s="46" t="str">
        <f aca="false">IF(_PENDIENTES!$B$633&lt;&gt;"",_PENDIENTES!$K$633,"")</f>
        <v/>
      </c>
      <c r="M639" s="89" t="str">
        <f aca="false">IF(_PENDIENTES!$B$633&lt;&gt;"",_PENDIENTES!$B$633,"")</f>
        <v/>
      </c>
      <c r="N639" s="109" t="str">
        <f aca="false">IF(_PENDIENTES!$B$633&lt;&gt;"",_PENDIENTES!$L$633,"")</f>
        <v/>
      </c>
      <c r="O639" s="89"/>
      <c r="P639" s="89"/>
      <c r="Q639" s="89"/>
      <c r="R639" s="89"/>
      <c r="S639" s="89"/>
    </row>
    <row r="640" customFormat="false" ht="15.75" hidden="true" customHeight="true" outlineLevel="0" collapsed="false">
      <c r="A640" s="106" t="str">
        <f aca="false">IF(_PENDIENTES!$B$634&lt;&gt;"",633,"")</f>
        <v/>
      </c>
      <c r="B640" s="47" t="str">
        <f aca="false">IF(_PENDIENTES!$B$634&lt;&gt;"",_PENDIENTES!$A$634,"")</f>
        <v/>
      </c>
      <c r="C640" s="107" t="str">
        <f aca="false">IF(_PENDIENTES!$B$634&lt;&gt;"",_PENDIENTES!$C$634,"")</f>
        <v/>
      </c>
      <c r="D640" s="106" t="str">
        <f aca="false">IF(_PENDIENTES!$B$634&lt;&gt;"",_PENDIENTES!$D$634,"")</f>
        <v/>
      </c>
      <c r="E640" s="111" t="str">
        <f aca="false">IF(_PENDIENTES!$B$634&lt;&gt;"",_PENDIENTES!$E$634,"")</f>
        <v/>
      </c>
      <c r="F640" s="106" t="str">
        <f aca="false">IF(_PENDIENTES!$B$634&lt;&gt;"",_PENDIENTES!$F$634,"")</f>
        <v/>
      </c>
      <c r="G640" s="50" t="str">
        <f aca="false">IF(_PENDIENTES!$B$634&lt;&gt;"",_PENDIENTES!$G$634,"")</f>
        <v/>
      </c>
      <c r="H640" s="50" t="str">
        <f aca="false">IF(_PENDIENTES!$B$634&lt;&gt;"",_PENDIENTES!$H$634,"")</f>
        <v/>
      </c>
      <c r="I640" s="107" t="str">
        <f aca="false">IF(_PENDIENTES!$B$634&lt;&gt;"",_PENDIENTES!$I$634,"")</f>
        <v/>
      </c>
      <c r="J640" s="106" t="str">
        <f aca="false">IF(_PENDIENTES!$B$634&lt;&gt;"",_PENDIENTES!$J$634,"")</f>
        <v/>
      </c>
      <c r="K640" s="106" t="str">
        <f aca="false">IF(_PENDIENTES!$B$634&lt;&gt;"","POR RECOGER","")</f>
        <v/>
      </c>
      <c r="L640" s="106" t="str">
        <f aca="false">IF(_PENDIENTES!$B$634&lt;&gt;"",_PENDIENTES!$K$634,"")</f>
        <v/>
      </c>
      <c r="M640" s="89" t="str">
        <f aca="false">IF(_PENDIENTES!$B$634&lt;&gt;"",_PENDIENTES!$B$634,"")</f>
        <v/>
      </c>
      <c r="N640" s="109" t="str">
        <f aca="false">IF(_PENDIENTES!$B$634&lt;&gt;"",_PENDIENTES!$L$634,"")</f>
        <v/>
      </c>
      <c r="O640" s="89"/>
      <c r="P640" s="89"/>
      <c r="Q640" s="89"/>
      <c r="R640" s="89"/>
      <c r="S640" s="89"/>
    </row>
    <row r="641" customFormat="false" ht="15.75" hidden="true" customHeight="true" outlineLevel="0" collapsed="false">
      <c r="A641" s="46" t="str">
        <f aca="false">IF(_PENDIENTES!$B$635&lt;&gt;"",634,"")</f>
        <v/>
      </c>
      <c r="B641" s="41" t="str">
        <f aca="false">IF(_PENDIENTES!$B$635&lt;&gt;"",_PENDIENTES!$A$635,"")</f>
        <v/>
      </c>
      <c r="C641" s="110" t="str">
        <f aca="false">IF(_PENDIENTES!$B$635&lt;&gt;"",_PENDIENTES!$C$635,"")</f>
        <v/>
      </c>
      <c r="D641" s="46" t="str">
        <f aca="false">IF(_PENDIENTES!$B$635&lt;&gt;"",_PENDIENTES!$D$635,"")</f>
        <v/>
      </c>
      <c r="E641" s="112" t="str">
        <f aca="false">IF(_PENDIENTES!$B$635&lt;&gt;"",_PENDIENTES!$E$635,"")</f>
        <v/>
      </c>
      <c r="F641" s="46" t="str">
        <f aca="false">IF(_PENDIENTES!$B$635&lt;&gt;"",_PENDIENTES!$F$635,"")</f>
        <v/>
      </c>
      <c r="G641" s="44" t="str">
        <f aca="false">IF(_PENDIENTES!$B$635&lt;&gt;"",_PENDIENTES!$G$635,"")</f>
        <v/>
      </c>
      <c r="H641" s="44" t="str">
        <f aca="false">IF(_PENDIENTES!$B$635&lt;&gt;"",_PENDIENTES!$H$635,"")</f>
        <v/>
      </c>
      <c r="I641" s="110" t="str">
        <f aca="false">IF(_PENDIENTES!$B$635&lt;&gt;"",_PENDIENTES!$I$635,"")</f>
        <v/>
      </c>
      <c r="J641" s="46" t="str">
        <f aca="false">IF(_PENDIENTES!$B$635&lt;&gt;"",_PENDIENTES!$J$635,"")</f>
        <v/>
      </c>
      <c r="K641" s="46" t="str">
        <f aca="false">IF(_PENDIENTES!$B$635&lt;&gt;"","POR RECOGER","")</f>
        <v/>
      </c>
      <c r="L641" s="46" t="str">
        <f aca="false">IF(_PENDIENTES!$B$635&lt;&gt;"",_PENDIENTES!$K$635,"")</f>
        <v/>
      </c>
      <c r="M641" s="89" t="str">
        <f aca="false">IF(_PENDIENTES!$B$635&lt;&gt;"",_PENDIENTES!$B$635,"")</f>
        <v/>
      </c>
      <c r="N641" s="109" t="str">
        <f aca="false">IF(_PENDIENTES!$B$635&lt;&gt;"",_PENDIENTES!$L$635,"")</f>
        <v/>
      </c>
      <c r="O641" s="89"/>
      <c r="P641" s="89"/>
      <c r="Q641" s="89"/>
      <c r="R641" s="89"/>
      <c r="S641" s="89"/>
    </row>
    <row r="642" customFormat="false" ht="15.75" hidden="true" customHeight="true" outlineLevel="0" collapsed="false">
      <c r="A642" s="106" t="str">
        <f aca="false">IF(_PENDIENTES!$B$636&lt;&gt;"",635,"")</f>
        <v/>
      </c>
      <c r="B642" s="47" t="str">
        <f aca="false">IF(_PENDIENTES!$B$636&lt;&gt;"",_PENDIENTES!$A$636,"")</f>
        <v/>
      </c>
      <c r="C642" s="107" t="str">
        <f aca="false">IF(_PENDIENTES!$B$636&lt;&gt;"",_PENDIENTES!$C$636,"")</f>
        <v/>
      </c>
      <c r="D642" s="106" t="str">
        <f aca="false">IF(_PENDIENTES!$B$636&lt;&gt;"",_PENDIENTES!$D$636,"")</f>
        <v/>
      </c>
      <c r="E642" s="111" t="str">
        <f aca="false">IF(_PENDIENTES!$B$636&lt;&gt;"",_PENDIENTES!$E$636,"")</f>
        <v/>
      </c>
      <c r="F642" s="106" t="str">
        <f aca="false">IF(_PENDIENTES!$B$636&lt;&gt;"",_PENDIENTES!$F$636,"")</f>
        <v/>
      </c>
      <c r="G642" s="50" t="str">
        <f aca="false">IF(_PENDIENTES!$B$636&lt;&gt;"",_PENDIENTES!$G$636,"")</f>
        <v/>
      </c>
      <c r="H642" s="50" t="str">
        <f aca="false">IF(_PENDIENTES!$B$636&lt;&gt;"",_PENDIENTES!$H$636,"")</f>
        <v/>
      </c>
      <c r="I642" s="107" t="str">
        <f aca="false">IF(_PENDIENTES!$B$636&lt;&gt;"",_PENDIENTES!$I$636,"")</f>
        <v/>
      </c>
      <c r="J642" s="106" t="str">
        <f aca="false">IF(_PENDIENTES!$B$636&lt;&gt;"",_PENDIENTES!$J$636,"")</f>
        <v/>
      </c>
      <c r="K642" s="106" t="str">
        <f aca="false">IF(_PENDIENTES!$B$636&lt;&gt;"","POR RECOGER","")</f>
        <v/>
      </c>
      <c r="L642" s="106" t="str">
        <f aca="false">IF(_PENDIENTES!$B$636&lt;&gt;"",_PENDIENTES!$K$636,"")</f>
        <v/>
      </c>
      <c r="M642" s="89" t="str">
        <f aca="false">IF(_PENDIENTES!$B$636&lt;&gt;"",_PENDIENTES!$B$636,"")</f>
        <v/>
      </c>
      <c r="N642" s="109" t="str">
        <f aca="false">IF(_PENDIENTES!$B$636&lt;&gt;"",_PENDIENTES!$L$636,"")</f>
        <v/>
      </c>
      <c r="O642" s="89"/>
      <c r="P642" s="89"/>
      <c r="Q642" s="89"/>
      <c r="R642" s="89"/>
      <c r="S642" s="89"/>
    </row>
    <row r="643" customFormat="false" ht="15.75" hidden="true" customHeight="true" outlineLevel="0" collapsed="false">
      <c r="A643" s="46" t="str">
        <f aca="false">IF(_PENDIENTES!$B$637&lt;&gt;"",636,"")</f>
        <v/>
      </c>
      <c r="B643" s="41" t="str">
        <f aca="false">IF(_PENDIENTES!$B$637&lt;&gt;"",_PENDIENTES!$A$637,"")</f>
        <v/>
      </c>
      <c r="C643" s="110" t="str">
        <f aca="false">IF(_PENDIENTES!$B$637&lt;&gt;"",_PENDIENTES!$C$637,"")</f>
        <v/>
      </c>
      <c r="D643" s="46" t="str">
        <f aca="false">IF(_PENDIENTES!$B$637&lt;&gt;"",_PENDIENTES!$D$637,"")</f>
        <v/>
      </c>
      <c r="E643" s="112" t="str">
        <f aca="false">IF(_PENDIENTES!$B$637&lt;&gt;"",_PENDIENTES!$E$637,"")</f>
        <v/>
      </c>
      <c r="F643" s="46" t="str">
        <f aca="false">IF(_PENDIENTES!$B$637&lt;&gt;"",_PENDIENTES!$F$637,"")</f>
        <v/>
      </c>
      <c r="G643" s="44" t="str">
        <f aca="false">IF(_PENDIENTES!$B$637&lt;&gt;"",_PENDIENTES!$G$637,"")</f>
        <v/>
      </c>
      <c r="H643" s="44" t="str">
        <f aca="false">IF(_PENDIENTES!$B$637&lt;&gt;"",_PENDIENTES!$H$637,"")</f>
        <v/>
      </c>
      <c r="I643" s="110" t="str">
        <f aca="false">IF(_PENDIENTES!$B$637&lt;&gt;"",_PENDIENTES!$I$637,"")</f>
        <v/>
      </c>
      <c r="J643" s="46" t="str">
        <f aca="false">IF(_PENDIENTES!$B$637&lt;&gt;"",_PENDIENTES!$J$637,"")</f>
        <v/>
      </c>
      <c r="K643" s="46" t="str">
        <f aca="false">IF(_PENDIENTES!$B$637&lt;&gt;"","POR RECOGER","")</f>
        <v/>
      </c>
      <c r="L643" s="46" t="str">
        <f aca="false">IF(_PENDIENTES!$B$637&lt;&gt;"",_PENDIENTES!$K$637,"")</f>
        <v/>
      </c>
      <c r="M643" s="89" t="str">
        <f aca="false">IF(_PENDIENTES!$B$637&lt;&gt;"",_PENDIENTES!$B$637,"")</f>
        <v/>
      </c>
      <c r="N643" s="109" t="str">
        <f aca="false">IF(_PENDIENTES!$B$637&lt;&gt;"",_PENDIENTES!$L$637,"")</f>
        <v/>
      </c>
      <c r="O643" s="89"/>
      <c r="P643" s="89"/>
      <c r="Q643" s="89"/>
      <c r="R643" s="89"/>
      <c r="S643" s="89"/>
    </row>
    <row r="644" customFormat="false" ht="15.75" hidden="true" customHeight="true" outlineLevel="0" collapsed="false">
      <c r="A644" s="106" t="str">
        <f aca="false">IF(_PENDIENTES!$B$638&lt;&gt;"",637,"")</f>
        <v/>
      </c>
      <c r="B644" s="47" t="str">
        <f aca="false">IF(_PENDIENTES!$B$638&lt;&gt;"",_PENDIENTES!$A$638,"")</f>
        <v/>
      </c>
      <c r="C644" s="107" t="str">
        <f aca="false">IF(_PENDIENTES!$B$638&lt;&gt;"",_PENDIENTES!$C$638,"")</f>
        <v/>
      </c>
      <c r="D644" s="106" t="str">
        <f aca="false">IF(_PENDIENTES!$B$638&lt;&gt;"",_PENDIENTES!$D$638,"")</f>
        <v/>
      </c>
      <c r="E644" s="111" t="str">
        <f aca="false">IF(_PENDIENTES!$B$638&lt;&gt;"",_PENDIENTES!$E$638,"")</f>
        <v/>
      </c>
      <c r="F644" s="106" t="str">
        <f aca="false">IF(_PENDIENTES!$B$638&lt;&gt;"",_PENDIENTES!$F$638,"")</f>
        <v/>
      </c>
      <c r="G644" s="50" t="str">
        <f aca="false">IF(_PENDIENTES!$B$638&lt;&gt;"",_PENDIENTES!$G$638,"")</f>
        <v/>
      </c>
      <c r="H644" s="50" t="str">
        <f aca="false">IF(_PENDIENTES!$B$638&lt;&gt;"",_PENDIENTES!$H$638,"")</f>
        <v/>
      </c>
      <c r="I644" s="107" t="str">
        <f aca="false">IF(_PENDIENTES!$B$638&lt;&gt;"",_PENDIENTES!$I$638,"")</f>
        <v/>
      </c>
      <c r="J644" s="106" t="str">
        <f aca="false">IF(_PENDIENTES!$B$638&lt;&gt;"",_PENDIENTES!$J$638,"")</f>
        <v/>
      </c>
      <c r="K644" s="106" t="str">
        <f aca="false">IF(_PENDIENTES!$B$638&lt;&gt;"","POR RECOGER","")</f>
        <v/>
      </c>
      <c r="L644" s="106" t="str">
        <f aca="false">IF(_PENDIENTES!$B$638&lt;&gt;"",_PENDIENTES!$K$638,"")</f>
        <v/>
      </c>
      <c r="M644" s="89" t="str">
        <f aca="false">IF(_PENDIENTES!$B$638&lt;&gt;"",_PENDIENTES!$B$638,"")</f>
        <v/>
      </c>
      <c r="N644" s="109" t="str">
        <f aca="false">IF(_PENDIENTES!$B$638&lt;&gt;"",_PENDIENTES!$L$638,"")</f>
        <v/>
      </c>
      <c r="O644" s="89"/>
      <c r="P644" s="89"/>
      <c r="Q644" s="89"/>
      <c r="R644" s="89"/>
      <c r="S644" s="89"/>
    </row>
    <row r="645" customFormat="false" ht="15.75" hidden="true" customHeight="true" outlineLevel="0" collapsed="false">
      <c r="A645" s="46" t="str">
        <f aca="false">IF(_PENDIENTES!$B$639&lt;&gt;"",638,"")</f>
        <v/>
      </c>
      <c r="B645" s="41" t="str">
        <f aca="false">IF(_PENDIENTES!$B$639&lt;&gt;"",_PENDIENTES!$A$639,"")</f>
        <v/>
      </c>
      <c r="C645" s="110" t="str">
        <f aca="false">IF(_PENDIENTES!$B$639&lt;&gt;"",_PENDIENTES!$C$639,"")</f>
        <v/>
      </c>
      <c r="D645" s="46" t="str">
        <f aca="false">IF(_PENDIENTES!$B$639&lt;&gt;"",_PENDIENTES!$D$639,"")</f>
        <v/>
      </c>
      <c r="E645" s="112" t="str">
        <f aca="false">IF(_PENDIENTES!$B$639&lt;&gt;"",_PENDIENTES!$E$639,"")</f>
        <v/>
      </c>
      <c r="F645" s="46" t="str">
        <f aca="false">IF(_PENDIENTES!$B$639&lt;&gt;"",_PENDIENTES!$F$639,"")</f>
        <v/>
      </c>
      <c r="G645" s="44" t="str">
        <f aca="false">IF(_PENDIENTES!$B$639&lt;&gt;"",_PENDIENTES!$G$639,"")</f>
        <v/>
      </c>
      <c r="H645" s="44" t="str">
        <f aca="false">IF(_PENDIENTES!$B$639&lt;&gt;"",_PENDIENTES!$H$639,"")</f>
        <v/>
      </c>
      <c r="I645" s="110" t="str">
        <f aca="false">IF(_PENDIENTES!$B$639&lt;&gt;"",_PENDIENTES!$I$639,"")</f>
        <v/>
      </c>
      <c r="J645" s="46" t="str">
        <f aca="false">IF(_PENDIENTES!$B$639&lt;&gt;"",_PENDIENTES!$J$639,"")</f>
        <v/>
      </c>
      <c r="K645" s="46" t="str">
        <f aca="false">IF(_PENDIENTES!$B$639&lt;&gt;"","POR RECOGER","")</f>
        <v/>
      </c>
      <c r="L645" s="46" t="str">
        <f aca="false">IF(_PENDIENTES!$B$639&lt;&gt;"",_PENDIENTES!$K$639,"")</f>
        <v/>
      </c>
      <c r="M645" s="89" t="str">
        <f aca="false">IF(_PENDIENTES!$B$639&lt;&gt;"",_PENDIENTES!$B$639,"")</f>
        <v/>
      </c>
      <c r="N645" s="109" t="str">
        <f aca="false">IF(_PENDIENTES!$B$639&lt;&gt;"",_PENDIENTES!$L$639,"")</f>
        <v/>
      </c>
      <c r="O645" s="89"/>
      <c r="P645" s="89"/>
      <c r="Q645" s="89"/>
      <c r="R645" s="89"/>
      <c r="S645" s="89"/>
    </row>
    <row r="646" customFormat="false" ht="15.75" hidden="true" customHeight="true" outlineLevel="0" collapsed="false">
      <c r="A646" s="106" t="str">
        <f aca="false">IF(_PENDIENTES!$B$640&lt;&gt;"",639,"")</f>
        <v/>
      </c>
      <c r="B646" s="47" t="str">
        <f aca="false">IF(_PENDIENTES!$B$640&lt;&gt;"",_PENDIENTES!$A$640,"")</f>
        <v/>
      </c>
      <c r="C646" s="107" t="str">
        <f aca="false">IF(_PENDIENTES!$B$640&lt;&gt;"",_PENDIENTES!$C$640,"")</f>
        <v/>
      </c>
      <c r="D646" s="106" t="str">
        <f aca="false">IF(_PENDIENTES!$B$640&lt;&gt;"",_PENDIENTES!$D$640,"")</f>
        <v/>
      </c>
      <c r="E646" s="111" t="str">
        <f aca="false">IF(_PENDIENTES!$B$640&lt;&gt;"",_PENDIENTES!$E$640,"")</f>
        <v/>
      </c>
      <c r="F646" s="106" t="str">
        <f aca="false">IF(_PENDIENTES!$B$640&lt;&gt;"",_PENDIENTES!$F$640,"")</f>
        <v/>
      </c>
      <c r="G646" s="50" t="str">
        <f aca="false">IF(_PENDIENTES!$B$640&lt;&gt;"",_PENDIENTES!$G$640,"")</f>
        <v/>
      </c>
      <c r="H646" s="50" t="str">
        <f aca="false">IF(_PENDIENTES!$B$640&lt;&gt;"",_PENDIENTES!$H$640,"")</f>
        <v/>
      </c>
      <c r="I646" s="107" t="str">
        <f aca="false">IF(_PENDIENTES!$B$640&lt;&gt;"",_PENDIENTES!$I$640,"")</f>
        <v/>
      </c>
      <c r="J646" s="106" t="str">
        <f aca="false">IF(_PENDIENTES!$B$640&lt;&gt;"",_PENDIENTES!$J$640,"")</f>
        <v/>
      </c>
      <c r="K646" s="106" t="str">
        <f aca="false">IF(_PENDIENTES!$B$640&lt;&gt;"","POR RECOGER","")</f>
        <v/>
      </c>
      <c r="L646" s="106" t="str">
        <f aca="false">IF(_PENDIENTES!$B$640&lt;&gt;"",_PENDIENTES!$K$640,"")</f>
        <v/>
      </c>
      <c r="M646" s="89" t="str">
        <f aca="false">IF(_PENDIENTES!$B$640&lt;&gt;"",_PENDIENTES!$B$640,"")</f>
        <v/>
      </c>
      <c r="N646" s="109" t="str">
        <f aca="false">IF(_PENDIENTES!$B$640&lt;&gt;"",_PENDIENTES!$L$640,"")</f>
        <v/>
      </c>
      <c r="O646" s="89"/>
      <c r="P646" s="89"/>
      <c r="Q646" s="89"/>
      <c r="R646" s="89"/>
      <c r="S646" s="89"/>
    </row>
    <row r="647" customFormat="false" ht="15.75" hidden="true" customHeight="true" outlineLevel="0" collapsed="false">
      <c r="A647" s="46" t="str">
        <f aca="false">IF(_PENDIENTES!$B$641&lt;&gt;"",640,"")</f>
        <v/>
      </c>
      <c r="B647" s="41" t="str">
        <f aca="false">IF(_PENDIENTES!$B$641&lt;&gt;"",_PENDIENTES!$A$641,"")</f>
        <v/>
      </c>
      <c r="C647" s="110" t="str">
        <f aca="false">IF(_PENDIENTES!$B$641&lt;&gt;"",_PENDIENTES!$C$641,"")</f>
        <v/>
      </c>
      <c r="D647" s="46" t="str">
        <f aca="false">IF(_PENDIENTES!$B$641&lt;&gt;"",_PENDIENTES!$D$641,"")</f>
        <v/>
      </c>
      <c r="E647" s="112" t="str">
        <f aca="false">IF(_PENDIENTES!$B$641&lt;&gt;"",_PENDIENTES!$E$641,"")</f>
        <v/>
      </c>
      <c r="F647" s="46" t="str">
        <f aca="false">IF(_PENDIENTES!$B$641&lt;&gt;"",_PENDIENTES!$F$641,"")</f>
        <v/>
      </c>
      <c r="G647" s="44" t="str">
        <f aca="false">IF(_PENDIENTES!$B$641&lt;&gt;"",_PENDIENTES!$G$641,"")</f>
        <v/>
      </c>
      <c r="H647" s="44" t="str">
        <f aca="false">IF(_PENDIENTES!$B$641&lt;&gt;"",_PENDIENTES!$H$641,"")</f>
        <v/>
      </c>
      <c r="I647" s="110" t="str">
        <f aca="false">IF(_PENDIENTES!$B$641&lt;&gt;"",_PENDIENTES!$I$641,"")</f>
        <v/>
      </c>
      <c r="J647" s="46" t="str">
        <f aca="false">IF(_PENDIENTES!$B$641&lt;&gt;"",_PENDIENTES!$J$641,"")</f>
        <v/>
      </c>
      <c r="K647" s="46" t="str">
        <f aca="false">IF(_PENDIENTES!$B$641&lt;&gt;"","POR RECOGER","")</f>
        <v/>
      </c>
      <c r="L647" s="46" t="str">
        <f aca="false">IF(_PENDIENTES!$B$641&lt;&gt;"",_PENDIENTES!$K$641,"")</f>
        <v/>
      </c>
      <c r="M647" s="89" t="str">
        <f aca="false">IF(_PENDIENTES!$B$641&lt;&gt;"",_PENDIENTES!$B$641,"")</f>
        <v/>
      </c>
      <c r="N647" s="109" t="str">
        <f aca="false">IF(_PENDIENTES!$B$641&lt;&gt;"",_PENDIENTES!$L$641,"")</f>
        <v/>
      </c>
      <c r="O647" s="89"/>
      <c r="P647" s="89"/>
      <c r="Q647" s="89"/>
      <c r="R647" s="89"/>
      <c r="S647" s="89"/>
    </row>
    <row r="648" customFormat="false" ht="15.75" hidden="true" customHeight="true" outlineLevel="0" collapsed="false">
      <c r="A648" s="106" t="str">
        <f aca="false">IF(_PENDIENTES!$B$642&lt;&gt;"",641,"")</f>
        <v/>
      </c>
      <c r="B648" s="47" t="str">
        <f aca="false">IF(_PENDIENTES!$B$642&lt;&gt;"",_PENDIENTES!$A$642,"")</f>
        <v/>
      </c>
      <c r="C648" s="107" t="str">
        <f aca="false">IF(_PENDIENTES!$B$642&lt;&gt;"",_PENDIENTES!$C$642,"")</f>
        <v/>
      </c>
      <c r="D648" s="106" t="str">
        <f aca="false">IF(_PENDIENTES!$B$642&lt;&gt;"",_PENDIENTES!$D$642,"")</f>
        <v/>
      </c>
      <c r="E648" s="111" t="str">
        <f aca="false">IF(_PENDIENTES!$B$642&lt;&gt;"",_PENDIENTES!$E$642,"")</f>
        <v/>
      </c>
      <c r="F648" s="106" t="str">
        <f aca="false">IF(_PENDIENTES!$B$642&lt;&gt;"",_PENDIENTES!$F$642,"")</f>
        <v/>
      </c>
      <c r="G648" s="50" t="str">
        <f aca="false">IF(_PENDIENTES!$B$642&lt;&gt;"",_PENDIENTES!$G$642,"")</f>
        <v/>
      </c>
      <c r="H648" s="50" t="str">
        <f aca="false">IF(_PENDIENTES!$B$642&lt;&gt;"",_PENDIENTES!$H$642,"")</f>
        <v/>
      </c>
      <c r="I648" s="107" t="str">
        <f aca="false">IF(_PENDIENTES!$B$642&lt;&gt;"",_PENDIENTES!$I$642,"")</f>
        <v/>
      </c>
      <c r="J648" s="106" t="str">
        <f aca="false">IF(_PENDIENTES!$B$642&lt;&gt;"",_PENDIENTES!$J$642,"")</f>
        <v/>
      </c>
      <c r="K648" s="106" t="str">
        <f aca="false">IF(_PENDIENTES!$B$642&lt;&gt;"","POR RECOGER","")</f>
        <v/>
      </c>
      <c r="L648" s="106" t="str">
        <f aca="false">IF(_PENDIENTES!$B$642&lt;&gt;"",_PENDIENTES!$K$642,"")</f>
        <v/>
      </c>
      <c r="M648" s="89" t="str">
        <f aca="false">IF(_PENDIENTES!$B$642&lt;&gt;"",_PENDIENTES!$B$642,"")</f>
        <v/>
      </c>
      <c r="N648" s="109" t="str">
        <f aca="false">IF(_PENDIENTES!$B$642&lt;&gt;"",_PENDIENTES!$L$642,"")</f>
        <v/>
      </c>
      <c r="O648" s="89"/>
      <c r="P648" s="89"/>
      <c r="Q648" s="89"/>
      <c r="R648" s="89"/>
      <c r="S648" s="89"/>
    </row>
    <row r="649" customFormat="false" ht="15.75" hidden="true" customHeight="true" outlineLevel="0" collapsed="false">
      <c r="A649" s="46" t="str">
        <f aca="false">IF(_PENDIENTES!$B$643&lt;&gt;"",642,"")</f>
        <v/>
      </c>
      <c r="B649" s="41" t="str">
        <f aca="false">IF(_PENDIENTES!$B$643&lt;&gt;"",_PENDIENTES!$A$643,"")</f>
        <v/>
      </c>
      <c r="C649" s="110" t="str">
        <f aca="false">IF(_PENDIENTES!$B$643&lt;&gt;"",_PENDIENTES!$C$643,"")</f>
        <v/>
      </c>
      <c r="D649" s="46" t="str">
        <f aca="false">IF(_PENDIENTES!$B$643&lt;&gt;"",_PENDIENTES!$D$643,"")</f>
        <v/>
      </c>
      <c r="E649" s="112" t="str">
        <f aca="false">IF(_PENDIENTES!$B$643&lt;&gt;"",_PENDIENTES!$E$643,"")</f>
        <v/>
      </c>
      <c r="F649" s="46" t="str">
        <f aca="false">IF(_PENDIENTES!$B$643&lt;&gt;"",_PENDIENTES!$F$643,"")</f>
        <v/>
      </c>
      <c r="G649" s="44" t="str">
        <f aca="false">IF(_PENDIENTES!$B$643&lt;&gt;"",_PENDIENTES!$G$643,"")</f>
        <v/>
      </c>
      <c r="H649" s="44" t="str">
        <f aca="false">IF(_PENDIENTES!$B$643&lt;&gt;"",_PENDIENTES!$H$643,"")</f>
        <v/>
      </c>
      <c r="I649" s="110" t="str">
        <f aca="false">IF(_PENDIENTES!$B$643&lt;&gt;"",_PENDIENTES!$I$643,"")</f>
        <v/>
      </c>
      <c r="J649" s="46" t="str">
        <f aca="false">IF(_PENDIENTES!$B$643&lt;&gt;"",_PENDIENTES!$J$643,"")</f>
        <v/>
      </c>
      <c r="K649" s="46" t="str">
        <f aca="false">IF(_PENDIENTES!$B$643&lt;&gt;"","POR RECOGER","")</f>
        <v/>
      </c>
      <c r="L649" s="46" t="str">
        <f aca="false">IF(_PENDIENTES!$B$643&lt;&gt;"",_PENDIENTES!$K$643,"")</f>
        <v/>
      </c>
      <c r="M649" s="89" t="str">
        <f aca="false">IF(_PENDIENTES!$B$643&lt;&gt;"",_PENDIENTES!$B$643,"")</f>
        <v/>
      </c>
      <c r="N649" s="109" t="str">
        <f aca="false">IF(_PENDIENTES!$B$643&lt;&gt;"",_PENDIENTES!$L$643,"")</f>
        <v/>
      </c>
      <c r="O649" s="89"/>
      <c r="P649" s="89"/>
      <c r="Q649" s="89"/>
      <c r="R649" s="89"/>
      <c r="S649" s="89"/>
    </row>
    <row r="650" customFormat="false" ht="15.75" hidden="true" customHeight="true" outlineLevel="0" collapsed="false">
      <c r="A650" s="106" t="str">
        <f aca="false">IF(_PENDIENTES!$B$644&lt;&gt;"",643,"")</f>
        <v/>
      </c>
      <c r="B650" s="47" t="str">
        <f aca="false">IF(_PENDIENTES!$B$644&lt;&gt;"",_PENDIENTES!$A$644,"")</f>
        <v/>
      </c>
      <c r="C650" s="107" t="str">
        <f aca="false">IF(_PENDIENTES!$B$644&lt;&gt;"",_PENDIENTES!$C$644,"")</f>
        <v/>
      </c>
      <c r="D650" s="106" t="str">
        <f aca="false">IF(_PENDIENTES!$B$644&lt;&gt;"",_PENDIENTES!$D$644,"")</f>
        <v/>
      </c>
      <c r="E650" s="111" t="str">
        <f aca="false">IF(_PENDIENTES!$B$644&lt;&gt;"",_PENDIENTES!$E$644,"")</f>
        <v/>
      </c>
      <c r="F650" s="106" t="str">
        <f aca="false">IF(_PENDIENTES!$B$644&lt;&gt;"",_PENDIENTES!$F$644,"")</f>
        <v/>
      </c>
      <c r="G650" s="50" t="str">
        <f aca="false">IF(_PENDIENTES!$B$644&lt;&gt;"",_PENDIENTES!$G$644,"")</f>
        <v/>
      </c>
      <c r="H650" s="50" t="str">
        <f aca="false">IF(_PENDIENTES!$B$644&lt;&gt;"",_PENDIENTES!$H$644,"")</f>
        <v/>
      </c>
      <c r="I650" s="107" t="str">
        <f aca="false">IF(_PENDIENTES!$B$644&lt;&gt;"",_PENDIENTES!$I$644,"")</f>
        <v/>
      </c>
      <c r="J650" s="106" t="str">
        <f aca="false">IF(_PENDIENTES!$B$644&lt;&gt;"",_PENDIENTES!$J$644,"")</f>
        <v/>
      </c>
      <c r="K650" s="106" t="str">
        <f aca="false">IF(_PENDIENTES!$B$644&lt;&gt;"","POR RECOGER","")</f>
        <v/>
      </c>
      <c r="L650" s="106" t="str">
        <f aca="false">IF(_PENDIENTES!$B$644&lt;&gt;"",_PENDIENTES!$K$644,"")</f>
        <v/>
      </c>
      <c r="M650" s="89" t="str">
        <f aca="false">IF(_PENDIENTES!$B$644&lt;&gt;"",_PENDIENTES!$B$644,"")</f>
        <v/>
      </c>
      <c r="N650" s="109" t="str">
        <f aca="false">IF(_PENDIENTES!$B$644&lt;&gt;"",_PENDIENTES!$L$644,"")</f>
        <v/>
      </c>
      <c r="O650" s="89"/>
      <c r="P650" s="89"/>
      <c r="Q650" s="89"/>
      <c r="R650" s="89"/>
      <c r="S650" s="89"/>
    </row>
    <row r="651" customFormat="false" ht="15.75" hidden="true" customHeight="true" outlineLevel="0" collapsed="false">
      <c r="A651" s="46" t="str">
        <f aca="false">IF(_PENDIENTES!$B$645&lt;&gt;"",644,"")</f>
        <v/>
      </c>
      <c r="B651" s="41" t="str">
        <f aca="false">IF(_PENDIENTES!$B$645&lt;&gt;"",_PENDIENTES!$A$645,"")</f>
        <v/>
      </c>
      <c r="C651" s="110" t="str">
        <f aca="false">IF(_PENDIENTES!$B$645&lt;&gt;"",_PENDIENTES!$C$645,"")</f>
        <v/>
      </c>
      <c r="D651" s="46" t="str">
        <f aca="false">IF(_PENDIENTES!$B$645&lt;&gt;"",_PENDIENTES!$D$645,"")</f>
        <v/>
      </c>
      <c r="E651" s="112" t="str">
        <f aca="false">IF(_PENDIENTES!$B$645&lt;&gt;"",_PENDIENTES!$E$645,"")</f>
        <v/>
      </c>
      <c r="F651" s="46" t="str">
        <f aca="false">IF(_PENDIENTES!$B$645&lt;&gt;"",_PENDIENTES!$F$645,"")</f>
        <v/>
      </c>
      <c r="G651" s="44" t="str">
        <f aca="false">IF(_PENDIENTES!$B$645&lt;&gt;"",_PENDIENTES!$G$645,"")</f>
        <v/>
      </c>
      <c r="H651" s="44" t="str">
        <f aca="false">IF(_PENDIENTES!$B$645&lt;&gt;"",_PENDIENTES!$H$645,"")</f>
        <v/>
      </c>
      <c r="I651" s="110" t="str">
        <f aca="false">IF(_PENDIENTES!$B$645&lt;&gt;"",_PENDIENTES!$I$645,"")</f>
        <v/>
      </c>
      <c r="J651" s="46" t="str">
        <f aca="false">IF(_PENDIENTES!$B$645&lt;&gt;"",_PENDIENTES!$J$645,"")</f>
        <v/>
      </c>
      <c r="K651" s="46" t="str">
        <f aca="false">IF(_PENDIENTES!$B$645&lt;&gt;"","POR RECOGER","")</f>
        <v/>
      </c>
      <c r="L651" s="46" t="str">
        <f aca="false">IF(_PENDIENTES!$B$645&lt;&gt;"",_PENDIENTES!$K$645,"")</f>
        <v/>
      </c>
      <c r="M651" s="89" t="str">
        <f aca="false">IF(_PENDIENTES!$B$645&lt;&gt;"",_PENDIENTES!$B$645,"")</f>
        <v/>
      </c>
      <c r="N651" s="109" t="str">
        <f aca="false">IF(_PENDIENTES!$B$645&lt;&gt;"",_PENDIENTES!$L$645,"")</f>
        <v/>
      </c>
      <c r="O651" s="89"/>
      <c r="P651" s="89"/>
      <c r="Q651" s="89"/>
      <c r="R651" s="89"/>
      <c r="S651" s="89"/>
    </row>
    <row r="652" customFormat="false" ht="15.75" hidden="true" customHeight="true" outlineLevel="0" collapsed="false">
      <c r="A652" s="106" t="str">
        <f aca="false">IF(_PENDIENTES!$B$646&lt;&gt;"",645,"")</f>
        <v/>
      </c>
      <c r="B652" s="47" t="str">
        <f aca="false">IF(_PENDIENTES!$B$646&lt;&gt;"",_PENDIENTES!$A$646,"")</f>
        <v/>
      </c>
      <c r="C652" s="107" t="str">
        <f aca="false">IF(_PENDIENTES!$B$646&lt;&gt;"",_PENDIENTES!$C$646,"")</f>
        <v/>
      </c>
      <c r="D652" s="106" t="str">
        <f aca="false">IF(_PENDIENTES!$B$646&lt;&gt;"",_PENDIENTES!$D$646,"")</f>
        <v/>
      </c>
      <c r="E652" s="111" t="str">
        <f aca="false">IF(_PENDIENTES!$B$646&lt;&gt;"",_PENDIENTES!$E$646,"")</f>
        <v/>
      </c>
      <c r="F652" s="106" t="str">
        <f aca="false">IF(_PENDIENTES!$B$646&lt;&gt;"",_PENDIENTES!$F$646,"")</f>
        <v/>
      </c>
      <c r="G652" s="50" t="str">
        <f aca="false">IF(_PENDIENTES!$B$646&lt;&gt;"",_PENDIENTES!$G$646,"")</f>
        <v/>
      </c>
      <c r="H652" s="50" t="str">
        <f aca="false">IF(_PENDIENTES!$B$646&lt;&gt;"",_PENDIENTES!$H$646,"")</f>
        <v/>
      </c>
      <c r="I652" s="107" t="str">
        <f aca="false">IF(_PENDIENTES!$B$646&lt;&gt;"",_PENDIENTES!$I$646,"")</f>
        <v/>
      </c>
      <c r="J652" s="106" t="str">
        <f aca="false">IF(_PENDIENTES!$B$646&lt;&gt;"",_PENDIENTES!$J$646,"")</f>
        <v/>
      </c>
      <c r="K652" s="106" t="str">
        <f aca="false">IF(_PENDIENTES!$B$646&lt;&gt;"","POR RECOGER","")</f>
        <v/>
      </c>
      <c r="L652" s="106" t="str">
        <f aca="false">IF(_PENDIENTES!$B$646&lt;&gt;"",_PENDIENTES!$K$646,"")</f>
        <v/>
      </c>
      <c r="M652" s="89" t="str">
        <f aca="false">IF(_PENDIENTES!$B$646&lt;&gt;"",_PENDIENTES!$B$646,"")</f>
        <v/>
      </c>
      <c r="N652" s="109" t="str">
        <f aca="false">IF(_PENDIENTES!$B$646&lt;&gt;"",_PENDIENTES!$L$646,"")</f>
        <v/>
      </c>
      <c r="O652" s="89"/>
      <c r="P652" s="89"/>
      <c r="Q652" s="89"/>
      <c r="R652" s="89"/>
      <c r="S652" s="89"/>
    </row>
    <row r="653" customFormat="false" ht="15.75" hidden="true" customHeight="true" outlineLevel="0" collapsed="false">
      <c r="A653" s="46" t="str">
        <f aca="false">IF(_PENDIENTES!$B$647&lt;&gt;"",646,"")</f>
        <v/>
      </c>
      <c r="B653" s="41" t="str">
        <f aca="false">IF(_PENDIENTES!$B$647&lt;&gt;"",_PENDIENTES!$A$647,"")</f>
        <v/>
      </c>
      <c r="C653" s="110" t="str">
        <f aca="false">IF(_PENDIENTES!$B$647&lt;&gt;"",_PENDIENTES!$C$647,"")</f>
        <v/>
      </c>
      <c r="D653" s="46" t="str">
        <f aca="false">IF(_PENDIENTES!$B$647&lt;&gt;"",_PENDIENTES!$D$647,"")</f>
        <v/>
      </c>
      <c r="E653" s="112" t="str">
        <f aca="false">IF(_PENDIENTES!$B$647&lt;&gt;"",_PENDIENTES!$E$647,"")</f>
        <v/>
      </c>
      <c r="F653" s="46" t="str">
        <f aca="false">IF(_PENDIENTES!$B$647&lt;&gt;"",_PENDIENTES!$F$647,"")</f>
        <v/>
      </c>
      <c r="G653" s="44" t="str">
        <f aca="false">IF(_PENDIENTES!$B$647&lt;&gt;"",_PENDIENTES!$G$647,"")</f>
        <v/>
      </c>
      <c r="H653" s="44" t="str">
        <f aca="false">IF(_PENDIENTES!$B$647&lt;&gt;"",_PENDIENTES!$H$647,"")</f>
        <v/>
      </c>
      <c r="I653" s="110" t="str">
        <f aca="false">IF(_PENDIENTES!$B$647&lt;&gt;"",_PENDIENTES!$I$647,"")</f>
        <v/>
      </c>
      <c r="J653" s="46" t="str">
        <f aca="false">IF(_PENDIENTES!$B$647&lt;&gt;"",_PENDIENTES!$J$647,"")</f>
        <v/>
      </c>
      <c r="K653" s="46" t="str">
        <f aca="false">IF(_PENDIENTES!$B$647&lt;&gt;"","POR RECOGER","")</f>
        <v/>
      </c>
      <c r="L653" s="46" t="str">
        <f aca="false">IF(_PENDIENTES!$B$647&lt;&gt;"",_PENDIENTES!$K$647,"")</f>
        <v/>
      </c>
      <c r="M653" s="89" t="str">
        <f aca="false">IF(_PENDIENTES!$B$647&lt;&gt;"",_PENDIENTES!$B$647,"")</f>
        <v/>
      </c>
      <c r="N653" s="109" t="str">
        <f aca="false">IF(_PENDIENTES!$B$647&lt;&gt;"",_PENDIENTES!$L$647,"")</f>
        <v/>
      </c>
      <c r="O653" s="89"/>
      <c r="P653" s="89"/>
      <c r="Q653" s="89"/>
      <c r="R653" s="89"/>
      <c r="S653" s="89"/>
    </row>
    <row r="654" customFormat="false" ht="15.75" hidden="true" customHeight="true" outlineLevel="0" collapsed="false">
      <c r="A654" s="106" t="str">
        <f aca="false">IF(_PENDIENTES!$B$648&lt;&gt;"",647,"")</f>
        <v/>
      </c>
      <c r="B654" s="47" t="str">
        <f aca="false">IF(_PENDIENTES!$B$648&lt;&gt;"",_PENDIENTES!$A$648,"")</f>
        <v/>
      </c>
      <c r="C654" s="107" t="str">
        <f aca="false">IF(_PENDIENTES!$B$648&lt;&gt;"",_PENDIENTES!$C$648,"")</f>
        <v/>
      </c>
      <c r="D654" s="106" t="str">
        <f aca="false">IF(_PENDIENTES!$B$648&lt;&gt;"",_PENDIENTES!$D$648,"")</f>
        <v/>
      </c>
      <c r="E654" s="111" t="str">
        <f aca="false">IF(_PENDIENTES!$B$648&lt;&gt;"",_PENDIENTES!$E$648,"")</f>
        <v/>
      </c>
      <c r="F654" s="106" t="str">
        <f aca="false">IF(_PENDIENTES!$B$648&lt;&gt;"",_PENDIENTES!$F$648,"")</f>
        <v/>
      </c>
      <c r="G654" s="50" t="str">
        <f aca="false">IF(_PENDIENTES!$B$648&lt;&gt;"",_PENDIENTES!$G$648,"")</f>
        <v/>
      </c>
      <c r="H654" s="50" t="str">
        <f aca="false">IF(_PENDIENTES!$B$648&lt;&gt;"",_PENDIENTES!$H$648,"")</f>
        <v/>
      </c>
      <c r="I654" s="107" t="str">
        <f aca="false">IF(_PENDIENTES!$B$648&lt;&gt;"",_PENDIENTES!$I$648,"")</f>
        <v/>
      </c>
      <c r="J654" s="106" t="str">
        <f aca="false">IF(_PENDIENTES!$B$648&lt;&gt;"",_PENDIENTES!$J$648,"")</f>
        <v/>
      </c>
      <c r="K654" s="106" t="str">
        <f aca="false">IF(_PENDIENTES!$B$648&lt;&gt;"","POR RECOGER","")</f>
        <v/>
      </c>
      <c r="L654" s="106" t="str">
        <f aca="false">IF(_PENDIENTES!$B$648&lt;&gt;"",_PENDIENTES!$K$648,"")</f>
        <v/>
      </c>
      <c r="M654" s="89" t="str">
        <f aca="false">IF(_PENDIENTES!$B$648&lt;&gt;"",_PENDIENTES!$B$648,"")</f>
        <v/>
      </c>
      <c r="N654" s="109" t="str">
        <f aca="false">IF(_PENDIENTES!$B$648&lt;&gt;"",_PENDIENTES!$L$648,"")</f>
        <v/>
      </c>
      <c r="O654" s="89"/>
      <c r="P654" s="89"/>
      <c r="Q654" s="89"/>
      <c r="R654" s="89"/>
      <c r="S654" s="89"/>
    </row>
    <row r="655" customFormat="false" ht="15.75" hidden="true" customHeight="true" outlineLevel="0" collapsed="false">
      <c r="A655" s="46" t="str">
        <f aca="false">IF(_PENDIENTES!$B$649&lt;&gt;"",648,"")</f>
        <v/>
      </c>
      <c r="B655" s="41" t="str">
        <f aca="false">IF(_PENDIENTES!$B$649&lt;&gt;"",_PENDIENTES!$A$649,"")</f>
        <v/>
      </c>
      <c r="C655" s="110" t="str">
        <f aca="false">IF(_PENDIENTES!$B$649&lt;&gt;"",_PENDIENTES!$C$649,"")</f>
        <v/>
      </c>
      <c r="D655" s="46" t="str">
        <f aca="false">IF(_PENDIENTES!$B$649&lt;&gt;"",_PENDIENTES!$D$649,"")</f>
        <v/>
      </c>
      <c r="E655" s="112" t="str">
        <f aca="false">IF(_PENDIENTES!$B$649&lt;&gt;"",_PENDIENTES!$E$649,"")</f>
        <v/>
      </c>
      <c r="F655" s="46" t="str">
        <f aca="false">IF(_PENDIENTES!$B$649&lt;&gt;"",_PENDIENTES!$F$649,"")</f>
        <v/>
      </c>
      <c r="G655" s="44" t="str">
        <f aca="false">IF(_PENDIENTES!$B$649&lt;&gt;"",_PENDIENTES!$G$649,"")</f>
        <v/>
      </c>
      <c r="H655" s="44" t="str">
        <f aca="false">IF(_PENDIENTES!$B$649&lt;&gt;"",_PENDIENTES!$H$649,"")</f>
        <v/>
      </c>
      <c r="I655" s="110" t="str">
        <f aca="false">IF(_PENDIENTES!$B$649&lt;&gt;"",_PENDIENTES!$I$649,"")</f>
        <v/>
      </c>
      <c r="J655" s="46" t="str">
        <f aca="false">IF(_PENDIENTES!$B$649&lt;&gt;"",_PENDIENTES!$J$649,"")</f>
        <v/>
      </c>
      <c r="K655" s="46" t="str">
        <f aca="false">IF(_PENDIENTES!$B$649&lt;&gt;"","POR RECOGER","")</f>
        <v/>
      </c>
      <c r="L655" s="46" t="str">
        <f aca="false">IF(_PENDIENTES!$B$649&lt;&gt;"",_PENDIENTES!$K$649,"")</f>
        <v/>
      </c>
      <c r="M655" s="89" t="str">
        <f aca="false">IF(_PENDIENTES!$B$649&lt;&gt;"",_PENDIENTES!$B$649,"")</f>
        <v/>
      </c>
      <c r="N655" s="109" t="str">
        <f aca="false">IF(_PENDIENTES!$B$649&lt;&gt;"",_PENDIENTES!$L$649,"")</f>
        <v/>
      </c>
      <c r="O655" s="89"/>
      <c r="P655" s="89"/>
      <c r="Q655" s="89"/>
      <c r="R655" s="89"/>
      <c r="S655" s="89"/>
    </row>
    <row r="656" customFormat="false" ht="15.75" hidden="true" customHeight="true" outlineLevel="0" collapsed="false">
      <c r="A656" s="106" t="str">
        <f aca="false">IF(_PENDIENTES!$B$650&lt;&gt;"",649,"")</f>
        <v/>
      </c>
      <c r="B656" s="47" t="str">
        <f aca="false">IF(_PENDIENTES!$B$650&lt;&gt;"",_PENDIENTES!$A$650,"")</f>
        <v/>
      </c>
      <c r="C656" s="107" t="str">
        <f aca="false">IF(_PENDIENTES!$B$650&lt;&gt;"",_PENDIENTES!$C$650,"")</f>
        <v/>
      </c>
      <c r="D656" s="106" t="str">
        <f aca="false">IF(_PENDIENTES!$B$650&lt;&gt;"",_PENDIENTES!$D$650,"")</f>
        <v/>
      </c>
      <c r="E656" s="111" t="str">
        <f aca="false">IF(_PENDIENTES!$B$650&lt;&gt;"",_PENDIENTES!$E$650,"")</f>
        <v/>
      </c>
      <c r="F656" s="106" t="str">
        <f aca="false">IF(_PENDIENTES!$B$650&lt;&gt;"",_PENDIENTES!$F$650,"")</f>
        <v/>
      </c>
      <c r="G656" s="50" t="str">
        <f aca="false">IF(_PENDIENTES!$B$650&lt;&gt;"",_PENDIENTES!$G$650,"")</f>
        <v/>
      </c>
      <c r="H656" s="50" t="str">
        <f aca="false">IF(_PENDIENTES!$B$650&lt;&gt;"",_PENDIENTES!$H$650,"")</f>
        <v/>
      </c>
      <c r="I656" s="107" t="str">
        <f aca="false">IF(_PENDIENTES!$B$650&lt;&gt;"",_PENDIENTES!$I$650,"")</f>
        <v/>
      </c>
      <c r="J656" s="106" t="str">
        <f aca="false">IF(_PENDIENTES!$B$650&lt;&gt;"",_PENDIENTES!$J$650,"")</f>
        <v/>
      </c>
      <c r="K656" s="106" t="str">
        <f aca="false">IF(_PENDIENTES!$B$650&lt;&gt;"","POR RECOGER","")</f>
        <v/>
      </c>
      <c r="L656" s="106" t="str">
        <f aca="false">IF(_PENDIENTES!$B$650&lt;&gt;"",_PENDIENTES!$K$650,"")</f>
        <v/>
      </c>
      <c r="M656" s="89" t="str">
        <f aca="false">IF(_PENDIENTES!$B$650&lt;&gt;"",_PENDIENTES!$B$650,"")</f>
        <v/>
      </c>
      <c r="N656" s="109" t="str">
        <f aca="false">IF(_PENDIENTES!$B$650&lt;&gt;"",_PENDIENTES!$L$650,"")</f>
        <v/>
      </c>
      <c r="O656" s="89"/>
      <c r="P656" s="89"/>
      <c r="Q656" s="89"/>
      <c r="R656" s="89"/>
      <c r="S656" s="89"/>
    </row>
    <row r="657" customFormat="false" ht="15.75" hidden="true" customHeight="true" outlineLevel="0" collapsed="false">
      <c r="A657" s="46" t="str">
        <f aca="false">IF(_PENDIENTES!$B$651&lt;&gt;"",650,"")</f>
        <v/>
      </c>
      <c r="B657" s="41" t="str">
        <f aca="false">IF(_PENDIENTES!$B$651&lt;&gt;"",_PENDIENTES!$A$651,"")</f>
        <v/>
      </c>
      <c r="C657" s="110" t="str">
        <f aca="false">IF(_PENDIENTES!$B$651&lt;&gt;"",_PENDIENTES!$C$651,"")</f>
        <v/>
      </c>
      <c r="D657" s="46" t="str">
        <f aca="false">IF(_PENDIENTES!$B$651&lt;&gt;"",_PENDIENTES!$D$651,"")</f>
        <v/>
      </c>
      <c r="E657" s="112" t="str">
        <f aca="false">IF(_PENDIENTES!$B$651&lt;&gt;"",_PENDIENTES!$E$651,"")</f>
        <v/>
      </c>
      <c r="F657" s="46" t="str">
        <f aca="false">IF(_PENDIENTES!$B$651&lt;&gt;"",_PENDIENTES!$F$651,"")</f>
        <v/>
      </c>
      <c r="G657" s="44" t="str">
        <f aca="false">IF(_PENDIENTES!$B$651&lt;&gt;"",_PENDIENTES!$G$651,"")</f>
        <v/>
      </c>
      <c r="H657" s="44" t="str">
        <f aca="false">IF(_PENDIENTES!$B$651&lt;&gt;"",_PENDIENTES!$H$651,"")</f>
        <v/>
      </c>
      <c r="I657" s="110" t="str">
        <f aca="false">IF(_PENDIENTES!$B$651&lt;&gt;"",_PENDIENTES!$I$651,"")</f>
        <v/>
      </c>
      <c r="J657" s="46" t="str">
        <f aca="false">IF(_PENDIENTES!$B$651&lt;&gt;"",_PENDIENTES!$J$651,"")</f>
        <v/>
      </c>
      <c r="K657" s="46" t="str">
        <f aca="false">IF(_PENDIENTES!$B$651&lt;&gt;"","POR RECOGER","")</f>
        <v/>
      </c>
      <c r="L657" s="46" t="str">
        <f aca="false">IF(_PENDIENTES!$B$651&lt;&gt;"",_PENDIENTES!$K$651,"")</f>
        <v/>
      </c>
      <c r="M657" s="89" t="str">
        <f aca="false">IF(_PENDIENTES!$B$651&lt;&gt;"",_PENDIENTES!$B$651,"")</f>
        <v/>
      </c>
      <c r="N657" s="109" t="str">
        <f aca="false">IF(_PENDIENTES!$B$651&lt;&gt;"",_PENDIENTES!$L$651,"")</f>
        <v/>
      </c>
      <c r="O657" s="89"/>
      <c r="P657" s="89"/>
      <c r="Q657" s="89"/>
      <c r="R657" s="89"/>
      <c r="S657" s="89"/>
    </row>
    <row r="658" customFormat="false" ht="15.75" hidden="true" customHeight="true" outlineLevel="0" collapsed="false">
      <c r="A658" s="106" t="str">
        <f aca="false">IF(_PENDIENTES!$B$652&lt;&gt;"",651,"")</f>
        <v/>
      </c>
      <c r="B658" s="47" t="str">
        <f aca="false">IF(_PENDIENTES!$B$652&lt;&gt;"",_PENDIENTES!$A$652,"")</f>
        <v/>
      </c>
      <c r="C658" s="107" t="str">
        <f aca="false">IF(_PENDIENTES!$B$652&lt;&gt;"",_PENDIENTES!$C$652,"")</f>
        <v/>
      </c>
      <c r="D658" s="106" t="str">
        <f aca="false">IF(_PENDIENTES!$B$652&lt;&gt;"",_PENDIENTES!$D$652,"")</f>
        <v/>
      </c>
      <c r="E658" s="111" t="str">
        <f aca="false">IF(_PENDIENTES!$B$652&lt;&gt;"",_PENDIENTES!$E$652,"")</f>
        <v/>
      </c>
      <c r="F658" s="106" t="str">
        <f aca="false">IF(_PENDIENTES!$B$652&lt;&gt;"",_PENDIENTES!$F$652,"")</f>
        <v/>
      </c>
      <c r="G658" s="50" t="str">
        <f aca="false">IF(_PENDIENTES!$B$652&lt;&gt;"",_PENDIENTES!$G$652,"")</f>
        <v/>
      </c>
      <c r="H658" s="50" t="str">
        <f aca="false">IF(_PENDIENTES!$B$652&lt;&gt;"",_PENDIENTES!$H$652,"")</f>
        <v/>
      </c>
      <c r="I658" s="107" t="str">
        <f aca="false">IF(_PENDIENTES!$B$652&lt;&gt;"",_PENDIENTES!$I$652,"")</f>
        <v/>
      </c>
      <c r="J658" s="106" t="str">
        <f aca="false">IF(_PENDIENTES!$B$652&lt;&gt;"",_PENDIENTES!$J$652,"")</f>
        <v/>
      </c>
      <c r="K658" s="106" t="str">
        <f aca="false">IF(_PENDIENTES!$B$652&lt;&gt;"","POR RECOGER","")</f>
        <v/>
      </c>
      <c r="L658" s="106" t="str">
        <f aca="false">IF(_PENDIENTES!$B$652&lt;&gt;"",_PENDIENTES!$K$652,"")</f>
        <v/>
      </c>
      <c r="M658" s="89" t="str">
        <f aca="false">IF(_PENDIENTES!$B$652&lt;&gt;"",_PENDIENTES!$B$652,"")</f>
        <v/>
      </c>
      <c r="N658" s="109" t="str">
        <f aca="false">IF(_PENDIENTES!$B$652&lt;&gt;"",_PENDIENTES!$L$652,"")</f>
        <v/>
      </c>
      <c r="O658" s="89"/>
      <c r="P658" s="89"/>
      <c r="Q658" s="89"/>
      <c r="R658" s="89"/>
      <c r="S658" s="89"/>
    </row>
    <row r="659" customFormat="false" ht="15.75" hidden="true" customHeight="true" outlineLevel="0" collapsed="false">
      <c r="A659" s="46" t="str">
        <f aca="false">IF(_PENDIENTES!$B$653&lt;&gt;"",652,"")</f>
        <v/>
      </c>
      <c r="B659" s="41" t="str">
        <f aca="false">IF(_PENDIENTES!$B$653&lt;&gt;"",_PENDIENTES!$A$653,"")</f>
        <v/>
      </c>
      <c r="C659" s="110" t="str">
        <f aca="false">IF(_PENDIENTES!$B$653&lt;&gt;"",_PENDIENTES!$C$653,"")</f>
        <v/>
      </c>
      <c r="D659" s="46" t="str">
        <f aca="false">IF(_PENDIENTES!$B$653&lt;&gt;"",_PENDIENTES!$D$653,"")</f>
        <v/>
      </c>
      <c r="E659" s="112" t="str">
        <f aca="false">IF(_PENDIENTES!$B$653&lt;&gt;"",_PENDIENTES!$E$653,"")</f>
        <v/>
      </c>
      <c r="F659" s="46" t="str">
        <f aca="false">IF(_PENDIENTES!$B$653&lt;&gt;"",_PENDIENTES!$F$653,"")</f>
        <v/>
      </c>
      <c r="G659" s="44" t="str">
        <f aca="false">IF(_PENDIENTES!$B$653&lt;&gt;"",_PENDIENTES!$G$653,"")</f>
        <v/>
      </c>
      <c r="H659" s="44" t="str">
        <f aca="false">IF(_PENDIENTES!$B$653&lt;&gt;"",_PENDIENTES!$H$653,"")</f>
        <v/>
      </c>
      <c r="I659" s="110" t="str">
        <f aca="false">IF(_PENDIENTES!$B$653&lt;&gt;"",_PENDIENTES!$I$653,"")</f>
        <v/>
      </c>
      <c r="J659" s="46" t="str">
        <f aca="false">IF(_PENDIENTES!$B$653&lt;&gt;"",_PENDIENTES!$J$653,"")</f>
        <v/>
      </c>
      <c r="K659" s="46" t="str">
        <f aca="false">IF(_PENDIENTES!$B$653&lt;&gt;"","POR RECOGER","")</f>
        <v/>
      </c>
      <c r="L659" s="46" t="str">
        <f aca="false">IF(_PENDIENTES!$B$653&lt;&gt;"",_PENDIENTES!$K$653,"")</f>
        <v/>
      </c>
      <c r="M659" s="89" t="str">
        <f aca="false">IF(_PENDIENTES!$B$653&lt;&gt;"",_PENDIENTES!$B$653,"")</f>
        <v/>
      </c>
      <c r="N659" s="109" t="str">
        <f aca="false">IF(_PENDIENTES!$B$653&lt;&gt;"",_PENDIENTES!$L$653,"")</f>
        <v/>
      </c>
      <c r="O659" s="89"/>
      <c r="P659" s="89"/>
      <c r="Q659" s="89"/>
      <c r="R659" s="89"/>
      <c r="S659" s="89"/>
    </row>
    <row r="660" customFormat="false" ht="15.75" hidden="true" customHeight="true" outlineLevel="0" collapsed="false">
      <c r="A660" s="106" t="str">
        <f aca="false">IF(_PENDIENTES!$B$654&lt;&gt;"",653,"")</f>
        <v/>
      </c>
      <c r="B660" s="47" t="str">
        <f aca="false">IF(_PENDIENTES!$B$654&lt;&gt;"",_PENDIENTES!$A$654,"")</f>
        <v/>
      </c>
      <c r="C660" s="107" t="str">
        <f aca="false">IF(_PENDIENTES!$B$654&lt;&gt;"",_PENDIENTES!$C$654,"")</f>
        <v/>
      </c>
      <c r="D660" s="106" t="str">
        <f aca="false">IF(_PENDIENTES!$B$654&lt;&gt;"",_PENDIENTES!$D$654,"")</f>
        <v/>
      </c>
      <c r="E660" s="111" t="str">
        <f aca="false">IF(_PENDIENTES!$B$654&lt;&gt;"",_PENDIENTES!$E$654,"")</f>
        <v/>
      </c>
      <c r="F660" s="106" t="str">
        <f aca="false">IF(_PENDIENTES!$B$654&lt;&gt;"",_PENDIENTES!$F$654,"")</f>
        <v/>
      </c>
      <c r="G660" s="50" t="str">
        <f aca="false">IF(_PENDIENTES!$B$654&lt;&gt;"",_PENDIENTES!$G$654,"")</f>
        <v/>
      </c>
      <c r="H660" s="50" t="str">
        <f aca="false">IF(_PENDIENTES!$B$654&lt;&gt;"",_PENDIENTES!$H$654,"")</f>
        <v/>
      </c>
      <c r="I660" s="107" t="str">
        <f aca="false">IF(_PENDIENTES!$B$654&lt;&gt;"",_PENDIENTES!$I$654,"")</f>
        <v/>
      </c>
      <c r="J660" s="106" t="str">
        <f aca="false">IF(_PENDIENTES!$B$654&lt;&gt;"",_PENDIENTES!$J$654,"")</f>
        <v/>
      </c>
      <c r="K660" s="106" t="str">
        <f aca="false">IF(_PENDIENTES!$B$654&lt;&gt;"","POR RECOGER","")</f>
        <v/>
      </c>
      <c r="L660" s="106" t="str">
        <f aca="false">IF(_PENDIENTES!$B$654&lt;&gt;"",_PENDIENTES!$K$654,"")</f>
        <v/>
      </c>
      <c r="M660" s="89" t="str">
        <f aca="false">IF(_PENDIENTES!$B$654&lt;&gt;"",_PENDIENTES!$B$654,"")</f>
        <v/>
      </c>
      <c r="N660" s="109" t="str">
        <f aca="false">IF(_PENDIENTES!$B$654&lt;&gt;"",_PENDIENTES!$L$654,"")</f>
        <v/>
      </c>
      <c r="O660" s="89"/>
      <c r="P660" s="89"/>
      <c r="Q660" s="89"/>
      <c r="R660" s="89"/>
      <c r="S660" s="89"/>
    </row>
    <row r="661" customFormat="false" ht="15.75" hidden="true" customHeight="true" outlineLevel="0" collapsed="false">
      <c r="A661" s="46" t="str">
        <f aca="false">IF(_PENDIENTES!$B$655&lt;&gt;"",654,"")</f>
        <v/>
      </c>
      <c r="B661" s="41" t="str">
        <f aca="false">IF(_PENDIENTES!$B$655&lt;&gt;"",_PENDIENTES!$A$655,"")</f>
        <v/>
      </c>
      <c r="C661" s="110" t="str">
        <f aca="false">IF(_PENDIENTES!$B$655&lt;&gt;"",_PENDIENTES!$C$655,"")</f>
        <v/>
      </c>
      <c r="D661" s="46" t="str">
        <f aca="false">IF(_PENDIENTES!$B$655&lt;&gt;"",_PENDIENTES!$D$655,"")</f>
        <v/>
      </c>
      <c r="E661" s="112" t="str">
        <f aca="false">IF(_PENDIENTES!$B$655&lt;&gt;"",_PENDIENTES!$E$655,"")</f>
        <v/>
      </c>
      <c r="F661" s="46" t="str">
        <f aca="false">IF(_PENDIENTES!$B$655&lt;&gt;"",_PENDIENTES!$F$655,"")</f>
        <v/>
      </c>
      <c r="G661" s="44" t="str">
        <f aca="false">IF(_PENDIENTES!$B$655&lt;&gt;"",_PENDIENTES!$G$655,"")</f>
        <v/>
      </c>
      <c r="H661" s="44" t="str">
        <f aca="false">IF(_PENDIENTES!$B$655&lt;&gt;"",_PENDIENTES!$H$655,"")</f>
        <v/>
      </c>
      <c r="I661" s="110" t="str">
        <f aca="false">IF(_PENDIENTES!$B$655&lt;&gt;"",_PENDIENTES!$I$655,"")</f>
        <v/>
      </c>
      <c r="J661" s="46" t="str">
        <f aca="false">IF(_PENDIENTES!$B$655&lt;&gt;"",_PENDIENTES!$J$655,"")</f>
        <v/>
      </c>
      <c r="K661" s="46" t="str">
        <f aca="false">IF(_PENDIENTES!$B$655&lt;&gt;"","POR RECOGER","")</f>
        <v/>
      </c>
      <c r="L661" s="46" t="str">
        <f aca="false">IF(_PENDIENTES!$B$655&lt;&gt;"",_PENDIENTES!$K$655,"")</f>
        <v/>
      </c>
      <c r="M661" s="89" t="str">
        <f aca="false">IF(_PENDIENTES!$B$655&lt;&gt;"",_PENDIENTES!$B$655,"")</f>
        <v/>
      </c>
      <c r="N661" s="109" t="str">
        <f aca="false">IF(_PENDIENTES!$B$655&lt;&gt;"",_PENDIENTES!$L$655,"")</f>
        <v/>
      </c>
      <c r="O661" s="89"/>
      <c r="P661" s="89"/>
      <c r="Q661" s="89"/>
      <c r="R661" s="89"/>
      <c r="S661" s="89"/>
    </row>
    <row r="662" customFormat="false" ht="15.75" hidden="true" customHeight="true" outlineLevel="0" collapsed="false">
      <c r="A662" s="106" t="str">
        <f aca="false">IF(_PENDIENTES!$B$656&lt;&gt;"",655,"")</f>
        <v/>
      </c>
      <c r="B662" s="47" t="str">
        <f aca="false">IF(_PENDIENTES!$B$656&lt;&gt;"",_PENDIENTES!$A$656,"")</f>
        <v/>
      </c>
      <c r="C662" s="107" t="str">
        <f aca="false">IF(_PENDIENTES!$B$656&lt;&gt;"",_PENDIENTES!$C$656,"")</f>
        <v/>
      </c>
      <c r="D662" s="106" t="str">
        <f aca="false">IF(_PENDIENTES!$B$656&lt;&gt;"",_PENDIENTES!$D$656,"")</f>
        <v/>
      </c>
      <c r="E662" s="111" t="str">
        <f aca="false">IF(_PENDIENTES!$B$656&lt;&gt;"",_PENDIENTES!$E$656,"")</f>
        <v/>
      </c>
      <c r="F662" s="106" t="str">
        <f aca="false">IF(_PENDIENTES!$B$656&lt;&gt;"",_PENDIENTES!$F$656,"")</f>
        <v/>
      </c>
      <c r="G662" s="50" t="str">
        <f aca="false">IF(_PENDIENTES!$B$656&lt;&gt;"",_PENDIENTES!$G$656,"")</f>
        <v/>
      </c>
      <c r="H662" s="50" t="str">
        <f aca="false">IF(_PENDIENTES!$B$656&lt;&gt;"",_PENDIENTES!$H$656,"")</f>
        <v/>
      </c>
      <c r="I662" s="107" t="str">
        <f aca="false">IF(_PENDIENTES!$B$656&lt;&gt;"",_PENDIENTES!$I$656,"")</f>
        <v/>
      </c>
      <c r="J662" s="106" t="str">
        <f aca="false">IF(_PENDIENTES!$B$656&lt;&gt;"",_PENDIENTES!$J$656,"")</f>
        <v/>
      </c>
      <c r="K662" s="106" t="str">
        <f aca="false">IF(_PENDIENTES!$B$656&lt;&gt;"","POR RECOGER","")</f>
        <v/>
      </c>
      <c r="L662" s="106" t="str">
        <f aca="false">IF(_PENDIENTES!$B$656&lt;&gt;"",_PENDIENTES!$K$656,"")</f>
        <v/>
      </c>
      <c r="M662" s="89" t="str">
        <f aca="false">IF(_PENDIENTES!$B$656&lt;&gt;"",_PENDIENTES!$B$656,"")</f>
        <v/>
      </c>
      <c r="N662" s="109" t="str">
        <f aca="false">IF(_PENDIENTES!$B$656&lt;&gt;"",_PENDIENTES!$L$656,"")</f>
        <v/>
      </c>
      <c r="O662" s="89"/>
      <c r="P662" s="89"/>
      <c r="Q662" s="89"/>
      <c r="R662" s="89"/>
      <c r="S662" s="89"/>
    </row>
    <row r="663" customFormat="false" ht="15.75" hidden="true" customHeight="true" outlineLevel="0" collapsed="false">
      <c r="A663" s="46" t="str">
        <f aca="false">IF(_PENDIENTES!$B$657&lt;&gt;"",656,"")</f>
        <v/>
      </c>
      <c r="B663" s="41" t="str">
        <f aca="false">IF(_PENDIENTES!$B$657&lt;&gt;"",_PENDIENTES!$A$657,"")</f>
        <v/>
      </c>
      <c r="C663" s="110" t="str">
        <f aca="false">IF(_PENDIENTES!$B$657&lt;&gt;"",_PENDIENTES!$C$657,"")</f>
        <v/>
      </c>
      <c r="D663" s="46" t="str">
        <f aca="false">IF(_PENDIENTES!$B$657&lt;&gt;"",_PENDIENTES!$D$657,"")</f>
        <v/>
      </c>
      <c r="E663" s="112" t="str">
        <f aca="false">IF(_PENDIENTES!$B$657&lt;&gt;"",_PENDIENTES!$E$657,"")</f>
        <v/>
      </c>
      <c r="F663" s="46" t="str">
        <f aca="false">IF(_PENDIENTES!$B$657&lt;&gt;"",_PENDIENTES!$F$657,"")</f>
        <v/>
      </c>
      <c r="G663" s="44" t="str">
        <f aca="false">IF(_PENDIENTES!$B$657&lt;&gt;"",_PENDIENTES!$G$657,"")</f>
        <v/>
      </c>
      <c r="H663" s="44" t="str">
        <f aca="false">IF(_PENDIENTES!$B$657&lt;&gt;"",_PENDIENTES!$H$657,"")</f>
        <v/>
      </c>
      <c r="I663" s="110" t="str">
        <f aca="false">IF(_PENDIENTES!$B$657&lt;&gt;"",_PENDIENTES!$I$657,"")</f>
        <v/>
      </c>
      <c r="J663" s="46" t="str">
        <f aca="false">IF(_PENDIENTES!$B$657&lt;&gt;"",_PENDIENTES!$J$657,"")</f>
        <v/>
      </c>
      <c r="K663" s="46" t="str">
        <f aca="false">IF(_PENDIENTES!$B$657&lt;&gt;"","POR RECOGER","")</f>
        <v/>
      </c>
      <c r="L663" s="46" t="str">
        <f aca="false">IF(_PENDIENTES!$B$657&lt;&gt;"",_PENDIENTES!$K$657,"")</f>
        <v/>
      </c>
      <c r="M663" s="89" t="str">
        <f aca="false">IF(_PENDIENTES!$B$657&lt;&gt;"",_PENDIENTES!$B$657,"")</f>
        <v/>
      </c>
      <c r="N663" s="109" t="str">
        <f aca="false">IF(_PENDIENTES!$B$657&lt;&gt;"",_PENDIENTES!$L$657,"")</f>
        <v/>
      </c>
      <c r="O663" s="89"/>
      <c r="P663" s="89"/>
      <c r="Q663" s="89"/>
      <c r="R663" s="89"/>
      <c r="S663" s="89"/>
    </row>
    <row r="664" customFormat="false" ht="15.75" hidden="true" customHeight="true" outlineLevel="0" collapsed="false">
      <c r="A664" s="106" t="str">
        <f aca="false">IF(_PENDIENTES!$B$658&lt;&gt;"",657,"")</f>
        <v/>
      </c>
      <c r="B664" s="47" t="str">
        <f aca="false">IF(_PENDIENTES!$B$658&lt;&gt;"",_PENDIENTES!$A$658,"")</f>
        <v/>
      </c>
      <c r="C664" s="107" t="str">
        <f aca="false">IF(_PENDIENTES!$B$658&lt;&gt;"",_PENDIENTES!$C$658,"")</f>
        <v/>
      </c>
      <c r="D664" s="106" t="str">
        <f aca="false">IF(_PENDIENTES!$B$658&lt;&gt;"",_PENDIENTES!$D$658,"")</f>
        <v/>
      </c>
      <c r="E664" s="111" t="str">
        <f aca="false">IF(_PENDIENTES!$B$658&lt;&gt;"",_PENDIENTES!$E$658,"")</f>
        <v/>
      </c>
      <c r="F664" s="106" t="str">
        <f aca="false">IF(_PENDIENTES!$B$658&lt;&gt;"",_PENDIENTES!$F$658,"")</f>
        <v/>
      </c>
      <c r="G664" s="50" t="str">
        <f aca="false">IF(_PENDIENTES!$B$658&lt;&gt;"",_PENDIENTES!$G$658,"")</f>
        <v/>
      </c>
      <c r="H664" s="50" t="str">
        <f aca="false">IF(_PENDIENTES!$B$658&lt;&gt;"",_PENDIENTES!$H$658,"")</f>
        <v/>
      </c>
      <c r="I664" s="107" t="str">
        <f aca="false">IF(_PENDIENTES!$B$658&lt;&gt;"",_PENDIENTES!$I$658,"")</f>
        <v/>
      </c>
      <c r="J664" s="106" t="str">
        <f aca="false">IF(_PENDIENTES!$B$658&lt;&gt;"",_PENDIENTES!$J$658,"")</f>
        <v/>
      </c>
      <c r="K664" s="106" t="str">
        <f aca="false">IF(_PENDIENTES!$B$658&lt;&gt;"","POR RECOGER","")</f>
        <v/>
      </c>
      <c r="L664" s="106" t="str">
        <f aca="false">IF(_PENDIENTES!$B$658&lt;&gt;"",_PENDIENTES!$K$658,"")</f>
        <v/>
      </c>
      <c r="M664" s="89" t="str">
        <f aca="false">IF(_PENDIENTES!$B$658&lt;&gt;"",_PENDIENTES!$B$658,"")</f>
        <v/>
      </c>
      <c r="N664" s="109" t="str">
        <f aca="false">IF(_PENDIENTES!$B$658&lt;&gt;"",_PENDIENTES!$L$658,"")</f>
        <v/>
      </c>
      <c r="O664" s="89"/>
      <c r="P664" s="89"/>
      <c r="Q664" s="89"/>
      <c r="R664" s="89"/>
      <c r="S664" s="89"/>
    </row>
    <row r="665" customFormat="false" ht="15.75" hidden="true" customHeight="true" outlineLevel="0" collapsed="false">
      <c r="A665" s="46" t="str">
        <f aca="false">IF(_PENDIENTES!$B$659&lt;&gt;"",658,"")</f>
        <v/>
      </c>
      <c r="B665" s="41" t="str">
        <f aca="false">IF(_PENDIENTES!$B$659&lt;&gt;"",_PENDIENTES!$A$659,"")</f>
        <v/>
      </c>
      <c r="C665" s="110" t="str">
        <f aca="false">IF(_PENDIENTES!$B$659&lt;&gt;"",_PENDIENTES!$C$659,"")</f>
        <v/>
      </c>
      <c r="D665" s="46" t="str">
        <f aca="false">IF(_PENDIENTES!$B$659&lt;&gt;"",_PENDIENTES!$D$659,"")</f>
        <v/>
      </c>
      <c r="E665" s="112" t="str">
        <f aca="false">IF(_PENDIENTES!$B$659&lt;&gt;"",_PENDIENTES!$E$659,"")</f>
        <v/>
      </c>
      <c r="F665" s="46" t="str">
        <f aca="false">IF(_PENDIENTES!$B$659&lt;&gt;"",_PENDIENTES!$F$659,"")</f>
        <v/>
      </c>
      <c r="G665" s="44" t="str">
        <f aca="false">IF(_PENDIENTES!$B$659&lt;&gt;"",_PENDIENTES!$G$659,"")</f>
        <v/>
      </c>
      <c r="H665" s="44" t="str">
        <f aca="false">IF(_PENDIENTES!$B$659&lt;&gt;"",_PENDIENTES!$H$659,"")</f>
        <v/>
      </c>
      <c r="I665" s="110" t="str">
        <f aca="false">IF(_PENDIENTES!$B$659&lt;&gt;"",_PENDIENTES!$I$659,"")</f>
        <v/>
      </c>
      <c r="J665" s="46" t="str">
        <f aca="false">IF(_PENDIENTES!$B$659&lt;&gt;"",_PENDIENTES!$J$659,"")</f>
        <v/>
      </c>
      <c r="K665" s="46" t="str">
        <f aca="false">IF(_PENDIENTES!$B$659&lt;&gt;"","POR RECOGER","")</f>
        <v/>
      </c>
      <c r="L665" s="46" t="str">
        <f aca="false">IF(_PENDIENTES!$B$659&lt;&gt;"",_PENDIENTES!$K$659,"")</f>
        <v/>
      </c>
      <c r="M665" s="89" t="str">
        <f aca="false">IF(_PENDIENTES!$B$659&lt;&gt;"",_PENDIENTES!$B$659,"")</f>
        <v/>
      </c>
      <c r="N665" s="109" t="str">
        <f aca="false">IF(_PENDIENTES!$B$659&lt;&gt;"",_PENDIENTES!$L$659,"")</f>
        <v/>
      </c>
      <c r="O665" s="89"/>
      <c r="P665" s="89"/>
      <c r="Q665" s="89"/>
      <c r="R665" s="89"/>
      <c r="S665" s="89"/>
    </row>
    <row r="666" customFormat="false" ht="15.75" hidden="true" customHeight="true" outlineLevel="0" collapsed="false">
      <c r="A666" s="106" t="str">
        <f aca="false">IF(_PENDIENTES!$B$660&lt;&gt;"",659,"")</f>
        <v/>
      </c>
      <c r="B666" s="47" t="str">
        <f aca="false">IF(_PENDIENTES!$B$660&lt;&gt;"",_PENDIENTES!$A$660,"")</f>
        <v/>
      </c>
      <c r="C666" s="107" t="str">
        <f aca="false">IF(_PENDIENTES!$B$660&lt;&gt;"",_PENDIENTES!$C$660,"")</f>
        <v/>
      </c>
      <c r="D666" s="106" t="str">
        <f aca="false">IF(_PENDIENTES!$B$660&lt;&gt;"",_PENDIENTES!$D$660,"")</f>
        <v/>
      </c>
      <c r="E666" s="111" t="str">
        <f aca="false">IF(_PENDIENTES!$B$660&lt;&gt;"",_PENDIENTES!$E$660,"")</f>
        <v/>
      </c>
      <c r="F666" s="106" t="str">
        <f aca="false">IF(_PENDIENTES!$B$660&lt;&gt;"",_PENDIENTES!$F$660,"")</f>
        <v/>
      </c>
      <c r="G666" s="50" t="str">
        <f aca="false">IF(_PENDIENTES!$B$660&lt;&gt;"",_PENDIENTES!$G$660,"")</f>
        <v/>
      </c>
      <c r="H666" s="50" t="str">
        <f aca="false">IF(_PENDIENTES!$B$660&lt;&gt;"",_PENDIENTES!$H$660,"")</f>
        <v/>
      </c>
      <c r="I666" s="107" t="str">
        <f aca="false">IF(_PENDIENTES!$B$660&lt;&gt;"",_PENDIENTES!$I$660,"")</f>
        <v/>
      </c>
      <c r="J666" s="106" t="str">
        <f aca="false">IF(_PENDIENTES!$B$660&lt;&gt;"",_PENDIENTES!$J$660,"")</f>
        <v/>
      </c>
      <c r="K666" s="106" t="str">
        <f aca="false">IF(_PENDIENTES!$B$660&lt;&gt;"","POR RECOGER","")</f>
        <v/>
      </c>
      <c r="L666" s="106" t="str">
        <f aca="false">IF(_PENDIENTES!$B$660&lt;&gt;"",_PENDIENTES!$K$660,"")</f>
        <v/>
      </c>
      <c r="M666" s="89" t="str">
        <f aca="false">IF(_PENDIENTES!$B$660&lt;&gt;"",_PENDIENTES!$B$660,"")</f>
        <v/>
      </c>
      <c r="N666" s="109" t="str">
        <f aca="false">IF(_PENDIENTES!$B$660&lt;&gt;"",_PENDIENTES!$L$660,"")</f>
        <v/>
      </c>
      <c r="O666" s="89"/>
      <c r="P666" s="89"/>
      <c r="Q666" s="89"/>
      <c r="R666" s="89"/>
      <c r="S666" s="89"/>
    </row>
    <row r="667" customFormat="false" ht="15.75" hidden="true" customHeight="true" outlineLevel="0" collapsed="false">
      <c r="A667" s="46" t="str">
        <f aca="false">IF(_PENDIENTES!$B$661&lt;&gt;"",660,"")</f>
        <v/>
      </c>
      <c r="B667" s="41" t="str">
        <f aca="false">IF(_PENDIENTES!$B$661&lt;&gt;"",_PENDIENTES!$A$661,"")</f>
        <v/>
      </c>
      <c r="C667" s="110" t="str">
        <f aca="false">IF(_PENDIENTES!$B$661&lt;&gt;"",_PENDIENTES!$C$661,"")</f>
        <v/>
      </c>
      <c r="D667" s="46" t="str">
        <f aca="false">IF(_PENDIENTES!$B$661&lt;&gt;"",_PENDIENTES!$D$661,"")</f>
        <v/>
      </c>
      <c r="E667" s="112" t="str">
        <f aca="false">IF(_PENDIENTES!$B$661&lt;&gt;"",_PENDIENTES!$E$661,"")</f>
        <v/>
      </c>
      <c r="F667" s="46" t="str">
        <f aca="false">IF(_PENDIENTES!$B$661&lt;&gt;"",_PENDIENTES!$F$661,"")</f>
        <v/>
      </c>
      <c r="G667" s="44" t="str">
        <f aca="false">IF(_PENDIENTES!$B$661&lt;&gt;"",_PENDIENTES!$G$661,"")</f>
        <v/>
      </c>
      <c r="H667" s="44" t="str">
        <f aca="false">IF(_PENDIENTES!$B$661&lt;&gt;"",_PENDIENTES!$H$661,"")</f>
        <v/>
      </c>
      <c r="I667" s="110" t="str">
        <f aca="false">IF(_PENDIENTES!$B$661&lt;&gt;"",_PENDIENTES!$I$661,"")</f>
        <v/>
      </c>
      <c r="J667" s="46" t="str">
        <f aca="false">IF(_PENDIENTES!$B$661&lt;&gt;"",_PENDIENTES!$J$661,"")</f>
        <v/>
      </c>
      <c r="K667" s="46" t="str">
        <f aca="false">IF(_PENDIENTES!$B$661&lt;&gt;"","POR RECOGER","")</f>
        <v/>
      </c>
      <c r="L667" s="46" t="str">
        <f aca="false">IF(_PENDIENTES!$B$661&lt;&gt;"",_PENDIENTES!$K$661,"")</f>
        <v/>
      </c>
      <c r="M667" s="89" t="str">
        <f aca="false">IF(_PENDIENTES!$B$661&lt;&gt;"",_PENDIENTES!$B$661,"")</f>
        <v/>
      </c>
      <c r="N667" s="109" t="str">
        <f aca="false">IF(_PENDIENTES!$B$661&lt;&gt;"",_PENDIENTES!$L$661,"")</f>
        <v/>
      </c>
      <c r="O667" s="89"/>
      <c r="P667" s="89"/>
      <c r="Q667" s="89"/>
      <c r="R667" s="89"/>
      <c r="S667" s="89"/>
    </row>
    <row r="668" customFormat="false" ht="15.75" hidden="true" customHeight="true" outlineLevel="0" collapsed="false">
      <c r="A668" s="106" t="str">
        <f aca="false">IF(_PENDIENTES!$B$662&lt;&gt;"",661,"")</f>
        <v/>
      </c>
      <c r="B668" s="47" t="str">
        <f aca="false">IF(_PENDIENTES!$B$662&lt;&gt;"",_PENDIENTES!$A$662,"")</f>
        <v/>
      </c>
      <c r="C668" s="107" t="str">
        <f aca="false">IF(_PENDIENTES!$B$662&lt;&gt;"",_PENDIENTES!$C$662,"")</f>
        <v/>
      </c>
      <c r="D668" s="106" t="str">
        <f aca="false">IF(_PENDIENTES!$B$662&lt;&gt;"",_PENDIENTES!$D$662,"")</f>
        <v/>
      </c>
      <c r="E668" s="111" t="str">
        <f aca="false">IF(_PENDIENTES!$B$662&lt;&gt;"",_PENDIENTES!$E$662,"")</f>
        <v/>
      </c>
      <c r="F668" s="106" t="str">
        <f aca="false">IF(_PENDIENTES!$B$662&lt;&gt;"",_PENDIENTES!$F$662,"")</f>
        <v/>
      </c>
      <c r="G668" s="50" t="str">
        <f aca="false">IF(_PENDIENTES!$B$662&lt;&gt;"",_PENDIENTES!$G$662,"")</f>
        <v/>
      </c>
      <c r="H668" s="50" t="str">
        <f aca="false">IF(_PENDIENTES!$B$662&lt;&gt;"",_PENDIENTES!$H$662,"")</f>
        <v/>
      </c>
      <c r="I668" s="107" t="str">
        <f aca="false">IF(_PENDIENTES!$B$662&lt;&gt;"",_PENDIENTES!$I$662,"")</f>
        <v/>
      </c>
      <c r="J668" s="106" t="str">
        <f aca="false">IF(_PENDIENTES!$B$662&lt;&gt;"",_PENDIENTES!$J$662,"")</f>
        <v/>
      </c>
      <c r="K668" s="106" t="str">
        <f aca="false">IF(_PENDIENTES!$B$662&lt;&gt;"","POR RECOGER","")</f>
        <v/>
      </c>
      <c r="L668" s="106" t="str">
        <f aca="false">IF(_PENDIENTES!$B$662&lt;&gt;"",_PENDIENTES!$K$662,"")</f>
        <v/>
      </c>
      <c r="M668" s="89" t="str">
        <f aca="false">IF(_PENDIENTES!$B$662&lt;&gt;"",_PENDIENTES!$B$662,"")</f>
        <v/>
      </c>
      <c r="N668" s="109" t="str">
        <f aca="false">IF(_PENDIENTES!$B$662&lt;&gt;"",_PENDIENTES!$L$662,"")</f>
        <v/>
      </c>
      <c r="O668" s="89"/>
      <c r="P668" s="89"/>
      <c r="Q668" s="89"/>
      <c r="R668" s="89"/>
      <c r="S668" s="89"/>
    </row>
    <row r="669" customFormat="false" ht="15.75" hidden="true" customHeight="true" outlineLevel="0" collapsed="false">
      <c r="A669" s="46" t="str">
        <f aca="false">IF(_PENDIENTES!$B$663&lt;&gt;"",662,"")</f>
        <v/>
      </c>
      <c r="B669" s="41" t="str">
        <f aca="false">IF(_PENDIENTES!$B$663&lt;&gt;"",_PENDIENTES!$A$663,"")</f>
        <v/>
      </c>
      <c r="C669" s="110" t="str">
        <f aca="false">IF(_PENDIENTES!$B$663&lt;&gt;"",_PENDIENTES!$C$663,"")</f>
        <v/>
      </c>
      <c r="D669" s="46" t="str">
        <f aca="false">IF(_PENDIENTES!$B$663&lt;&gt;"",_PENDIENTES!$D$663,"")</f>
        <v/>
      </c>
      <c r="E669" s="112" t="str">
        <f aca="false">IF(_PENDIENTES!$B$663&lt;&gt;"",_PENDIENTES!$E$663,"")</f>
        <v/>
      </c>
      <c r="F669" s="46" t="str">
        <f aca="false">IF(_PENDIENTES!$B$663&lt;&gt;"",_PENDIENTES!$F$663,"")</f>
        <v/>
      </c>
      <c r="G669" s="44" t="str">
        <f aca="false">IF(_PENDIENTES!$B$663&lt;&gt;"",_PENDIENTES!$G$663,"")</f>
        <v/>
      </c>
      <c r="H669" s="44" t="str">
        <f aca="false">IF(_PENDIENTES!$B$663&lt;&gt;"",_PENDIENTES!$H$663,"")</f>
        <v/>
      </c>
      <c r="I669" s="110" t="str">
        <f aca="false">IF(_PENDIENTES!$B$663&lt;&gt;"",_PENDIENTES!$I$663,"")</f>
        <v/>
      </c>
      <c r="J669" s="46" t="str">
        <f aca="false">IF(_PENDIENTES!$B$663&lt;&gt;"",_PENDIENTES!$J$663,"")</f>
        <v/>
      </c>
      <c r="K669" s="46" t="str">
        <f aca="false">IF(_PENDIENTES!$B$663&lt;&gt;"","POR RECOGER","")</f>
        <v/>
      </c>
      <c r="L669" s="46" t="str">
        <f aca="false">IF(_PENDIENTES!$B$663&lt;&gt;"",_PENDIENTES!$K$663,"")</f>
        <v/>
      </c>
      <c r="M669" s="89" t="str">
        <f aca="false">IF(_PENDIENTES!$B$663&lt;&gt;"",_PENDIENTES!$B$663,"")</f>
        <v/>
      </c>
      <c r="N669" s="109" t="str">
        <f aca="false">IF(_PENDIENTES!$B$663&lt;&gt;"",_PENDIENTES!$L$663,"")</f>
        <v/>
      </c>
      <c r="O669" s="89"/>
      <c r="P669" s="89"/>
      <c r="Q669" s="89"/>
      <c r="R669" s="89"/>
      <c r="S669" s="89"/>
    </row>
    <row r="670" customFormat="false" ht="15.75" hidden="true" customHeight="true" outlineLevel="0" collapsed="false">
      <c r="A670" s="106" t="str">
        <f aca="false">IF(_PENDIENTES!$B$664&lt;&gt;"",663,"")</f>
        <v/>
      </c>
      <c r="B670" s="47" t="str">
        <f aca="false">IF(_PENDIENTES!$B$664&lt;&gt;"",_PENDIENTES!$A$664,"")</f>
        <v/>
      </c>
      <c r="C670" s="107" t="str">
        <f aca="false">IF(_PENDIENTES!$B$664&lt;&gt;"",_PENDIENTES!$C$664,"")</f>
        <v/>
      </c>
      <c r="D670" s="106" t="str">
        <f aca="false">IF(_PENDIENTES!$B$664&lt;&gt;"",_PENDIENTES!$D$664,"")</f>
        <v/>
      </c>
      <c r="E670" s="111" t="str">
        <f aca="false">IF(_PENDIENTES!$B$664&lt;&gt;"",_PENDIENTES!$E$664,"")</f>
        <v/>
      </c>
      <c r="F670" s="106" t="str">
        <f aca="false">IF(_PENDIENTES!$B$664&lt;&gt;"",_PENDIENTES!$F$664,"")</f>
        <v/>
      </c>
      <c r="G670" s="50" t="str">
        <f aca="false">IF(_PENDIENTES!$B$664&lt;&gt;"",_PENDIENTES!$G$664,"")</f>
        <v/>
      </c>
      <c r="H670" s="50" t="str">
        <f aca="false">IF(_PENDIENTES!$B$664&lt;&gt;"",_PENDIENTES!$H$664,"")</f>
        <v/>
      </c>
      <c r="I670" s="107" t="str">
        <f aca="false">IF(_PENDIENTES!$B$664&lt;&gt;"",_PENDIENTES!$I$664,"")</f>
        <v/>
      </c>
      <c r="J670" s="106" t="str">
        <f aca="false">IF(_PENDIENTES!$B$664&lt;&gt;"",_PENDIENTES!$J$664,"")</f>
        <v/>
      </c>
      <c r="K670" s="106" t="str">
        <f aca="false">IF(_PENDIENTES!$B$664&lt;&gt;"","POR RECOGER","")</f>
        <v/>
      </c>
      <c r="L670" s="106" t="str">
        <f aca="false">IF(_PENDIENTES!$B$664&lt;&gt;"",_PENDIENTES!$K$664,"")</f>
        <v/>
      </c>
      <c r="M670" s="89" t="str">
        <f aca="false">IF(_PENDIENTES!$B$664&lt;&gt;"",_PENDIENTES!$B$664,"")</f>
        <v/>
      </c>
      <c r="N670" s="109" t="str">
        <f aca="false">IF(_PENDIENTES!$B$664&lt;&gt;"",_PENDIENTES!$L$664,"")</f>
        <v/>
      </c>
      <c r="O670" s="89"/>
      <c r="P670" s="89"/>
      <c r="Q670" s="89"/>
      <c r="R670" s="89"/>
      <c r="S670" s="89"/>
    </row>
    <row r="671" customFormat="false" ht="15.75" hidden="true" customHeight="true" outlineLevel="0" collapsed="false">
      <c r="A671" s="46" t="str">
        <f aca="false">IF(_PENDIENTES!$B$665&lt;&gt;"",664,"")</f>
        <v/>
      </c>
      <c r="B671" s="41" t="str">
        <f aca="false">IF(_PENDIENTES!$B$665&lt;&gt;"",_PENDIENTES!$A$665,"")</f>
        <v/>
      </c>
      <c r="C671" s="110" t="str">
        <f aca="false">IF(_PENDIENTES!$B$665&lt;&gt;"",_PENDIENTES!$C$665,"")</f>
        <v/>
      </c>
      <c r="D671" s="46" t="str">
        <f aca="false">IF(_PENDIENTES!$B$665&lt;&gt;"",_PENDIENTES!$D$665,"")</f>
        <v/>
      </c>
      <c r="E671" s="112" t="str">
        <f aca="false">IF(_PENDIENTES!$B$665&lt;&gt;"",_PENDIENTES!$E$665,"")</f>
        <v/>
      </c>
      <c r="F671" s="46" t="str">
        <f aca="false">IF(_PENDIENTES!$B$665&lt;&gt;"",_PENDIENTES!$F$665,"")</f>
        <v/>
      </c>
      <c r="G671" s="44" t="str">
        <f aca="false">IF(_PENDIENTES!$B$665&lt;&gt;"",_PENDIENTES!$G$665,"")</f>
        <v/>
      </c>
      <c r="H671" s="44" t="str">
        <f aca="false">IF(_PENDIENTES!$B$665&lt;&gt;"",_PENDIENTES!$H$665,"")</f>
        <v/>
      </c>
      <c r="I671" s="110" t="str">
        <f aca="false">IF(_PENDIENTES!$B$665&lt;&gt;"",_PENDIENTES!$I$665,"")</f>
        <v/>
      </c>
      <c r="J671" s="46" t="str">
        <f aca="false">IF(_PENDIENTES!$B$665&lt;&gt;"",_PENDIENTES!$J$665,"")</f>
        <v/>
      </c>
      <c r="K671" s="46" t="str">
        <f aca="false">IF(_PENDIENTES!$B$665&lt;&gt;"","POR RECOGER","")</f>
        <v/>
      </c>
      <c r="L671" s="46" t="str">
        <f aca="false">IF(_PENDIENTES!$B$665&lt;&gt;"",_PENDIENTES!$K$665,"")</f>
        <v/>
      </c>
      <c r="M671" s="89" t="str">
        <f aca="false">IF(_PENDIENTES!$B$665&lt;&gt;"",_PENDIENTES!$B$665,"")</f>
        <v/>
      </c>
      <c r="N671" s="109" t="str">
        <f aca="false">IF(_PENDIENTES!$B$665&lt;&gt;"",_PENDIENTES!$L$665,"")</f>
        <v/>
      </c>
      <c r="O671" s="89"/>
      <c r="P671" s="89"/>
      <c r="Q671" s="89"/>
      <c r="R671" s="89"/>
      <c r="S671" s="89"/>
    </row>
    <row r="672" customFormat="false" ht="15.75" hidden="true" customHeight="true" outlineLevel="0" collapsed="false">
      <c r="A672" s="106" t="str">
        <f aca="false">IF(_PENDIENTES!$B$666&lt;&gt;"",665,"")</f>
        <v/>
      </c>
      <c r="B672" s="47" t="str">
        <f aca="false">IF(_PENDIENTES!$B$666&lt;&gt;"",_PENDIENTES!$A$666,"")</f>
        <v/>
      </c>
      <c r="C672" s="107" t="str">
        <f aca="false">IF(_PENDIENTES!$B$666&lt;&gt;"",_PENDIENTES!$C$666,"")</f>
        <v/>
      </c>
      <c r="D672" s="106" t="str">
        <f aca="false">IF(_PENDIENTES!$B$666&lt;&gt;"",_PENDIENTES!$D$666,"")</f>
        <v/>
      </c>
      <c r="E672" s="111" t="str">
        <f aca="false">IF(_PENDIENTES!$B$666&lt;&gt;"",_PENDIENTES!$E$666,"")</f>
        <v/>
      </c>
      <c r="F672" s="106" t="str">
        <f aca="false">IF(_PENDIENTES!$B$666&lt;&gt;"",_PENDIENTES!$F$666,"")</f>
        <v/>
      </c>
      <c r="G672" s="50" t="str">
        <f aca="false">IF(_PENDIENTES!$B$666&lt;&gt;"",_PENDIENTES!$G$666,"")</f>
        <v/>
      </c>
      <c r="H672" s="50" t="str">
        <f aca="false">IF(_PENDIENTES!$B$666&lt;&gt;"",_PENDIENTES!$H$666,"")</f>
        <v/>
      </c>
      <c r="I672" s="107" t="str">
        <f aca="false">IF(_PENDIENTES!$B$666&lt;&gt;"",_PENDIENTES!$I$666,"")</f>
        <v/>
      </c>
      <c r="J672" s="106" t="str">
        <f aca="false">IF(_PENDIENTES!$B$666&lt;&gt;"",_PENDIENTES!$J$666,"")</f>
        <v/>
      </c>
      <c r="K672" s="106" t="str">
        <f aca="false">IF(_PENDIENTES!$B$666&lt;&gt;"","POR RECOGER","")</f>
        <v/>
      </c>
      <c r="L672" s="106" t="str">
        <f aca="false">IF(_PENDIENTES!$B$666&lt;&gt;"",_PENDIENTES!$K$666,"")</f>
        <v/>
      </c>
      <c r="M672" s="89" t="str">
        <f aca="false">IF(_PENDIENTES!$B$666&lt;&gt;"",_PENDIENTES!$B$666,"")</f>
        <v/>
      </c>
      <c r="N672" s="109" t="str">
        <f aca="false">IF(_PENDIENTES!$B$666&lt;&gt;"",_PENDIENTES!$L$666,"")</f>
        <v/>
      </c>
      <c r="O672" s="89"/>
      <c r="P672" s="89"/>
      <c r="Q672" s="89"/>
      <c r="R672" s="89"/>
      <c r="S672" s="89"/>
    </row>
    <row r="673" customFormat="false" ht="15.75" hidden="true" customHeight="true" outlineLevel="0" collapsed="false">
      <c r="A673" s="46" t="str">
        <f aca="false">IF(_PENDIENTES!$B$667&lt;&gt;"",666,"")</f>
        <v/>
      </c>
      <c r="B673" s="41" t="str">
        <f aca="false">IF(_PENDIENTES!$B$667&lt;&gt;"",_PENDIENTES!$A$667,"")</f>
        <v/>
      </c>
      <c r="C673" s="110" t="str">
        <f aca="false">IF(_PENDIENTES!$B$667&lt;&gt;"",_PENDIENTES!$C$667,"")</f>
        <v/>
      </c>
      <c r="D673" s="46" t="str">
        <f aca="false">IF(_PENDIENTES!$B$667&lt;&gt;"",_PENDIENTES!$D$667,"")</f>
        <v/>
      </c>
      <c r="E673" s="112" t="str">
        <f aca="false">IF(_PENDIENTES!$B$667&lt;&gt;"",_PENDIENTES!$E$667,"")</f>
        <v/>
      </c>
      <c r="F673" s="46" t="str">
        <f aca="false">IF(_PENDIENTES!$B$667&lt;&gt;"",_PENDIENTES!$F$667,"")</f>
        <v/>
      </c>
      <c r="G673" s="44" t="str">
        <f aca="false">IF(_PENDIENTES!$B$667&lt;&gt;"",_PENDIENTES!$G$667,"")</f>
        <v/>
      </c>
      <c r="H673" s="44" t="str">
        <f aca="false">IF(_PENDIENTES!$B$667&lt;&gt;"",_PENDIENTES!$H$667,"")</f>
        <v/>
      </c>
      <c r="I673" s="110" t="str">
        <f aca="false">IF(_PENDIENTES!$B$667&lt;&gt;"",_PENDIENTES!$I$667,"")</f>
        <v/>
      </c>
      <c r="J673" s="46" t="str">
        <f aca="false">IF(_PENDIENTES!$B$667&lt;&gt;"",_PENDIENTES!$J$667,"")</f>
        <v/>
      </c>
      <c r="K673" s="46" t="str">
        <f aca="false">IF(_PENDIENTES!$B$667&lt;&gt;"","POR RECOGER","")</f>
        <v/>
      </c>
      <c r="L673" s="46" t="str">
        <f aca="false">IF(_PENDIENTES!$B$667&lt;&gt;"",_PENDIENTES!$K$667,"")</f>
        <v/>
      </c>
      <c r="M673" s="89" t="str">
        <f aca="false">IF(_PENDIENTES!$B$667&lt;&gt;"",_PENDIENTES!$B$667,"")</f>
        <v/>
      </c>
      <c r="N673" s="109" t="str">
        <f aca="false">IF(_PENDIENTES!$B$667&lt;&gt;"",_PENDIENTES!$L$667,"")</f>
        <v/>
      </c>
      <c r="O673" s="89"/>
      <c r="P673" s="89"/>
      <c r="Q673" s="89"/>
      <c r="R673" s="89"/>
      <c r="S673" s="89"/>
    </row>
    <row r="674" customFormat="false" ht="15.75" hidden="true" customHeight="true" outlineLevel="0" collapsed="false">
      <c r="A674" s="106" t="str">
        <f aca="false">IF(_PENDIENTES!$B$668&lt;&gt;"",667,"")</f>
        <v/>
      </c>
      <c r="B674" s="47" t="str">
        <f aca="false">IF(_PENDIENTES!$B$668&lt;&gt;"",_PENDIENTES!$A$668,"")</f>
        <v/>
      </c>
      <c r="C674" s="107" t="str">
        <f aca="false">IF(_PENDIENTES!$B$668&lt;&gt;"",_PENDIENTES!$C$668,"")</f>
        <v/>
      </c>
      <c r="D674" s="106" t="str">
        <f aca="false">IF(_PENDIENTES!$B$668&lt;&gt;"",_PENDIENTES!$D$668,"")</f>
        <v/>
      </c>
      <c r="E674" s="111" t="str">
        <f aca="false">IF(_PENDIENTES!$B$668&lt;&gt;"",_PENDIENTES!$E$668,"")</f>
        <v/>
      </c>
      <c r="F674" s="106" t="str">
        <f aca="false">IF(_PENDIENTES!$B$668&lt;&gt;"",_PENDIENTES!$F$668,"")</f>
        <v/>
      </c>
      <c r="G674" s="50" t="str">
        <f aca="false">IF(_PENDIENTES!$B$668&lt;&gt;"",_PENDIENTES!$G$668,"")</f>
        <v/>
      </c>
      <c r="H674" s="50" t="str">
        <f aca="false">IF(_PENDIENTES!$B$668&lt;&gt;"",_PENDIENTES!$H$668,"")</f>
        <v/>
      </c>
      <c r="I674" s="107" t="str">
        <f aca="false">IF(_PENDIENTES!$B$668&lt;&gt;"",_PENDIENTES!$I$668,"")</f>
        <v/>
      </c>
      <c r="J674" s="106" t="str">
        <f aca="false">IF(_PENDIENTES!$B$668&lt;&gt;"",_PENDIENTES!$J$668,"")</f>
        <v/>
      </c>
      <c r="K674" s="106" t="str">
        <f aca="false">IF(_PENDIENTES!$B$668&lt;&gt;"","POR RECOGER","")</f>
        <v/>
      </c>
      <c r="L674" s="106" t="str">
        <f aca="false">IF(_PENDIENTES!$B$668&lt;&gt;"",_PENDIENTES!$K$668,"")</f>
        <v/>
      </c>
      <c r="M674" s="89" t="str">
        <f aca="false">IF(_PENDIENTES!$B$668&lt;&gt;"",_PENDIENTES!$B$668,"")</f>
        <v/>
      </c>
      <c r="N674" s="109" t="str">
        <f aca="false">IF(_PENDIENTES!$B$668&lt;&gt;"",_PENDIENTES!$L$668,"")</f>
        <v/>
      </c>
      <c r="O674" s="89"/>
      <c r="P674" s="89"/>
      <c r="Q674" s="89"/>
      <c r="R674" s="89"/>
      <c r="S674" s="89"/>
    </row>
    <row r="675" customFormat="false" ht="15.75" hidden="true" customHeight="true" outlineLevel="0" collapsed="false">
      <c r="A675" s="46" t="str">
        <f aca="false">IF(_PENDIENTES!$B$669&lt;&gt;"",668,"")</f>
        <v/>
      </c>
      <c r="B675" s="41" t="str">
        <f aca="false">IF(_PENDIENTES!$B$669&lt;&gt;"",_PENDIENTES!$A$669,"")</f>
        <v/>
      </c>
      <c r="C675" s="110" t="str">
        <f aca="false">IF(_PENDIENTES!$B$669&lt;&gt;"",_PENDIENTES!$C$669,"")</f>
        <v/>
      </c>
      <c r="D675" s="46" t="str">
        <f aca="false">IF(_PENDIENTES!$B$669&lt;&gt;"",_PENDIENTES!$D$669,"")</f>
        <v/>
      </c>
      <c r="E675" s="112" t="str">
        <f aca="false">IF(_PENDIENTES!$B$669&lt;&gt;"",_PENDIENTES!$E$669,"")</f>
        <v/>
      </c>
      <c r="F675" s="46" t="str">
        <f aca="false">IF(_PENDIENTES!$B$669&lt;&gt;"",_PENDIENTES!$F$669,"")</f>
        <v/>
      </c>
      <c r="G675" s="44" t="str">
        <f aca="false">IF(_PENDIENTES!$B$669&lt;&gt;"",_PENDIENTES!$G$669,"")</f>
        <v/>
      </c>
      <c r="H675" s="44" t="str">
        <f aca="false">IF(_PENDIENTES!$B$669&lt;&gt;"",_PENDIENTES!$H$669,"")</f>
        <v/>
      </c>
      <c r="I675" s="110" t="str">
        <f aca="false">IF(_PENDIENTES!$B$669&lt;&gt;"",_PENDIENTES!$I$669,"")</f>
        <v/>
      </c>
      <c r="J675" s="46" t="str">
        <f aca="false">IF(_PENDIENTES!$B$669&lt;&gt;"",_PENDIENTES!$J$669,"")</f>
        <v/>
      </c>
      <c r="K675" s="46" t="str">
        <f aca="false">IF(_PENDIENTES!$B$669&lt;&gt;"","POR RECOGER","")</f>
        <v/>
      </c>
      <c r="L675" s="46" t="str">
        <f aca="false">IF(_PENDIENTES!$B$669&lt;&gt;"",_PENDIENTES!$K$669,"")</f>
        <v/>
      </c>
      <c r="M675" s="89" t="str">
        <f aca="false">IF(_PENDIENTES!$B$669&lt;&gt;"",_PENDIENTES!$B$669,"")</f>
        <v/>
      </c>
      <c r="N675" s="109" t="str">
        <f aca="false">IF(_PENDIENTES!$B$669&lt;&gt;"",_PENDIENTES!$L$669,"")</f>
        <v/>
      </c>
      <c r="O675" s="89"/>
      <c r="P675" s="89"/>
      <c r="Q675" s="89"/>
      <c r="R675" s="89"/>
      <c r="S675" s="89"/>
    </row>
    <row r="676" customFormat="false" ht="15.75" hidden="true" customHeight="true" outlineLevel="0" collapsed="false">
      <c r="A676" s="106" t="str">
        <f aca="false">IF(_PENDIENTES!$B$670&lt;&gt;"",669,"")</f>
        <v/>
      </c>
      <c r="B676" s="47" t="str">
        <f aca="false">IF(_PENDIENTES!$B$670&lt;&gt;"",_PENDIENTES!$A$670,"")</f>
        <v/>
      </c>
      <c r="C676" s="107" t="str">
        <f aca="false">IF(_PENDIENTES!$B$670&lt;&gt;"",_PENDIENTES!$C$670,"")</f>
        <v/>
      </c>
      <c r="D676" s="106" t="str">
        <f aca="false">IF(_PENDIENTES!$B$670&lt;&gt;"",_PENDIENTES!$D$670,"")</f>
        <v/>
      </c>
      <c r="E676" s="111" t="str">
        <f aca="false">IF(_PENDIENTES!$B$670&lt;&gt;"",_PENDIENTES!$E$670,"")</f>
        <v/>
      </c>
      <c r="F676" s="106" t="str">
        <f aca="false">IF(_PENDIENTES!$B$670&lt;&gt;"",_PENDIENTES!$F$670,"")</f>
        <v/>
      </c>
      <c r="G676" s="50" t="str">
        <f aca="false">IF(_PENDIENTES!$B$670&lt;&gt;"",_PENDIENTES!$G$670,"")</f>
        <v/>
      </c>
      <c r="H676" s="50" t="str">
        <f aca="false">IF(_PENDIENTES!$B$670&lt;&gt;"",_PENDIENTES!$H$670,"")</f>
        <v/>
      </c>
      <c r="I676" s="107" t="str">
        <f aca="false">IF(_PENDIENTES!$B$670&lt;&gt;"",_PENDIENTES!$I$670,"")</f>
        <v/>
      </c>
      <c r="J676" s="106" t="str">
        <f aca="false">IF(_PENDIENTES!$B$670&lt;&gt;"",_PENDIENTES!$J$670,"")</f>
        <v/>
      </c>
      <c r="K676" s="106" t="str">
        <f aca="false">IF(_PENDIENTES!$B$670&lt;&gt;"","POR RECOGER","")</f>
        <v/>
      </c>
      <c r="L676" s="106" t="str">
        <f aca="false">IF(_PENDIENTES!$B$670&lt;&gt;"",_PENDIENTES!$K$670,"")</f>
        <v/>
      </c>
      <c r="M676" s="89" t="str">
        <f aca="false">IF(_PENDIENTES!$B$670&lt;&gt;"",_PENDIENTES!$B$670,"")</f>
        <v/>
      </c>
      <c r="N676" s="109" t="str">
        <f aca="false">IF(_PENDIENTES!$B$670&lt;&gt;"",_PENDIENTES!$L$670,"")</f>
        <v/>
      </c>
      <c r="O676" s="89"/>
      <c r="P676" s="89"/>
      <c r="Q676" s="89"/>
      <c r="R676" s="89"/>
      <c r="S676" s="89"/>
    </row>
    <row r="677" customFormat="false" ht="15.75" hidden="true" customHeight="true" outlineLevel="0" collapsed="false">
      <c r="A677" s="46" t="str">
        <f aca="false">IF(_PENDIENTES!$B$671&lt;&gt;"",670,"")</f>
        <v/>
      </c>
      <c r="B677" s="41" t="str">
        <f aca="false">IF(_PENDIENTES!$B$671&lt;&gt;"",_PENDIENTES!$A$671,"")</f>
        <v/>
      </c>
      <c r="C677" s="110" t="str">
        <f aca="false">IF(_PENDIENTES!$B$671&lt;&gt;"",_PENDIENTES!$C$671,"")</f>
        <v/>
      </c>
      <c r="D677" s="46" t="str">
        <f aca="false">IF(_PENDIENTES!$B$671&lt;&gt;"",_PENDIENTES!$D$671,"")</f>
        <v/>
      </c>
      <c r="E677" s="112" t="str">
        <f aca="false">IF(_PENDIENTES!$B$671&lt;&gt;"",_PENDIENTES!$E$671,"")</f>
        <v/>
      </c>
      <c r="F677" s="46" t="str">
        <f aca="false">IF(_PENDIENTES!$B$671&lt;&gt;"",_PENDIENTES!$F$671,"")</f>
        <v/>
      </c>
      <c r="G677" s="44" t="str">
        <f aca="false">IF(_PENDIENTES!$B$671&lt;&gt;"",_PENDIENTES!$G$671,"")</f>
        <v/>
      </c>
      <c r="H677" s="44" t="str">
        <f aca="false">IF(_PENDIENTES!$B$671&lt;&gt;"",_PENDIENTES!$H$671,"")</f>
        <v/>
      </c>
      <c r="I677" s="110" t="str">
        <f aca="false">IF(_PENDIENTES!$B$671&lt;&gt;"",_PENDIENTES!$I$671,"")</f>
        <v/>
      </c>
      <c r="J677" s="46" t="str">
        <f aca="false">IF(_PENDIENTES!$B$671&lt;&gt;"",_PENDIENTES!$J$671,"")</f>
        <v/>
      </c>
      <c r="K677" s="46" t="str">
        <f aca="false">IF(_PENDIENTES!$B$671&lt;&gt;"","POR RECOGER","")</f>
        <v/>
      </c>
      <c r="L677" s="46" t="str">
        <f aca="false">IF(_PENDIENTES!$B$671&lt;&gt;"",_PENDIENTES!$K$671,"")</f>
        <v/>
      </c>
      <c r="M677" s="89" t="str">
        <f aca="false">IF(_PENDIENTES!$B$671&lt;&gt;"",_PENDIENTES!$B$671,"")</f>
        <v/>
      </c>
      <c r="N677" s="109" t="str">
        <f aca="false">IF(_PENDIENTES!$B$671&lt;&gt;"",_PENDIENTES!$L$671,"")</f>
        <v/>
      </c>
      <c r="O677" s="89"/>
      <c r="P677" s="89"/>
      <c r="Q677" s="89"/>
      <c r="R677" s="89"/>
      <c r="S677" s="89"/>
    </row>
    <row r="678" customFormat="false" ht="15.75" hidden="true" customHeight="true" outlineLevel="0" collapsed="false">
      <c r="A678" s="106" t="str">
        <f aca="false">IF(_PENDIENTES!$B$672&lt;&gt;"",671,"")</f>
        <v/>
      </c>
      <c r="B678" s="47" t="str">
        <f aca="false">IF(_PENDIENTES!$B$672&lt;&gt;"",_PENDIENTES!$A$672,"")</f>
        <v/>
      </c>
      <c r="C678" s="107" t="str">
        <f aca="false">IF(_PENDIENTES!$B$672&lt;&gt;"",_PENDIENTES!$C$672,"")</f>
        <v/>
      </c>
      <c r="D678" s="106" t="str">
        <f aca="false">IF(_PENDIENTES!$B$672&lt;&gt;"",_PENDIENTES!$D$672,"")</f>
        <v/>
      </c>
      <c r="E678" s="111" t="str">
        <f aca="false">IF(_PENDIENTES!$B$672&lt;&gt;"",_PENDIENTES!$E$672,"")</f>
        <v/>
      </c>
      <c r="F678" s="106" t="str">
        <f aca="false">IF(_PENDIENTES!$B$672&lt;&gt;"",_PENDIENTES!$F$672,"")</f>
        <v/>
      </c>
      <c r="G678" s="50" t="str">
        <f aca="false">IF(_PENDIENTES!$B$672&lt;&gt;"",_PENDIENTES!$G$672,"")</f>
        <v/>
      </c>
      <c r="H678" s="50" t="str">
        <f aca="false">IF(_PENDIENTES!$B$672&lt;&gt;"",_PENDIENTES!$H$672,"")</f>
        <v/>
      </c>
      <c r="I678" s="107" t="str">
        <f aca="false">IF(_PENDIENTES!$B$672&lt;&gt;"",_PENDIENTES!$I$672,"")</f>
        <v/>
      </c>
      <c r="J678" s="106" t="str">
        <f aca="false">IF(_PENDIENTES!$B$672&lt;&gt;"",_PENDIENTES!$J$672,"")</f>
        <v/>
      </c>
      <c r="K678" s="106" t="str">
        <f aca="false">IF(_PENDIENTES!$B$672&lt;&gt;"","POR RECOGER","")</f>
        <v/>
      </c>
      <c r="L678" s="106" t="str">
        <f aca="false">IF(_PENDIENTES!$B$672&lt;&gt;"",_PENDIENTES!$K$672,"")</f>
        <v/>
      </c>
      <c r="M678" s="89" t="str">
        <f aca="false">IF(_PENDIENTES!$B$672&lt;&gt;"",_PENDIENTES!$B$672,"")</f>
        <v/>
      </c>
      <c r="N678" s="109" t="str">
        <f aca="false">IF(_PENDIENTES!$B$672&lt;&gt;"",_PENDIENTES!$L$672,"")</f>
        <v/>
      </c>
      <c r="O678" s="89"/>
      <c r="P678" s="89"/>
      <c r="Q678" s="89"/>
      <c r="R678" s="89"/>
      <c r="S678" s="89"/>
    </row>
    <row r="679" customFormat="false" ht="15.75" hidden="true" customHeight="true" outlineLevel="0" collapsed="false">
      <c r="A679" s="46" t="str">
        <f aca="false">IF(_PENDIENTES!$B$673&lt;&gt;"",672,"")</f>
        <v/>
      </c>
      <c r="B679" s="41" t="str">
        <f aca="false">IF(_PENDIENTES!$B$673&lt;&gt;"",_PENDIENTES!$A$673,"")</f>
        <v/>
      </c>
      <c r="C679" s="110" t="str">
        <f aca="false">IF(_PENDIENTES!$B$673&lt;&gt;"",_PENDIENTES!$C$673,"")</f>
        <v/>
      </c>
      <c r="D679" s="46" t="str">
        <f aca="false">IF(_PENDIENTES!$B$673&lt;&gt;"",_PENDIENTES!$D$673,"")</f>
        <v/>
      </c>
      <c r="E679" s="112" t="str">
        <f aca="false">IF(_PENDIENTES!$B$673&lt;&gt;"",_PENDIENTES!$E$673,"")</f>
        <v/>
      </c>
      <c r="F679" s="46" t="str">
        <f aca="false">IF(_PENDIENTES!$B$673&lt;&gt;"",_PENDIENTES!$F$673,"")</f>
        <v/>
      </c>
      <c r="G679" s="44" t="str">
        <f aca="false">IF(_PENDIENTES!$B$673&lt;&gt;"",_PENDIENTES!$G$673,"")</f>
        <v/>
      </c>
      <c r="H679" s="44" t="str">
        <f aca="false">IF(_PENDIENTES!$B$673&lt;&gt;"",_PENDIENTES!$H$673,"")</f>
        <v/>
      </c>
      <c r="I679" s="110" t="str">
        <f aca="false">IF(_PENDIENTES!$B$673&lt;&gt;"",_PENDIENTES!$I$673,"")</f>
        <v/>
      </c>
      <c r="J679" s="46" t="str">
        <f aca="false">IF(_PENDIENTES!$B$673&lt;&gt;"",_PENDIENTES!$J$673,"")</f>
        <v/>
      </c>
      <c r="K679" s="46" t="str">
        <f aca="false">IF(_PENDIENTES!$B$673&lt;&gt;"","POR RECOGER","")</f>
        <v/>
      </c>
      <c r="L679" s="46" t="str">
        <f aca="false">IF(_PENDIENTES!$B$673&lt;&gt;"",_PENDIENTES!$K$673,"")</f>
        <v/>
      </c>
      <c r="M679" s="89" t="str">
        <f aca="false">IF(_PENDIENTES!$B$673&lt;&gt;"",_PENDIENTES!$B$673,"")</f>
        <v/>
      </c>
      <c r="N679" s="109" t="str">
        <f aca="false">IF(_PENDIENTES!$B$673&lt;&gt;"",_PENDIENTES!$L$673,"")</f>
        <v/>
      </c>
      <c r="O679" s="89"/>
      <c r="P679" s="89"/>
      <c r="Q679" s="89"/>
      <c r="R679" s="89"/>
      <c r="S679" s="89"/>
    </row>
    <row r="680" customFormat="false" ht="15.75" hidden="true" customHeight="true" outlineLevel="0" collapsed="false">
      <c r="A680" s="106" t="str">
        <f aca="false">IF(_PENDIENTES!$B$674&lt;&gt;"",673,"")</f>
        <v/>
      </c>
      <c r="B680" s="47" t="str">
        <f aca="false">IF(_PENDIENTES!$B$674&lt;&gt;"",_PENDIENTES!$A$674,"")</f>
        <v/>
      </c>
      <c r="C680" s="107" t="str">
        <f aca="false">IF(_PENDIENTES!$B$674&lt;&gt;"",_PENDIENTES!$C$674,"")</f>
        <v/>
      </c>
      <c r="D680" s="106" t="str">
        <f aca="false">IF(_PENDIENTES!$B$674&lt;&gt;"",_PENDIENTES!$D$674,"")</f>
        <v/>
      </c>
      <c r="E680" s="111" t="str">
        <f aca="false">IF(_PENDIENTES!$B$674&lt;&gt;"",_PENDIENTES!$E$674,"")</f>
        <v/>
      </c>
      <c r="F680" s="106" t="str">
        <f aca="false">IF(_PENDIENTES!$B$674&lt;&gt;"",_PENDIENTES!$F$674,"")</f>
        <v/>
      </c>
      <c r="G680" s="50" t="str">
        <f aca="false">IF(_PENDIENTES!$B$674&lt;&gt;"",_PENDIENTES!$G$674,"")</f>
        <v/>
      </c>
      <c r="H680" s="50" t="str">
        <f aca="false">IF(_PENDIENTES!$B$674&lt;&gt;"",_PENDIENTES!$H$674,"")</f>
        <v/>
      </c>
      <c r="I680" s="107" t="str">
        <f aca="false">IF(_PENDIENTES!$B$674&lt;&gt;"",_PENDIENTES!$I$674,"")</f>
        <v/>
      </c>
      <c r="J680" s="106" t="str">
        <f aca="false">IF(_PENDIENTES!$B$674&lt;&gt;"",_PENDIENTES!$J$674,"")</f>
        <v/>
      </c>
      <c r="K680" s="106" t="str">
        <f aca="false">IF(_PENDIENTES!$B$674&lt;&gt;"","POR RECOGER","")</f>
        <v/>
      </c>
      <c r="L680" s="106" t="str">
        <f aca="false">IF(_PENDIENTES!$B$674&lt;&gt;"",_PENDIENTES!$K$674,"")</f>
        <v/>
      </c>
      <c r="M680" s="89" t="str">
        <f aca="false">IF(_PENDIENTES!$B$674&lt;&gt;"",_PENDIENTES!$B$674,"")</f>
        <v/>
      </c>
      <c r="N680" s="109" t="str">
        <f aca="false">IF(_PENDIENTES!$B$674&lt;&gt;"",_PENDIENTES!$L$674,"")</f>
        <v/>
      </c>
      <c r="O680" s="89"/>
      <c r="P680" s="89"/>
      <c r="Q680" s="89"/>
      <c r="R680" s="89"/>
      <c r="S680" s="89"/>
    </row>
    <row r="681" customFormat="false" ht="15.75" hidden="true" customHeight="true" outlineLevel="0" collapsed="false">
      <c r="A681" s="46" t="str">
        <f aca="false">IF(_PENDIENTES!$B$675&lt;&gt;"",674,"")</f>
        <v/>
      </c>
      <c r="B681" s="41" t="str">
        <f aca="false">IF(_PENDIENTES!$B$675&lt;&gt;"",_PENDIENTES!$A$675,"")</f>
        <v/>
      </c>
      <c r="C681" s="110" t="str">
        <f aca="false">IF(_PENDIENTES!$B$675&lt;&gt;"",_PENDIENTES!$C$675,"")</f>
        <v/>
      </c>
      <c r="D681" s="46" t="str">
        <f aca="false">IF(_PENDIENTES!$B$675&lt;&gt;"",_PENDIENTES!$D$675,"")</f>
        <v/>
      </c>
      <c r="E681" s="112" t="str">
        <f aca="false">IF(_PENDIENTES!$B$675&lt;&gt;"",_PENDIENTES!$E$675,"")</f>
        <v/>
      </c>
      <c r="F681" s="46" t="str">
        <f aca="false">IF(_PENDIENTES!$B$675&lt;&gt;"",_PENDIENTES!$F$675,"")</f>
        <v/>
      </c>
      <c r="G681" s="44" t="str">
        <f aca="false">IF(_PENDIENTES!$B$675&lt;&gt;"",_PENDIENTES!$G$675,"")</f>
        <v/>
      </c>
      <c r="H681" s="44" t="str">
        <f aca="false">IF(_PENDIENTES!$B$675&lt;&gt;"",_PENDIENTES!$H$675,"")</f>
        <v/>
      </c>
      <c r="I681" s="110" t="str">
        <f aca="false">IF(_PENDIENTES!$B$675&lt;&gt;"",_PENDIENTES!$I$675,"")</f>
        <v/>
      </c>
      <c r="J681" s="46" t="str">
        <f aca="false">IF(_PENDIENTES!$B$675&lt;&gt;"",_PENDIENTES!$J$675,"")</f>
        <v/>
      </c>
      <c r="K681" s="46" t="str">
        <f aca="false">IF(_PENDIENTES!$B$675&lt;&gt;"","POR RECOGER","")</f>
        <v/>
      </c>
      <c r="L681" s="46" t="str">
        <f aca="false">IF(_PENDIENTES!$B$675&lt;&gt;"",_PENDIENTES!$K$675,"")</f>
        <v/>
      </c>
      <c r="M681" s="89" t="str">
        <f aca="false">IF(_PENDIENTES!$B$675&lt;&gt;"",_PENDIENTES!$B$675,"")</f>
        <v/>
      </c>
      <c r="N681" s="109" t="str">
        <f aca="false">IF(_PENDIENTES!$B$675&lt;&gt;"",_PENDIENTES!$L$675,"")</f>
        <v/>
      </c>
      <c r="O681" s="89"/>
      <c r="P681" s="89"/>
      <c r="Q681" s="89"/>
      <c r="R681" s="89"/>
      <c r="S681" s="89"/>
    </row>
    <row r="682" customFormat="false" ht="15.75" hidden="true" customHeight="true" outlineLevel="0" collapsed="false">
      <c r="A682" s="106" t="str">
        <f aca="false">IF(_PENDIENTES!$B$676&lt;&gt;"",675,"")</f>
        <v/>
      </c>
      <c r="B682" s="47" t="str">
        <f aca="false">IF(_PENDIENTES!$B$676&lt;&gt;"",_PENDIENTES!$A$676,"")</f>
        <v/>
      </c>
      <c r="C682" s="107" t="str">
        <f aca="false">IF(_PENDIENTES!$B$676&lt;&gt;"",_PENDIENTES!$C$676,"")</f>
        <v/>
      </c>
      <c r="D682" s="106" t="str">
        <f aca="false">IF(_PENDIENTES!$B$676&lt;&gt;"",_PENDIENTES!$D$676,"")</f>
        <v/>
      </c>
      <c r="E682" s="111" t="str">
        <f aca="false">IF(_PENDIENTES!$B$676&lt;&gt;"",_PENDIENTES!$E$676,"")</f>
        <v/>
      </c>
      <c r="F682" s="106" t="str">
        <f aca="false">IF(_PENDIENTES!$B$676&lt;&gt;"",_PENDIENTES!$F$676,"")</f>
        <v/>
      </c>
      <c r="G682" s="50" t="str">
        <f aca="false">IF(_PENDIENTES!$B$676&lt;&gt;"",_PENDIENTES!$G$676,"")</f>
        <v/>
      </c>
      <c r="H682" s="50" t="str">
        <f aca="false">IF(_PENDIENTES!$B$676&lt;&gt;"",_PENDIENTES!$H$676,"")</f>
        <v/>
      </c>
      <c r="I682" s="107" t="str">
        <f aca="false">IF(_PENDIENTES!$B$676&lt;&gt;"",_PENDIENTES!$I$676,"")</f>
        <v/>
      </c>
      <c r="J682" s="106" t="str">
        <f aca="false">IF(_PENDIENTES!$B$676&lt;&gt;"",_PENDIENTES!$J$676,"")</f>
        <v/>
      </c>
      <c r="K682" s="106" t="str">
        <f aca="false">IF(_PENDIENTES!$B$676&lt;&gt;"","POR RECOGER","")</f>
        <v/>
      </c>
      <c r="L682" s="106" t="str">
        <f aca="false">IF(_PENDIENTES!$B$676&lt;&gt;"",_PENDIENTES!$K$676,"")</f>
        <v/>
      </c>
      <c r="M682" s="89" t="str">
        <f aca="false">IF(_PENDIENTES!$B$676&lt;&gt;"",_PENDIENTES!$B$676,"")</f>
        <v/>
      </c>
      <c r="N682" s="109" t="str">
        <f aca="false">IF(_PENDIENTES!$B$676&lt;&gt;"",_PENDIENTES!$L$676,"")</f>
        <v/>
      </c>
      <c r="O682" s="89"/>
      <c r="P682" s="89"/>
      <c r="Q682" s="89"/>
      <c r="R682" s="89"/>
      <c r="S682" s="89"/>
    </row>
    <row r="683" customFormat="false" ht="15.75" hidden="true" customHeight="true" outlineLevel="0" collapsed="false">
      <c r="A683" s="46" t="str">
        <f aca="false">IF(_PENDIENTES!$B$677&lt;&gt;"",676,"")</f>
        <v/>
      </c>
      <c r="B683" s="41" t="str">
        <f aca="false">IF(_PENDIENTES!$B$677&lt;&gt;"",_PENDIENTES!$A$677,"")</f>
        <v/>
      </c>
      <c r="C683" s="110" t="str">
        <f aca="false">IF(_PENDIENTES!$B$677&lt;&gt;"",_PENDIENTES!$C$677,"")</f>
        <v/>
      </c>
      <c r="D683" s="46" t="str">
        <f aca="false">IF(_PENDIENTES!$B$677&lt;&gt;"",_PENDIENTES!$D$677,"")</f>
        <v/>
      </c>
      <c r="E683" s="112" t="str">
        <f aca="false">IF(_PENDIENTES!$B$677&lt;&gt;"",_PENDIENTES!$E$677,"")</f>
        <v/>
      </c>
      <c r="F683" s="46" t="str">
        <f aca="false">IF(_PENDIENTES!$B$677&lt;&gt;"",_PENDIENTES!$F$677,"")</f>
        <v/>
      </c>
      <c r="G683" s="44" t="str">
        <f aca="false">IF(_PENDIENTES!$B$677&lt;&gt;"",_PENDIENTES!$G$677,"")</f>
        <v/>
      </c>
      <c r="H683" s="44" t="str">
        <f aca="false">IF(_PENDIENTES!$B$677&lt;&gt;"",_PENDIENTES!$H$677,"")</f>
        <v/>
      </c>
      <c r="I683" s="110" t="str">
        <f aca="false">IF(_PENDIENTES!$B$677&lt;&gt;"",_PENDIENTES!$I$677,"")</f>
        <v/>
      </c>
      <c r="J683" s="46" t="str">
        <f aca="false">IF(_PENDIENTES!$B$677&lt;&gt;"",_PENDIENTES!$J$677,"")</f>
        <v/>
      </c>
      <c r="K683" s="46" t="str">
        <f aca="false">IF(_PENDIENTES!$B$677&lt;&gt;"","POR RECOGER","")</f>
        <v/>
      </c>
      <c r="L683" s="46" t="str">
        <f aca="false">IF(_PENDIENTES!$B$677&lt;&gt;"",_PENDIENTES!$K$677,"")</f>
        <v/>
      </c>
      <c r="M683" s="89" t="str">
        <f aca="false">IF(_PENDIENTES!$B$677&lt;&gt;"",_PENDIENTES!$B$677,"")</f>
        <v/>
      </c>
      <c r="N683" s="109" t="str">
        <f aca="false">IF(_PENDIENTES!$B$677&lt;&gt;"",_PENDIENTES!$L$677,"")</f>
        <v/>
      </c>
      <c r="O683" s="89"/>
      <c r="P683" s="89"/>
      <c r="Q683" s="89"/>
      <c r="R683" s="89"/>
      <c r="S683" s="89"/>
    </row>
    <row r="684" customFormat="false" ht="15.75" hidden="true" customHeight="true" outlineLevel="0" collapsed="false">
      <c r="A684" s="106" t="str">
        <f aca="false">IF(_PENDIENTES!$B$678&lt;&gt;"",677,"")</f>
        <v/>
      </c>
      <c r="B684" s="47" t="str">
        <f aca="false">IF(_PENDIENTES!$B$678&lt;&gt;"",_PENDIENTES!$A$678,"")</f>
        <v/>
      </c>
      <c r="C684" s="107" t="str">
        <f aca="false">IF(_PENDIENTES!$B$678&lt;&gt;"",_PENDIENTES!$C$678,"")</f>
        <v/>
      </c>
      <c r="D684" s="106" t="str">
        <f aca="false">IF(_PENDIENTES!$B$678&lt;&gt;"",_PENDIENTES!$D$678,"")</f>
        <v/>
      </c>
      <c r="E684" s="111" t="str">
        <f aca="false">IF(_PENDIENTES!$B$678&lt;&gt;"",_PENDIENTES!$E$678,"")</f>
        <v/>
      </c>
      <c r="F684" s="106" t="str">
        <f aca="false">IF(_PENDIENTES!$B$678&lt;&gt;"",_PENDIENTES!$F$678,"")</f>
        <v/>
      </c>
      <c r="G684" s="50" t="str">
        <f aca="false">IF(_PENDIENTES!$B$678&lt;&gt;"",_PENDIENTES!$G$678,"")</f>
        <v/>
      </c>
      <c r="H684" s="50" t="str">
        <f aca="false">IF(_PENDIENTES!$B$678&lt;&gt;"",_PENDIENTES!$H$678,"")</f>
        <v/>
      </c>
      <c r="I684" s="107" t="str">
        <f aca="false">IF(_PENDIENTES!$B$678&lt;&gt;"",_PENDIENTES!$I$678,"")</f>
        <v/>
      </c>
      <c r="J684" s="106" t="str">
        <f aca="false">IF(_PENDIENTES!$B$678&lt;&gt;"",_PENDIENTES!$J$678,"")</f>
        <v/>
      </c>
      <c r="K684" s="106" t="str">
        <f aca="false">IF(_PENDIENTES!$B$678&lt;&gt;"","POR RECOGER","")</f>
        <v/>
      </c>
      <c r="L684" s="106" t="str">
        <f aca="false">IF(_PENDIENTES!$B$678&lt;&gt;"",_PENDIENTES!$K$678,"")</f>
        <v/>
      </c>
      <c r="M684" s="89" t="str">
        <f aca="false">IF(_PENDIENTES!$B$678&lt;&gt;"",_PENDIENTES!$B$678,"")</f>
        <v/>
      </c>
      <c r="N684" s="109" t="str">
        <f aca="false">IF(_PENDIENTES!$B$678&lt;&gt;"",_PENDIENTES!$L$678,"")</f>
        <v/>
      </c>
      <c r="O684" s="89"/>
      <c r="P684" s="89"/>
      <c r="Q684" s="89"/>
      <c r="R684" s="89"/>
      <c r="S684" s="89"/>
    </row>
    <row r="685" customFormat="false" ht="15.75" hidden="true" customHeight="true" outlineLevel="0" collapsed="false">
      <c r="A685" s="46" t="str">
        <f aca="false">IF(_PENDIENTES!$B$679&lt;&gt;"",678,"")</f>
        <v/>
      </c>
      <c r="B685" s="41" t="str">
        <f aca="false">IF(_PENDIENTES!$B$679&lt;&gt;"",_PENDIENTES!$A$679,"")</f>
        <v/>
      </c>
      <c r="C685" s="110" t="str">
        <f aca="false">IF(_PENDIENTES!$B$679&lt;&gt;"",_PENDIENTES!$C$679,"")</f>
        <v/>
      </c>
      <c r="D685" s="46" t="str">
        <f aca="false">IF(_PENDIENTES!$B$679&lt;&gt;"",_PENDIENTES!$D$679,"")</f>
        <v/>
      </c>
      <c r="E685" s="46" t="str">
        <f aca="false">IF(_PENDIENTES!$B$679&lt;&gt;"",_PENDIENTES!$E$679,"")</f>
        <v/>
      </c>
      <c r="F685" s="46" t="str">
        <f aca="false">IF(_PENDIENTES!$B$679&lt;&gt;"",_PENDIENTES!$F$679,"")</f>
        <v/>
      </c>
      <c r="G685" s="44" t="str">
        <f aca="false">IF(_PENDIENTES!$B$679&lt;&gt;"",_PENDIENTES!$G$679,"")</f>
        <v/>
      </c>
      <c r="H685" s="44" t="str">
        <f aca="false">IF(_PENDIENTES!$B$679&lt;&gt;"",_PENDIENTES!$H$679,"")</f>
        <v/>
      </c>
      <c r="I685" s="110" t="str">
        <f aca="false">IF(_PENDIENTES!$B$679&lt;&gt;"",_PENDIENTES!$I$679,"")</f>
        <v/>
      </c>
      <c r="J685" s="46" t="str">
        <f aca="false">IF(_PENDIENTES!$B$679&lt;&gt;"",_PENDIENTES!$J$679,"")</f>
        <v/>
      </c>
      <c r="K685" s="46" t="str">
        <f aca="false">IF(_PENDIENTES!$B$679&lt;&gt;"","POR RECOGER","")</f>
        <v/>
      </c>
      <c r="L685" s="46" t="str">
        <f aca="false">IF(_PENDIENTES!$B$679&lt;&gt;"",_PENDIENTES!$K$679,"")</f>
        <v/>
      </c>
      <c r="M685" s="89" t="str">
        <f aca="false">IF(_PENDIENTES!$B$679&lt;&gt;"",_PENDIENTES!$B$679,"")</f>
        <v/>
      </c>
      <c r="N685" s="109" t="str">
        <f aca="false">IF(_PENDIENTES!$B$679&lt;&gt;"",_PENDIENTES!$L$679,"")</f>
        <v/>
      </c>
      <c r="O685" s="89"/>
      <c r="P685" s="89"/>
      <c r="Q685" s="89"/>
      <c r="R685" s="89"/>
      <c r="S685" s="89"/>
    </row>
    <row r="686" customFormat="false" ht="15.75" hidden="true" customHeight="true" outlineLevel="0" collapsed="false">
      <c r="A686" s="106" t="str">
        <f aca="false">IF(_PENDIENTES!$B$680&lt;&gt;"",679,"")</f>
        <v/>
      </c>
      <c r="B686" s="47" t="str">
        <f aca="false">IF(_PENDIENTES!$B$680&lt;&gt;"",_PENDIENTES!$A$680,"")</f>
        <v/>
      </c>
      <c r="C686" s="107" t="str">
        <f aca="false">IF(_PENDIENTES!$B$680&lt;&gt;"",_PENDIENTES!$C$680,"")</f>
        <v/>
      </c>
      <c r="D686" s="106" t="str">
        <f aca="false">IF(_PENDIENTES!$B$680&lt;&gt;"",_PENDIENTES!$D$680,"")</f>
        <v/>
      </c>
      <c r="E686" s="111" t="str">
        <f aca="false">IF(_PENDIENTES!$B$680&lt;&gt;"",_PENDIENTES!$E$680,"")</f>
        <v/>
      </c>
      <c r="F686" s="106" t="str">
        <f aca="false">IF(_PENDIENTES!$B$680&lt;&gt;"",_PENDIENTES!$F$680,"")</f>
        <v/>
      </c>
      <c r="G686" s="50" t="str">
        <f aca="false">IF(_PENDIENTES!$B$680&lt;&gt;"",_PENDIENTES!$G$680,"")</f>
        <v/>
      </c>
      <c r="H686" s="50" t="str">
        <f aca="false">IF(_PENDIENTES!$B$680&lt;&gt;"",_PENDIENTES!$H$680,"")</f>
        <v/>
      </c>
      <c r="I686" s="107" t="str">
        <f aca="false">IF(_PENDIENTES!$B$680&lt;&gt;"",_PENDIENTES!$I$680,"")</f>
        <v/>
      </c>
      <c r="J686" s="106" t="str">
        <f aca="false">IF(_PENDIENTES!$B$680&lt;&gt;"",_PENDIENTES!$J$680,"")</f>
        <v/>
      </c>
      <c r="K686" s="106" t="str">
        <f aca="false">IF(_PENDIENTES!$B$680&lt;&gt;"","POR RECOGER","")</f>
        <v/>
      </c>
      <c r="L686" s="106" t="str">
        <f aca="false">IF(_PENDIENTES!$B$680&lt;&gt;"",_PENDIENTES!$K$680,"")</f>
        <v/>
      </c>
      <c r="M686" s="89" t="str">
        <f aca="false">IF(_PENDIENTES!$B$680&lt;&gt;"",_PENDIENTES!$B$680,"")</f>
        <v/>
      </c>
      <c r="N686" s="109" t="str">
        <f aca="false">IF(_PENDIENTES!$B$680&lt;&gt;"",_PENDIENTES!$L$680,"")</f>
        <v/>
      </c>
      <c r="O686" s="89"/>
      <c r="P686" s="89"/>
      <c r="Q686" s="89"/>
      <c r="R686" s="89"/>
      <c r="S686" s="89"/>
    </row>
    <row r="687" customFormat="false" ht="15.75" hidden="true" customHeight="true" outlineLevel="0" collapsed="false">
      <c r="A687" s="46" t="str">
        <f aca="false">IF(_PENDIENTES!$B$681&lt;&gt;"",680,"")</f>
        <v/>
      </c>
      <c r="B687" s="41" t="str">
        <f aca="false">IF(_PENDIENTES!$B$681&lt;&gt;"",_PENDIENTES!$A$681,"")</f>
        <v/>
      </c>
      <c r="C687" s="110" t="str">
        <f aca="false">IF(_PENDIENTES!$B$681&lt;&gt;"",_PENDIENTES!$C$681,"")</f>
        <v/>
      </c>
      <c r="D687" s="46" t="str">
        <f aca="false">IF(_PENDIENTES!$B$681&lt;&gt;"",_PENDIENTES!$D$681,"")</f>
        <v/>
      </c>
      <c r="E687" s="112" t="str">
        <f aca="false">IF(_PENDIENTES!$B$681&lt;&gt;"",_PENDIENTES!$E$681,"")</f>
        <v/>
      </c>
      <c r="F687" s="46" t="str">
        <f aca="false">IF(_PENDIENTES!$B$681&lt;&gt;"",_PENDIENTES!$F$681,"")</f>
        <v/>
      </c>
      <c r="G687" s="44" t="str">
        <f aca="false">IF(_PENDIENTES!$B$681&lt;&gt;"",_PENDIENTES!$G$681,"")</f>
        <v/>
      </c>
      <c r="H687" s="44" t="str">
        <f aca="false">IF(_PENDIENTES!$B$681&lt;&gt;"",_PENDIENTES!$H$681,"")</f>
        <v/>
      </c>
      <c r="I687" s="110" t="str">
        <f aca="false">IF(_PENDIENTES!$B$681&lt;&gt;"",_PENDIENTES!$I$681,"")</f>
        <v/>
      </c>
      <c r="J687" s="46" t="str">
        <f aca="false">IF(_PENDIENTES!$B$681&lt;&gt;"",_PENDIENTES!$J$681,"")</f>
        <v/>
      </c>
      <c r="K687" s="46" t="str">
        <f aca="false">IF(_PENDIENTES!$B$681&lt;&gt;"","POR RECOGER","")</f>
        <v/>
      </c>
      <c r="L687" s="46" t="str">
        <f aca="false">IF(_PENDIENTES!$B$681&lt;&gt;"",_PENDIENTES!$K$681,"")</f>
        <v/>
      </c>
      <c r="M687" s="89" t="str">
        <f aca="false">IF(_PENDIENTES!$B$681&lt;&gt;"",_PENDIENTES!$B$681,"")</f>
        <v/>
      </c>
      <c r="N687" s="109" t="str">
        <f aca="false">IF(_PENDIENTES!$B$681&lt;&gt;"",_PENDIENTES!$L$681,"")</f>
        <v/>
      </c>
      <c r="O687" s="89"/>
      <c r="P687" s="89"/>
      <c r="Q687" s="89"/>
      <c r="R687" s="89"/>
      <c r="S687" s="89"/>
    </row>
    <row r="688" customFormat="false" ht="15.75" hidden="true" customHeight="true" outlineLevel="0" collapsed="false">
      <c r="A688" s="106" t="str">
        <f aca="false">IF(_PENDIENTES!$B$682&lt;&gt;"",681,"")</f>
        <v/>
      </c>
      <c r="B688" s="47" t="str">
        <f aca="false">IF(_PENDIENTES!$B$682&lt;&gt;"",_PENDIENTES!$A$682,"")</f>
        <v/>
      </c>
      <c r="C688" s="107" t="str">
        <f aca="false">IF(_PENDIENTES!$B$682&lt;&gt;"",_PENDIENTES!$C$682,"")</f>
        <v/>
      </c>
      <c r="D688" s="106" t="str">
        <f aca="false">IF(_PENDIENTES!$B$682&lt;&gt;"",_PENDIENTES!$D$682,"")</f>
        <v/>
      </c>
      <c r="E688" s="111" t="str">
        <f aca="false">IF(_PENDIENTES!$B$682&lt;&gt;"",_PENDIENTES!$E$682,"")</f>
        <v/>
      </c>
      <c r="F688" s="106" t="str">
        <f aca="false">IF(_PENDIENTES!$B$682&lt;&gt;"",_PENDIENTES!$F$682,"")</f>
        <v/>
      </c>
      <c r="G688" s="50" t="str">
        <f aca="false">IF(_PENDIENTES!$B$682&lt;&gt;"",_PENDIENTES!$G$682,"")</f>
        <v/>
      </c>
      <c r="H688" s="50" t="str">
        <f aca="false">IF(_PENDIENTES!$B$682&lt;&gt;"",_PENDIENTES!$H$682,"")</f>
        <v/>
      </c>
      <c r="I688" s="107" t="str">
        <f aca="false">IF(_PENDIENTES!$B$682&lt;&gt;"",_PENDIENTES!$I$682,"")</f>
        <v/>
      </c>
      <c r="J688" s="106" t="str">
        <f aca="false">IF(_PENDIENTES!$B$682&lt;&gt;"",_PENDIENTES!$J$682,"")</f>
        <v/>
      </c>
      <c r="K688" s="106" t="str">
        <f aca="false">IF(_PENDIENTES!$B$682&lt;&gt;"","POR RECOGER","")</f>
        <v/>
      </c>
      <c r="L688" s="106" t="str">
        <f aca="false">IF(_PENDIENTES!$B$682&lt;&gt;"",_PENDIENTES!$K$682,"")</f>
        <v/>
      </c>
      <c r="M688" s="89" t="str">
        <f aca="false">IF(_PENDIENTES!$B$682&lt;&gt;"",_PENDIENTES!$B$682,"")</f>
        <v/>
      </c>
      <c r="N688" s="109" t="str">
        <f aca="false">IF(_PENDIENTES!$B$682&lt;&gt;"",_PENDIENTES!$L$682,"")</f>
        <v/>
      </c>
      <c r="O688" s="89"/>
      <c r="P688" s="89"/>
      <c r="Q688" s="89"/>
      <c r="R688" s="89"/>
      <c r="S688" s="89"/>
    </row>
    <row r="689" customFormat="false" ht="15.75" hidden="true" customHeight="true" outlineLevel="0" collapsed="false">
      <c r="A689" s="46" t="str">
        <f aca="false">IF(_PENDIENTES!$B$683&lt;&gt;"",682,"")</f>
        <v/>
      </c>
      <c r="B689" s="41" t="str">
        <f aca="false">IF(_PENDIENTES!$B$683&lt;&gt;"",_PENDIENTES!$A$683,"")</f>
        <v/>
      </c>
      <c r="C689" s="110" t="str">
        <f aca="false">IF(_PENDIENTES!$B$683&lt;&gt;"",_PENDIENTES!$C$683,"")</f>
        <v/>
      </c>
      <c r="D689" s="46" t="str">
        <f aca="false">IF(_PENDIENTES!$B$683&lt;&gt;"",_PENDIENTES!$D$683,"")</f>
        <v/>
      </c>
      <c r="E689" s="112" t="str">
        <f aca="false">IF(_PENDIENTES!$B$683&lt;&gt;"",_PENDIENTES!$E$683,"")</f>
        <v/>
      </c>
      <c r="F689" s="46" t="str">
        <f aca="false">IF(_PENDIENTES!$B$683&lt;&gt;"",_PENDIENTES!$F$683,"")</f>
        <v/>
      </c>
      <c r="G689" s="44" t="str">
        <f aca="false">IF(_PENDIENTES!$B$683&lt;&gt;"",_PENDIENTES!$G$683,"")</f>
        <v/>
      </c>
      <c r="H689" s="44" t="str">
        <f aca="false">IF(_PENDIENTES!$B$683&lt;&gt;"",_PENDIENTES!$H$683,"")</f>
        <v/>
      </c>
      <c r="I689" s="110" t="str">
        <f aca="false">IF(_PENDIENTES!$B$683&lt;&gt;"",_PENDIENTES!$I$683,"")</f>
        <v/>
      </c>
      <c r="J689" s="46" t="str">
        <f aca="false">IF(_PENDIENTES!$B$683&lt;&gt;"",_PENDIENTES!$J$683,"")</f>
        <v/>
      </c>
      <c r="K689" s="46" t="str">
        <f aca="false">IF(_PENDIENTES!$B$683&lt;&gt;"","POR RECOGER","")</f>
        <v/>
      </c>
      <c r="L689" s="46" t="str">
        <f aca="false">IF(_PENDIENTES!$B$683&lt;&gt;"",_PENDIENTES!$K$683,"")</f>
        <v/>
      </c>
      <c r="M689" s="89" t="str">
        <f aca="false">IF(_PENDIENTES!$B$683&lt;&gt;"",_PENDIENTES!$B$683,"")</f>
        <v/>
      </c>
      <c r="N689" s="109" t="str">
        <f aca="false">IF(_PENDIENTES!$B$683&lt;&gt;"",_PENDIENTES!$L$683,"")</f>
        <v/>
      </c>
      <c r="O689" s="89"/>
      <c r="P689" s="89"/>
      <c r="Q689" s="89"/>
      <c r="R689" s="89"/>
      <c r="S689" s="89"/>
    </row>
    <row r="690" customFormat="false" ht="15.75" hidden="true" customHeight="true" outlineLevel="0" collapsed="false">
      <c r="A690" s="106" t="str">
        <f aca="false">IF(_PENDIENTES!$B$684&lt;&gt;"",683,"")</f>
        <v/>
      </c>
      <c r="B690" s="47" t="str">
        <f aca="false">IF(_PENDIENTES!$B$684&lt;&gt;"",_PENDIENTES!$A$684,"")</f>
        <v/>
      </c>
      <c r="C690" s="107" t="str">
        <f aca="false">IF(_PENDIENTES!$B$684&lt;&gt;"",_PENDIENTES!$C$684,"")</f>
        <v/>
      </c>
      <c r="D690" s="106" t="str">
        <f aca="false">IF(_PENDIENTES!$B$684&lt;&gt;"",_PENDIENTES!$D$684,"")</f>
        <v/>
      </c>
      <c r="E690" s="111" t="str">
        <f aca="false">IF(_PENDIENTES!$B$684&lt;&gt;"",_PENDIENTES!$E$684,"")</f>
        <v/>
      </c>
      <c r="F690" s="106" t="str">
        <f aca="false">IF(_PENDIENTES!$B$684&lt;&gt;"",_PENDIENTES!$F$684,"")</f>
        <v/>
      </c>
      <c r="G690" s="50" t="str">
        <f aca="false">IF(_PENDIENTES!$B$684&lt;&gt;"",_PENDIENTES!$G$684,"")</f>
        <v/>
      </c>
      <c r="H690" s="50" t="str">
        <f aca="false">IF(_PENDIENTES!$B$684&lt;&gt;"",_PENDIENTES!$H$684,"")</f>
        <v/>
      </c>
      <c r="I690" s="107" t="str">
        <f aca="false">IF(_PENDIENTES!$B$684&lt;&gt;"",_PENDIENTES!$I$684,"")</f>
        <v/>
      </c>
      <c r="J690" s="106" t="str">
        <f aca="false">IF(_PENDIENTES!$B$684&lt;&gt;"",_PENDIENTES!$J$684,"")</f>
        <v/>
      </c>
      <c r="K690" s="106" t="str">
        <f aca="false">IF(_PENDIENTES!$B$684&lt;&gt;"","POR RECOGER","")</f>
        <v/>
      </c>
      <c r="L690" s="106" t="str">
        <f aca="false">IF(_PENDIENTES!$B$684&lt;&gt;"",_PENDIENTES!$K$684,"")</f>
        <v/>
      </c>
      <c r="M690" s="89" t="str">
        <f aca="false">IF(_PENDIENTES!$B$684&lt;&gt;"",_PENDIENTES!$B$684,"")</f>
        <v/>
      </c>
      <c r="N690" s="109" t="str">
        <f aca="false">IF(_PENDIENTES!$B$684&lt;&gt;"",_PENDIENTES!$L$684,"")</f>
        <v/>
      </c>
      <c r="O690" s="89"/>
      <c r="P690" s="89"/>
      <c r="Q690" s="89"/>
      <c r="R690" s="89"/>
      <c r="S690" s="89"/>
    </row>
    <row r="691" customFormat="false" ht="15.75" hidden="true" customHeight="true" outlineLevel="0" collapsed="false">
      <c r="A691" s="46" t="str">
        <f aca="false">IF(_PENDIENTES!$B$685&lt;&gt;"",684,"")</f>
        <v/>
      </c>
      <c r="B691" s="41" t="str">
        <f aca="false">IF(_PENDIENTES!$B$685&lt;&gt;"",_PENDIENTES!$A$685,"")</f>
        <v/>
      </c>
      <c r="C691" s="110" t="str">
        <f aca="false">IF(_PENDIENTES!$B$685&lt;&gt;"",_PENDIENTES!$C$685,"")</f>
        <v/>
      </c>
      <c r="D691" s="46" t="str">
        <f aca="false">IF(_PENDIENTES!$B$685&lt;&gt;"",_PENDIENTES!$D$685,"")</f>
        <v/>
      </c>
      <c r="E691" s="112" t="str">
        <f aca="false">IF(_PENDIENTES!$B$685&lt;&gt;"",_PENDIENTES!$E$685,"")</f>
        <v/>
      </c>
      <c r="F691" s="46" t="str">
        <f aca="false">IF(_PENDIENTES!$B$685&lt;&gt;"",_PENDIENTES!$F$685,"")</f>
        <v/>
      </c>
      <c r="G691" s="44" t="str">
        <f aca="false">IF(_PENDIENTES!$B$685&lt;&gt;"",_PENDIENTES!$G$685,"")</f>
        <v/>
      </c>
      <c r="H691" s="44" t="str">
        <f aca="false">IF(_PENDIENTES!$B$685&lt;&gt;"",_PENDIENTES!$H$685,"")</f>
        <v/>
      </c>
      <c r="I691" s="110" t="str">
        <f aca="false">IF(_PENDIENTES!$B$685&lt;&gt;"",_PENDIENTES!$I$685,"")</f>
        <v/>
      </c>
      <c r="J691" s="46" t="str">
        <f aca="false">IF(_PENDIENTES!$B$685&lt;&gt;"",_PENDIENTES!$J$685,"")</f>
        <v/>
      </c>
      <c r="K691" s="46" t="str">
        <f aca="false">IF(_PENDIENTES!$B$685&lt;&gt;"","POR RECOGER","")</f>
        <v/>
      </c>
      <c r="L691" s="46" t="str">
        <f aca="false">IF(_PENDIENTES!$B$685&lt;&gt;"",_PENDIENTES!$K$685,"")</f>
        <v/>
      </c>
      <c r="M691" s="89" t="str">
        <f aca="false">IF(_PENDIENTES!$B$685&lt;&gt;"",_PENDIENTES!$B$685,"")</f>
        <v/>
      </c>
      <c r="N691" s="109" t="str">
        <f aca="false">IF(_PENDIENTES!$B$685&lt;&gt;"",_PENDIENTES!$L$685,"")</f>
        <v/>
      </c>
      <c r="O691" s="89"/>
      <c r="P691" s="89"/>
      <c r="Q691" s="89"/>
      <c r="R691" s="89"/>
      <c r="S691" s="89"/>
    </row>
    <row r="692" customFormat="false" ht="15.75" hidden="true" customHeight="true" outlineLevel="0" collapsed="false">
      <c r="A692" s="106" t="str">
        <f aca="false">IF(_PENDIENTES!$B$686&lt;&gt;"",685,"")</f>
        <v/>
      </c>
      <c r="B692" s="47" t="str">
        <f aca="false">IF(_PENDIENTES!$B$686&lt;&gt;"",_PENDIENTES!$A$686,"")</f>
        <v/>
      </c>
      <c r="C692" s="107" t="str">
        <f aca="false">IF(_PENDIENTES!$B$686&lt;&gt;"",_PENDIENTES!$C$686,"")</f>
        <v/>
      </c>
      <c r="D692" s="106" t="str">
        <f aca="false">IF(_PENDIENTES!$B$686&lt;&gt;"",_PENDIENTES!$D$686,"")</f>
        <v/>
      </c>
      <c r="E692" s="111" t="str">
        <f aca="false">IF(_PENDIENTES!$B$686&lt;&gt;"",_PENDIENTES!$E$686,"")</f>
        <v/>
      </c>
      <c r="F692" s="106" t="str">
        <f aca="false">IF(_PENDIENTES!$B$686&lt;&gt;"",_PENDIENTES!$F$686,"")</f>
        <v/>
      </c>
      <c r="G692" s="50" t="str">
        <f aca="false">IF(_PENDIENTES!$B$686&lt;&gt;"",_PENDIENTES!$G$686,"")</f>
        <v/>
      </c>
      <c r="H692" s="50" t="str">
        <f aca="false">IF(_PENDIENTES!$B$686&lt;&gt;"",_PENDIENTES!$H$686,"")</f>
        <v/>
      </c>
      <c r="I692" s="107" t="str">
        <f aca="false">IF(_PENDIENTES!$B$686&lt;&gt;"",_PENDIENTES!$I$686,"")</f>
        <v/>
      </c>
      <c r="J692" s="106" t="str">
        <f aca="false">IF(_PENDIENTES!$B$686&lt;&gt;"",_PENDIENTES!$J$686,"")</f>
        <v/>
      </c>
      <c r="K692" s="106" t="str">
        <f aca="false">IF(_PENDIENTES!$B$686&lt;&gt;"","POR RECOGER","")</f>
        <v/>
      </c>
      <c r="L692" s="106" t="str">
        <f aca="false">IF(_PENDIENTES!$B$686&lt;&gt;"",_PENDIENTES!$K$686,"")</f>
        <v/>
      </c>
      <c r="M692" s="89" t="str">
        <f aca="false">IF(_PENDIENTES!$B$686&lt;&gt;"",_PENDIENTES!$B$686,"")</f>
        <v/>
      </c>
      <c r="N692" s="109" t="str">
        <f aca="false">IF(_PENDIENTES!$B$686&lt;&gt;"",_PENDIENTES!$L$686,"")</f>
        <v/>
      </c>
      <c r="O692" s="89"/>
      <c r="P692" s="89"/>
      <c r="Q692" s="89"/>
      <c r="R692" s="89"/>
      <c r="S692" s="89"/>
    </row>
    <row r="693" customFormat="false" ht="15.75" hidden="true" customHeight="true" outlineLevel="0" collapsed="false">
      <c r="A693" s="46" t="str">
        <f aca="false">IF(_PENDIENTES!$B$687&lt;&gt;"",686,"")</f>
        <v/>
      </c>
      <c r="B693" s="41" t="str">
        <f aca="false">IF(_PENDIENTES!$B$687&lt;&gt;"",_PENDIENTES!$A$687,"")</f>
        <v/>
      </c>
      <c r="C693" s="110" t="str">
        <f aca="false">IF(_PENDIENTES!$B$687&lt;&gt;"",_PENDIENTES!$C$687,"")</f>
        <v/>
      </c>
      <c r="D693" s="46" t="str">
        <f aca="false">IF(_PENDIENTES!$B$687&lt;&gt;"",_PENDIENTES!$D$687,"")</f>
        <v/>
      </c>
      <c r="E693" s="112" t="str">
        <f aca="false">IF(_PENDIENTES!$B$687&lt;&gt;"",_PENDIENTES!$E$687,"")</f>
        <v/>
      </c>
      <c r="F693" s="46" t="str">
        <f aca="false">IF(_PENDIENTES!$B$687&lt;&gt;"",_PENDIENTES!$F$687,"")</f>
        <v/>
      </c>
      <c r="G693" s="44" t="str">
        <f aca="false">IF(_PENDIENTES!$B$687&lt;&gt;"",_PENDIENTES!$G$687,"")</f>
        <v/>
      </c>
      <c r="H693" s="44" t="str">
        <f aca="false">IF(_PENDIENTES!$B$687&lt;&gt;"",_PENDIENTES!$H$687,"")</f>
        <v/>
      </c>
      <c r="I693" s="110" t="str">
        <f aca="false">IF(_PENDIENTES!$B$687&lt;&gt;"",_PENDIENTES!$I$687,"")</f>
        <v/>
      </c>
      <c r="J693" s="46" t="str">
        <f aca="false">IF(_PENDIENTES!$B$687&lt;&gt;"",_PENDIENTES!$J$687,"")</f>
        <v/>
      </c>
      <c r="K693" s="46" t="str">
        <f aca="false">IF(_PENDIENTES!$B$687&lt;&gt;"","POR RECOGER","")</f>
        <v/>
      </c>
      <c r="L693" s="46" t="str">
        <f aca="false">IF(_PENDIENTES!$B$687&lt;&gt;"",_PENDIENTES!$K$687,"")</f>
        <v/>
      </c>
      <c r="M693" s="89" t="str">
        <f aca="false">IF(_PENDIENTES!$B$687&lt;&gt;"",_PENDIENTES!$B$687,"")</f>
        <v/>
      </c>
      <c r="N693" s="109" t="str">
        <f aca="false">IF(_PENDIENTES!$B$687&lt;&gt;"",_PENDIENTES!$L$687,"")</f>
        <v/>
      </c>
      <c r="O693" s="89"/>
      <c r="P693" s="89"/>
      <c r="Q693" s="89"/>
      <c r="R693" s="89"/>
      <c r="S693" s="89"/>
    </row>
    <row r="694" customFormat="false" ht="15.75" hidden="true" customHeight="true" outlineLevel="0" collapsed="false">
      <c r="A694" s="106" t="str">
        <f aca="false">IF(_PENDIENTES!$B$688&lt;&gt;"",687,"")</f>
        <v/>
      </c>
      <c r="B694" s="47" t="str">
        <f aca="false">IF(_PENDIENTES!$B$688&lt;&gt;"",_PENDIENTES!$A$688,"")</f>
        <v/>
      </c>
      <c r="C694" s="107" t="str">
        <f aca="false">IF(_PENDIENTES!$B$688&lt;&gt;"",_PENDIENTES!$C$688,"")</f>
        <v/>
      </c>
      <c r="D694" s="106" t="str">
        <f aca="false">IF(_PENDIENTES!$B$688&lt;&gt;"",_PENDIENTES!$D$688,"")</f>
        <v/>
      </c>
      <c r="E694" s="111" t="str">
        <f aca="false">IF(_PENDIENTES!$B$688&lt;&gt;"",_PENDIENTES!$E$688,"")</f>
        <v/>
      </c>
      <c r="F694" s="106" t="str">
        <f aca="false">IF(_PENDIENTES!$B$688&lt;&gt;"",_PENDIENTES!$F$688,"")</f>
        <v/>
      </c>
      <c r="G694" s="50" t="str">
        <f aca="false">IF(_PENDIENTES!$B$688&lt;&gt;"",_PENDIENTES!$G$688,"")</f>
        <v/>
      </c>
      <c r="H694" s="50" t="str">
        <f aca="false">IF(_PENDIENTES!$B$688&lt;&gt;"",_PENDIENTES!$H$688,"")</f>
        <v/>
      </c>
      <c r="I694" s="107" t="str">
        <f aca="false">IF(_PENDIENTES!$B$688&lt;&gt;"",_PENDIENTES!$I$688,"")</f>
        <v/>
      </c>
      <c r="J694" s="106" t="str">
        <f aca="false">IF(_PENDIENTES!$B$688&lt;&gt;"",_PENDIENTES!$J$688,"")</f>
        <v/>
      </c>
      <c r="K694" s="106" t="str">
        <f aca="false">IF(_PENDIENTES!$B$688&lt;&gt;"","POR RECOGER","")</f>
        <v/>
      </c>
      <c r="L694" s="106" t="str">
        <f aca="false">IF(_PENDIENTES!$B$688&lt;&gt;"",_PENDIENTES!$K$688,"")</f>
        <v/>
      </c>
      <c r="M694" s="89" t="str">
        <f aca="false">IF(_PENDIENTES!$B$688&lt;&gt;"",_PENDIENTES!$B$688,"")</f>
        <v/>
      </c>
      <c r="N694" s="109" t="str">
        <f aca="false">IF(_PENDIENTES!$B$688&lt;&gt;"",_PENDIENTES!$L$688,"")</f>
        <v/>
      </c>
      <c r="O694" s="89"/>
      <c r="P694" s="89"/>
      <c r="Q694" s="89"/>
      <c r="R694" s="89"/>
      <c r="S694" s="89"/>
    </row>
    <row r="695" customFormat="false" ht="15.75" hidden="true" customHeight="true" outlineLevel="0" collapsed="false">
      <c r="A695" s="46" t="str">
        <f aca="false">IF(_PENDIENTES!$B$689&lt;&gt;"",688,"")</f>
        <v/>
      </c>
      <c r="B695" s="41" t="str">
        <f aca="false">IF(_PENDIENTES!$B$689&lt;&gt;"",_PENDIENTES!$A$689,"")</f>
        <v/>
      </c>
      <c r="C695" s="110" t="str">
        <f aca="false">IF(_PENDIENTES!$B$689&lt;&gt;"",_PENDIENTES!$C$689,"")</f>
        <v/>
      </c>
      <c r="D695" s="46" t="str">
        <f aca="false">IF(_PENDIENTES!$B$689&lt;&gt;"",_PENDIENTES!$D$689,"")</f>
        <v/>
      </c>
      <c r="E695" s="112" t="str">
        <f aca="false">IF(_PENDIENTES!$B$689&lt;&gt;"",_PENDIENTES!$E$689,"")</f>
        <v/>
      </c>
      <c r="F695" s="46" t="str">
        <f aca="false">IF(_PENDIENTES!$B$689&lt;&gt;"",_PENDIENTES!$F$689,"")</f>
        <v/>
      </c>
      <c r="G695" s="44" t="str">
        <f aca="false">IF(_PENDIENTES!$B$689&lt;&gt;"",_PENDIENTES!$G$689,"")</f>
        <v/>
      </c>
      <c r="H695" s="44" t="str">
        <f aca="false">IF(_PENDIENTES!$B$689&lt;&gt;"",_PENDIENTES!$H$689,"")</f>
        <v/>
      </c>
      <c r="I695" s="110" t="str">
        <f aca="false">IF(_PENDIENTES!$B$689&lt;&gt;"",_PENDIENTES!$I$689,"")</f>
        <v/>
      </c>
      <c r="J695" s="46" t="str">
        <f aca="false">IF(_PENDIENTES!$B$689&lt;&gt;"",_PENDIENTES!$J$689,"")</f>
        <v/>
      </c>
      <c r="K695" s="46" t="str">
        <f aca="false">IF(_PENDIENTES!$B$689&lt;&gt;"","POR RECOGER","")</f>
        <v/>
      </c>
      <c r="L695" s="46" t="str">
        <f aca="false">IF(_PENDIENTES!$B$689&lt;&gt;"",_PENDIENTES!$K$689,"")</f>
        <v/>
      </c>
      <c r="M695" s="89" t="str">
        <f aca="false">IF(_PENDIENTES!$B$689&lt;&gt;"",_PENDIENTES!$B$689,"")</f>
        <v/>
      </c>
      <c r="N695" s="109" t="str">
        <f aca="false">IF(_PENDIENTES!$B$689&lt;&gt;"",_PENDIENTES!$L$689,"")</f>
        <v/>
      </c>
      <c r="O695" s="89"/>
      <c r="P695" s="89"/>
      <c r="Q695" s="89"/>
      <c r="R695" s="89"/>
      <c r="S695" s="89"/>
    </row>
    <row r="696" customFormat="false" ht="15.75" hidden="true" customHeight="true" outlineLevel="0" collapsed="false">
      <c r="A696" s="106" t="str">
        <f aca="false">IF(_PENDIENTES!$B$690&lt;&gt;"",689,"")</f>
        <v/>
      </c>
      <c r="B696" s="47" t="str">
        <f aca="false">IF(_PENDIENTES!$B$690&lt;&gt;"",_PENDIENTES!$A$690,"")</f>
        <v/>
      </c>
      <c r="C696" s="107" t="str">
        <f aca="false">IF(_PENDIENTES!$B$690&lt;&gt;"",_PENDIENTES!$C$690,"")</f>
        <v/>
      </c>
      <c r="D696" s="106" t="str">
        <f aca="false">IF(_PENDIENTES!$B$690&lt;&gt;"",_PENDIENTES!$D$690,"")</f>
        <v/>
      </c>
      <c r="E696" s="111" t="str">
        <f aca="false">IF(_PENDIENTES!$B$690&lt;&gt;"",_PENDIENTES!$E$690,"")</f>
        <v/>
      </c>
      <c r="F696" s="106" t="str">
        <f aca="false">IF(_PENDIENTES!$B$690&lt;&gt;"",_PENDIENTES!$F$690,"")</f>
        <v/>
      </c>
      <c r="G696" s="50" t="str">
        <f aca="false">IF(_PENDIENTES!$B$690&lt;&gt;"",_PENDIENTES!$G$690,"")</f>
        <v/>
      </c>
      <c r="H696" s="50" t="str">
        <f aca="false">IF(_PENDIENTES!$B$690&lt;&gt;"",_PENDIENTES!$H$690,"")</f>
        <v/>
      </c>
      <c r="I696" s="107" t="str">
        <f aca="false">IF(_PENDIENTES!$B$690&lt;&gt;"",_PENDIENTES!$I$690,"")</f>
        <v/>
      </c>
      <c r="J696" s="106" t="str">
        <f aca="false">IF(_PENDIENTES!$B$690&lt;&gt;"",_PENDIENTES!$J$690,"")</f>
        <v/>
      </c>
      <c r="K696" s="106" t="str">
        <f aca="false">IF(_PENDIENTES!$B$690&lt;&gt;"","POR RECOGER","")</f>
        <v/>
      </c>
      <c r="L696" s="106" t="str">
        <f aca="false">IF(_PENDIENTES!$B$690&lt;&gt;"",_PENDIENTES!$K$690,"")</f>
        <v/>
      </c>
      <c r="M696" s="89" t="str">
        <f aca="false">IF(_PENDIENTES!$B$690&lt;&gt;"",_PENDIENTES!$B$690,"")</f>
        <v/>
      </c>
      <c r="N696" s="109" t="str">
        <f aca="false">IF(_PENDIENTES!$B$690&lt;&gt;"",_PENDIENTES!$L$690,"")</f>
        <v/>
      </c>
      <c r="O696" s="89"/>
      <c r="P696" s="89"/>
      <c r="Q696" s="89"/>
      <c r="R696" s="89"/>
      <c r="S696" s="89"/>
    </row>
    <row r="697" customFormat="false" ht="15.75" hidden="true" customHeight="true" outlineLevel="0" collapsed="false">
      <c r="A697" s="46" t="str">
        <f aca="false">IF(_PENDIENTES!$B$691&lt;&gt;"",690,"")</f>
        <v/>
      </c>
      <c r="B697" s="41" t="str">
        <f aca="false">IF(_PENDIENTES!$B$691&lt;&gt;"",_PENDIENTES!$A$691,"")</f>
        <v/>
      </c>
      <c r="C697" s="110" t="str">
        <f aca="false">IF(_PENDIENTES!$B$691&lt;&gt;"",_PENDIENTES!$C$691,"")</f>
        <v/>
      </c>
      <c r="D697" s="46" t="str">
        <f aca="false">IF(_PENDIENTES!$B$691&lt;&gt;"",_PENDIENTES!$D$691,"")</f>
        <v/>
      </c>
      <c r="E697" s="112" t="str">
        <f aca="false">IF(_PENDIENTES!$B$691&lt;&gt;"",_PENDIENTES!$E$691,"")</f>
        <v/>
      </c>
      <c r="F697" s="46" t="str">
        <f aca="false">IF(_PENDIENTES!$B$691&lt;&gt;"",_PENDIENTES!$F$691,"")</f>
        <v/>
      </c>
      <c r="G697" s="44" t="str">
        <f aca="false">IF(_PENDIENTES!$B$691&lt;&gt;"",_PENDIENTES!$G$691,"")</f>
        <v/>
      </c>
      <c r="H697" s="44" t="str">
        <f aca="false">IF(_PENDIENTES!$B$691&lt;&gt;"",_PENDIENTES!$H$691,"")</f>
        <v/>
      </c>
      <c r="I697" s="110" t="str">
        <f aca="false">IF(_PENDIENTES!$B$691&lt;&gt;"",_PENDIENTES!$I$691,"")</f>
        <v/>
      </c>
      <c r="J697" s="46" t="str">
        <f aca="false">IF(_PENDIENTES!$B$691&lt;&gt;"",_PENDIENTES!$J$691,"")</f>
        <v/>
      </c>
      <c r="K697" s="46" t="str">
        <f aca="false">IF(_PENDIENTES!$B$691&lt;&gt;"","POR RECOGER","")</f>
        <v/>
      </c>
      <c r="L697" s="46" t="str">
        <f aca="false">IF(_PENDIENTES!$B$691&lt;&gt;"",_PENDIENTES!$K$691,"")</f>
        <v/>
      </c>
      <c r="M697" s="89" t="str">
        <f aca="false">IF(_PENDIENTES!$B$691&lt;&gt;"",_PENDIENTES!$B$691,"")</f>
        <v/>
      </c>
      <c r="N697" s="109" t="str">
        <f aca="false">IF(_PENDIENTES!$B$691&lt;&gt;"",_PENDIENTES!$L$691,"")</f>
        <v/>
      </c>
      <c r="O697" s="89"/>
      <c r="P697" s="89"/>
      <c r="Q697" s="89"/>
      <c r="R697" s="89"/>
      <c r="S697" s="89"/>
    </row>
    <row r="698" customFormat="false" ht="15.75" hidden="true" customHeight="true" outlineLevel="0" collapsed="false">
      <c r="A698" s="106" t="str">
        <f aca="false">IF(_PENDIENTES!$B$692&lt;&gt;"",691,"")</f>
        <v/>
      </c>
      <c r="B698" s="47" t="str">
        <f aca="false">IF(_PENDIENTES!$B$692&lt;&gt;"",_PENDIENTES!$A$692,"")</f>
        <v/>
      </c>
      <c r="C698" s="107" t="str">
        <f aca="false">IF(_PENDIENTES!$B$692&lt;&gt;"",_PENDIENTES!$C$692,"")</f>
        <v/>
      </c>
      <c r="D698" s="106" t="str">
        <f aca="false">IF(_PENDIENTES!$B$692&lt;&gt;"",_PENDIENTES!$D$692,"")</f>
        <v/>
      </c>
      <c r="E698" s="111" t="str">
        <f aca="false">IF(_PENDIENTES!$B$692&lt;&gt;"",_PENDIENTES!$E$692,"")</f>
        <v/>
      </c>
      <c r="F698" s="106" t="str">
        <f aca="false">IF(_PENDIENTES!$B$692&lt;&gt;"",_PENDIENTES!$F$692,"")</f>
        <v/>
      </c>
      <c r="G698" s="50" t="str">
        <f aca="false">IF(_PENDIENTES!$B$692&lt;&gt;"",_PENDIENTES!$G$692,"")</f>
        <v/>
      </c>
      <c r="H698" s="50" t="str">
        <f aca="false">IF(_PENDIENTES!$B$692&lt;&gt;"",_PENDIENTES!$H$692,"")</f>
        <v/>
      </c>
      <c r="I698" s="107" t="str">
        <f aca="false">IF(_PENDIENTES!$B$692&lt;&gt;"",_PENDIENTES!$I$692,"")</f>
        <v/>
      </c>
      <c r="J698" s="106" t="str">
        <f aca="false">IF(_PENDIENTES!$B$692&lt;&gt;"",_PENDIENTES!$J$692,"")</f>
        <v/>
      </c>
      <c r="K698" s="106" t="str">
        <f aca="false">IF(_PENDIENTES!$B$692&lt;&gt;"","POR RECOGER","")</f>
        <v/>
      </c>
      <c r="L698" s="106" t="str">
        <f aca="false">IF(_PENDIENTES!$B$692&lt;&gt;"",_PENDIENTES!$K$692,"")</f>
        <v/>
      </c>
      <c r="M698" s="89" t="str">
        <f aca="false">IF(_PENDIENTES!$B$692&lt;&gt;"",_PENDIENTES!$B$692,"")</f>
        <v/>
      </c>
      <c r="N698" s="109" t="str">
        <f aca="false">IF(_PENDIENTES!$B$692&lt;&gt;"",_PENDIENTES!$L$692,"")</f>
        <v/>
      </c>
      <c r="O698" s="89"/>
      <c r="P698" s="89"/>
      <c r="Q698" s="89"/>
      <c r="R698" s="89"/>
      <c r="S698" s="89"/>
    </row>
    <row r="699" customFormat="false" ht="15.75" hidden="true" customHeight="true" outlineLevel="0" collapsed="false">
      <c r="A699" s="46" t="str">
        <f aca="false">IF(_PENDIENTES!$B$693&lt;&gt;"",692,"")</f>
        <v/>
      </c>
      <c r="B699" s="41" t="str">
        <f aca="false">IF(_PENDIENTES!$B$693&lt;&gt;"",_PENDIENTES!$A$693,"")</f>
        <v/>
      </c>
      <c r="C699" s="110" t="str">
        <f aca="false">IF(_PENDIENTES!$B$693&lt;&gt;"",_PENDIENTES!$C$693,"")</f>
        <v/>
      </c>
      <c r="D699" s="46" t="str">
        <f aca="false">IF(_PENDIENTES!$B$693&lt;&gt;"",_PENDIENTES!$D$693,"")</f>
        <v/>
      </c>
      <c r="E699" s="112" t="str">
        <f aca="false">IF(_PENDIENTES!$B$693&lt;&gt;"",_PENDIENTES!$E$693,"")</f>
        <v/>
      </c>
      <c r="F699" s="46" t="str">
        <f aca="false">IF(_PENDIENTES!$B$693&lt;&gt;"",_PENDIENTES!$F$693,"")</f>
        <v/>
      </c>
      <c r="G699" s="44" t="str">
        <f aca="false">IF(_PENDIENTES!$B$693&lt;&gt;"",_PENDIENTES!$G$693,"")</f>
        <v/>
      </c>
      <c r="H699" s="44" t="str">
        <f aca="false">IF(_PENDIENTES!$B$693&lt;&gt;"",_PENDIENTES!$H$693,"")</f>
        <v/>
      </c>
      <c r="I699" s="110" t="str">
        <f aca="false">IF(_PENDIENTES!$B$693&lt;&gt;"",_PENDIENTES!$I$693,"")</f>
        <v/>
      </c>
      <c r="J699" s="46" t="str">
        <f aca="false">IF(_PENDIENTES!$B$693&lt;&gt;"",_PENDIENTES!$J$693,"")</f>
        <v/>
      </c>
      <c r="K699" s="46" t="str">
        <f aca="false">IF(_PENDIENTES!$B$693&lt;&gt;"","POR RECOGER","")</f>
        <v/>
      </c>
      <c r="L699" s="46" t="str">
        <f aca="false">IF(_PENDIENTES!$B$693&lt;&gt;"",_PENDIENTES!$K$693,"")</f>
        <v/>
      </c>
      <c r="M699" s="89" t="str">
        <f aca="false">IF(_PENDIENTES!$B$693&lt;&gt;"",_PENDIENTES!$B$693,"")</f>
        <v/>
      </c>
      <c r="N699" s="109" t="str">
        <f aca="false">IF(_PENDIENTES!$B$693&lt;&gt;"",_PENDIENTES!$L$693,"")</f>
        <v/>
      </c>
      <c r="O699" s="89"/>
      <c r="P699" s="89"/>
      <c r="Q699" s="89"/>
      <c r="R699" s="89"/>
      <c r="S699" s="89"/>
    </row>
    <row r="700" customFormat="false" ht="15.75" hidden="true" customHeight="true" outlineLevel="0" collapsed="false">
      <c r="A700" s="106" t="str">
        <f aca="false">IF(_PENDIENTES!$B$694&lt;&gt;"",693,"")</f>
        <v/>
      </c>
      <c r="B700" s="47" t="str">
        <f aca="false">IF(_PENDIENTES!$B$694&lt;&gt;"",_PENDIENTES!$A$694,"")</f>
        <v/>
      </c>
      <c r="C700" s="107" t="str">
        <f aca="false">IF(_PENDIENTES!$B$694&lt;&gt;"",_PENDIENTES!$C$694,"")</f>
        <v/>
      </c>
      <c r="D700" s="106" t="str">
        <f aca="false">IF(_PENDIENTES!$B$694&lt;&gt;"",_PENDIENTES!$D$694,"")</f>
        <v/>
      </c>
      <c r="E700" s="111" t="str">
        <f aca="false">IF(_PENDIENTES!$B$694&lt;&gt;"",_PENDIENTES!$E$694,"")</f>
        <v/>
      </c>
      <c r="F700" s="106" t="str">
        <f aca="false">IF(_PENDIENTES!$B$694&lt;&gt;"",_PENDIENTES!$F$694,"")</f>
        <v/>
      </c>
      <c r="G700" s="50" t="str">
        <f aca="false">IF(_PENDIENTES!$B$694&lt;&gt;"",_PENDIENTES!$G$694,"")</f>
        <v/>
      </c>
      <c r="H700" s="50" t="str">
        <f aca="false">IF(_PENDIENTES!$B$694&lt;&gt;"",_PENDIENTES!$H$694,"")</f>
        <v/>
      </c>
      <c r="I700" s="107" t="str">
        <f aca="false">IF(_PENDIENTES!$B$694&lt;&gt;"",_PENDIENTES!$I$694,"")</f>
        <v/>
      </c>
      <c r="J700" s="106" t="str">
        <f aca="false">IF(_PENDIENTES!$B$694&lt;&gt;"",_PENDIENTES!$J$694,"")</f>
        <v/>
      </c>
      <c r="K700" s="106" t="str">
        <f aca="false">IF(_PENDIENTES!$B$694&lt;&gt;"","POR RECOGER","")</f>
        <v/>
      </c>
      <c r="L700" s="106" t="str">
        <f aca="false">IF(_PENDIENTES!$B$694&lt;&gt;"",_PENDIENTES!$K$694,"")</f>
        <v/>
      </c>
      <c r="M700" s="89" t="str">
        <f aca="false">IF(_PENDIENTES!$B$694&lt;&gt;"",_PENDIENTES!$B$694,"")</f>
        <v/>
      </c>
      <c r="N700" s="109" t="str">
        <f aca="false">IF(_PENDIENTES!$B$694&lt;&gt;"",_PENDIENTES!$L$694,"")</f>
        <v/>
      </c>
      <c r="O700" s="89"/>
      <c r="P700" s="89"/>
      <c r="Q700" s="89"/>
      <c r="R700" s="89"/>
      <c r="S700" s="89"/>
    </row>
    <row r="701" customFormat="false" ht="15.75" hidden="true" customHeight="true" outlineLevel="0" collapsed="false">
      <c r="A701" s="46" t="str">
        <f aca="false">IF(_PENDIENTES!$B$695&lt;&gt;"",694,"")</f>
        <v/>
      </c>
      <c r="B701" s="41" t="str">
        <f aca="false">IF(_PENDIENTES!$B$695&lt;&gt;"",_PENDIENTES!$A$695,"")</f>
        <v/>
      </c>
      <c r="C701" s="110" t="str">
        <f aca="false">IF(_PENDIENTES!$B$695&lt;&gt;"",_PENDIENTES!$C$695,"")</f>
        <v/>
      </c>
      <c r="D701" s="46" t="str">
        <f aca="false">IF(_PENDIENTES!$B$695&lt;&gt;"",_PENDIENTES!$D$695,"")</f>
        <v/>
      </c>
      <c r="E701" s="112" t="str">
        <f aca="false">IF(_PENDIENTES!$B$695&lt;&gt;"",_PENDIENTES!$E$695,"")</f>
        <v/>
      </c>
      <c r="F701" s="46" t="str">
        <f aca="false">IF(_PENDIENTES!$B$695&lt;&gt;"",_PENDIENTES!$F$695,"")</f>
        <v/>
      </c>
      <c r="G701" s="44" t="str">
        <f aca="false">IF(_PENDIENTES!$B$695&lt;&gt;"",_PENDIENTES!$G$695,"")</f>
        <v/>
      </c>
      <c r="H701" s="44" t="str">
        <f aca="false">IF(_PENDIENTES!$B$695&lt;&gt;"",_PENDIENTES!$H$695,"")</f>
        <v/>
      </c>
      <c r="I701" s="110" t="str">
        <f aca="false">IF(_PENDIENTES!$B$695&lt;&gt;"",_PENDIENTES!$I$695,"")</f>
        <v/>
      </c>
      <c r="J701" s="46" t="str">
        <f aca="false">IF(_PENDIENTES!$B$695&lt;&gt;"",_PENDIENTES!$J$695,"")</f>
        <v/>
      </c>
      <c r="K701" s="46" t="str">
        <f aca="false">IF(_PENDIENTES!$B$695&lt;&gt;"","POR RECOGER","")</f>
        <v/>
      </c>
      <c r="L701" s="46" t="str">
        <f aca="false">IF(_PENDIENTES!$B$695&lt;&gt;"",_PENDIENTES!$K$695,"")</f>
        <v/>
      </c>
      <c r="M701" s="89" t="str">
        <f aca="false">IF(_PENDIENTES!$B$695&lt;&gt;"",_PENDIENTES!$B$695,"")</f>
        <v/>
      </c>
      <c r="N701" s="109" t="str">
        <f aca="false">IF(_PENDIENTES!$B$695&lt;&gt;"",_PENDIENTES!$L$695,"")</f>
        <v/>
      </c>
      <c r="O701" s="89"/>
      <c r="P701" s="89"/>
      <c r="Q701" s="89"/>
      <c r="R701" s="89"/>
      <c r="S701" s="89"/>
    </row>
    <row r="702" customFormat="false" ht="15.75" hidden="true" customHeight="true" outlineLevel="0" collapsed="false">
      <c r="A702" s="106" t="str">
        <f aca="false">IF(_PENDIENTES!$B$696&lt;&gt;"",695,"")</f>
        <v/>
      </c>
      <c r="B702" s="47" t="str">
        <f aca="false">IF(_PENDIENTES!$B$696&lt;&gt;"",_PENDIENTES!$A$696,"")</f>
        <v/>
      </c>
      <c r="C702" s="107" t="str">
        <f aca="false">IF(_PENDIENTES!$B$696&lt;&gt;"",_PENDIENTES!$C$696,"")</f>
        <v/>
      </c>
      <c r="D702" s="106" t="str">
        <f aca="false">IF(_PENDIENTES!$B$696&lt;&gt;"",_PENDIENTES!$D$696,"")</f>
        <v/>
      </c>
      <c r="E702" s="111" t="str">
        <f aca="false">IF(_PENDIENTES!$B$696&lt;&gt;"",_PENDIENTES!$E$696,"")</f>
        <v/>
      </c>
      <c r="F702" s="106" t="str">
        <f aca="false">IF(_PENDIENTES!$B$696&lt;&gt;"",_PENDIENTES!$F$696,"")</f>
        <v/>
      </c>
      <c r="G702" s="50" t="str">
        <f aca="false">IF(_PENDIENTES!$B$696&lt;&gt;"",_PENDIENTES!$G$696,"")</f>
        <v/>
      </c>
      <c r="H702" s="50" t="str">
        <f aca="false">IF(_PENDIENTES!$B$696&lt;&gt;"",_PENDIENTES!$H$696,"")</f>
        <v/>
      </c>
      <c r="I702" s="107" t="str">
        <f aca="false">IF(_PENDIENTES!$B$696&lt;&gt;"",_PENDIENTES!$I$696,"")</f>
        <v/>
      </c>
      <c r="J702" s="106" t="str">
        <f aca="false">IF(_PENDIENTES!$B$696&lt;&gt;"",_PENDIENTES!$J$696,"")</f>
        <v/>
      </c>
      <c r="K702" s="106" t="str">
        <f aca="false">IF(_PENDIENTES!$B$696&lt;&gt;"","POR RECOGER","")</f>
        <v/>
      </c>
      <c r="L702" s="106" t="str">
        <f aca="false">IF(_PENDIENTES!$B$696&lt;&gt;"",_PENDIENTES!$K$696,"")</f>
        <v/>
      </c>
      <c r="M702" s="89" t="str">
        <f aca="false">IF(_PENDIENTES!$B$696&lt;&gt;"",_PENDIENTES!$B$696,"")</f>
        <v/>
      </c>
      <c r="N702" s="109" t="str">
        <f aca="false">IF(_PENDIENTES!$B$696&lt;&gt;"",_PENDIENTES!$L$696,"")</f>
        <v/>
      </c>
      <c r="O702" s="89"/>
      <c r="P702" s="89"/>
      <c r="Q702" s="89"/>
      <c r="R702" s="89"/>
      <c r="S702" s="89"/>
    </row>
    <row r="703" customFormat="false" ht="15.75" hidden="true" customHeight="true" outlineLevel="0" collapsed="false">
      <c r="A703" s="46" t="str">
        <f aca="false">IF(_PENDIENTES!$B$697&lt;&gt;"",696,"")</f>
        <v/>
      </c>
      <c r="B703" s="41" t="str">
        <f aca="false">IF(_PENDIENTES!$B$697&lt;&gt;"",_PENDIENTES!$A$697,"")</f>
        <v/>
      </c>
      <c r="C703" s="110" t="str">
        <f aca="false">IF(_PENDIENTES!$B$697&lt;&gt;"",_PENDIENTES!$C$697,"")</f>
        <v/>
      </c>
      <c r="D703" s="46" t="str">
        <f aca="false">IF(_PENDIENTES!$B$697&lt;&gt;"",_PENDIENTES!$D$697,"")</f>
        <v/>
      </c>
      <c r="E703" s="112" t="str">
        <f aca="false">IF(_PENDIENTES!$B$697&lt;&gt;"",_PENDIENTES!$E$697,"")</f>
        <v/>
      </c>
      <c r="F703" s="46" t="str">
        <f aca="false">IF(_PENDIENTES!$B$697&lt;&gt;"",_PENDIENTES!$F$697,"")</f>
        <v/>
      </c>
      <c r="G703" s="44" t="str">
        <f aca="false">IF(_PENDIENTES!$B$697&lt;&gt;"",_PENDIENTES!$G$697,"")</f>
        <v/>
      </c>
      <c r="H703" s="44" t="str">
        <f aca="false">IF(_PENDIENTES!$B$697&lt;&gt;"",_PENDIENTES!$H$697,"")</f>
        <v/>
      </c>
      <c r="I703" s="110" t="str">
        <f aca="false">IF(_PENDIENTES!$B$697&lt;&gt;"",_PENDIENTES!$I$697,"")</f>
        <v/>
      </c>
      <c r="J703" s="46" t="str">
        <f aca="false">IF(_PENDIENTES!$B$697&lt;&gt;"",_PENDIENTES!$J$697,"")</f>
        <v/>
      </c>
      <c r="K703" s="46" t="str">
        <f aca="false">IF(_PENDIENTES!$B$697&lt;&gt;"","POR RECOGER","")</f>
        <v/>
      </c>
      <c r="L703" s="46" t="str">
        <f aca="false">IF(_PENDIENTES!$B$697&lt;&gt;"",_PENDIENTES!$K$697,"")</f>
        <v/>
      </c>
      <c r="M703" s="89" t="str">
        <f aca="false">IF(_PENDIENTES!$B$697&lt;&gt;"",_PENDIENTES!$B$697,"")</f>
        <v/>
      </c>
      <c r="N703" s="109" t="str">
        <f aca="false">IF(_PENDIENTES!$B$697&lt;&gt;"",_PENDIENTES!$L$697,"")</f>
        <v/>
      </c>
      <c r="O703" s="89"/>
      <c r="P703" s="89"/>
      <c r="Q703" s="89"/>
      <c r="R703" s="89"/>
      <c r="S703" s="89"/>
    </row>
    <row r="704" customFormat="false" ht="15.75" hidden="true" customHeight="true" outlineLevel="0" collapsed="false">
      <c r="A704" s="106" t="str">
        <f aca="false">IF(_PENDIENTES!$B$698&lt;&gt;"",697,"")</f>
        <v/>
      </c>
      <c r="B704" s="47" t="str">
        <f aca="false">IF(_PENDIENTES!$B$698&lt;&gt;"",_PENDIENTES!$A$698,"")</f>
        <v/>
      </c>
      <c r="C704" s="107" t="str">
        <f aca="false">IF(_PENDIENTES!$B$698&lt;&gt;"",_PENDIENTES!$C$698,"")</f>
        <v/>
      </c>
      <c r="D704" s="106" t="str">
        <f aca="false">IF(_PENDIENTES!$B$698&lt;&gt;"",_PENDIENTES!$D$698,"")</f>
        <v/>
      </c>
      <c r="E704" s="111" t="str">
        <f aca="false">IF(_PENDIENTES!$B$698&lt;&gt;"",_PENDIENTES!$E$698,"")</f>
        <v/>
      </c>
      <c r="F704" s="106" t="str">
        <f aca="false">IF(_PENDIENTES!$B$698&lt;&gt;"",_PENDIENTES!$F$698,"")</f>
        <v/>
      </c>
      <c r="G704" s="50" t="str">
        <f aca="false">IF(_PENDIENTES!$B$698&lt;&gt;"",_PENDIENTES!$G$698,"")</f>
        <v/>
      </c>
      <c r="H704" s="50" t="str">
        <f aca="false">IF(_PENDIENTES!$B$698&lt;&gt;"",_PENDIENTES!$H$698,"")</f>
        <v/>
      </c>
      <c r="I704" s="107" t="str">
        <f aca="false">IF(_PENDIENTES!$B$698&lt;&gt;"",_PENDIENTES!$I$698,"")</f>
        <v/>
      </c>
      <c r="J704" s="106" t="str">
        <f aca="false">IF(_PENDIENTES!$B$698&lt;&gt;"",_PENDIENTES!$J$698,"")</f>
        <v/>
      </c>
      <c r="K704" s="106" t="str">
        <f aca="false">IF(_PENDIENTES!$B$698&lt;&gt;"","POR RECOGER","")</f>
        <v/>
      </c>
      <c r="L704" s="106" t="str">
        <f aca="false">IF(_PENDIENTES!$B$698&lt;&gt;"",_PENDIENTES!$K$698,"")</f>
        <v/>
      </c>
      <c r="M704" s="89" t="str">
        <f aca="false">IF(_PENDIENTES!$B$698&lt;&gt;"",_PENDIENTES!$B$698,"")</f>
        <v/>
      </c>
      <c r="N704" s="109" t="str">
        <f aca="false">IF(_PENDIENTES!$B$698&lt;&gt;"",_PENDIENTES!$L$698,"")</f>
        <v/>
      </c>
      <c r="O704" s="89"/>
      <c r="P704" s="89"/>
      <c r="Q704" s="89"/>
      <c r="R704" s="89"/>
      <c r="S704" s="89"/>
    </row>
    <row r="705" customFormat="false" ht="15.75" hidden="true" customHeight="true" outlineLevel="0" collapsed="false">
      <c r="A705" s="46" t="str">
        <f aca="false">IF(_PENDIENTES!$B$699&lt;&gt;"",698,"")</f>
        <v/>
      </c>
      <c r="B705" s="41" t="str">
        <f aca="false">IF(_PENDIENTES!$B$699&lt;&gt;"",_PENDIENTES!$A$699,"")</f>
        <v/>
      </c>
      <c r="C705" s="110" t="str">
        <f aca="false">IF(_PENDIENTES!$B$699&lt;&gt;"",_PENDIENTES!$C$699,"")</f>
        <v/>
      </c>
      <c r="D705" s="46" t="str">
        <f aca="false">IF(_PENDIENTES!$B$699&lt;&gt;"",_PENDIENTES!$D$699,"")</f>
        <v/>
      </c>
      <c r="E705" s="112" t="str">
        <f aca="false">IF(_PENDIENTES!$B$699&lt;&gt;"",_PENDIENTES!$E$699,"")</f>
        <v/>
      </c>
      <c r="F705" s="46" t="str">
        <f aca="false">IF(_PENDIENTES!$B$699&lt;&gt;"",_PENDIENTES!$F$699,"")</f>
        <v/>
      </c>
      <c r="G705" s="44" t="str">
        <f aca="false">IF(_PENDIENTES!$B$699&lt;&gt;"",_PENDIENTES!$G$699,"")</f>
        <v/>
      </c>
      <c r="H705" s="44" t="str">
        <f aca="false">IF(_PENDIENTES!$B$699&lt;&gt;"",_PENDIENTES!$H$699,"")</f>
        <v/>
      </c>
      <c r="I705" s="110" t="str">
        <f aca="false">IF(_PENDIENTES!$B$699&lt;&gt;"",_PENDIENTES!$I$699,"")</f>
        <v/>
      </c>
      <c r="J705" s="46" t="str">
        <f aca="false">IF(_PENDIENTES!$B$699&lt;&gt;"",_PENDIENTES!$J$699,"")</f>
        <v/>
      </c>
      <c r="K705" s="46" t="str">
        <f aca="false">IF(_PENDIENTES!$B$699&lt;&gt;"","POR RECOGER","")</f>
        <v/>
      </c>
      <c r="L705" s="46" t="str">
        <f aca="false">IF(_PENDIENTES!$B$699&lt;&gt;"",_PENDIENTES!$K$699,"")</f>
        <v/>
      </c>
      <c r="M705" s="89" t="str">
        <f aca="false">IF(_PENDIENTES!$B$699&lt;&gt;"",_PENDIENTES!$B$699,"")</f>
        <v/>
      </c>
      <c r="N705" s="109" t="str">
        <f aca="false">IF(_PENDIENTES!$B$699&lt;&gt;"",_PENDIENTES!$L$699,"")</f>
        <v/>
      </c>
      <c r="O705" s="89"/>
      <c r="P705" s="89"/>
      <c r="Q705" s="89"/>
      <c r="R705" s="89"/>
      <c r="S705" s="89"/>
    </row>
    <row r="706" customFormat="false" ht="15.75" hidden="true" customHeight="true" outlineLevel="0" collapsed="false">
      <c r="A706" s="106" t="str">
        <f aca="false">IF(_PENDIENTES!$B$700&lt;&gt;"",699,"")</f>
        <v/>
      </c>
      <c r="B706" s="47" t="str">
        <f aca="false">IF(_PENDIENTES!$B$700&lt;&gt;"",_PENDIENTES!$A$700,"")</f>
        <v/>
      </c>
      <c r="C706" s="107" t="str">
        <f aca="false">IF(_PENDIENTES!$B$700&lt;&gt;"",_PENDIENTES!$C$700,"")</f>
        <v/>
      </c>
      <c r="D706" s="106" t="str">
        <f aca="false">IF(_PENDIENTES!$B$700&lt;&gt;"",_PENDIENTES!$D$700,"")</f>
        <v/>
      </c>
      <c r="E706" s="111" t="str">
        <f aca="false">IF(_PENDIENTES!$B$700&lt;&gt;"",_PENDIENTES!$E$700,"")</f>
        <v/>
      </c>
      <c r="F706" s="106" t="str">
        <f aca="false">IF(_PENDIENTES!$B$700&lt;&gt;"",_PENDIENTES!$F$700,"")</f>
        <v/>
      </c>
      <c r="G706" s="50" t="str">
        <f aca="false">IF(_PENDIENTES!$B$700&lt;&gt;"",_PENDIENTES!$G$700,"")</f>
        <v/>
      </c>
      <c r="H706" s="50" t="str">
        <f aca="false">IF(_PENDIENTES!$B$700&lt;&gt;"",_PENDIENTES!$H$700,"")</f>
        <v/>
      </c>
      <c r="I706" s="107" t="str">
        <f aca="false">IF(_PENDIENTES!$B$700&lt;&gt;"",_PENDIENTES!$I$700,"")</f>
        <v/>
      </c>
      <c r="J706" s="106" t="str">
        <f aca="false">IF(_PENDIENTES!$B$700&lt;&gt;"",_PENDIENTES!$J$700,"")</f>
        <v/>
      </c>
      <c r="K706" s="106" t="str">
        <f aca="false">IF(_PENDIENTES!$B$700&lt;&gt;"","POR RECOGER","")</f>
        <v/>
      </c>
      <c r="L706" s="106" t="str">
        <f aca="false">IF(_PENDIENTES!$B$700&lt;&gt;"",_PENDIENTES!$K$700,"")</f>
        <v/>
      </c>
      <c r="M706" s="89" t="str">
        <f aca="false">IF(_PENDIENTES!$B$700&lt;&gt;"",_PENDIENTES!$B$700,"")</f>
        <v/>
      </c>
      <c r="N706" s="109" t="str">
        <f aca="false">IF(_PENDIENTES!$B$700&lt;&gt;"",_PENDIENTES!$L$700,"")</f>
        <v/>
      </c>
      <c r="O706" s="89"/>
      <c r="P706" s="89"/>
      <c r="Q706" s="89"/>
      <c r="R706" s="89"/>
      <c r="S706" s="89"/>
    </row>
    <row r="707" customFormat="false" ht="15.75" hidden="true" customHeight="true" outlineLevel="0" collapsed="false">
      <c r="A707" s="46" t="str">
        <f aca="false">IF(_PENDIENTES!$B$701&lt;&gt;"",700,"")</f>
        <v/>
      </c>
      <c r="B707" s="41" t="str">
        <f aca="false">IF(_PENDIENTES!$B$701&lt;&gt;"",_PENDIENTES!$A$701,"")</f>
        <v/>
      </c>
      <c r="C707" s="110" t="str">
        <f aca="false">IF(_PENDIENTES!$B$701&lt;&gt;"",_PENDIENTES!$C$701,"")</f>
        <v/>
      </c>
      <c r="D707" s="46" t="str">
        <f aca="false">IF(_PENDIENTES!$B$701&lt;&gt;"",_PENDIENTES!$D$701,"")</f>
        <v/>
      </c>
      <c r="E707" s="112" t="str">
        <f aca="false">IF(_PENDIENTES!$B$701&lt;&gt;"",_PENDIENTES!$E$701,"")</f>
        <v/>
      </c>
      <c r="F707" s="46" t="str">
        <f aca="false">IF(_PENDIENTES!$B$701&lt;&gt;"",_PENDIENTES!$F$701,"")</f>
        <v/>
      </c>
      <c r="G707" s="44" t="str">
        <f aca="false">IF(_PENDIENTES!$B$701&lt;&gt;"",_PENDIENTES!$G$701,"")</f>
        <v/>
      </c>
      <c r="H707" s="44" t="str">
        <f aca="false">IF(_PENDIENTES!$B$701&lt;&gt;"",_PENDIENTES!$H$701,"")</f>
        <v/>
      </c>
      <c r="I707" s="110" t="str">
        <f aca="false">IF(_PENDIENTES!$B$701&lt;&gt;"",_PENDIENTES!$I$701,"")</f>
        <v/>
      </c>
      <c r="J707" s="46" t="str">
        <f aca="false">IF(_PENDIENTES!$B$701&lt;&gt;"",_PENDIENTES!$J$701,"")</f>
        <v/>
      </c>
      <c r="K707" s="46" t="str">
        <f aca="false">IF(_PENDIENTES!$B$701&lt;&gt;"","POR RECOGER","")</f>
        <v/>
      </c>
      <c r="L707" s="46" t="str">
        <f aca="false">IF(_PENDIENTES!$B$701&lt;&gt;"",_PENDIENTES!$K$701,"")</f>
        <v/>
      </c>
      <c r="M707" s="89" t="str">
        <f aca="false">IF(_PENDIENTES!$B$701&lt;&gt;"",_PENDIENTES!$B$701,"")</f>
        <v/>
      </c>
      <c r="N707" s="109" t="str">
        <f aca="false">IF(_PENDIENTES!$B$701&lt;&gt;"",_PENDIENTES!$L$701,"")</f>
        <v/>
      </c>
      <c r="O707" s="89"/>
      <c r="P707" s="89"/>
      <c r="Q707" s="89"/>
      <c r="R707" s="89"/>
      <c r="S707" s="89"/>
    </row>
    <row r="708" customFormat="false" ht="15.75" hidden="true" customHeight="true" outlineLevel="0" collapsed="false">
      <c r="A708" s="106" t="str">
        <f aca="false">IF(_PENDIENTES!$B$702&lt;&gt;"",701,"")</f>
        <v/>
      </c>
      <c r="B708" s="47" t="str">
        <f aca="false">IF(_PENDIENTES!$B$702&lt;&gt;"",_PENDIENTES!$A$702,"")</f>
        <v/>
      </c>
      <c r="C708" s="107" t="str">
        <f aca="false">IF(_PENDIENTES!$B$702&lt;&gt;"",_PENDIENTES!$C$702,"")</f>
        <v/>
      </c>
      <c r="D708" s="106" t="str">
        <f aca="false">IF(_PENDIENTES!$B$702&lt;&gt;"",_PENDIENTES!$D$702,"")</f>
        <v/>
      </c>
      <c r="E708" s="111" t="str">
        <f aca="false">IF(_PENDIENTES!$B$702&lt;&gt;"",_PENDIENTES!$E$702,"")</f>
        <v/>
      </c>
      <c r="F708" s="106" t="str">
        <f aca="false">IF(_PENDIENTES!$B$702&lt;&gt;"",_PENDIENTES!$F$702,"")</f>
        <v/>
      </c>
      <c r="G708" s="50" t="str">
        <f aca="false">IF(_PENDIENTES!$B$702&lt;&gt;"",_PENDIENTES!$G$702,"")</f>
        <v/>
      </c>
      <c r="H708" s="50" t="str">
        <f aca="false">IF(_PENDIENTES!$B$702&lt;&gt;"",_PENDIENTES!$H$702,"")</f>
        <v/>
      </c>
      <c r="I708" s="107" t="str">
        <f aca="false">IF(_PENDIENTES!$B$702&lt;&gt;"",_PENDIENTES!$I$702,"")</f>
        <v/>
      </c>
      <c r="J708" s="106" t="str">
        <f aca="false">IF(_PENDIENTES!$B$702&lt;&gt;"",_PENDIENTES!$J$702,"")</f>
        <v/>
      </c>
      <c r="K708" s="106" t="str">
        <f aca="false">IF(_PENDIENTES!$B$702&lt;&gt;"","POR RECOGER","")</f>
        <v/>
      </c>
      <c r="L708" s="106" t="str">
        <f aca="false">IF(_PENDIENTES!$B$702&lt;&gt;"",_PENDIENTES!$K$702,"")</f>
        <v/>
      </c>
      <c r="M708" s="89" t="str">
        <f aca="false">IF(_PENDIENTES!$B$702&lt;&gt;"",_PENDIENTES!$B$702,"")</f>
        <v/>
      </c>
      <c r="N708" s="109" t="str">
        <f aca="false">IF(_PENDIENTES!$B$702&lt;&gt;"",_PENDIENTES!$L$702,"")</f>
        <v/>
      </c>
      <c r="O708" s="89"/>
      <c r="P708" s="89"/>
      <c r="Q708" s="89"/>
      <c r="R708" s="89"/>
      <c r="S708" s="89"/>
    </row>
    <row r="709" customFormat="false" ht="15.75" hidden="true" customHeight="true" outlineLevel="0" collapsed="false">
      <c r="A709" s="46" t="str">
        <f aca="false">IF(_PENDIENTES!$B$703&lt;&gt;"",702,"")</f>
        <v/>
      </c>
      <c r="B709" s="41" t="str">
        <f aca="false">IF(_PENDIENTES!$B$703&lt;&gt;"",_PENDIENTES!$A$703,"")</f>
        <v/>
      </c>
      <c r="C709" s="110" t="str">
        <f aca="false">IF(_PENDIENTES!$B$703&lt;&gt;"",_PENDIENTES!$C$703,"")</f>
        <v/>
      </c>
      <c r="D709" s="46" t="str">
        <f aca="false">IF(_PENDIENTES!$B$703&lt;&gt;"",_PENDIENTES!$D$703,"")</f>
        <v/>
      </c>
      <c r="E709" s="112" t="str">
        <f aca="false">IF(_PENDIENTES!$B$703&lt;&gt;"",_PENDIENTES!$E$703,"")</f>
        <v/>
      </c>
      <c r="F709" s="46" t="str">
        <f aca="false">IF(_PENDIENTES!$B$703&lt;&gt;"",_PENDIENTES!$F$703,"")</f>
        <v/>
      </c>
      <c r="G709" s="44" t="str">
        <f aca="false">IF(_PENDIENTES!$B$703&lt;&gt;"",_PENDIENTES!$G$703,"")</f>
        <v/>
      </c>
      <c r="H709" s="44" t="str">
        <f aca="false">IF(_PENDIENTES!$B$703&lt;&gt;"",_PENDIENTES!$H$703,"")</f>
        <v/>
      </c>
      <c r="I709" s="110" t="str">
        <f aca="false">IF(_PENDIENTES!$B$703&lt;&gt;"",_PENDIENTES!$I$703,"")</f>
        <v/>
      </c>
      <c r="J709" s="46" t="str">
        <f aca="false">IF(_PENDIENTES!$B$703&lt;&gt;"",_PENDIENTES!$J$703,"")</f>
        <v/>
      </c>
      <c r="K709" s="46" t="str">
        <f aca="false">IF(_PENDIENTES!$B$703&lt;&gt;"","POR RECOGER","")</f>
        <v/>
      </c>
      <c r="L709" s="46" t="str">
        <f aca="false">IF(_PENDIENTES!$B$703&lt;&gt;"",_PENDIENTES!$K$703,"")</f>
        <v/>
      </c>
      <c r="M709" s="89" t="str">
        <f aca="false">IF(_PENDIENTES!$B$703&lt;&gt;"",_PENDIENTES!$B$703,"")</f>
        <v/>
      </c>
      <c r="N709" s="109" t="str">
        <f aca="false">IF(_PENDIENTES!$B$703&lt;&gt;"",_PENDIENTES!$L$703,"")</f>
        <v/>
      </c>
      <c r="O709" s="89"/>
      <c r="P709" s="89"/>
      <c r="Q709" s="89"/>
      <c r="R709" s="89"/>
      <c r="S709" s="89"/>
    </row>
    <row r="710" customFormat="false" ht="15.75" hidden="true" customHeight="true" outlineLevel="0" collapsed="false">
      <c r="A710" s="106" t="str">
        <f aca="false">IF(_PENDIENTES!$B$704&lt;&gt;"",703,"")</f>
        <v/>
      </c>
      <c r="B710" s="47" t="str">
        <f aca="false">IF(_PENDIENTES!$B$704&lt;&gt;"",_PENDIENTES!$A$704,"")</f>
        <v/>
      </c>
      <c r="C710" s="107" t="str">
        <f aca="false">IF(_PENDIENTES!$B$704&lt;&gt;"",_PENDIENTES!$C$704,"")</f>
        <v/>
      </c>
      <c r="D710" s="106" t="str">
        <f aca="false">IF(_PENDIENTES!$B$704&lt;&gt;"",_PENDIENTES!$D$704,"")</f>
        <v/>
      </c>
      <c r="E710" s="111" t="str">
        <f aca="false">IF(_PENDIENTES!$B$704&lt;&gt;"",_PENDIENTES!$E$704,"")</f>
        <v/>
      </c>
      <c r="F710" s="106" t="str">
        <f aca="false">IF(_PENDIENTES!$B$704&lt;&gt;"",_PENDIENTES!$F$704,"")</f>
        <v/>
      </c>
      <c r="G710" s="50" t="str">
        <f aca="false">IF(_PENDIENTES!$B$704&lt;&gt;"",_PENDIENTES!$G$704,"")</f>
        <v/>
      </c>
      <c r="H710" s="50" t="str">
        <f aca="false">IF(_PENDIENTES!$B$704&lt;&gt;"",_PENDIENTES!$H$704,"")</f>
        <v/>
      </c>
      <c r="I710" s="107" t="str">
        <f aca="false">IF(_PENDIENTES!$B$704&lt;&gt;"",_PENDIENTES!$I$704,"")</f>
        <v/>
      </c>
      <c r="J710" s="106" t="str">
        <f aca="false">IF(_PENDIENTES!$B$704&lt;&gt;"",_PENDIENTES!$J$704,"")</f>
        <v/>
      </c>
      <c r="K710" s="106" t="str">
        <f aca="false">IF(_PENDIENTES!$B$704&lt;&gt;"","POR RECOGER","")</f>
        <v/>
      </c>
      <c r="L710" s="106" t="str">
        <f aca="false">IF(_PENDIENTES!$B$704&lt;&gt;"",_PENDIENTES!$K$704,"")</f>
        <v/>
      </c>
      <c r="M710" s="89" t="str">
        <f aca="false">IF(_PENDIENTES!$B$704&lt;&gt;"",_PENDIENTES!$B$704,"")</f>
        <v/>
      </c>
      <c r="N710" s="109" t="str">
        <f aca="false">IF(_PENDIENTES!$B$704&lt;&gt;"",_PENDIENTES!$L$704,"")</f>
        <v/>
      </c>
      <c r="O710" s="89"/>
      <c r="P710" s="89"/>
      <c r="Q710" s="89"/>
      <c r="R710" s="89"/>
      <c r="S710" s="89"/>
    </row>
    <row r="711" customFormat="false" ht="15.75" hidden="true" customHeight="true" outlineLevel="0" collapsed="false">
      <c r="A711" s="46" t="str">
        <f aca="false">IF(_PENDIENTES!$B$705&lt;&gt;"",704,"")</f>
        <v/>
      </c>
      <c r="B711" s="41" t="str">
        <f aca="false">IF(_PENDIENTES!$B$705&lt;&gt;"",_PENDIENTES!$A$705,"")</f>
        <v/>
      </c>
      <c r="C711" s="110" t="str">
        <f aca="false">IF(_PENDIENTES!$B$705&lt;&gt;"",_PENDIENTES!$C$705,"")</f>
        <v/>
      </c>
      <c r="D711" s="46" t="str">
        <f aca="false">IF(_PENDIENTES!$B$705&lt;&gt;"",_PENDIENTES!$D$705,"")</f>
        <v/>
      </c>
      <c r="E711" s="112" t="str">
        <f aca="false">IF(_PENDIENTES!$B$705&lt;&gt;"",_PENDIENTES!$E$705,"")</f>
        <v/>
      </c>
      <c r="F711" s="46" t="str">
        <f aca="false">IF(_PENDIENTES!$B$705&lt;&gt;"",_PENDIENTES!$F$705,"")</f>
        <v/>
      </c>
      <c r="G711" s="44" t="str">
        <f aca="false">IF(_PENDIENTES!$B$705&lt;&gt;"",_PENDIENTES!$G$705,"")</f>
        <v/>
      </c>
      <c r="H711" s="44" t="str">
        <f aca="false">IF(_PENDIENTES!$B$705&lt;&gt;"",_PENDIENTES!$H$705,"")</f>
        <v/>
      </c>
      <c r="I711" s="110" t="str">
        <f aca="false">IF(_PENDIENTES!$B$705&lt;&gt;"",_PENDIENTES!$I$705,"")</f>
        <v/>
      </c>
      <c r="J711" s="46" t="str">
        <f aca="false">IF(_PENDIENTES!$B$705&lt;&gt;"",_PENDIENTES!$J$705,"")</f>
        <v/>
      </c>
      <c r="K711" s="46" t="str">
        <f aca="false">IF(_PENDIENTES!$B$705&lt;&gt;"","POR RECOGER","")</f>
        <v/>
      </c>
      <c r="L711" s="46" t="str">
        <f aca="false">IF(_PENDIENTES!$B$705&lt;&gt;"",_PENDIENTES!$K$705,"")</f>
        <v/>
      </c>
      <c r="M711" s="89" t="str">
        <f aca="false">IF(_PENDIENTES!$B$705&lt;&gt;"",_PENDIENTES!$B$705,"")</f>
        <v/>
      </c>
      <c r="N711" s="109" t="str">
        <f aca="false">IF(_PENDIENTES!$B$705&lt;&gt;"",_PENDIENTES!$L$705,"")</f>
        <v/>
      </c>
      <c r="O711" s="89"/>
      <c r="P711" s="89"/>
      <c r="Q711" s="89"/>
      <c r="R711" s="89"/>
      <c r="S711" s="89"/>
    </row>
    <row r="712" customFormat="false" ht="15.75" hidden="true" customHeight="true" outlineLevel="0" collapsed="false">
      <c r="A712" s="106" t="str">
        <f aca="false">IF(_PENDIENTES!$B$706&lt;&gt;"",705,"")</f>
        <v/>
      </c>
      <c r="B712" s="47" t="str">
        <f aca="false">IF(_PENDIENTES!$B$706&lt;&gt;"",_PENDIENTES!$A$706,"")</f>
        <v/>
      </c>
      <c r="C712" s="107" t="str">
        <f aca="false">IF(_PENDIENTES!$B$706&lt;&gt;"",_PENDIENTES!$C$706,"")</f>
        <v/>
      </c>
      <c r="D712" s="106" t="str">
        <f aca="false">IF(_PENDIENTES!$B$706&lt;&gt;"",_PENDIENTES!$D$706,"")</f>
        <v/>
      </c>
      <c r="E712" s="111" t="str">
        <f aca="false">IF(_PENDIENTES!$B$706&lt;&gt;"",_PENDIENTES!$E$706,"")</f>
        <v/>
      </c>
      <c r="F712" s="106" t="str">
        <f aca="false">IF(_PENDIENTES!$B$706&lt;&gt;"",_PENDIENTES!$F$706,"")</f>
        <v/>
      </c>
      <c r="G712" s="50" t="str">
        <f aca="false">IF(_PENDIENTES!$B$706&lt;&gt;"",_PENDIENTES!$G$706,"")</f>
        <v/>
      </c>
      <c r="H712" s="50" t="str">
        <f aca="false">IF(_PENDIENTES!$B$706&lt;&gt;"",_PENDIENTES!$H$706,"")</f>
        <v/>
      </c>
      <c r="I712" s="107" t="str">
        <f aca="false">IF(_PENDIENTES!$B$706&lt;&gt;"",_PENDIENTES!$I$706,"")</f>
        <v/>
      </c>
      <c r="J712" s="106" t="str">
        <f aca="false">IF(_PENDIENTES!$B$706&lt;&gt;"",_PENDIENTES!$J$706,"")</f>
        <v/>
      </c>
      <c r="K712" s="106" t="str">
        <f aca="false">IF(_PENDIENTES!$B$706&lt;&gt;"","POR RECOGER","")</f>
        <v/>
      </c>
      <c r="L712" s="106" t="str">
        <f aca="false">IF(_PENDIENTES!$B$706&lt;&gt;"",_PENDIENTES!$K$706,"")</f>
        <v/>
      </c>
      <c r="M712" s="89" t="str">
        <f aca="false">IF(_PENDIENTES!$B$706&lt;&gt;"",_PENDIENTES!$B$706,"")</f>
        <v/>
      </c>
      <c r="N712" s="109" t="str">
        <f aca="false">IF(_PENDIENTES!$B$706&lt;&gt;"",_PENDIENTES!$L$706,"")</f>
        <v/>
      </c>
      <c r="O712" s="89"/>
      <c r="P712" s="89"/>
      <c r="Q712" s="89"/>
      <c r="R712" s="89"/>
      <c r="S712" s="89"/>
    </row>
    <row r="713" customFormat="false" ht="15.75" hidden="true" customHeight="true" outlineLevel="0" collapsed="false">
      <c r="A713" s="46" t="str">
        <f aca="false">IF(_PENDIENTES!$B$707&lt;&gt;"",706,"")</f>
        <v/>
      </c>
      <c r="B713" s="41" t="str">
        <f aca="false">IF(_PENDIENTES!$B$707&lt;&gt;"",_PENDIENTES!$A$707,"")</f>
        <v/>
      </c>
      <c r="C713" s="110" t="str">
        <f aca="false">IF(_PENDIENTES!$B$707&lt;&gt;"",_PENDIENTES!$C$707,"")</f>
        <v/>
      </c>
      <c r="D713" s="46" t="str">
        <f aca="false">IF(_PENDIENTES!$B$707&lt;&gt;"",_PENDIENTES!$D$707,"")</f>
        <v/>
      </c>
      <c r="E713" s="112" t="str">
        <f aca="false">IF(_PENDIENTES!$B$707&lt;&gt;"",_PENDIENTES!$E$707,"")</f>
        <v/>
      </c>
      <c r="F713" s="46" t="str">
        <f aca="false">IF(_PENDIENTES!$B$707&lt;&gt;"",_PENDIENTES!$F$707,"")</f>
        <v/>
      </c>
      <c r="G713" s="44" t="str">
        <f aca="false">IF(_PENDIENTES!$B$707&lt;&gt;"",_PENDIENTES!$G$707,"")</f>
        <v/>
      </c>
      <c r="H713" s="44" t="str">
        <f aca="false">IF(_PENDIENTES!$B$707&lt;&gt;"",_PENDIENTES!$H$707,"")</f>
        <v/>
      </c>
      <c r="I713" s="110" t="str">
        <f aca="false">IF(_PENDIENTES!$B$707&lt;&gt;"",_PENDIENTES!$I$707,"")</f>
        <v/>
      </c>
      <c r="J713" s="46" t="str">
        <f aca="false">IF(_PENDIENTES!$B$707&lt;&gt;"",_PENDIENTES!$J$707,"")</f>
        <v/>
      </c>
      <c r="K713" s="46" t="str">
        <f aca="false">IF(_PENDIENTES!$B$707&lt;&gt;"","POR RECOGER","")</f>
        <v/>
      </c>
      <c r="L713" s="46" t="str">
        <f aca="false">IF(_PENDIENTES!$B$707&lt;&gt;"",_PENDIENTES!$K$707,"")</f>
        <v/>
      </c>
      <c r="M713" s="89" t="str">
        <f aca="false">IF(_PENDIENTES!$B$707&lt;&gt;"",_PENDIENTES!$B$707,"")</f>
        <v/>
      </c>
      <c r="N713" s="109" t="str">
        <f aca="false">IF(_PENDIENTES!$B$707&lt;&gt;"",_PENDIENTES!$L$707,"")</f>
        <v/>
      </c>
      <c r="O713" s="89"/>
      <c r="P713" s="89"/>
      <c r="Q713" s="89"/>
      <c r="R713" s="89"/>
      <c r="S713" s="89"/>
    </row>
    <row r="714" customFormat="false" ht="15.75" hidden="true" customHeight="true" outlineLevel="0" collapsed="false">
      <c r="A714" s="106" t="str">
        <f aca="false">IF(_PENDIENTES!$B$708&lt;&gt;"",707,"")</f>
        <v/>
      </c>
      <c r="B714" s="47" t="str">
        <f aca="false">IF(_PENDIENTES!$B$708&lt;&gt;"",_PENDIENTES!$A$708,"")</f>
        <v/>
      </c>
      <c r="C714" s="107" t="str">
        <f aca="false">IF(_PENDIENTES!$B$708&lt;&gt;"",_PENDIENTES!$C$708,"")</f>
        <v/>
      </c>
      <c r="D714" s="106" t="str">
        <f aca="false">IF(_PENDIENTES!$B$708&lt;&gt;"",_PENDIENTES!$D$708,"")</f>
        <v/>
      </c>
      <c r="E714" s="111" t="str">
        <f aca="false">IF(_PENDIENTES!$B$708&lt;&gt;"",_PENDIENTES!$E$708,"")</f>
        <v/>
      </c>
      <c r="F714" s="106" t="str">
        <f aca="false">IF(_PENDIENTES!$B$708&lt;&gt;"",_PENDIENTES!$F$708,"")</f>
        <v/>
      </c>
      <c r="G714" s="50" t="str">
        <f aca="false">IF(_PENDIENTES!$B$708&lt;&gt;"",_PENDIENTES!$G$708,"")</f>
        <v/>
      </c>
      <c r="H714" s="50" t="str">
        <f aca="false">IF(_PENDIENTES!$B$708&lt;&gt;"",_PENDIENTES!$H$708,"")</f>
        <v/>
      </c>
      <c r="I714" s="107" t="str">
        <f aca="false">IF(_PENDIENTES!$B$708&lt;&gt;"",_PENDIENTES!$I$708,"")</f>
        <v/>
      </c>
      <c r="J714" s="106" t="str">
        <f aca="false">IF(_PENDIENTES!$B$708&lt;&gt;"",_PENDIENTES!$J$708,"")</f>
        <v/>
      </c>
      <c r="K714" s="106" t="str">
        <f aca="false">IF(_PENDIENTES!$B$708&lt;&gt;"","POR RECOGER","")</f>
        <v/>
      </c>
      <c r="L714" s="106" t="str">
        <f aca="false">IF(_PENDIENTES!$B$708&lt;&gt;"",_PENDIENTES!$K$708,"")</f>
        <v/>
      </c>
      <c r="M714" s="89" t="str">
        <f aca="false">IF(_PENDIENTES!$B$708&lt;&gt;"",_PENDIENTES!$B$708,"")</f>
        <v/>
      </c>
      <c r="N714" s="109" t="str">
        <f aca="false">IF(_PENDIENTES!$B$708&lt;&gt;"",_PENDIENTES!$L$708,"")</f>
        <v/>
      </c>
      <c r="O714" s="89"/>
      <c r="P714" s="89"/>
      <c r="Q714" s="89"/>
      <c r="R714" s="89"/>
      <c r="S714" s="89"/>
    </row>
    <row r="715" customFormat="false" ht="15.75" hidden="true" customHeight="true" outlineLevel="0" collapsed="false">
      <c r="A715" s="46" t="str">
        <f aca="false">IF(_PENDIENTES!$B$709&lt;&gt;"",708,"")</f>
        <v/>
      </c>
      <c r="B715" s="41" t="str">
        <f aca="false">IF(_PENDIENTES!$B$709&lt;&gt;"",_PENDIENTES!$A$709,"")</f>
        <v/>
      </c>
      <c r="C715" s="110" t="str">
        <f aca="false">IF(_PENDIENTES!$B$709&lt;&gt;"",_PENDIENTES!$C$709,"")</f>
        <v/>
      </c>
      <c r="D715" s="46" t="str">
        <f aca="false">IF(_PENDIENTES!$B$709&lt;&gt;"",_PENDIENTES!$D$709,"")</f>
        <v/>
      </c>
      <c r="E715" s="112" t="str">
        <f aca="false">IF(_PENDIENTES!$B$709&lt;&gt;"",_PENDIENTES!$E$709,"")</f>
        <v/>
      </c>
      <c r="F715" s="46" t="str">
        <f aca="false">IF(_PENDIENTES!$B$709&lt;&gt;"",_PENDIENTES!$F$709,"")</f>
        <v/>
      </c>
      <c r="G715" s="44" t="str">
        <f aca="false">IF(_PENDIENTES!$B$709&lt;&gt;"",_PENDIENTES!$G$709,"")</f>
        <v/>
      </c>
      <c r="H715" s="44" t="str">
        <f aca="false">IF(_PENDIENTES!$B$709&lt;&gt;"",_PENDIENTES!$H$709,"")</f>
        <v/>
      </c>
      <c r="I715" s="110" t="str">
        <f aca="false">IF(_PENDIENTES!$B$709&lt;&gt;"",_PENDIENTES!$I$709,"")</f>
        <v/>
      </c>
      <c r="J715" s="46" t="str">
        <f aca="false">IF(_PENDIENTES!$B$709&lt;&gt;"",_PENDIENTES!$J$709,"")</f>
        <v/>
      </c>
      <c r="K715" s="46" t="str">
        <f aca="false">IF(_PENDIENTES!$B$709&lt;&gt;"","POR RECOGER","")</f>
        <v/>
      </c>
      <c r="L715" s="46" t="str">
        <f aca="false">IF(_PENDIENTES!$B$709&lt;&gt;"",_PENDIENTES!$K$709,"")</f>
        <v/>
      </c>
      <c r="M715" s="89" t="str">
        <f aca="false">IF(_PENDIENTES!$B$709&lt;&gt;"",_PENDIENTES!$B$709,"")</f>
        <v/>
      </c>
      <c r="N715" s="109" t="str">
        <f aca="false">IF(_PENDIENTES!$B$709&lt;&gt;"",_PENDIENTES!$L$709,"")</f>
        <v/>
      </c>
      <c r="O715" s="89"/>
      <c r="P715" s="89"/>
      <c r="Q715" s="89"/>
      <c r="R715" s="89"/>
      <c r="S715" s="89"/>
    </row>
    <row r="716" customFormat="false" ht="15.75" hidden="true" customHeight="true" outlineLevel="0" collapsed="false">
      <c r="A716" s="106" t="str">
        <f aca="false">IF(_PENDIENTES!$B$710&lt;&gt;"",709,"")</f>
        <v/>
      </c>
      <c r="B716" s="47" t="str">
        <f aca="false">IF(_PENDIENTES!$B$710&lt;&gt;"",_PENDIENTES!$A$710,"")</f>
        <v/>
      </c>
      <c r="C716" s="107" t="str">
        <f aca="false">IF(_PENDIENTES!$B$710&lt;&gt;"",_PENDIENTES!$C$710,"")</f>
        <v/>
      </c>
      <c r="D716" s="106" t="str">
        <f aca="false">IF(_PENDIENTES!$B$710&lt;&gt;"",_PENDIENTES!$D$710,"")</f>
        <v/>
      </c>
      <c r="E716" s="111" t="str">
        <f aca="false">IF(_PENDIENTES!$B$710&lt;&gt;"",_PENDIENTES!$E$710,"")</f>
        <v/>
      </c>
      <c r="F716" s="106" t="str">
        <f aca="false">IF(_PENDIENTES!$B$710&lt;&gt;"",_PENDIENTES!$F$710,"")</f>
        <v/>
      </c>
      <c r="G716" s="50" t="str">
        <f aca="false">IF(_PENDIENTES!$B$710&lt;&gt;"",_PENDIENTES!$G$710,"")</f>
        <v/>
      </c>
      <c r="H716" s="50" t="str">
        <f aca="false">IF(_PENDIENTES!$B$710&lt;&gt;"",_PENDIENTES!$H$710,"")</f>
        <v/>
      </c>
      <c r="I716" s="107" t="str">
        <f aca="false">IF(_PENDIENTES!$B$710&lt;&gt;"",_PENDIENTES!$I$710,"")</f>
        <v/>
      </c>
      <c r="J716" s="106" t="str">
        <f aca="false">IF(_PENDIENTES!$B$710&lt;&gt;"",_PENDIENTES!$J$710,"")</f>
        <v/>
      </c>
      <c r="K716" s="106" t="str">
        <f aca="false">IF(_PENDIENTES!$B$710&lt;&gt;"","POR RECOGER","")</f>
        <v/>
      </c>
      <c r="L716" s="106" t="str">
        <f aca="false">IF(_PENDIENTES!$B$710&lt;&gt;"",_PENDIENTES!$K$710,"")</f>
        <v/>
      </c>
      <c r="M716" s="89" t="str">
        <f aca="false">IF(_PENDIENTES!$B$710&lt;&gt;"",_PENDIENTES!$B$710,"")</f>
        <v/>
      </c>
      <c r="N716" s="109" t="str">
        <f aca="false">IF(_PENDIENTES!$B$710&lt;&gt;"",_PENDIENTES!$L$710,"")</f>
        <v/>
      </c>
      <c r="O716" s="89"/>
      <c r="P716" s="89"/>
      <c r="Q716" s="89"/>
      <c r="R716" s="89"/>
      <c r="S716" s="89"/>
    </row>
    <row r="717" customFormat="false" ht="15.75" hidden="true" customHeight="true" outlineLevel="0" collapsed="false">
      <c r="A717" s="46" t="str">
        <f aca="false">IF(_PENDIENTES!$B$711&lt;&gt;"",710,"")</f>
        <v/>
      </c>
      <c r="B717" s="41" t="str">
        <f aca="false">IF(_PENDIENTES!$B$711&lt;&gt;"",_PENDIENTES!$A$711,"")</f>
        <v/>
      </c>
      <c r="C717" s="110" t="str">
        <f aca="false">IF(_PENDIENTES!$B$711&lt;&gt;"",_PENDIENTES!$C$711,"")</f>
        <v/>
      </c>
      <c r="D717" s="46" t="str">
        <f aca="false">IF(_PENDIENTES!$B$711&lt;&gt;"",_PENDIENTES!$D$711,"")</f>
        <v/>
      </c>
      <c r="E717" s="112" t="str">
        <f aca="false">IF(_PENDIENTES!$B$711&lt;&gt;"",_PENDIENTES!$E$711,"")</f>
        <v/>
      </c>
      <c r="F717" s="46" t="str">
        <f aca="false">IF(_PENDIENTES!$B$711&lt;&gt;"",_PENDIENTES!$F$711,"")</f>
        <v/>
      </c>
      <c r="G717" s="44" t="str">
        <f aca="false">IF(_PENDIENTES!$B$711&lt;&gt;"",_PENDIENTES!$G$711,"")</f>
        <v/>
      </c>
      <c r="H717" s="44" t="str">
        <f aca="false">IF(_PENDIENTES!$B$711&lt;&gt;"",_PENDIENTES!$H$711,"")</f>
        <v/>
      </c>
      <c r="I717" s="110" t="str">
        <f aca="false">IF(_PENDIENTES!$B$711&lt;&gt;"",_PENDIENTES!$I$711,"")</f>
        <v/>
      </c>
      <c r="J717" s="46" t="str">
        <f aca="false">IF(_PENDIENTES!$B$711&lt;&gt;"",_PENDIENTES!$J$711,"")</f>
        <v/>
      </c>
      <c r="K717" s="46" t="str">
        <f aca="false">IF(_PENDIENTES!$B$711&lt;&gt;"","POR RECOGER","")</f>
        <v/>
      </c>
      <c r="L717" s="46" t="str">
        <f aca="false">IF(_PENDIENTES!$B$711&lt;&gt;"",_PENDIENTES!$K$711,"")</f>
        <v/>
      </c>
      <c r="M717" s="89" t="str">
        <f aca="false">IF(_PENDIENTES!$B$711&lt;&gt;"",_PENDIENTES!$B$711,"")</f>
        <v/>
      </c>
      <c r="N717" s="109" t="str">
        <f aca="false">IF(_PENDIENTES!$B$711&lt;&gt;"",_PENDIENTES!$L$711,"")</f>
        <v/>
      </c>
      <c r="O717" s="89"/>
      <c r="P717" s="89"/>
      <c r="Q717" s="89"/>
      <c r="R717" s="89"/>
      <c r="S717" s="89"/>
    </row>
    <row r="718" customFormat="false" ht="15.75" hidden="true" customHeight="true" outlineLevel="0" collapsed="false">
      <c r="A718" s="106" t="str">
        <f aca="false">IF(_PENDIENTES!$B$712&lt;&gt;"",711,"")</f>
        <v/>
      </c>
      <c r="B718" s="47" t="str">
        <f aca="false">IF(_PENDIENTES!$B$712&lt;&gt;"",_PENDIENTES!$A$712,"")</f>
        <v/>
      </c>
      <c r="C718" s="107" t="str">
        <f aca="false">IF(_PENDIENTES!$B$712&lt;&gt;"",_PENDIENTES!$C$712,"")</f>
        <v/>
      </c>
      <c r="D718" s="106" t="str">
        <f aca="false">IF(_PENDIENTES!$B$712&lt;&gt;"",_PENDIENTES!$D$712,"")</f>
        <v/>
      </c>
      <c r="E718" s="111" t="str">
        <f aca="false">IF(_PENDIENTES!$B$712&lt;&gt;"",_PENDIENTES!$E$712,"")</f>
        <v/>
      </c>
      <c r="F718" s="106" t="str">
        <f aca="false">IF(_PENDIENTES!$B$712&lt;&gt;"",_PENDIENTES!$F$712,"")</f>
        <v/>
      </c>
      <c r="G718" s="50" t="str">
        <f aca="false">IF(_PENDIENTES!$B$712&lt;&gt;"",_PENDIENTES!$G$712,"")</f>
        <v/>
      </c>
      <c r="H718" s="50" t="str">
        <f aca="false">IF(_PENDIENTES!$B$712&lt;&gt;"",_PENDIENTES!$H$712,"")</f>
        <v/>
      </c>
      <c r="I718" s="107" t="str">
        <f aca="false">IF(_PENDIENTES!$B$712&lt;&gt;"",_PENDIENTES!$I$712,"")</f>
        <v/>
      </c>
      <c r="J718" s="106" t="str">
        <f aca="false">IF(_PENDIENTES!$B$712&lt;&gt;"",_PENDIENTES!$J$712,"")</f>
        <v/>
      </c>
      <c r="K718" s="106" t="str">
        <f aca="false">IF(_PENDIENTES!$B$712&lt;&gt;"","POR RECOGER","")</f>
        <v/>
      </c>
      <c r="L718" s="106" t="str">
        <f aca="false">IF(_PENDIENTES!$B$712&lt;&gt;"",_PENDIENTES!$K$712,"")</f>
        <v/>
      </c>
      <c r="M718" s="89" t="str">
        <f aca="false">IF(_PENDIENTES!$B$712&lt;&gt;"",_PENDIENTES!$B$712,"")</f>
        <v/>
      </c>
      <c r="N718" s="109" t="str">
        <f aca="false">IF(_PENDIENTES!$B$712&lt;&gt;"",_PENDIENTES!$L$712,"")</f>
        <v/>
      </c>
      <c r="O718" s="89"/>
      <c r="P718" s="89"/>
      <c r="Q718" s="89"/>
      <c r="R718" s="89"/>
      <c r="S718" s="89"/>
    </row>
    <row r="719" customFormat="false" ht="15.75" hidden="true" customHeight="true" outlineLevel="0" collapsed="false">
      <c r="A719" s="46" t="str">
        <f aca="false">IF(_PENDIENTES!$B$713&lt;&gt;"",712,"")</f>
        <v/>
      </c>
      <c r="B719" s="41" t="str">
        <f aca="false">IF(_PENDIENTES!$B$713&lt;&gt;"",_PENDIENTES!$A$713,"")</f>
        <v/>
      </c>
      <c r="C719" s="110" t="str">
        <f aca="false">IF(_PENDIENTES!$B$713&lt;&gt;"",_PENDIENTES!$C$713,"")</f>
        <v/>
      </c>
      <c r="D719" s="46" t="str">
        <f aca="false">IF(_PENDIENTES!$B$713&lt;&gt;"",_PENDIENTES!$D$713,"")</f>
        <v/>
      </c>
      <c r="E719" s="112" t="str">
        <f aca="false">IF(_PENDIENTES!$B$713&lt;&gt;"",_PENDIENTES!$E$713,"")</f>
        <v/>
      </c>
      <c r="F719" s="46" t="str">
        <f aca="false">IF(_PENDIENTES!$B$713&lt;&gt;"",_PENDIENTES!$F$713,"")</f>
        <v/>
      </c>
      <c r="G719" s="44" t="str">
        <f aca="false">IF(_PENDIENTES!$B$713&lt;&gt;"",_PENDIENTES!$G$713,"")</f>
        <v/>
      </c>
      <c r="H719" s="44" t="str">
        <f aca="false">IF(_PENDIENTES!$B$713&lt;&gt;"",_PENDIENTES!$H$713,"")</f>
        <v/>
      </c>
      <c r="I719" s="110" t="str">
        <f aca="false">IF(_PENDIENTES!$B$713&lt;&gt;"",_PENDIENTES!$I$713,"")</f>
        <v/>
      </c>
      <c r="J719" s="46" t="str">
        <f aca="false">IF(_PENDIENTES!$B$713&lt;&gt;"",_PENDIENTES!$J$713,"")</f>
        <v/>
      </c>
      <c r="K719" s="46" t="str">
        <f aca="false">IF(_PENDIENTES!$B$713&lt;&gt;"","POR RECOGER","")</f>
        <v/>
      </c>
      <c r="L719" s="46" t="str">
        <f aca="false">IF(_PENDIENTES!$B$713&lt;&gt;"",_PENDIENTES!$K$713,"")</f>
        <v/>
      </c>
      <c r="M719" s="89" t="str">
        <f aca="false">IF(_PENDIENTES!$B$713&lt;&gt;"",_PENDIENTES!$B$713,"")</f>
        <v/>
      </c>
      <c r="N719" s="109" t="str">
        <f aca="false">IF(_PENDIENTES!$B$713&lt;&gt;"",_PENDIENTES!$L$713,"")</f>
        <v/>
      </c>
      <c r="O719" s="89"/>
      <c r="P719" s="89"/>
      <c r="Q719" s="89"/>
      <c r="R719" s="89"/>
      <c r="S719" s="89"/>
    </row>
    <row r="720" customFormat="false" ht="15.75" hidden="true" customHeight="true" outlineLevel="0" collapsed="false">
      <c r="A720" s="106" t="str">
        <f aca="false">IF(_PENDIENTES!$B$714&lt;&gt;"",713,"")</f>
        <v/>
      </c>
      <c r="B720" s="47" t="str">
        <f aca="false">IF(_PENDIENTES!$B$714&lt;&gt;"",_PENDIENTES!$A$714,"")</f>
        <v/>
      </c>
      <c r="C720" s="107" t="str">
        <f aca="false">IF(_PENDIENTES!$B$714&lt;&gt;"",_PENDIENTES!$C$714,"")</f>
        <v/>
      </c>
      <c r="D720" s="106" t="str">
        <f aca="false">IF(_PENDIENTES!$B$714&lt;&gt;"",_PENDIENTES!$D$714,"")</f>
        <v/>
      </c>
      <c r="E720" s="111" t="str">
        <f aca="false">IF(_PENDIENTES!$B$714&lt;&gt;"",_PENDIENTES!$E$714,"")</f>
        <v/>
      </c>
      <c r="F720" s="106" t="str">
        <f aca="false">IF(_PENDIENTES!$B$714&lt;&gt;"",_PENDIENTES!$F$714,"")</f>
        <v/>
      </c>
      <c r="G720" s="50" t="str">
        <f aca="false">IF(_PENDIENTES!$B$714&lt;&gt;"",_PENDIENTES!$G$714,"")</f>
        <v/>
      </c>
      <c r="H720" s="50" t="str">
        <f aca="false">IF(_PENDIENTES!$B$714&lt;&gt;"",_PENDIENTES!$H$714,"")</f>
        <v/>
      </c>
      <c r="I720" s="107" t="str">
        <f aca="false">IF(_PENDIENTES!$B$714&lt;&gt;"",_PENDIENTES!$I$714,"")</f>
        <v/>
      </c>
      <c r="J720" s="106" t="str">
        <f aca="false">IF(_PENDIENTES!$B$714&lt;&gt;"",_PENDIENTES!$J$714,"")</f>
        <v/>
      </c>
      <c r="K720" s="106" t="str">
        <f aca="false">IF(_PENDIENTES!$B$714&lt;&gt;"","POR RECOGER","")</f>
        <v/>
      </c>
      <c r="L720" s="106" t="str">
        <f aca="false">IF(_PENDIENTES!$B$714&lt;&gt;"",_PENDIENTES!$K$714,"")</f>
        <v/>
      </c>
      <c r="M720" s="89" t="str">
        <f aca="false">IF(_PENDIENTES!$B$714&lt;&gt;"",_PENDIENTES!$B$714,"")</f>
        <v/>
      </c>
      <c r="N720" s="109" t="str">
        <f aca="false">IF(_PENDIENTES!$B$714&lt;&gt;"",_PENDIENTES!$L$714,"")</f>
        <v/>
      </c>
      <c r="O720" s="89"/>
      <c r="P720" s="89"/>
      <c r="Q720" s="89"/>
      <c r="R720" s="89"/>
      <c r="S720" s="89"/>
    </row>
    <row r="721" customFormat="false" ht="15.75" hidden="true" customHeight="true" outlineLevel="0" collapsed="false">
      <c r="A721" s="46" t="str">
        <f aca="false">IF(_PENDIENTES!$B$715&lt;&gt;"",714,"")</f>
        <v/>
      </c>
      <c r="B721" s="41" t="str">
        <f aca="false">IF(_PENDIENTES!$B$715&lt;&gt;"",_PENDIENTES!$A$715,"")</f>
        <v/>
      </c>
      <c r="C721" s="110" t="str">
        <f aca="false">IF(_PENDIENTES!$B$715&lt;&gt;"",_PENDIENTES!$C$715,"")</f>
        <v/>
      </c>
      <c r="D721" s="46" t="str">
        <f aca="false">IF(_PENDIENTES!$B$715&lt;&gt;"",_PENDIENTES!$D$715,"")</f>
        <v/>
      </c>
      <c r="E721" s="112" t="str">
        <f aca="false">IF(_PENDIENTES!$B$715&lt;&gt;"",_PENDIENTES!$E$715,"")</f>
        <v/>
      </c>
      <c r="F721" s="46" t="str">
        <f aca="false">IF(_PENDIENTES!$B$715&lt;&gt;"",_PENDIENTES!$F$715,"")</f>
        <v/>
      </c>
      <c r="G721" s="44" t="str">
        <f aca="false">IF(_PENDIENTES!$B$715&lt;&gt;"",_PENDIENTES!$G$715,"")</f>
        <v/>
      </c>
      <c r="H721" s="44" t="str">
        <f aca="false">IF(_PENDIENTES!$B$715&lt;&gt;"",_PENDIENTES!$H$715,"")</f>
        <v/>
      </c>
      <c r="I721" s="110" t="str">
        <f aca="false">IF(_PENDIENTES!$B$715&lt;&gt;"",_PENDIENTES!$I$715,"")</f>
        <v/>
      </c>
      <c r="J721" s="46" t="str">
        <f aca="false">IF(_PENDIENTES!$B$715&lt;&gt;"",_PENDIENTES!$J$715,"")</f>
        <v/>
      </c>
      <c r="K721" s="46" t="str">
        <f aca="false">IF(_PENDIENTES!$B$715&lt;&gt;"","POR RECOGER","")</f>
        <v/>
      </c>
      <c r="L721" s="46" t="str">
        <f aca="false">IF(_PENDIENTES!$B$715&lt;&gt;"",_PENDIENTES!$K$715,"")</f>
        <v/>
      </c>
      <c r="M721" s="89" t="str">
        <f aca="false">IF(_PENDIENTES!$B$715&lt;&gt;"",_PENDIENTES!$B$715,"")</f>
        <v/>
      </c>
      <c r="N721" s="109" t="str">
        <f aca="false">IF(_PENDIENTES!$B$715&lt;&gt;"",_PENDIENTES!$L$715,"")</f>
        <v/>
      </c>
      <c r="O721" s="89"/>
      <c r="P721" s="89"/>
      <c r="Q721" s="89"/>
      <c r="R721" s="89"/>
      <c r="S721" s="89"/>
    </row>
    <row r="722" customFormat="false" ht="15.75" hidden="true" customHeight="true" outlineLevel="0" collapsed="false">
      <c r="A722" s="106" t="str">
        <f aca="false">IF(_PENDIENTES!$B$716&lt;&gt;"",715,"")</f>
        <v/>
      </c>
      <c r="B722" s="47" t="str">
        <f aca="false">IF(_PENDIENTES!$B$716&lt;&gt;"",_PENDIENTES!$A$716,"")</f>
        <v/>
      </c>
      <c r="C722" s="107" t="str">
        <f aca="false">IF(_PENDIENTES!$B$716&lt;&gt;"",_PENDIENTES!$C$716,"")</f>
        <v/>
      </c>
      <c r="D722" s="106" t="str">
        <f aca="false">IF(_PENDIENTES!$B$716&lt;&gt;"",_PENDIENTES!$D$716,"")</f>
        <v/>
      </c>
      <c r="E722" s="111" t="str">
        <f aca="false">IF(_PENDIENTES!$B$716&lt;&gt;"",_PENDIENTES!$E$716,"")</f>
        <v/>
      </c>
      <c r="F722" s="106" t="str">
        <f aca="false">IF(_PENDIENTES!$B$716&lt;&gt;"",_PENDIENTES!$F$716,"")</f>
        <v/>
      </c>
      <c r="G722" s="50" t="str">
        <f aca="false">IF(_PENDIENTES!$B$716&lt;&gt;"",_PENDIENTES!$G$716,"")</f>
        <v/>
      </c>
      <c r="H722" s="50" t="str">
        <f aca="false">IF(_PENDIENTES!$B$716&lt;&gt;"",_PENDIENTES!$H$716,"")</f>
        <v/>
      </c>
      <c r="I722" s="107" t="str">
        <f aca="false">IF(_PENDIENTES!$B$716&lt;&gt;"",_PENDIENTES!$I$716,"")</f>
        <v/>
      </c>
      <c r="J722" s="106" t="str">
        <f aca="false">IF(_PENDIENTES!$B$716&lt;&gt;"",_PENDIENTES!$J$716,"")</f>
        <v/>
      </c>
      <c r="K722" s="106" t="str">
        <f aca="false">IF(_PENDIENTES!$B$716&lt;&gt;"","POR RECOGER","")</f>
        <v/>
      </c>
      <c r="L722" s="106" t="str">
        <f aca="false">IF(_PENDIENTES!$B$716&lt;&gt;"",_PENDIENTES!$K$716,"")</f>
        <v/>
      </c>
      <c r="M722" s="89" t="str">
        <f aca="false">IF(_PENDIENTES!$B$716&lt;&gt;"",_PENDIENTES!$B$716,"")</f>
        <v/>
      </c>
      <c r="N722" s="109" t="str">
        <f aca="false">IF(_PENDIENTES!$B$716&lt;&gt;"",_PENDIENTES!$L$716,"")</f>
        <v/>
      </c>
      <c r="O722" s="89"/>
      <c r="P722" s="89"/>
      <c r="Q722" s="89"/>
      <c r="R722" s="89"/>
      <c r="S722" s="89"/>
    </row>
    <row r="723" customFormat="false" ht="15.75" hidden="true" customHeight="true" outlineLevel="0" collapsed="false">
      <c r="A723" s="46" t="str">
        <f aca="false">IF(_PENDIENTES!$B$717&lt;&gt;"",716,"")</f>
        <v/>
      </c>
      <c r="B723" s="41" t="str">
        <f aca="false">IF(_PENDIENTES!$B$717&lt;&gt;"",_PENDIENTES!$A$717,"")</f>
        <v/>
      </c>
      <c r="C723" s="110" t="str">
        <f aca="false">IF(_PENDIENTES!$B$717&lt;&gt;"",_PENDIENTES!$C$717,"")</f>
        <v/>
      </c>
      <c r="D723" s="46" t="str">
        <f aca="false">IF(_PENDIENTES!$B$717&lt;&gt;"",_PENDIENTES!$D$717,"")</f>
        <v/>
      </c>
      <c r="E723" s="112" t="str">
        <f aca="false">IF(_PENDIENTES!$B$717&lt;&gt;"",_PENDIENTES!$E$717,"")</f>
        <v/>
      </c>
      <c r="F723" s="46" t="str">
        <f aca="false">IF(_PENDIENTES!$B$717&lt;&gt;"",_PENDIENTES!$F$717,"")</f>
        <v/>
      </c>
      <c r="G723" s="44" t="str">
        <f aca="false">IF(_PENDIENTES!$B$717&lt;&gt;"",_PENDIENTES!$G$717,"")</f>
        <v/>
      </c>
      <c r="H723" s="44" t="str">
        <f aca="false">IF(_PENDIENTES!$B$717&lt;&gt;"",_PENDIENTES!$H$717,"")</f>
        <v/>
      </c>
      <c r="I723" s="110" t="str">
        <f aca="false">IF(_PENDIENTES!$B$717&lt;&gt;"",_PENDIENTES!$I$717,"")</f>
        <v/>
      </c>
      <c r="J723" s="46" t="str">
        <f aca="false">IF(_PENDIENTES!$B$717&lt;&gt;"",_PENDIENTES!$J$717,"")</f>
        <v/>
      </c>
      <c r="K723" s="46" t="str">
        <f aca="false">IF(_PENDIENTES!$B$717&lt;&gt;"","POR RECOGER","")</f>
        <v/>
      </c>
      <c r="L723" s="46" t="str">
        <f aca="false">IF(_PENDIENTES!$B$717&lt;&gt;"",_PENDIENTES!$K$717,"")</f>
        <v/>
      </c>
      <c r="M723" s="89" t="str">
        <f aca="false">IF(_PENDIENTES!$B$717&lt;&gt;"",_PENDIENTES!$B$717,"")</f>
        <v/>
      </c>
      <c r="N723" s="109" t="str">
        <f aca="false">IF(_PENDIENTES!$B$717&lt;&gt;"",_PENDIENTES!$L$717,"")</f>
        <v/>
      </c>
      <c r="O723" s="89"/>
      <c r="P723" s="89"/>
      <c r="Q723" s="89"/>
      <c r="R723" s="89"/>
      <c r="S723" s="89"/>
    </row>
    <row r="724" customFormat="false" ht="15.75" hidden="true" customHeight="true" outlineLevel="0" collapsed="false">
      <c r="A724" s="106" t="str">
        <f aca="false">IF(_PENDIENTES!$B$718&lt;&gt;"",717,"")</f>
        <v/>
      </c>
      <c r="B724" s="47" t="str">
        <f aca="false">IF(_PENDIENTES!$B$718&lt;&gt;"",_PENDIENTES!$A$718,"")</f>
        <v/>
      </c>
      <c r="C724" s="107" t="str">
        <f aca="false">IF(_PENDIENTES!$B$718&lt;&gt;"",_PENDIENTES!$C$718,"")</f>
        <v/>
      </c>
      <c r="D724" s="106" t="str">
        <f aca="false">IF(_PENDIENTES!$B$718&lt;&gt;"",_PENDIENTES!$D$718,"")</f>
        <v/>
      </c>
      <c r="E724" s="111" t="str">
        <f aca="false">IF(_PENDIENTES!$B$718&lt;&gt;"",_PENDIENTES!$E$718,"")</f>
        <v/>
      </c>
      <c r="F724" s="106" t="str">
        <f aca="false">IF(_PENDIENTES!$B$718&lt;&gt;"",_PENDIENTES!$F$718,"")</f>
        <v/>
      </c>
      <c r="G724" s="50" t="str">
        <f aca="false">IF(_PENDIENTES!$B$718&lt;&gt;"",_PENDIENTES!$G$718,"")</f>
        <v/>
      </c>
      <c r="H724" s="50" t="str">
        <f aca="false">IF(_PENDIENTES!$B$718&lt;&gt;"",_PENDIENTES!$H$718,"")</f>
        <v/>
      </c>
      <c r="I724" s="107" t="str">
        <f aca="false">IF(_PENDIENTES!$B$718&lt;&gt;"",_PENDIENTES!$I$718,"")</f>
        <v/>
      </c>
      <c r="J724" s="106" t="str">
        <f aca="false">IF(_PENDIENTES!$B$718&lt;&gt;"",_PENDIENTES!$J$718,"")</f>
        <v/>
      </c>
      <c r="K724" s="106" t="str">
        <f aca="false">IF(_PENDIENTES!$B$718&lt;&gt;"","POR RECOGER","")</f>
        <v/>
      </c>
      <c r="L724" s="106" t="str">
        <f aca="false">IF(_PENDIENTES!$B$718&lt;&gt;"",_PENDIENTES!$K$718,"")</f>
        <v/>
      </c>
      <c r="M724" s="89" t="str">
        <f aca="false">IF(_PENDIENTES!$B$718&lt;&gt;"",_PENDIENTES!$B$718,"")</f>
        <v/>
      </c>
      <c r="N724" s="109" t="str">
        <f aca="false">IF(_PENDIENTES!$B$718&lt;&gt;"",_PENDIENTES!$L$718,"")</f>
        <v/>
      </c>
      <c r="O724" s="89"/>
      <c r="P724" s="89"/>
      <c r="Q724" s="89"/>
      <c r="R724" s="89"/>
      <c r="S724" s="89"/>
    </row>
    <row r="725" customFormat="false" ht="15.75" hidden="true" customHeight="true" outlineLevel="0" collapsed="false">
      <c r="A725" s="46" t="str">
        <f aca="false">IF(_PENDIENTES!$B$719&lt;&gt;"",718,"")</f>
        <v/>
      </c>
      <c r="B725" s="41" t="str">
        <f aca="false">IF(_PENDIENTES!$B$719&lt;&gt;"",_PENDIENTES!$A$719,"")</f>
        <v/>
      </c>
      <c r="C725" s="110" t="str">
        <f aca="false">IF(_PENDIENTES!$B$719&lt;&gt;"",_PENDIENTES!$C$719,"")</f>
        <v/>
      </c>
      <c r="D725" s="46" t="str">
        <f aca="false">IF(_PENDIENTES!$B$719&lt;&gt;"",_PENDIENTES!$D$719,"")</f>
        <v/>
      </c>
      <c r="E725" s="112" t="str">
        <f aca="false">IF(_PENDIENTES!$B$719&lt;&gt;"",_PENDIENTES!$E$719,"")</f>
        <v/>
      </c>
      <c r="F725" s="46" t="str">
        <f aca="false">IF(_PENDIENTES!$B$719&lt;&gt;"",_PENDIENTES!$F$719,"")</f>
        <v/>
      </c>
      <c r="G725" s="44" t="str">
        <f aca="false">IF(_PENDIENTES!$B$719&lt;&gt;"",_PENDIENTES!$G$719,"")</f>
        <v/>
      </c>
      <c r="H725" s="44" t="str">
        <f aca="false">IF(_PENDIENTES!$B$719&lt;&gt;"",_PENDIENTES!$H$719,"")</f>
        <v/>
      </c>
      <c r="I725" s="110" t="str">
        <f aca="false">IF(_PENDIENTES!$B$719&lt;&gt;"",_PENDIENTES!$I$719,"")</f>
        <v/>
      </c>
      <c r="J725" s="46" t="str">
        <f aca="false">IF(_PENDIENTES!$B$719&lt;&gt;"",_PENDIENTES!$J$719,"")</f>
        <v/>
      </c>
      <c r="K725" s="46" t="str">
        <f aca="false">IF(_PENDIENTES!$B$719&lt;&gt;"","POR RECOGER","")</f>
        <v/>
      </c>
      <c r="L725" s="46" t="str">
        <f aca="false">IF(_PENDIENTES!$B$719&lt;&gt;"",_PENDIENTES!$K$719,"")</f>
        <v/>
      </c>
      <c r="M725" s="89" t="str">
        <f aca="false">IF(_PENDIENTES!$B$719&lt;&gt;"",_PENDIENTES!$B$719,"")</f>
        <v/>
      </c>
      <c r="N725" s="109" t="str">
        <f aca="false">IF(_PENDIENTES!$B$719&lt;&gt;"",_PENDIENTES!$L$719,"")</f>
        <v/>
      </c>
      <c r="O725" s="89"/>
      <c r="P725" s="89"/>
      <c r="Q725" s="89"/>
      <c r="R725" s="89"/>
      <c r="S725" s="89"/>
    </row>
    <row r="726" customFormat="false" ht="15.75" hidden="true" customHeight="true" outlineLevel="0" collapsed="false">
      <c r="A726" s="106" t="str">
        <f aca="false">IF(_PENDIENTES!$B$720&lt;&gt;"",719,"")</f>
        <v/>
      </c>
      <c r="B726" s="47" t="str">
        <f aca="false">IF(_PENDIENTES!$B$720&lt;&gt;"",_PENDIENTES!$A$720,"")</f>
        <v/>
      </c>
      <c r="C726" s="107" t="str">
        <f aca="false">IF(_PENDIENTES!$B$720&lt;&gt;"",_PENDIENTES!$C$720,"")</f>
        <v/>
      </c>
      <c r="D726" s="106" t="str">
        <f aca="false">IF(_PENDIENTES!$B$720&lt;&gt;"",_PENDIENTES!$D$720,"")</f>
        <v/>
      </c>
      <c r="E726" s="111" t="str">
        <f aca="false">IF(_PENDIENTES!$B$720&lt;&gt;"",_PENDIENTES!$E$720,"")</f>
        <v/>
      </c>
      <c r="F726" s="106" t="str">
        <f aca="false">IF(_PENDIENTES!$B$720&lt;&gt;"",_PENDIENTES!$F$720,"")</f>
        <v/>
      </c>
      <c r="G726" s="50" t="str">
        <f aca="false">IF(_PENDIENTES!$B$720&lt;&gt;"",_PENDIENTES!$G$720,"")</f>
        <v/>
      </c>
      <c r="H726" s="50" t="str">
        <f aca="false">IF(_PENDIENTES!$B$720&lt;&gt;"",_PENDIENTES!$H$720,"")</f>
        <v/>
      </c>
      <c r="I726" s="107" t="str">
        <f aca="false">IF(_PENDIENTES!$B$720&lt;&gt;"",_PENDIENTES!$I$720,"")</f>
        <v/>
      </c>
      <c r="J726" s="106" t="str">
        <f aca="false">IF(_PENDIENTES!$B$720&lt;&gt;"",_PENDIENTES!$J$720,"")</f>
        <v/>
      </c>
      <c r="K726" s="106" t="str">
        <f aca="false">IF(_PENDIENTES!$B$720&lt;&gt;"","POR RECOGER","")</f>
        <v/>
      </c>
      <c r="L726" s="106" t="str">
        <f aca="false">IF(_PENDIENTES!$B$720&lt;&gt;"",_PENDIENTES!$K$720,"")</f>
        <v/>
      </c>
      <c r="M726" s="89" t="str">
        <f aca="false">IF(_PENDIENTES!$B$720&lt;&gt;"",_PENDIENTES!$B$720,"")</f>
        <v/>
      </c>
      <c r="N726" s="109" t="str">
        <f aca="false">IF(_PENDIENTES!$B$720&lt;&gt;"",_PENDIENTES!$L$720,"")</f>
        <v/>
      </c>
      <c r="O726" s="89"/>
      <c r="P726" s="89"/>
      <c r="Q726" s="89"/>
      <c r="R726" s="89"/>
      <c r="S726" s="89"/>
    </row>
    <row r="727" customFormat="false" ht="15.75" hidden="true" customHeight="true" outlineLevel="0" collapsed="false">
      <c r="A727" s="46" t="str">
        <f aca="false">IF(_PENDIENTES!$B$721&lt;&gt;"",720,"")</f>
        <v/>
      </c>
      <c r="B727" s="41" t="str">
        <f aca="false">IF(_PENDIENTES!$B$721&lt;&gt;"",_PENDIENTES!$A$721,"")</f>
        <v/>
      </c>
      <c r="C727" s="110" t="str">
        <f aca="false">IF(_PENDIENTES!$B$721&lt;&gt;"",_PENDIENTES!$C$721,"")</f>
        <v/>
      </c>
      <c r="D727" s="46" t="str">
        <f aca="false">IF(_PENDIENTES!$B$721&lt;&gt;"",_PENDIENTES!$D$721,"")</f>
        <v/>
      </c>
      <c r="E727" s="112" t="str">
        <f aca="false">IF(_PENDIENTES!$B$721&lt;&gt;"",_PENDIENTES!$E$721,"")</f>
        <v/>
      </c>
      <c r="F727" s="46" t="str">
        <f aca="false">IF(_PENDIENTES!$B$721&lt;&gt;"",_PENDIENTES!$F$721,"")</f>
        <v/>
      </c>
      <c r="G727" s="44" t="str">
        <f aca="false">IF(_PENDIENTES!$B$721&lt;&gt;"",_PENDIENTES!$G$721,"")</f>
        <v/>
      </c>
      <c r="H727" s="44" t="str">
        <f aca="false">IF(_PENDIENTES!$B$721&lt;&gt;"",_PENDIENTES!$H$721,"")</f>
        <v/>
      </c>
      <c r="I727" s="110" t="str">
        <f aca="false">IF(_PENDIENTES!$B$721&lt;&gt;"",_PENDIENTES!$I$721,"")</f>
        <v/>
      </c>
      <c r="J727" s="46" t="str">
        <f aca="false">IF(_PENDIENTES!$B$721&lt;&gt;"",_PENDIENTES!$J$721,"")</f>
        <v/>
      </c>
      <c r="K727" s="46" t="str">
        <f aca="false">IF(_PENDIENTES!$B$721&lt;&gt;"","POR RECOGER","")</f>
        <v/>
      </c>
      <c r="L727" s="46" t="str">
        <f aca="false">IF(_PENDIENTES!$B$721&lt;&gt;"",_PENDIENTES!$K$721,"")</f>
        <v/>
      </c>
      <c r="M727" s="89" t="str">
        <f aca="false">IF(_PENDIENTES!$B$721&lt;&gt;"",_PENDIENTES!$B$721,"")</f>
        <v/>
      </c>
      <c r="N727" s="109" t="str">
        <f aca="false">IF(_PENDIENTES!$B$721&lt;&gt;"",_PENDIENTES!$L$721,"")</f>
        <v/>
      </c>
      <c r="O727" s="89"/>
      <c r="P727" s="89"/>
      <c r="Q727" s="89"/>
      <c r="R727" s="89"/>
      <c r="S727" s="89"/>
    </row>
    <row r="728" customFormat="false" ht="15.75" hidden="true" customHeight="true" outlineLevel="0" collapsed="false">
      <c r="A728" s="106" t="str">
        <f aca="false">IF(_PENDIENTES!$B$722&lt;&gt;"",721,"")</f>
        <v/>
      </c>
      <c r="B728" s="47" t="str">
        <f aca="false">IF(_PENDIENTES!$B$722&lt;&gt;"",_PENDIENTES!$A$722,"")</f>
        <v/>
      </c>
      <c r="C728" s="107" t="str">
        <f aca="false">IF(_PENDIENTES!$B$722&lt;&gt;"",_PENDIENTES!$C$722,"")</f>
        <v/>
      </c>
      <c r="D728" s="106" t="str">
        <f aca="false">IF(_PENDIENTES!$B$722&lt;&gt;"",_PENDIENTES!$D$722,"")</f>
        <v/>
      </c>
      <c r="E728" s="111" t="str">
        <f aca="false">IF(_PENDIENTES!$B$722&lt;&gt;"",_PENDIENTES!$E$722,"")</f>
        <v/>
      </c>
      <c r="F728" s="106" t="str">
        <f aca="false">IF(_PENDIENTES!$B$722&lt;&gt;"",_PENDIENTES!$F$722,"")</f>
        <v/>
      </c>
      <c r="G728" s="50" t="str">
        <f aca="false">IF(_PENDIENTES!$B$722&lt;&gt;"",_PENDIENTES!$G$722,"")</f>
        <v/>
      </c>
      <c r="H728" s="50" t="str">
        <f aca="false">IF(_PENDIENTES!$B$722&lt;&gt;"",_PENDIENTES!$H$722,"")</f>
        <v/>
      </c>
      <c r="I728" s="107" t="str">
        <f aca="false">IF(_PENDIENTES!$B$722&lt;&gt;"",_PENDIENTES!$I$722,"")</f>
        <v/>
      </c>
      <c r="J728" s="106" t="str">
        <f aca="false">IF(_PENDIENTES!$B$722&lt;&gt;"",_PENDIENTES!$J$722,"")</f>
        <v/>
      </c>
      <c r="K728" s="106" t="str">
        <f aca="false">IF(_PENDIENTES!$B$722&lt;&gt;"","POR RECOGER","")</f>
        <v/>
      </c>
      <c r="L728" s="106" t="str">
        <f aca="false">IF(_PENDIENTES!$B$722&lt;&gt;"",_PENDIENTES!$K$722,"")</f>
        <v/>
      </c>
      <c r="M728" s="89" t="str">
        <f aca="false">IF(_PENDIENTES!$B$722&lt;&gt;"",_PENDIENTES!$B$722,"")</f>
        <v/>
      </c>
      <c r="N728" s="109" t="str">
        <f aca="false">IF(_PENDIENTES!$B$722&lt;&gt;"",_PENDIENTES!$L$722,"")</f>
        <v/>
      </c>
      <c r="O728" s="89"/>
      <c r="P728" s="89"/>
      <c r="Q728" s="89"/>
      <c r="R728" s="89"/>
      <c r="S728" s="89"/>
    </row>
    <row r="729" customFormat="false" ht="15.75" hidden="true" customHeight="true" outlineLevel="0" collapsed="false">
      <c r="A729" s="46" t="str">
        <f aca="false">IF(_PENDIENTES!$B$723&lt;&gt;"",722,"")</f>
        <v/>
      </c>
      <c r="B729" s="41" t="str">
        <f aca="false">IF(_PENDIENTES!$B$723&lt;&gt;"",_PENDIENTES!$A$723,"")</f>
        <v/>
      </c>
      <c r="C729" s="110" t="str">
        <f aca="false">IF(_PENDIENTES!$B$723&lt;&gt;"",_PENDIENTES!$C$723,"")</f>
        <v/>
      </c>
      <c r="D729" s="46" t="str">
        <f aca="false">IF(_PENDIENTES!$B$723&lt;&gt;"",_PENDIENTES!$D$723,"")</f>
        <v/>
      </c>
      <c r="E729" s="112" t="str">
        <f aca="false">IF(_PENDIENTES!$B$723&lt;&gt;"",_PENDIENTES!$E$723,"")</f>
        <v/>
      </c>
      <c r="F729" s="46" t="str">
        <f aca="false">IF(_PENDIENTES!$B$723&lt;&gt;"",_PENDIENTES!$F$723,"")</f>
        <v/>
      </c>
      <c r="G729" s="44" t="str">
        <f aca="false">IF(_PENDIENTES!$B$723&lt;&gt;"",_PENDIENTES!$G$723,"")</f>
        <v/>
      </c>
      <c r="H729" s="44" t="str">
        <f aca="false">IF(_PENDIENTES!$B$723&lt;&gt;"",_PENDIENTES!$H$723,"")</f>
        <v/>
      </c>
      <c r="I729" s="110" t="str">
        <f aca="false">IF(_PENDIENTES!$B$723&lt;&gt;"",_PENDIENTES!$I$723,"")</f>
        <v/>
      </c>
      <c r="J729" s="46" t="str">
        <f aca="false">IF(_PENDIENTES!$B$723&lt;&gt;"",_PENDIENTES!$J$723,"")</f>
        <v/>
      </c>
      <c r="K729" s="46" t="str">
        <f aca="false">IF(_PENDIENTES!$B$723&lt;&gt;"","POR RECOGER","")</f>
        <v/>
      </c>
      <c r="L729" s="46" t="str">
        <f aca="false">IF(_PENDIENTES!$B$723&lt;&gt;"",_PENDIENTES!$K$723,"")</f>
        <v/>
      </c>
      <c r="M729" s="89" t="str">
        <f aca="false">IF(_PENDIENTES!$B$723&lt;&gt;"",_PENDIENTES!$B$723,"")</f>
        <v/>
      </c>
      <c r="N729" s="109" t="str">
        <f aca="false">IF(_PENDIENTES!$B$723&lt;&gt;"",_PENDIENTES!$L$723,"")</f>
        <v/>
      </c>
      <c r="O729" s="89"/>
      <c r="P729" s="89"/>
      <c r="Q729" s="89"/>
      <c r="R729" s="89"/>
      <c r="S729" s="89"/>
    </row>
    <row r="730" customFormat="false" ht="15.75" hidden="true" customHeight="true" outlineLevel="0" collapsed="false">
      <c r="A730" s="106" t="str">
        <f aca="false">IF(_PENDIENTES!$B$724&lt;&gt;"",723,"")</f>
        <v/>
      </c>
      <c r="B730" s="47" t="str">
        <f aca="false">IF(_PENDIENTES!$B$724&lt;&gt;"",_PENDIENTES!$A$724,"")</f>
        <v/>
      </c>
      <c r="C730" s="107" t="str">
        <f aca="false">IF(_PENDIENTES!$B$724&lt;&gt;"",_PENDIENTES!$C$724,"")</f>
        <v/>
      </c>
      <c r="D730" s="106" t="str">
        <f aca="false">IF(_PENDIENTES!$B$724&lt;&gt;"",_PENDIENTES!$D$724,"")</f>
        <v/>
      </c>
      <c r="E730" s="111" t="str">
        <f aca="false">IF(_PENDIENTES!$B$724&lt;&gt;"",_PENDIENTES!$E$724,"")</f>
        <v/>
      </c>
      <c r="F730" s="106" t="str">
        <f aca="false">IF(_PENDIENTES!$B$724&lt;&gt;"",_PENDIENTES!$F$724,"")</f>
        <v/>
      </c>
      <c r="G730" s="50" t="str">
        <f aca="false">IF(_PENDIENTES!$B$724&lt;&gt;"",_PENDIENTES!$G$724,"")</f>
        <v/>
      </c>
      <c r="H730" s="50" t="str">
        <f aca="false">IF(_PENDIENTES!$B$724&lt;&gt;"",_PENDIENTES!$H$724,"")</f>
        <v/>
      </c>
      <c r="I730" s="107" t="str">
        <f aca="false">IF(_PENDIENTES!$B$724&lt;&gt;"",_PENDIENTES!$I$724,"")</f>
        <v/>
      </c>
      <c r="J730" s="106" t="str">
        <f aca="false">IF(_PENDIENTES!$B$724&lt;&gt;"",_PENDIENTES!$J$724,"")</f>
        <v/>
      </c>
      <c r="K730" s="106" t="str">
        <f aca="false">IF(_PENDIENTES!$B$724&lt;&gt;"","POR RECOGER","")</f>
        <v/>
      </c>
      <c r="L730" s="106" t="str">
        <f aca="false">IF(_PENDIENTES!$B$724&lt;&gt;"",_PENDIENTES!$K$724,"")</f>
        <v/>
      </c>
      <c r="M730" s="89" t="str">
        <f aca="false">IF(_PENDIENTES!$B$724&lt;&gt;"",_PENDIENTES!$B$724,"")</f>
        <v/>
      </c>
      <c r="N730" s="109" t="str">
        <f aca="false">IF(_PENDIENTES!$B$724&lt;&gt;"",_PENDIENTES!$L$724,"")</f>
        <v/>
      </c>
      <c r="O730" s="89"/>
      <c r="P730" s="89"/>
      <c r="Q730" s="89"/>
      <c r="R730" s="89"/>
      <c r="S730" s="89"/>
    </row>
    <row r="731" customFormat="false" ht="15.75" hidden="true" customHeight="true" outlineLevel="0" collapsed="false">
      <c r="A731" s="46" t="str">
        <f aca="false">IF(_PENDIENTES!$B$725&lt;&gt;"",724,"")</f>
        <v/>
      </c>
      <c r="B731" s="41" t="str">
        <f aca="false">IF(_PENDIENTES!$B$725&lt;&gt;"",_PENDIENTES!$A$725,"")</f>
        <v/>
      </c>
      <c r="C731" s="110" t="str">
        <f aca="false">IF(_PENDIENTES!$B$725&lt;&gt;"",_PENDIENTES!$C$725,"")</f>
        <v/>
      </c>
      <c r="D731" s="46" t="str">
        <f aca="false">IF(_PENDIENTES!$B$725&lt;&gt;"",_PENDIENTES!$D$725,"")</f>
        <v/>
      </c>
      <c r="E731" s="112" t="str">
        <f aca="false">IF(_PENDIENTES!$B$725&lt;&gt;"",_PENDIENTES!$E$725,"")</f>
        <v/>
      </c>
      <c r="F731" s="46" t="str">
        <f aca="false">IF(_PENDIENTES!$B$725&lt;&gt;"",_PENDIENTES!$F$725,"")</f>
        <v/>
      </c>
      <c r="G731" s="44" t="str">
        <f aca="false">IF(_PENDIENTES!$B$725&lt;&gt;"",_PENDIENTES!$G$725,"")</f>
        <v/>
      </c>
      <c r="H731" s="44" t="str">
        <f aca="false">IF(_PENDIENTES!$B$725&lt;&gt;"",_PENDIENTES!$H$725,"")</f>
        <v/>
      </c>
      <c r="I731" s="110" t="str">
        <f aca="false">IF(_PENDIENTES!$B$725&lt;&gt;"",_PENDIENTES!$I$725,"")</f>
        <v/>
      </c>
      <c r="J731" s="46" t="str">
        <f aca="false">IF(_PENDIENTES!$B$725&lt;&gt;"",_PENDIENTES!$J$725,"")</f>
        <v/>
      </c>
      <c r="K731" s="46" t="str">
        <f aca="false">IF(_PENDIENTES!$B$725&lt;&gt;"","POR RECOGER","")</f>
        <v/>
      </c>
      <c r="L731" s="46" t="str">
        <f aca="false">IF(_PENDIENTES!$B$725&lt;&gt;"",_PENDIENTES!$K$725,"")</f>
        <v/>
      </c>
      <c r="M731" s="89" t="str">
        <f aca="false">IF(_PENDIENTES!$B$725&lt;&gt;"",_PENDIENTES!$B$725,"")</f>
        <v/>
      </c>
      <c r="N731" s="109" t="str">
        <f aca="false">IF(_PENDIENTES!$B$725&lt;&gt;"",_PENDIENTES!$L$725,"")</f>
        <v/>
      </c>
      <c r="O731" s="89"/>
      <c r="P731" s="89"/>
      <c r="Q731" s="89"/>
      <c r="R731" s="89"/>
      <c r="S731" s="89"/>
    </row>
    <row r="732" customFormat="false" ht="15.75" hidden="true" customHeight="true" outlineLevel="0" collapsed="false">
      <c r="A732" s="106" t="str">
        <f aca="false">IF(_PENDIENTES!$B$726&lt;&gt;"",725,"")</f>
        <v/>
      </c>
      <c r="B732" s="47" t="str">
        <f aca="false">IF(_PENDIENTES!$B$726&lt;&gt;"",_PENDIENTES!$A$726,"")</f>
        <v/>
      </c>
      <c r="C732" s="107" t="str">
        <f aca="false">IF(_PENDIENTES!$B$726&lt;&gt;"",_PENDIENTES!$C$726,"")</f>
        <v/>
      </c>
      <c r="D732" s="106" t="str">
        <f aca="false">IF(_PENDIENTES!$B$726&lt;&gt;"",_PENDIENTES!$D$726,"")</f>
        <v/>
      </c>
      <c r="E732" s="111" t="str">
        <f aca="false">IF(_PENDIENTES!$B$726&lt;&gt;"",_PENDIENTES!$E$726,"")</f>
        <v/>
      </c>
      <c r="F732" s="106" t="str">
        <f aca="false">IF(_PENDIENTES!$B$726&lt;&gt;"",_PENDIENTES!$F$726,"")</f>
        <v/>
      </c>
      <c r="G732" s="50" t="str">
        <f aca="false">IF(_PENDIENTES!$B$726&lt;&gt;"",_PENDIENTES!$G$726,"")</f>
        <v/>
      </c>
      <c r="H732" s="50" t="str">
        <f aca="false">IF(_PENDIENTES!$B$726&lt;&gt;"",_PENDIENTES!$H$726,"")</f>
        <v/>
      </c>
      <c r="I732" s="107" t="str">
        <f aca="false">IF(_PENDIENTES!$B$726&lt;&gt;"",_PENDIENTES!$I$726,"")</f>
        <v/>
      </c>
      <c r="J732" s="106" t="str">
        <f aca="false">IF(_PENDIENTES!$B$726&lt;&gt;"",_PENDIENTES!$J$726,"")</f>
        <v/>
      </c>
      <c r="K732" s="106" t="str">
        <f aca="false">IF(_PENDIENTES!$B$726&lt;&gt;"","POR RECOGER","")</f>
        <v/>
      </c>
      <c r="L732" s="106" t="str">
        <f aca="false">IF(_PENDIENTES!$B$726&lt;&gt;"",_PENDIENTES!$K$726,"")</f>
        <v/>
      </c>
      <c r="M732" s="89" t="str">
        <f aca="false">IF(_PENDIENTES!$B$726&lt;&gt;"",_PENDIENTES!$B$726,"")</f>
        <v/>
      </c>
      <c r="N732" s="109" t="str">
        <f aca="false">IF(_PENDIENTES!$B$726&lt;&gt;"",_PENDIENTES!$L$726,"")</f>
        <v/>
      </c>
      <c r="O732" s="89"/>
      <c r="P732" s="89"/>
      <c r="Q732" s="89"/>
      <c r="R732" s="89"/>
      <c r="S732" s="89"/>
    </row>
    <row r="733" customFormat="false" ht="15.75" hidden="true" customHeight="true" outlineLevel="0" collapsed="false">
      <c r="A733" s="46" t="str">
        <f aca="false">IF(_PENDIENTES!$B$727&lt;&gt;"",726,"")</f>
        <v/>
      </c>
      <c r="B733" s="41" t="str">
        <f aca="false">IF(_PENDIENTES!$B$727&lt;&gt;"",_PENDIENTES!$A$727,"")</f>
        <v/>
      </c>
      <c r="C733" s="110" t="str">
        <f aca="false">IF(_PENDIENTES!$B$727&lt;&gt;"",_PENDIENTES!$C$727,"")</f>
        <v/>
      </c>
      <c r="D733" s="46" t="str">
        <f aca="false">IF(_PENDIENTES!$B$727&lt;&gt;"",_PENDIENTES!$D$727,"")</f>
        <v/>
      </c>
      <c r="E733" s="112" t="str">
        <f aca="false">IF(_PENDIENTES!$B$727&lt;&gt;"",_PENDIENTES!$E$727,"")</f>
        <v/>
      </c>
      <c r="F733" s="46" t="str">
        <f aca="false">IF(_PENDIENTES!$B$727&lt;&gt;"",_PENDIENTES!$F$727,"")</f>
        <v/>
      </c>
      <c r="G733" s="44" t="str">
        <f aca="false">IF(_PENDIENTES!$B$727&lt;&gt;"",_PENDIENTES!$G$727,"")</f>
        <v/>
      </c>
      <c r="H733" s="44" t="str">
        <f aca="false">IF(_PENDIENTES!$B$727&lt;&gt;"",_PENDIENTES!$H$727,"")</f>
        <v/>
      </c>
      <c r="I733" s="110" t="str">
        <f aca="false">IF(_PENDIENTES!$B$727&lt;&gt;"",_PENDIENTES!$I$727,"")</f>
        <v/>
      </c>
      <c r="J733" s="46" t="str">
        <f aca="false">IF(_PENDIENTES!$B$727&lt;&gt;"",_PENDIENTES!$J$727,"")</f>
        <v/>
      </c>
      <c r="K733" s="46" t="str">
        <f aca="false">IF(_PENDIENTES!$B$727&lt;&gt;"","POR RECOGER","")</f>
        <v/>
      </c>
      <c r="L733" s="46" t="str">
        <f aca="false">IF(_PENDIENTES!$B$727&lt;&gt;"",_PENDIENTES!$K$727,"")</f>
        <v/>
      </c>
      <c r="M733" s="89" t="str">
        <f aca="false">IF(_PENDIENTES!$B$727&lt;&gt;"",_PENDIENTES!$B$727,"")</f>
        <v/>
      </c>
      <c r="N733" s="109" t="str">
        <f aca="false">IF(_PENDIENTES!$B$727&lt;&gt;"",_PENDIENTES!$L$727,"")</f>
        <v/>
      </c>
      <c r="O733" s="89"/>
      <c r="P733" s="89"/>
      <c r="Q733" s="89"/>
      <c r="R733" s="89"/>
      <c r="S733" s="89"/>
    </row>
    <row r="734" customFormat="false" ht="15.75" hidden="true" customHeight="true" outlineLevel="0" collapsed="false">
      <c r="A734" s="106" t="str">
        <f aca="false">IF(_PENDIENTES!$B$728&lt;&gt;"",727,"")</f>
        <v/>
      </c>
      <c r="B734" s="47" t="str">
        <f aca="false">IF(_PENDIENTES!$B$728&lt;&gt;"",_PENDIENTES!$A$728,"")</f>
        <v/>
      </c>
      <c r="C734" s="107" t="str">
        <f aca="false">IF(_PENDIENTES!$B$728&lt;&gt;"",_PENDIENTES!$C$728,"")</f>
        <v/>
      </c>
      <c r="D734" s="106" t="str">
        <f aca="false">IF(_PENDIENTES!$B$728&lt;&gt;"",_PENDIENTES!$D$728,"")</f>
        <v/>
      </c>
      <c r="E734" s="111" t="str">
        <f aca="false">IF(_PENDIENTES!$B$728&lt;&gt;"",_PENDIENTES!$E$728,"")</f>
        <v/>
      </c>
      <c r="F734" s="106" t="str">
        <f aca="false">IF(_PENDIENTES!$B$728&lt;&gt;"",_PENDIENTES!$F$728,"")</f>
        <v/>
      </c>
      <c r="G734" s="50" t="str">
        <f aca="false">IF(_PENDIENTES!$B$728&lt;&gt;"",_PENDIENTES!$G$728,"")</f>
        <v/>
      </c>
      <c r="H734" s="50" t="str">
        <f aca="false">IF(_PENDIENTES!$B$728&lt;&gt;"",_PENDIENTES!$H$728,"")</f>
        <v/>
      </c>
      <c r="I734" s="107" t="str">
        <f aca="false">IF(_PENDIENTES!$B$728&lt;&gt;"",_PENDIENTES!$I$728,"")</f>
        <v/>
      </c>
      <c r="J734" s="106" t="str">
        <f aca="false">IF(_PENDIENTES!$B$728&lt;&gt;"",_PENDIENTES!$J$728,"")</f>
        <v/>
      </c>
      <c r="K734" s="106" t="str">
        <f aca="false">IF(_PENDIENTES!$B$728&lt;&gt;"","POR RECOGER","")</f>
        <v/>
      </c>
      <c r="L734" s="106" t="str">
        <f aca="false">IF(_PENDIENTES!$B$728&lt;&gt;"",_PENDIENTES!$K$728,"")</f>
        <v/>
      </c>
      <c r="M734" s="89" t="str">
        <f aca="false">IF(_PENDIENTES!$B$728&lt;&gt;"",_PENDIENTES!$B$728,"")</f>
        <v/>
      </c>
      <c r="N734" s="109" t="str">
        <f aca="false">IF(_PENDIENTES!$B$728&lt;&gt;"",_PENDIENTES!$L$728,"")</f>
        <v/>
      </c>
      <c r="O734" s="89"/>
      <c r="P734" s="89"/>
      <c r="Q734" s="89"/>
      <c r="R734" s="89"/>
      <c r="S734" s="89"/>
    </row>
    <row r="735" customFormat="false" ht="15.75" hidden="true" customHeight="true" outlineLevel="0" collapsed="false">
      <c r="A735" s="46" t="str">
        <f aca="false">IF(_PENDIENTES!$B$729&lt;&gt;"",728,"")</f>
        <v/>
      </c>
      <c r="B735" s="41" t="str">
        <f aca="false">IF(_PENDIENTES!$B$729&lt;&gt;"",_PENDIENTES!$A$729,"")</f>
        <v/>
      </c>
      <c r="C735" s="110" t="str">
        <f aca="false">IF(_PENDIENTES!$B$729&lt;&gt;"",_PENDIENTES!$C$729,"")</f>
        <v/>
      </c>
      <c r="D735" s="46" t="str">
        <f aca="false">IF(_PENDIENTES!$B$729&lt;&gt;"",_PENDIENTES!$D$729,"")</f>
        <v/>
      </c>
      <c r="E735" s="112" t="str">
        <f aca="false">IF(_PENDIENTES!$B$729&lt;&gt;"",_PENDIENTES!$E$729,"")</f>
        <v/>
      </c>
      <c r="F735" s="46" t="str">
        <f aca="false">IF(_PENDIENTES!$B$729&lt;&gt;"",_PENDIENTES!$F$729,"")</f>
        <v/>
      </c>
      <c r="G735" s="44" t="str">
        <f aca="false">IF(_PENDIENTES!$B$729&lt;&gt;"",_PENDIENTES!$G$729,"")</f>
        <v/>
      </c>
      <c r="H735" s="44" t="str">
        <f aca="false">IF(_PENDIENTES!$B$729&lt;&gt;"",_PENDIENTES!$H$729,"")</f>
        <v/>
      </c>
      <c r="I735" s="110" t="str">
        <f aca="false">IF(_PENDIENTES!$B$729&lt;&gt;"",_PENDIENTES!$I$729,"")</f>
        <v/>
      </c>
      <c r="J735" s="46" t="str">
        <f aca="false">IF(_PENDIENTES!$B$729&lt;&gt;"",_PENDIENTES!$J$729,"")</f>
        <v/>
      </c>
      <c r="K735" s="46" t="str">
        <f aca="false">IF(_PENDIENTES!$B$729&lt;&gt;"","POR RECOGER","")</f>
        <v/>
      </c>
      <c r="L735" s="46" t="str">
        <f aca="false">IF(_PENDIENTES!$B$729&lt;&gt;"",_PENDIENTES!$K$729,"")</f>
        <v/>
      </c>
      <c r="M735" s="89" t="str">
        <f aca="false">IF(_PENDIENTES!$B$729&lt;&gt;"",_PENDIENTES!$B$729,"")</f>
        <v/>
      </c>
      <c r="N735" s="109" t="str">
        <f aca="false">IF(_PENDIENTES!$B$729&lt;&gt;"",_PENDIENTES!$L$729,"")</f>
        <v/>
      </c>
      <c r="O735" s="89"/>
      <c r="P735" s="89"/>
      <c r="Q735" s="89"/>
      <c r="R735" s="89"/>
      <c r="S735" s="89"/>
    </row>
    <row r="736" customFormat="false" ht="15.75" hidden="true" customHeight="true" outlineLevel="0" collapsed="false">
      <c r="A736" s="106" t="str">
        <f aca="false">IF(_PENDIENTES!$B$730&lt;&gt;"",729,"")</f>
        <v/>
      </c>
      <c r="B736" s="47" t="str">
        <f aca="false">IF(_PENDIENTES!$B$730&lt;&gt;"",_PENDIENTES!$A$730,"")</f>
        <v/>
      </c>
      <c r="C736" s="107" t="str">
        <f aca="false">IF(_PENDIENTES!$B$730&lt;&gt;"",_PENDIENTES!$C$730,"")</f>
        <v/>
      </c>
      <c r="D736" s="106" t="str">
        <f aca="false">IF(_PENDIENTES!$B$730&lt;&gt;"",_PENDIENTES!$D$730,"")</f>
        <v/>
      </c>
      <c r="E736" s="111" t="str">
        <f aca="false">IF(_PENDIENTES!$B$730&lt;&gt;"",_PENDIENTES!$E$730,"")</f>
        <v/>
      </c>
      <c r="F736" s="106" t="str">
        <f aca="false">IF(_PENDIENTES!$B$730&lt;&gt;"",_PENDIENTES!$F$730,"")</f>
        <v/>
      </c>
      <c r="G736" s="50" t="str">
        <f aca="false">IF(_PENDIENTES!$B$730&lt;&gt;"",_PENDIENTES!$G$730,"")</f>
        <v/>
      </c>
      <c r="H736" s="50" t="str">
        <f aca="false">IF(_PENDIENTES!$B$730&lt;&gt;"",_PENDIENTES!$H$730,"")</f>
        <v/>
      </c>
      <c r="I736" s="107" t="str">
        <f aca="false">IF(_PENDIENTES!$B$730&lt;&gt;"",_PENDIENTES!$I$730,"")</f>
        <v/>
      </c>
      <c r="J736" s="106" t="str">
        <f aca="false">IF(_PENDIENTES!$B$730&lt;&gt;"",_PENDIENTES!$J$730,"")</f>
        <v/>
      </c>
      <c r="K736" s="106" t="str">
        <f aca="false">IF(_PENDIENTES!$B$730&lt;&gt;"","POR RECOGER","")</f>
        <v/>
      </c>
      <c r="L736" s="106" t="str">
        <f aca="false">IF(_PENDIENTES!$B$730&lt;&gt;"",_PENDIENTES!$K$730,"")</f>
        <v/>
      </c>
      <c r="M736" s="89" t="str">
        <f aca="false">IF(_PENDIENTES!$B$730&lt;&gt;"",_PENDIENTES!$B$730,"")</f>
        <v/>
      </c>
      <c r="N736" s="109" t="str">
        <f aca="false">IF(_PENDIENTES!$B$730&lt;&gt;"",_PENDIENTES!$L$730,"")</f>
        <v/>
      </c>
      <c r="O736" s="89"/>
      <c r="P736" s="89"/>
      <c r="Q736" s="89"/>
      <c r="R736" s="89"/>
      <c r="S736" s="89"/>
    </row>
    <row r="737" customFormat="false" ht="15.75" hidden="true" customHeight="true" outlineLevel="0" collapsed="false">
      <c r="A737" s="46" t="str">
        <f aca="false">IF(_PENDIENTES!$B$731&lt;&gt;"",730,"")</f>
        <v/>
      </c>
      <c r="B737" s="41" t="str">
        <f aca="false">IF(_PENDIENTES!$B$731&lt;&gt;"",_PENDIENTES!$A$731,"")</f>
        <v/>
      </c>
      <c r="C737" s="110" t="str">
        <f aca="false">IF(_PENDIENTES!$B$731&lt;&gt;"",_PENDIENTES!$C$731,"")</f>
        <v/>
      </c>
      <c r="D737" s="46" t="str">
        <f aca="false">IF(_PENDIENTES!$B$731&lt;&gt;"",_PENDIENTES!$D$731,"")</f>
        <v/>
      </c>
      <c r="E737" s="112" t="str">
        <f aca="false">IF(_PENDIENTES!$B$731&lt;&gt;"",_PENDIENTES!$E$731,"")</f>
        <v/>
      </c>
      <c r="F737" s="46" t="str">
        <f aca="false">IF(_PENDIENTES!$B$731&lt;&gt;"",_PENDIENTES!$F$731,"")</f>
        <v/>
      </c>
      <c r="G737" s="44" t="str">
        <f aca="false">IF(_PENDIENTES!$B$731&lt;&gt;"",_PENDIENTES!$G$731,"")</f>
        <v/>
      </c>
      <c r="H737" s="44" t="str">
        <f aca="false">IF(_PENDIENTES!$B$731&lt;&gt;"",_PENDIENTES!$H$731,"")</f>
        <v/>
      </c>
      <c r="I737" s="110" t="str">
        <f aca="false">IF(_PENDIENTES!$B$731&lt;&gt;"",_PENDIENTES!$I$731,"")</f>
        <v/>
      </c>
      <c r="J737" s="46" t="str">
        <f aca="false">IF(_PENDIENTES!$B$731&lt;&gt;"",_PENDIENTES!$J$731,"")</f>
        <v/>
      </c>
      <c r="K737" s="46" t="str">
        <f aca="false">IF(_PENDIENTES!$B$731&lt;&gt;"","POR RECOGER","")</f>
        <v/>
      </c>
      <c r="L737" s="46" t="str">
        <f aca="false">IF(_PENDIENTES!$B$731&lt;&gt;"",_PENDIENTES!$K$731,"")</f>
        <v/>
      </c>
      <c r="M737" s="89" t="str">
        <f aca="false">IF(_PENDIENTES!$B$731&lt;&gt;"",_PENDIENTES!$B$731,"")</f>
        <v/>
      </c>
      <c r="N737" s="109" t="str">
        <f aca="false">IF(_PENDIENTES!$B$731&lt;&gt;"",_PENDIENTES!$L$731,"")</f>
        <v/>
      </c>
      <c r="O737" s="89"/>
      <c r="P737" s="89"/>
      <c r="Q737" s="89"/>
      <c r="R737" s="89"/>
      <c r="S737" s="89"/>
    </row>
    <row r="738" customFormat="false" ht="15.75" hidden="true" customHeight="true" outlineLevel="0" collapsed="false">
      <c r="A738" s="106" t="str">
        <f aca="false">IF(_PENDIENTES!$B$732&lt;&gt;"",731,"")</f>
        <v/>
      </c>
      <c r="B738" s="47" t="str">
        <f aca="false">IF(_PENDIENTES!$B$732&lt;&gt;"",_PENDIENTES!$A$732,"")</f>
        <v/>
      </c>
      <c r="C738" s="107" t="str">
        <f aca="false">IF(_PENDIENTES!$B$732&lt;&gt;"",_PENDIENTES!$C$732,"")</f>
        <v/>
      </c>
      <c r="D738" s="106" t="str">
        <f aca="false">IF(_PENDIENTES!$B$732&lt;&gt;"",_PENDIENTES!$D$732,"")</f>
        <v/>
      </c>
      <c r="E738" s="111" t="str">
        <f aca="false">IF(_PENDIENTES!$B$732&lt;&gt;"",_PENDIENTES!$E$732,"")</f>
        <v/>
      </c>
      <c r="F738" s="106" t="str">
        <f aca="false">IF(_PENDIENTES!$B$732&lt;&gt;"",_PENDIENTES!$F$732,"")</f>
        <v/>
      </c>
      <c r="G738" s="50" t="str">
        <f aca="false">IF(_PENDIENTES!$B$732&lt;&gt;"",_PENDIENTES!$G$732,"")</f>
        <v/>
      </c>
      <c r="H738" s="50" t="str">
        <f aca="false">IF(_PENDIENTES!$B$732&lt;&gt;"",_PENDIENTES!$H$732,"")</f>
        <v/>
      </c>
      <c r="I738" s="107" t="str">
        <f aca="false">IF(_PENDIENTES!$B$732&lt;&gt;"",_PENDIENTES!$I$732,"")</f>
        <v/>
      </c>
      <c r="J738" s="106" t="str">
        <f aca="false">IF(_PENDIENTES!$B$732&lt;&gt;"",_PENDIENTES!$J$732,"")</f>
        <v/>
      </c>
      <c r="K738" s="106" t="str">
        <f aca="false">IF(_PENDIENTES!$B$732&lt;&gt;"","POR RECOGER","")</f>
        <v/>
      </c>
      <c r="L738" s="106" t="str">
        <f aca="false">IF(_PENDIENTES!$B$732&lt;&gt;"",_PENDIENTES!$K$732,"")</f>
        <v/>
      </c>
      <c r="M738" s="89" t="str">
        <f aca="false">IF(_PENDIENTES!$B$732&lt;&gt;"",_PENDIENTES!$B$732,"")</f>
        <v/>
      </c>
      <c r="N738" s="109" t="str">
        <f aca="false">IF(_PENDIENTES!$B$732&lt;&gt;"",_PENDIENTES!$L$732,"")</f>
        <v/>
      </c>
      <c r="O738" s="89"/>
      <c r="P738" s="89"/>
      <c r="Q738" s="89"/>
      <c r="R738" s="89"/>
      <c r="S738" s="89"/>
    </row>
    <row r="739" customFormat="false" ht="15.75" hidden="true" customHeight="true" outlineLevel="0" collapsed="false">
      <c r="A739" s="46" t="str">
        <f aca="false">IF(_PENDIENTES!$B$733&lt;&gt;"",732,"")</f>
        <v/>
      </c>
      <c r="B739" s="41" t="str">
        <f aca="false">IF(_PENDIENTES!$B$733&lt;&gt;"",_PENDIENTES!$A$733,"")</f>
        <v/>
      </c>
      <c r="C739" s="110" t="str">
        <f aca="false">IF(_PENDIENTES!$B$733&lt;&gt;"",_PENDIENTES!$C$733,"")</f>
        <v/>
      </c>
      <c r="D739" s="46" t="str">
        <f aca="false">IF(_PENDIENTES!$B$733&lt;&gt;"",_PENDIENTES!$D$733,"")</f>
        <v/>
      </c>
      <c r="E739" s="112" t="str">
        <f aca="false">IF(_PENDIENTES!$B$733&lt;&gt;"",_PENDIENTES!$E$733,"")</f>
        <v/>
      </c>
      <c r="F739" s="46" t="str">
        <f aca="false">IF(_PENDIENTES!$B$733&lt;&gt;"",_PENDIENTES!$F$733,"")</f>
        <v/>
      </c>
      <c r="G739" s="44" t="str">
        <f aca="false">IF(_PENDIENTES!$B$733&lt;&gt;"",_PENDIENTES!$G$733,"")</f>
        <v/>
      </c>
      <c r="H739" s="44" t="str">
        <f aca="false">IF(_PENDIENTES!$B$733&lt;&gt;"",_PENDIENTES!$H$733,"")</f>
        <v/>
      </c>
      <c r="I739" s="110" t="str">
        <f aca="false">IF(_PENDIENTES!$B$733&lt;&gt;"",_PENDIENTES!$I$733,"")</f>
        <v/>
      </c>
      <c r="J739" s="46" t="str">
        <f aca="false">IF(_PENDIENTES!$B$733&lt;&gt;"",_PENDIENTES!$J$733,"")</f>
        <v/>
      </c>
      <c r="K739" s="46" t="str">
        <f aca="false">IF(_PENDIENTES!$B$733&lt;&gt;"","POR RECOGER","")</f>
        <v/>
      </c>
      <c r="L739" s="46" t="str">
        <f aca="false">IF(_PENDIENTES!$B$733&lt;&gt;"",_PENDIENTES!$K$733,"")</f>
        <v/>
      </c>
      <c r="M739" s="89" t="str">
        <f aca="false">IF(_PENDIENTES!$B$733&lt;&gt;"",_PENDIENTES!$B$733,"")</f>
        <v/>
      </c>
      <c r="N739" s="109" t="str">
        <f aca="false">IF(_PENDIENTES!$B$733&lt;&gt;"",_PENDIENTES!$L$733,"")</f>
        <v/>
      </c>
      <c r="O739" s="89"/>
      <c r="P739" s="89"/>
      <c r="Q739" s="89"/>
      <c r="R739" s="89"/>
      <c r="S739" s="89"/>
    </row>
    <row r="740" customFormat="false" ht="15.75" hidden="true" customHeight="true" outlineLevel="0" collapsed="false">
      <c r="A740" s="106" t="str">
        <f aca="false">IF(_PENDIENTES!$B$734&lt;&gt;"",733,"")</f>
        <v/>
      </c>
      <c r="B740" s="47" t="str">
        <f aca="false">IF(_PENDIENTES!$B$734&lt;&gt;"",_PENDIENTES!$A$734,"")</f>
        <v/>
      </c>
      <c r="C740" s="107" t="str">
        <f aca="false">IF(_PENDIENTES!$B$734&lt;&gt;"",_PENDIENTES!$C$734,"")</f>
        <v/>
      </c>
      <c r="D740" s="106" t="str">
        <f aca="false">IF(_PENDIENTES!$B$734&lt;&gt;"",_PENDIENTES!$D$734,"")</f>
        <v/>
      </c>
      <c r="E740" s="111" t="str">
        <f aca="false">IF(_PENDIENTES!$B$734&lt;&gt;"",_PENDIENTES!$E$734,"")</f>
        <v/>
      </c>
      <c r="F740" s="106" t="str">
        <f aca="false">IF(_PENDIENTES!$B$734&lt;&gt;"",_PENDIENTES!$F$734,"")</f>
        <v/>
      </c>
      <c r="G740" s="50" t="str">
        <f aca="false">IF(_PENDIENTES!$B$734&lt;&gt;"",_PENDIENTES!$G$734,"")</f>
        <v/>
      </c>
      <c r="H740" s="50" t="str">
        <f aca="false">IF(_PENDIENTES!$B$734&lt;&gt;"",_PENDIENTES!$H$734,"")</f>
        <v/>
      </c>
      <c r="I740" s="107" t="str">
        <f aca="false">IF(_PENDIENTES!$B$734&lt;&gt;"",_PENDIENTES!$I$734,"")</f>
        <v/>
      </c>
      <c r="J740" s="106" t="str">
        <f aca="false">IF(_PENDIENTES!$B$734&lt;&gt;"",_PENDIENTES!$J$734,"")</f>
        <v/>
      </c>
      <c r="K740" s="106" t="str">
        <f aca="false">IF(_PENDIENTES!$B$734&lt;&gt;"","POR RECOGER","")</f>
        <v/>
      </c>
      <c r="L740" s="106" t="str">
        <f aca="false">IF(_PENDIENTES!$B$734&lt;&gt;"",_PENDIENTES!$K$734,"")</f>
        <v/>
      </c>
      <c r="M740" s="89" t="str">
        <f aca="false">IF(_PENDIENTES!$B$734&lt;&gt;"",_PENDIENTES!$B$734,"")</f>
        <v/>
      </c>
      <c r="N740" s="109" t="str">
        <f aca="false">IF(_PENDIENTES!$B$734&lt;&gt;"",_PENDIENTES!$L$734,"")</f>
        <v/>
      </c>
      <c r="O740" s="89"/>
      <c r="P740" s="89"/>
      <c r="Q740" s="89"/>
      <c r="R740" s="89"/>
      <c r="S740" s="89"/>
    </row>
    <row r="741" customFormat="false" ht="15.75" hidden="true" customHeight="true" outlineLevel="0" collapsed="false">
      <c r="A741" s="46" t="str">
        <f aca="false">IF(_PENDIENTES!$B$735&lt;&gt;"",734,"")</f>
        <v/>
      </c>
      <c r="B741" s="41" t="str">
        <f aca="false">IF(_PENDIENTES!$B$735&lt;&gt;"",_PENDIENTES!$A$735,"")</f>
        <v/>
      </c>
      <c r="C741" s="110" t="str">
        <f aca="false">IF(_PENDIENTES!$B$735&lt;&gt;"",_PENDIENTES!$C$735,"")</f>
        <v/>
      </c>
      <c r="D741" s="46" t="str">
        <f aca="false">IF(_PENDIENTES!$B$735&lt;&gt;"",_PENDIENTES!$D$735,"")</f>
        <v/>
      </c>
      <c r="E741" s="112" t="str">
        <f aca="false">IF(_PENDIENTES!$B$735&lt;&gt;"",_PENDIENTES!$E$735,"")</f>
        <v/>
      </c>
      <c r="F741" s="46" t="str">
        <f aca="false">IF(_PENDIENTES!$B$735&lt;&gt;"",_PENDIENTES!$F$735,"")</f>
        <v/>
      </c>
      <c r="G741" s="44" t="str">
        <f aca="false">IF(_PENDIENTES!$B$735&lt;&gt;"",_PENDIENTES!$G$735,"")</f>
        <v/>
      </c>
      <c r="H741" s="44" t="str">
        <f aca="false">IF(_PENDIENTES!$B$735&lt;&gt;"",_PENDIENTES!$H$735,"")</f>
        <v/>
      </c>
      <c r="I741" s="110" t="str">
        <f aca="false">IF(_PENDIENTES!$B$735&lt;&gt;"",_PENDIENTES!$I$735,"")</f>
        <v/>
      </c>
      <c r="J741" s="46" t="str">
        <f aca="false">IF(_PENDIENTES!$B$735&lt;&gt;"",_PENDIENTES!$J$735,"")</f>
        <v/>
      </c>
      <c r="K741" s="46" t="str">
        <f aca="false">IF(_PENDIENTES!$B$735&lt;&gt;"","POR RECOGER","")</f>
        <v/>
      </c>
      <c r="L741" s="46" t="str">
        <f aca="false">IF(_PENDIENTES!$B$735&lt;&gt;"",_PENDIENTES!$K$735,"")</f>
        <v/>
      </c>
      <c r="M741" s="89" t="str">
        <f aca="false">IF(_PENDIENTES!$B$735&lt;&gt;"",_PENDIENTES!$B$735,"")</f>
        <v/>
      </c>
      <c r="N741" s="109" t="str">
        <f aca="false">IF(_PENDIENTES!$B$735&lt;&gt;"",_PENDIENTES!$L$735,"")</f>
        <v/>
      </c>
      <c r="O741" s="89"/>
      <c r="P741" s="89"/>
      <c r="Q741" s="89"/>
      <c r="R741" s="89"/>
      <c r="S741" s="89"/>
    </row>
    <row r="742" customFormat="false" ht="15.75" hidden="true" customHeight="true" outlineLevel="0" collapsed="false">
      <c r="A742" s="106" t="str">
        <f aca="false">IF(_PENDIENTES!$B$736&lt;&gt;"",735,"")</f>
        <v/>
      </c>
      <c r="B742" s="47" t="str">
        <f aca="false">IF(_PENDIENTES!$B$736&lt;&gt;"",_PENDIENTES!$A$736,"")</f>
        <v/>
      </c>
      <c r="C742" s="107" t="str">
        <f aca="false">IF(_PENDIENTES!$B$736&lt;&gt;"",_PENDIENTES!$C$736,"")</f>
        <v/>
      </c>
      <c r="D742" s="106" t="str">
        <f aca="false">IF(_PENDIENTES!$B$736&lt;&gt;"",_PENDIENTES!$D$736,"")</f>
        <v/>
      </c>
      <c r="E742" s="111" t="str">
        <f aca="false">IF(_PENDIENTES!$B$736&lt;&gt;"",_PENDIENTES!$E$736,"")</f>
        <v/>
      </c>
      <c r="F742" s="106" t="str">
        <f aca="false">IF(_PENDIENTES!$B$736&lt;&gt;"",_PENDIENTES!$F$736,"")</f>
        <v/>
      </c>
      <c r="G742" s="50" t="str">
        <f aca="false">IF(_PENDIENTES!$B$736&lt;&gt;"",_PENDIENTES!$G$736,"")</f>
        <v/>
      </c>
      <c r="H742" s="50" t="str">
        <f aca="false">IF(_PENDIENTES!$B$736&lt;&gt;"",_PENDIENTES!$H$736,"")</f>
        <v/>
      </c>
      <c r="I742" s="107" t="str">
        <f aca="false">IF(_PENDIENTES!$B$736&lt;&gt;"",_PENDIENTES!$I$736,"")</f>
        <v/>
      </c>
      <c r="J742" s="106" t="str">
        <f aca="false">IF(_PENDIENTES!$B$736&lt;&gt;"",_PENDIENTES!$J$736,"")</f>
        <v/>
      </c>
      <c r="K742" s="106" t="str">
        <f aca="false">IF(_PENDIENTES!$B$736&lt;&gt;"","POR RECOGER","")</f>
        <v/>
      </c>
      <c r="L742" s="106" t="str">
        <f aca="false">IF(_PENDIENTES!$B$736&lt;&gt;"",_PENDIENTES!$K$736,"")</f>
        <v/>
      </c>
      <c r="M742" s="89" t="str">
        <f aca="false">IF(_PENDIENTES!$B$736&lt;&gt;"",_PENDIENTES!$B$736,"")</f>
        <v/>
      </c>
      <c r="N742" s="109" t="str">
        <f aca="false">IF(_PENDIENTES!$B$736&lt;&gt;"",_PENDIENTES!$L$736,"")</f>
        <v/>
      </c>
      <c r="O742" s="89"/>
      <c r="P742" s="89"/>
      <c r="Q742" s="89"/>
      <c r="R742" s="89"/>
      <c r="S742" s="89"/>
    </row>
    <row r="743" customFormat="false" ht="15.75" hidden="true" customHeight="true" outlineLevel="0" collapsed="false">
      <c r="A743" s="46" t="str">
        <f aca="false">IF(_PENDIENTES!$B$737&lt;&gt;"",736,"")</f>
        <v/>
      </c>
      <c r="B743" s="41" t="str">
        <f aca="false">IF(_PENDIENTES!$B$737&lt;&gt;"",_PENDIENTES!$A$737,"")</f>
        <v/>
      </c>
      <c r="C743" s="110" t="str">
        <f aca="false">IF(_PENDIENTES!$B$737&lt;&gt;"",_PENDIENTES!$C$737,"")</f>
        <v/>
      </c>
      <c r="D743" s="46" t="str">
        <f aca="false">IF(_PENDIENTES!$B$737&lt;&gt;"",_PENDIENTES!$D$737,"")</f>
        <v/>
      </c>
      <c r="E743" s="112" t="str">
        <f aca="false">IF(_PENDIENTES!$B$737&lt;&gt;"",_PENDIENTES!$E$737,"")</f>
        <v/>
      </c>
      <c r="F743" s="46" t="str">
        <f aca="false">IF(_PENDIENTES!$B$737&lt;&gt;"",_PENDIENTES!$F$737,"")</f>
        <v/>
      </c>
      <c r="G743" s="44" t="str">
        <f aca="false">IF(_PENDIENTES!$B$737&lt;&gt;"",_PENDIENTES!$G$737,"")</f>
        <v/>
      </c>
      <c r="H743" s="44" t="str">
        <f aca="false">IF(_PENDIENTES!$B$737&lt;&gt;"",_PENDIENTES!$H$737,"")</f>
        <v/>
      </c>
      <c r="I743" s="110" t="str">
        <f aca="false">IF(_PENDIENTES!$B$737&lt;&gt;"",_PENDIENTES!$I$737,"")</f>
        <v/>
      </c>
      <c r="J743" s="46" t="str">
        <f aca="false">IF(_PENDIENTES!$B$737&lt;&gt;"",_PENDIENTES!$J$737,"")</f>
        <v/>
      </c>
      <c r="K743" s="46" t="str">
        <f aca="false">IF(_PENDIENTES!$B$737&lt;&gt;"","POR RECOGER","")</f>
        <v/>
      </c>
      <c r="L743" s="46" t="str">
        <f aca="false">IF(_PENDIENTES!$B$737&lt;&gt;"",_PENDIENTES!$K$737,"")</f>
        <v/>
      </c>
      <c r="M743" s="89" t="str">
        <f aca="false">IF(_PENDIENTES!$B$737&lt;&gt;"",_PENDIENTES!$B$737,"")</f>
        <v/>
      </c>
      <c r="N743" s="109" t="str">
        <f aca="false">IF(_PENDIENTES!$B$737&lt;&gt;"",_PENDIENTES!$L$737,"")</f>
        <v/>
      </c>
      <c r="O743" s="89"/>
      <c r="P743" s="89"/>
      <c r="Q743" s="89"/>
      <c r="R743" s="89"/>
      <c r="S743" s="89"/>
    </row>
    <row r="744" customFormat="false" ht="15.75" hidden="true" customHeight="true" outlineLevel="0" collapsed="false">
      <c r="A744" s="106" t="str">
        <f aca="false">IF(_PENDIENTES!$B$738&lt;&gt;"",737,"")</f>
        <v/>
      </c>
      <c r="B744" s="47" t="str">
        <f aca="false">IF(_PENDIENTES!$B$738&lt;&gt;"",_PENDIENTES!$A$738,"")</f>
        <v/>
      </c>
      <c r="C744" s="107" t="str">
        <f aca="false">IF(_PENDIENTES!$B$738&lt;&gt;"",_PENDIENTES!$C$738,"")</f>
        <v/>
      </c>
      <c r="D744" s="106" t="str">
        <f aca="false">IF(_PENDIENTES!$B$738&lt;&gt;"",_PENDIENTES!$D$738,"")</f>
        <v/>
      </c>
      <c r="E744" s="111" t="str">
        <f aca="false">IF(_PENDIENTES!$B$738&lt;&gt;"",_PENDIENTES!$E$738,"")</f>
        <v/>
      </c>
      <c r="F744" s="106" t="str">
        <f aca="false">IF(_PENDIENTES!$B$738&lt;&gt;"",_PENDIENTES!$F$738,"")</f>
        <v/>
      </c>
      <c r="G744" s="50" t="str">
        <f aca="false">IF(_PENDIENTES!$B$738&lt;&gt;"",_PENDIENTES!$G$738,"")</f>
        <v/>
      </c>
      <c r="H744" s="50" t="str">
        <f aca="false">IF(_PENDIENTES!$B$738&lt;&gt;"",_PENDIENTES!$H$738,"")</f>
        <v/>
      </c>
      <c r="I744" s="107" t="str">
        <f aca="false">IF(_PENDIENTES!$B$738&lt;&gt;"",_PENDIENTES!$I$738,"")</f>
        <v/>
      </c>
      <c r="J744" s="106" t="str">
        <f aca="false">IF(_PENDIENTES!$B$738&lt;&gt;"",_PENDIENTES!$J$738,"")</f>
        <v/>
      </c>
      <c r="K744" s="106" t="str">
        <f aca="false">IF(_PENDIENTES!$B$738&lt;&gt;"","POR RECOGER","")</f>
        <v/>
      </c>
      <c r="L744" s="106" t="str">
        <f aca="false">IF(_PENDIENTES!$B$738&lt;&gt;"",_PENDIENTES!$K$738,"")</f>
        <v/>
      </c>
      <c r="M744" s="89" t="str">
        <f aca="false">IF(_PENDIENTES!$B$738&lt;&gt;"",_PENDIENTES!$B$738,"")</f>
        <v/>
      </c>
      <c r="N744" s="109" t="str">
        <f aca="false">IF(_PENDIENTES!$B$738&lt;&gt;"",_PENDIENTES!$L$738,"")</f>
        <v/>
      </c>
      <c r="O744" s="89"/>
      <c r="P744" s="89"/>
      <c r="Q744" s="89"/>
      <c r="R744" s="89"/>
      <c r="S744" s="89"/>
    </row>
    <row r="745" customFormat="false" ht="15.75" hidden="true" customHeight="true" outlineLevel="0" collapsed="false">
      <c r="A745" s="46" t="str">
        <f aca="false">IF(_PENDIENTES!$B$739&lt;&gt;"",738,"")</f>
        <v/>
      </c>
      <c r="B745" s="41" t="str">
        <f aca="false">IF(_PENDIENTES!$B$739&lt;&gt;"",_PENDIENTES!$A$739,"")</f>
        <v/>
      </c>
      <c r="C745" s="110" t="str">
        <f aca="false">IF(_PENDIENTES!$B$739&lt;&gt;"",_PENDIENTES!$C$739,"")</f>
        <v/>
      </c>
      <c r="D745" s="46" t="str">
        <f aca="false">IF(_PENDIENTES!$B$739&lt;&gt;"",_PENDIENTES!$D$739,"")</f>
        <v/>
      </c>
      <c r="E745" s="112" t="str">
        <f aca="false">IF(_PENDIENTES!$B$739&lt;&gt;"",_PENDIENTES!$E$739,"")</f>
        <v/>
      </c>
      <c r="F745" s="46" t="str">
        <f aca="false">IF(_PENDIENTES!$B$739&lt;&gt;"",_PENDIENTES!$F$739,"")</f>
        <v/>
      </c>
      <c r="G745" s="44" t="str">
        <f aca="false">IF(_PENDIENTES!$B$739&lt;&gt;"",_PENDIENTES!$G$739,"")</f>
        <v/>
      </c>
      <c r="H745" s="44" t="str">
        <f aca="false">IF(_PENDIENTES!$B$739&lt;&gt;"",_PENDIENTES!$H$739,"")</f>
        <v/>
      </c>
      <c r="I745" s="110" t="str">
        <f aca="false">IF(_PENDIENTES!$B$739&lt;&gt;"",_PENDIENTES!$I$739,"")</f>
        <v/>
      </c>
      <c r="J745" s="46" t="str">
        <f aca="false">IF(_PENDIENTES!$B$739&lt;&gt;"",_PENDIENTES!$J$739,"")</f>
        <v/>
      </c>
      <c r="K745" s="46" t="str">
        <f aca="false">IF(_PENDIENTES!$B$739&lt;&gt;"","POR RECOGER","")</f>
        <v/>
      </c>
      <c r="L745" s="46" t="str">
        <f aca="false">IF(_PENDIENTES!$B$739&lt;&gt;"",_PENDIENTES!$K$739,"")</f>
        <v/>
      </c>
      <c r="M745" s="89" t="str">
        <f aca="false">IF(_PENDIENTES!$B$739&lt;&gt;"",_PENDIENTES!$B$739,"")</f>
        <v/>
      </c>
      <c r="N745" s="109" t="str">
        <f aca="false">IF(_PENDIENTES!$B$739&lt;&gt;"",_PENDIENTES!$L$739,"")</f>
        <v/>
      </c>
      <c r="O745" s="89"/>
      <c r="P745" s="89"/>
      <c r="Q745" s="89"/>
      <c r="R745" s="89"/>
      <c r="S745" s="89"/>
    </row>
    <row r="746" customFormat="false" ht="15.75" hidden="true" customHeight="true" outlineLevel="0" collapsed="false">
      <c r="A746" s="106" t="str">
        <f aca="false">IF(_PENDIENTES!$B$740&lt;&gt;"",739,"")</f>
        <v/>
      </c>
      <c r="B746" s="47" t="str">
        <f aca="false">IF(_PENDIENTES!$B$740&lt;&gt;"",_PENDIENTES!$A$740,"")</f>
        <v/>
      </c>
      <c r="C746" s="107" t="str">
        <f aca="false">IF(_PENDIENTES!$B$740&lt;&gt;"",_PENDIENTES!$C$740,"")</f>
        <v/>
      </c>
      <c r="D746" s="106" t="str">
        <f aca="false">IF(_PENDIENTES!$B$740&lt;&gt;"",_PENDIENTES!$D$740,"")</f>
        <v/>
      </c>
      <c r="E746" s="111" t="str">
        <f aca="false">IF(_PENDIENTES!$B$740&lt;&gt;"",_PENDIENTES!$E$740,"")</f>
        <v/>
      </c>
      <c r="F746" s="106" t="str">
        <f aca="false">IF(_PENDIENTES!$B$740&lt;&gt;"",_PENDIENTES!$F$740,"")</f>
        <v/>
      </c>
      <c r="G746" s="50" t="str">
        <f aca="false">IF(_PENDIENTES!$B$740&lt;&gt;"",_PENDIENTES!$G$740,"")</f>
        <v/>
      </c>
      <c r="H746" s="50" t="str">
        <f aca="false">IF(_PENDIENTES!$B$740&lt;&gt;"",_PENDIENTES!$H$740,"")</f>
        <v/>
      </c>
      <c r="I746" s="107" t="str">
        <f aca="false">IF(_PENDIENTES!$B$740&lt;&gt;"",_PENDIENTES!$I$740,"")</f>
        <v/>
      </c>
      <c r="J746" s="106" t="str">
        <f aca="false">IF(_PENDIENTES!$B$740&lt;&gt;"",_PENDIENTES!$J$740,"")</f>
        <v/>
      </c>
      <c r="K746" s="106" t="str">
        <f aca="false">IF(_PENDIENTES!$B$740&lt;&gt;"","POR RECOGER","")</f>
        <v/>
      </c>
      <c r="L746" s="106" t="str">
        <f aca="false">IF(_PENDIENTES!$B$740&lt;&gt;"",_PENDIENTES!$K$740,"")</f>
        <v/>
      </c>
      <c r="M746" s="89" t="str">
        <f aca="false">IF(_PENDIENTES!$B$740&lt;&gt;"",_PENDIENTES!$B$740,"")</f>
        <v/>
      </c>
      <c r="N746" s="109" t="str">
        <f aca="false">IF(_PENDIENTES!$B$740&lt;&gt;"",_PENDIENTES!$L$740,"")</f>
        <v/>
      </c>
      <c r="O746" s="89"/>
      <c r="P746" s="89"/>
      <c r="Q746" s="89"/>
      <c r="R746" s="89"/>
      <c r="S746" s="89"/>
    </row>
    <row r="747" customFormat="false" ht="15.75" hidden="true" customHeight="true" outlineLevel="0" collapsed="false">
      <c r="A747" s="46" t="str">
        <f aca="false">IF(_PENDIENTES!$B$741&lt;&gt;"",740,"")</f>
        <v/>
      </c>
      <c r="B747" s="41" t="str">
        <f aca="false">IF(_PENDIENTES!$B$741&lt;&gt;"",_PENDIENTES!$A$741,"")</f>
        <v/>
      </c>
      <c r="C747" s="110" t="str">
        <f aca="false">IF(_PENDIENTES!$B$741&lt;&gt;"",_PENDIENTES!$C$741,"")</f>
        <v/>
      </c>
      <c r="D747" s="46" t="str">
        <f aca="false">IF(_PENDIENTES!$B$741&lt;&gt;"",_PENDIENTES!$D$741,"")</f>
        <v/>
      </c>
      <c r="E747" s="112" t="str">
        <f aca="false">IF(_PENDIENTES!$B$741&lt;&gt;"",_PENDIENTES!$E$741,"")</f>
        <v/>
      </c>
      <c r="F747" s="46" t="str">
        <f aca="false">IF(_PENDIENTES!$B$741&lt;&gt;"",_PENDIENTES!$F$741,"")</f>
        <v/>
      </c>
      <c r="G747" s="44" t="str">
        <f aca="false">IF(_PENDIENTES!$B$741&lt;&gt;"",_PENDIENTES!$G$741,"")</f>
        <v/>
      </c>
      <c r="H747" s="44" t="str">
        <f aca="false">IF(_PENDIENTES!$B$741&lt;&gt;"",_PENDIENTES!$H$741,"")</f>
        <v/>
      </c>
      <c r="I747" s="110" t="str">
        <f aca="false">IF(_PENDIENTES!$B$741&lt;&gt;"",_PENDIENTES!$I$741,"")</f>
        <v/>
      </c>
      <c r="J747" s="46" t="str">
        <f aca="false">IF(_PENDIENTES!$B$741&lt;&gt;"",_PENDIENTES!$J$741,"")</f>
        <v/>
      </c>
      <c r="K747" s="46" t="str">
        <f aca="false">IF(_PENDIENTES!$B$741&lt;&gt;"","POR RECOGER","")</f>
        <v/>
      </c>
      <c r="L747" s="46" t="str">
        <f aca="false">IF(_PENDIENTES!$B$741&lt;&gt;"",_PENDIENTES!$K$741,"")</f>
        <v/>
      </c>
      <c r="M747" s="89" t="str">
        <f aca="false">IF(_PENDIENTES!$B$741&lt;&gt;"",_PENDIENTES!$B$741,"")</f>
        <v/>
      </c>
      <c r="N747" s="109" t="str">
        <f aca="false">IF(_PENDIENTES!$B$741&lt;&gt;"",_PENDIENTES!$L$741,"")</f>
        <v/>
      </c>
      <c r="O747" s="89"/>
      <c r="P747" s="89"/>
      <c r="Q747" s="89"/>
      <c r="R747" s="89"/>
      <c r="S747" s="89"/>
    </row>
    <row r="748" customFormat="false" ht="15.75" hidden="true" customHeight="true" outlineLevel="0" collapsed="false">
      <c r="A748" s="106" t="str">
        <f aca="false">IF(_PENDIENTES!$B$742&lt;&gt;"",741,"")</f>
        <v/>
      </c>
      <c r="B748" s="47" t="str">
        <f aca="false">IF(_PENDIENTES!$B$742&lt;&gt;"",_PENDIENTES!$A$742,"")</f>
        <v/>
      </c>
      <c r="C748" s="107" t="str">
        <f aca="false">IF(_PENDIENTES!$B$742&lt;&gt;"",_PENDIENTES!$C$742,"")</f>
        <v/>
      </c>
      <c r="D748" s="106" t="str">
        <f aca="false">IF(_PENDIENTES!$B$742&lt;&gt;"",_PENDIENTES!$D$742,"")</f>
        <v/>
      </c>
      <c r="E748" s="111" t="str">
        <f aca="false">IF(_PENDIENTES!$B$742&lt;&gt;"",_PENDIENTES!$E$742,"")</f>
        <v/>
      </c>
      <c r="F748" s="106" t="str">
        <f aca="false">IF(_PENDIENTES!$B$742&lt;&gt;"",_PENDIENTES!$F$742,"")</f>
        <v/>
      </c>
      <c r="G748" s="50" t="str">
        <f aca="false">IF(_PENDIENTES!$B$742&lt;&gt;"",_PENDIENTES!$G$742,"")</f>
        <v/>
      </c>
      <c r="H748" s="50" t="str">
        <f aca="false">IF(_PENDIENTES!$B$742&lt;&gt;"",_PENDIENTES!$H$742,"")</f>
        <v/>
      </c>
      <c r="I748" s="107" t="str">
        <f aca="false">IF(_PENDIENTES!$B$742&lt;&gt;"",_PENDIENTES!$I$742,"")</f>
        <v/>
      </c>
      <c r="J748" s="106" t="str">
        <f aca="false">IF(_PENDIENTES!$B$742&lt;&gt;"",_PENDIENTES!$J$742,"")</f>
        <v/>
      </c>
      <c r="K748" s="106" t="str">
        <f aca="false">IF(_PENDIENTES!$B$742&lt;&gt;"","POR RECOGER","")</f>
        <v/>
      </c>
      <c r="L748" s="106" t="str">
        <f aca="false">IF(_PENDIENTES!$B$742&lt;&gt;"",_PENDIENTES!$K$742,"")</f>
        <v/>
      </c>
      <c r="M748" s="89" t="str">
        <f aca="false">IF(_PENDIENTES!$B$742&lt;&gt;"",_PENDIENTES!$B$742,"")</f>
        <v/>
      </c>
      <c r="N748" s="109" t="str">
        <f aca="false">IF(_PENDIENTES!$B$742&lt;&gt;"",_PENDIENTES!$L$742,"")</f>
        <v/>
      </c>
      <c r="O748" s="89"/>
      <c r="P748" s="89"/>
      <c r="Q748" s="89"/>
      <c r="R748" s="89"/>
      <c r="S748" s="89"/>
    </row>
    <row r="749" customFormat="false" ht="15.75" hidden="true" customHeight="true" outlineLevel="0" collapsed="false">
      <c r="A749" s="46" t="str">
        <f aca="false">IF(_PENDIENTES!$B$743&lt;&gt;"",742,"")</f>
        <v/>
      </c>
      <c r="B749" s="41" t="str">
        <f aca="false">IF(_PENDIENTES!$B$743&lt;&gt;"",_PENDIENTES!$A$743,"")</f>
        <v/>
      </c>
      <c r="C749" s="110" t="str">
        <f aca="false">IF(_PENDIENTES!$B$743&lt;&gt;"",_PENDIENTES!$C$743,"")</f>
        <v/>
      </c>
      <c r="D749" s="46" t="str">
        <f aca="false">IF(_PENDIENTES!$B$743&lt;&gt;"",_PENDIENTES!$D$743,"")</f>
        <v/>
      </c>
      <c r="E749" s="112" t="str">
        <f aca="false">IF(_PENDIENTES!$B$743&lt;&gt;"",_PENDIENTES!$E$743,"")</f>
        <v/>
      </c>
      <c r="F749" s="46" t="str">
        <f aca="false">IF(_PENDIENTES!$B$743&lt;&gt;"",_PENDIENTES!$F$743,"")</f>
        <v/>
      </c>
      <c r="G749" s="44" t="str">
        <f aca="false">IF(_PENDIENTES!$B$743&lt;&gt;"",_PENDIENTES!$G$743,"")</f>
        <v/>
      </c>
      <c r="H749" s="44" t="str">
        <f aca="false">IF(_PENDIENTES!$B$743&lt;&gt;"",_PENDIENTES!$H$743,"")</f>
        <v/>
      </c>
      <c r="I749" s="110" t="str">
        <f aca="false">IF(_PENDIENTES!$B$743&lt;&gt;"",_PENDIENTES!$I$743,"")</f>
        <v/>
      </c>
      <c r="J749" s="46" t="str">
        <f aca="false">IF(_PENDIENTES!$B$743&lt;&gt;"",_PENDIENTES!$J$743,"")</f>
        <v/>
      </c>
      <c r="K749" s="46" t="str">
        <f aca="false">IF(_PENDIENTES!$B$743&lt;&gt;"","POR RECOGER","")</f>
        <v/>
      </c>
      <c r="L749" s="46" t="str">
        <f aca="false">IF(_PENDIENTES!$B$743&lt;&gt;"",_PENDIENTES!$K$743,"")</f>
        <v/>
      </c>
      <c r="M749" s="89" t="str">
        <f aca="false">IF(_PENDIENTES!$B$743&lt;&gt;"",_PENDIENTES!$B$743,"")</f>
        <v/>
      </c>
      <c r="N749" s="109" t="str">
        <f aca="false">IF(_PENDIENTES!$B$743&lt;&gt;"",_PENDIENTES!$L$743,"")</f>
        <v/>
      </c>
      <c r="O749" s="89"/>
      <c r="P749" s="89"/>
      <c r="Q749" s="89"/>
      <c r="R749" s="89"/>
      <c r="S749" s="89"/>
    </row>
    <row r="750" customFormat="false" ht="15.75" hidden="true" customHeight="true" outlineLevel="0" collapsed="false">
      <c r="A750" s="106" t="str">
        <f aca="false">IF(_PENDIENTES!$B$744&lt;&gt;"",743,"")</f>
        <v/>
      </c>
      <c r="B750" s="47" t="str">
        <f aca="false">IF(_PENDIENTES!$B$744&lt;&gt;"",_PENDIENTES!$A$744,"")</f>
        <v/>
      </c>
      <c r="C750" s="107" t="str">
        <f aca="false">IF(_PENDIENTES!$B$744&lt;&gt;"",_PENDIENTES!$C$744,"")</f>
        <v/>
      </c>
      <c r="D750" s="106" t="str">
        <f aca="false">IF(_PENDIENTES!$B$744&lt;&gt;"",_PENDIENTES!$D$744,"")</f>
        <v/>
      </c>
      <c r="E750" s="111" t="str">
        <f aca="false">IF(_PENDIENTES!$B$744&lt;&gt;"",_PENDIENTES!$E$744,"")</f>
        <v/>
      </c>
      <c r="F750" s="106" t="str">
        <f aca="false">IF(_PENDIENTES!$B$744&lt;&gt;"",_PENDIENTES!$F$744,"")</f>
        <v/>
      </c>
      <c r="G750" s="50" t="str">
        <f aca="false">IF(_PENDIENTES!$B$744&lt;&gt;"",_PENDIENTES!$G$744,"")</f>
        <v/>
      </c>
      <c r="H750" s="50" t="str">
        <f aca="false">IF(_PENDIENTES!$B$744&lt;&gt;"",_PENDIENTES!$H$744,"")</f>
        <v/>
      </c>
      <c r="I750" s="107" t="str">
        <f aca="false">IF(_PENDIENTES!$B$744&lt;&gt;"",_PENDIENTES!$I$744,"")</f>
        <v/>
      </c>
      <c r="J750" s="106" t="str">
        <f aca="false">IF(_PENDIENTES!$B$744&lt;&gt;"",_PENDIENTES!$J$744,"")</f>
        <v/>
      </c>
      <c r="K750" s="106" t="str">
        <f aca="false">IF(_PENDIENTES!$B$744&lt;&gt;"","POR RECOGER","")</f>
        <v/>
      </c>
      <c r="L750" s="106" t="str">
        <f aca="false">IF(_PENDIENTES!$B$744&lt;&gt;"",_PENDIENTES!$K$744,"")</f>
        <v/>
      </c>
      <c r="M750" s="89" t="str">
        <f aca="false">IF(_PENDIENTES!$B$744&lt;&gt;"",_PENDIENTES!$B$744,"")</f>
        <v/>
      </c>
      <c r="N750" s="109" t="str">
        <f aca="false">IF(_PENDIENTES!$B$744&lt;&gt;"",_PENDIENTES!$L$744,"")</f>
        <v/>
      </c>
      <c r="O750" s="89"/>
      <c r="P750" s="89"/>
      <c r="Q750" s="89"/>
      <c r="R750" s="89"/>
      <c r="S750" s="89"/>
    </row>
    <row r="751" customFormat="false" ht="15.75" hidden="true" customHeight="true" outlineLevel="0" collapsed="false">
      <c r="A751" s="46" t="str">
        <f aca="false">IF(_PENDIENTES!$B$745&lt;&gt;"",744,"")</f>
        <v/>
      </c>
      <c r="B751" s="41" t="str">
        <f aca="false">IF(_PENDIENTES!$B$745&lt;&gt;"",_PENDIENTES!$A$745,"")</f>
        <v/>
      </c>
      <c r="C751" s="110" t="str">
        <f aca="false">IF(_PENDIENTES!$B$745&lt;&gt;"",_PENDIENTES!$C$745,"")</f>
        <v/>
      </c>
      <c r="D751" s="46" t="str">
        <f aca="false">IF(_PENDIENTES!$B$745&lt;&gt;"",_PENDIENTES!$D$745,"")</f>
        <v/>
      </c>
      <c r="E751" s="112" t="str">
        <f aca="false">IF(_PENDIENTES!$B$745&lt;&gt;"",_PENDIENTES!$E$745,"")</f>
        <v/>
      </c>
      <c r="F751" s="46" t="str">
        <f aca="false">IF(_PENDIENTES!$B$745&lt;&gt;"",_PENDIENTES!$F$745,"")</f>
        <v/>
      </c>
      <c r="G751" s="44" t="str">
        <f aca="false">IF(_PENDIENTES!$B$745&lt;&gt;"",_PENDIENTES!$G$745,"")</f>
        <v/>
      </c>
      <c r="H751" s="44" t="str">
        <f aca="false">IF(_PENDIENTES!$B$745&lt;&gt;"",_PENDIENTES!$H$745,"")</f>
        <v/>
      </c>
      <c r="I751" s="110" t="str">
        <f aca="false">IF(_PENDIENTES!$B$745&lt;&gt;"",_PENDIENTES!$I$745,"")</f>
        <v/>
      </c>
      <c r="J751" s="46" t="str">
        <f aca="false">IF(_PENDIENTES!$B$745&lt;&gt;"",_PENDIENTES!$J$745,"")</f>
        <v/>
      </c>
      <c r="K751" s="46" t="str">
        <f aca="false">IF(_PENDIENTES!$B$745&lt;&gt;"","POR RECOGER","")</f>
        <v/>
      </c>
      <c r="L751" s="46" t="str">
        <f aca="false">IF(_PENDIENTES!$B$745&lt;&gt;"",_PENDIENTES!$K$745,"")</f>
        <v/>
      </c>
      <c r="M751" s="89" t="str">
        <f aca="false">IF(_PENDIENTES!$B$745&lt;&gt;"",_PENDIENTES!$B$745,"")</f>
        <v/>
      </c>
      <c r="N751" s="109" t="str">
        <f aca="false">IF(_PENDIENTES!$B$745&lt;&gt;"",_PENDIENTES!$L$745,"")</f>
        <v/>
      </c>
      <c r="O751" s="89"/>
      <c r="P751" s="89"/>
      <c r="Q751" s="89"/>
      <c r="R751" s="89"/>
      <c r="S751" s="89"/>
    </row>
    <row r="752" customFormat="false" ht="15.75" hidden="true" customHeight="true" outlineLevel="0" collapsed="false">
      <c r="A752" s="106" t="str">
        <f aca="false">IF(_PENDIENTES!$B$746&lt;&gt;"",745,"")</f>
        <v/>
      </c>
      <c r="B752" s="47" t="str">
        <f aca="false">IF(_PENDIENTES!$B$746&lt;&gt;"",_PENDIENTES!$A$746,"")</f>
        <v/>
      </c>
      <c r="C752" s="107" t="str">
        <f aca="false">IF(_PENDIENTES!$B$746&lt;&gt;"",_PENDIENTES!$C$746,"")</f>
        <v/>
      </c>
      <c r="D752" s="106" t="str">
        <f aca="false">IF(_PENDIENTES!$B$746&lt;&gt;"",_PENDIENTES!$D$746,"")</f>
        <v/>
      </c>
      <c r="E752" s="111" t="str">
        <f aca="false">IF(_PENDIENTES!$B$746&lt;&gt;"",_PENDIENTES!$E$746,"")</f>
        <v/>
      </c>
      <c r="F752" s="106" t="str">
        <f aca="false">IF(_PENDIENTES!$B$746&lt;&gt;"",_PENDIENTES!$F$746,"")</f>
        <v/>
      </c>
      <c r="G752" s="50" t="str">
        <f aca="false">IF(_PENDIENTES!$B$746&lt;&gt;"",_PENDIENTES!$G$746,"")</f>
        <v/>
      </c>
      <c r="H752" s="50" t="str">
        <f aca="false">IF(_PENDIENTES!$B$746&lt;&gt;"",_PENDIENTES!$H$746,"")</f>
        <v/>
      </c>
      <c r="I752" s="107" t="str">
        <f aca="false">IF(_PENDIENTES!$B$746&lt;&gt;"",_PENDIENTES!$I$746,"")</f>
        <v/>
      </c>
      <c r="J752" s="106" t="str">
        <f aca="false">IF(_PENDIENTES!$B$746&lt;&gt;"",_PENDIENTES!$J$746,"")</f>
        <v/>
      </c>
      <c r="K752" s="106" t="str">
        <f aca="false">IF(_PENDIENTES!$B$746&lt;&gt;"","POR RECOGER","")</f>
        <v/>
      </c>
      <c r="L752" s="106" t="str">
        <f aca="false">IF(_PENDIENTES!$B$746&lt;&gt;"",_PENDIENTES!$K$746,"")</f>
        <v/>
      </c>
      <c r="M752" s="89" t="str">
        <f aca="false">IF(_PENDIENTES!$B$746&lt;&gt;"",_PENDIENTES!$B$746,"")</f>
        <v/>
      </c>
      <c r="N752" s="109" t="str">
        <f aca="false">IF(_PENDIENTES!$B$746&lt;&gt;"",_PENDIENTES!$L$746,"")</f>
        <v/>
      </c>
      <c r="O752" s="89"/>
      <c r="P752" s="89"/>
      <c r="Q752" s="89"/>
      <c r="R752" s="89"/>
      <c r="S752" s="89"/>
    </row>
    <row r="753" customFormat="false" ht="15.75" hidden="true" customHeight="true" outlineLevel="0" collapsed="false">
      <c r="A753" s="46" t="str">
        <f aca="false">IF(_PENDIENTES!$B$747&lt;&gt;"",746,"")</f>
        <v/>
      </c>
      <c r="B753" s="41" t="str">
        <f aca="false">IF(_PENDIENTES!$B$747&lt;&gt;"",_PENDIENTES!$A$747,"")</f>
        <v/>
      </c>
      <c r="C753" s="110" t="str">
        <f aca="false">IF(_PENDIENTES!$B$747&lt;&gt;"",_PENDIENTES!$C$747,"")</f>
        <v/>
      </c>
      <c r="D753" s="46" t="str">
        <f aca="false">IF(_PENDIENTES!$B$747&lt;&gt;"",_PENDIENTES!$D$747,"")</f>
        <v/>
      </c>
      <c r="E753" s="112" t="str">
        <f aca="false">IF(_PENDIENTES!$B$747&lt;&gt;"",_PENDIENTES!$E$747,"")</f>
        <v/>
      </c>
      <c r="F753" s="46" t="str">
        <f aca="false">IF(_PENDIENTES!$B$747&lt;&gt;"",_PENDIENTES!$F$747,"")</f>
        <v/>
      </c>
      <c r="G753" s="44" t="str">
        <f aca="false">IF(_PENDIENTES!$B$747&lt;&gt;"",_PENDIENTES!$G$747,"")</f>
        <v/>
      </c>
      <c r="H753" s="44" t="str">
        <f aca="false">IF(_PENDIENTES!$B$747&lt;&gt;"",_PENDIENTES!$H$747,"")</f>
        <v/>
      </c>
      <c r="I753" s="110" t="str">
        <f aca="false">IF(_PENDIENTES!$B$747&lt;&gt;"",_PENDIENTES!$I$747,"")</f>
        <v/>
      </c>
      <c r="J753" s="46" t="str">
        <f aca="false">IF(_PENDIENTES!$B$747&lt;&gt;"",_PENDIENTES!$J$747,"")</f>
        <v/>
      </c>
      <c r="K753" s="46" t="str">
        <f aca="false">IF(_PENDIENTES!$B$747&lt;&gt;"","POR RECOGER","")</f>
        <v/>
      </c>
      <c r="L753" s="46" t="str">
        <f aca="false">IF(_PENDIENTES!$B$747&lt;&gt;"",_PENDIENTES!$K$747,"")</f>
        <v/>
      </c>
      <c r="M753" s="89" t="str">
        <f aca="false">IF(_PENDIENTES!$B$747&lt;&gt;"",_PENDIENTES!$B$747,"")</f>
        <v/>
      </c>
      <c r="N753" s="109" t="str">
        <f aca="false">IF(_PENDIENTES!$B$747&lt;&gt;"",_PENDIENTES!$L$747,"")</f>
        <v/>
      </c>
      <c r="O753" s="89"/>
      <c r="P753" s="89"/>
      <c r="Q753" s="89"/>
      <c r="R753" s="89"/>
      <c r="S753" s="89"/>
    </row>
    <row r="754" customFormat="false" ht="15.75" hidden="true" customHeight="true" outlineLevel="0" collapsed="false">
      <c r="A754" s="106" t="str">
        <f aca="false">IF(_PENDIENTES!$B$748&lt;&gt;"",747,"")</f>
        <v/>
      </c>
      <c r="B754" s="47" t="str">
        <f aca="false">IF(_PENDIENTES!$B$748&lt;&gt;"",_PENDIENTES!$A$748,"")</f>
        <v/>
      </c>
      <c r="C754" s="107" t="str">
        <f aca="false">IF(_PENDIENTES!$B$748&lt;&gt;"",_PENDIENTES!$C$748,"")</f>
        <v/>
      </c>
      <c r="D754" s="106" t="str">
        <f aca="false">IF(_PENDIENTES!$B$748&lt;&gt;"",_PENDIENTES!$D$748,"")</f>
        <v/>
      </c>
      <c r="E754" s="111" t="str">
        <f aca="false">IF(_PENDIENTES!$B$748&lt;&gt;"",_PENDIENTES!$E$748,"")</f>
        <v/>
      </c>
      <c r="F754" s="106" t="str">
        <f aca="false">IF(_PENDIENTES!$B$748&lt;&gt;"",_PENDIENTES!$F$748,"")</f>
        <v/>
      </c>
      <c r="G754" s="50" t="str">
        <f aca="false">IF(_PENDIENTES!$B$748&lt;&gt;"",_PENDIENTES!$G$748,"")</f>
        <v/>
      </c>
      <c r="H754" s="50" t="str">
        <f aca="false">IF(_PENDIENTES!$B$748&lt;&gt;"",_PENDIENTES!$H$748,"")</f>
        <v/>
      </c>
      <c r="I754" s="107" t="str">
        <f aca="false">IF(_PENDIENTES!$B$748&lt;&gt;"",_PENDIENTES!$I$748,"")</f>
        <v/>
      </c>
      <c r="J754" s="106" t="str">
        <f aca="false">IF(_PENDIENTES!$B$748&lt;&gt;"",_PENDIENTES!$J$748,"")</f>
        <v/>
      </c>
      <c r="K754" s="106" t="str">
        <f aca="false">IF(_PENDIENTES!$B$748&lt;&gt;"","POR RECOGER","")</f>
        <v/>
      </c>
      <c r="L754" s="106" t="str">
        <f aca="false">IF(_PENDIENTES!$B$748&lt;&gt;"",_PENDIENTES!$K$748,"")</f>
        <v/>
      </c>
      <c r="M754" s="89" t="str">
        <f aca="false">IF(_PENDIENTES!$B$748&lt;&gt;"",_PENDIENTES!$B$748,"")</f>
        <v/>
      </c>
      <c r="N754" s="109" t="str">
        <f aca="false">IF(_PENDIENTES!$B$748&lt;&gt;"",_PENDIENTES!$L$748,"")</f>
        <v/>
      </c>
      <c r="O754" s="89"/>
      <c r="P754" s="89"/>
      <c r="Q754" s="89"/>
      <c r="R754" s="89"/>
      <c r="S754" s="89"/>
    </row>
    <row r="755" customFormat="false" ht="15.75" hidden="true" customHeight="true" outlineLevel="0" collapsed="false">
      <c r="A755" s="46" t="str">
        <f aca="false">IF(_PENDIENTES!$B$749&lt;&gt;"",748,"")</f>
        <v/>
      </c>
      <c r="B755" s="41" t="str">
        <f aca="false">IF(_PENDIENTES!$B$749&lt;&gt;"",_PENDIENTES!$A$749,"")</f>
        <v/>
      </c>
      <c r="C755" s="110" t="str">
        <f aca="false">IF(_PENDIENTES!$B$749&lt;&gt;"",_PENDIENTES!$C$749,"")</f>
        <v/>
      </c>
      <c r="D755" s="46" t="str">
        <f aca="false">IF(_PENDIENTES!$B$749&lt;&gt;"",_PENDIENTES!$D$749,"")</f>
        <v/>
      </c>
      <c r="E755" s="112" t="str">
        <f aca="false">IF(_PENDIENTES!$B$749&lt;&gt;"",_PENDIENTES!$E$749,"")</f>
        <v/>
      </c>
      <c r="F755" s="46" t="str">
        <f aca="false">IF(_PENDIENTES!$B$749&lt;&gt;"",_PENDIENTES!$F$749,"")</f>
        <v/>
      </c>
      <c r="G755" s="44" t="str">
        <f aca="false">IF(_PENDIENTES!$B$749&lt;&gt;"",_PENDIENTES!$G$749,"")</f>
        <v/>
      </c>
      <c r="H755" s="44" t="str">
        <f aca="false">IF(_PENDIENTES!$B$749&lt;&gt;"",_PENDIENTES!$H$749,"")</f>
        <v/>
      </c>
      <c r="I755" s="110" t="str">
        <f aca="false">IF(_PENDIENTES!$B$749&lt;&gt;"",_PENDIENTES!$I$749,"")</f>
        <v/>
      </c>
      <c r="J755" s="46" t="str">
        <f aca="false">IF(_PENDIENTES!$B$749&lt;&gt;"",_PENDIENTES!$J$749,"")</f>
        <v/>
      </c>
      <c r="K755" s="46" t="str">
        <f aca="false">IF(_PENDIENTES!$B$749&lt;&gt;"","POR RECOGER","")</f>
        <v/>
      </c>
      <c r="L755" s="46" t="str">
        <f aca="false">IF(_PENDIENTES!$B$749&lt;&gt;"",_PENDIENTES!$K$749,"")</f>
        <v/>
      </c>
      <c r="M755" s="89" t="str">
        <f aca="false">IF(_PENDIENTES!$B$749&lt;&gt;"",_PENDIENTES!$B$749,"")</f>
        <v/>
      </c>
      <c r="N755" s="109" t="str">
        <f aca="false">IF(_PENDIENTES!$B$749&lt;&gt;"",_PENDIENTES!$L$749,"")</f>
        <v/>
      </c>
      <c r="O755" s="89"/>
      <c r="P755" s="89"/>
      <c r="Q755" s="89"/>
      <c r="R755" s="89"/>
      <c r="S755" s="89"/>
    </row>
    <row r="756" customFormat="false" ht="15.75" hidden="true" customHeight="true" outlineLevel="0" collapsed="false">
      <c r="A756" s="106" t="str">
        <f aca="false">IF(_PENDIENTES!$B$750&lt;&gt;"",749,"")</f>
        <v/>
      </c>
      <c r="B756" s="47" t="str">
        <f aca="false">IF(_PENDIENTES!$B$750&lt;&gt;"",_PENDIENTES!$A$750,"")</f>
        <v/>
      </c>
      <c r="C756" s="107" t="str">
        <f aca="false">IF(_PENDIENTES!$B$750&lt;&gt;"",_PENDIENTES!$C$750,"")</f>
        <v/>
      </c>
      <c r="D756" s="106" t="str">
        <f aca="false">IF(_PENDIENTES!$B$750&lt;&gt;"",_PENDIENTES!$D$750,"")</f>
        <v/>
      </c>
      <c r="E756" s="111" t="str">
        <f aca="false">IF(_PENDIENTES!$B$750&lt;&gt;"",_PENDIENTES!$E$750,"")</f>
        <v/>
      </c>
      <c r="F756" s="106" t="str">
        <f aca="false">IF(_PENDIENTES!$B$750&lt;&gt;"",_PENDIENTES!$F$750,"")</f>
        <v/>
      </c>
      <c r="G756" s="50" t="str">
        <f aca="false">IF(_PENDIENTES!$B$750&lt;&gt;"",_PENDIENTES!$G$750,"")</f>
        <v/>
      </c>
      <c r="H756" s="50" t="str">
        <f aca="false">IF(_PENDIENTES!$B$750&lt;&gt;"",_PENDIENTES!$H$750,"")</f>
        <v/>
      </c>
      <c r="I756" s="107" t="str">
        <f aca="false">IF(_PENDIENTES!$B$750&lt;&gt;"",_PENDIENTES!$I$750,"")</f>
        <v/>
      </c>
      <c r="J756" s="106" t="str">
        <f aca="false">IF(_PENDIENTES!$B$750&lt;&gt;"",_PENDIENTES!$J$750,"")</f>
        <v/>
      </c>
      <c r="K756" s="106" t="str">
        <f aca="false">IF(_PENDIENTES!$B$750&lt;&gt;"","POR RECOGER","")</f>
        <v/>
      </c>
      <c r="L756" s="106" t="str">
        <f aca="false">IF(_PENDIENTES!$B$750&lt;&gt;"",_PENDIENTES!$K$750,"")</f>
        <v/>
      </c>
      <c r="M756" s="89" t="str">
        <f aca="false">IF(_PENDIENTES!$B$750&lt;&gt;"",_PENDIENTES!$B$750,"")</f>
        <v/>
      </c>
      <c r="N756" s="109" t="str">
        <f aca="false">IF(_PENDIENTES!$B$750&lt;&gt;"",_PENDIENTES!$L$750,"")</f>
        <v/>
      </c>
      <c r="O756" s="89"/>
      <c r="P756" s="89"/>
      <c r="Q756" s="89"/>
      <c r="R756" s="89"/>
      <c r="S756" s="89"/>
    </row>
    <row r="757" customFormat="false" ht="15.75" hidden="true" customHeight="true" outlineLevel="0" collapsed="false">
      <c r="A757" s="46" t="str">
        <f aca="false">IF(_PENDIENTES!$B$751&lt;&gt;"",750,"")</f>
        <v/>
      </c>
      <c r="B757" s="41" t="str">
        <f aca="false">IF(_PENDIENTES!$B$751&lt;&gt;"",_PENDIENTES!$A$751,"")</f>
        <v/>
      </c>
      <c r="C757" s="110" t="str">
        <f aca="false">IF(_PENDIENTES!$B$751&lt;&gt;"",_PENDIENTES!$C$751,"")</f>
        <v/>
      </c>
      <c r="D757" s="46" t="str">
        <f aca="false">IF(_PENDIENTES!$B$751&lt;&gt;"",_PENDIENTES!$D$751,"")</f>
        <v/>
      </c>
      <c r="E757" s="112" t="str">
        <f aca="false">IF(_PENDIENTES!$B$751&lt;&gt;"",_PENDIENTES!$E$751,"")</f>
        <v/>
      </c>
      <c r="F757" s="46" t="str">
        <f aca="false">IF(_PENDIENTES!$B$751&lt;&gt;"",_PENDIENTES!$F$751,"")</f>
        <v/>
      </c>
      <c r="G757" s="44" t="str">
        <f aca="false">IF(_PENDIENTES!$B$751&lt;&gt;"",_PENDIENTES!$G$751,"")</f>
        <v/>
      </c>
      <c r="H757" s="44" t="str">
        <f aca="false">IF(_PENDIENTES!$B$751&lt;&gt;"",_PENDIENTES!$H$751,"")</f>
        <v/>
      </c>
      <c r="I757" s="110" t="str">
        <f aca="false">IF(_PENDIENTES!$B$751&lt;&gt;"",_PENDIENTES!$I$751,"")</f>
        <v/>
      </c>
      <c r="J757" s="46" t="str">
        <f aca="false">IF(_PENDIENTES!$B$751&lt;&gt;"",_PENDIENTES!$J$751,"")</f>
        <v/>
      </c>
      <c r="K757" s="46" t="str">
        <f aca="false">IF(_PENDIENTES!$B$751&lt;&gt;"","POR RECOGER","")</f>
        <v/>
      </c>
      <c r="L757" s="46" t="str">
        <f aca="false">IF(_PENDIENTES!$B$751&lt;&gt;"",_PENDIENTES!$K$751,"")</f>
        <v/>
      </c>
      <c r="M757" s="89" t="str">
        <f aca="false">IF(_PENDIENTES!$B$751&lt;&gt;"",_PENDIENTES!$B$751,"")</f>
        <v/>
      </c>
      <c r="N757" s="109" t="str">
        <f aca="false">IF(_PENDIENTES!$B$751&lt;&gt;"",_PENDIENTES!$L$751,"")</f>
        <v/>
      </c>
      <c r="O757" s="89"/>
      <c r="P757" s="89"/>
      <c r="Q757" s="89"/>
      <c r="R757" s="89"/>
      <c r="S757" s="89"/>
    </row>
    <row r="758" customFormat="false" ht="15.75" hidden="true" customHeight="true" outlineLevel="0" collapsed="false">
      <c r="A758" s="106" t="str">
        <f aca="false">IF(_PENDIENTES!$B$752&lt;&gt;"",751,"")</f>
        <v/>
      </c>
      <c r="B758" s="47" t="str">
        <f aca="false">IF(_PENDIENTES!$B$752&lt;&gt;"",_PENDIENTES!$A$752,"")</f>
        <v/>
      </c>
      <c r="C758" s="107" t="str">
        <f aca="false">IF(_PENDIENTES!$B$752&lt;&gt;"",_PENDIENTES!$C$752,"")</f>
        <v/>
      </c>
      <c r="D758" s="106" t="str">
        <f aca="false">IF(_PENDIENTES!$B$752&lt;&gt;"",_PENDIENTES!$D$752,"")</f>
        <v/>
      </c>
      <c r="E758" s="111" t="str">
        <f aca="false">IF(_PENDIENTES!$B$752&lt;&gt;"",_PENDIENTES!$E$752,"")</f>
        <v/>
      </c>
      <c r="F758" s="106" t="str">
        <f aca="false">IF(_PENDIENTES!$B$752&lt;&gt;"",_PENDIENTES!$F$752,"")</f>
        <v/>
      </c>
      <c r="G758" s="50" t="str">
        <f aca="false">IF(_PENDIENTES!$B$752&lt;&gt;"",_PENDIENTES!$G$752,"")</f>
        <v/>
      </c>
      <c r="H758" s="50" t="str">
        <f aca="false">IF(_PENDIENTES!$B$752&lt;&gt;"",_PENDIENTES!$H$752,"")</f>
        <v/>
      </c>
      <c r="I758" s="107" t="str">
        <f aca="false">IF(_PENDIENTES!$B$752&lt;&gt;"",_PENDIENTES!$I$752,"")</f>
        <v/>
      </c>
      <c r="J758" s="106" t="str">
        <f aca="false">IF(_PENDIENTES!$B$752&lt;&gt;"",_PENDIENTES!$J$752,"")</f>
        <v/>
      </c>
      <c r="K758" s="106" t="str">
        <f aca="false">IF(_PENDIENTES!$B$752&lt;&gt;"","POR RECOGER","")</f>
        <v/>
      </c>
      <c r="L758" s="106" t="str">
        <f aca="false">IF(_PENDIENTES!$B$752&lt;&gt;"",_PENDIENTES!$K$752,"")</f>
        <v/>
      </c>
      <c r="M758" s="89" t="str">
        <f aca="false">IF(_PENDIENTES!$B$752&lt;&gt;"",_PENDIENTES!$B$752,"")</f>
        <v/>
      </c>
      <c r="N758" s="109" t="str">
        <f aca="false">IF(_PENDIENTES!$B$752&lt;&gt;"",_PENDIENTES!$L$752,"")</f>
        <v/>
      </c>
      <c r="O758" s="89"/>
      <c r="P758" s="89"/>
      <c r="Q758" s="89"/>
      <c r="R758" s="89"/>
      <c r="S758" s="89"/>
    </row>
    <row r="759" customFormat="false" ht="15.75" hidden="true" customHeight="true" outlineLevel="0" collapsed="false">
      <c r="A759" s="46" t="str">
        <f aca="false">IF(_PENDIENTES!$B$753&lt;&gt;"",752,"")</f>
        <v/>
      </c>
      <c r="B759" s="41" t="str">
        <f aca="false">IF(_PENDIENTES!$B$753&lt;&gt;"",_PENDIENTES!$A$753,"")</f>
        <v/>
      </c>
      <c r="C759" s="110" t="str">
        <f aca="false">IF(_PENDIENTES!$B$753&lt;&gt;"",_PENDIENTES!$C$753,"")</f>
        <v/>
      </c>
      <c r="D759" s="46" t="str">
        <f aca="false">IF(_PENDIENTES!$B$753&lt;&gt;"",_PENDIENTES!$D$753,"")</f>
        <v/>
      </c>
      <c r="E759" s="112" t="str">
        <f aca="false">IF(_PENDIENTES!$B$753&lt;&gt;"",_PENDIENTES!$E$753,"")</f>
        <v/>
      </c>
      <c r="F759" s="46" t="str">
        <f aca="false">IF(_PENDIENTES!$B$753&lt;&gt;"",_PENDIENTES!$F$753,"")</f>
        <v/>
      </c>
      <c r="G759" s="44" t="str">
        <f aca="false">IF(_PENDIENTES!$B$753&lt;&gt;"",_PENDIENTES!$G$753,"")</f>
        <v/>
      </c>
      <c r="H759" s="44" t="str">
        <f aca="false">IF(_PENDIENTES!$B$753&lt;&gt;"",_PENDIENTES!$H$753,"")</f>
        <v/>
      </c>
      <c r="I759" s="110" t="str">
        <f aca="false">IF(_PENDIENTES!$B$753&lt;&gt;"",_PENDIENTES!$I$753,"")</f>
        <v/>
      </c>
      <c r="J759" s="46" t="str">
        <f aca="false">IF(_PENDIENTES!$B$753&lt;&gt;"",_PENDIENTES!$J$753,"")</f>
        <v/>
      </c>
      <c r="K759" s="46" t="str">
        <f aca="false">IF(_PENDIENTES!$B$753&lt;&gt;"","POR RECOGER","")</f>
        <v/>
      </c>
      <c r="L759" s="46" t="str">
        <f aca="false">IF(_PENDIENTES!$B$753&lt;&gt;"",_PENDIENTES!$K$753,"")</f>
        <v/>
      </c>
      <c r="M759" s="89" t="str">
        <f aca="false">IF(_PENDIENTES!$B$753&lt;&gt;"",_PENDIENTES!$B$753,"")</f>
        <v/>
      </c>
      <c r="N759" s="109" t="str">
        <f aca="false">IF(_PENDIENTES!$B$753&lt;&gt;"",_PENDIENTES!$L$753,"")</f>
        <v/>
      </c>
      <c r="O759" s="89"/>
      <c r="P759" s="89"/>
      <c r="Q759" s="89"/>
      <c r="R759" s="89"/>
      <c r="S759" s="89"/>
    </row>
    <row r="760" customFormat="false" ht="15.75" hidden="true" customHeight="true" outlineLevel="0" collapsed="false">
      <c r="A760" s="106" t="str">
        <f aca="false">IF(_PENDIENTES!$B$754&lt;&gt;"",753,"")</f>
        <v/>
      </c>
      <c r="B760" s="47" t="str">
        <f aca="false">IF(_PENDIENTES!$B$754&lt;&gt;"",_PENDIENTES!$A$754,"")</f>
        <v/>
      </c>
      <c r="C760" s="107" t="str">
        <f aca="false">IF(_PENDIENTES!$B$754&lt;&gt;"",_PENDIENTES!$C$754,"")</f>
        <v/>
      </c>
      <c r="D760" s="106" t="str">
        <f aca="false">IF(_PENDIENTES!$B$754&lt;&gt;"",_PENDIENTES!$D$754,"")</f>
        <v/>
      </c>
      <c r="E760" s="111" t="str">
        <f aca="false">IF(_PENDIENTES!$B$754&lt;&gt;"",_PENDIENTES!$E$754,"")</f>
        <v/>
      </c>
      <c r="F760" s="106" t="str">
        <f aca="false">IF(_PENDIENTES!$B$754&lt;&gt;"",_PENDIENTES!$F$754,"")</f>
        <v/>
      </c>
      <c r="G760" s="50" t="str">
        <f aca="false">IF(_PENDIENTES!$B$754&lt;&gt;"",_PENDIENTES!$G$754,"")</f>
        <v/>
      </c>
      <c r="H760" s="50" t="str">
        <f aca="false">IF(_PENDIENTES!$B$754&lt;&gt;"",_PENDIENTES!$H$754,"")</f>
        <v/>
      </c>
      <c r="I760" s="107" t="str">
        <f aca="false">IF(_PENDIENTES!$B$754&lt;&gt;"",_PENDIENTES!$I$754,"")</f>
        <v/>
      </c>
      <c r="J760" s="106" t="str">
        <f aca="false">IF(_PENDIENTES!$B$754&lt;&gt;"",_PENDIENTES!$J$754,"")</f>
        <v/>
      </c>
      <c r="K760" s="106" t="str">
        <f aca="false">IF(_PENDIENTES!$B$754&lt;&gt;"","POR RECOGER","")</f>
        <v/>
      </c>
      <c r="L760" s="106" t="str">
        <f aca="false">IF(_PENDIENTES!$B$754&lt;&gt;"",_PENDIENTES!$K$754,"")</f>
        <v/>
      </c>
      <c r="M760" s="89" t="str">
        <f aca="false">IF(_PENDIENTES!$B$754&lt;&gt;"",_PENDIENTES!$B$754,"")</f>
        <v/>
      </c>
      <c r="N760" s="109" t="str">
        <f aca="false">IF(_PENDIENTES!$B$754&lt;&gt;"",_PENDIENTES!$L$754,"")</f>
        <v/>
      </c>
      <c r="O760" s="89"/>
      <c r="P760" s="89"/>
      <c r="Q760" s="89"/>
      <c r="R760" s="89"/>
      <c r="S760" s="89"/>
    </row>
    <row r="761" customFormat="false" ht="15.75" hidden="true" customHeight="true" outlineLevel="0" collapsed="false">
      <c r="A761" s="46" t="str">
        <f aca="false">IF(_PENDIENTES!$B$755&lt;&gt;"",754,"")</f>
        <v/>
      </c>
      <c r="B761" s="41" t="str">
        <f aca="false">IF(_PENDIENTES!$B$755&lt;&gt;"",_PENDIENTES!$A$755,"")</f>
        <v/>
      </c>
      <c r="C761" s="110" t="str">
        <f aca="false">IF(_PENDIENTES!$B$755&lt;&gt;"",_PENDIENTES!$C$755,"")</f>
        <v/>
      </c>
      <c r="D761" s="46" t="str">
        <f aca="false">IF(_PENDIENTES!$B$755&lt;&gt;"",_PENDIENTES!$D$755,"")</f>
        <v/>
      </c>
      <c r="E761" s="112" t="str">
        <f aca="false">IF(_PENDIENTES!$B$755&lt;&gt;"",_PENDIENTES!$E$755,"")</f>
        <v/>
      </c>
      <c r="F761" s="46" t="str">
        <f aca="false">IF(_PENDIENTES!$B$755&lt;&gt;"",_PENDIENTES!$F$755,"")</f>
        <v/>
      </c>
      <c r="G761" s="44" t="str">
        <f aca="false">IF(_PENDIENTES!$B$755&lt;&gt;"",_PENDIENTES!$G$755,"")</f>
        <v/>
      </c>
      <c r="H761" s="44" t="str">
        <f aca="false">IF(_PENDIENTES!$B$755&lt;&gt;"",_PENDIENTES!$H$755,"")</f>
        <v/>
      </c>
      <c r="I761" s="110" t="str">
        <f aca="false">IF(_PENDIENTES!$B$755&lt;&gt;"",_PENDIENTES!$I$755,"")</f>
        <v/>
      </c>
      <c r="J761" s="46" t="str">
        <f aca="false">IF(_PENDIENTES!$B$755&lt;&gt;"",_PENDIENTES!$J$755,"")</f>
        <v/>
      </c>
      <c r="K761" s="46" t="str">
        <f aca="false">IF(_PENDIENTES!$B$755&lt;&gt;"","POR RECOGER","")</f>
        <v/>
      </c>
      <c r="L761" s="46" t="str">
        <f aca="false">IF(_PENDIENTES!$B$755&lt;&gt;"",_PENDIENTES!$K$755,"")</f>
        <v/>
      </c>
      <c r="M761" s="89" t="str">
        <f aca="false">IF(_PENDIENTES!$B$755&lt;&gt;"",_PENDIENTES!$B$755,"")</f>
        <v/>
      </c>
      <c r="N761" s="109" t="str">
        <f aca="false">IF(_PENDIENTES!$B$755&lt;&gt;"",_PENDIENTES!$L$755,"")</f>
        <v/>
      </c>
      <c r="O761" s="89"/>
      <c r="P761" s="89"/>
      <c r="Q761" s="89"/>
      <c r="R761" s="89"/>
      <c r="S761" s="89"/>
    </row>
    <row r="762" customFormat="false" ht="15.75" hidden="true" customHeight="true" outlineLevel="0" collapsed="false">
      <c r="A762" s="106" t="str">
        <f aca="false">IF(_PENDIENTES!$B$756&lt;&gt;"",755,"")</f>
        <v/>
      </c>
      <c r="B762" s="47" t="str">
        <f aca="false">IF(_PENDIENTES!$B$756&lt;&gt;"",_PENDIENTES!$A$756,"")</f>
        <v/>
      </c>
      <c r="C762" s="107" t="str">
        <f aca="false">IF(_PENDIENTES!$B$756&lt;&gt;"",_PENDIENTES!$C$756,"")</f>
        <v/>
      </c>
      <c r="D762" s="106" t="str">
        <f aca="false">IF(_PENDIENTES!$B$756&lt;&gt;"",_PENDIENTES!$D$756,"")</f>
        <v/>
      </c>
      <c r="E762" s="111" t="str">
        <f aca="false">IF(_PENDIENTES!$B$756&lt;&gt;"",_PENDIENTES!$E$756,"")</f>
        <v/>
      </c>
      <c r="F762" s="106" t="str">
        <f aca="false">IF(_PENDIENTES!$B$756&lt;&gt;"",_PENDIENTES!$F$756,"")</f>
        <v/>
      </c>
      <c r="G762" s="50" t="str">
        <f aca="false">IF(_PENDIENTES!$B$756&lt;&gt;"",_PENDIENTES!$G$756,"")</f>
        <v/>
      </c>
      <c r="H762" s="50" t="str">
        <f aca="false">IF(_PENDIENTES!$B$756&lt;&gt;"",_PENDIENTES!$H$756,"")</f>
        <v/>
      </c>
      <c r="I762" s="107" t="str">
        <f aca="false">IF(_PENDIENTES!$B$756&lt;&gt;"",_PENDIENTES!$I$756,"")</f>
        <v/>
      </c>
      <c r="J762" s="106" t="str">
        <f aca="false">IF(_PENDIENTES!$B$756&lt;&gt;"",_PENDIENTES!$J$756,"")</f>
        <v/>
      </c>
      <c r="K762" s="106" t="str">
        <f aca="false">IF(_PENDIENTES!$B$756&lt;&gt;"","POR RECOGER","")</f>
        <v/>
      </c>
      <c r="L762" s="106" t="str">
        <f aca="false">IF(_PENDIENTES!$B$756&lt;&gt;"",_PENDIENTES!$K$756,"")</f>
        <v/>
      </c>
      <c r="M762" s="89" t="str">
        <f aca="false">IF(_PENDIENTES!$B$756&lt;&gt;"",_PENDIENTES!$B$756,"")</f>
        <v/>
      </c>
      <c r="N762" s="109" t="str">
        <f aca="false">IF(_PENDIENTES!$B$756&lt;&gt;"",_PENDIENTES!$L$756,"")</f>
        <v/>
      </c>
      <c r="O762" s="89"/>
      <c r="P762" s="89"/>
      <c r="Q762" s="89"/>
      <c r="R762" s="89"/>
      <c r="S762" s="89"/>
    </row>
    <row r="763" customFormat="false" ht="15.75" hidden="true" customHeight="true" outlineLevel="0" collapsed="false">
      <c r="A763" s="46" t="str">
        <f aca="false">IF(_PENDIENTES!$B$757&lt;&gt;"",756,"")</f>
        <v/>
      </c>
      <c r="B763" s="41" t="str">
        <f aca="false">IF(_PENDIENTES!$B$757&lt;&gt;"",_PENDIENTES!$A$757,"")</f>
        <v/>
      </c>
      <c r="C763" s="110" t="str">
        <f aca="false">IF(_PENDIENTES!$B$757&lt;&gt;"",_PENDIENTES!$C$757,"")</f>
        <v/>
      </c>
      <c r="D763" s="46" t="str">
        <f aca="false">IF(_PENDIENTES!$B$757&lt;&gt;"",_PENDIENTES!$D$757,"")</f>
        <v/>
      </c>
      <c r="E763" s="112" t="str">
        <f aca="false">IF(_PENDIENTES!$B$757&lt;&gt;"",_PENDIENTES!$E$757,"")</f>
        <v/>
      </c>
      <c r="F763" s="46" t="str">
        <f aca="false">IF(_PENDIENTES!$B$757&lt;&gt;"",_PENDIENTES!$F$757,"")</f>
        <v/>
      </c>
      <c r="G763" s="44" t="str">
        <f aca="false">IF(_PENDIENTES!$B$757&lt;&gt;"",_PENDIENTES!$G$757,"")</f>
        <v/>
      </c>
      <c r="H763" s="44" t="str">
        <f aca="false">IF(_PENDIENTES!$B$757&lt;&gt;"",_PENDIENTES!$H$757,"")</f>
        <v/>
      </c>
      <c r="I763" s="110" t="str">
        <f aca="false">IF(_PENDIENTES!$B$757&lt;&gt;"",_PENDIENTES!$I$757,"")</f>
        <v/>
      </c>
      <c r="J763" s="46" t="str">
        <f aca="false">IF(_PENDIENTES!$B$757&lt;&gt;"",_PENDIENTES!$J$757,"")</f>
        <v/>
      </c>
      <c r="K763" s="46" t="str">
        <f aca="false">IF(_PENDIENTES!$B$757&lt;&gt;"","POR RECOGER","")</f>
        <v/>
      </c>
      <c r="L763" s="46" t="str">
        <f aca="false">IF(_PENDIENTES!$B$757&lt;&gt;"",_PENDIENTES!$K$757,"")</f>
        <v/>
      </c>
      <c r="M763" s="89" t="str">
        <f aca="false">IF(_PENDIENTES!$B$757&lt;&gt;"",_PENDIENTES!$B$757,"")</f>
        <v/>
      </c>
      <c r="N763" s="109" t="str">
        <f aca="false">IF(_PENDIENTES!$B$757&lt;&gt;"",_PENDIENTES!$L$757,"")</f>
        <v/>
      </c>
      <c r="O763" s="89"/>
      <c r="P763" s="89"/>
      <c r="Q763" s="89"/>
      <c r="R763" s="89"/>
      <c r="S763" s="89"/>
    </row>
    <row r="764" customFormat="false" ht="15.75" hidden="true" customHeight="true" outlineLevel="0" collapsed="false">
      <c r="A764" s="106" t="str">
        <f aca="false">IF(_PENDIENTES!$B$758&lt;&gt;"",757,"")</f>
        <v/>
      </c>
      <c r="B764" s="47" t="str">
        <f aca="false">IF(_PENDIENTES!$B$758&lt;&gt;"",_PENDIENTES!$A$758,"")</f>
        <v/>
      </c>
      <c r="C764" s="107" t="str">
        <f aca="false">IF(_PENDIENTES!$B$758&lt;&gt;"",_PENDIENTES!$C$758,"")</f>
        <v/>
      </c>
      <c r="D764" s="106" t="str">
        <f aca="false">IF(_PENDIENTES!$B$758&lt;&gt;"",_PENDIENTES!$D$758,"")</f>
        <v/>
      </c>
      <c r="E764" s="111" t="str">
        <f aca="false">IF(_PENDIENTES!$B$758&lt;&gt;"",_PENDIENTES!$E$758,"")</f>
        <v/>
      </c>
      <c r="F764" s="106" t="str">
        <f aca="false">IF(_PENDIENTES!$B$758&lt;&gt;"",_PENDIENTES!$F$758,"")</f>
        <v/>
      </c>
      <c r="G764" s="50" t="str">
        <f aca="false">IF(_PENDIENTES!$B$758&lt;&gt;"",_PENDIENTES!$G$758,"")</f>
        <v/>
      </c>
      <c r="H764" s="50" t="str">
        <f aca="false">IF(_PENDIENTES!$B$758&lt;&gt;"",_PENDIENTES!$H$758,"")</f>
        <v/>
      </c>
      <c r="I764" s="107" t="str">
        <f aca="false">IF(_PENDIENTES!$B$758&lt;&gt;"",_PENDIENTES!$I$758,"")</f>
        <v/>
      </c>
      <c r="J764" s="106" t="str">
        <f aca="false">IF(_PENDIENTES!$B$758&lt;&gt;"",_PENDIENTES!$J$758,"")</f>
        <v/>
      </c>
      <c r="K764" s="106" t="str">
        <f aca="false">IF(_PENDIENTES!$B$758&lt;&gt;"","POR RECOGER","")</f>
        <v/>
      </c>
      <c r="L764" s="106" t="str">
        <f aca="false">IF(_PENDIENTES!$B$758&lt;&gt;"",_PENDIENTES!$K$758,"")</f>
        <v/>
      </c>
      <c r="M764" s="89" t="str">
        <f aca="false">IF(_PENDIENTES!$B$758&lt;&gt;"",_PENDIENTES!$B$758,"")</f>
        <v/>
      </c>
      <c r="N764" s="109" t="str">
        <f aca="false">IF(_PENDIENTES!$B$758&lt;&gt;"",_PENDIENTES!$L$758,"")</f>
        <v/>
      </c>
      <c r="O764" s="89"/>
      <c r="P764" s="89"/>
      <c r="Q764" s="89"/>
      <c r="R764" s="89"/>
      <c r="S764" s="89"/>
    </row>
    <row r="765" customFormat="false" ht="15.75" hidden="true" customHeight="true" outlineLevel="0" collapsed="false">
      <c r="A765" s="46" t="str">
        <f aca="false">IF(_PENDIENTES!$B$759&lt;&gt;"",758,"")</f>
        <v/>
      </c>
      <c r="B765" s="41" t="str">
        <f aca="false">IF(_PENDIENTES!$B$759&lt;&gt;"",_PENDIENTES!$A$759,"")</f>
        <v/>
      </c>
      <c r="C765" s="110" t="str">
        <f aca="false">IF(_PENDIENTES!$B$759&lt;&gt;"",_PENDIENTES!$C$759,"")</f>
        <v/>
      </c>
      <c r="D765" s="46" t="str">
        <f aca="false">IF(_PENDIENTES!$B$759&lt;&gt;"",_PENDIENTES!$D$759,"")</f>
        <v/>
      </c>
      <c r="E765" s="112" t="str">
        <f aca="false">IF(_PENDIENTES!$B$759&lt;&gt;"",_PENDIENTES!$E$759,"")</f>
        <v/>
      </c>
      <c r="F765" s="46" t="str">
        <f aca="false">IF(_PENDIENTES!$B$759&lt;&gt;"",_PENDIENTES!$F$759,"")</f>
        <v/>
      </c>
      <c r="G765" s="44" t="str">
        <f aca="false">IF(_PENDIENTES!$B$759&lt;&gt;"",_PENDIENTES!$G$759,"")</f>
        <v/>
      </c>
      <c r="H765" s="44" t="str">
        <f aca="false">IF(_PENDIENTES!$B$759&lt;&gt;"",_PENDIENTES!$H$759,"")</f>
        <v/>
      </c>
      <c r="I765" s="110" t="str">
        <f aca="false">IF(_PENDIENTES!$B$759&lt;&gt;"",_PENDIENTES!$I$759,"")</f>
        <v/>
      </c>
      <c r="J765" s="46" t="str">
        <f aca="false">IF(_PENDIENTES!$B$759&lt;&gt;"",_PENDIENTES!$J$759,"")</f>
        <v/>
      </c>
      <c r="K765" s="46" t="str">
        <f aca="false">IF(_PENDIENTES!$B$759&lt;&gt;"","POR RECOGER","")</f>
        <v/>
      </c>
      <c r="L765" s="46" t="str">
        <f aca="false">IF(_PENDIENTES!$B$759&lt;&gt;"",_PENDIENTES!$K$759,"")</f>
        <v/>
      </c>
      <c r="M765" s="89" t="str">
        <f aca="false">IF(_PENDIENTES!$B$759&lt;&gt;"",_PENDIENTES!$B$759,"")</f>
        <v/>
      </c>
      <c r="N765" s="109" t="str">
        <f aca="false">IF(_PENDIENTES!$B$759&lt;&gt;"",_PENDIENTES!$L$759,"")</f>
        <v/>
      </c>
      <c r="O765" s="89"/>
      <c r="P765" s="89"/>
      <c r="Q765" s="89"/>
      <c r="R765" s="89"/>
      <c r="S765" s="89"/>
    </row>
    <row r="766" customFormat="false" ht="15.75" hidden="true" customHeight="true" outlineLevel="0" collapsed="false">
      <c r="A766" s="106" t="str">
        <f aca="false">IF(_PENDIENTES!$B$760&lt;&gt;"",759,"")</f>
        <v/>
      </c>
      <c r="B766" s="47" t="str">
        <f aca="false">IF(_PENDIENTES!$B$760&lt;&gt;"",_PENDIENTES!$A$760,"")</f>
        <v/>
      </c>
      <c r="C766" s="107" t="str">
        <f aca="false">IF(_PENDIENTES!$B$760&lt;&gt;"",_PENDIENTES!$C$760,"")</f>
        <v/>
      </c>
      <c r="D766" s="106" t="str">
        <f aca="false">IF(_PENDIENTES!$B$760&lt;&gt;"",_PENDIENTES!$D$760,"")</f>
        <v/>
      </c>
      <c r="E766" s="111" t="str">
        <f aca="false">IF(_PENDIENTES!$B$760&lt;&gt;"",_PENDIENTES!$E$760,"")</f>
        <v/>
      </c>
      <c r="F766" s="106" t="str">
        <f aca="false">IF(_PENDIENTES!$B$760&lt;&gt;"",_PENDIENTES!$F$760,"")</f>
        <v/>
      </c>
      <c r="G766" s="50" t="str">
        <f aca="false">IF(_PENDIENTES!$B$760&lt;&gt;"",_PENDIENTES!$G$760,"")</f>
        <v/>
      </c>
      <c r="H766" s="50" t="str">
        <f aca="false">IF(_PENDIENTES!$B$760&lt;&gt;"",_PENDIENTES!$H$760,"")</f>
        <v/>
      </c>
      <c r="I766" s="107" t="str">
        <f aca="false">IF(_PENDIENTES!$B$760&lt;&gt;"",_PENDIENTES!$I$760,"")</f>
        <v/>
      </c>
      <c r="J766" s="106" t="str">
        <f aca="false">IF(_PENDIENTES!$B$760&lt;&gt;"",_PENDIENTES!$J$760,"")</f>
        <v/>
      </c>
      <c r="K766" s="106" t="str">
        <f aca="false">IF(_PENDIENTES!$B$760&lt;&gt;"","POR RECOGER","")</f>
        <v/>
      </c>
      <c r="L766" s="106" t="str">
        <f aca="false">IF(_PENDIENTES!$B$760&lt;&gt;"",_PENDIENTES!$K$760,"")</f>
        <v/>
      </c>
      <c r="M766" s="89" t="str">
        <f aca="false">IF(_PENDIENTES!$B$760&lt;&gt;"",_PENDIENTES!$B$760,"")</f>
        <v/>
      </c>
      <c r="N766" s="109" t="str">
        <f aca="false">IF(_PENDIENTES!$B$760&lt;&gt;"",_PENDIENTES!$L$760,"")</f>
        <v/>
      </c>
      <c r="O766" s="89"/>
      <c r="P766" s="89"/>
      <c r="Q766" s="89"/>
      <c r="R766" s="89"/>
      <c r="S766" s="89"/>
    </row>
    <row r="767" customFormat="false" ht="15.75" hidden="true" customHeight="true" outlineLevel="0" collapsed="false">
      <c r="A767" s="46" t="str">
        <f aca="false">IF(_PENDIENTES!$B$761&lt;&gt;"",760,"")</f>
        <v/>
      </c>
      <c r="B767" s="41" t="str">
        <f aca="false">IF(_PENDIENTES!$B$761&lt;&gt;"",_PENDIENTES!$A$761,"")</f>
        <v/>
      </c>
      <c r="C767" s="110" t="str">
        <f aca="false">IF(_PENDIENTES!$B$761&lt;&gt;"",_PENDIENTES!$C$761,"")</f>
        <v/>
      </c>
      <c r="D767" s="46" t="str">
        <f aca="false">IF(_PENDIENTES!$B$761&lt;&gt;"",_PENDIENTES!$D$761,"")</f>
        <v/>
      </c>
      <c r="E767" s="112" t="str">
        <f aca="false">IF(_PENDIENTES!$B$761&lt;&gt;"",_PENDIENTES!$E$761,"")</f>
        <v/>
      </c>
      <c r="F767" s="46" t="str">
        <f aca="false">IF(_PENDIENTES!$B$761&lt;&gt;"",_PENDIENTES!$F$761,"")</f>
        <v/>
      </c>
      <c r="G767" s="44" t="str">
        <f aca="false">IF(_PENDIENTES!$B$761&lt;&gt;"",_PENDIENTES!$G$761,"")</f>
        <v/>
      </c>
      <c r="H767" s="44" t="str">
        <f aca="false">IF(_PENDIENTES!$B$761&lt;&gt;"",_PENDIENTES!$H$761,"")</f>
        <v/>
      </c>
      <c r="I767" s="110" t="str">
        <f aca="false">IF(_PENDIENTES!$B$761&lt;&gt;"",_PENDIENTES!$I$761,"")</f>
        <v/>
      </c>
      <c r="J767" s="46" t="str">
        <f aca="false">IF(_PENDIENTES!$B$761&lt;&gt;"",_PENDIENTES!$J$761,"")</f>
        <v/>
      </c>
      <c r="K767" s="46" t="str">
        <f aca="false">IF(_PENDIENTES!$B$761&lt;&gt;"","POR RECOGER","")</f>
        <v/>
      </c>
      <c r="L767" s="46" t="str">
        <f aca="false">IF(_PENDIENTES!$B$761&lt;&gt;"",_PENDIENTES!$K$761,"")</f>
        <v/>
      </c>
      <c r="M767" s="89" t="str">
        <f aca="false">IF(_PENDIENTES!$B$761&lt;&gt;"",_PENDIENTES!$B$761,"")</f>
        <v/>
      </c>
      <c r="N767" s="109" t="str">
        <f aca="false">IF(_PENDIENTES!$B$761&lt;&gt;"",_PENDIENTES!$L$761,"")</f>
        <v/>
      </c>
      <c r="O767" s="89"/>
      <c r="P767" s="89"/>
      <c r="Q767" s="89"/>
      <c r="R767" s="89"/>
      <c r="S767" s="89"/>
    </row>
    <row r="768" customFormat="false" ht="15.75" hidden="true" customHeight="true" outlineLevel="0" collapsed="false">
      <c r="A768" s="106" t="str">
        <f aca="false">IF(_PENDIENTES!$B$762&lt;&gt;"",761,"")</f>
        <v/>
      </c>
      <c r="B768" s="47" t="str">
        <f aca="false">IF(_PENDIENTES!$B$762&lt;&gt;"",_PENDIENTES!$A$762,"")</f>
        <v/>
      </c>
      <c r="C768" s="107" t="str">
        <f aca="false">IF(_PENDIENTES!$B$762&lt;&gt;"",_PENDIENTES!$C$762,"")</f>
        <v/>
      </c>
      <c r="D768" s="106" t="str">
        <f aca="false">IF(_PENDIENTES!$B$762&lt;&gt;"",_PENDIENTES!$D$762,"")</f>
        <v/>
      </c>
      <c r="E768" s="111" t="str">
        <f aca="false">IF(_PENDIENTES!$B$762&lt;&gt;"",_PENDIENTES!$E$762,"")</f>
        <v/>
      </c>
      <c r="F768" s="106" t="str">
        <f aca="false">IF(_PENDIENTES!$B$762&lt;&gt;"",_PENDIENTES!$F$762,"")</f>
        <v/>
      </c>
      <c r="G768" s="50" t="str">
        <f aca="false">IF(_PENDIENTES!$B$762&lt;&gt;"",_PENDIENTES!$G$762,"")</f>
        <v/>
      </c>
      <c r="H768" s="50" t="str">
        <f aca="false">IF(_PENDIENTES!$B$762&lt;&gt;"",_PENDIENTES!$H$762,"")</f>
        <v/>
      </c>
      <c r="I768" s="107" t="str">
        <f aca="false">IF(_PENDIENTES!$B$762&lt;&gt;"",_PENDIENTES!$I$762,"")</f>
        <v/>
      </c>
      <c r="J768" s="106" t="str">
        <f aca="false">IF(_PENDIENTES!$B$762&lt;&gt;"",_PENDIENTES!$J$762,"")</f>
        <v/>
      </c>
      <c r="K768" s="106" t="str">
        <f aca="false">IF(_PENDIENTES!$B$762&lt;&gt;"","POR RECOGER","")</f>
        <v/>
      </c>
      <c r="L768" s="106" t="str">
        <f aca="false">IF(_PENDIENTES!$B$762&lt;&gt;"",_PENDIENTES!$K$762,"")</f>
        <v/>
      </c>
      <c r="M768" s="89" t="str">
        <f aca="false">IF(_PENDIENTES!$B$762&lt;&gt;"",_PENDIENTES!$B$762,"")</f>
        <v/>
      </c>
      <c r="N768" s="109" t="str">
        <f aca="false">IF(_PENDIENTES!$B$762&lt;&gt;"",_PENDIENTES!$L$762,"")</f>
        <v/>
      </c>
      <c r="O768" s="89"/>
      <c r="P768" s="89"/>
      <c r="Q768" s="89"/>
      <c r="R768" s="89"/>
      <c r="S768" s="89"/>
    </row>
    <row r="769" customFormat="false" ht="15.75" hidden="true" customHeight="true" outlineLevel="0" collapsed="false">
      <c r="A769" s="46" t="str">
        <f aca="false">IF(_PENDIENTES!$B$763&lt;&gt;"",762,"")</f>
        <v/>
      </c>
      <c r="B769" s="41" t="str">
        <f aca="false">IF(_PENDIENTES!$B$763&lt;&gt;"",_PENDIENTES!$A$763,"")</f>
        <v/>
      </c>
      <c r="C769" s="110" t="str">
        <f aca="false">IF(_PENDIENTES!$B$763&lt;&gt;"",_PENDIENTES!$C$763,"")</f>
        <v/>
      </c>
      <c r="D769" s="46" t="str">
        <f aca="false">IF(_PENDIENTES!$B$763&lt;&gt;"",_PENDIENTES!$D$763,"")</f>
        <v/>
      </c>
      <c r="E769" s="112" t="str">
        <f aca="false">IF(_PENDIENTES!$B$763&lt;&gt;"",_PENDIENTES!$E$763,"")</f>
        <v/>
      </c>
      <c r="F769" s="46" t="str">
        <f aca="false">IF(_PENDIENTES!$B$763&lt;&gt;"",_PENDIENTES!$F$763,"")</f>
        <v/>
      </c>
      <c r="G769" s="44" t="str">
        <f aca="false">IF(_PENDIENTES!$B$763&lt;&gt;"",_PENDIENTES!$G$763,"")</f>
        <v/>
      </c>
      <c r="H769" s="44" t="str">
        <f aca="false">IF(_PENDIENTES!$B$763&lt;&gt;"",_PENDIENTES!$H$763,"")</f>
        <v/>
      </c>
      <c r="I769" s="110" t="str">
        <f aca="false">IF(_PENDIENTES!$B$763&lt;&gt;"",_PENDIENTES!$I$763,"")</f>
        <v/>
      </c>
      <c r="J769" s="46" t="str">
        <f aca="false">IF(_PENDIENTES!$B$763&lt;&gt;"",_PENDIENTES!$J$763,"")</f>
        <v/>
      </c>
      <c r="K769" s="46" t="str">
        <f aca="false">IF(_PENDIENTES!$B$763&lt;&gt;"","POR RECOGER","")</f>
        <v/>
      </c>
      <c r="L769" s="46" t="str">
        <f aca="false">IF(_PENDIENTES!$B$763&lt;&gt;"",_PENDIENTES!$K$763,"")</f>
        <v/>
      </c>
      <c r="M769" s="89" t="str">
        <f aca="false">IF(_PENDIENTES!$B$763&lt;&gt;"",_PENDIENTES!$B$763,"")</f>
        <v/>
      </c>
      <c r="N769" s="109" t="str">
        <f aca="false">IF(_PENDIENTES!$B$763&lt;&gt;"",_PENDIENTES!$L$763,"")</f>
        <v/>
      </c>
      <c r="O769" s="89"/>
      <c r="P769" s="89"/>
      <c r="Q769" s="89"/>
      <c r="R769" s="89"/>
      <c r="S769" s="89"/>
    </row>
    <row r="770" customFormat="false" ht="15.75" hidden="true" customHeight="true" outlineLevel="0" collapsed="false">
      <c r="A770" s="106" t="str">
        <f aca="false">IF(_PENDIENTES!$B$764&lt;&gt;"",763,"")</f>
        <v/>
      </c>
      <c r="B770" s="47" t="str">
        <f aca="false">IF(_PENDIENTES!$B$764&lt;&gt;"",_PENDIENTES!$A$764,"")</f>
        <v/>
      </c>
      <c r="C770" s="107" t="str">
        <f aca="false">IF(_PENDIENTES!$B$764&lt;&gt;"",_PENDIENTES!$C$764,"")</f>
        <v/>
      </c>
      <c r="D770" s="106" t="str">
        <f aca="false">IF(_PENDIENTES!$B$764&lt;&gt;"",_PENDIENTES!$D$764,"")</f>
        <v/>
      </c>
      <c r="E770" s="111" t="str">
        <f aca="false">IF(_PENDIENTES!$B$764&lt;&gt;"",_PENDIENTES!$E$764,"")</f>
        <v/>
      </c>
      <c r="F770" s="106" t="str">
        <f aca="false">IF(_PENDIENTES!$B$764&lt;&gt;"",_PENDIENTES!$F$764,"")</f>
        <v/>
      </c>
      <c r="G770" s="50" t="str">
        <f aca="false">IF(_PENDIENTES!$B$764&lt;&gt;"",_PENDIENTES!$G$764,"")</f>
        <v/>
      </c>
      <c r="H770" s="50" t="str">
        <f aca="false">IF(_PENDIENTES!$B$764&lt;&gt;"",_PENDIENTES!$H$764,"")</f>
        <v/>
      </c>
      <c r="I770" s="107" t="str">
        <f aca="false">IF(_PENDIENTES!$B$764&lt;&gt;"",_PENDIENTES!$I$764,"")</f>
        <v/>
      </c>
      <c r="J770" s="106" t="str">
        <f aca="false">IF(_PENDIENTES!$B$764&lt;&gt;"",_PENDIENTES!$J$764,"")</f>
        <v/>
      </c>
      <c r="K770" s="106" t="str">
        <f aca="false">IF(_PENDIENTES!$B$764&lt;&gt;"","POR RECOGER","")</f>
        <v/>
      </c>
      <c r="L770" s="106" t="str">
        <f aca="false">IF(_PENDIENTES!$B$764&lt;&gt;"",_PENDIENTES!$K$764,"")</f>
        <v/>
      </c>
      <c r="M770" s="89" t="str">
        <f aca="false">IF(_PENDIENTES!$B$764&lt;&gt;"",_PENDIENTES!$B$764,"")</f>
        <v/>
      </c>
      <c r="N770" s="109" t="str">
        <f aca="false">IF(_PENDIENTES!$B$764&lt;&gt;"",_PENDIENTES!$L$764,"")</f>
        <v/>
      </c>
      <c r="O770" s="89"/>
      <c r="P770" s="89"/>
      <c r="Q770" s="89"/>
      <c r="R770" s="89"/>
      <c r="S770" s="89"/>
    </row>
    <row r="771" customFormat="false" ht="15.75" hidden="true" customHeight="true" outlineLevel="0" collapsed="false">
      <c r="A771" s="46" t="str">
        <f aca="false">IF(_PENDIENTES!$B$765&lt;&gt;"",764,"")</f>
        <v/>
      </c>
      <c r="B771" s="41" t="str">
        <f aca="false">IF(_PENDIENTES!$B$765&lt;&gt;"",_PENDIENTES!$A$765,"")</f>
        <v/>
      </c>
      <c r="C771" s="110" t="str">
        <f aca="false">IF(_PENDIENTES!$B$765&lt;&gt;"",_PENDIENTES!$C$765,"")</f>
        <v/>
      </c>
      <c r="D771" s="46" t="str">
        <f aca="false">IF(_PENDIENTES!$B$765&lt;&gt;"",_PENDIENTES!$D$765,"")</f>
        <v/>
      </c>
      <c r="E771" s="112" t="str">
        <f aca="false">IF(_PENDIENTES!$B$765&lt;&gt;"",_PENDIENTES!$E$765,"")</f>
        <v/>
      </c>
      <c r="F771" s="46" t="str">
        <f aca="false">IF(_PENDIENTES!$B$765&lt;&gt;"",_PENDIENTES!$F$765,"")</f>
        <v/>
      </c>
      <c r="G771" s="44" t="str">
        <f aca="false">IF(_PENDIENTES!$B$765&lt;&gt;"",_PENDIENTES!$G$765,"")</f>
        <v/>
      </c>
      <c r="H771" s="44" t="str">
        <f aca="false">IF(_PENDIENTES!$B$765&lt;&gt;"",_PENDIENTES!$H$765,"")</f>
        <v/>
      </c>
      <c r="I771" s="110" t="str">
        <f aca="false">IF(_PENDIENTES!$B$765&lt;&gt;"",_PENDIENTES!$I$765,"")</f>
        <v/>
      </c>
      <c r="J771" s="46" t="str">
        <f aca="false">IF(_PENDIENTES!$B$765&lt;&gt;"",_PENDIENTES!$J$765,"")</f>
        <v/>
      </c>
      <c r="K771" s="46" t="str">
        <f aca="false">IF(_PENDIENTES!$B$765&lt;&gt;"","POR RECOGER","")</f>
        <v/>
      </c>
      <c r="L771" s="46" t="str">
        <f aca="false">IF(_PENDIENTES!$B$765&lt;&gt;"",_PENDIENTES!$K$765,"")</f>
        <v/>
      </c>
      <c r="M771" s="89" t="str">
        <f aca="false">IF(_PENDIENTES!$B$765&lt;&gt;"",_PENDIENTES!$B$765,"")</f>
        <v/>
      </c>
      <c r="N771" s="109" t="str">
        <f aca="false">IF(_PENDIENTES!$B$765&lt;&gt;"",_PENDIENTES!$L$765,"")</f>
        <v/>
      </c>
      <c r="O771" s="89"/>
      <c r="P771" s="89"/>
      <c r="Q771" s="89"/>
      <c r="R771" s="89"/>
      <c r="S771" s="89"/>
    </row>
    <row r="772" customFormat="false" ht="15.75" hidden="true" customHeight="true" outlineLevel="0" collapsed="false">
      <c r="A772" s="106" t="str">
        <f aca="false">IF(_PENDIENTES!$B$766&lt;&gt;"",765,"")</f>
        <v/>
      </c>
      <c r="B772" s="47" t="str">
        <f aca="false">IF(_PENDIENTES!$B$766&lt;&gt;"",_PENDIENTES!$A$766,"")</f>
        <v/>
      </c>
      <c r="C772" s="107" t="str">
        <f aca="false">IF(_PENDIENTES!$B$766&lt;&gt;"",_PENDIENTES!$C$766,"")</f>
        <v/>
      </c>
      <c r="D772" s="106" t="str">
        <f aca="false">IF(_PENDIENTES!$B$766&lt;&gt;"",_PENDIENTES!$D$766,"")</f>
        <v/>
      </c>
      <c r="E772" s="111" t="str">
        <f aca="false">IF(_PENDIENTES!$B$766&lt;&gt;"",_PENDIENTES!$E$766,"")</f>
        <v/>
      </c>
      <c r="F772" s="106" t="str">
        <f aca="false">IF(_PENDIENTES!$B$766&lt;&gt;"",_PENDIENTES!$F$766,"")</f>
        <v/>
      </c>
      <c r="G772" s="50" t="str">
        <f aca="false">IF(_PENDIENTES!$B$766&lt;&gt;"",_PENDIENTES!$G$766,"")</f>
        <v/>
      </c>
      <c r="H772" s="50" t="str">
        <f aca="false">IF(_PENDIENTES!$B$766&lt;&gt;"",_PENDIENTES!$H$766,"")</f>
        <v/>
      </c>
      <c r="I772" s="107" t="str">
        <f aca="false">IF(_PENDIENTES!$B$766&lt;&gt;"",_PENDIENTES!$I$766,"")</f>
        <v/>
      </c>
      <c r="J772" s="106" t="str">
        <f aca="false">IF(_PENDIENTES!$B$766&lt;&gt;"",_PENDIENTES!$J$766,"")</f>
        <v/>
      </c>
      <c r="K772" s="106" t="str">
        <f aca="false">IF(_PENDIENTES!$B$766&lt;&gt;"","POR RECOGER","")</f>
        <v/>
      </c>
      <c r="L772" s="106" t="str">
        <f aca="false">IF(_PENDIENTES!$B$766&lt;&gt;"",_PENDIENTES!$K$766,"")</f>
        <v/>
      </c>
      <c r="M772" s="89" t="str">
        <f aca="false">IF(_PENDIENTES!$B$766&lt;&gt;"",_PENDIENTES!$B$766,"")</f>
        <v/>
      </c>
      <c r="N772" s="109" t="str">
        <f aca="false">IF(_PENDIENTES!$B$766&lt;&gt;"",_PENDIENTES!$L$766,"")</f>
        <v/>
      </c>
      <c r="O772" s="89"/>
      <c r="P772" s="89"/>
      <c r="Q772" s="89"/>
      <c r="R772" s="89"/>
      <c r="S772" s="89"/>
    </row>
    <row r="773" customFormat="false" ht="15.75" hidden="true" customHeight="true" outlineLevel="0" collapsed="false">
      <c r="A773" s="46" t="str">
        <f aca="false">IF(_PENDIENTES!$B$767&lt;&gt;"",766,"")</f>
        <v/>
      </c>
      <c r="B773" s="41" t="str">
        <f aca="false">IF(_PENDIENTES!$B$767&lt;&gt;"",_PENDIENTES!$A$767,"")</f>
        <v/>
      </c>
      <c r="C773" s="110" t="str">
        <f aca="false">IF(_PENDIENTES!$B$767&lt;&gt;"",_PENDIENTES!$C$767,"")</f>
        <v/>
      </c>
      <c r="D773" s="46" t="str">
        <f aca="false">IF(_PENDIENTES!$B$767&lt;&gt;"",_PENDIENTES!$D$767,"")</f>
        <v/>
      </c>
      <c r="E773" s="112" t="str">
        <f aca="false">IF(_PENDIENTES!$B$767&lt;&gt;"",_PENDIENTES!$E$767,"")</f>
        <v/>
      </c>
      <c r="F773" s="46" t="str">
        <f aca="false">IF(_PENDIENTES!$B$767&lt;&gt;"",_PENDIENTES!$F$767,"")</f>
        <v/>
      </c>
      <c r="G773" s="44" t="str">
        <f aca="false">IF(_PENDIENTES!$B$767&lt;&gt;"",_PENDIENTES!$G$767,"")</f>
        <v/>
      </c>
      <c r="H773" s="44" t="str">
        <f aca="false">IF(_PENDIENTES!$B$767&lt;&gt;"",_PENDIENTES!$H$767,"")</f>
        <v/>
      </c>
      <c r="I773" s="110" t="str">
        <f aca="false">IF(_PENDIENTES!$B$767&lt;&gt;"",_PENDIENTES!$I$767,"")</f>
        <v/>
      </c>
      <c r="J773" s="46" t="str">
        <f aca="false">IF(_PENDIENTES!$B$767&lt;&gt;"",_PENDIENTES!$J$767,"")</f>
        <v/>
      </c>
      <c r="K773" s="46" t="str">
        <f aca="false">IF(_PENDIENTES!$B$767&lt;&gt;"","POR RECOGER","")</f>
        <v/>
      </c>
      <c r="L773" s="46" t="str">
        <f aca="false">IF(_PENDIENTES!$B$767&lt;&gt;"",_PENDIENTES!$K$767,"")</f>
        <v/>
      </c>
      <c r="M773" s="89" t="str">
        <f aca="false">IF(_PENDIENTES!$B$767&lt;&gt;"",_PENDIENTES!$B$767,"")</f>
        <v/>
      </c>
      <c r="N773" s="109" t="str">
        <f aca="false">IF(_PENDIENTES!$B$767&lt;&gt;"",_PENDIENTES!$L$767,"")</f>
        <v/>
      </c>
      <c r="O773" s="89"/>
      <c r="P773" s="89"/>
      <c r="Q773" s="89"/>
      <c r="R773" s="89"/>
      <c r="S773" s="89"/>
    </row>
    <row r="774" customFormat="false" ht="15.75" hidden="true" customHeight="true" outlineLevel="0" collapsed="false">
      <c r="A774" s="106" t="str">
        <f aca="false">IF(_PENDIENTES!$B$768&lt;&gt;"",767,"")</f>
        <v/>
      </c>
      <c r="B774" s="47" t="str">
        <f aca="false">IF(_PENDIENTES!$B$768&lt;&gt;"",_PENDIENTES!$A$768,"")</f>
        <v/>
      </c>
      <c r="C774" s="107" t="str">
        <f aca="false">IF(_PENDIENTES!$B$768&lt;&gt;"",_PENDIENTES!$C$768,"")</f>
        <v/>
      </c>
      <c r="D774" s="106" t="str">
        <f aca="false">IF(_PENDIENTES!$B$768&lt;&gt;"",_PENDIENTES!$D$768,"")</f>
        <v/>
      </c>
      <c r="E774" s="111" t="str">
        <f aca="false">IF(_PENDIENTES!$B$768&lt;&gt;"",_PENDIENTES!$E$768,"")</f>
        <v/>
      </c>
      <c r="F774" s="106" t="str">
        <f aca="false">IF(_PENDIENTES!$B$768&lt;&gt;"",_PENDIENTES!$F$768,"")</f>
        <v/>
      </c>
      <c r="G774" s="50" t="str">
        <f aca="false">IF(_PENDIENTES!$B$768&lt;&gt;"",_PENDIENTES!$G$768,"")</f>
        <v/>
      </c>
      <c r="H774" s="50" t="str">
        <f aca="false">IF(_PENDIENTES!$B$768&lt;&gt;"",_PENDIENTES!$H$768,"")</f>
        <v/>
      </c>
      <c r="I774" s="107" t="str">
        <f aca="false">IF(_PENDIENTES!$B$768&lt;&gt;"",_PENDIENTES!$I$768,"")</f>
        <v/>
      </c>
      <c r="J774" s="106" t="str">
        <f aca="false">IF(_PENDIENTES!$B$768&lt;&gt;"",_PENDIENTES!$J$768,"")</f>
        <v/>
      </c>
      <c r="K774" s="106" t="str">
        <f aca="false">IF(_PENDIENTES!$B$768&lt;&gt;"","POR RECOGER","")</f>
        <v/>
      </c>
      <c r="L774" s="106" t="str">
        <f aca="false">IF(_PENDIENTES!$B$768&lt;&gt;"",_PENDIENTES!$K$768,"")</f>
        <v/>
      </c>
      <c r="M774" s="89" t="str">
        <f aca="false">IF(_PENDIENTES!$B$768&lt;&gt;"",_PENDIENTES!$B$768,"")</f>
        <v/>
      </c>
      <c r="N774" s="109" t="str">
        <f aca="false">IF(_PENDIENTES!$B$768&lt;&gt;"",_PENDIENTES!$L$768,"")</f>
        <v/>
      </c>
      <c r="O774" s="89"/>
      <c r="P774" s="89"/>
      <c r="Q774" s="89"/>
      <c r="R774" s="89"/>
      <c r="S774" s="89"/>
    </row>
    <row r="775" customFormat="false" ht="15.75" hidden="true" customHeight="true" outlineLevel="0" collapsed="false">
      <c r="A775" s="46" t="str">
        <f aca="false">IF(_PENDIENTES!$B$769&lt;&gt;"",768,"")</f>
        <v/>
      </c>
      <c r="B775" s="41" t="str">
        <f aca="false">IF(_PENDIENTES!$B$769&lt;&gt;"",_PENDIENTES!$A$769,"")</f>
        <v/>
      </c>
      <c r="C775" s="110" t="str">
        <f aca="false">IF(_PENDIENTES!$B$769&lt;&gt;"",_PENDIENTES!$C$769,"")</f>
        <v/>
      </c>
      <c r="D775" s="46" t="str">
        <f aca="false">IF(_PENDIENTES!$B$769&lt;&gt;"",_PENDIENTES!$D$769,"")</f>
        <v/>
      </c>
      <c r="E775" s="112" t="str">
        <f aca="false">IF(_PENDIENTES!$B$769&lt;&gt;"",_PENDIENTES!$E$769,"")</f>
        <v/>
      </c>
      <c r="F775" s="46" t="str">
        <f aca="false">IF(_PENDIENTES!$B$769&lt;&gt;"",_PENDIENTES!$F$769,"")</f>
        <v/>
      </c>
      <c r="G775" s="44" t="str">
        <f aca="false">IF(_PENDIENTES!$B$769&lt;&gt;"",_PENDIENTES!$G$769,"")</f>
        <v/>
      </c>
      <c r="H775" s="44" t="str">
        <f aca="false">IF(_PENDIENTES!$B$769&lt;&gt;"",_PENDIENTES!$H$769,"")</f>
        <v/>
      </c>
      <c r="I775" s="110" t="str">
        <f aca="false">IF(_PENDIENTES!$B$769&lt;&gt;"",_PENDIENTES!$I$769,"")</f>
        <v/>
      </c>
      <c r="J775" s="46" t="str">
        <f aca="false">IF(_PENDIENTES!$B$769&lt;&gt;"",_PENDIENTES!$J$769,"")</f>
        <v/>
      </c>
      <c r="K775" s="46" t="str">
        <f aca="false">IF(_PENDIENTES!$B$769&lt;&gt;"","POR RECOGER","")</f>
        <v/>
      </c>
      <c r="L775" s="46" t="str">
        <f aca="false">IF(_PENDIENTES!$B$769&lt;&gt;"",_PENDIENTES!$K$769,"")</f>
        <v/>
      </c>
      <c r="M775" s="89" t="str">
        <f aca="false">IF(_PENDIENTES!$B$769&lt;&gt;"",_PENDIENTES!$B$769,"")</f>
        <v/>
      </c>
      <c r="N775" s="109" t="str">
        <f aca="false">IF(_PENDIENTES!$B$769&lt;&gt;"",_PENDIENTES!$L$769,"")</f>
        <v/>
      </c>
      <c r="O775" s="89"/>
      <c r="P775" s="89"/>
      <c r="Q775" s="89"/>
      <c r="R775" s="89"/>
      <c r="S775" s="89"/>
    </row>
    <row r="776" customFormat="false" ht="15.75" hidden="true" customHeight="true" outlineLevel="0" collapsed="false">
      <c r="A776" s="106" t="str">
        <f aca="false">IF(_PENDIENTES!$B$770&lt;&gt;"",769,"")</f>
        <v/>
      </c>
      <c r="B776" s="47" t="str">
        <f aca="false">IF(_PENDIENTES!$B$770&lt;&gt;"",_PENDIENTES!$A$770,"")</f>
        <v/>
      </c>
      <c r="C776" s="107" t="str">
        <f aca="false">IF(_PENDIENTES!$B$770&lt;&gt;"",_PENDIENTES!$C$770,"")</f>
        <v/>
      </c>
      <c r="D776" s="106" t="str">
        <f aca="false">IF(_PENDIENTES!$B$770&lt;&gt;"",_PENDIENTES!$D$770,"")</f>
        <v/>
      </c>
      <c r="E776" s="111" t="str">
        <f aca="false">IF(_PENDIENTES!$B$770&lt;&gt;"",_PENDIENTES!$E$770,"")</f>
        <v/>
      </c>
      <c r="F776" s="106" t="str">
        <f aca="false">IF(_PENDIENTES!$B$770&lt;&gt;"",_PENDIENTES!$F$770,"")</f>
        <v/>
      </c>
      <c r="G776" s="50" t="str">
        <f aca="false">IF(_PENDIENTES!$B$770&lt;&gt;"",_PENDIENTES!$G$770,"")</f>
        <v/>
      </c>
      <c r="H776" s="50" t="str">
        <f aca="false">IF(_PENDIENTES!$B$770&lt;&gt;"",_PENDIENTES!$H$770,"")</f>
        <v/>
      </c>
      <c r="I776" s="107" t="str">
        <f aca="false">IF(_PENDIENTES!$B$770&lt;&gt;"",_PENDIENTES!$I$770,"")</f>
        <v/>
      </c>
      <c r="J776" s="106" t="str">
        <f aca="false">IF(_PENDIENTES!$B$770&lt;&gt;"",_PENDIENTES!$J$770,"")</f>
        <v/>
      </c>
      <c r="K776" s="106" t="str">
        <f aca="false">IF(_PENDIENTES!$B$770&lt;&gt;"","POR RECOGER","")</f>
        <v/>
      </c>
      <c r="L776" s="106" t="str">
        <f aca="false">IF(_PENDIENTES!$B$770&lt;&gt;"",_PENDIENTES!$K$770,"")</f>
        <v/>
      </c>
      <c r="M776" s="89" t="str">
        <f aca="false">IF(_PENDIENTES!$B$770&lt;&gt;"",_PENDIENTES!$B$770,"")</f>
        <v/>
      </c>
      <c r="N776" s="109" t="str">
        <f aca="false">IF(_PENDIENTES!$B$770&lt;&gt;"",_PENDIENTES!$L$770,"")</f>
        <v/>
      </c>
      <c r="O776" s="89"/>
      <c r="P776" s="89"/>
      <c r="Q776" s="89"/>
      <c r="R776" s="89"/>
      <c r="S776" s="89"/>
    </row>
    <row r="777" customFormat="false" ht="15.75" hidden="true" customHeight="true" outlineLevel="0" collapsed="false">
      <c r="A777" s="46" t="str">
        <f aca="false">IF(_PENDIENTES!$B$771&lt;&gt;"",770,"")</f>
        <v/>
      </c>
      <c r="B777" s="41" t="str">
        <f aca="false">IF(_PENDIENTES!$B$771&lt;&gt;"",_PENDIENTES!$A$771,"")</f>
        <v/>
      </c>
      <c r="C777" s="110" t="str">
        <f aca="false">IF(_PENDIENTES!$B$771&lt;&gt;"",_PENDIENTES!$C$771,"")</f>
        <v/>
      </c>
      <c r="D777" s="46" t="str">
        <f aca="false">IF(_PENDIENTES!$B$771&lt;&gt;"",_PENDIENTES!$D$771,"")</f>
        <v/>
      </c>
      <c r="E777" s="112" t="str">
        <f aca="false">IF(_PENDIENTES!$B$771&lt;&gt;"",_PENDIENTES!$E$771,"")</f>
        <v/>
      </c>
      <c r="F777" s="46" t="str">
        <f aca="false">IF(_PENDIENTES!$B$771&lt;&gt;"",_PENDIENTES!$F$771,"")</f>
        <v/>
      </c>
      <c r="G777" s="44" t="str">
        <f aca="false">IF(_PENDIENTES!$B$771&lt;&gt;"",_PENDIENTES!$G$771,"")</f>
        <v/>
      </c>
      <c r="H777" s="44" t="str">
        <f aca="false">IF(_PENDIENTES!$B$771&lt;&gt;"",_PENDIENTES!$H$771,"")</f>
        <v/>
      </c>
      <c r="I777" s="110" t="str">
        <f aca="false">IF(_PENDIENTES!$B$771&lt;&gt;"",_PENDIENTES!$I$771,"")</f>
        <v/>
      </c>
      <c r="J777" s="46" t="str">
        <f aca="false">IF(_PENDIENTES!$B$771&lt;&gt;"",_PENDIENTES!$J$771,"")</f>
        <v/>
      </c>
      <c r="K777" s="46" t="str">
        <f aca="false">IF(_PENDIENTES!$B$771&lt;&gt;"","POR RECOGER","")</f>
        <v/>
      </c>
      <c r="L777" s="46" t="str">
        <f aca="false">IF(_PENDIENTES!$B$771&lt;&gt;"",_PENDIENTES!$K$771,"")</f>
        <v/>
      </c>
      <c r="M777" s="89" t="str">
        <f aca="false">IF(_PENDIENTES!$B$771&lt;&gt;"",_PENDIENTES!$B$771,"")</f>
        <v/>
      </c>
      <c r="N777" s="109" t="str">
        <f aca="false">IF(_PENDIENTES!$B$771&lt;&gt;"",_PENDIENTES!$L$771,"")</f>
        <v/>
      </c>
      <c r="O777" s="89"/>
      <c r="P777" s="89"/>
      <c r="Q777" s="89"/>
      <c r="R777" s="89"/>
      <c r="S777" s="89"/>
    </row>
    <row r="778" customFormat="false" ht="15.75" hidden="true" customHeight="true" outlineLevel="0" collapsed="false">
      <c r="A778" s="106" t="str">
        <f aca="false">IF(_PENDIENTES!$B$772&lt;&gt;"",771,"")</f>
        <v/>
      </c>
      <c r="B778" s="47" t="str">
        <f aca="false">IF(_PENDIENTES!$B$772&lt;&gt;"",_PENDIENTES!$A$772,"")</f>
        <v/>
      </c>
      <c r="C778" s="107" t="str">
        <f aca="false">IF(_PENDIENTES!$B$772&lt;&gt;"",_PENDIENTES!$C$772,"")</f>
        <v/>
      </c>
      <c r="D778" s="106" t="str">
        <f aca="false">IF(_PENDIENTES!$B$772&lt;&gt;"",_PENDIENTES!$D$772,"")</f>
        <v/>
      </c>
      <c r="E778" s="111" t="str">
        <f aca="false">IF(_PENDIENTES!$B$772&lt;&gt;"",_PENDIENTES!$E$772,"")</f>
        <v/>
      </c>
      <c r="F778" s="106" t="str">
        <f aca="false">IF(_PENDIENTES!$B$772&lt;&gt;"",_PENDIENTES!$F$772,"")</f>
        <v/>
      </c>
      <c r="G778" s="50" t="str">
        <f aca="false">IF(_PENDIENTES!$B$772&lt;&gt;"",_PENDIENTES!$G$772,"")</f>
        <v/>
      </c>
      <c r="H778" s="50" t="str">
        <f aca="false">IF(_PENDIENTES!$B$772&lt;&gt;"",_PENDIENTES!$H$772,"")</f>
        <v/>
      </c>
      <c r="I778" s="107" t="str">
        <f aca="false">IF(_PENDIENTES!$B$772&lt;&gt;"",_PENDIENTES!$I$772,"")</f>
        <v/>
      </c>
      <c r="J778" s="106" t="str">
        <f aca="false">IF(_PENDIENTES!$B$772&lt;&gt;"",_PENDIENTES!$J$772,"")</f>
        <v/>
      </c>
      <c r="K778" s="106" t="str">
        <f aca="false">IF(_PENDIENTES!$B$772&lt;&gt;"","POR RECOGER","")</f>
        <v/>
      </c>
      <c r="L778" s="106" t="str">
        <f aca="false">IF(_PENDIENTES!$B$772&lt;&gt;"",_PENDIENTES!$K$772,"")</f>
        <v/>
      </c>
      <c r="M778" s="89" t="str">
        <f aca="false">IF(_PENDIENTES!$B$772&lt;&gt;"",_PENDIENTES!$B$772,"")</f>
        <v/>
      </c>
      <c r="N778" s="109" t="str">
        <f aca="false">IF(_PENDIENTES!$B$772&lt;&gt;"",_PENDIENTES!$L$772,"")</f>
        <v/>
      </c>
      <c r="O778" s="89"/>
      <c r="P778" s="89"/>
      <c r="Q778" s="89"/>
      <c r="R778" s="89"/>
      <c r="S778" s="89"/>
    </row>
    <row r="779" customFormat="false" ht="15.75" hidden="true" customHeight="true" outlineLevel="0" collapsed="false">
      <c r="A779" s="46" t="str">
        <f aca="false">IF(_PENDIENTES!$B$773&lt;&gt;"",772,"")</f>
        <v/>
      </c>
      <c r="B779" s="41" t="str">
        <f aca="false">IF(_PENDIENTES!$B$773&lt;&gt;"",_PENDIENTES!$A$773,"")</f>
        <v/>
      </c>
      <c r="C779" s="110" t="str">
        <f aca="false">IF(_PENDIENTES!$B$773&lt;&gt;"",_PENDIENTES!$C$773,"")</f>
        <v/>
      </c>
      <c r="D779" s="46" t="str">
        <f aca="false">IF(_PENDIENTES!$B$773&lt;&gt;"",_PENDIENTES!$D$773,"")</f>
        <v/>
      </c>
      <c r="E779" s="112" t="str">
        <f aca="false">IF(_PENDIENTES!$B$773&lt;&gt;"",_PENDIENTES!$E$773,"")</f>
        <v/>
      </c>
      <c r="F779" s="46" t="str">
        <f aca="false">IF(_PENDIENTES!$B$773&lt;&gt;"",_PENDIENTES!$F$773,"")</f>
        <v/>
      </c>
      <c r="G779" s="44" t="str">
        <f aca="false">IF(_PENDIENTES!$B$773&lt;&gt;"",_PENDIENTES!$G$773,"")</f>
        <v/>
      </c>
      <c r="H779" s="44" t="str">
        <f aca="false">IF(_PENDIENTES!$B$773&lt;&gt;"",_PENDIENTES!$H$773,"")</f>
        <v/>
      </c>
      <c r="I779" s="110" t="str">
        <f aca="false">IF(_PENDIENTES!$B$773&lt;&gt;"",_PENDIENTES!$I$773,"")</f>
        <v/>
      </c>
      <c r="J779" s="46" t="str">
        <f aca="false">IF(_PENDIENTES!$B$773&lt;&gt;"",_PENDIENTES!$J$773,"")</f>
        <v/>
      </c>
      <c r="K779" s="46" t="str">
        <f aca="false">IF(_PENDIENTES!$B$773&lt;&gt;"","POR RECOGER","")</f>
        <v/>
      </c>
      <c r="L779" s="46" t="str">
        <f aca="false">IF(_PENDIENTES!$B$773&lt;&gt;"",_PENDIENTES!$K$773,"")</f>
        <v/>
      </c>
      <c r="M779" s="89" t="str">
        <f aca="false">IF(_PENDIENTES!$B$773&lt;&gt;"",_PENDIENTES!$B$773,"")</f>
        <v/>
      </c>
      <c r="N779" s="109" t="str">
        <f aca="false">IF(_PENDIENTES!$B$773&lt;&gt;"",_PENDIENTES!$L$773,"")</f>
        <v/>
      </c>
      <c r="O779" s="89"/>
      <c r="P779" s="89"/>
      <c r="Q779" s="89"/>
      <c r="R779" s="89"/>
      <c r="S779" s="89"/>
    </row>
    <row r="780" customFormat="false" ht="15.75" hidden="true" customHeight="true" outlineLevel="0" collapsed="false">
      <c r="A780" s="106" t="str">
        <f aca="false">IF(_PENDIENTES!$B$774&lt;&gt;"",773,"")</f>
        <v/>
      </c>
      <c r="B780" s="47" t="str">
        <f aca="false">IF(_PENDIENTES!$B$774&lt;&gt;"",_PENDIENTES!$A$774,"")</f>
        <v/>
      </c>
      <c r="C780" s="107" t="str">
        <f aca="false">IF(_PENDIENTES!$B$774&lt;&gt;"",_PENDIENTES!$C$774,"")</f>
        <v/>
      </c>
      <c r="D780" s="106" t="str">
        <f aca="false">IF(_PENDIENTES!$B$774&lt;&gt;"",_PENDIENTES!$D$774,"")</f>
        <v/>
      </c>
      <c r="E780" s="111" t="str">
        <f aca="false">IF(_PENDIENTES!$B$774&lt;&gt;"",_PENDIENTES!$E$774,"")</f>
        <v/>
      </c>
      <c r="F780" s="106" t="str">
        <f aca="false">IF(_PENDIENTES!$B$774&lt;&gt;"",_PENDIENTES!$F$774,"")</f>
        <v/>
      </c>
      <c r="G780" s="50" t="str">
        <f aca="false">IF(_PENDIENTES!$B$774&lt;&gt;"",_PENDIENTES!$G$774,"")</f>
        <v/>
      </c>
      <c r="H780" s="50" t="str">
        <f aca="false">IF(_PENDIENTES!$B$774&lt;&gt;"",_PENDIENTES!$H$774,"")</f>
        <v/>
      </c>
      <c r="I780" s="107" t="str">
        <f aca="false">IF(_PENDIENTES!$B$774&lt;&gt;"",_PENDIENTES!$I$774,"")</f>
        <v/>
      </c>
      <c r="J780" s="106" t="str">
        <f aca="false">IF(_PENDIENTES!$B$774&lt;&gt;"",_PENDIENTES!$J$774,"")</f>
        <v/>
      </c>
      <c r="K780" s="106" t="str">
        <f aca="false">IF(_PENDIENTES!$B$774&lt;&gt;"","POR RECOGER","")</f>
        <v/>
      </c>
      <c r="L780" s="106" t="str">
        <f aca="false">IF(_PENDIENTES!$B$774&lt;&gt;"",_PENDIENTES!$K$774,"")</f>
        <v/>
      </c>
      <c r="M780" s="89" t="str">
        <f aca="false">IF(_PENDIENTES!$B$774&lt;&gt;"",_PENDIENTES!$B$774,"")</f>
        <v/>
      </c>
      <c r="N780" s="109" t="str">
        <f aca="false">IF(_PENDIENTES!$B$774&lt;&gt;"",_PENDIENTES!$L$774,"")</f>
        <v/>
      </c>
      <c r="O780" s="89"/>
      <c r="P780" s="89"/>
      <c r="Q780" s="89"/>
      <c r="R780" s="89"/>
      <c r="S780" s="89"/>
    </row>
    <row r="781" customFormat="false" ht="15.75" hidden="true" customHeight="true" outlineLevel="0" collapsed="false">
      <c r="A781" s="46" t="str">
        <f aca="false">IF(_PENDIENTES!$B$775&lt;&gt;"",774,"")</f>
        <v/>
      </c>
      <c r="B781" s="41" t="str">
        <f aca="false">IF(_PENDIENTES!$B$775&lt;&gt;"",_PENDIENTES!$A$775,"")</f>
        <v/>
      </c>
      <c r="C781" s="110" t="str">
        <f aca="false">IF(_PENDIENTES!$B$775&lt;&gt;"",_PENDIENTES!$C$775,"")</f>
        <v/>
      </c>
      <c r="D781" s="46" t="str">
        <f aca="false">IF(_PENDIENTES!$B$775&lt;&gt;"",_PENDIENTES!$D$775,"")</f>
        <v/>
      </c>
      <c r="E781" s="112" t="str">
        <f aca="false">IF(_PENDIENTES!$B$775&lt;&gt;"",_PENDIENTES!$E$775,"")</f>
        <v/>
      </c>
      <c r="F781" s="46" t="str">
        <f aca="false">IF(_PENDIENTES!$B$775&lt;&gt;"",_PENDIENTES!$F$775,"")</f>
        <v/>
      </c>
      <c r="G781" s="44" t="str">
        <f aca="false">IF(_PENDIENTES!$B$775&lt;&gt;"",_PENDIENTES!$G$775,"")</f>
        <v/>
      </c>
      <c r="H781" s="44" t="str">
        <f aca="false">IF(_PENDIENTES!$B$775&lt;&gt;"",_PENDIENTES!$H$775,"")</f>
        <v/>
      </c>
      <c r="I781" s="110" t="str">
        <f aca="false">IF(_PENDIENTES!$B$775&lt;&gt;"",_PENDIENTES!$I$775,"")</f>
        <v/>
      </c>
      <c r="J781" s="46" t="str">
        <f aca="false">IF(_PENDIENTES!$B$775&lt;&gt;"",_PENDIENTES!$J$775,"")</f>
        <v/>
      </c>
      <c r="K781" s="46" t="str">
        <f aca="false">IF(_PENDIENTES!$B$775&lt;&gt;"","POR RECOGER","")</f>
        <v/>
      </c>
      <c r="L781" s="46" t="str">
        <f aca="false">IF(_PENDIENTES!$B$775&lt;&gt;"",_PENDIENTES!$K$775,"")</f>
        <v/>
      </c>
      <c r="M781" s="89" t="str">
        <f aca="false">IF(_PENDIENTES!$B$775&lt;&gt;"",_PENDIENTES!$B$775,"")</f>
        <v/>
      </c>
      <c r="N781" s="109" t="str">
        <f aca="false">IF(_PENDIENTES!$B$775&lt;&gt;"",_PENDIENTES!$L$775,"")</f>
        <v/>
      </c>
      <c r="O781" s="89"/>
      <c r="P781" s="89"/>
      <c r="Q781" s="89"/>
      <c r="R781" s="89"/>
      <c r="S781" s="89"/>
    </row>
    <row r="782" customFormat="false" ht="15.75" hidden="true" customHeight="true" outlineLevel="0" collapsed="false">
      <c r="A782" s="106" t="str">
        <f aca="false">IF(_PENDIENTES!$B$776&lt;&gt;"",775,"")</f>
        <v/>
      </c>
      <c r="B782" s="47" t="str">
        <f aca="false">IF(_PENDIENTES!$B$776&lt;&gt;"",_PENDIENTES!$A$776,"")</f>
        <v/>
      </c>
      <c r="C782" s="107" t="str">
        <f aca="false">IF(_PENDIENTES!$B$776&lt;&gt;"",_PENDIENTES!$C$776,"")</f>
        <v/>
      </c>
      <c r="D782" s="106" t="str">
        <f aca="false">IF(_PENDIENTES!$B$776&lt;&gt;"",_PENDIENTES!$D$776,"")</f>
        <v/>
      </c>
      <c r="E782" s="111" t="str">
        <f aca="false">IF(_PENDIENTES!$B$776&lt;&gt;"",_PENDIENTES!$E$776,"")</f>
        <v/>
      </c>
      <c r="F782" s="106" t="str">
        <f aca="false">IF(_PENDIENTES!$B$776&lt;&gt;"",_PENDIENTES!$F$776,"")</f>
        <v/>
      </c>
      <c r="G782" s="50" t="str">
        <f aca="false">IF(_PENDIENTES!$B$776&lt;&gt;"",_PENDIENTES!$G$776,"")</f>
        <v/>
      </c>
      <c r="H782" s="50" t="str">
        <f aca="false">IF(_PENDIENTES!$B$776&lt;&gt;"",_PENDIENTES!$H$776,"")</f>
        <v/>
      </c>
      <c r="I782" s="107" t="str">
        <f aca="false">IF(_PENDIENTES!$B$776&lt;&gt;"",_PENDIENTES!$I$776,"")</f>
        <v/>
      </c>
      <c r="J782" s="106" t="str">
        <f aca="false">IF(_PENDIENTES!$B$776&lt;&gt;"",_PENDIENTES!$J$776,"")</f>
        <v/>
      </c>
      <c r="K782" s="106" t="str">
        <f aca="false">IF(_PENDIENTES!$B$776&lt;&gt;"","POR RECOGER","")</f>
        <v/>
      </c>
      <c r="L782" s="106" t="str">
        <f aca="false">IF(_PENDIENTES!$B$776&lt;&gt;"",_PENDIENTES!$K$776,"")</f>
        <v/>
      </c>
      <c r="M782" s="89" t="str">
        <f aca="false">IF(_PENDIENTES!$B$776&lt;&gt;"",_PENDIENTES!$B$776,"")</f>
        <v/>
      </c>
      <c r="N782" s="109" t="str">
        <f aca="false">IF(_PENDIENTES!$B$776&lt;&gt;"",_PENDIENTES!$L$776,"")</f>
        <v/>
      </c>
      <c r="O782" s="89"/>
      <c r="P782" s="89"/>
      <c r="Q782" s="89"/>
      <c r="R782" s="89"/>
      <c r="S782" s="89"/>
    </row>
    <row r="783" customFormat="false" ht="15.75" hidden="true" customHeight="true" outlineLevel="0" collapsed="false">
      <c r="A783" s="46" t="str">
        <f aca="false">IF(_PENDIENTES!$B$777&lt;&gt;"",776,"")</f>
        <v/>
      </c>
      <c r="B783" s="41" t="str">
        <f aca="false">IF(_PENDIENTES!$B$777&lt;&gt;"",_PENDIENTES!$A$777,"")</f>
        <v/>
      </c>
      <c r="C783" s="110" t="str">
        <f aca="false">IF(_PENDIENTES!$B$777&lt;&gt;"",_PENDIENTES!$C$777,"")</f>
        <v/>
      </c>
      <c r="D783" s="46" t="str">
        <f aca="false">IF(_PENDIENTES!$B$777&lt;&gt;"",_PENDIENTES!$D$777,"")</f>
        <v/>
      </c>
      <c r="E783" s="112" t="str">
        <f aca="false">IF(_PENDIENTES!$B$777&lt;&gt;"",_PENDIENTES!$E$777,"")</f>
        <v/>
      </c>
      <c r="F783" s="46" t="str">
        <f aca="false">IF(_PENDIENTES!$B$777&lt;&gt;"",_PENDIENTES!$F$777,"")</f>
        <v/>
      </c>
      <c r="G783" s="44" t="str">
        <f aca="false">IF(_PENDIENTES!$B$777&lt;&gt;"",_PENDIENTES!$G$777,"")</f>
        <v/>
      </c>
      <c r="H783" s="44" t="str">
        <f aca="false">IF(_PENDIENTES!$B$777&lt;&gt;"",_PENDIENTES!$H$777,"")</f>
        <v/>
      </c>
      <c r="I783" s="110" t="str">
        <f aca="false">IF(_PENDIENTES!$B$777&lt;&gt;"",_PENDIENTES!$I$777,"")</f>
        <v/>
      </c>
      <c r="J783" s="46" t="str">
        <f aca="false">IF(_PENDIENTES!$B$777&lt;&gt;"",_PENDIENTES!$J$777,"")</f>
        <v/>
      </c>
      <c r="K783" s="46" t="str">
        <f aca="false">IF(_PENDIENTES!$B$777&lt;&gt;"","POR RECOGER","")</f>
        <v/>
      </c>
      <c r="L783" s="46" t="str">
        <f aca="false">IF(_PENDIENTES!$B$777&lt;&gt;"",_PENDIENTES!$K$777,"")</f>
        <v/>
      </c>
      <c r="M783" s="89" t="str">
        <f aca="false">IF(_PENDIENTES!$B$777&lt;&gt;"",_PENDIENTES!$B$777,"")</f>
        <v/>
      </c>
      <c r="N783" s="109" t="str">
        <f aca="false">IF(_PENDIENTES!$B$777&lt;&gt;"",_PENDIENTES!$L$777,"")</f>
        <v/>
      </c>
      <c r="O783" s="89"/>
      <c r="P783" s="89"/>
      <c r="Q783" s="89"/>
      <c r="R783" s="89"/>
      <c r="S783" s="89"/>
    </row>
    <row r="784" customFormat="false" ht="15.75" hidden="true" customHeight="true" outlineLevel="0" collapsed="false">
      <c r="A784" s="106" t="str">
        <f aca="false">IF(_PENDIENTES!$B$778&lt;&gt;"",777,"")</f>
        <v/>
      </c>
      <c r="B784" s="47" t="str">
        <f aca="false">IF(_PENDIENTES!$B$778&lt;&gt;"",_PENDIENTES!$A$778,"")</f>
        <v/>
      </c>
      <c r="C784" s="107" t="str">
        <f aca="false">IF(_PENDIENTES!$B$778&lt;&gt;"",_PENDIENTES!$C$778,"")</f>
        <v/>
      </c>
      <c r="D784" s="106" t="str">
        <f aca="false">IF(_PENDIENTES!$B$778&lt;&gt;"",_PENDIENTES!$D$778,"")</f>
        <v/>
      </c>
      <c r="E784" s="111" t="str">
        <f aca="false">IF(_PENDIENTES!$B$778&lt;&gt;"",_PENDIENTES!$E$778,"")</f>
        <v/>
      </c>
      <c r="F784" s="106" t="str">
        <f aca="false">IF(_PENDIENTES!$B$778&lt;&gt;"",_PENDIENTES!$F$778,"")</f>
        <v/>
      </c>
      <c r="G784" s="50" t="str">
        <f aca="false">IF(_PENDIENTES!$B$778&lt;&gt;"",_PENDIENTES!$G$778,"")</f>
        <v/>
      </c>
      <c r="H784" s="50" t="str">
        <f aca="false">IF(_PENDIENTES!$B$778&lt;&gt;"",_PENDIENTES!$H$778,"")</f>
        <v/>
      </c>
      <c r="I784" s="107" t="str">
        <f aca="false">IF(_PENDIENTES!$B$778&lt;&gt;"",_PENDIENTES!$I$778,"")</f>
        <v/>
      </c>
      <c r="J784" s="106" t="str">
        <f aca="false">IF(_PENDIENTES!$B$778&lt;&gt;"",_PENDIENTES!$J$778,"")</f>
        <v/>
      </c>
      <c r="K784" s="106" t="str">
        <f aca="false">IF(_PENDIENTES!$B$778&lt;&gt;"","POR RECOGER","")</f>
        <v/>
      </c>
      <c r="L784" s="106" t="str">
        <f aca="false">IF(_PENDIENTES!$B$778&lt;&gt;"",_PENDIENTES!$K$778,"")</f>
        <v/>
      </c>
      <c r="M784" s="89" t="str">
        <f aca="false">IF(_PENDIENTES!$B$778&lt;&gt;"",_PENDIENTES!$B$778,"")</f>
        <v/>
      </c>
      <c r="N784" s="109" t="str">
        <f aca="false">IF(_PENDIENTES!$B$778&lt;&gt;"",_PENDIENTES!$L$778,"")</f>
        <v/>
      </c>
      <c r="O784" s="89"/>
      <c r="P784" s="89"/>
      <c r="Q784" s="89"/>
      <c r="R784" s="89"/>
      <c r="S784" s="89"/>
    </row>
    <row r="785" customFormat="false" ht="15.75" hidden="true" customHeight="true" outlineLevel="0" collapsed="false">
      <c r="A785" s="46" t="str">
        <f aca="false">IF(_PENDIENTES!$B$779&lt;&gt;"",778,"")</f>
        <v/>
      </c>
      <c r="B785" s="41" t="str">
        <f aca="false">IF(_PENDIENTES!$B$779&lt;&gt;"",_PENDIENTES!$A$779,"")</f>
        <v/>
      </c>
      <c r="C785" s="110" t="str">
        <f aca="false">IF(_PENDIENTES!$B$779&lt;&gt;"",_PENDIENTES!$C$779,"")</f>
        <v/>
      </c>
      <c r="D785" s="46" t="str">
        <f aca="false">IF(_PENDIENTES!$B$779&lt;&gt;"",_PENDIENTES!$D$779,"")</f>
        <v/>
      </c>
      <c r="E785" s="112" t="str">
        <f aca="false">IF(_PENDIENTES!$B$779&lt;&gt;"",_PENDIENTES!$E$779,"")</f>
        <v/>
      </c>
      <c r="F785" s="46" t="str">
        <f aca="false">IF(_PENDIENTES!$B$779&lt;&gt;"",_PENDIENTES!$F$779,"")</f>
        <v/>
      </c>
      <c r="G785" s="44" t="str">
        <f aca="false">IF(_PENDIENTES!$B$779&lt;&gt;"",_PENDIENTES!$G$779,"")</f>
        <v/>
      </c>
      <c r="H785" s="44" t="str">
        <f aca="false">IF(_PENDIENTES!$B$779&lt;&gt;"",_PENDIENTES!$H$779,"")</f>
        <v/>
      </c>
      <c r="I785" s="110" t="str">
        <f aca="false">IF(_PENDIENTES!$B$779&lt;&gt;"",_PENDIENTES!$I$779,"")</f>
        <v/>
      </c>
      <c r="J785" s="46" t="str">
        <f aca="false">IF(_PENDIENTES!$B$779&lt;&gt;"",_PENDIENTES!$J$779,"")</f>
        <v/>
      </c>
      <c r="K785" s="46" t="str">
        <f aca="false">IF(_PENDIENTES!$B$779&lt;&gt;"","POR RECOGER","")</f>
        <v/>
      </c>
      <c r="L785" s="46" t="str">
        <f aca="false">IF(_PENDIENTES!$B$779&lt;&gt;"",_PENDIENTES!$K$779,"")</f>
        <v/>
      </c>
      <c r="M785" s="89" t="str">
        <f aca="false">IF(_PENDIENTES!$B$779&lt;&gt;"",_PENDIENTES!$B$779,"")</f>
        <v/>
      </c>
      <c r="N785" s="109" t="str">
        <f aca="false">IF(_PENDIENTES!$B$779&lt;&gt;"",_PENDIENTES!$L$779,"")</f>
        <v/>
      </c>
      <c r="O785" s="89"/>
      <c r="P785" s="89"/>
      <c r="Q785" s="89"/>
      <c r="R785" s="89"/>
      <c r="S785" s="89"/>
    </row>
    <row r="786" customFormat="false" ht="15.75" hidden="true" customHeight="true" outlineLevel="0" collapsed="false">
      <c r="A786" s="106" t="str">
        <f aca="false">IF(_PENDIENTES!$B$780&lt;&gt;"",779,"")</f>
        <v/>
      </c>
      <c r="B786" s="47" t="str">
        <f aca="false">IF(_PENDIENTES!$B$780&lt;&gt;"",_PENDIENTES!$A$780,"")</f>
        <v/>
      </c>
      <c r="C786" s="107" t="str">
        <f aca="false">IF(_PENDIENTES!$B$780&lt;&gt;"",_PENDIENTES!$C$780,"")</f>
        <v/>
      </c>
      <c r="D786" s="106" t="str">
        <f aca="false">IF(_PENDIENTES!$B$780&lt;&gt;"",_PENDIENTES!$D$780,"")</f>
        <v/>
      </c>
      <c r="E786" s="111" t="str">
        <f aca="false">IF(_PENDIENTES!$B$780&lt;&gt;"",_PENDIENTES!$E$780,"")</f>
        <v/>
      </c>
      <c r="F786" s="106" t="str">
        <f aca="false">IF(_PENDIENTES!$B$780&lt;&gt;"",_PENDIENTES!$F$780,"")</f>
        <v/>
      </c>
      <c r="G786" s="50" t="str">
        <f aca="false">IF(_PENDIENTES!$B$780&lt;&gt;"",_PENDIENTES!$G$780,"")</f>
        <v/>
      </c>
      <c r="H786" s="50" t="str">
        <f aca="false">IF(_PENDIENTES!$B$780&lt;&gt;"",_PENDIENTES!$H$780,"")</f>
        <v/>
      </c>
      <c r="I786" s="107" t="str">
        <f aca="false">IF(_PENDIENTES!$B$780&lt;&gt;"",_PENDIENTES!$I$780,"")</f>
        <v/>
      </c>
      <c r="J786" s="106" t="str">
        <f aca="false">IF(_PENDIENTES!$B$780&lt;&gt;"",_PENDIENTES!$J$780,"")</f>
        <v/>
      </c>
      <c r="K786" s="106" t="str">
        <f aca="false">IF(_PENDIENTES!$B$780&lt;&gt;"","POR RECOGER","")</f>
        <v/>
      </c>
      <c r="L786" s="106" t="str">
        <f aca="false">IF(_PENDIENTES!$B$780&lt;&gt;"",_PENDIENTES!$K$780,"")</f>
        <v/>
      </c>
      <c r="M786" s="89" t="str">
        <f aca="false">IF(_PENDIENTES!$B$780&lt;&gt;"",_PENDIENTES!$B$780,"")</f>
        <v/>
      </c>
      <c r="N786" s="109" t="str">
        <f aca="false">IF(_PENDIENTES!$B$780&lt;&gt;"",_PENDIENTES!$L$780,"")</f>
        <v/>
      </c>
      <c r="O786" s="89"/>
      <c r="P786" s="89"/>
      <c r="Q786" s="89"/>
      <c r="R786" s="89"/>
      <c r="S786" s="89"/>
    </row>
    <row r="787" customFormat="false" ht="15.75" hidden="true" customHeight="true" outlineLevel="0" collapsed="false">
      <c r="A787" s="46" t="str">
        <f aca="false">IF(_PENDIENTES!$B$781&lt;&gt;"",780,"")</f>
        <v/>
      </c>
      <c r="B787" s="41" t="str">
        <f aca="false">IF(_PENDIENTES!$B$781&lt;&gt;"",_PENDIENTES!$A$781,"")</f>
        <v/>
      </c>
      <c r="C787" s="110" t="str">
        <f aca="false">IF(_PENDIENTES!$B$781&lt;&gt;"",_PENDIENTES!$C$781,"")</f>
        <v/>
      </c>
      <c r="D787" s="46" t="str">
        <f aca="false">IF(_PENDIENTES!$B$781&lt;&gt;"",_PENDIENTES!$D$781,"")</f>
        <v/>
      </c>
      <c r="E787" s="112" t="str">
        <f aca="false">IF(_PENDIENTES!$B$781&lt;&gt;"",_PENDIENTES!$E$781,"")</f>
        <v/>
      </c>
      <c r="F787" s="46" t="str">
        <f aca="false">IF(_PENDIENTES!$B$781&lt;&gt;"",_PENDIENTES!$F$781,"")</f>
        <v/>
      </c>
      <c r="G787" s="44" t="str">
        <f aca="false">IF(_PENDIENTES!$B$781&lt;&gt;"",_PENDIENTES!$G$781,"")</f>
        <v/>
      </c>
      <c r="H787" s="44" t="str">
        <f aca="false">IF(_PENDIENTES!$B$781&lt;&gt;"",_PENDIENTES!$H$781,"")</f>
        <v/>
      </c>
      <c r="I787" s="110" t="str">
        <f aca="false">IF(_PENDIENTES!$B$781&lt;&gt;"",_PENDIENTES!$I$781,"")</f>
        <v/>
      </c>
      <c r="J787" s="46" t="str">
        <f aca="false">IF(_PENDIENTES!$B$781&lt;&gt;"",_PENDIENTES!$J$781,"")</f>
        <v/>
      </c>
      <c r="K787" s="46" t="str">
        <f aca="false">IF(_PENDIENTES!$B$781&lt;&gt;"","POR RECOGER","")</f>
        <v/>
      </c>
      <c r="L787" s="46" t="str">
        <f aca="false">IF(_PENDIENTES!$B$781&lt;&gt;"",_PENDIENTES!$K$781,"")</f>
        <v/>
      </c>
      <c r="M787" s="89" t="str">
        <f aca="false">IF(_PENDIENTES!$B$781&lt;&gt;"",_PENDIENTES!$B$781,"")</f>
        <v/>
      </c>
      <c r="N787" s="109" t="str">
        <f aca="false">IF(_PENDIENTES!$B$781&lt;&gt;"",_PENDIENTES!$L$781,"")</f>
        <v/>
      </c>
      <c r="O787" s="89"/>
      <c r="P787" s="89"/>
      <c r="Q787" s="89"/>
      <c r="R787" s="89"/>
      <c r="S787" s="89"/>
    </row>
    <row r="788" customFormat="false" ht="15.75" hidden="true" customHeight="true" outlineLevel="0" collapsed="false">
      <c r="A788" s="106" t="str">
        <f aca="false">IF(_PENDIENTES!$B$782&lt;&gt;"",781,"")</f>
        <v/>
      </c>
      <c r="B788" s="47" t="str">
        <f aca="false">IF(_PENDIENTES!$B$782&lt;&gt;"",_PENDIENTES!$A$782,"")</f>
        <v/>
      </c>
      <c r="C788" s="107" t="str">
        <f aca="false">IF(_PENDIENTES!$B$782&lt;&gt;"",_PENDIENTES!$C$782,"")</f>
        <v/>
      </c>
      <c r="D788" s="106" t="str">
        <f aca="false">IF(_PENDIENTES!$B$782&lt;&gt;"",_PENDIENTES!$D$782,"")</f>
        <v/>
      </c>
      <c r="E788" s="111" t="str">
        <f aca="false">IF(_PENDIENTES!$B$782&lt;&gt;"",_PENDIENTES!$E$782,"")</f>
        <v/>
      </c>
      <c r="F788" s="106" t="str">
        <f aca="false">IF(_PENDIENTES!$B$782&lt;&gt;"",_PENDIENTES!$F$782,"")</f>
        <v/>
      </c>
      <c r="G788" s="50" t="str">
        <f aca="false">IF(_PENDIENTES!$B$782&lt;&gt;"",_PENDIENTES!$G$782,"")</f>
        <v/>
      </c>
      <c r="H788" s="50" t="str">
        <f aca="false">IF(_PENDIENTES!$B$782&lt;&gt;"",_PENDIENTES!$H$782,"")</f>
        <v/>
      </c>
      <c r="I788" s="107" t="str">
        <f aca="false">IF(_PENDIENTES!$B$782&lt;&gt;"",_PENDIENTES!$I$782,"")</f>
        <v/>
      </c>
      <c r="J788" s="106" t="str">
        <f aca="false">IF(_PENDIENTES!$B$782&lt;&gt;"",_PENDIENTES!$J$782,"")</f>
        <v/>
      </c>
      <c r="K788" s="106" t="str">
        <f aca="false">IF(_PENDIENTES!$B$782&lt;&gt;"","POR RECOGER","")</f>
        <v/>
      </c>
      <c r="L788" s="106" t="str">
        <f aca="false">IF(_PENDIENTES!$B$782&lt;&gt;"",_PENDIENTES!$K$782,"")</f>
        <v/>
      </c>
      <c r="M788" s="89" t="str">
        <f aca="false">IF(_PENDIENTES!$B$782&lt;&gt;"",_PENDIENTES!$B$782,"")</f>
        <v/>
      </c>
      <c r="N788" s="109" t="str">
        <f aca="false">IF(_PENDIENTES!$B$782&lt;&gt;"",_PENDIENTES!$L$782,"")</f>
        <v/>
      </c>
      <c r="O788" s="89"/>
      <c r="P788" s="89"/>
      <c r="Q788" s="89"/>
      <c r="R788" s="89"/>
      <c r="S788" s="89"/>
    </row>
    <row r="789" customFormat="false" ht="15.75" hidden="true" customHeight="true" outlineLevel="0" collapsed="false">
      <c r="A789" s="46" t="str">
        <f aca="false">IF(_PENDIENTES!$B$783&lt;&gt;"",782,"")</f>
        <v/>
      </c>
      <c r="B789" s="41" t="str">
        <f aca="false">IF(_PENDIENTES!$B$783&lt;&gt;"",_PENDIENTES!$A$783,"")</f>
        <v/>
      </c>
      <c r="C789" s="110" t="str">
        <f aca="false">IF(_PENDIENTES!$B$783&lt;&gt;"",_PENDIENTES!$C$783,"")</f>
        <v/>
      </c>
      <c r="D789" s="46" t="str">
        <f aca="false">IF(_PENDIENTES!$B$783&lt;&gt;"",_PENDIENTES!$D$783,"")</f>
        <v/>
      </c>
      <c r="E789" s="112" t="str">
        <f aca="false">IF(_PENDIENTES!$B$783&lt;&gt;"",_PENDIENTES!$E$783,"")</f>
        <v/>
      </c>
      <c r="F789" s="46" t="str">
        <f aca="false">IF(_PENDIENTES!$B$783&lt;&gt;"",_PENDIENTES!$F$783,"")</f>
        <v/>
      </c>
      <c r="G789" s="44" t="str">
        <f aca="false">IF(_PENDIENTES!$B$783&lt;&gt;"",_PENDIENTES!$G$783,"")</f>
        <v/>
      </c>
      <c r="H789" s="44" t="str">
        <f aca="false">IF(_PENDIENTES!$B$783&lt;&gt;"",_PENDIENTES!$H$783,"")</f>
        <v/>
      </c>
      <c r="I789" s="110" t="str">
        <f aca="false">IF(_PENDIENTES!$B$783&lt;&gt;"",_PENDIENTES!$I$783,"")</f>
        <v/>
      </c>
      <c r="J789" s="46" t="str">
        <f aca="false">IF(_PENDIENTES!$B$783&lt;&gt;"",_PENDIENTES!$J$783,"")</f>
        <v/>
      </c>
      <c r="K789" s="46" t="str">
        <f aca="false">IF(_PENDIENTES!$B$783&lt;&gt;"","POR RECOGER","")</f>
        <v/>
      </c>
      <c r="L789" s="46" t="str">
        <f aca="false">IF(_PENDIENTES!$B$783&lt;&gt;"",_PENDIENTES!$K$783,"")</f>
        <v/>
      </c>
      <c r="M789" s="89" t="str">
        <f aca="false">IF(_PENDIENTES!$B$783&lt;&gt;"",_PENDIENTES!$B$783,"")</f>
        <v/>
      </c>
      <c r="N789" s="109" t="str">
        <f aca="false">IF(_PENDIENTES!$B$783&lt;&gt;"",_PENDIENTES!$L$783,"")</f>
        <v/>
      </c>
      <c r="O789" s="89"/>
      <c r="P789" s="89"/>
      <c r="Q789" s="89"/>
      <c r="R789" s="89"/>
      <c r="S789" s="89"/>
    </row>
    <row r="790" customFormat="false" ht="15.75" hidden="true" customHeight="true" outlineLevel="0" collapsed="false">
      <c r="A790" s="106" t="str">
        <f aca="false">IF(_PENDIENTES!$B$784&lt;&gt;"",783,"")</f>
        <v/>
      </c>
      <c r="B790" s="47" t="str">
        <f aca="false">IF(_PENDIENTES!$B$784&lt;&gt;"",_PENDIENTES!$A$784,"")</f>
        <v/>
      </c>
      <c r="C790" s="107" t="str">
        <f aca="false">IF(_PENDIENTES!$B$784&lt;&gt;"",_PENDIENTES!$C$784,"")</f>
        <v/>
      </c>
      <c r="D790" s="106" t="str">
        <f aca="false">IF(_PENDIENTES!$B$784&lt;&gt;"",_PENDIENTES!$D$784,"")</f>
        <v/>
      </c>
      <c r="E790" s="111" t="str">
        <f aca="false">IF(_PENDIENTES!$B$784&lt;&gt;"",_PENDIENTES!$E$784,"")</f>
        <v/>
      </c>
      <c r="F790" s="106" t="str">
        <f aca="false">IF(_PENDIENTES!$B$784&lt;&gt;"",_PENDIENTES!$F$784,"")</f>
        <v/>
      </c>
      <c r="G790" s="50" t="str">
        <f aca="false">IF(_PENDIENTES!$B$784&lt;&gt;"",_PENDIENTES!$G$784,"")</f>
        <v/>
      </c>
      <c r="H790" s="50" t="str">
        <f aca="false">IF(_PENDIENTES!$B$784&lt;&gt;"",_PENDIENTES!$H$784,"")</f>
        <v/>
      </c>
      <c r="I790" s="107" t="str">
        <f aca="false">IF(_PENDIENTES!$B$784&lt;&gt;"",_PENDIENTES!$I$784,"")</f>
        <v/>
      </c>
      <c r="J790" s="106" t="str">
        <f aca="false">IF(_PENDIENTES!$B$784&lt;&gt;"",_PENDIENTES!$J$784,"")</f>
        <v/>
      </c>
      <c r="K790" s="106" t="str">
        <f aca="false">IF(_PENDIENTES!$B$784&lt;&gt;"","POR RECOGER","")</f>
        <v/>
      </c>
      <c r="L790" s="106" t="str">
        <f aca="false">IF(_PENDIENTES!$B$784&lt;&gt;"",_PENDIENTES!$K$784,"")</f>
        <v/>
      </c>
      <c r="M790" s="89" t="str">
        <f aca="false">IF(_PENDIENTES!$B$784&lt;&gt;"",_PENDIENTES!$B$784,"")</f>
        <v/>
      </c>
      <c r="N790" s="109" t="str">
        <f aca="false">IF(_PENDIENTES!$B$784&lt;&gt;"",_PENDIENTES!$L$784,"")</f>
        <v/>
      </c>
      <c r="O790" s="89"/>
      <c r="P790" s="89"/>
      <c r="Q790" s="89"/>
      <c r="R790" s="89"/>
      <c r="S790" s="89"/>
    </row>
    <row r="791" customFormat="false" ht="15.75" hidden="true" customHeight="true" outlineLevel="0" collapsed="false">
      <c r="A791" s="46" t="str">
        <f aca="false">IF(_PENDIENTES!$B$785&lt;&gt;"",784,"")</f>
        <v/>
      </c>
      <c r="B791" s="41" t="str">
        <f aca="false">IF(_PENDIENTES!$B$785&lt;&gt;"",_PENDIENTES!$A$785,"")</f>
        <v/>
      </c>
      <c r="C791" s="110" t="str">
        <f aca="false">IF(_PENDIENTES!$B$785&lt;&gt;"",_PENDIENTES!$C$785,"")</f>
        <v/>
      </c>
      <c r="D791" s="46" t="str">
        <f aca="false">IF(_PENDIENTES!$B$785&lt;&gt;"",_PENDIENTES!$D$785,"")</f>
        <v/>
      </c>
      <c r="E791" s="46" t="str">
        <f aca="false">IF(_PENDIENTES!$B$785&lt;&gt;"",_PENDIENTES!$E$785,"")</f>
        <v/>
      </c>
      <c r="F791" s="46" t="str">
        <f aca="false">IF(_PENDIENTES!$B$785&lt;&gt;"",_PENDIENTES!$F$785,"")</f>
        <v/>
      </c>
      <c r="G791" s="44" t="str">
        <f aca="false">IF(_PENDIENTES!$B$785&lt;&gt;"",_PENDIENTES!$G$785,"")</f>
        <v/>
      </c>
      <c r="H791" s="44" t="str">
        <f aca="false">IF(_PENDIENTES!$B$785&lt;&gt;"",_PENDIENTES!$H$785,"")</f>
        <v/>
      </c>
      <c r="I791" s="110" t="str">
        <f aca="false">IF(_PENDIENTES!$B$785&lt;&gt;"",_PENDIENTES!$I$785,"")</f>
        <v/>
      </c>
      <c r="J791" s="46" t="str">
        <f aca="false">IF(_PENDIENTES!$B$785&lt;&gt;"",_PENDIENTES!$J$785,"")</f>
        <v/>
      </c>
      <c r="K791" s="46" t="str">
        <f aca="false">IF(_PENDIENTES!$B$785&lt;&gt;"","POR RECOGER","")</f>
        <v/>
      </c>
      <c r="L791" s="46" t="str">
        <f aca="false">IF(_PENDIENTES!$B$785&lt;&gt;"",_PENDIENTES!$K$785,"")</f>
        <v/>
      </c>
      <c r="M791" s="89" t="str">
        <f aca="false">IF(_PENDIENTES!$B$785&lt;&gt;"",_PENDIENTES!$B$785,"")</f>
        <v/>
      </c>
      <c r="N791" s="109" t="str">
        <f aca="false">IF(_PENDIENTES!$B$785&lt;&gt;"",_PENDIENTES!$L$785,"")</f>
        <v/>
      </c>
      <c r="O791" s="89"/>
      <c r="P791" s="89"/>
      <c r="Q791" s="89"/>
      <c r="R791" s="89"/>
      <c r="S791" s="89"/>
    </row>
    <row r="792" customFormat="false" ht="15.75" hidden="true" customHeight="true" outlineLevel="0" collapsed="false">
      <c r="A792" s="106" t="str">
        <f aca="false">IF(_PENDIENTES!$B$786&lt;&gt;"",785,"")</f>
        <v/>
      </c>
      <c r="B792" s="47" t="str">
        <f aca="false">IF(_PENDIENTES!$B$786&lt;&gt;"",_PENDIENTES!$A$786,"")</f>
        <v/>
      </c>
      <c r="C792" s="107" t="str">
        <f aca="false">IF(_PENDIENTES!$B$786&lt;&gt;"",_PENDIENTES!$C$786,"")</f>
        <v/>
      </c>
      <c r="D792" s="106" t="str">
        <f aca="false">IF(_PENDIENTES!$B$786&lt;&gt;"",_PENDIENTES!$D$786,"")</f>
        <v/>
      </c>
      <c r="E792" s="111" t="str">
        <f aca="false">IF(_PENDIENTES!$B$786&lt;&gt;"",_PENDIENTES!$E$786,"")</f>
        <v/>
      </c>
      <c r="F792" s="106" t="str">
        <f aca="false">IF(_PENDIENTES!$B$786&lt;&gt;"",_PENDIENTES!$F$786,"")</f>
        <v/>
      </c>
      <c r="G792" s="50" t="str">
        <f aca="false">IF(_PENDIENTES!$B$786&lt;&gt;"",_PENDIENTES!$G$786,"")</f>
        <v/>
      </c>
      <c r="H792" s="50" t="str">
        <f aca="false">IF(_PENDIENTES!$B$786&lt;&gt;"",_PENDIENTES!$H$786,"")</f>
        <v/>
      </c>
      <c r="I792" s="107" t="str">
        <f aca="false">IF(_PENDIENTES!$B$786&lt;&gt;"",_PENDIENTES!$I$786,"")</f>
        <v/>
      </c>
      <c r="J792" s="106" t="str">
        <f aca="false">IF(_PENDIENTES!$B$786&lt;&gt;"",_PENDIENTES!$J$786,"")</f>
        <v/>
      </c>
      <c r="K792" s="106" t="str">
        <f aca="false">IF(_PENDIENTES!$B$786&lt;&gt;"","POR RECOGER","")</f>
        <v/>
      </c>
      <c r="L792" s="106" t="str">
        <f aca="false">IF(_PENDIENTES!$B$786&lt;&gt;"",_PENDIENTES!$K$786,"")</f>
        <v/>
      </c>
      <c r="M792" s="89" t="str">
        <f aca="false">IF(_PENDIENTES!$B$786&lt;&gt;"",_PENDIENTES!$B$786,"")</f>
        <v/>
      </c>
      <c r="N792" s="109" t="str">
        <f aca="false">IF(_PENDIENTES!$B$786&lt;&gt;"",_PENDIENTES!$L$786,"")</f>
        <v/>
      </c>
      <c r="O792" s="89"/>
      <c r="P792" s="89"/>
      <c r="Q792" s="89"/>
      <c r="R792" s="89"/>
      <c r="S792" s="89"/>
    </row>
    <row r="793" customFormat="false" ht="15.75" hidden="true" customHeight="true" outlineLevel="0" collapsed="false">
      <c r="A793" s="46" t="str">
        <f aca="false">IF(_PENDIENTES!$B$787&lt;&gt;"",786,"")</f>
        <v/>
      </c>
      <c r="B793" s="41" t="str">
        <f aca="false">IF(_PENDIENTES!$B$787&lt;&gt;"",_PENDIENTES!$A$787,"")</f>
        <v/>
      </c>
      <c r="C793" s="110" t="str">
        <f aca="false">IF(_PENDIENTES!$B$787&lt;&gt;"",_PENDIENTES!$C$787,"")</f>
        <v/>
      </c>
      <c r="D793" s="46" t="str">
        <f aca="false">IF(_PENDIENTES!$B$787&lt;&gt;"",_PENDIENTES!$D$787,"")</f>
        <v/>
      </c>
      <c r="E793" s="112" t="str">
        <f aca="false">IF(_PENDIENTES!$B$787&lt;&gt;"",_PENDIENTES!$E$787,"")</f>
        <v/>
      </c>
      <c r="F793" s="46" t="str">
        <f aca="false">IF(_PENDIENTES!$B$787&lt;&gt;"",_PENDIENTES!$F$787,"")</f>
        <v/>
      </c>
      <c r="G793" s="44" t="str">
        <f aca="false">IF(_PENDIENTES!$B$787&lt;&gt;"",_PENDIENTES!$G$787,"")</f>
        <v/>
      </c>
      <c r="H793" s="44" t="str">
        <f aca="false">IF(_PENDIENTES!$B$787&lt;&gt;"",_PENDIENTES!$H$787,"")</f>
        <v/>
      </c>
      <c r="I793" s="110" t="str">
        <f aca="false">IF(_PENDIENTES!$B$787&lt;&gt;"",_PENDIENTES!$I$787,"")</f>
        <v/>
      </c>
      <c r="J793" s="46" t="str">
        <f aca="false">IF(_PENDIENTES!$B$787&lt;&gt;"",_PENDIENTES!$J$787,"")</f>
        <v/>
      </c>
      <c r="K793" s="46" t="str">
        <f aca="false">IF(_PENDIENTES!$B$787&lt;&gt;"","POR RECOGER","")</f>
        <v/>
      </c>
      <c r="L793" s="46" t="str">
        <f aca="false">IF(_PENDIENTES!$B$787&lt;&gt;"",_PENDIENTES!$K$787,"")</f>
        <v/>
      </c>
      <c r="M793" s="89" t="str">
        <f aca="false">IF(_PENDIENTES!$B$787&lt;&gt;"",_PENDIENTES!$B$787,"")</f>
        <v/>
      </c>
      <c r="N793" s="109" t="str">
        <f aca="false">IF(_PENDIENTES!$B$787&lt;&gt;"",_PENDIENTES!$L$787,"")</f>
        <v/>
      </c>
      <c r="O793" s="89"/>
      <c r="P793" s="89"/>
      <c r="Q793" s="89"/>
      <c r="R793" s="89"/>
      <c r="S793" s="89"/>
    </row>
    <row r="794" customFormat="false" ht="15.75" hidden="true" customHeight="true" outlineLevel="0" collapsed="false">
      <c r="A794" s="106" t="str">
        <f aca="false">IF(_PENDIENTES!$B$788&lt;&gt;"",787,"")</f>
        <v/>
      </c>
      <c r="B794" s="47" t="str">
        <f aca="false">IF(_PENDIENTES!$B$788&lt;&gt;"",_PENDIENTES!$A$788,"")</f>
        <v/>
      </c>
      <c r="C794" s="107" t="str">
        <f aca="false">IF(_PENDIENTES!$B$788&lt;&gt;"",_PENDIENTES!$C$788,"")</f>
        <v/>
      </c>
      <c r="D794" s="106" t="str">
        <f aca="false">IF(_PENDIENTES!$B$788&lt;&gt;"",_PENDIENTES!$D$788,"")</f>
        <v/>
      </c>
      <c r="E794" s="111" t="str">
        <f aca="false">IF(_PENDIENTES!$B$788&lt;&gt;"",_PENDIENTES!$E$788,"")</f>
        <v/>
      </c>
      <c r="F794" s="106" t="str">
        <f aca="false">IF(_PENDIENTES!$B$788&lt;&gt;"",_PENDIENTES!$F$788,"")</f>
        <v/>
      </c>
      <c r="G794" s="50" t="str">
        <f aca="false">IF(_PENDIENTES!$B$788&lt;&gt;"",_PENDIENTES!$G$788,"")</f>
        <v/>
      </c>
      <c r="H794" s="50" t="str">
        <f aca="false">IF(_PENDIENTES!$B$788&lt;&gt;"",_PENDIENTES!$H$788,"")</f>
        <v/>
      </c>
      <c r="I794" s="107" t="str">
        <f aca="false">IF(_PENDIENTES!$B$788&lt;&gt;"",_PENDIENTES!$I$788,"")</f>
        <v/>
      </c>
      <c r="J794" s="106" t="str">
        <f aca="false">IF(_PENDIENTES!$B$788&lt;&gt;"",_PENDIENTES!$J$788,"")</f>
        <v/>
      </c>
      <c r="K794" s="106" t="str">
        <f aca="false">IF(_PENDIENTES!$B$788&lt;&gt;"","POR RECOGER","")</f>
        <v/>
      </c>
      <c r="L794" s="106" t="str">
        <f aca="false">IF(_PENDIENTES!$B$788&lt;&gt;"",_PENDIENTES!$K$788,"")</f>
        <v/>
      </c>
      <c r="M794" s="89" t="str">
        <f aca="false">IF(_PENDIENTES!$B$788&lt;&gt;"",_PENDIENTES!$B$788,"")</f>
        <v/>
      </c>
      <c r="N794" s="109" t="str">
        <f aca="false">IF(_PENDIENTES!$B$788&lt;&gt;"",_PENDIENTES!$L$788,"")</f>
        <v/>
      </c>
      <c r="O794" s="89"/>
      <c r="P794" s="89"/>
      <c r="Q794" s="89"/>
      <c r="R794" s="89"/>
      <c r="S794" s="89"/>
    </row>
    <row r="795" customFormat="false" ht="15.75" hidden="true" customHeight="true" outlineLevel="0" collapsed="false">
      <c r="A795" s="46" t="str">
        <f aca="false">IF(_PENDIENTES!$B$789&lt;&gt;"",788,"")</f>
        <v/>
      </c>
      <c r="B795" s="41" t="str">
        <f aca="false">IF(_PENDIENTES!$B$789&lt;&gt;"",_PENDIENTES!$A$789,"")</f>
        <v/>
      </c>
      <c r="C795" s="110" t="str">
        <f aca="false">IF(_PENDIENTES!$B$789&lt;&gt;"",_PENDIENTES!$C$789,"")</f>
        <v/>
      </c>
      <c r="D795" s="46" t="str">
        <f aca="false">IF(_PENDIENTES!$B$789&lt;&gt;"",_PENDIENTES!$D$789,"")</f>
        <v/>
      </c>
      <c r="E795" s="112" t="str">
        <f aca="false">IF(_PENDIENTES!$B$789&lt;&gt;"",_PENDIENTES!$E$789,"")</f>
        <v/>
      </c>
      <c r="F795" s="46" t="str">
        <f aca="false">IF(_PENDIENTES!$B$789&lt;&gt;"",_PENDIENTES!$F$789,"")</f>
        <v/>
      </c>
      <c r="G795" s="44" t="str">
        <f aca="false">IF(_PENDIENTES!$B$789&lt;&gt;"",_PENDIENTES!$G$789,"")</f>
        <v/>
      </c>
      <c r="H795" s="44" t="str">
        <f aca="false">IF(_PENDIENTES!$B$789&lt;&gt;"",_PENDIENTES!$H$789,"")</f>
        <v/>
      </c>
      <c r="I795" s="110" t="str">
        <f aca="false">IF(_PENDIENTES!$B$789&lt;&gt;"",_PENDIENTES!$I$789,"")</f>
        <v/>
      </c>
      <c r="J795" s="46" t="str">
        <f aca="false">IF(_PENDIENTES!$B$789&lt;&gt;"",_PENDIENTES!$J$789,"")</f>
        <v/>
      </c>
      <c r="K795" s="46" t="str">
        <f aca="false">IF(_PENDIENTES!$B$789&lt;&gt;"","POR RECOGER","")</f>
        <v/>
      </c>
      <c r="L795" s="46" t="str">
        <f aca="false">IF(_PENDIENTES!$B$789&lt;&gt;"",_PENDIENTES!$K$789,"")</f>
        <v/>
      </c>
      <c r="M795" s="89" t="str">
        <f aca="false">IF(_PENDIENTES!$B$789&lt;&gt;"",_PENDIENTES!$B$789,"")</f>
        <v/>
      </c>
      <c r="N795" s="109" t="str">
        <f aca="false">IF(_PENDIENTES!$B$789&lt;&gt;"",_PENDIENTES!$L$789,"")</f>
        <v/>
      </c>
      <c r="O795" s="89"/>
      <c r="P795" s="89"/>
      <c r="Q795" s="89"/>
      <c r="R795" s="89"/>
      <c r="S795" s="89"/>
    </row>
    <row r="796" customFormat="false" ht="15.75" hidden="true" customHeight="true" outlineLevel="0" collapsed="false">
      <c r="A796" s="106" t="str">
        <f aca="false">IF(_PENDIENTES!$B$790&lt;&gt;"",789,"")</f>
        <v/>
      </c>
      <c r="B796" s="47" t="str">
        <f aca="false">IF(_PENDIENTES!$B$790&lt;&gt;"",_PENDIENTES!$A$790,"")</f>
        <v/>
      </c>
      <c r="C796" s="107" t="str">
        <f aca="false">IF(_PENDIENTES!$B$790&lt;&gt;"",_PENDIENTES!$C$790,"")</f>
        <v/>
      </c>
      <c r="D796" s="106" t="str">
        <f aca="false">IF(_PENDIENTES!$B$790&lt;&gt;"",_PENDIENTES!$D$790,"")</f>
        <v/>
      </c>
      <c r="E796" s="111" t="str">
        <f aca="false">IF(_PENDIENTES!$B$790&lt;&gt;"",_PENDIENTES!$E$790,"")</f>
        <v/>
      </c>
      <c r="F796" s="106" t="str">
        <f aca="false">IF(_PENDIENTES!$B$790&lt;&gt;"",_PENDIENTES!$F$790,"")</f>
        <v/>
      </c>
      <c r="G796" s="50" t="str">
        <f aca="false">IF(_PENDIENTES!$B$790&lt;&gt;"",_PENDIENTES!$G$790,"")</f>
        <v/>
      </c>
      <c r="H796" s="50" t="str">
        <f aca="false">IF(_PENDIENTES!$B$790&lt;&gt;"",_PENDIENTES!$H$790,"")</f>
        <v/>
      </c>
      <c r="I796" s="107" t="str">
        <f aca="false">IF(_PENDIENTES!$B$790&lt;&gt;"",_PENDIENTES!$I$790,"")</f>
        <v/>
      </c>
      <c r="J796" s="106" t="str">
        <f aca="false">IF(_PENDIENTES!$B$790&lt;&gt;"",_PENDIENTES!$J$790,"")</f>
        <v/>
      </c>
      <c r="K796" s="106" t="str">
        <f aca="false">IF(_PENDIENTES!$B$790&lt;&gt;"","POR RECOGER","")</f>
        <v/>
      </c>
      <c r="L796" s="106" t="str">
        <f aca="false">IF(_PENDIENTES!$B$790&lt;&gt;"",_PENDIENTES!$K$790,"")</f>
        <v/>
      </c>
      <c r="M796" s="89" t="str">
        <f aca="false">IF(_PENDIENTES!$B$790&lt;&gt;"",_PENDIENTES!$B$790,"")</f>
        <v/>
      </c>
      <c r="N796" s="109" t="str">
        <f aca="false">IF(_PENDIENTES!$B$790&lt;&gt;"",_PENDIENTES!$L$790,"")</f>
        <v/>
      </c>
      <c r="O796" s="89"/>
      <c r="P796" s="89"/>
      <c r="Q796" s="89"/>
      <c r="R796" s="89"/>
      <c r="S796" s="89"/>
    </row>
    <row r="797" customFormat="false" ht="15.75" hidden="true" customHeight="true" outlineLevel="0" collapsed="false">
      <c r="A797" s="46" t="str">
        <f aca="false">IF(_PENDIENTES!$B$791&lt;&gt;"",790,"")</f>
        <v/>
      </c>
      <c r="B797" s="41" t="str">
        <f aca="false">IF(_PENDIENTES!$B$791&lt;&gt;"",_PENDIENTES!$A$791,"")</f>
        <v/>
      </c>
      <c r="C797" s="110" t="str">
        <f aca="false">IF(_PENDIENTES!$B$791&lt;&gt;"",_PENDIENTES!$C$791,"")</f>
        <v/>
      </c>
      <c r="D797" s="46" t="str">
        <f aca="false">IF(_PENDIENTES!$B$791&lt;&gt;"",_PENDIENTES!$D$791,"")</f>
        <v/>
      </c>
      <c r="E797" s="112" t="str">
        <f aca="false">IF(_PENDIENTES!$B$791&lt;&gt;"",_PENDIENTES!$E$791,"")</f>
        <v/>
      </c>
      <c r="F797" s="46" t="str">
        <f aca="false">IF(_PENDIENTES!$B$791&lt;&gt;"",_PENDIENTES!$F$791,"")</f>
        <v/>
      </c>
      <c r="G797" s="44" t="str">
        <f aca="false">IF(_PENDIENTES!$B$791&lt;&gt;"",_PENDIENTES!$G$791,"")</f>
        <v/>
      </c>
      <c r="H797" s="44" t="str">
        <f aca="false">IF(_PENDIENTES!$B$791&lt;&gt;"",_PENDIENTES!$H$791,"")</f>
        <v/>
      </c>
      <c r="I797" s="110" t="str">
        <f aca="false">IF(_PENDIENTES!$B$791&lt;&gt;"",_PENDIENTES!$I$791,"")</f>
        <v/>
      </c>
      <c r="J797" s="46" t="str">
        <f aca="false">IF(_PENDIENTES!$B$791&lt;&gt;"",_PENDIENTES!$J$791,"")</f>
        <v/>
      </c>
      <c r="K797" s="46" t="str">
        <f aca="false">IF(_PENDIENTES!$B$791&lt;&gt;"","POR RECOGER","")</f>
        <v/>
      </c>
      <c r="L797" s="46" t="str">
        <f aca="false">IF(_PENDIENTES!$B$791&lt;&gt;"",_PENDIENTES!$K$791,"")</f>
        <v/>
      </c>
      <c r="M797" s="89" t="str">
        <f aca="false">IF(_PENDIENTES!$B$791&lt;&gt;"",_PENDIENTES!$B$791,"")</f>
        <v/>
      </c>
      <c r="N797" s="109" t="str">
        <f aca="false">IF(_PENDIENTES!$B$791&lt;&gt;"",_PENDIENTES!$L$791,"")</f>
        <v/>
      </c>
      <c r="O797" s="89"/>
      <c r="P797" s="89"/>
      <c r="Q797" s="89"/>
      <c r="R797" s="89"/>
      <c r="S797" s="89"/>
    </row>
    <row r="798" customFormat="false" ht="15.75" hidden="true" customHeight="true" outlineLevel="0" collapsed="false">
      <c r="A798" s="106" t="str">
        <f aca="false">IF(_PENDIENTES!$B$792&lt;&gt;"",791,"")</f>
        <v/>
      </c>
      <c r="B798" s="47" t="str">
        <f aca="false">IF(_PENDIENTES!$B$792&lt;&gt;"",_PENDIENTES!$A$792,"")</f>
        <v/>
      </c>
      <c r="C798" s="107" t="str">
        <f aca="false">IF(_PENDIENTES!$B$792&lt;&gt;"",_PENDIENTES!$C$792,"")</f>
        <v/>
      </c>
      <c r="D798" s="106" t="str">
        <f aca="false">IF(_PENDIENTES!$B$792&lt;&gt;"",_PENDIENTES!$D$792,"")</f>
        <v/>
      </c>
      <c r="E798" s="111" t="str">
        <f aca="false">IF(_PENDIENTES!$B$792&lt;&gt;"",_PENDIENTES!$E$792,"")</f>
        <v/>
      </c>
      <c r="F798" s="106" t="str">
        <f aca="false">IF(_PENDIENTES!$B$792&lt;&gt;"",_PENDIENTES!$F$792,"")</f>
        <v/>
      </c>
      <c r="G798" s="50" t="str">
        <f aca="false">IF(_PENDIENTES!$B$792&lt;&gt;"",_PENDIENTES!$G$792,"")</f>
        <v/>
      </c>
      <c r="H798" s="50" t="str">
        <f aca="false">IF(_PENDIENTES!$B$792&lt;&gt;"",_PENDIENTES!$H$792,"")</f>
        <v/>
      </c>
      <c r="I798" s="107" t="str">
        <f aca="false">IF(_PENDIENTES!$B$792&lt;&gt;"",_PENDIENTES!$I$792,"")</f>
        <v/>
      </c>
      <c r="J798" s="106" t="str">
        <f aca="false">IF(_PENDIENTES!$B$792&lt;&gt;"",_PENDIENTES!$J$792,"")</f>
        <v/>
      </c>
      <c r="K798" s="106" t="str">
        <f aca="false">IF(_PENDIENTES!$B$792&lt;&gt;"","POR RECOGER","")</f>
        <v/>
      </c>
      <c r="L798" s="106" t="str">
        <f aca="false">IF(_PENDIENTES!$B$792&lt;&gt;"",_PENDIENTES!$K$792,"")</f>
        <v/>
      </c>
      <c r="M798" s="89" t="str">
        <f aca="false">IF(_PENDIENTES!$B$792&lt;&gt;"",_PENDIENTES!$B$792,"")</f>
        <v/>
      </c>
      <c r="N798" s="109" t="str">
        <f aca="false">IF(_PENDIENTES!$B$792&lt;&gt;"",_PENDIENTES!$L$792,"")</f>
        <v/>
      </c>
      <c r="O798" s="89"/>
      <c r="P798" s="89"/>
      <c r="Q798" s="89"/>
      <c r="R798" s="89"/>
      <c r="S798" s="89"/>
    </row>
    <row r="799" customFormat="false" ht="15.75" hidden="true" customHeight="true" outlineLevel="0" collapsed="false">
      <c r="A799" s="46" t="str">
        <f aca="false">IF(_PENDIENTES!$B$793&lt;&gt;"",792,"")</f>
        <v/>
      </c>
      <c r="B799" s="41" t="str">
        <f aca="false">IF(_PENDIENTES!$B$793&lt;&gt;"",_PENDIENTES!$A$793,"")</f>
        <v/>
      </c>
      <c r="C799" s="110" t="str">
        <f aca="false">IF(_PENDIENTES!$B$793&lt;&gt;"",_PENDIENTES!$C$793,"")</f>
        <v/>
      </c>
      <c r="D799" s="46" t="str">
        <f aca="false">IF(_PENDIENTES!$B$793&lt;&gt;"",_PENDIENTES!$D$793,"")</f>
        <v/>
      </c>
      <c r="E799" s="112" t="str">
        <f aca="false">IF(_PENDIENTES!$B$793&lt;&gt;"",_PENDIENTES!$E$793,"")</f>
        <v/>
      </c>
      <c r="F799" s="46" t="str">
        <f aca="false">IF(_PENDIENTES!$B$793&lt;&gt;"",_PENDIENTES!$F$793,"")</f>
        <v/>
      </c>
      <c r="G799" s="44" t="str">
        <f aca="false">IF(_PENDIENTES!$B$793&lt;&gt;"",_PENDIENTES!$G$793,"")</f>
        <v/>
      </c>
      <c r="H799" s="44" t="str">
        <f aca="false">IF(_PENDIENTES!$B$793&lt;&gt;"",_PENDIENTES!$H$793,"")</f>
        <v/>
      </c>
      <c r="I799" s="110" t="str">
        <f aca="false">IF(_PENDIENTES!$B$793&lt;&gt;"",_PENDIENTES!$I$793,"")</f>
        <v/>
      </c>
      <c r="J799" s="46" t="str">
        <f aca="false">IF(_PENDIENTES!$B$793&lt;&gt;"",_PENDIENTES!$J$793,"")</f>
        <v/>
      </c>
      <c r="K799" s="46" t="str">
        <f aca="false">IF(_PENDIENTES!$B$793&lt;&gt;"","POR RECOGER","")</f>
        <v/>
      </c>
      <c r="L799" s="46" t="str">
        <f aca="false">IF(_PENDIENTES!$B$793&lt;&gt;"",_PENDIENTES!$K$793,"")</f>
        <v/>
      </c>
      <c r="M799" s="89" t="str">
        <f aca="false">IF(_PENDIENTES!$B$793&lt;&gt;"",_PENDIENTES!$B$793,"")</f>
        <v/>
      </c>
      <c r="N799" s="109" t="str">
        <f aca="false">IF(_PENDIENTES!$B$793&lt;&gt;"",_PENDIENTES!$L$793,"")</f>
        <v/>
      </c>
      <c r="O799" s="89"/>
      <c r="P799" s="89"/>
      <c r="Q799" s="89"/>
      <c r="R799" s="89"/>
      <c r="S799" s="89"/>
    </row>
    <row r="800" customFormat="false" ht="15.75" hidden="true" customHeight="true" outlineLevel="0" collapsed="false">
      <c r="A800" s="106" t="str">
        <f aca="false">IF(_PENDIENTES!$B$794&lt;&gt;"",793,"")</f>
        <v/>
      </c>
      <c r="B800" s="47" t="str">
        <f aca="false">IF(_PENDIENTES!$B$794&lt;&gt;"",_PENDIENTES!$A$794,"")</f>
        <v/>
      </c>
      <c r="C800" s="107" t="str">
        <f aca="false">IF(_PENDIENTES!$B$794&lt;&gt;"",_PENDIENTES!$C$794,"")</f>
        <v/>
      </c>
      <c r="D800" s="106" t="str">
        <f aca="false">IF(_PENDIENTES!$B$794&lt;&gt;"",_PENDIENTES!$D$794,"")</f>
        <v/>
      </c>
      <c r="E800" s="111" t="str">
        <f aca="false">IF(_PENDIENTES!$B$794&lt;&gt;"",_PENDIENTES!$E$794,"")</f>
        <v/>
      </c>
      <c r="F800" s="106" t="str">
        <f aca="false">IF(_PENDIENTES!$B$794&lt;&gt;"",_PENDIENTES!$F$794,"")</f>
        <v/>
      </c>
      <c r="G800" s="50" t="str">
        <f aca="false">IF(_PENDIENTES!$B$794&lt;&gt;"",_PENDIENTES!$G$794,"")</f>
        <v/>
      </c>
      <c r="H800" s="50" t="str">
        <f aca="false">IF(_PENDIENTES!$B$794&lt;&gt;"",_PENDIENTES!$H$794,"")</f>
        <v/>
      </c>
      <c r="I800" s="107" t="str">
        <f aca="false">IF(_PENDIENTES!$B$794&lt;&gt;"",_PENDIENTES!$I$794,"")</f>
        <v/>
      </c>
      <c r="J800" s="106" t="str">
        <f aca="false">IF(_PENDIENTES!$B$794&lt;&gt;"",_PENDIENTES!$J$794,"")</f>
        <v/>
      </c>
      <c r="K800" s="106" t="str">
        <f aca="false">IF(_PENDIENTES!$B$794&lt;&gt;"","POR RECOGER","")</f>
        <v/>
      </c>
      <c r="L800" s="106" t="str">
        <f aca="false">IF(_PENDIENTES!$B$794&lt;&gt;"",_PENDIENTES!$K$794,"")</f>
        <v/>
      </c>
      <c r="M800" s="89" t="str">
        <f aca="false">IF(_PENDIENTES!$B$794&lt;&gt;"",_PENDIENTES!$B$794,"")</f>
        <v/>
      </c>
      <c r="N800" s="109" t="str">
        <f aca="false">IF(_PENDIENTES!$B$794&lt;&gt;"",_PENDIENTES!$L$794,"")</f>
        <v/>
      </c>
      <c r="O800" s="89"/>
      <c r="P800" s="89"/>
      <c r="Q800" s="89"/>
      <c r="R800" s="89"/>
      <c r="S800" s="89"/>
    </row>
    <row r="801" customFormat="false" ht="15.75" hidden="true" customHeight="true" outlineLevel="0" collapsed="false">
      <c r="A801" s="46" t="str">
        <f aca="false">IF(_PENDIENTES!$B$795&lt;&gt;"",794,"")</f>
        <v/>
      </c>
      <c r="B801" s="41" t="str">
        <f aca="false">IF(_PENDIENTES!$B$795&lt;&gt;"",_PENDIENTES!$A$795,"")</f>
        <v/>
      </c>
      <c r="C801" s="110" t="str">
        <f aca="false">IF(_PENDIENTES!$B$795&lt;&gt;"",_PENDIENTES!$C$795,"")</f>
        <v/>
      </c>
      <c r="D801" s="46" t="str">
        <f aca="false">IF(_PENDIENTES!$B$795&lt;&gt;"",_PENDIENTES!$D$795,"")</f>
        <v/>
      </c>
      <c r="E801" s="112" t="str">
        <f aca="false">IF(_PENDIENTES!$B$795&lt;&gt;"",_PENDIENTES!$E$795,"")</f>
        <v/>
      </c>
      <c r="F801" s="46" t="str">
        <f aca="false">IF(_PENDIENTES!$B$795&lt;&gt;"",_PENDIENTES!$F$795,"")</f>
        <v/>
      </c>
      <c r="G801" s="44" t="str">
        <f aca="false">IF(_PENDIENTES!$B$795&lt;&gt;"",_PENDIENTES!$G$795,"")</f>
        <v/>
      </c>
      <c r="H801" s="44" t="str">
        <f aca="false">IF(_PENDIENTES!$B$795&lt;&gt;"",_PENDIENTES!$H$795,"")</f>
        <v/>
      </c>
      <c r="I801" s="110" t="str">
        <f aca="false">IF(_PENDIENTES!$B$795&lt;&gt;"",_PENDIENTES!$I$795,"")</f>
        <v/>
      </c>
      <c r="J801" s="46" t="str">
        <f aca="false">IF(_PENDIENTES!$B$795&lt;&gt;"",_PENDIENTES!$J$795,"")</f>
        <v/>
      </c>
      <c r="K801" s="46" t="str">
        <f aca="false">IF(_PENDIENTES!$B$795&lt;&gt;"","POR RECOGER","")</f>
        <v/>
      </c>
      <c r="L801" s="46" t="str">
        <f aca="false">IF(_PENDIENTES!$B$795&lt;&gt;"",_PENDIENTES!$K$795,"")</f>
        <v/>
      </c>
      <c r="M801" s="89" t="str">
        <f aca="false">IF(_PENDIENTES!$B$795&lt;&gt;"",_PENDIENTES!$B$795,"")</f>
        <v/>
      </c>
      <c r="N801" s="109" t="str">
        <f aca="false">IF(_PENDIENTES!$B$795&lt;&gt;"",_PENDIENTES!$L$795,"")</f>
        <v/>
      </c>
      <c r="O801" s="89"/>
      <c r="P801" s="89"/>
      <c r="Q801" s="89"/>
      <c r="R801" s="89"/>
      <c r="S801" s="89"/>
    </row>
    <row r="802" customFormat="false" ht="15.75" hidden="true" customHeight="true" outlineLevel="0" collapsed="false">
      <c r="A802" s="106" t="str">
        <f aca="false">IF(_PENDIENTES!$B$796&lt;&gt;"",795,"")</f>
        <v/>
      </c>
      <c r="B802" s="47" t="str">
        <f aca="false">IF(_PENDIENTES!$B$796&lt;&gt;"",_PENDIENTES!$A$796,"")</f>
        <v/>
      </c>
      <c r="C802" s="107" t="str">
        <f aca="false">IF(_PENDIENTES!$B$796&lt;&gt;"",_PENDIENTES!$C$796,"")</f>
        <v/>
      </c>
      <c r="D802" s="106" t="str">
        <f aca="false">IF(_PENDIENTES!$B$796&lt;&gt;"",_PENDIENTES!$D$796,"")</f>
        <v/>
      </c>
      <c r="E802" s="111" t="str">
        <f aca="false">IF(_PENDIENTES!$B$796&lt;&gt;"",_PENDIENTES!$E$796,"")</f>
        <v/>
      </c>
      <c r="F802" s="106" t="str">
        <f aca="false">IF(_PENDIENTES!$B$796&lt;&gt;"",_PENDIENTES!$F$796,"")</f>
        <v/>
      </c>
      <c r="G802" s="50" t="str">
        <f aca="false">IF(_PENDIENTES!$B$796&lt;&gt;"",_PENDIENTES!$G$796,"")</f>
        <v/>
      </c>
      <c r="H802" s="50" t="str">
        <f aca="false">IF(_PENDIENTES!$B$796&lt;&gt;"",_PENDIENTES!$H$796,"")</f>
        <v/>
      </c>
      <c r="I802" s="107" t="str">
        <f aca="false">IF(_PENDIENTES!$B$796&lt;&gt;"",_PENDIENTES!$I$796,"")</f>
        <v/>
      </c>
      <c r="J802" s="106" t="str">
        <f aca="false">IF(_PENDIENTES!$B$796&lt;&gt;"",_PENDIENTES!$J$796,"")</f>
        <v/>
      </c>
      <c r="K802" s="106" t="str">
        <f aca="false">IF(_PENDIENTES!$B$796&lt;&gt;"","POR RECOGER","")</f>
        <v/>
      </c>
      <c r="L802" s="106" t="str">
        <f aca="false">IF(_PENDIENTES!$B$796&lt;&gt;"",_PENDIENTES!$K$796,"")</f>
        <v/>
      </c>
      <c r="M802" s="89" t="str">
        <f aca="false">IF(_PENDIENTES!$B$796&lt;&gt;"",_PENDIENTES!$B$796,"")</f>
        <v/>
      </c>
      <c r="N802" s="109" t="str">
        <f aca="false">IF(_PENDIENTES!$B$796&lt;&gt;"",_PENDIENTES!$L$796,"")</f>
        <v/>
      </c>
      <c r="O802" s="89"/>
      <c r="P802" s="89"/>
      <c r="Q802" s="89"/>
      <c r="R802" s="89"/>
      <c r="S802" s="89"/>
    </row>
    <row r="803" customFormat="false" ht="15.75" hidden="true" customHeight="true" outlineLevel="0" collapsed="false">
      <c r="A803" s="46" t="str">
        <f aca="false">IF(_PENDIENTES!$B$797&lt;&gt;"",796,"")</f>
        <v/>
      </c>
      <c r="B803" s="41" t="str">
        <f aca="false">IF(_PENDIENTES!$B$797&lt;&gt;"",_PENDIENTES!$A$797,"")</f>
        <v/>
      </c>
      <c r="C803" s="110" t="str">
        <f aca="false">IF(_PENDIENTES!$B$797&lt;&gt;"",_PENDIENTES!$C$797,"")</f>
        <v/>
      </c>
      <c r="D803" s="46" t="str">
        <f aca="false">IF(_PENDIENTES!$B$797&lt;&gt;"",_PENDIENTES!$D$797,"")</f>
        <v/>
      </c>
      <c r="E803" s="112" t="str">
        <f aca="false">IF(_PENDIENTES!$B$797&lt;&gt;"",_PENDIENTES!$E$797,"")</f>
        <v/>
      </c>
      <c r="F803" s="46" t="str">
        <f aca="false">IF(_PENDIENTES!$B$797&lt;&gt;"",_PENDIENTES!$F$797,"")</f>
        <v/>
      </c>
      <c r="G803" s="44" t="str">
        <f aca="false">IF(_PENDIENTES!$B$797&lt;&gt;"",_PENDIENTES!$G$797,"")</f>
        <v/>
      </c>
      <c r="H803" s="44" t="str">
        <f aca="false">IF(_PENDIENTES!$B$797&lt;&gt;"",_PENDIENTES!$H$797,"")</f>
        <v/>
      </c>
      <c r="I803" s="110" t="str">
        <f aca="false">IF(_PENDIENTES!$B$797&lt;&gt;"",_PENDIENTES!$I$797,"")</f>
        <v/>
      </c>
      <c r="J803" s="46" t="str">
        <f aca="false">IF(_PENDIENTES!$B$797&lt;&gt;"",_PENDIENTES!$J$797,"")</f>
        <v/>
      </c>
      <c r="K803" s="46" t="str">
        <f aca="false">IF(_PENDIENTES!$B$797&lt;&gt;"","POR RECOGER","")</f>
        <v/>
      </c>
      <c r="L803" s="46" t="str">
        <f aca="false">IF(_PENDIENTES!$B$797&lt;&gt;"",_PENDIENTES!$K$797,"")</f>
        <v/>
      </c>
      <c r="M803" s="89" t="str">
        <f aca="false">IF(_PENDIENTES!$B$797&lt;&gt;"",_PENDIENTES!$B$797,"")</f>
        <v/>
      </c>
      <c r="N803" s="109" t="str">
        <f aca="false">IF(_PENDIENTES!$B$797&lt;&gt;"",_PENDIENTES!$L$797,"")</f>
        <v/>
      </c>
      <c r="O803" s="89"/>
      <c r="P803" s="89"/>
      <c r="Q803" s="89"/>
      <c r="R803" s="89"/>
      <c r="S803" s="89"/>
    </row>
    <row r="804" customFormat="false" ht="15.75" hidden="true" customHeight="true" outlineLevel="0" collapsed="false">
      <c r="A804" s="106" t="str">
        <f aca="false">IF(_PENDIENTES!$B$798&lt;&gt;"",797,"")</f>
        <v/>
      </c>
      <c r="B804" s="47" t="str">
        <f aca="false">IF(_PENDIENTES!$B$798&lt;&gt;"",_PENDIENTES!$A$798,"")</f>
        <v/>
      </c>
      <c r="C804" s="107" t="str">
        <f aca="false">IF(_PENDIENTES!$B$798&lt;&gt;"",_PENDIENTES!$C$798,"")</f>
        <v/>
      </c>
      <c r="D804" s="106" t="str">
        <f aca="false">IF(_PENDIENTES!$B$798&lt;&gt;"",_PENDIENTES!$D$798,"")</f>
        <v/>
      </c>
      <c r="E804" s="111" t="str">
        <f aca="false">IF(_PENDIENTES!$B$798&lt;&gt;"",_PENDIENTES!$E$798,"")</f>
        <v/>
      </c>
      <c r="F804" s="106" t="str">
        <f aca="false">IF(_PENDIENTES!$B$798&lt;&gt;"",_PENDIENTES!$F$798,"")</f>
        <v/>
      </c>
      <c r="G804" s="50" t="str">
        <f aca="false">IF(_PENDIENTES!$B$798&lt;&gt;"",_PENDIENTES!$G$798,"")</f>
        <v/>
      </c>
      <c r="H804" s="50" t="str">
        <f aca="false">IF(_PENDIENTES!$B$798&lt;&gt;"",_PENDIENTES!$H$798,"")</f>
        <v/>
      </c>
      <c r="I804" s="107" t="str">
        <f aca="false">IF(_PENDIENTES!$B$798&lt;&gt;"",_PENDIENTES!$I$798,"")</f>
        <v/>
      </c>
      <c r="J804" s="106" t="str">
        <f aca="false">IF(_PENDIENTES!$B$798&lt;&gt;"",_PENDIENTES!$J$798,"")</f>
        <v/>
      </c>
      <c r="K804" s="106" t="str">
        <f aca="false">IF(_PENDIENTES!$B$798&lt;&gt;"","POR RECOGER","")</f>
        <v/>
      </c>
      <c r="L804" s="106" t="str">
        <f aca="false">IF(_PENDIENTES!$B$798&lt;&gt;"",_PENDIENTES!$K$798,"")</f>
        <v/>
      </c>
      <c r="M804" s="89" t="str">
        <f aca="false">IF(_PENDIENTES!$B$798&lt;&gt;"",_PENDIENTES!$B$798,"")</f>
        <v/>
      </c>
      <c r="N804" s="109" t="str">
        <f aca="false">IF(_PENDIENTES!$B$798&lt;&gt;"",_PENDIENTES!$L$798,"")</f>
        <v/>
      </c>
      <c r="O804" s="89"/>
      <c r="P804" s="89"/>
      <c r="Q804" s="89"/>
      <c r="R804" s="89"/>
      <c r="S804" s="89"/>
    </row>
    <row r="805" customFormat="false" ht="15.75" hidden="true" customHeight="true" outlineLevel="0" collapsed="false">
      <c r="A805" s="46" t="str">
        <f aca="false">IF(_PENDIENTES!$B$799&lt;&gt;"",798,"")</f>
        <v/>
      </c>
      <c r="B805" s="41" t="str">
        <f aca="false">IF(_PENDIENTES!$B$799&lt;&gt;"",_PENDIENTES!$A$799,"")</f>
        <v/>
      </c>
      <c r="C805" s="110" t="str">
        <f aca="false">IF(_PENDIENTES!$B$799&lt;&gt;"",_PENDIENTES!$C$799,"")</f>
        <v/>
      </c>
      <c r="D805" s="46" t="str">
        <f aca="false">IF(_PENDIENTES!$B$799&lt;&gt;"",_PENDIENTES!$D$799,"")</f>
        <v/>
      </c>
      <c r="E805" s="112" t="str">
        <f aca="false">IF(_PENDIENTES!$B$799&lt;&gt;"",_PENDIENTES!$E$799,"")</f>
        <v/>
      </c>
      <c r="F805" s="46" t="str">
        <f aca="false">IF(_PENDIENTES!$B$799&lt;&gt;"",_PENDIENTES!$F$799,"")</f>
        <v/>
      </c>
      <c r="G805" s="44" t="str">
        <f aca="false">IF(_PENDIENTES!$B$799&lt;&gt;"",_PENDIENTES!$G$799,"")</f>
        <v/>
      </c>
      <c r="H805" s="44" t="str">
        <f aca="false">IF(_PENDIENTES!$B$799&lt;&gt;"",_PENDIENTES!$H$799,"")</f>
        <v/>
      </c>
      <c r="I805" s="110" t="str">
        <f aca="false">IF(_PENDIENTES!$B$799&lt;&gt;"",_PENDIENTES!$I$799,"")</f>
        <v/>
      </c>
      <c r="J805" s="46" t="str">
        <f aca="false">IF(_PENDIENTES!$B$799&lt;&gt;"",_PENDIENTES!$J$799,"")</f>
        <v/>
      </c>
      <c r="K805" s="46" t="str">
        <f aca="false">IF(_PENDIENTES!$B$799&lt;&gt;"","POR RECOGER","")</f>
        <v/>
      </c>
      <c r="L805" s="46" t="str">
        <f aca="false">IF(_PENDIENTES!$B$799&lt;&gt;"",_PENDIENTES!$K$799,"")</f>
        <v/>
      </c>
      <c r="M805" s="89" t="str">
        <f aca="false">IF(_PENDIENTES!$B$799&lt;&gt;"",_PENDIENTES!$B$799,"")</f>
        <v/>
      </c>
      <c r="N805" s="109" t="str">
        <f aca="false">IF(_PENDIENTES!$B$799&lt;&gt;"",_PENDIENTES!$L$799,"")</f>
        <v/>
      </c>
      <c r="O805" s="89"/>
      <c r="P805" s="89"/>
      <c r="Q805" s="89"/>
      <c r="R805" s="89"/>
      <c r="S805" s="89"/>
    </row>
    <row r="806" customFormat="false" ht="15.75" hidden="true" customHeight="true" outlineLevel="0" collapsed="false">
      <c r="A806" s="106" t="str">
        <f aca="false">IF(_PENDIENTES!$B$800&lt;&gt;"",799,"")</f>
        <v/>
      </c>
      <c r="B806" s="47" t="str">
        <f aca="false">IF(_PENDIENTES!$B$800&lt;&gt;"",_PENDIENTES!$A$800,"")</f>
        <v/>
      </c>
      <c r="C806" s="107" t="str">
        <f aca="false">IF(_PENDIENTES!$B$800&lt;&gt;"",_PENDIENTES!$C$800,"")</f>
        <v/>
      </c>
      <c r="D806" s="106" t="str">
        <f aca="false">IF(_PENDIENTES!$B$800&lt;&gt;"",_PENDIENTES!$D$800,"")</f>
        <v/>
      </c>
      <c r="E806" s="111" t="str">
        <f aca="false">IF(_PENDIENTES!$B$800&lt;&gt;"",_PENDIENTES!$E$800,"")</f>
        <v/>
      </c>
      <c r="F806" s="106" t="str">
        <f aca="false">IF(_PENDIENTES!$B$800&lt;&gt;"",_PENDIENTES!$F$800,"")</f>
        <v/>
      </c>
      <c r="G806" s="50" t="str">
        <f aca="false">IF(_PENDIENTES!$B$800&lt;&gt;"",_PENDIENTES!$G$800,"")</f>
        <v/>
      </c>
      <c r="H806" s="50" t="str">
        <f aca="false">IF(_PENDIENTES!$B$800&lt;&gt;"",_PENDIENTES!$H$800,"")</f>
        <v/>
      </c>
      <c r="I806" s="107" t="str">
        <f aca="false">IF(_PENDIENTES!$B$800&lt;&gt;"",_PENDIENTES!$I$800,"")</f>
        <v/>
      </c>
      <c r="J806" s="106" t="str">
        <f aca="false">IF(_PENDIENTES!$B$800&lt;&gt;"",_PENDIENTES!$J$800,"")</f>
        <v/>
      </c>
      <c r="K806" s="106" t="str">
        <f aca="false">IF(_PENDIENTES!$B$800&lt;&gt;"","POR RECOGER","")</f>
        <v/>
      </c>
      <c r="L806" s="106" t="str">
        <f aca="false">IF(_PENDIENTES!$B$800&lt;&gt;"",_PENDIENTES!$K$800,"")</f>
        <v/>
      </c>
      <c r="M806" s="89" t="str">
        <f aca="false">IF(_PENDIENTES!$B$800&lt;&gt;"",_PENDIENTES!$B$800,"")</f>
        <v/>
      </c>
      <c r="N806" s="109" t="str">
        <f aca="false">IF(_PENDIENTES!$B$800&lt;&gt;"",_PENDIENTES!$L$800,"")</f>
        <v/>
      </c>
      <c r="O806" s="89"/>
      <c r="P806" s="89"/>
      <c r="Q806" s="89"/>
      <c r="R806" s="89"/>
      <c r="S806" s="89"/>
    </row>
    <row r="807" customFormat="false" ht="15.75" hidden="true" customHeight="true" outlineLevel="0" collapsed="false">
      <c r="A807" s="46" t="str">
        <f aca="false">IF(_PENDIENTES!$B$801&lt;&gt;"",800,"")</f>
        <v/>
      </c>
      <c r="B807" s="41" t="str">
        <f aca="false">IF(_PENDIENTES!$B$801&lt;&gt;"",_PENDIENTES!$A$801,"")</f>
        <v/>
      </c>
      <c r="C807" s="110" t="str">
        <f aca="false">IF(_PENDIENTES!$B$801&lt;&gt;"",_PENDIENTES!$C$801,"")</f>
        <v/>
      </c>
      <c r="D807" s="46" t="str">
        <f aca="false">IF(_PENDIENTES!$B$801&lt;&gt;"",_PENDIENTES!$D$801,"")</f>
        <v/>
      </c>
      <c r="E807" s="112" t="str">
        <f aca="false">IF(_PENDIENTES!$B$801&lt;&gt;"",_PENDIENTES!$E$801,"")</f>
        <v/>
      </c>
      <c r="F807" s="46" t="str">
        <f aca="false">IF(_PENDIENTES!$B$801&lt;&gt;"",_PENDIENTES!$F$801,"")</f>
        <v/>
      </c>
      <c r="G807" s="44" t="str">
        <f aca="false">IF(_PENDIENTES!$B$801&lt;&gt;"",_PENDIENTES!$G$801,"")</f>
        <v/>
      </c>
      <c r="H807" s="44" t="str">
        <f aca="false">IF(_PENDIENTES!$B$801&lt;&gt;"",_PENDIENTES!$H$801,"")</f>
        <v/>
      </c>
      <c r="I807" s="110" t="str">
        <f aca="false">IF(_PENDIENTES!$B$801&lt;&gt;"",_PENDIENTES!$I$801,"")</f>
        <v/>
      </c>
      <c r="J807" s="46" t="str">
        <f aca="false">IF(_PENDIENTES!$B$801&lt;&gt;"",_PENDIENTES!$J$801,"")</f>
        <v/>
      </c>
      <c r="K807" s="46" t="str">
        <f aca="false">IF(_PENDIENTES!$B$801&lt;&gt;"","POR RECOGER","")</f>
        <v/>
      </c>
      <c r="L807" s="46" t="str">
        <f aca="false">IF(_PENDIENTES!$B$801&lt;&gt;"",_PENDIENTES!$K$801,"")</f>
        <v/>
      </c>
      <c r="M807" s="89" t="str">
        <f aca="false">IF(_PENDIENTES!$B$801&lt;&gt;"",_PENDIENTES!$B$801,"")</f>
        <v/>
      </c>
      <c r="N807" s="109" t="str">
        <f aca="false">IF(_PENDIENTES!$B$801&lt;&gt;"",_PENDIENTES!$L$801,"")</f>
        <v/>
      </c>
      <c r="O807" s="89"/>
      <c r="P807" s="89"/>
      <c r="Q807" s="89"/>
      <c r="R807" s="89"/>
      <c r="S807" s="89"/>
    </row>
    <row r="808" customFormat="false" ht="15.75" hidden="true" customHeight="true" outlineLevel="0" collapsed="false">
      <c r="A808" s="106" t="str">
        <f aca="false">IF(_PENDIENTES!$B$802&lt;&gt;"",801,"")</f>
        <v/>
      </c>
      <c r="B808" s="47" t="str">
        <f aca="false">IF(_PENDIENTES!$B$802&lt;&gt;"",_PENDIENTES!$A$802,"")</f>
        <v/>
      </c>
      <c r="C808" s="107" t="str">
        <f aca="false">IF(_PENDIENTES!$B$802&lt;&gt;"",_PENDIENTES!$C$802,"")</f>
        <v/>
      </c>
      <c r="D808" s="106" t="str">
        <f aca="false">IF(_PENDIENTES!$B$802&lt;&gt;"",_PENDIENTES!$D$802,"")</f>
        <v/>
      </c>
      <c r="E808" s="111" t="str">
        <f aca="false">IF(_PENDIENTES!$B$802&lt;&gt;"",_PENDIENTES!$E$802,"")</f>
        <v/>
      </c>
      <c r="F808" s="106" t="str">
        <f aca="false">IF(_PENDIENTES!$B$802&lt;&gt;"",_PENDIENTES!$F$802,"")</f>
        <v/>
      </c>
      <c r="G808" s="50" t="str">
        <f aca="false">IF(_PENDIENTES!$B$802&lt;&gt;"",_PENDIENTES!$G$802,"")</f>
        <v/>
      </c>
      <c r="H808" s="50" t="str">
        <f aca="false">IF(_PENDIENTES!$B$802&lt;&gt;"",_PENDIENTES!$H$802,"")</f>
        <v/>
      </c>
      <c r="I808" s="107" t="str">
        <f aca="false">IF(_PENDIENTES!$B$802&lt;&gt;"",_PENDIENTES!$I$802,"")</f>
        <v/>
      </c>
      <c r="J808" s="106" t="str">
        <f aca="false">IF(_PENDIENTES!$B$802&lt;&gt;"",_PENDIENTES!$J$802,"")</f>
        <v/>
      </c>
      <c r="K808" s="106" t="str">
        <f aca="false">IF(_PENDIENTES!$B$802&lt;&gt;"","POR RECOGER","")</f>
        <v/>
      </c>
      <c r="L808" s="106" t="str">
        <f aca="false">IF(_PENDIENTES!$B$802&lt;&gt;"",_PENDIENTES!$K$802,"")</f>
        <v/>
      </c>
      <c r="M808" s="89" t="str">
        <f aca="false">IF(_PENDIENTES!$B$802&lt;&gt;"",_PENDIENTES!$B$802,"")</f>
        <v/>
      </c>
      <c r="N808" s="109" t="str">
        <f aca="false">IF(_PENDIENTES!$B$802&lt;&gt;"",_PENDIENTES!$L$802,"")</f>
        <v/>
      </c>
      <c r="O808" s="89"/>
      <c r="P808" s="89"/>
      <c r="Q808" s="89"/>
      <c r="R808" s="89"/>
      <c r="S808" s="89"/>
    </row>
    <row r="809" customFormat="false" ht="15.75" hidden="true" customHeight="true" outlineLevel="0" collapsed="false">
      <c r="A809" s="46" t="str">
        <f aca="false">IF(_PENDIENTES!$B$803&lt;&gt;"",802,"")</f>
        <v/>
      </c>
      <c r="B809" s="41" t="str">
        <f aca="false">IF(_PENDIENTES!$B$803&lt;&gt;"",_PENDIENTES!$A$803,"")</f>
        <v/>
      </c>
      <c r="C809" s="110" t="str">
        <f aca="false">IF(_PENDIENTES!$B$803&lt;&gt;"",_PENDIENTES!$C$803,"")</f>
        <v/>
      </c>
      <c r="D809" s="46" t="str">
        <f aca="false">IF(_PENDIENTES!$B$803&lt;&gt;"",_PENDIENTES!$D$803,"")</f>
        <v/>
      </c>
      <c r="E809" s="112" t="str">
        <f aca="false">IF(_PENDIENTES!$B$803&lt;&gt;"",_PENDIENTES!$E$803,"")</f>
        <v/>
      </c>
      <c r="F809" s="46" t="str">
        <f aca="false">IF(_PENDIENTES!$B$803&lt;&gt;"",_PENDIENTES!$F$803,"")</f>
        <v/>
      </c>
      <c r="G809" s="44" t="str">
        <f aca="false">IF(_PENDIENTES!$B$803&lt;&gt;"",_PENDIENTES!$G$803,"")</f>
        <v/>
      </c>
      <c r="H809" s="44" t="str">
        <f aca="false">IF(_PENDIENTES!$B$803&lt;&gt;"",_PENDIENTES!$H$803,"")</f>
        <v/>
      </c>
      <c r="I809" s="110" t="str">
        <f aca="false">IF(_PENDIENTES!$B$803&lt;&gt;"",_PENDIENTES!$I$803,"")</f>
        <v/>
      </c>
      <c r="J809" s="46" t="str">
        <f aca="false">IF(_PENDIENTES!$B$803&lt;&gt;"",_PENDIENTES!$J$803,"")</f>
        <v/>
      </c>
      <c r="K809" s="46" t="str">
        <f aca="false">IF(_PENDIENTES!$B$803&lt;&gt;"","POR RECOGER","")</f>
        <v/>
      </c>
      <c r="L809" s="46" t="str">
        <f aca="false">IF(_PENDIENTES!$B$803&lt;&gt;"",_PENDIENTES!$K$803,"")</f>
        <v/>
      </c>
      <c r="M809" s="89" t="str">
        <f aca="false">IF(_PENDIENTES!$B$803&lt;&gt;"",_PENDIENTES!$B$803,"")</f>
        <v/>
      </c>
      <c r="N809" s="109" t="str">
        <f aca="false">IF(_PENDIENTES!$B$803&lt;&gt;"",_PENDIENTES!$L$803,"")</f>
        <v/>
      </c>
      <c r="O809" s="89"/>
      <c r="P809" s="89"/>
      <c r="Q809" s="89"/>
      <c r="R809" s="89"/>
      <c r="S809" s="89"/>
    </row>
    <row r="810" customFormat="false" ht="15.75" hidden="true" customHeight="true" outlineLevel="0" collapsed="false">
      <c r="A810" s="106" t="str">
        <f aca="false">IF(_PENDIENTES!$B$804&lt;&gt;"",803,"")</f>
        <v/>
      </c>
      <c r="B810" s="47" t="str">
        <f aca="false">IF(_PENDIENTES!$B$804&lt;&gt;"",_PENDIENTES!$A$804,"")</f>
        <v/>
      </c>
      <c r="C810" s="107" t="str">
        <f aca="false">IF(_PENDIENTES!$B$804&lt;&gt;"",_PENDIENTES!$C$804,"")</f>
        <v/>
      </c>
      <c r="D810" s="106" t="str">
        <f aca="false">IF(_PENDIENTES!$B$804&lt;&gt;"",_PENDIENTES!$D$804,"")</f>
        <v/>
      </c>
      <c r="E810" s="111" t="str">
        <f aca="false">IF(_PENDIENTES!$B$804&lt;&gt;"",_PENDIENTES!$E$804,"")</f>
        <v/>
      </c>
      <c r="F810" s="106" t="str">
        <f aca="false">IF(_PENDIENTES!$B$804&lt;&gt;"",_PENDIENTES!$F$804,"")</f>
        <v/>
      </c>
      <c r="G810" s="50" t="str">
        <f aca="false">IF(_PENDIENTES!$B$804&lt;&gt;"",_PENDIENTES!$G$804,"")</f>
        <v/>
      </c>
      <c r="H810" s="50" t="str">
        <f aca="false">IF(_PENDIENTES!$B$804&lt;&gt;"",_PENDIENTES!$H$804,"")</f>
        <v/>
      </c>
      <c r="I810" s="107" t="str">
        <f aca="false">IF(_PENDIENTES!$B$804&lt;&gt;"",_PENDIENTES!$I$804,"")</f>
        <v/>
      </c>
      <c r="J810" s="106" t="str">
        <f aca="false">IF(_PENDIENTES!$B$804&lt;&gt;"",_PENDIENTES!$J$804,"")</f>
        <v/>
      </c>
      <c r="K810" s="106" t="str">
        <f aca="false">IF(_PENDIENTES!$B$804&lt;&gt;"","POR RECOGER","")</f>
        <v/>
      </c>
      <c r="L810" s="106" t="str">
        <f aca="false">IF(_PENDIENTES!$B$804&lt;&gt;"",_PENDIENTES!$K$804,"")</f>
        <v/>
      </c>
      <c r="M810" s="89" t="str">
        <f aca="false">IF(_PENDIENTES!$B$804&lt;&gt;"",_PENDIENTES!$B$804,"")</f>
        <v/>
      </c>
      <c r="N810" s="109" t="str">
        <f aca="false">IF(_PENDIENTES!$B$804&lt;&gt;"",_PENDIENTES!$L$804,"")</f>
        <v/>
      </c>
      <c r="O810" s="89"/>
      <c r="P810" s="89"/>
      <c r="Q810" s="89"/>
      <c r="R810" s="89"/>
      <c r="S810" s="89"/>
    </row>
    <row r="811" customFormat="false" ht="15.75" hidden="true" customHeight="true" outlineLevel="0" collapsed="false">
      <c r="A811" s="46" t="str">
        <f aca="false">IF(_PENDIENTES!$B$805&lt;&gt;"",804,"")</f>
        <v/>
      </c>
      <c r="B811" s="41" t="str">
        <f aca="false">IF(_PENDIENTES!$B$805&lt;&gt;"",_PENDIENTES!$A$805,"")</f>
        <v/>
      </c>
      <c r="C811" s="110" t="str">
        <f aca="false">IF(_PENDIENTES!$B$805&lt;&gt;"",_PENDIENTES!$C$805,"")</f>
        <v/>
      </c>
      <c r="D811" s="46" t="str">
        <f aca="false">IF(_PENDIENTES!$B$805&lt;&gt;"",_PENDIENTES!$D$805,"")</f>
        <v/>
      </c>
      <c r="E811" s="112" t="str">
        <f aca="false">IF(_PENDIENTES!$B$805&lt;&gt;"",_PENDIENTES!$E$805,"")</f>
        <v/>
      </c>
      <c r="F811" s="46" t="str">
        <f aca="false">IF(_PENDIENTES!$B$805&lt;&gt;"",_PENDIENTES!$F$805,"")</f>
        <v/>
      </c>
      <c r="G811" s="44" t="str">
        <f aca="false">IF(_PENDIENTES!$B$805&lt;&gt;"",_PENDIENTES!$G$805,"")</f>
        <v/>
      </c>
      <c r="H811" s="44" t="str">
        <f aca="false">IF(_PENDIENTES!$B$805&lt;&gt;"",_PENDIENTES!$H$805,"")</f>
        <v/>
      </c>
      <c r="I811" s="110" t="str">
        <f aca="false">IF(_PENDIENTES!$B$805&lt;&gt;"",_PENDIENTES!$I$805,"")</f>
        <v/>
      </c>
      <c r="J811" s="46" t="str">
        <f aca="false">IF(_PENDIENTES!$B$805&lt;&gt;"",_PENDIENTES!$J$805,"")</f>
        <v/>
      </c>
      <c r="K811" s="46" t="str">
        <f aca="false">IF(_PENDIENTES!$B$805&lt;&gt;"","POR RECOGER","")</f>
        <v/>
      </c>
      <c r="L811" s="46" t="str">
        <f aca="false">IF(_PENDIENTES!$B$805&lt;&gt;"",_PENDIENTES!$K$805,"")</f>
        <v/>
      </c>
      <c r="M811" s="89" t="str">
        <f aca="false">IF(_PENDIENTES!$B$805&lt;&gt;"",_PENDIENTES!$B$805,"")</f>
        <v/>
      </c>
      <c r="N811" s="109" t="str">
        <f aca="false">IF(_PENDIENTES!$B$805&lt;&gt;"",_PENDIENTES!$L$805,"")</f>
        <v/>
      </c>
      <c r="O811" s="89"/>
      <c r="P811" s="89"/>
      <c r="Q811" s="89"/>
      <c r="R811" s="89"/>
      <c r="S811" s="89"/>
    </row>
    <row r="812" customFormat="false" ht="15.75" hidden="true" customHeight="true" outlineLevel="0" collapsed="false">
      <c r="A812" s="106" t="str">
        <f aca="false">IF(_PENDIENTES!$B$806&lt;&gt;"",805,"")</f>
        <v/>
      </c>
      <c r="B812" s="47" t="str">
        <f aca="false">IF(_PENDIENTES!$B$806&lt;&gt;"",_PENDIENTES!$A$806,"")</f>
        <v/>
      </c>
      <c r="C812" s="107" t="str">
        <f aca="false">IF(_PENDIENTES!$B$806&lt;&gt;"",_PENDIENTES!$C$806,"")</f>
        <v/>
      </c>
      <c r="D812" s="106" t="str">
        <f aca="false">IF(_PENDIENTES!$B$806&lt;&gt;"",_PENDIENTES!$D$806,"")</f>
        <v/>
      </c>
      <c r="E812" s="111" t="str">
        <f aca="false">IF(_PENDIENTES!$B$806&lt;&gt;"",_PENDIENTES!$E$806,"")</f>
        <v/>
      </c>
      <c r="F812" s="106" t="str">
        <f aca="false">IF(_PENDIENTES!$B$806&lt;&gt;"",_PENDIENTES!$F$806,"")</f>
        <v/>
      </c>
      <c r="G812" s="50" t="str">
        <f aca="false">IF(_PENDIENTES!$B$806&lt;&gt;"",_PENDIENTES!$G$806,"")</f>
        <v/>
      </c>
      <c r="H812" s="50" t="str">
        <f aca="false">IF(_PENDIENTES!$B$806&lt;&gt;"",_PENDIENTES!$H$806,"")</f>
        <v/>
      </c>
      <c r="I812" s="107" t="str">
        <f aca="false">IF(_PENDIENTES!$B$806&lt;&gt;"",_PENDIENTES!$I$806,"")</f>
        <v/>
      </c>
      <c r="J812" s="106" t="str">
        <f aca="false">IF(_PENDIENTES!$B$806&lt;&gt;"",_PENDIENTES!$J$806,"")</f>
        <v/>
      </c>
      <c r="K812" s="106" t="str">
        <f aca="false">IF(_PENDIENTES!$B$806&lt;&gt;"","POR RECOGER","")</f>
        <v/>
      </c>
      <c r="L812" s="106" t="str">
        <f aca="false">IF(_PENDIENTES!$B$806&lt;&gt;"",_PENDIENTES!$K$806,"")</f>
        <v/>
      </c>
      <c r="M812" s="89" t="str">
        <f aca="false">IF(_PENDIENTES!$B$806&lt;&gt;"",_PENDIENTES!$B$806,"")</f>
        <v/>
      </c>
      <c r="N812" s="109" t="str">
        <f aca="false">IF(_PENDIENTES!$B$806&lt;&gt;"",_PENDIENTES!$L$806,"")</f>
        <v/>
      </c>
      <c r="O812" s="89"/>
      <c r="P812" s="89"/>
      <c r="Q812" s="89"/>
      <c r="R812" s="89"/>
      <c r="S812" s="89"/>
    </row>
    <row r="813" customFormat="false" ht="15.75" hidden="true" customHeight="true" outlineLevel="0" collapsed="false">
      <c r="A813" s="46" t="str">
        <f aca="false">IF(_PENDIENTES!$B$807&lt;&gt;"",806,"")</f>
        <v/>
      </c>
      <c r="B813" s="41" t="str">
        <f aca="false">IF(_PENDIENTES!$B$807&lt;&gt;"",_PENDIENTES!$A$807,"")</f>
        <v/>
      </c>
      <c r="C813" s="110" t="str">
        <f aca="false">IF(_PENDIENTES!$B$807&lt;&gt;"",_PENDIENTES!$C$807,"")</f>
        <v/>
      </c>
      <c r="D813" s="46" t="str">
        <f aca="false">IF(_PENDIENTES!$B$807&lt;&gt;"",_PENDIENTES!$D$807,"")</f>
        <v/>
      </c>
      <c r="E813" s="112" t="str">
        <f aca="false">IF(_PENDIENTES!$B$807&lt;&gt;"",_PENDIENTES!$E$807,"")</f>
        <v/>
      </c>
      <c r="F813" s="46" t="str">
        <f aca="false">IF(_PENDIENTES!$B$807&lt;&gt;"",_PENDIENTES!$F$807,"")</f>
        <v/>
      </c>
      <c r="G813" s="44" t="str">
        <f aca="false">IF(_PENDIENTES!$B$807&lt;&gt;"",_PENDIENTES!$G$807,"")</f>
        <v/>
      </c>
      <c r="H813" s="44" t="str">
        <f aca="false">IF(_PENDIENTES!$B$807&lt;&gt;"",_PENDIENTES!$H$807,"")</f>
        <v/>
      </c>
      <c r="I813" s="110" t="str">
        <f aca="false">IF(_PENDIENTES!$B$807&lt;&gt;"",_PENDIENTES!$I$807,"")</f>
        <v/>
      </c>
      <c r="J813" s="46" t="str">
        <f aca="false">IF(_PENDIENTES!$B$807&lt;&gt;"",_PENDIENTES!$J$807,"")</f>
        <v/>
      </c>
      <c r="K813" s="46" t="str">
        <f aca="false">IF(_PENDIENTES!$B$807&lt;&gt;"","POR RECOGER","")</f>
        <v/>
      </c>
      <c r="L813" s="46" t="str">
        <f aca="false">IF(_PENDIENTES!$B$807&lt;&gt;"",_PENDIENTES!$K$807,"")</f>
        <v/>
      </c>
      <c r="M813" s="89" t="str">
        <f aca="false">IF(_PENDIENTES!$B$807&lt;&gt;"",_PENDIENTES!$B$807,"")</f>
        <v/>
      </c>
      <c r="N813" s="109" t="str">
        <f aca="false">IF(_PENDIENTES!$B$807&lt;&gt;"",_PENDIENTES!$L$807,"")</f>
        <v/>
      </c>
      <c r="O813" s="89"/>
      <c r="P813" s="89"/>
      <c r="Q813" s="89"/>
      <c r="R813" s="89"/>
      <c r="S813" s="89"/>
    </row>
    <row r="814" customFormat="false" ht="15.75" hidden="true" customHeight="true" outlineLevel="0" collapsed="false">
      <c r="A814" s="106" t="str">
        <f aca="false">IF(_PENDIENTES!$B$808&lt;&gt;"",807,"")</f>
        <v/>
      </c>
      <c r="B814" s="47" t="str">
        <f aca="false">IF(_PENDIENTES!$B$808&lt;&gt;"",_PENDIENTES!$A$808,"")</f>
        <v/>
      </c>
      <c r="C814" s="107" t="str">
        <f aca="false">IF(_PENDIENTES!$B$808&lt;&gt;"",_PENDIENTES!$C$808,"")</f>
        <v/>
      </c>
      <c r="D814" s="106" t="str">
        <f aca="false">IF(_PENDIENTES!$B$808&lt;&gt;"",_PENDIENTES!$D$808,"")</f>
        <v/>
      </c>
      <c r="E814" s="111" t="str">
        <f aca="false">IF(_PENDIENTES!$B$808&lt;&gt;"",_PENDIENTES!$E$808,"")</f>
        <v/>
      </c>
      <c r="F814" s="106" t="str">
        <f aca="false">IF(_PENDIENTES!$B$808&lt;&gt;"",_PENDIENTES!$F$808,"")</f>
        <v/>
      </c>
      <c r="G814" s="50" t="str">
        <f aca="false">IF(_PENDIENTES!$B$808&lt;&gt;"",_PENDIENTES!$G$808,"")</f>
        <v/>
      </c>
      <c r="H814" s="50" t="str">
        <f aca="false">IF(_PENDIENTES!$B$808&lt;&gt;"",_PENDIENTES!$H$808,"")</f>
        <v/>
      </c>
      <c r="I814" s="107" t="str">
        <f aca="false">IF(_PENDIENTES!$B$808&lt;&gt;"",_PENDIENTES!$I$808,"")</f>
        <v/>
      </c>
      <c r="J814" s="106" t="str">
        <f aca="false">IF(_PENDIENTES!$B$808&lt;&gt;"",_PENDIENTES!$J$808,"")</f>
        <v/>
      </c>
      <c r="K814" s="106" t="str">
        <f aca="false">IF(_PENDIENTES!$B$808&lt;&gt;"","POR RECOGER","")</f>
        <v/>
      </c>
      <c r="L814" s="106" t="str">
        <f aca="false">IF(_PENDIENTES!$B$808&lt;&gt;"",_PENDIENTES!$K$808,"")</f>
        <v/>
      </c>
      <c r="M814" s="89" t="str">
        <f aca="false">IF(_PENDIENTES!$B$808&lt;&gt;"",_PENDIENTES!$B$808,"")</f>
        <v/>
      </c>
      <c r="N814" s="109" t="str">
        <f aca="false">IF(_PENDIENTES!$B$808&lt;&gt;"",_PENDIENTES!$L$808,"")</f>
        <v/>
      </c>
      <c r="O814" s="89"/>
      <c r="P814" s="89"/>
      <c r="Q814" s="89"/>
      <c r="R814" s="89"/>
      <c r="S814" s="89"/>
    </row>
    <row r="815" customFormat="false" ht="15.75" hidden="true" customHeight="true" outlineLevel="0" collapsed="false">
      <c r="A815" s="46" t="str">
        <f aca="false">IF(_PENDIENTES!$B$809&lt;&gt;"",808,"")</f>
        <v/>
      </c>
      <c r="B815" s="41" t="str">
        <f aca="false">IF(_PENDIENTES!$B$809&lt;&gt;"",_PENDIENTES!$A$809,"")</f>
        <v/>
      </c>
      <c r="C815" s="110" t="str">
        <f aca="false">IF(_PENDIENTES!$B$809&lt;&gt;"",_PENDIENTES!$C$809,"")</f>
        <v/>
      </c>
      <c r="D815" s="46" t="str">
        <f aca="false">IF(_PENDIENTES!$B$809&lt;&gt;"",_PENDIENTES!$D$809,"")</f>
        <v/>
      </c>
      <c r="E815" s="112" t="str">
        <f aca="false">IF(_PENDIENTES!$B$809&lt;&gt;"",_PENDIENTES!$E$809,"")</f>
        <v/>
      </c>
      <c r="F815" s="46" t="str">
        <f aca="false">IF(_PENDIENTES!$B$809&lt;&gt;"",_PENDIENTES!$F$809,"")</f>
        <v/>
      </c>
      <c r="G815" s="44" t="str">
        <f aca="false">IF(_PENDIENTES!$B$809&lt;&gt;"",_PENDIENTES!$G$809,"")</f>
        <v/>
      </c>
      <c r="H815" s="44" t="str">
        <f aca="false">IF(_PENDIENTES!$B$809&lt;&gt;"",_PENDIENTES!$H$809,"")</f>
        <v/>
      </c>
      <c r="I815" s="110" t="str">
        <f aca="false">IF(_PENDIENTES!$B$809&lt;&gt;"",_PENDIENTES!$I$809,"")</f>
        <v/>
      </c>
      <c r="J815" s="46" t="str">
        <f aca="false">IF(_PENDIENTES!$B$809&lt;&gt;"",_PENDIENTES!$J$809,"")</f>
        <v/>
      </c>
      <c r="K815" s="46" t="str">
        <f aca="false">IF(_PENDIENTES!$B$809&lt;&gt;"","POR RECOGER","")</f>
        <v/>
      </c>
      <c r="L815" s="46" t="str">
        <f aca="false">IF(_PENDIENTES!$B$809&lt;&gt;"",_PENDIENTES!$K$809,"")</f>
        <v/>
      </c>
      <c r="M815" s="89" t="str">
        <f aca="false">IF(_PENDIENTES!$B$809&lt;&gt;"",_PENDIENTES!$B$809,"")</f>
        <v/>
      </c>
      <c r="N815" s="109" t="str">
        <f aca="false">IF(_PENDIENTES!$B$809&lt;&gt;"",_PENDIENTES!$L$809,"")</f>
        <v/>
      </c>
      <c r="O815" s="89"/>
      <c r="P815" s="89"/>
      <c r="Q815" s="89"/>
      <c r="R815" s="89"/>
      <c r="S815" s="89"/>
    </row>
    <row r="816" customFormat="false" ht="15.75" hidden="true" customHeight="true" outlineLevel="0" collapsed="false">
      <c r="A816" s="106" t="str">
        <f aca="false">IF(_PENDIENTES!$B$810&lt;&gt;"",809,"")</f>
        <v/>
      </c>
      <c r="B816" s="47" t="str">
        <f aca="false">IF(_PENDIENTES!$B$810&lt;&gt;"",_PENDIENTES!$A$810,"")</f>
        <v/>
      </c>
      <c r="C816" s="107" t="str">
        <f aca="false">IF(_PENDIENTES!$B$810&lt;&gt;"",_PENDIENTES!$C$810,"")</f>
        <v/>
      </c>
      <c r="D816" s="106" t="str">
        <f aca="false">IF(_PENDIENTES!$B$810&lt;&gt;"",_PENDIENTES!$D$810,"")</f>
        <v/>
      </c>
      <c r="E816" s="111" t="str">
        <f aca="false">IF(_PENDIENTES!$B$810&lt;&gt;"",_PENDIENTES!$E$810,"")</f>
        <v/>
      </c>
      <c r="F816" s="106" t="str">
        <f aca="false">IF(_PENDIENTES!$B$810&lt;&gt;"",_PENDIENTES!$F$810,"")</f>
        <v/>
      </c>
      <c r="G816" s="50" t="str">
        <f aca="false">IF(_PENDIENTES!$B$810&lt;&gt;"",_PENDIENTES!$G$810,"")</f>
        <v/>
      </c>
      <c r="H816" s="50" t="str">
        <f aca="false">IF(_PENDIENTES!$B$810&lt;&gt;"",_PENDIENTES!$H$810,"")</f>
        <v/>
      </c>
      <c r="I816" s="107" t="str">
        <f aca="false">IF(_PENDIENTES!$B$810&lt;&gt;"",_PENDIENTES!$I$810,"")</f>
        <v/>
      </c>
      <c r="J816" s="106" t="str">
        <f aca="false">IF(_PENDIENTES!$B$810&lt;&gt;"",_PENDIENTES!$J$810,"")</f>
        <v/>
      </c>
      <c r="K816" s="106" t="str">
        <f aca="false">IF(_PENDIENTES!$B$810&lt;&gt;"","POR RECOGER","")</f>
        <v/>
      </c>
      <c r="L816" s="106" t="str">
        <f aca="false">IF(_PENDIENTES!$B$810&lt;&gt;"",_PENDIENTES!$K$810,"")</f>
        <v/>
      </c>
      <c r="M816" s="89" t="str">
        <f aca="false">IF(_PENDIENTES!$B$810&lt;&gt;"",_PENDIENTES!$B$810,"")</f>
        <v/>
      </c>
      <c r="N816" s="109" t="str">
        <f aca="false">IF(_PENDIENTES!$B$810&lt;&gt;"",_PENDIENTES!$L$810,"")</f>
        <v/>
      </c>
      <c r="O816" s="89"/>
      <c r="P816" s="89"/>
      <c r="Q816" s="89"/>
      <c r="R816" s="89"/>
      <c r="S816" s="89"/>
    </row>
    <row r="817" customFormat="false" ht="15.75" hidden="true" customHeight="true" outlineLevel="0" collapsed="false">
      <c r="A817" s="46" t="str">
        <f aca="false">IF(_PENDIENTES!$B$811&lt;&gt;"",810,"")</f>
        <v/>
      </c>
      <c r="B817" s="41" t="str">
        <f aca="false">IF(_PENDIENTES!$B$811&lt;&gt;"",_PENDIENTES!$A$811,"")</f>
        <v/>
      </c>
      <c r="C817" s="110" t="str">
        <f aca="false">IF(_PENDIENTES!$B$811&lt;&gt;"",_PENDIENTES!$C$811,"")</f>
        <v/>
      </c>
      <c r="D817" s="46" t="str">
        <f aca="false">IF(_PENDIENTES!$B$811&lt;&gt;"",_PENDIENTES!$D$811,"")</f>
        <v/>
      </c>
      <c r="E817" s="112" t="str">
        <f aca="false">IF(_PENDIENTES!$B$811&lt;&gt;"",_PENDIENTES!$E$811,"")</f>
        <v/>
      </c>
      <c r="F817" s="46" t="str">
        <f aca="false">IF(_PENDIENTES!$B$811&lt;&gt;"",_PENDIENTES!$F$811,"")</f>
        <v/>
      </c>
      <c r="G817" s="44" t="str">
        <f aca="false">IF(_PENDIENTES!$B$811&lt;&gt;"",_PENDIENTES!$G$811,"")</f>
        <v/>
      </c>
      <c r="H817" s="44" t="str">
        <f aca="false">IF(_PENDIENTES!$B$811&lt;&gt;"",_PENDIENTES!$H$811,"")</f>
        <v/>
      </c>
      <c r="I817" s="110" t="str">
        <f aca="false">IF(_PENDIENTES!$B$811&lt;&gt;"",_PENDIENTES!$I$811,"")</f>
        <v/>
      </c>
      <c r="J817" s="46" t="str">
        <f aca="false">IF(_PENDIENTES!$B$811&lt;&gt;"",_PENDIENTES!$J$811,"")</f>
        <v/>
      </c>
      <c r="K817" s="46" t="str">
        <f aca="false">IF(_PENDIENTES!$B$811&lt;&gt;"","POR RECOGER","")</f>
        <v/>
      </c>
      <c r="L817" s="46" t="str">
        <f aca="false">IF(_PENDIENTES!$B$811&lt;&gt;"",_PENDIENTES!$K$811,"")</f>
        <v/>
      </c>
      <c r="M817" s="89" t="str">
        <f aca="false">IF(_PENDIENTES!$B$811&lt;&gt;"",_PENDIENTES!$B$811,"")</f>
        <v/>
      </c>
      <c r="N817" s="109" t="str">
        <f aca="false">IF(_PENDIENTES!$B$811&lt;&gt;"",_PENDIENTES!$L$811,"")</f>
        <v/>
      </c>
      <c r="O817" s="89"/>
      <c r="P817" s="89"/>
      <c r="Q817" s="89"/>
      <c r="R817" s="89"/>
      <c r="S817" s="89"/>
    </row>
    <row r="818" customFormat="false" ht="15.75" hidden="true" customHeight="true" outlineLevel="0" collapsed="false">
      <c r="A818" s="106" t="str">
        <f aca="false">IF(_PENDIENTES!$B$812&lt;&gt;"",811,"")</f>
        <v/>
      </c>
      <c r="B818" s="47" t="str">
        <f aca="false">IF(_PENDIENTES!$B$812&lt;&gt;"",_PENDIENTES!$A$812,"")</f>
        <v/>
      </c>
      <c r="C818" s="107" t="str">
        <f aca="false">IF(_PENDIENTES!$B$812&lt;&gt;"",_PENDIENTES!$C$812,"")</f>
        <v/>
      </c>
      <c r="D818" s="106" t="str">
        <f aca="false">IF(_PENDIENTES!$B$812&lt;&gt;"",_PENDIENTES!$D$812,"")</f>
        <v/>
      </c>
      <c r="E818" s="111" t="str">
        <f aca="false">IF(_PENDIENTES!$B$812&lt;&gt;"",_PENDIENTES!$E$812,"")</f>
        <v/>
      </c>
      <c r="F818" s="106" t="str">
        <f aca="false">IF(_PENDIENTES!$B$812&lt;&gt;"",_PENDIENTES!$F$812,"")</f>
        <v/>
      </c>
      <c r="G818" s="50" t="str">
        <f aca="false">IF(_PENDIENTES!$B$812&lt;&gt;"",_PENDIENTES!$G$812,"")</f>
        <v/>
      </c>
      <c r="H818" s="50" t="str">
        <f aca="false">IF(_PENDIENTES!$B$812&lt;&gt;"",_PENDIENTES!$H$812,"")</f>
        <v/>
      </c>
      <c r="I818" s="107" t="str">
        <f aca="false">IF(_PENDIENTES!$B$812&lt;&gt;"",_PENDIENTES!$I$812,"")</f>
        <v/>
      </c>
      <c r="J818" s="106" t="str">
        <f aca="false">IF(_PENDIENTES!$B$812&lt;&gt;"",_PENDIENTES!$J$812,"")</f>
        <v/>
      </c>
      <c r="K818" s="106" t="str">
        <f aca="false">IF(_PENDIENTES!$B$812&lt;&gt;"","POR RECOGER","")</f>
        <v/>
      </c>
      <c r="L818" s="106" t="str">
        <f aca="false">IF(_PENDIENTES!$B$812&lt;&gt;"",_PENDIENTES!$K$812,"")</f>
        <v/>
      </c>
      <c r="M818" s="89" t="str">
        <f aca="false">IF(_PENDIENTES!$B$812&lt;&gt;"",_PENDIENTES!$B$812,"")</f>
        <v/>
      </c>
      <c r="N818" s="109" t="str">
        <f aca="false">IF(_PENDIENTES!$B$812&lt;&gt;"",_PENDIENTES!$L$812,"")</f>
        <v/>
      </c>
      <c r="O818" s="89"/>
      <c r="P818" s="89"/>
      <c r="Q818" s="89"/>
      <c r="R818" s="89"/>
      <c r="S818" s="89"/>
    </row>
    <row r="819" customFormat="false" ht="15.75" hidden="true" customHeight="true" outlineLevel="0" collapsed="false">
      <c r="A819" s="46" t="str">
        <f aca="false">IF(_PENDIENTES!$B$813&lt;&gt;"",812,"")</f>
        <v/>
      </c>
      <c r="B819" s="41" t="str">
        <f aca="false">IF(_PENDIENTES!$B$813&lt;&gt;"",_PENDIENTES!$A$813,"")</f>
        <v/>
      </c>
      <c r="C819" s="110" t="str">
        <f aca="false">IF(_PENDIENTES!$B$813&lt;&gt;"",_PENDIENTES!$C$813,"")</f>
        <v/>
      </c>
      <c r="D819" s="46" t="str">
        <f aca="false">IF(_PENDIENTES!$B$813&lt;&gt;"",_PENDIENTES!$D$813,"")</f>
        <v/>
      </c>
      <c r="E819" s="112" t="str">
        <f aca="false">IF(_PENDIENTES!$B$813&lt;&gt;"",_PENDIENTES!$E$813,"")</f>
        <v/>
      </c>
      <c r="F819" s="46" t="str">
        <f aca="false">IF(_PENDIENTES!$B$813&lt;&gt;"",_PENDIENTES!$F$813,"")</f>
        <v/>
      </c>
      <c r="G819" s="44" t="str">
        <f aca="false">IF(_PENDIENTES!$B$813&lt;&gt;"",_PENDIENTES!$G$813,"")</f>
        <v/>
      </c>
      <c r="H819" s="44" t="str">
        <f aca="false">IF(_PENDIENTES!$B$813&lt;&gt;"",_PENDIENTES!$H$813,"")</f>
        <v/>
      </c>
      <c r="I819" s="110" t="str">
        <f aca="false">IF(_PENDIENTES!$B$813&lt;&gt;"",_PENDIENTES!$I$813,"")</f>
        <v/>
      </c>
      <c r="J819" s="46" t="str">
        <f aca="false">IF(_PENDIENTES!$B$813&lt;&gt;"",_PENDIENTES!$J$813,"")</f>
        <v/>
      </c>
      <c r="K819" s="46" t="str">
        <f aca="false">IF(_PENDIENTES!$B$813&lt;&gt;"","POR RECOGER","")</f>
        <v/>
      </c>
      <c r="L819" s="46" t="str">
        <f aca="false">IF(_PENDIENTES!$B$813&lt;&gt;"",_PENDIENTES!$K$813,"")</f>
        <v/>
      </c>
      <c r="M819" s="89" t="str">
        <f aca="false">IF(_PENDIENTES!$B$813&lt;&gt;"",_PENDIENTES!$B$813,"")</f>
        <v/>
      </c>
      <c r="N819" s="109" t="str">
        <f aca="false">IF(_PENDIENTES!$B$813&lt;&gt;"",_PENDIENTES!$L$813,"")</f>
        <v/>
      </c>
      <c r="O819" s="89"/>
      <c r="P819" s="89"/>
      <c r="Q819" s="89"/>
      <c r="R819" s="89"/>
      <c r="S819" s="89"/>
    </row>
    <row r="820" customFormat="false" ht="15.75" hidden="true" customHeight="true" outlineLevel="0" collapsed="false">
      <c r="A820" s="106" t="str">
        <f aca="false">IF(_PENDIENTES!$B$814&lt;&gt;"",813,"")</f>
        <v/>
      </c>
      <c r="B820" s="47" t="str">
        <f aca="false">IF(_PENDIENTES!$B$814&lt;&gt;"",_PENDIENTES!$A$814,"")</f>
        <v/>
      </c>
      <c r="C820" s="107" t="str">
        <f aca="false">IF(_PENDIENTES!$B$814&lt;&gt;"",_PENDIENTES!$C$814,"")</f>
        <v/>
      </c>
      <c r="D820" s="106" t="str">
        <f aca="false">IF(_PENDIENTES!$B$814&lt;&gt;"",_PENDIENTES!$D$814,"")</f>
        <v/>
      </c>
      <c r="E820" s="111" t="str">
        <f aca="false">IF(_PENDIENTES!$B$814&lt;&gt;"",_PENDIENTES!$E$814,"")</f>
        <v/>
      </c>
      <c r="F820" s="106" t="str">
        <f aca="false">IF(_PENDIENTES!$B$814&lt;&gt;"",_PENDIENTES!$F$814,"")</f>
        <v/>
      </c>
      <c r="G820" s="50" t="str">
        <f aca="false">IF(_PENDIENTES!$B$814&lt;&gt;"",_PENDIENTES!$G$814,"")</f>
        <v/>
      </c>
      <c r="H820" s="50" t="str">
        <f aca="false">IF(_PENDIENTES!$B$814&lt;&gt;"",_PENDIENTES!$H$814,"")</f>
        <v/>
      </c>
      <c r="I820" s="107" t="str">
        <f aca="false">IF(_PENDIENTES!$B$814&lt;&gt;"",_PENDIENTES!$I$814,"")</f>
        <v/>
      </c>
      <c r="J820" s="106" t="str">
        <f aca="false">IF(_PENDIENTES!$B$814&lt;&gt;"",_PENDIENTES!$J$814,"")</f>
        <v/>
      </c>
      <c r="K820" s="106" t="str">
        <f aca="false">IF(_PENDIENTES!$B$814&lt;&gt;"","POR RECOGER","")</f>
        <v/>
      </c>
      <c r="L820" s="106" t="str">
        <f aca="false">IF(_PENDIENTES!$B$814&lt;&gt;"",_PENDIENTES!$K$814,"")</f>
        <v/>
      </c>
      <c r="M820" s="89" t="str">
        <f aca="false">IF(_PENDIENTES!$B$814&lt;&gt;"",_PENDIENTES!$B$814,"")</f>
        <v/>
      </c>
      <c r="N820" s="109" t="str">
        <f aca="false">IF(_PENDIENTES!$B$814&lt;&gt;"",_PENDIENTES!$L$814,"")</f>
        <v/>
      </c>
      <c r="O820" s="89"/>
      <c r="P820" s="89"/>
      <c r="Q820" s="89"/>
      <c r="R820" s="89"/>
      <c r="S820" s="89"/>
    </row>
    <row r="821" customFormat="false" ht="15.75" hidden="true" customHeight="true" outlineLevel="0" collapsed="false">
      <c r="A821" s="46" t="str">
        <f aca="false">IF(_PENDIENTES!$B$815&lt;&gt;"",814,"")</f>
        <v/>
      </c>
      <c r="B821" s="41" t="str">
        <f aca="false">IF(_PENDIENTES!$B$815&lt;&gt;"",_PENDIENTES!$A$815,"")</f>
        <v/>
      </c>
      <c r="C821" s="110" t="str">
        <f aca="false">IF(_PENDIENTES!$B$815&lt;&gt;"",_PENDIENTES!$C$815,"")</f>
        <v/>
      </c>
      <c r="D821" s="46" t="str">
        <f aca="false">IF(_PENDIENTES!$B$815&lt;&gt;"",_PENDIENTES!$D$815,"")</f>
        <v/>
      </c>
      <c r="E821" s="112" t="str">
        <f aca="false">IF(_PENDIENTES!$B$815&lt;&gt;"",_PENDIENTES!$E$815,"")</f>
        <v/>
      </c>
      <c r="F821" s="46" t="str">
        <f aca="false">IF(_PENDIENTES!$B$815&lt;&gt;"",_PENDIENTES!$F$815,"")</f>
        <v/>
      </c>
      <c r="G821" s="44" t="str">
        <f aca="false">IF(_PENDIENTES!$B$815&lt;&gt;"",_PENDIENTES!$G$815,"")</f>
        <v/>
      </c>
      <c r="H821" s="44" t="str">
        <f aca="false">IF(_PENDIENTES!$B$815&lt;&gt;"",_PENDIENTES!$H$815,"")</f>
        <v/>
      </c>
      <c r="I821" s="110" t="str">
        <f aca="false">IF(_PENDIENTES!$B$815&lt;&gt;"",_PENDIENTES!$I$815,"")</f>
        <v/>
      </c>
      <c r="J821" s="46" t="str">
        <f aca="false">IF(_PENDIENTES!$B$815&lt;&gt;"",_PENDIENTES!$J$815,"")</f>
        <v/>
      </c>
      <c r="K821" s="46" t="str">
        <f aca="false">IF(_PENDIENTES!$B$815&lt;&gt;"","POR RECOGER","")</f>
        <v/>
      </c>
      <c r="L821" s="46" t="str">
        <f aca="false">IF(_PENDIENTES!$B$815&lt;&gt;"",_PENDIENTES!$K$815,"")</f>
        <v/>
      </c>
      <c r="M821" s="89" t="str">
        <f aca="false">IF(_PENDIENTES!$B$815&lt;&gt;"",_PENDIENTES!$B$815,"")</f>
        <v/>
      </c>
      <c r="N821" s="109" t="str">
        <f aca="false">IF(_PENDIENTES!$B$815&lt;&gt;"",_PENDIENTES!$L$815,"")</f>
        <v/>
      </c>
      <c r="O821" s="89"/>
      <c r="P821" s="89"/>
      <c r="Q821" s="89"/>
      <c r="R821" s="89"/>
      <c r="S821" s="89"/>
    </row>
    <row r="822" customFormat="false" ht="15.75" hidden="true" customHeight="true" outlineLevel="0" collapsed="false">
      <c r="A822" s="106" t="str">
        <f aca="false">IF(_PENDIENTES!$B$816&lt;&gt;"",815,"")</f>
        <v/>
      </c>
      <c r="B822" s="47" t="str">
        <f aca="false">IF(_PENDIENTES!$B$816&lt;&gt;"",_PENDIENTES!$A$816,"")</f>
        <v/>
      </c>
      <c r="C822" s="107" t="str">
        <f aca="false">IF(_PENDIENTES!$B$816&lt;&gt;"",_PENDIENTES!$C$816,"")</f>
        <v/>
      </c>
      <c r="D822" s="106" t="str">
        <f aca="false">IF(_PENDIENTES!$B$816&lt;&gt;"",_PENDIENTES!$D$816,"")</f>
        <v/>
      </c>
      <c r="E822" s="111" t="str">
        <f aca="false">IF(_PENDIENTES!$B$816&lt;&gt;"",_PENDIENTES!$E$816,"")</f>
        <v/>
      </c>
      <c r="F822" s="106" t="str">
        <f aca="false">IF(_PENDIENTES!$B$816&lt;&gt;"",_PENDIENTES!$F$816,"")</f>
        <v/>
      </c>
      <c r="G822" s="50" t="str">
        <f aca="false">IF(_PENDIENTES!$B$816&lt;&gt;"",_PENDIENTES!$G$816,"")</f>
        <v/>
      </c>
      <c r="H822" s="50" t="str">
        <f aca="false">IF(_PENDIENTES!$B$816&lt;&gt;"",_PENDIENTES!$H$816,"")</f>
        <v/>
      </c>
      <c r="I822" s="107" t="str">
        <f aca="false">IF(_PENDIENTES!$B$816&lt;&gt;"",_PENDIENTES!$I$816,"")</f>
        <v/>
      </c>
      <c r="J822" s="106" t="str">
        <f aca="false">IF(_PENDIENTES!$B$816&lt;&gt;"",_PENDIENTES!$J$816,"")</f>
        <v/>
      </c>
      <c r="K822" s="106" t="str">
        <f aca="false">IF(_PENDIENTES!$B$816&lt;&gt;"","POR RECOGER","")</f>
        <v/>
      </c>
      <c r="L822" s="106" t="str">
        <f aca="false">IF(_PENDIENTES!$B$816&lt;&gt;"",_PENDIENTES!$K$816,"")</f>
        <v/>
      </c>
      <c r="M822" s="89" t="str">
        <f aca="false">IF(_PENDIENTES!$B$816&lt;&gt;"",_PENDIENTES!$B$816,"")</f>
        <v/>
      </c>
      <c r="N822" s="109" t="str">
        <f aca="false">IF(_PENDIENTES!$B$816&lt;&gt;"",_PENDIENTES!$L$816,"")</f>
        <v/>
      </c>
      <c r="O822" s="89"/>
      <c r="P822" s="89"/>
      <c r="Q822" s="89"/>
      <c r="R822" s="89"/>
      <c r="S822" s="89"/>
    </row>
    <row r="823" customFormat="false" ht="15.75" hidden="true" customHeight="true" outlineLevel="0" collapsed="false">
      <c r="A823" s="46" t="str">
        <f aca="false">IF(_PENDIENTES!$B$817&lt;&gt;"",816,"")</f>
        <v/>
      </c>
      <c r="B823" s="41" t="str">
        <f aca="false">IF(_PENDIENTES!$B$817&lt;&gt;"",_PENDIENTES!$A$817,"")</f>
        <v/>
      </c>
      <c r="C823" s="110" t="str">
        <f aca="false">IF(_PENDIENTES!$B$817&lt;&gt;"",_PENDIENTES!$C$817,"")</f>
        <v/>
      </c>
      <c r="D823" s="46" t="str">
        <f aca="false">IF(_PENDIENTES!$B$817&lt;&gt;"",_PENDIENTES!$D$817,"")</f>
        <v/>
      </c>
      <c r="E823" s="112" t="str">
        <f aca="false">IF(_PENDIENTES!$B$817&lt;&gt;"",_PENDIENTES!$E$817,"")</f>
        <v/>
      </c>
      <c r="F823" s="46" t="str">
        <f aca="false">IF(_PENDIENTES!$B$817&lt;&gt;"",_PENDIENTES!$F$817,"")</f>
        <v/>
      </c>
      <c r="G823" s="44" t="str">
        <f aca="false">IF(_PENDIENTES!$B$817&lt;&gt;"",_PENDIENTES!$G$817,"")</f>
        <v/>
      </c>
      <c r="H823" s="44" t="str">
        <f aca="false">IF(_PENDIENTES!$B$817&lt;&gt;"",_PENDIENTES!$H$817,"")</f>
        <v/>
      </c>
      <c r="I823" s="110" t="str">
        <f aca="false">IF(_PENDIENTES!$B$817&lt;&gt;"",_PENDIENTES!$I$817,"")</f>
        <v/>
      </c>
      <c r="J823" s="46" t="str">
        <f aca="false">IF(_PENDIENTES!$B$817&lt;&gt;"",_PENDIENTES!$J$817,"")</f>
        <v/>
      </c>
      <c r="K823" s="46" t="str">
        <f aca="false">IF(_PENDIENTES!$B$817&lt;&gt;"","POR RECOGER","")</f>
        <v/>
      </c>
      <c r="L823" s="46" t="str">
        <f aca="false">IF(_PENDIENTES!$B$817&lt;&gt;"",_PENDIENTES!$K$817,"")</f>
        <v/>
      </c>
      <c r="M823" s="89" t="str">
        <f aca="false">IF(_PENDIENTES!$B$817&lt;&gt;"",_PENDIENTES!$B$817,"")</f>
        <v/>
      </c>
      <c r="N823" s="109" t="str">
        <f aca="false">IF(_PENDIENTES!$B$817&lt;&gt;"",_PENDIENTES!$L$817,"")</f>
        <v/>
      </c>
      <c r="O823" s="89"/>
      <c r="P823" s="89"/>
      <c r="Q823" s="89"/>
      <c r="R823" s="89"/>
      <c r="S823" s="89"/>
    </row>
    <row r="824" customFormat="false" ht="15.75" hidden="true" customHeight="true" outlineLevel="0" collapsed="false">
      <c r="A824" s="106" t="str">
        <f aca="false">IF(_PENDIENTES!$B$818&lt;&gt;"",817,"")</f>
        <v/>
      </c>
      <c r="B824" s="47" t="str">
        <f aca="false">IF(_PENDIENTES!$B$818&lt;&gt;"",_PENDIENTES!$A$818,"")</f>
        <v/>
      </c>
      <c r="C824" s="107" t="str">
        <f aca="false">IF(_PENDIENTES!$B$818&lt;&gt;"",_PENDIENTES!$C$818,"")</f>
        <v/>
      </c>
      <c r="D824" s="106" t="str">
        <f aca="false">IF(_PENDIENTES!$B$818&lt;&gt;"",_PENDIENTES!$D$818,"")</f>
        <v/>
      </c>
      <c r="E824" s="111" t="str">
        <f aca="false">IF(_PENDIENTES!$B$818&lt;&gt;"",_PENDIENTES!$E$818,"")</f>
        <v/>
      </c>
      <c r="F824" s="106" t="str">
        <f aca="false">IF(_PENDIENTES!$B$818&lt;&gt;"",_PENDIENTES!$F$818,"")</f>
        <v/>
      </c>
      <c r="G824" s="50" t="str">
        <f aca="false">IF(_PENDIENTES!$B$818&lt;&gt;"",_PENDIENTES!$G$818,"")</f>
        <v/>
      </c>
      <c r="H824" s="50" t="str">
        <f aca="false">IF(_PENDIENTES!$B$818&lt;&gt;"",_PENDIENTES!$H$818,"")</f>
        <v/>
      </c>
      <c r="I824" s="107" t="str">
        <f aca="false">IF(_PENDIENTES!$B$818&lt;&gt;"",_PENDIENTES!$I$818,"")</f>
        <v/>
      </c>
      <c r="J824" s="106" t="str">
        <f aca="false">IF(_PENDIENTES!$B$818&lt;&gt;"",_PENDIENTES!$J$818,"")</f>
        <v/>
      </c>
      <c r="K824" s="106" t="str">
        <f aca="false">IF(_PENDIENTES!$B$818&lt;&gt;"","POR RECOGER","")</f>
        <v/>
      </c>
      <c r="L824" s="106" t="str">
        <f aca="false">IF(_PENDIENTES!$B$818&lt;&gt;"",_PENDIENTES!$K$818,"")</f>
        <v/>
      </c>
      <c r="M824" s="89" t="str">
        <f aca="false">IF(_PENDIENTES!$B$818&lt;&gt;"",_PENDIENTES!$B$818,"")</f>
        <v/>
      </c>
      <c r="N824" s="109" t="str">
        <f aca="false">IF(_PENDIENTES!$B$818&lt;&gt;"",_PENDIENTES!$L$818,"")</f>
        <v/>
      </c>
      <c r="O824" s="89"/>
      <c r="P824" s="89"/>
      <c r="Q824" s="89"/>
      <c r="R824" s="89"/>
      <c r="S824" s="89"/>
    </row>
    <row r="825" customFormat="false" ht="15.75" hidden="true" customHeight="true" outlineLevel="0" collapsed="false">
      <c r="A825" s="46" t="str">
        <f aca="false">IF(_PENDIENTES!$B$819&lt;&gt;"",818,"")</f>
        <v/>
      </c>
      <c r="B825" s="41" t="str">
        <f aca="false">IF(_PENDIENTES!$B$819&lt;&gt;"",_PENDIENTES!$A$819,"")</f>
        <v/>
      </c>
      <c r="C825" s="110" t="str">
        <f aca="false">IF(_PENDIENTES!$B$819&lt;&gt;"",_PENDIENTES!$C$819,"")</f>
        <v/>
      </c>
      <c r="D825" s="46" t="str">
        <f aca="false">IF(_PENDIENTES!$B$819&lt;&gt;"",_PENDIENTES!$D$819,"")</f>
        <v/>
      </c>
      <c r="E825" s="112" t="str">
        <f aca="false">IF(_PENDIENTES!$B$819&lt;&gt;"",_PENDIENTES!$E$819,"")</f>
        <v/>
      </c>
      <c r="F825" s="46" t="str">
        <f aca="false">IF(_PENDIENTES!$B$819&lt;&gt;"",_PENDIENTES!$F$819,"")</f>
        <v/>
      </c>
      <c r="G825" s="44" t="str">
        <f aca="false">IF(_PENDIENTES!$B$819&lt;&gt;"",_PENDIENTES!$G$819,"")</f>
        <v/>
      </c>
      <c r="H825" s="44" t="str">
        <f aca="false">IF(_PENDIENTES!$B$819&lt;&gt;"",_PENDIENTES!$H$819,"")</f>
        <v/>
      </c>
      <c r="I825" s="110" t="str">
        <f aca="false">IF(_PENDIENTES!$B$819&lt;&gt;"",_PENDIENTES!$I$819,"")</f>
        <v/>
      </c>
      <c r="J825" s="46" t="str">
        <f aca="false">IF(_PENDIENTES!$B$819&lt;&gt;"",_PENDIENTES!$J$819,"")</f>
        <v/>
      </c>
      <c r="K825" s="46" t="str">
        <f aca="false">IF(_PENDIENTES!$B$819&lt;&gt;"","POR RECOGER","")</f>
        <v/>
      </c>
      <c r="L825" s="46" t="str">
        <f aca="false">IF(_PENDIENTES!$B$819&lt;&gt;"",_PENDIENTES!$K$819,"")</f>
        <v/>
      </c>
      <c r="M825" s="89" t="str">
        <f aca="false">IF(_PENDIENTES!$B$819&lt;&gt;"",_PENDIENTES!$B$819,"")</f>
        <v/>
      </c>
      <c r="N825" s="109" t="str">
        <f aca="false">IF(_PENDIENTES!$B$819&lt;&gt;"",_PENDIENTES!$L$819,"")</f>
        <v/>
      </c>
      <c r="O825" s="89"/>
      <c r="P825" s="89"/>
      <c r="Q825" s="89"/>
      <c r="R825" s="89"/>
      <c r="S825" s="89"/>
    </row>
    <row r="826" customFormat="false" ht="15.75" hidden="true" customHeight="true" outlineLevel="0" collapsed="false">
      <c r="A826" s="106" t="str">
        <f aca="false">IF(_PENDIENTES!$B$820&lt;&gt;"",819,"")</f>
        <v/>
      </c>
      <c r="B826" s="47" t="str">
        <f aca="false">IF(_PENDIENTES!$B$820&lt;&gt;"",_PENDIENTES!$A$820,"")</f>
        <v/>
      </c>
      <c r="C826" s="107" t="str">
        <f aca="false">IF(_PENDIENTES!$B$820&lt;&gt;"",_PENDIENTES!$C$820,"")</f>
        <v/>
      </c>
      <c r="D826" s="106" t="str">
        <f aca="false">IF(_PENDIENTES!$B$820&lt;&gt;"",_PENDIENTES!$D$820,"")</f>
        <v/>
      </c>
      <c r="E826" s="111" t="str">
        <f aca="false">IF(_PENDIENTES!$B$820&lt;&gt;"",_PENDIENTES!$E$820,"")</f>
        <v/>
      </c>
      <c r="F826" s="106" t="str">
        <f aca="false">IF(_PENDIENTES!$B$820&lt;&gt;"",_PENDIENTES!$F$820,"")</f>
        <v/>
      </c>
      <c r="G826" s="50" t="str">
        <f aca="false">IF(_PENDIENTES!$B$820&lt;&gt;"",_PENDIENTES!$G$820,"")</f>
        <v/>
      </c>
      <c r="H826" s="50" t="str">
        <f aca="false">IF(_PENDIENTES!$B$820&lt;&gt;"",_PENDIENTES!$H$820,"")</f>
        <v/>
      </c>
      <c r="I826" s="107" t="str">
        <f aca="false">IF(_PENDIENTES!$B$820&lt;&gt;"",_PENDIENTES!$I$820,"")</f>
        <v/>
      </c>
      <c r="J826" s="106" t="str">
        <f aca="false">IF(_PENDIENTES!$B$820&lt;&gt;"",_PENDIENTES!$J$820,"")</f>
        <v/>
      </c>
      <c r="K826" s="106" t="str">
        <f aca="false">IF(_PENDIENTES!$B$820&lt;&gt;"","POR RECOGER","")</f>
        <v/>
      </c>
      <c r="L826" s="106" t="str">
        <f aca="false">IF(_PENDIENTES!$B$820&lt;&gt;"",_PENDIENTES!$K$820,"")</f>
        <v/>
      </c>
      <c r="M826" s="89" t="str">
        <f aca="false">IF(_PENDIENTES!$B$820&lt;&gt;"",_PENDIENTES!$B$820,"")</f>
        <v/>
      </c>
      <c r="N826" s="109" t="str">
        <f aca="false">IF(_PENDIENTES!$B$820&lt;&gt;"",_PENDIENTES!$L$820,"")</f>
        <v/>
      </c>
      <c r="O826" s="89"/>
      <c r="P826" s="89"/>
      <c r="Q826" s="89"/>
      <c r="R826" s="89"/>
      <c r="S826" s="89"/>
    </row>
    <row r="827" customFormat="false" ht="15.75" hidden="true" customHeight="true" outlineLevel="0" collapsed="false">
      <c r="A827" s="46" t="str">
        <f aca="false">IF(_PENDIENTES!$B$821&lt;&gt;"",820,"")</f>
        <v/>
      </c>
      <c r="B827" s="41" t="str">
        <f aca="false">IF(_PENDIENTES!$B$821&lt;&gt;"",_PENDIENTES!$A$821,"")</f>
        <v/>
      </c>
      <c r="C827" s="110" t="str">
        <f aca="false">IF(_PENDIENTES!$B$821&lt;&gt;"",_PENDIENTES!$C$821,"")</f>
        <v/>
      </c>
      <c r="D827" s="46" t="str">
        <f aca="false">IF(_PENDIENTES!$B$821&lt;&gt;"",_PENDIENTES!$D$821,"")</f>
        <v/>
      </c>
      <c r="E827" s="112" t="str">
        <f aca="false">IF(_PENDIENTES!$B$821&lt;&gt;"",_PENDIENTES!$E$821,"")</f>
        <v/>
      </c>
      <c r="F827" s="46" t="str">
        <f aca="false">IF(_PENDIENTES!$B$821&lt;&gt;"",_PENDIENTES!$F$821,"")</f>
        <v/>
      </c>
      <c r="G827" s="44" t="str">
        <f aca="false">IF(_PENDIENTES!$B$821&lt;&gt;"",_PENDIENTES!$G$821,"")</f>
        <v/>
      </c>
      <c r="H827" s="44" t="str">
        <f aca="false">IF(_PENDIENTES!$B$821&lt;&gt;"",_PENDIENTES!$H$821,"")</f>
        <v/>
      </c>
      <c r="I827" s="110" t="str">
        <f aca="false">IF(_PENDIENTES!$B$821&lt;&gt;"",_PENDIENTES!$I$821,"")</f>
        <v/>
      </c>
      <c r="J827" s="46" t="str">
        <f aca="false">IF(_PENDIENTES!$B$821&lt;&gt;"",_PENDIENTES!$J$821,"")</f>
        <v/>
      </c>
      <c r="K827" s="46" t="str">
        <f aca="false">IF(_PENDIENTES!$B$821&lt;&gt;"","POR RECOGER","")</f>
        <v/>
      </c>
      <c r="L827" s="46" t="str">
        <f aca="false">IF(_PENDIENTES!$B$821&lt;&gt;"",_PENDIENTES!$K$821,"")</f>
        <v/>
      </c>
      <c r="M827" s="89" t="str">
        <f aca="false">IF(_PENDIENTES!$B$821&lt;&gt;"",_PENDIENTES!$B$821,"")</f>
        <v/>
      </c>
      <c r="N827" s="109" t="str">
        <f aca="false">IF(_PENDIENTES!$B$821&lt;&gt;"",_PENDIENTES!$L$821,"")</f>
        <v/>
      </c>
      <c r="O827" s="89"/>
      <c r="P827" s="89"/>
      <c r="Q827" s="89"/>
      <c r="R827" s="89"/>
      <c r="S827" s="89"/>
    </row>
    <row r="828" customFormat="false" ht="15.75" hidden="true" customHeight="true" outlineLevel="0" collapsed="false">
      <c r="A828" s="106" t="str">
        <f aca="false">IF(_PENDIENTES!$B$822&lt;&gt;"",821,"")</f>
        <v/>
      </c>
      <c r="B828" s="47" t="str">
        <f aca="false">IF(_PENDIENTES!$B$822&lt;&gt;"",_PENDIENTES!$A$822,"")</f>
        <v/>
      </c>
      <c r="C828" s="107" t="str">
        <f aca="false">IF(_PENDIENTES!$B$822&lt;&gt;"",_PENDIENTES!$C$822,"")</f>
        <v/>
      </c>
      <c r="D828" s="106" t="str">
        <f aca="false">IF(_PENDIENTES!$B$822&lt;&gt;"",_PENDIENTES!$D$822,"")</f>
        <v/>
      </c>
      <c r="E828" s="111" t="str">
        <f aca="false">IF(_PENDIENTES!$B$822&lt;&gt;"",_PENDIENTES!$E$822,"")</f>
        <v/>
      </c>
      <c r="F828" s="106" t="str">
        <f aca="false">IF(_PENDIENTES!$B$822&lt;&gt;"",_PENDIENTES!$F$822,"")</f>
        <v/>
      </c>
      <c r="G828" s="50" t="str">
        <f aca="false">IF(_PENDIENTES!$B$822&lt;&gt;"",_PENDIENTES!$G$822,"")</f>
        <v/>
      </c>
      <c r="H828" s="50" t="str">
        <f aca="false">IF(_PENDIENTES!$B$822&lt;&gt;"",_PENDIENTES!$H$822,"")</f>
        <v/>
      </c>
      <c r="I828" s="107" t="str">
        <f aca="false">IF(_PENDIENTES!$B$822&lt;&gt;"",_PENDIENTES!$I$822,"")</f>
        <v/>
      </c>
      <c r="J828" s="106" t="str">
        <f aca="false">IF(_PENDIENTES!$B$822&lt;&gt;"",_PENDIENTES!$J$822,"")</f>
        <v/>
      </c>
      <c r="K828" s="106" t="str">
        <f aca="false">IF(_PENDIENTES!$B$822&lt;&gt;"","POR RECOGER","")</f>
        <v/>
      </c>
      <c r="L828" s="106" t="str">
        <f aca="false">IF(_PENDIENTES!$B$822&lt;&gt;"",_PENDIENTES!$K$822,"")</f>
        <v/>
      </c>
      <c r="M828" s="89" t="str">
        <f aca="false">IF(_PENDIENTES!$B$822&lt;&gt;"",_PENDIENTES!$B$822,"")</f>
        <v/>
      </c>
      <c r="N828" s="109" t="str">
        <f aca="false">IF(_PENDIENTES!$B$822&lt;&gt;"",_PENDIENTES!$L$822,"")</f>
        <v/>
      </c>
      <c r="O828" s="89"/>
      <c r="P828" s="89"/>
      <c r="Q828" s="89"/>
      <c r="R828" s="89"/>
      <c r="S828" s="89"/>
    </row>
    <row r="829" customFormat="false" ht="15.75" hidden="true" customHeight="true" outlineLevel="0" collapsed="false">
      <c r="A829" s="46" t="str">
        <f aca="false">IF(_PENDIENTES!$B$823&lt;&gt;"",822,"")</f>
        <v/>
      </c>
      <c r="B829" s="41" t="str">
        <f aca="false">IF(_PENDIENTES!$B$823&lt;&gt;"",_PENDIENTES!$A$823,"")</f>
        <v/>
      </c>
      <c r="C829" s="110" t="str">
        <f aca="false">IF(_PENDIENTES!$B$823&lt;&gt;"",_PENDIENTES!$C$823,"")</f>
        <v/>
      </c>
      <c r="D829" s="46" t="str">
        <f aca="false">IF(_PENDIENTES!$B$823&lt;&gt;"",_PENDIENTES!$D$823,"")</f>
        <v/>
      </c>
      <c r="E829" s="112" t="str">
        <f aca="false">IF(_PENDIENTES!$B$823&lt;&gt;"",_PENDIENTES!$E$823,"")</f>
        <v/>
      </c>
      <c r="F829" s="46" t="str">
        <f aca="false">IF(_PENDIENTES!$B$823&lt;&gt;"",_PENDIENTES!$F$823,"")</f>
        <v/>
      </c>
      <c r="G829" s="44" t="str">
        <f aca="false">IF(_PENDIENTES!$B$823&lt;&gt;"",_PENDIENTES!$G$823,"")</f>
        <v/>
      </c>
      <c r="H829" s="44" t="str">
        <f aca="false">IF(_PENDIENTES!$B$823&lt;&gt;"",_PENDIENTES!$H$823,"")</f>
        <v/>
      </c>
      <c r="I829" s="110" t="str">
        <f aca="false">IF(_PENDIENTES!$B$823&lt;&gt;"",_PENDIENTES!$I$823,"")</f>
        <v/>
      </c>
      <c r="J829" s="46" t="str">
        <f aca="false">IF(_PENDIENTES!$B$823&lt;&gt;"",_PENDIENTES!$J$823,"")</f>
        <v/>
      </c>
      <c r="K829" s="46" t="str">
        <f aca="false">IF(_PENDIENTES!$B$823&lt;&gt;"","POR RECOGER","")</f>
        <v/>
      </c>
      <c r="L829" s="46" t="str">
        <f aca="false">IF(_PENDIENTES!$B$823&lt;&gt;"",_PENDIENTES!$K$823,"")</f>
        <v/>
      </c>
      <c r="M829" s="89" t="str">
        <f aca="false">IF(_PENDIENTES!$B$823&lt;&gt;"",_PENDIENTES!$B$823,"")</f>
        <v/>
      </c>
      <c r="N829" s="109" t="str">
        <f aca="false">IF(_PENDIENTES!$B$823&lt;&gt;"",_PENDIENTES!$L$823,"")</f>
        <v/>
      </c>
      <c r="O829" s="89"/>
      <c r="P829" s="89"/>
      <c r="Q829" s="89"/>
      <c r="R829" s="89"/>
      <c r="S829" s="89"/>
    </row>
    <row r="830" customFormat="false" ht="15.75" hidden="true" customHeight="true" outlineLevel="0" collapsed="false">
      <c r="A830" s="106" t="str">
        <f aca="false">IF(_PENDIENTES!$B$824&lt;&gt;"",823,"")</f>
        <v/>
      </c>
      <c r="B830" s="47" t="str">
        <f aca="false">IF(_PENDIENTES!$B$824&lt;&gt;"",_PENDIENTES!$A$824,"")</f>
        <v/>
      </c>
      <c r="C830" s="107" t="str">
        <f aca="false">IF(_PENDIENTES!$B$824&lt;&gt;"",_PENDIENTES!$C$824,"")</f>
        <v/>
      </c>
      <c r="D830" s="106" t="str">
        <f aca="false">IF(_PENDIENTES!$B$824&lt;&gt;"",_PENDIENTES!$D$824,"")</f>
        <v/>
      </c>
      <c r="E830" s="111" t="str">
        <f aca="false">IF(_PENDIENTES!$B$824&lt;&gt;"",_PENDIENTES!$E$824,"")</f>
        <v/>
      </c>
      <c r="F830" s="106" t="str">
        <f aca="false">IF(_PENDIENTES!$B$824&lt;&gt;"",_PENDIENTES!$F$824,"")</f>
        <v/>
      </c>
      <c r="G830" s="50" t="str">
        <f aca="false">IF(_PENDIENTES!$B$824&lt;&gt;"",_PENDIENTES!$G$824,"")</f>
        <v/>
      </c>
      <c r="H830" s="50" t="str">
        <f aca="false">IF(_PENDIENTES!$B$824&lt;&gt;"",_PENDIENTES!$H$824,"")</f>
        <v/>
      </c>
      <c r="I830" s="107" t="str">
        <f aca="false">IF(_PENDIENTES!$B$824&lt;&gt;"",_PENDIENTES!$I$824,"")</f>
        <v/>
      </c>
      <c r="J830" s="106" t="str">
        <f aca="false">IF(_PENDIENTES!$B$824&lt;&gt;"",_PENDIENTES!$J$824,"")</f>
        <v/>
      </c>
      <c r="K830" s="106" t="str">
        <f aca="false">IF(_PENDIENTES!$B$824&lt;&gt;"","POR RECOGER","")</f>
        <v/>
      </c>
      <c r="L830" s="106" t="str">
        <f aca="false">IF(_PENDIENTES!$B$824&lt;&gt;"",_PENDIENTES!$K$824,"")</f>
        <v/>
      </c>
      <c r="M830" s="89" t="str">
        <f aca="false">IF(_PENDIENTES!$B$824&lt;&gt;"",_PENDIENTES!$B$824,"")</f>
        <v/>
      </c>
      <c r="N830" s="109" t="str">
        <f aca="false">IF(_PENDIENTES!$B$824&lt;&gt;"",_PENDIENTES!$L$824,"")</f>
        <v/>
      </c>
      <c r="O830" s="89"/>
      <c r="P830" s="89"/>
      <c r="Q830" s="89"/>
      <c r="R830" s="89"/>
      <c r="S830" s="89"/>
    </row>
    <row r="831" customFormat="false" ht="15.75" hidden="true" customHeight="true" outlineLevel="0" collapsed="false">
      <c r="A831" s="46" t="str">
        <f aca="false">IF(_PENDIENTES!$B$825&lt;&gt;"",824,"")</f>
        <v/>
      </c>
      <c r="B831" s="41" t="str">
        <f aca="false">IF(_PENDIENTES!$B$825&lt;&gt;"",_PENDIENTES!$A$825,"")</f>
        <v/>
      </c>
      <c r="C831" s="110" t="str">
        <f aca="false">IF(_PENDIENTES!$B$825&lt;&gt;"",_PENDIENTES!$C$825,"")</f>
        <v/>
      </c>
      <c r="D831" s="46" t="str">
        <f aca="false">IF(_PENDIENTES!$B$825&lt;&gt;"",_PENDIENTES!$D$825,"")</f>
        <v/>
      </c>
      <c r="E831" s="112" t="str">
        <f aca="false">IF(_PENDIENTES!$B$825&lt;&gt;"",_PENDIENTES!$E$825,"")</f>
        <v/>
      </c>
      <c r="F831" s="46" t="str">
        <f aca="false">IF(_PENDIENTES!$B$825&lt;&gt;"",_PENDIENTES!$F$825,"")</f>
        <v/>
      </c>
      <c r="G831" s="44" t="str">
        <f aca="false">IF(_PENDIENTES!$B$825&lt;&gt;"",_PENDIENTES!$G$825,"")</f>
        <v/>
      </c>
      <c r="H831" s="44" t="str">
        <f aca="false">IF(_PENDIENTES!$B$825&lt;&gt;"",_PENDIENTES!$H$825,"")</f>
        <v/>
      </c>
      <c r="I831" s="110" t="str">
        <f aca="false">IF(_PENDIENTES!$B$825&lt;&gt;"",_PENDIENTES!$I$825,"")</f>
        <v/>
      </c>
      <c r="J831" s="46" t="str">
        <f aca="false">IF(_PENDIENTES!$B$825&lt;&gt;"",_PENDIENTES!$J$825,"")</f>
        <v/>
      </c>
      <c r="K831" s="46" t="str">
        <f aca="false">IF(_PENDIENTES!$B$825&lt;&gt;"","POR RECOGER","")</f>
        <v/>
      </c>
      <c r="L831" s="46" t="str">
        <f aca="false">IF(_PENDIENTES!$B$825&lt;&gt;"",_PENDIENTES!$K$825,"")</f>
        <v/>
      </c>
      <c r="M831" s="89" t="str">
        <f aca="false">IF(_PENDIENTES!$B$825&lt;&gt;"",_PENDIENTES!$B$825,"")</f>
        <v/>
      </c>
      <c r="N831" s="109" t="str">
        <f aca="false">IF(_PENDIENTES!$B$825&lt;&gt;"",_PENDIENTES!$L$825,"")</f>
        <v/>
      </c>
      <c r="O831" s="89"/>
      <c r="P831" s="89"/>
      <c r="Q831" s="89"/>
      <c r="R831" s="89"/>
      <c r="S831" s="89"/>
    </row>
    <row r="832" customFormat="false" ht="15.75" hidden="true" customHeight="true" outlineLevel="0" collapsed="false">
      <c r="A832" s="106" t="str">
        <f aca="false">IF(_PENDIENTES!$B$826&lt;&gt;"",825,"")</f>
        <v/>
      </c>
      <c r="B832" s="47" t="str">
        <f aca="false">IF(_PENDIENTES!$B$826&lt;&gt;"",_PENDIENTES!$A$826,"")</f>
        <v/>
      </c>
      <c r="C832" s="107" t="str">
        <f aca="false">IF(_PENDIENTES!$B$826&lt;&gt;"",_PENDIENTES!$C$826,"")</f>
        <v/>
      </c>
      <c r="D832" s="106" t="str">
        <f aca="false">IF(_PENDIENTES!$B$826&lt;&gt;"",_PENDIENTES!$D$826,"")</f>
        <v/>
      </c>
      <c r="E832" s="111" t="str">
        <f aca="false">IF(_PENDIENTES!$B$826&lt;&gt;"",_PENDIENTES!$E$826,"")</f>
        <v/>
      </c>
      <c r="F832" s="106" t="str">
        <f aca="false">IF(_PENDIENTES!$B$826&lt;&gt;"",_PENDIENTES!$F$826,"")</f>
        <v/>
      </c>
      <c r="G832" s="50" t="str">
        <f aca="false">IF(_PENDIENTES!$B$826&lt;&gt;"",_PENDIENTES!$G$826,"")</f>
        <v/>
      </c>
      <c r="H832" s="50" t="str">
        <f aca="false">IF(_PENDIENTES!$B$826&lt;&gt;"",_PENDIENTES!$H$826,"")</f>
        <v/>
      </c>
      <c r="I832" s="107" t="str">
        <f aca="false">IF(_PENDIENTES!$B$826&lt;&gt;"",_PENDIENTES!$I$826,"")</f>
        <v/>
      </c>
      <c r="J832" s="106" t="str">
        <f aca="false">IF(_PENDIENTES!$B$826&lt;&gt;"",_PENDIENTES!$J$826,"")</f>
        <v/>
      </c>
      <c r="K832" s="106" t="str">
        <f aca="false">IF(_PENDIENTES!$B$826&lt;&gt;"","POR RECOGER","")</f>
        <v/>
      </c>
      <c r="L832" s="106" t="str">
        <f aca="false">IF(_PENDIENTES!$B$826&lt;&gt;"",_PENDIENTES!$K$826,"")</f>
        <v/>
      </c>
      <c r="M832" s="89" t="str">
        <f aca="false">IF(_PENDIENTES!$B$826&lt;&gt;"",_PENDIENTES!$B$826,"")</f>
        <v/>
      </c>
      <c r="N832" s="109" t="str">
        <f aca="false">IF(_PENDIENTES!$B$826&lt;&gt;"",_PENDIENTES!$L$826,"")</f>
        <v/>
      </c>
      <c r="O832" s="89"/>
      <c r="P832" s="89"/>
      <c r="Q832" s="89"/>
      <c r="R832" s="89"/>
      <c r="S832" s="89"/>
    </row>
    <row r="833" customFormat="false" ht="15.75" hidden="true" customHeight="true" outlineLevel="0" collapsed="false">
      <c r="A833" s="46" t="str">
        <f aca="false">IF(_PENDIENTES!$B$827&lt;&gt;"",826,"")</f>
        <v/>
      </c>
      <c r="B833" s="41" t="str">
        <f aca="false">IF(_PENDIENTES!$B$827&lt;&gt;"",_PENDIENTES!$A$827,"")</f>
        <v/>
      </c>
      <c r="C833" s="110" t="str">
        <f aca="false">IF(_PENDIENTES!$B$827&lt;&gt;"",_PENDIENTES!$C$827,"")</f>
        <v/>
      </c>
      <c r="D833" s="46" t="str">
        <f aca="false">IF(_PENDIENTES!$B$827&lt;&gt;"",_PENDIENTES!$D$827,"")</f>
        <v/>
      </c>
      <c r="E833" s="112" t="str">
        <f aca="false">IF(_PENDIENTES!$B$827&lt;&gt;"",_PENDIENTES!$E$827,"")</f>
        <v/>
      </c>
      <c r="F833" s="46" t="str">
        <f aca="false">IF(_PENDIENTES!$B$827&lt;&gt;"",_PENDIENTES!$F$827,"")</f>
        <v/>
      </c>
      <c r="G833" s="44" t="str">
        <f aca="false">IF(_PENDIENTES!$B$827&lt;&gt;"",_PENDIENTES!$G$827,"")</f>
        <v/>
      </c>
      <c r="H833" s="44" t="str">
        <f aca="false">IF(_PENDIENTES!$B$827&lt;&gt;"",_PENDIENTES!$H$827,"")</f>
        <v/>
      </c>
      <c r="I833" s="110" t="str">
        <f aca="false">IF(_PENDIENTES!$B$827&lt;&gt;"",_PENDIENTES!$I$827,"")</f>
        <v/>
      </c>
      <c r="J833" s="46" t="str">
        <f aca="false">IF(_PENDIENTES!$B$827&lt;&gt;"",_PENDIENTES!$J$827,"")</f>
        <v/>
      </c>
      <c r="K833" s="46" t="str">
        <f aca="false">IF(_PENDIENTES!$B$827&lt;&gt;"","POR RECOGER","")</f>
        <v/>
      </c>
      <c r="L833" s="46" t="str">
        <f aca="false">IF(_PENDIENTES!$B$827&lt;&gt;"",_PENDIENTES!$K$827,"")</f>
        <v/>
      </c>
      <c r="M833" s="89" t="str">
        <f aca="false">IF(_PENDIENTES!$B$827&lt;&gt;"",_PENDIENTES!$B$827,"")</f>
        <v/>
      </c>
      <c r="N833" s="109" t="str">
        <f aca="false">IF(_PENDIENTES!$B$827&lt;&gt;"",_PENDIENTES!$L$827,"")</f>
        <v/>
      </c>
      <c r="O833" s="89"/>
      <c r="P833" s="89"/>
      <c r="Q833" s="89"/>
      <c r="R833" s="89"/>
      <c r="S833" s="89"/>
    </row>
    <row r="834" customFormat="false" ht="15.75" hidden="true" customHeight="true" outlineLevel="0" collapsed="false">
      <c r="A834" s="106" t="str">
        <f aca="false">IF(_PENDIENTES!$B$828&lt;&gt;"",827,"")</f>
        <v/>
      </c>
      <c r="B834" s="47" t="str">
        <f aca="false">IF(_PENDIENTES!$B$828&lt;&gt;"",_PENDIENTES!$A$828,"")</f>
        <v/>
      </c>
      <c r="C834" s="107" t="str">
        <f aca="false">IF(_PENDIENTES!$B$828&lt;&gt;"",_PENDIENTES!$C$828,"")</f>
        <v/>
      </c>
      <c r="D834" s="106" t="str">
        <f aca="false">IF(_PENDIENTES!$B$828&lt;&gt;"",_PENDIENTES!$D$828,"")</f>
        <v/>
      </c>
      <c r="E834" s="111" t="str">
        <f aca="false">IF(_PENDIENTES!$B$828&lt;&gt;"",_PENDIENTES!$E$828,"")</f>
        <v/>
      </c>
      <c r="F834" s="106" t="str">
        <f aca="false">IF(_PENDIENTES!$B$828&lt;&gt;"",_PENDIENTES!$F$828,"")</f>
        <v/>
      </c>
      <c r="G834" s="50" t="str">
        <f aca="false">IF(_PENDIENTES!$B$828&lt;&gt;"",_PENDIENTES!$G$828,"")</f>
        <v/>
      </c>
      <c r="H834" s="50" t="str">
        <f aca="false">IF(_PENDIENTES!$B$828&lt;&gt;"",_PENDIENTES!$H$828,"")</f>
        <v/>
      </c>
      <c r="I834" s="107" t="str">
        <f aca="false">IF(_PENDIENTES!$B$828&lt;&gt;"",_PENDIENTES!$I$828,"")</f>
        <v/>
      </c>
      <c r="J834" s="106" t="str">
        <f aca="false">IF(_PENDIENTES!$B$828&lt;&gt;"",_PENDIENTES!$J$828,"")</f>
        <v/>
      </c>
      <c r="K834" s="106" t="str">
        <f aca="false">IF(_PENDIENTES!$B$828&lt;&gt;"","POR RECOGER","")</f>
        <v/>
      </c>
      <c r="L834" s="106" t="str">
        <f aca="false">IF(_PENDIENTES!$B$828&lt;&gt;"",_PENDIENTES!$K$828,"")</f>
        <v/>
      </c>
      <c r="M834" s="89" t="str">
        <f aca="false">IF(_PENDIENTES!$B$828&lt;&gt;"",_PENDIENTES!$B$828,"")</f>
        <v/>
      </c>
      <c r="N834" s="109" t="str">
        <f aca="false">IF(_PENDIENTES!$B$828&lt;&gt;"",_PENDIENTES!$L$828,"")</f>
        <v/>
      </c>
      <c r="O834" s="89"/>
      <c r="P834" s="89"/>
      <c r="Q834" s="89"/>
      <c r="R834" s="89"/>
      <c r="S834" s="89"/>
    </row>
    <row r="835" customFormat="false" ht="15.75" hidden="true" customHeight="true" outlineLevel="0" collapsed="false">
      <c r="A835" s="46" t="str">
        <f aca="false">IF(_PENDIENTES!$B$829&lt;&gt;"",828,"")</f>
        <v/>
      </c>
      <c r="B835" s="41" t="str">
        <f aca="false">IF(_PENDIENTES!$B$829&lt;&gt;"",_PENDIENTES!$A$829,"")</f>
        <v/>
      </c>
      <c r="C835" s="110" t="str">
        <f aca="false">IF(_PENDIENTES!$B$829&lt;&gt;"",_PENDIENTES!$C$829,"")</f>
        <v/>
      </c>
      <c r="D835" s="46" t="str">
        <f aca="false">IF(_PENDIENTES!$B$829&lt;&gt;"",_PENDIENTES!$D$829,"")</f>
        <v/>
      </c>
      <c r="E835" s="112" t="str">
        <f aca="false">IF(_PENDIENTES!$B$829&lt;&gt;"",_PENDIENTES!$E$829,"")</f>
        <v/>
      </c>
      <c r="F835" s="46" t="str">
        <f aca="false">IF(_PENDIENTES!$B$829&lt;&gt;"",_PENDIENTES!$F$829,"")</f>
        <v/>
      </c>
      <c r="G835" s="44" t="str">
        <f aca="false">IF(_PENDIENTES!$B$829&lt;&gt;"",_PENDIENTES!$G$829,"")</f>
        <v/>
      </c>
      <c r="H835" s="44" t="str">
        <f aca="false">IF(_PENDIENTES!$B$829&lt;&gt;"",_PENDIENTES!$H$829,"")</f>
        <v/>
      </c>
      <c r="I835" s="110" t="str">
        <f aca="false">IF(_PENDIENTES!$B$829&lt;&gt;"",_PENDIENTES!$I$829,"")</f>
        <v/>
      </c>
      <c r="J835" s="46" t="str">
        <f aca="false">IF(_PENDIENTES!$B$829&lt;&gt;"",_PENDIENTES!$J$829,"")</f>
        <v/>
      </c>
      <c r="K835" s="46" t="str">
        <f aca="false">IF(_PENDIENTES!$B$829&lt;&gt;"","POR RECOGER","")</f>
        <v/>
      </c>
      <c r="L835" s="46" t="str">
        <f aca="false">IF(_PENDIENTES!$B$829&lt;&gt;"",_PENDIENTES!$K$829,"")</f>
        <v/>
      </c>
      <c r="M835" s="89" t="str">
        <f aca="false">IF(_PENDIENTES!$B$829&lt;&gt;"",_PENDIENTES!$B$829,"")</f>
        <v/>
      </c>
      <c r="N835" s="109" t="str">
        <f aca="false">IF(_PENDIENTES!$B$829&lt;&gt;"",_PENDIENTES!$L$829,"")</f>
        <v/>
      </c>
      <c r="O835" s="89"/>
      <c r="P835" s="89"/>
      <c r="Q835" s="89"/>
      <c r="R835" s="89"/>
      <c r="S835" s="89"/>
    </row>
    <row r="836" customFormat="false" ht="15.75" hidden="true" customHeight="true" outlineLevel="0" collapsed="false">
      <c r="A836" s="106" t="str">
        <f aca="false">IF(_PENDIENTES!$B$830&lt;&gt;"",829,"")</f>
        <v/>
      </c>
      <c r="B836" s="47" t="str">
        <f aca="false">IF(_PENDIENTES!$B$830&lt;&gt;"",_PENDIENTES!$A$830,"")</f>
        <v/>
      </c>
      <c r="C836" s="107" t="str">
        <f aca="false">IF(_PENDIENTES!$B$830&lt;&gt;"",_PENDIENTES!$C$830,"")</f>
        <v/>
      </c>
      <c r="D836" s="106" t="str">
        <f aca="false">IF(_PENDIENTES!$B$830&lt;&gt;"",_PENDIENTES!$D$830,"")</f>
        <v/>
      </c>
      <c r="E836" s="111" t="str">
        <f aca="false">IF(_PENDIENTES!$B$830&lt;&gt;"",_PENDIENTES!$E$830,"")</f>
        <v/>
      </c>
      <c r="F836" s="106" t="str">
        <f aca="false">IF(_PENDIENTES!$B$830&lt;&gt;"",_PENDIENTES!$F$830,"")</f>
        <v/>
      </c>
      <c r="G836" s="50" t="str">
        <f aca="false">IF(_PENDIENTES!$B$830&lt;&gt;"",_PENDIENTES!$G$830,"")</f>
        <v/>
      </c>
      <c r="H836" s="50" t="str">
        <f aca="false">IF(_PENDIENTES!$B$830&lt;&gt;"",_PENDIENTES!$H$830,"")</f>
        <v/>
      </c>
      <c r="I836" s="107" t="str">
        <f aca="false">IF(_PENDIENTES!$B$830&lt;&gt;"",_PENDIENTES!$I$830,"")</f>
        <v/>
      </c>
      <c r="J836" s="106" t="str">
        <f aca="false">IF(_PENDIENTES!$B$830&lt;&gt;"",_PENDIENTES!$J$830,"")</f>
        <v/>
      </c>
      <c r="K836" s="106" t="str">
        <f aca="false">IF(_PENDIENTES!$B$830&lt;&gt;"","POR RECOGER","")</f>
        <v/>
      </c>
      <c r="L836" s="106" t="str">
        <f aca="false">IF(_PENDIENTES!$B$830&lt;&gt;"",_PENDIENTES!$K$830,"")</f>
        <v/>
      </c>
      <c r="M836" s="89" t="str">
        <f aca="false">IF(_PENDIENTES!$B$830&lt;&gt;"",_PENDIENTES!$B$830,"")</f>
        <v/>
      </c>
      <c r="N836" s="109" t="str">
        <f aca="false">IF(_PENDIENTES!$B$830&lt;&gt;"",_PENDIENTES!$L$830,"")</f>
        <v/>
      </c>
      <c r="O836" s="89"/>
      <c r="P836" s="89"/>
      <c r="Q836" s="89"/>
      <c r="R836" s="89"/>
      <c r="S836" s="89"/>
    </row>
    <row r="837" customFormat="false" ht="15.75" hidden="true" customHeight="true" outlineLevel="0" collapsed="false">
      <c r="A837" s="46" t="str">
        <f aca="false">IF(_PENDIENTES!$B$831&lt;&gt;"",830,"")</f>
        <v/>
      </c>
      <c r="B837" s="41" t="str">
        <f aca="false">IF(_PENDIENTES!$B$831&lt;&gt;"",_PENDIENTES!$A$831,"")</f>
        <v/>
      </c>
      <c r="C837" s="110" t="str">
        <f aca="false">IF(_PENDIENTES!$B$831&lt;&gt;"",_PENDIENTES!$C$831,"")</f>
        <v/>
      </c>
      <c r="D837" s="46" t="str">
        <f aca="false">IF(_PENDIENTES!$B$831&lt;&gt;"",_PENDIENTES!$D$831,"")</f>
        <v/>
      </c>
      <c r="E837" s="112" t="str">
        <f aca="false">IF(_PENDIENTES!$B$831&lt;&gt;"",_PENDIENTES!$E$831,"")</f>
        <v/>
      </c>
      <c r="F837" s="46" t="str">
        <f aca="false">IF(_PENDIENTES!$B$831&lt;&gt;"",_PENDIENTES!$F$831,"")</f>
        <v/>
      </c>
      <c r="G837" s="44" t="str">
        <f aca="false">IF(_PENDIENTES!$B$831&lt;&gt;"",_PENDIENTES!$G$831,"")</f>
        <v/>
      </c>
      <c r="H837" s="44" t="str">
        <f aca="false">IF(_PENDIENTES!$B$831&lt;&gt;"",_PENDIENTES!$H$831,"")</f>
        <v/>
      </c>
      <c r="I837" s="110" t="str">
        <f aca="false">IF(_PENDIENTES!$B$831&lt;&gt;"",_PENDIENTES!$I$831,"")</f>
        <v/>
      </c>
      <c r="J837" s="46" t="str">
        <f aca="false">IF(_PENDIENTES!$B$831&lt;&gt;"",_PENDIENTES!$J$831,"")</f>
        <v/>
      </c>
      <c r="K837" s="46" t="str">
        <f aca="false">IF(_PENDIENTES!$B$831&lt;&gt;"","POR RECOGER","")</f>
        <v/>
      </c>
      <c r="L837" s="46" t="str">
        <f aca="false">IF(_PENDIENTES!$B$831&lt;&gt;"",_PENDIENTES!$K$831,"")</f>
        <v/>
      </c>
      <c r="M837" s="89" t="str">
        <f aca="false">IF(_PENDIENTES!$B$831&lt;&gt;"",_PENDIENTES!$B$831,"")</f>
        <v/>
      </c>
      <c r="N837" s="109" t="str">
        <f aca="false">IF(_PENDIENTES!$B$831&lt;&gt;"",_PENDIENTES!$L$831,"")</f>
        <v/>
      </c>
      <c r="O837" s="89"/>
      <c r="P837" s="89"/>
      <c r="Q837" s="89"/>
      <c r="R837" s="89"/>
      <c r="S837" s="89"/>
    </row>
    <row r="838" customFormat="false" ht="15.75" hidden="true" customHeight="true" outlineLevel="0" collapsed="false">
      <c r="A838" s="106" t="str">
        <f aca="false">IF(_PENDIENTES!$B$832&lt;&gt;"",831,"")</f>
        <v/>
      </c>
      <c r="B838" s="47" t="str">
        <f aca="false">IF(_PENDIENTES!$B$832&lt;&gt;"",_PENDIENTES!$A$832,"")</f>
        <v/>
      </c>
      <c r="C838" s="107" t="str">
        <f aca="false">IF(_PENDIENTES!$B$832&lt;&gt;"",_PENDIENTES!$C$832,"")</f>
        <v/>
      </c>
      <c r="D838" s="106" t="str">
        <f aca="false">IF(_PENDIENTES!$B$832&lt;&gt;"",_PENDIENTES!$D$832,"")</f>
        <v/>
      </c>
      <c r="E838" s="111" t="str">
        <f aca="false">IF(_PENDIENTES!$B$832&lt;&gt;"",_PENDIENTES!$E$832,"")</f>
        <v/>
      </c>
      <c r="F838" s="106" t="str">
        <f aca="false">IF(_PENDIENTES!$B$832&lt;&gt;"",_PENDIENTES!$F$832,"")</f>
        <v/>
      </c>
      <c r="G838" s="50" t="str">
        <f aca="false">IF(_PENDIENTES!$B$832&lt;&gt;"",_PENDIENTES!$G$832,"")</f>
        <v/>
      </c>
      <c r="H838" s="50" t="str">
        <f aca="false">IF(_PENDIENTES!$B$832&lt;&gt;"",_PENDIENTES!$H$832,"")</f>
        <v/>
      </c>
      <c r="I838" s="107" t="str">
        <f aca="false">IF(_PENDIENTES!$B$832&lt;&gt;"",_PENDIENTES!$I$832,"")</f>
        <v/>
      </c>
      <c r="J838" s="106" t="str">
        <f aca="false">IF(_PENDIENTES!$B$832&lt;&gt;"",_PENDIENTES!$J$832,"")</f>
        <v/>
      </c>
      <c r="K838" s="106" t="str">
        <f aca="false">IF(_PENDIENTES!$B$832&lt;&gt;"","POR RECOGER","")</f>
        <v/>
      </c>
      <c r="L838" s="106" t="str">
        <f aca="false">IF(_PENDIENTES!$B$832&lt;&gt;"",_PENDIENTES!$K$832,"")</f>
        <v/>
      </c>
      <c r="M838" s="89" t="str">
        <f aca="false">IF(_PENDIENTES!$B$832&lt;&gt;"",_PENDIENTES!$B$832,"")</f>
        <v/>
      </c>
      <c r="N838" s="109" t="str">
        <f aca="false">IF(_PENDIENTES!$B$832&lt;&gt;"",_PENDIENTES!$L$832,"")</f>
        <v/>
      </c>
      <c r="O838" s="89"/>
      <c r="P838" s="89"/>
      <c r="Q838" s="89"/>
      <c r="R838" s="89"/>
      <c r="S838" s="89"/>
    </row>
    <row r="839" customFormat="false" ht="15.75" hidden="true" customHeight="true" outlineLevel="0" collapsed="false">
      <c r="A839" s="46" t="str">
        <f aca="false">IF(_PENDIENTES!$B$833&lt;&gt;"",832,"")</f>
        <v/>
      </c>
      <c r="B839" s="41" t="str">
        <f aca="false">IF(_PENDIENTES!$B$833&lt;&gt;"",_PENDIENTES!$A$833,"")</f>
        <v/>
      </c>
      <c r="C839" s="110" t="str">
        <f aca="false">IF(_PENDIENTES!$B$833&lt;&gt;"",_PENDIENTES!$C$833,"")</f>
        <v/>
      </c>
      <c r="D839" s="46" t="str">
        <f aca="false">IF(_PENDIENTES!$B$833&lt;&gt;"",_PENDIENTES!$D$833,"")</f>
        <v/>
      </c>
      <c r="E839" s="112" t="str">
        <f aca="false">IF(_PENDIENTES!$B$833&lt;&gt;"",_PENDIENTES!$E$833,"")</f>
        <v/>
      </c>
      <c r="F839" s="46" t="str">
        <f aca="false">IF(_PENDIENTES!$B$833&lt;&gt;"",_PENDIENTES!$F$833,"")</f>
        <v/>
      </c>
      <c r="G839" s="44" t="str">
        <f aca="false">IF(_PENDIENTES!$B$833&lt;&gt;"",_PENDIENTES!$G$833,"")</f>
        <v/>
      </c>
      <c r="H839" s="44" t="str">
        <f aca="false">IF(_PENDIENTES!$B$833&lt;&gt;"",_PENDIENTES!$H$833,"")</f>
        <v/>
      </c>
      <c r="I839" s="110" t="str">
        <f aca="false">IF(_PENDIENTES!$B$833&lt;&gt;"",_PENDIENTES!$I$833,"")</f>
        <v/>
      </c>
      <c r="J839" s="46" t="str">
        <f aca="false">IF(_PENDIENTES!$B$833&lt;&gt;"",_PENDIENTES!$J$833,"")</f>
        <v/>
      </c>
      <c r="K839" s="46" t="str">
        <f aca="false">IF(_PENDIENTES!$B$833&lt;&gt;"","POR RECOGER","")</f>
        <v/>
      </c>
      <c r="L839" s="46" t="str">
        <f aca="false">IF(_PENDIENTES!$B$833&lt;&gt;"",_PENDIENTES!$K$833,"")</f>
        <v/>
      </c>
      <c r="M839" s="89" t="str">
        <f aca="false">IF(_PENDIENTES!$B$833&lt;&gt;"",_PENDIENTES!$B$833,"")</f>
        <v/>
      </c>
      <c r="N839" s="109" t="str">
        <f aca="false">IF(_PENDIENTES!$B$833&lt;&gt;"",_PENDIENTES!$L$833,"")</f>
        <v/>
      </c>
      <c r="O839" s="89"/>
      <c r="P839" s="89"/>
      <c r="Q839" s="89"/>
      <c r="R839" s="89"/>
      <c r="S839" s="89"/>
    </row>
    <row r="840" customFormat="false" ht="15.75" hidden="true" customHeight="true" outlineLevel="0" collapsed="false">
      <c r="A840" s="106" t="str">
        <f aca="false">IF(_PENDIENTES!$B$834&lt;&gt;"",833,"")</f>
        <v/>
      </c>
      <c r="B840" s="47" t="str">
        <f aca="false">IF(_PENDIENTES!$B$834&lt;&gt;"",_PENDIENTES!$A$834,"")</f>
        <v/>
      </c>
      <c r="C840" s="107" t="str">
        <f aca="false">IF(_PENDIENTES!$B$834&lt;&gt;"",_PENDIENTES!$C$834,"")</f>
        <v/>
      </c>
      <c r="D840" s="106" t="str">
        <f aca="false">IF(_PENDIENTES!$B$834&lt;&gt;"",_PENDIENTES!$D$834,"")</f>
        <v/>
      </c>
      <c r="E840" s="111" t="str">
        <f aca="false">IF(_PENDIENTES!$B$834&lt;&gt;"",_PENDIENTES!$E$834,"")</f>
        <v/>
      </c>
      <c r="F840" s="106" t="str">
        <f aca="false">IF(_PENDIENTES!$B$834&lt;&gt;"",_PENDIENTES!$F$834,"")</f>
        <v/>
      </c>
      <c r="G840" s="50" t="str">
        <f aca="false">IF(_PENDIENTES!$B$834&lt;&gt;"",_PENDIENTES!$G$834,"")</f>
        <v/>
      </c>
      <c r="H840" s="50" t="str">
        <f aca="false">IF(_PENDIENTES!$B$834&lt;&gt;"",_PENDIENTES!$H$834,"")</f>
        <v/>
      </c>
      <c r="I840" s="107" t="str">
        <f aca="false">IF(_PENDIENTES!$B$834&lt;&gt;"",_PENDIENTES!$I$834,"")</f>
        <v/>
      </c>
      <c r="J840" s="106" t="str">
        <f aca="false">IF(_PENDIENTES!$B$834&lt;&gt;"",_PENDIENTES!$J$834,"")</f>
        <v/>
      </c>
      <c r="K840" s="106" t="str">
        <f aca="false">IF(_PENDIENTES!$B$834&lt;&gt;"","POR RECOGER","")</f>
        <v/>
      </c>
      <c r="L840" s="106" t="str">
        <f aca="false">IF(_PENDIENTES!$B$834&lt;&gt;"",_PENDIENTES!$K$834,"")</f>
        <v/>
      </c>
      <c r="M840" s="89" t="str">
        <f aca="false">IF(_PENDIENTES!$B$834&lt;&gt;"",_PENDIENTES!$B$834,"")</f>
        <v/>
      </c>
      <c r="N840" s="109" t="str">
        <f aca="false">IF(_PENDIENTES!$B$834&lt;&gt;"",_PENDIENTES!$L$834,"")</f>
        <v/>
      </c>
      <c r="O840" s="89"/>
      <c r="P840" s="89"/>
      <c r="Q840" s="89"/>
      <c r="R840" s="89"/>
      <c r="S840" s="89"/>
    </row>
    <row r="841" customFormat="false" ht="15.75" hidden="true" customHeight="true" outlineLevel="0" collapsed="false">
      <c r="A841" s="46" t="str">
        <f aca="false">IF(_PENDIENTES!$B$835&lt;&gt;"",834,"")</f>
        <v/>
      </c>
      <c r="B841" s="41" t="str">
        <f aca="false">IF(_PENDIENTES!$B$835&lt;&gt;"",_PENDIENTES!$A$835,"")</f>
        <v/>
      </c>
      <c r="C841" s="110" t="str">
        <f aca="false">IF(_PENDIENTES!$B$835&lt;&gt;"",_PENDIENTES!$C$835,"")</f>
        <v/>
      </c>
      <c r="D841" s="46" t="str">
        <f aca="false">IF(_PENDIENTES!$B$835&lt;&gt;"",_PENDIENTES!$D$835,"")</f>
        <v/>
      </c>
      <c r="E841" s="112" t="str">
        <f aca="false">IF(_PENDIENTES!$B$835&lt;&gt;"",_PENDIENTES!$E$835,"")</f>
        <v/>
      </c>
      <c r="F841" s="46" t="str">
        <f aca="false">IF(_PENDIENTES!$B$835&lt;&gt;"",_PENDIENTES!$F$835,"")</f>
        <v/>
      </c>
      <c r="G841" s="44" t="str">
        <f aca="false">IF(_PENDIENTES!$B$835&lt;&gt;"",_PENDIENTES!$G$835,"")</f>
        <v/>
      </c>
      <c r="H841" s="44" t="str">
        <f aca="false">IF(_PENDIENTES!$B$835&lt;&gt;"",_PENDIENTES!$H$835,"")</f>
        <v/>
      </c>
      <c r="I841" s="110" t="str">
        <f aca="false">IF(_PENDIENTES!$B$835&lt;&gt;"",_PENDIENTES!$I$835,"")</f>
        <v/>
      </c>
      <c r="J841" s="46" t="str">
        <f aca="false">IF(_PENDIENTES!$B$835&lt;&gt;"",_PENDIENTES!$J$835,"")</f>
        <v/>
      </c>
      <c r="K841" s="46" t="str">
        <f aca="false">IF(_PENDIENTES!$B$835&lt;&gt;"","POR RECOGER","")</f>
        <v/>
      </c>
      <c r="L841" s="46" t="str">
        <f aca="false">IF(_PENDIENTES!$B$835&lt;&gt;"",_PENDIENTES!$K$835,"")</f>
        <v/>
      </c>
      <c r="M841" s="89" t="str">
        <f aca="false">IF(_PENDIENTES!$B$835&lt;&gt;"",_PENDIENTES!$B$835,"")</f>
        <v/>
      </c>
      <c r="N841" s="109" t="str">
        <f aca="false">IF(_PENDIENTES!$B$835&lt;&gt;"",_PENDIENTES!$L$835,"")</f>
        <v/>
      </c>
      <c r="O841" s="89"/>
      <c r="P841" s="89"/>
      <c r="Q841" s="89"/>
      <c r="R841" s="89"/>
      <c r="S841" s="89"/>
    </row>
    <row r="842" customFormat="false" ht="15.75" hidden="true" customHeight="true" outlineLevel="0" collapsed="false">
      <c r="A842" s="106" t="str">
        <f aca="false">IF(_PENDIENTES!$B$836&lt;&gt;"",835,"")</f>
        <v/>
      </c>
      <c r="B842" s="47" t="str">
        <f aca="false">IF(_PENDIENTES!$B$836&lt;&gt;"",_PENDIENTES!$A$836,"")</f>
        <v/>
      </c>
      <c r="C842" s="107" t="str">
        <f aca="false">IF(_PENDIENTES!$B$836&lt;&gt;"",_PENDIENTES!$C$836,"")</f>
        <v/>
      </c>
      <c r="D842" s="106" t="str">
        <f aca="false">IF(_PENDIENTES!$B$836&lt;&gt;"",_PENDIENTES!$D$836,"")</f>
        <v/>
      </c>
      <c r="E842" s="111" t="str">
        <f aca="false">IF(_PENDIENTES!$B$836&lt;&gt;"",_PENDIENTES!$E$836,"")</f>
        <v/>
      </c>
      <c r="F842" s="106" t="str">
        <f aca="false">IF(_PENDIENTES!$B$836&lt;&gt;"",_PENDIENTES!$F$836,"")</f>
        <v/>
      </c>
      <c r="G842" s="50" t="str">
        <f aca="false">IF(_PENDIENTES!$B$836&lt;&gt;"",_PENDIENTES!$G$836,"")</f>
        <v/>
      </c>
      <c r="H842" s="50" t="str">
        <f aca="false">IF(_PENDIENTES!$B$836&lt;&gt;"",_PENDIENTES!$H$836,"")</f>
        <v/>
      </c>
      <c r="I842" s="107" t="str">
        <f aca="false">IF(_PENDIENTES!$B$836&lt;&gt;"",_PENDIENTES!$I$836,"")</f>
        <v/>
      </c>
      <c r="J842" s="106" t="str">
        <f aca="false">IF(_PENDIENTES!$B$836&lt;&gt;"",_PENDIENTES!$J$836,"")</f>
        <v/>
      </c>
      <c r="K842" s="106" t="str">
        <f aca="false">IF(_PENDIENTES!$B$836&lt;&gt;"","POR RECOGER","")</f>
        <v/>
      </c>
      <c r="L842" s="106" t="str">
        <f aca="false">IF(_PENDIENTES!$B$836&lt;&gt;"",_PENDIENTES!$K$836,"")</f>
        <v/>
      </c>
      <c r="M842" s="89" t="str">
        <f aca="false">IF(_PENDIENTES!$B$836&lt;&gt;"",_PENDIENTES!$B$836,"")</f>
        <v/>
      </c>
      <c r="N842" s="109" t="str">
        <f aca="false">IF(_PENDIENTES!$B$836&lt;&gt;"",_PENDIENTES!$L$836,"")</f>
        <v/>
      </c>
      <c r="O842" s="89"/>
      <c r="P842" s="89"/>
      <c r="Q842" s="89"/>
      <c r="R842" s="89"/>
      <c r="S842" s="89"/>
    </row>
    <row r="843" customFormat="false" ht="15.75" hidden="true" customHeight="true" outlineLevel="0" collapsed="false">
      <c r="A843" s="46" t="str">
        <f aca="false">IF(_PENDIENTES!$B$837&lt;&gt;"",836,"")</f>
        <v/>
      </c>
      <c r="B843" s="41" t="str">
        <f aca="false">IF(_PENDIENTES!$B$837&lt;&gt;"",_PENDIENTES!$A$837,"")</f>
        <v/>
      </c>
      <c r="C843" s="110" t="str">
        <f aca="false">IF(_PENDIENTES!$B$837&lt;&gt;"",_PENDIENTES!$C$837,"")</f>
        <v/>
      </c>
      <c r="D843" s="46" t="str">
        <f aca="false">IF(_PENDIENTES!$B$837&lt;&gt;"",_PENDIENTES!$D$837,"")</f>
        <v/>
      </c>
      <c r="E843" s="112" t="str">
        <f aca="false">IF(_PENDIENTES!$B$837&lt;&gt;"",_PENDIENTES!$E$837,"")</f>
        <v/>
      </c>
      <c r="F843" s="46" t="str">
        <f aca="false">IF(_PENDIENTES!$B$837&lt;&gt;"",_PENDIENTES!$F$837,"")</f>
        <v/>
      </c>
      <c r="G843" s="44" t="str">
        <f aca="false">IF(_PENDIENTES!$B$837&lt;&gt;"",_PENDIENTES!$G$837,"")</f>
        <v/>
      </c>
      <c r="H843" s="44" t="str">
        <f aca="false">IF(_PENDIENTES!$B$837&lt;&gt;"",_PENDIENTES!$H$837,"")</f>
        <v/>
      </c>
      <c r="I843" s="110" t="str">
        <f aca="false">IF(_PENDIENTES!$B$837&lt;&gt;"",_PENDIENTES!$I$837,"")</f>
        <v/>
      </c>
      <c r="J843" s="46" t="str">
        <f aca="false">IF(_PENDIENTES!$B$837&lt;&gt;"",_PENDIENTES!$J$837,"")</f>
        <v/>
      </c>
      <c r="K843" s="46" t="str">
        <f aca="false">IF(_PENDIENTES!$B$837&lt;&gt;"","POR RECOGER","")</f>
        <v/>
      </c>
      <c r="L843" s="46" t="str">
        <f aca="false">IF(_PENDIENTES!$B$837&lt;&gt;"",_PENDIENTES!$K$837,"")</f>
        <v/>
      </c>
      <c r="M843" s="89" t="str">
        <f aca="false">IF(_PENDIENTES!$B$837&lt;&gt;"",_PENDIENTES!$B$837,"")</f>
        <v/>
      </c>
      <c r="N843" s="109" t="str">
        <f aca="false">IF(_PENDIENTES!$B$837&lt;&gt;"",_PENDIENTES!$L$837,"")</f>
        <v/>
      </c>
      <c r="O843" s="89"/>
      <c r="P843" s="89"/>
      <c r="Q843" s="89"/>
      <c r="R843" s="89"/>
      <c r="S843" s="89"/>
    </row>
    <row r="844" customFormat="false" ht="15.75" hidden="true" customHeight="true" outlineLevel="0" collapsed="false">
      <c r="A844" s="106" t="str">
        <f aca="false">IF(_PENDIENTES!$B$838&lt;&gt;"",837,"")</f>
        <v/>
      </c>
      <c r="B844" s="47" t="str">
        <f aca="false">IF(_PENDIENTES!$B$838&lt;&gt;"",_PENDIENTES!$A$838,"")</f>
        <v/>
      </c>
      <c r="C844" s="107" t="str">
        <f aca="false">IF(_PENDIENTES!$B$838&lt;&gt;"",_PENDIENTES!$C$838,"")</f>
        <v/>
      </c>
      <c r="D844" s="106" t="str">
        <f aca="false">IF(_PENDIENTES!$B$838&lt;&gt;"",_PENDIENTES!$D$838,"")</f>
        <v/>
      </c>
      <c r="E844" s="111" t="str">
        <f aca="false">IF(_PENDIENTES!$B$838&lt;&gt;"",_PENDIENTES!$E$838,"")</f>
        <v/>
      </c>
      <c r="F844" s="106" t="str">
        <f aca="false">IF(_PENDIENTES!$B$838&lt;&gt;"",_PENDIENTES!$F$838,"")</f>
        <v/>
      </c>
      <c r="G844" s="50" t="str">
        <f aca="false">IF(_PENDIENTES!$B$838&lt;&gt;"",_PENDIENTES!$G$838,"")</f>
        <v/>
      </c>
      <c r="H844" s="50" t="str">
        <f aca="false">IF(_PENDIENTES!$B$838&lt;&gt;"",_PENDIENTES!$H$838,"")</f>
        <v/>
      </c>
      <c r="I844" s="107" t="str">
        <f aca="false">IF(_PENDIENTES!$B$838&lt;&gt;"",_PENDIENTES!$I$838,"")</f>
        <v/>
      </c>
      <c r="J844" s="106" t="str">
        <f aca="false">IF(_PENDIENTES!$B$838&lt;&gt;"",_PENDIENTES!$J$838,"")</f>
        <v/>
      </c>
      <c r="K844" s="106" t="str">
        <f aca="false">IF(_PENDIENTES!$B$838&lt;&gt;"","POR RECOGER","")</f>
        <v/>
      </c>
      <c r="L844" s="106" t="str">
        <f aca="false">IF(_PENDIENTES!$B$838&lt;&gt;"",_PENDIENTES!$K$838,"")</f>
        <v/>
      </c>
      <c r="M844" s="89" t="str">
        <f aca="false">IF(_PENDIENTES!$B$838&lt;&gt;"",_PENDIENTES!$B$838,"")</f>
        <v/>
      </c>
      <c r="N844" s="109" t="str">
        <f aca="false">IF(_PENDIENTES!$B$838&lt;&gt;"",_PENDIENTES!$L$838,"")</f>
        <v/>
      </c>
      <c r="O844" s="89"/>
      <c r="P844" s="89"/>
      <c r="Q844" s="89"/>
      <c r="R844" s="89"/>
      <c r="S844" s="89"/>
    </row>
    <row r="845" customFormat="false" ht="15.75" hidden="true" customHeight="true" outlineLevel="0" collapsed="false">
      <c r="A845" s="46" t="str">
        <f aca="false">IF(_PENDIENTES!$B$839&lt;&gt;"",838,"")</f>
        <v/>
      </c>
      <c r="B845" s="41" t="str">
        <f aca="false">IF(_PENDIENTES!$B$839&lt;&gt;"",_PENDIENTES!$A$839,"")</f>
        <v/>
      </c>
      <c r="C845" s="110" t="str">
        <f aca="false">IF(_PENDIENTES!$B$839&lt;&gt;"",_PENDIENTES!$C$839,"")</f>
        <v/>
      </c>
      <c r="D845" s="46" t="str">
        <f aca="false">IF(_PENDIENTES!$B$839&lt;&gt;"",_PENDIENTES!$D$839,"")</f>
        <v/>
      </c>
      <c r="E845" s="112" t="str">
        <f aca="false">IF(_PENDIENTES!$B$839&lt;&gt;"",_PENDIENTES!$E$839,"")</f>
        <v/>
      </c>
      <c r="F845" s="46" t="str">
        <f aca="false">IF(_PENDIENTES!$B$839&lt;&gt;"",_PENDIENTES!$F$839,"")</f>
        <v/>
      </c>
      <c r="G845" s="44" t="str">
        <f aca="false">IF(_PENDIENTES!$B$839&lt;&gt;"",_PENDIENTES!$G$839,"")</f>
        <v/>
      </c>
      <c r="H845" s="44" t="str">
        <f aca="false">IF(_PENDIENTES!$B$839&lt;&gt;"",_PENDIENTES!$H$839,"")</f>
        <v/>
      </c>
      <c r="I845" s="110" t="str">
        <f aca="false">IF(_PENDIENTES!$B$839&lt;&gt;"",_PENDIENTES!$I$839,"")</f>
        <v/>
      </c>
      <c r="J845" s="46" t="str">
        <f aca="false">IF(_PENDIENTES!$B$839&lt;&gt;"",_PENDIENTES!$J$839,"")</f>
        <v/>
      </c>
      <c r="K845" s="46" t="str">
        <f aca="false">IF(_PENDIENTES!$B$839&lt;&gt;"","POR RECOGER","")</f>
        <v/>
      </c>
      <c r="L845" s="46" t="str">
        <f aca="false">IF(_PENDIENTES!$B$839&lt;&gt;"",_PENDIENTES!$K$839,"")</f>
        <v/>
      </c>
      <c r="M845" s="89" t="str">
        <f aca="false">IF(_PENDIENTES!$B$839&lt;&gt;"",_PENDIENTES!$B$839,"")</f>
        <v/>
      </c>
      <c r="N845" s="109" t="str">
        <f aca="false">IF(_PENDIENTES!$B$839&lt;&gt;"",_PENDIENTES!$L$839,"")</f>
        <v/>
      </c>
      <c r="O845" s="89"/>
      <c r="P845" s="89"/>
      <c r="Q845" s="89"/>
      <c r="R845" s="89"/>
      <c r="S845" s="89"/>
    </row>
    <row r="846" customFormat="false" ht="15.75" hidden="true" customHeight="true" outlineLevel="0" collapsed="false">
      <c r="A846" s="106" t="str">
        <f aca="false">IF(_PENDIENTES!$B$840&lt;&gt;"",839,"")</f>
        <v/>
      </c>
      <c r="B846" s="47" t="str">
        <f aca="false">IF(_PENDIENTES!$B$840&lt;&gt;"",_PENDIENTES!$A$840,"")</f>
        <v/>
      </c>
      <c r="C846" s="107" t="str">
        <f aca="false">IF(_PENDIENTES!$B$840&lt;&gt;"",_PENDIENTES!$C$840,"")</f>
        <v/>
      </c>
      <c r="D846" s="106" t="str">
        <f aca="false">IF(_PENDIENTES!$B$840&lt;&gt;"",_PENDIENTES!$D$840,"")</f>
        <v/>
      </c>
      <c r="E846" s="111" t="str">
        <f aca="false">IF(_PENDIENTES!$B$840&lt;&gt;"",_PENDIENTES!$E$840,"")</f>
        <v/>
      </c>
      <c r="F846" s="106" t="str">
        <f aca="false">IF(_PENDIENTES!$B$840&lt;&gt;"",_PENDIENTES!$F$840,"")</f>
        <v/>
      </c>
      <c r="G846" s="50" t="str">
        <f aca="false">IF(_PENDIENTES!$B$840&lt;&gt;"",_PENDIENTES!$G$840,"")</f>
        <v/>
      </c>
      <c r="H846" s="50" t="str">
        <f aca="false">IF(_PENDIENTES!$B$840&lt;&gt;"",_PENDIENTES!$H$840,"")</f>
        <v/>
      </c>
      <c r="I846" s="107" t="str">
        <f aca="false">IF(_PENDIENTES!$B$840&lt;&gt;"",_PENDIENTES!$I$840,"")</f>
        <v/>
      </c>
      <c r="J846" s="106" t="str">
        <f aca="false">IF(_PENDIENTES!$B$840&lt;&gt;"",_PENDIENTES!$J$840,"")</f>
        <v/>
      </c>
      <c r="K846" s="106" t="str">
        <f aca="false">IF(_PENDIENTES!$B$840&lt;&gt;"","POR RECOGER","")</f>
        <v/>
      </c>
      <c r="L846" s="106" t="str">
        <f aca="false">IF(_PENDIENTES!$B$840&lt;&gt;"",_PENDIENTES!$K$840,"")</f>
        <v/>
      </c>
      <c r="M846" s="89" t="str">
        <f aca="false">IF(_PENDIENTES!$B$840&lt;&gt;"",_PENDIENTES!$B$840,"")</f>
        <v/>
      </c>
      <c r="N846" s="109" t="str">
        <f aca="false">IF(_PENDIENTES!$B$840&lt;&gt;"",_PENDIENTES!$L$840,"")</f>
        <v/>
      </c>
      <c r="O846" s="89"/>
      <c r="P846" s="89"/>
      <c r="Q846" s="89"/>
      <c r="R846" s="89"/>
      <c r="S846" s="89"/>
    </row>
    <row r="847" customFormat="false" ht="15.75" hidden="true" customHeight="true" outlineLevel="0" collapsed="false">
      <c r="A847" s="46" t="str">
        <f aca="false">IF(_PENDIENTES!$B$841&lt;&gt;"",840,"")</f>
        <v/>
      </c>
      <c r="B847" s="41" t="str">
        <f aca="false">IF(_PENDIENTES!$B$841&lt;&gt;"",_PENDIENTES!$A$841,"")</f>
        <v/>
      </c>
      <c r="C847" s="110" t="str">
        <f aca="false">IF(_PENDIENTES!$B$841&lt;&gt;"",_PENDIENTES!$C$841,"")</f>
        <v/>
      </c>
      <c r="D847" s="46" t="str">
        <f aca="false">IF(_PENDIENTES!$B$841&lt;&gt;"",_PENDIENTES!$D$841,"")</f>
        <v/>
      </c>
      <c r="E847" s="112" t="str">
        <f aca="false">IF(_PENDIENTES!$B$841&lt;&gt;"",_PENDIENTES!$E$841,"")</f>
        <v/>
      </c>
      <c r="F847" s="46" t="str">
        <f aca="false">IF(_PENDIENTES!$B$841&lt;&gt;"",_PENDIENTES!$F$841,"")</f>
        <v/>
      </c>
      <c r="G847" s="44" t="str">
        <f aca="false">IF(_PENDIENTES!$B$841&lt;&gt;"",_PENDIENTES!$G$841,"")</f>
        <v/>
      </c>
      <c r="H847" s="44" t="str">
        <f aca="false">IF(_PENDIENTES!$B$841&lt;&gt;"",_PENDIENTES!$H$841,"")</f>
        <v/>
      </c>
      <c r="I847" s="110" t="str">
        <f aca="false">IF(_PENDIENTES!$B$841&lt;&gt;"",_PENDIENTES!$I$841,"")</f>
        <v/>
      </c>
      <c r="J847" s="46" t="str">
        <f aca="false">IF(_PENDIENTES!$B$841&lt;&gt;"",_PENDIENTES!$J$841,"")</f>
        <v/>
      </c>
      <c r="K847" s="46" t="str">
        <f aca="false">IF(_PENDIENTES!$B$841&lt;&gt;"","POR RECOGER","")</f>
        <v/>
      </c>
      <c r="L847" s="46" t="str">
        <f aca="false">IF(_PENDIENTES!$B$841&lt;&gt;"",_PENDIENTES!$K$841,"")</f>
        <v/>
      </c>
      <c r="M847" s="89" t="str">
        <f aca="false">IF(_PENDIENTES!$B$841&lt;&gt;"",_PENDIENTES!$B$841,"")</f>
        <v/>
      </c>
      <c r="N847" s="109" t="str">
        <f aca="false">IF(_PENDIENTES!$B$841&lt;&gt;"",_PENDIENTES!$L$841,"")</f>
        <v/>
      </c>
      <c r="O847" s="89"/>
      <c r="P847" s="89"/>
      <c r="Q847" s="89"/>
      <c r="R847" s="89"/>
      <c r="S847" s="89"/>
    </row>
    <row r="848" customFormat="false" ht="15.75" hidden="true" customHeight="true" outlineLevel="0" collapsed="false">
      <c r="A848" s="106" t="str">
        <f aca="false">IF(_PENDIENTES!$B$842&lt;&gt;"",841,"")</f>
        <v/>
      </c>
      <c r="B848" s="47" t="str">
        <f aca="false">IF(_PENDIENTES!$B$842&lt;&gt;"",_PENDIENTES!$A$842,"")</f>
        <v/>
      </c>
      <c r="C848" s="107" t="str">
        <f aca="false">IF(_PENDIENTES!$B$842&lt;&gt;"",_PENDIENTES!$C$842,"")</f>
        <v/>
      </c>
      <c r="D848" s="106" t="str">
        <f aca="false">IF(_PENDIENTES!$B$842&lt;&gt;"",_PENDIENTES!$D$842,"")</f>
        <v/>
      </c>
      <c r="E848" s="111" t="str">
        <f aca="false">IF(_PENDIENTES!$B$842&lt;&gt;"",_PENDIENTES!$E$842,"")</f>
        <v/>
      </c>
      <c r="F848" s="106" t="str">
        <f aca="false">IF(_PENDIENTES!$B$842&lt;&gt;"",_PENDIENTES!$F$842,"")</f>
        <v/>
      </c>
      <c r="G848" s="50" t="str">
        <f aca="false">IF(_PENDIENTES!$B$842&lt;&gt;"",_PENDIENTES!$G$842,"")</f>
        <v/>
      </c>
      <c r="H848" s="50" t="str">
        <f aca="false">IF(_PENDIENTES!$B$842&lt;&gt;"",_PENDIENTES!$H$842,"")</f>
        <v/>
      </c>
      <c r="I848" s="107" t="str">
        <f aca="false">IF(_PENDIENTES!$B$842&lt;&gt;"",_PENDIENTES!$I$842,"")</f>
        <v/>
      </c>
      <c r="J848" s="106" t="str">
        <f aca="false">IF(_PENDIENTES!$B$842&lt;&gt;"",_PENDIENTES!$J$842,"")</f>
        <v/>
      </c>
      <c r="K848" s="106" t="str">
        <f aca="false">IF(_PENDIENTES!$B$842&lt;&gt;"","POR RECOGER","")</f>
        <v/>
      </c>
      <c r="L848" s="106" t="str">
        <f aca="false">IF(_PENDIENTES!$B$842&lt;&gt;"",_PENDIENTES!$K$842,"")</f>
        <v/>
      </c>
      <c r="M848" s="89" t="str">
        <f aca="false">IF(_PENDIENTES!$B$842&lt;&gt;"",_PENDIENTES!$B$842,"")</f>
        <v/>
      </c>
      <c r="N848" s="109" t="str">
        <f aca="false">IF(_PENDIENTES!$B$842&lt;&gt;"",_PENDIENTES!$L$842,"")</f>
        <v/>
      </c>
      <c r="O848" s="89"/>
      <c r="P848" s="89"/>
      <c r="Q848" s="89"/>
      <c r="R848" s="89"/>
      <c r="S848" s="89"/>
    </row>
    <row r="849" customFormat="false" ht="15.75" hidden="true" customHeight="true" outlineLevel="0" collapsed="false">
      <c r="A849" s="46" t="str">
        <f aca="false">IF(_PENDIENTES!$B$843&lt;&gt;"",842,"")</f>
        <v/>
      </c>
      <c r="B849" s="41" t="str">
        <f aca="false">IF(_PENDIENTES!$B$843&lt;&gt;"",_PENDIENTES!$A$843,"")</f>
        <v/>
      </c>
      <c r="C849" s="110" t="str">
        <f aca="false">IF(_PENDIENTES!$B$843&lt;&gt;"",_PENDIENTES!$C$843,"")</f>
        <v/>
      </c>
      <c r="D849" s="46" t="str">
        <f aca="false">IF(_PENDIENTES!$B$843&lt;&gt;"",_PENDIENTES!$D$843,"")</f>
        <v/>
      </c>
      <c r="E849" s="112" t="str">
        <f aca="false">IF(_PENDIENTES!$B$843&lt;&gt;"",_PENDIENTES!$E$843,"")</f>
        <v/>
      </c>
      <c r="F849" s="46" t="str">
        <f aca="false">IF(_PENDIENTES!$B$843&lt;&gt;"",_PENDIENTES!$F$843,"")</f>
        <v/>
      </c>
      <c r="G849" s="44" t="str">
        <f aca="false">IF(_PENDIENTES!$B$843&lt;&gt;"",_PENDIENTES!$G$843,"")</f>
        <v/>
      </c>
      <c r="H849" s="44" t="str">
        <f aca="false">IF(_PENDIENTES!$B$843&lt;&gt;"",_PENDIENTES!$H$843,"")</f>
        <v/>
      </c>
      <c r="I849" s="110" t="str">
        <f aca="false">IF(_PENDIENTES!$B$843&lt;&gt;"",_PENDIENTES!$I$843,"")</f>
        <v/>
      </c>
      <c r="J849" s="46" t="str">
        <f aca="false">IF(_PENDIENTES!$B$843&lt;&gt;"",_PENDIENTES!$J$843,"")</f>
        <v/>
      </c>
      <c r="K849" s="46" t="str">
        <f aca="false">IF(_PENDIENTES!$B$843&lt;&gt;"","POR RECOGER","")</f>
        <v/>
      </c>
      <c r="L849" s="46" t="str">
        <f aca="false">IF(_PENDIENTES!$B$843&lt;&gt;"",_PENDIENTES!$K$843,"")</f>
        <v/>
      </c>
      <c r="M849" s="89" t="str">
        <f aca="false">IF(_PENDIENTES!$B$843&lt;&gt;"",_PENDIENTES!$B$843,"")</f>
        <v/>
      </c>
      <c r="N849" s="109" t="str">
        <f aca="false">IF(_PENDIENTES!$B$843&lt;&gt;"",_PENDIENTES!$L$843,"")</f>
        <v/>
      </c>
      <c r="O849" s="89"/>
      <c r="P849" s="89"/>
      <c r="Q849" s="89"/>
      <c r="R849" s="89"/>
      <c r="S849" s="89"/>
    </row>
    <row r="850" customFormat="false" ht="15.75" hidden="true" customHeight="true" outlineLevel="0" collapsed="false">
      <c r="A850" s="106" t="str">
        <f aca="false">IF(_PENDIENTES!$B$844&lt;&gt;"",843,"")</f>
        <v/>
      </c>
      <c r="B850" s="47" t="str">
        <f aca="false">IF(_PENDIENTES!$B$844&lt;&gt;"",_PENDIENTES!$A$844,"")</f>
        <v/>
      </c>
      <c r="C850" s="107" t="str">
        <f aca="false">IF(_PENDIENTES!$B$844&lt;&gt;"",_PENDIENTES!$C$844,"")</f>
        <v/>
      </c>
      <c r="D850" s="106" t="str">
        <f aca="false">IF(_PENDIENTES!$B$844&lt;&gt;"",_PENDIENTES!$D$844,"")</f>
        <v/>
      </c>
      <c r="E850" s="111" t="str">
        <f aca="false">IF(_PENDIENTES!$B$844&lt;&gt;"",_PENDIENTES!$E$844,"")</f>
        <v/>
      </c>
      <c r="F850" s="106" t="str">
        <f aca="false">IF(_PENDIENTES!$B$844&lt;&gt;"",_PENDIENTES!$F$844,"")</f>
        <v/>
      </c>
      <c r="G850" s="50" t="str">
        <f aca="false">IF(_PENDIENTES!$B$844&lt;&gt;"",_PENDIENTES!$G$844,"")</f>
        <v/>
      </c>
      <c r="H850" s="50" t="str">
        <f aca="false">IF(_PENDIENTES!$B$844&lt;&gt;"",_PENDIENTES!$H$844,"")</f>
        <v/>
      </c>
      <c r="I850" s="107" t="str">
        <f aca="false">IF(_PENDIENTES!$B$844&lt;&gt;"",_PENDIENTES!$I$844,"")</f>
        <v/>
      </c>
      <c r="J850" s="106" t="str">
        <f aca="false">IF(_PENDIENTES!$B$844&lt;&gt;"",_PENDIENTES!$J$844,"")</f>
        <v/>
      </c>
      <c r="K850" s="106" t="str">
        <f aca="false">IF(_PENDIENTES!$B$844&lt;&gt;"","POR RECOGER","")</f>
        <v/>
      </c>
      <c r="L850" s="106" t="str">
        <f aca="false">IF(_PENDIENTES!$B$844&lt;&gt;"",_PENDIENTES!$K$844,"")</f>
        <v/>
      </c>
      <c r="M850" s="89" t="str">
        <f aca="false">IF(_PENDIENTES!$B$844&lt;&gt;"",_PENDIENTES!$B$844,"")</f>
        <v/>
      </c>
      <c r="N850" s="109" t="str">
        <f aca="false">IF(_PENDIENTES!$B$844&lt;&gt;"",_PENDIENTES!$L$844,"")</f>
        <v/>
      </c>
      <c r="O850" s="89"/>
      <c r="P850" s="89"/>
      <c r="Q850" s="89"/>
      <c r="R850" s="89"/>
      <c r="S850" s="89"/>
    </row>
    <row r="851" customFormat="false" ht="15.75" hidden="true" customHeight="true" outlineLevel="0" collapsed="false">
      <c r="A851" s="46" t="str">
        <f aca="false">IF(_PENDIENTES!$B$845&lt;&gt;"",844,"")</f>
        <v/>
      </c>
      <c r="B851" s="41" t="str">
        <f aca="false">IF(_PENDIENTES!$B$845&lt;&gt;"",_PENDIENTES!$A$845,"")</f>
        <v/>
      </c>
      <c r="C851" s="110" t="str">
        <f aca="false">IF(_PENDIENTES!$B$845&lt;&gt;"",_PENDIENTES!$C$845,"")</f>
        <v/>
      </c>
      <c r="D851" s="46" t="str">
        <f aca="false">IF(_PENDIENTES!$B$845&lt;&gt;"",_PENDIENTES!$D$845,"")</f>
        <v/>
      </c>
      <c r="E851" s="112" t="str">
        <f aca="false">IF(_PENDIENTES!$B$845&lt;&gt;"",_PENDIENTES!$E$845,"")</f>
        <v/>
      </c>
      <c r="F851" s="46" t="str">
        <f aca="false">IF(_PENDIENTES!$B$845&lt;&gt;"",_PENDIENTES!$F$845,"")</f>
        <v/>
      </c>
      <c r="G851" s="44" t="str">
        <f aca="false">IF(_PENDIENTES!$B$845&lt;&gt;"",_PENDIENTES!$G$845,"")</f>
        <v/>
      </c>
      <c r="H851" s="44" t="str">
        <f aca="false">IF(_PENDIENTES!$B$845&lt;&gt;"",_PENDIENTES!$H$845,"")</f>
        <v/>
      </c>
      <c r="I851" s="110" t="str">
        <f aca="false">IF(_PENDIENTES!$B$845&lt;&gt;"",_PENDIENTES!$I$845,"")</f>
        <v/>
      </c>
      <c r="J851" s="46" t="str">
        <f aca="false">IF(_PENDIENTES!$B$845&lt;&gt;"",_PENDIENTES!$J$845,"")</f>
        <v/>
      </c>
      <c r="K851" s="46" t="str">
        <f aca="false">IF(_PENDIENTES!$B$845&lt;&gt;"","POR RECOGER","")</f>
        <v/>
      </c>
      <c r="L851" s="46" t="str">
        <f aca="false">IF(_PENDIENTES!$B$845&lt;&gt;"",_PENDIENTES!$K$845,"")</f>
        <v/>
      </c>
      <c r="M851" s="89" t="str">
        <f aca="false">IF(_PENDIENTES!$B$845&lt;&gt;"",_PENDIENTES!$B$845,"")</f>
        <v/>
      </c>
      <c r="N851" s="109" t="str">
        <f aca="false">IF(_PENDIENTES!$B$845&lt;&gt;"",_PENDIENTES!$L$845,"")</f>
        <v/>
      </c>
      <c r="O851" s="89"/>
      <c r="P851" s="89"/>
      <c r="Q851" s="89"/>
      <c r="R851" s="89"/>
      <c r="S851" s="89"/>
    </row>
    <row r="852" customFormat="false" ht="15.75" hidden="true" customHeight="true" outlineLevel="0" collapsed="false">
      <c r="A852" s="106" t="str">
        <f aca="false">IF(_PENDIENTES!$B$846&lt;&gt;"",845,"")</f>
        <v/>
      </c>
      <c r="B852" s="47" t="str">
        <f aca="false">IF(_PENDIENTES!$B$846&lt;&gt;"",_PENDIENTES!$A$846,"")</f>
        <v/>
      </c>
      <c r="C852" s="107" t="str">
        <f aca="false">IF(_PENDIENTES!$B$846&lt;&gt;"",_PENDIENTES!$C$846,"")</f>
        <v/>
      </c>
      <c r="D852" s="106" t="str">
        <f aca="false">IF(_PENDIENTES!$B$846&lt;&gt;"",_PENDIENTES!$D$846,"")</f>
        <v/>
      </c>
      <c r="E852" s="111" t="str">
        <f aca="false">IF(_PENDIENTES!$B$846&lt;&gt;"",_PENDIENTES!$E$846,"")</f>
        <v/>
      </c>
      <c r="F852" s="106" t="str">
        <f aca="false">IF(_PENDIENTES!$B$846&lt;&gt;"",_PENDIENTES!$F$846,"")</f>
        <v/>
      </c>
      <c r="G852" s="50" t="str">
        <f aca="false">IF(_PENDIENTES!$B$846&lt;&gt;"",_PENDIENTES!$G$846,"")</f>
        <v/>
      </c>
      <c r="H852" s="50" t="str">
        <f aca="false">IF(_PENDIENTES!$B$846&lt;&gt;"",_PENDIENTES!$H$846,"")</f>
        <v/>
      </c>
      <c r="I852" s="107" t="str">
        <f aca="false">IF(_PENDIENTES!$B$846&lt;&gt;"",_PENDIENTES!$I$846,"")</f>
        <v/>
      </c>
      <c r="J852" s="106" t="str">
        <f aca="false">IF(_PENDIENTES!$B$846&lt;&gt;"",_PENDIENTES!$J$846,"")</f>
        <v/>
      </c>
      <c r="K852" s="106" t="str">
        <f aca="false">IF(_PENDIENTES!$B$846&lt;&gt;"","POR RECOGER","")</f>
        <v/>
      </c>
      <c r="L852" s="106" t="str">
        <f aca="false">IF(_PENDIENTES!$B$846&lt;&gt;"",_PENDIENTES!$K$846,"")</f>
        <v/>
      </c>
      <c r="M852" s="89" t="str">
        <f aca="false">IF(_PENDIENTES!$B$846&lt;&gt;"",_PENDIENTES!$B$846,"")</f>
        <v/>
      </c>
      <c r="N852" s="109" t="str">
        <f aca="false">IF(_PENDIENTES!$B$846&lt;&gt;"",_PENDIENTES!$L$846,"")</f>
        <v/>
      </c>
      <c r="O852" s="89"/>
      <c r="P852" s="89"/>
      <c r="Q852" s="89"/>
      <c r="R852" s="89"/>
      <c r="S852" s="89"/>
    </row>
    <row r="853" customFormat="false" ht="15.75" hidden="true" customHeight="true" outlineLevel="0" collapsed="false">
      <c r="A853" s="46" t="str">
        <f aca="false">IF(_PENDIENTES!$B$847&lt;&gt;"",846,"")</f>
        <v/>
      </c>
      <c r="B853" s="41" t="str">
        <f aca="false">IF(_PENDIENTES!$B$847&lt;&gt;"",_PENDIENTES!$A$847,"")</f>
        <v/>
      </c>
      <c r="C853" s="110" t="str">
        <f aca="false">IF(_PENDIENTES!$B$847&lt;&gt;"",_PENDIENTES!$C$847,"")</f>
        <v/>
      </c>
      <c r="D853" s="46" t="str">
        <f aca="false">IF(_PENDIENTES!$B$847&lt;&gt;"",_PENDIENTES!$D$847,"")</f>
        <v/>
      </c>
      <c r="E853" s="112" t="str">
        <f aca="false">IF(_PENDIENTES!$B$847&lt;&gt;"",_PENDIENTES!$E$847,"")</f>
        <v/>
      </c>
      <c r="F853" s="46" t="str">
        <f aca="false">IF(_PENDIENTES!$B$847&lt;&gt;"",_PENDIENTES!$F$847,"")</f>
        <v/>
      </c>
      <c r="G853" s="44" t="str">
        <f aca="false">IF(_PENDIENTES!$B$847&lt;&gt;"",_PENDIENTES!$G$847,"")</f>
        <v/>
      </c>
      <c r="H853" s="44" t="str">
        <f aca="false">IF(_PENDIENTES!$B$847&lt;&gt;"",_PENDIENTES!$H$847,"")</f>
        <v/>
      </c>
      <c r="I853" s="110" t="str">
        <f aca="false">IF(_PENDIENTES!$B$847&lt;&gt;"",_PENDIENTES!$I$847,"")</f>
        <v/>
      </c>
      <c r="J853" s="46" t="str">
        <f aca="false">IF(_PENDIENTES!$B$847&lt;&gt;"",_PENDIENTES!$J$847,"")</f>
        <v/>
      </c>
      <c r="K853" s="46" t="str">
        <f aca="false">IF(_PENDIENTES!$B$847&lt;&gt;"","POR RECOGER","")</f>
        <v/>
      </c>
      <c r="L853" s="46" t="str">
        <f aca="false">IF(_PENDIENTES!$B$847&lt;&gt;"",_PENDIENTES!$K$847,"")</f>
        <v/>
      </c>
      <c r="M853" s="89" t="str">
        <f aca="false">IF(_PENDIENTES!$B$847&lt;&gt;"",_PENDIENTES!$B$847,"")</f>
        <v/>
      </c>
      <c r="N853" s="109" t="str">
        <f aca="false">IF(_PENDIENTES!$B$847&lt;&gt;"",_PENDIENTES!$L$847,"")</f>
        <v/>
      </c>
      <c r="O853" s="89"/>
      <c r="P853" s="89"/>
      <c r="Q853" s="89"/>
      <c r="R853" s="89"/>
      <c r="S853" s="89"/>
    </row>
    <row r="854" customFormat="false" ht="15.75" hidden="true" customHeight="true" outlineLevel="0" collapsed="false">
      <c r="A854" s="106" t="str">
        <f aca="false">IF(_PENDIENTES!$B$848&lt;&gt;"",847,"")</f>
        <v/>
      </c>
      <c r="B854" s="47" t="str">
        <f aca="false">IF(_PENDIENTES!$B$848&lt;&gt;"",_PENDIENTES!$A$848,"")</f>
        <v/>
      </c>
      <c r="C854" s="107" t="str">
        <f aca="false">IF(_PENDIENTES!$B$848&lt;&gt;"",_PENDIENTES!$C$848,"")</f>
        <v/>
      </c>
      <c r="D854" s="106" t="str">
        <f aca="false">IF(_PENDIENTES!$B$848&lt;&gt;"",_PENDIENTES!$D$848,"")</f>
        <v/>
      </c>
      <c r="E854" s="111" t="str">
        <f aca="false">IF(_PENDIENTES!$B$848&lt;&gt;"",_PENDIENTES!$E$848,"")</f>
        <v/>
      </c>
      <c r="F854" s="106" t="str">
        <f aca="false">IF(_PENDIENTES!$B$848&lt;&gt;"",_PENDIENTES!$F$848,"")</f>
        <v/>
      </c>
      <c r="G854" s="50" t="str">
        <f aca="false">IF(_PENDIENTES!$B$848&lt;&gt;"",_PENDIENTES!$G$848,"")</f>
        <v/>
      </c>
      <c r="H854" s="50" t="str">
        <f aca="false">IF(_PENDIENTES!$B$848&lt;&gt;"",_PENDIENTES!$H$848,"")</f>
        <v/>
      </c>
      <c r="I854" s="107" t="str">
        <f aca="false">IF(_PENDIENTES!$B$848&lt;&gt;"",_PENDIENTES!$I$848,"")</f>
        <v/>
      </c>
      <c r="J854" s="106" t="str">
        <f aca="false">IF(_PENDIENTES!$B$848&lt;&gt;"",_PENDIENTES!$J$848,"")</f>
        <v/>
      </c>
      <c r="K854" s="106" t="str">
        <f aca="false">IF(_PENDIENTES!$B$848&lt;&gt;"","POR RECOGER","")</f>
        <v/>
      </c>
      <c r="L854" s="106" t="str">
        <f aca="false">IF(_PENDIENTES!$B$848&lt;&gt;"",_PENDIENTES!$K$848,"")</f>
        <v/>
      </c>
      <c r="M854" s="89" t="str">
        <f aca="false">IF(_PENDIENTES!$B$848&lt;&gt;"",_PENDIENTES!$B$848,"")</f>
        <v/>
      </c>
      <c r="N854" s="109" t="str">
        <f aca="false">IF(_PENDIENTES!$B$848&lt;&gt;"",_PENDIENTES!$L$848,"")</f>
        <v/>
      </c>
      <c r="O854" s="89"/>
      <c r="P854" s="89"/>
      <c r="Q854" s="89"/>
      <c r="R854" s="89"/>
      <c r="S854" s="89"/>
    </row>
    <row r="855" customFormat="false" ht="15.75" hidden="true" customHeight="true" outlineLevel="0" collapsed="false">
      <c r="A855" s="46" t="str">
        <f aca="false">IF(_PENDIENTES!$B$849&lt;&gt;"",848,"")</f>
        <v/>
      </c>
      <c r="B855" s="41" t="str">
        <f aca="false">IF(_PENDIENTES!$B$849&lt;&gt;"",_PENDIENTES!$A$849,"")</f>
        <v/>
      </c>
      <c r="C855" s="110" t="str">
        <f aca="false">IF(_PENDIENTES!$B$849&lt;&gt;"",_PENDIENTES!$C$849,"")</f>
        <v/>
      </c>
      <c r="D855" s="46" t="str">
        <f aca="false">IF(_PENDIENTES!$B$849&lt;&gt;"",_PENDIENTES!$D$849,"")</f>
        <v/>
      </c>
      <c r="E855" s="112" t="str">
        <f aca="false">IF(_PENDIENTES!$B$849&lt;&gt;"",_PENDIENTES!$E$849,"")</f>
        <v/>
      </c>
      <c r="F855" s="46" t="str">
        <f aca="false">IF(_PENDIENTES!$B$849&lt;&gt;"",_PENDIENTES!$F$849,"")</f>
        <v/>
      </c>
      <c r="G855" s="44" t="str">
        <f aca="false">IF(_PENDIENTES!$B$849&lt;&gt;"",_PENDIENTES!$G$849,"")</f>
        <v/>
      </c>
      <c r="H855" s="44" t="str">
        <f aca="false">IF(_PENDIENTES!$B$849&lt;&gt;"",_PENDIENTES!$H$849,"")</f>
        <v/>
      </c>
      <c r="I855" s="110" t="str">
        <f aca="false">IF(_PENDIENTES!$B$849&lt;&gt;"",_PENDIENTES!$I$849,"")</f>
        <v/>
      </c>
      <c r="J855" s="46" t="str">
        <f aca="false">IF(_PENDIENTES!$B$849&lt;&gt;"",_PENDIENTES!$J$849,"")</f>
        <v/>
      </c>
      <c r="K855" s="46" t="str">
        <f aca="false">IF(_PENDIENTES!$B$849&lt;&gt;"","POR RECOGER","")</f>
        <v/>
      </c>
      <c r="L855" s="46" t="str">
        <f aca="false">IF(_PENDIENTES!$B$849&lt;&gt;"",_PENDIENTES!$K$849,"")</f>
        <v/>
      </c>
      <c r="M855" s="89" t="str">
        <f aca="false">IF(_PENDIENTES!$B$849&lt;&gt;"",_PENDIENTES!$B$849,"")</f>
        <v/>
      </c>
      <c r="N855" s="109" t="str">
        <f aca="false">IF(_PENDIENTES!$B$849&lt;&gt;"",_PENDIENTES!$L$849,"")</f>
        <v/>
      </c>
      <c r="O855" s="89"/>
      <c r="P855" s="89"/>
      <c r="Q855" s="89"/>
      <c r="R855" s="89"/>
      <c r="S855" s="89"/>
    </row>
    <row r="856" customFormat="false" ht="15.75" hidden="true" customHeight="true" outlineLevel="0" collapsed="false">
      <c r="A856" s="106" t="str">
        <f aca="false">IF(_PENDIENTES!$B$850&lt;&gt;"",849,"")</f>
        <v/>
      </c>
      <c r="B856" s="47" t="str">
        <f aca="false">IF(_PENDIENTES!$B$850&lt;&gt;"",_PENDIENTES!$A$850,"")</f>
        <v/>
      </c>
      <c r="C856" s="107" t="str">
        <f aca="false">IF(_PENDIENTES!$B$850&lt;&gt;"",_PENDIENTES!$C$850,"")</f>
        <v/>
      </c>
      <c r="D856" s="106" t="str">
        <f aca="false">IF(_PENDIENTES!$B$850&lt;&gt;"",_PENDIENTES!$D$850,"")</f>
        <v/>
      </c>
      <c r="E856" s="111" t="str">
        <f aca="false">IF(_PENDIENTES!$B$850&lt;&gt;"",_PENDIENTES!$E$850,"")</f>
        <v/>
      </c>
      <c r="F856" s="106" t="str">
        <f aca="false">IF(_PENDIENTES!$B$850&lt;&gt;"",_PENDIENTES!$F$850,"")</f>
        <v/>
      </c>
      <c r="G856" s="50" t="str">
        <f aca="false">IF(_PENDIENTES!$B$850&lt;&gt;"",_PENDIENTES!$G$850,"")</f>
        <v/>
      </c>
      <c r="H856" s="50" t="str">
        <f aca="false">IF(_PENDIENTES!$B$850&lt;&gt;"",_PENDIENTES!$H$850,"")</f>
        <v/>
      </c>
      <c r="I856" s="107" t="str">
        <f aca="false">IF(_PENDIENTES!$B$850&lt;&gt;"",_PENDIENTES!$I$850,"")</f>
        <v/>
      </c>
      <c r="J856" s="106" t="str">
        <f aca="false">IF(_PENDIENTES!$B$850&lt;&gt;"",_PENDIENTES!$J$850,"")</f>
        <v/>
      </c>
      <c r="K856" s="106" t="str">
        <f aca="false">IF(_PENDIENTES!$B$850&lt;&gt;"","POR RECOGER","")</f>
        <v/>
      </c>
      <c r="L856" s="106" t="str">
        <f aca="false">IF(_PENDIENTES!$B$850&lt;&gt;"",_PENDIENTES!$K$850,"")</f>
        <v/>
      </c>
      <c r="M856" s="89" t="str">
        <f aca="false">IF(_PENDIENTES!$B$850&lt;&gt;"",_PENDIENTES!$B$850,"")</f>
        <v/>
      </c>
      <c r="N856" s="109" t="str">
        <f aca="false">IF(_PENDIENTES!$B$850&lt;&gt;"",_PENDIENTES!$L$850,"")</f>
        <v/>
      </c>
      <c r="O856" s="89"/>
      <c r="P856" s="89"/>
      <c r="Q856" s="89"/>
      <c r="R856" s="89"/>
      <c r="S856" s="89"/>
    </row>
    <row r="857" customFormat="false" ht="15.75" hidden="true" customHeight="true" outlineLevel="0" collapsed="false">
      <c r="A857" s="46" t="str">
        <f aca="false">IF(_PENDIENTES!$B$851&lt;&gt;"",850,"")</f>
        <v/>
      </c>
      <c r="B857" s="41" t="str">
        <f aca="false">IF(_PENDIENTES!$B$851&lt;&gt;"",_PENDIENTES!$A$851,"")</f>
        <v/>
      </c>
      <c r="C857" s="110" t="str">
        <f aca="false">IF(_PENDIENTES!$B$851&lt;&gt;"",_PENDIENTES!$C$851,"")</f>
        <v/>
      </c>
      <c r="D857" s="46" t="str">
        <f aca="false">IF(_PENDIENTES!$B$851&lt;&gt;"",_PENDIENTES!$D$851,"")</f>
        <v/>
      </c>
      <c r="E857" s="112" t="str">
        <f aca="false">IF(_PENDIENTES!$B$851&lt;&gt;"",_PENDIENTES!$E$851,"")</f>
        <v/>
      </c>
      <c r="F857" s="46" t="str">
        <f aca="false">IF(_PENDIENTES!$B$851&lt;&gt;"",_PENDIENTES!$F$851,"")</f>
        <v/>
      </c>
      <c r="G857" s="44" t="str">
        <f aca="false">IF(_PENDIENTES!$B$851&lt;&gt;"",_PENDIENTES!$G$851,"")</f>
        <v/>
      </c>
      <c r="H857" s="44" t="str">
        <f aca="false">IF(_PENDIENTES!$B$851&lt;&gt;"",_PENDIENTES!$H$851,"")</f>
        <v/>
      </c>
      <c r="I857" s="110" t="str">
        <f aca="false">IF(_PENDIENTES!$B$851&lt;&gt;"",_PENDIENTES!$I$851,"")</f>
        <v/>
      </c>
      <c r="J857" s="46" t="str">
        <f aca="false">IF(_PENDIENTES!$B$851&lt;&gt;"",_PENDIENTES!$J$851,"")</f>
        <v/>
      </c>
      <c r="K857" s="46" t="str">
        <f aca="false">IF(_PENDIENTES!$B$851&lt;&gt;"","POR RECOGER","")</f>
        <v/>
      </c>
      <c r="L857" s="46" t="str">
        <f aca="false">IF(_PENDIENTES!$B$851&lt;&gt;"",_PENDIENTES!$K$851,"")</f>
        <v/>
      </c>
      <c r="M857" s="89" t="str">
        <f aca="false">IF(_PENDIENTES!$B$851&lt;&gt;"",_PENDIENTES!$B$851,"")</f>
        <v/>
      </c>
      <c r="N857" s="109" t="str">
        <f aca="false">IF(_PENDIENTES!$B$851&lt;&gt;"",_PENDIENTES!$L$851,"")</f>
        <v/>
      </c>
      <c r="O857" s="89"/>
      <c r="P857" s="89"/>
      <c r="Q857" s="89"/>
      <c r="R857" s="89"/>
      <c r="S857" s="89"/>
    </row>
    <row r="858" customFormat="false" ht="15.75" hidden="true" customHeight="true" outlineLevel="0" collapsed="false">
      <c r="A858" s="106" t="str">
        <f aca="false">IF(_PENDIENTES!$B$852&lt;&gt;"",851,"")</f>
        <v/>
      </c>
      <c r="B858" s="47" t="str">
        <f aca="false">IF(_PENDIENTES!$B$852&lt;&gt;"",_PENDIENTES!$A$852,"")</f>
        <v/>
      </c>
      <c r="C858" s="107" t="str">
        <f aca="false">IF(_PENDIENTES!$B$852&lt;&gt;"",_PENDIENTES!$C$852,"")</f>
        <v/>
      </c>
      <c r="D858" s="106" t="str">
        <f aca="false">IF(_PENDIENTES!$B$852&lt;&gt;"",_PENDIENTES!$D$852,"")</f>
        <v/>
      </c>
      <c r="E858" s="111" t="str">
        <f aca="false">IF(_PENDIENTES!$B$852&lt;&gt;"",_PENDIENTES!$E$852,"")</f>
        <v/>
      </c>
      <c r="F858" s="106" t="str">
        <f aca="false">IF(_PENDIENTES!$B$852&lt;&gt;"",_PENDIENTES!$F$852,"")</f>
        <v/>
      </c>
      <c r="G858" s="50" t="str">
        <f aca="false">IF(_PENDIENTES!$B$852&lt;&gt;"",_PENDIENTES!$G$852,"")</f>
        <v/>
      </c>
      <c r="H858" s="50" t="str">
        <f aca="false">IF(_PENDIENTES!$B$852&lt;&gt;"",_PENDIENTES!$H$852,"")</f>
        <v/>
      </c>
      <c r="I858" s="107" t="str">
        <f aca="false">IF(_PENDIENTES!$B$852&lt;&gt;"",_PENDIENTES!$I$852,"")</f>
        <v/>
      </c>
      <c r="J858" s="106" t="str">
        <f aca="false">IF(_PENDIENTES!$B$852&lt;&gt;"",_PENDIENTES!$J$852,"")</f>
        <v/>
      </c>
      <c r="K858" s="106" t="str">
        <f aca="false">IF(_PENDIENTES!$B$852&lt;&gt;"","POR RECOGER","")</f>
        <v/>
      </c>
      <c r="L858" s="106" t="str">
        <f aca="false">IF(_PENDIENTES!$B$852&lt;&gt;"",_PENDIENTES!$K$852,"")</f>
        <v/>
      </c>
      <c r="M858" s="89" t="str">
        <f aca="false">IF(_PENDIENTES!$B$852&lt;&gt;"",_PENDIENTES!$B$852,"")</f>
        <v/>
      </c>
      <c r="N858" s="109" t="str">
        <f aca="false">IF(_PENDIENTES!$B$852&lt;&gt;"",_PENDIENTES!$L$852,"")</f>
        <v/>
      </c>
      <c r="O858" s="89"/>
      <c r="P858" s="89"/>
      <c r="Q858" s="89"/>
      <c r="R858" s="89"/>
      <c r="S858" s="89"/>
    </row>
    <row r="859" customFormat="false" ht="15.75" hidden="true" customHeight="true" outlineLevel="0" collapsed="false">
      <c r="A859" s="46" t="str">
        <f aca="false">IF(_PENDIENTES!$B$853&lt;&gt;"",852,"")</f>
        <v/>
      </c>
      <c r="B859" s="41" t="str">
        <f aca="false">IF(_PENDIENTES!$B$853&lt;&gt;"",_PENDIENTES!$A$853,"")</f>
        <v/>
      </c>
      <c r="C859" s="110" t="str">
        <f aca="false">IF(_PENDIENTES!$B$853&lt;&gt;"",_PENDIENTES!$C$853,"")</f>
        <v/>
      </c>
      <c r="D859" s="46" t="str">
        <f aca="false">IF(_PENDIENTES!$B$853&lt;&gt;"",_PENDIENTES!$D$853,"")</f>
        <v/>
      </c>
      <c r="E859" s="112" t="str">
        <f aca="false">IF(_PENDIENTES!$B$853&lt;&gt;"",_PENDIENTES!$E$853,"")</f>
        <v/>
      </c>
      <c r="F859" s="46" t="str">
        <f aca="false">IF(_PENDIENTES!$B$853&lt;&gt;"",_PENDIENTES!$F$853,"")</f>
        <v/>
      </c>
      <c r="G859" s="44" t="str">
        <f aca="false">IF(_PENDIENTES!$B$853&lt;&gt;"",_PENDIENTES!$G$853,"")</f>
        <v/>
      </c>
      <c r="H859" s="44" t="str">
        <f aca="false">IF(_PENDIENTES!$B$853&lt;&gt;"",_PENDIENTES!$H$853,"")</f>
        <v/>
      </c>
      <c r="I859" s="110" t="str">
        <f aca="false">IF(_PENDIENTES!$B$853&lt;&gt;"",_PENDIENTES!$I$853,"")</f>
        <v/>
      </c>
      <c r="J859" s="46" t="str">
        <f aca="false">IF(_PENDIENTES!$B$853&lt;&gt;"",_PENDIENTES!$J$853,"")</f>
        <v/>
      </c>
      <c r="K859" s="46" t="str">
        <f aca="false">IF(_PENDIENTES!$B$853&lt;&gt;"","POR RECOGER","")</f>
        <v/>
      </c>
      <c r="L859" s="46" t="str">
        <f aca="false">IF(_PENDIENTES!$B$853&lt;&gt;"",_PENDIENTES!$K$853,"")</f>
        <v/>
      </c>
      <c r="M859" s="89" t="str">
        <f aca="false">IF(_PENDIENTES!$B$853&lt;&gt;"",_PENDIENTES!$B$853,"")</f>
        <v/>
      </c>
      <c r="N859" s="109" t="str">
        <f aca="false">IF(_PENDIENTES!$B$853&lt;&gt;"",_PENDIENTES!$L$853,"")</f>
        <v/>
      </c>
      <c r="O859" s="89"/>
      <c r="P859" s="89"/>
      <c r="Q859" s="89"/>
      <c r="R859" s="89"/>
      <c r="S859" s="89"/>
    </row>
    <row r="860" customFormat="false" ht="15.75" hidden="true" customHeight="true" outlineLevel="0" collapsed="false">
      <c r="A860" s="106" t="str">
        <f aca="false">IF(_PENDIENTES!$B$854&lt;&gt;"",853,"")</f>
        <v/>
      </c>
      <c r="B860" s="47" t="str">
        <f aca="false">IF(_PENDIENTES!$B$854&lt;&gt;"",_PENDIENTES!$A$854,"")</f>
        <v/>
      </c>
      <c r="C860" s="107" t="str">
        <f aca="false">IF(_PENDIENTES!$B$854&lt;&gt;"",_PENDIENTES!$C$854,"")</f>
        <v/>
      </c>
      <c r="D860" s="106" t="str">
        <f aca="false">IF(_PENDIENTES!$B$854&lt;&gt;"",_PENDIENTES!$D$854,"")</f>
        <v/>
      </c>
      <c r="E860" s="111" t="str">
        <f aca="false">IF(_PENDIENTES!$B$854&lt;&gt;"",_PENDIENTES!$E$854,"")</f>
        <v/>
      </c>
      <c r="F860" s="106" t="str">
        <f aca="false">IF(_PENDIENTES!$B$854&lt;&gt;"",_PENDIENTES!$F$854,"")</f>
        <v/>
      </c>
      <c r="G860" s="50" t="str">
        <f aca="false">IF(_PENDIENTES!$B$854&lt;&gt;"",_PENDIENTES!$G$854,"")</f>
        <v/>
      </c>
      <c r="H860" s="50" t="str">
        <f aca="false">IF(_PENDIENTES!$B$854&lt;&gt;"",_PENDIENTES!$H$854,"")</f>
        <v/>
      </c>
      <c r="I860" s="107" t="str">
        <f aca="false">IF(_PENDIENTES!$B$854&lt;&gt;"",_PENDIENTES!$I$854,"")</f>
        <v/>
      </c>
      <c r="J860" s="106" t="str">
        <f aca="false">IF(_PENDIENTES!$B$854&lt;&gt;"",_PENDIENTES!$J$854,"")</f>
        <v/>
      </c>
      <c r="K860" s="106" t="str">
        <f aca="false">IF(_PENDIENTES!$B$854&lt;&gt;"","POR RECOGER","")</f>
        <v/>
      </c>
      <c r="L860" s="106" t="str">
        <f aca="false">IF(_PENDIENTES!$B$854&lt;&gt;"",_PENDIENTES!$K$854,"")</f>
        <v/>
      </c>
      <c r="M860" s="89" t="str">
        <f aca="false">IF(_PENDIENTES!$B$854&lt;&gt;"",_PENDIENTES!$B$854,"")</f>
        <v/>
      </c>
      <c r="N860" s="109" t="str">
        <f aca="false">IF(_PENDIENTES!$B$854&lt;&gt;"",_PENDIENTES!$L$854,"")</f>
        <v/>
      </c>
      <c r="O860" s="89"/>
      <c r="P860" s="89"/>
      <c r="Q860" s="89"/>
      <c r="R860" s="89"/>
      <c r="S860" s="89"/>
    </row>
    <row r="861" customFormat="false" ht="15.75" hidden="true" customHeight="true" outlineLevel="0" collapsed="false">
      <c r="A861" s="46" t="str">
        <f aca="false">IF(_PENDIENTES!$B$855&lt;&gt;"",854,"")</f>
        <v/>
      </c>
      <c r="B861" s="41" t="str">
        <f aca="false">IF(_PENDIENTES!$B$855&lt;&gt;"",_PENDIENTES!$A$855,"")</f>
        <v/>
      </c>
      <c r="C861" s="110" t="str">
        <f aca="false">IF(_PENDIENTES!$B$855&lt;&gt;"",_PENDIENTES!$C$855,"")</f>
        <v/>
      </c>
      <c r="D861" s="46" t="str">
        <f aca="false">IF(_PENDIENTES!$B$855&lt;&gt;"",_PENDIENTES!$D$855,"")</f>
        <v/>
      </c>
      <c r="E861" s="112" t="str">
        <f aca="false">IF(_PENDIENTES!$B$855&lt;&gt;"",_PENDIENTES!$E$855,"")</f>
        <v/>
      </c>
      <c r="F861" s="46" t="str">
        <f aca="false">IF(_PENDIENTES!$B$855&lt;&gt;"",_PENDIENTES!$F$855,"")</f>
        <v/>
      </c>
      <c r="G861" s="44" t="str">
        <f aca="false">IF(_PENDIENTES!$B$855&lt;&gt;"",_PENDIENTES!$G$855,"")</f>
        <v/>
      </c>
      <c r="H861" s="44" t="str">
        <f aca="false">IF(_PENDIENTES!$B$855&lt;&gt;"",_PENDIENTES!$H$855,"")</f>
        <v/>
      </c>
      <c r="I861" s="110" t="str">
        <f aca="false">IF(_PENDIENTES!$B$855&lt;&gt;"",_PENDIENTES!$I$855,"")</f>
        <v/>
      </c>
      <c r="J861" s="46" t="str">
        <f aca="false">IF(_PENDIENTES!$B$855&lt;&gt;"",_PENDIENTES!$J$855,"")</f>
        <v/>
      </c>
      <c r="K861" s="46" t="str">
        <f aca="false">IF(_PENDIENTES!$B$855&lt;&gt;"","POR RECOGER","")</f>
        <v/>
      </c>
      <c r="L861" s="46" t="str">
        <f aca="false">IF(_PENDIENTES!$B$855&lt;&gt;"",_PENDIENTES!$K$855,"")</f>
        <v/>
      </c>
      <c r="M861" s="89" t="str">
        <f aca="false">IF(_PENDIENTES!$B$855&lt;&gt;"",_PENDIENTES!$B$855,"")</f>
        <v/>
      </c>
      <c r="N861" s="109" t="str">
        <f aca="false">IF(_PENDIENTES!$B$855&lt;&gt;"",_PENDIENTES!$L$855,"")</f>
        <v/>
      </c>
      <c r="O861" s="89"/>
      <c r="P861" s="89"/>
      <c r="Q861" s="89"/>
      <c r="R861" s="89"/>
      <c r="S861" s="89"/>
    </row>
    <row r="862" customFormat="false" ht="15.75" hidden="true" customHeight="true" outlineLevel="0" collapsed="false">
      <c r="A862" s="106" t="str">
        <f aca="false">IF(_PENDIENTES!$B$856&lt;&gt;"",855,"")</f>
        <v/>
      </c>
      <c r="B862" s="47" t="str">
        <f aca="false">IF(_PENDIENTES!$B$856&lt;&gt;"",_PENDIENTES!$A$856,"")</f>
        <v/>
      </c>
      <c r="C862" s="107" t="str">
        <f aca="false">IF(_PENDIENTES!$B$856&lt;&gt;"",_PENDIENTES!$C$856,"")</f>
        <v/>
      </c>
      <c r="D862" s="106" t="str">
        <f aca="false">IF(_PENDIENTES!$B$856&lt;&gt;"",_PENDIENTES!$D$856,"")</f>
        <v/>
      </c>
      <c r="E862" s="111" t="str">
        <f aca="false">IF(_PENDIENTES!$B$856&lt;&gt;"",_PENDIENTES!$E$856,"")</f>
        <v/>
      </c>
      <c r="F862" s="106" t="str">
        <f aca="false">IF(_PENDIENTES!$B$856&lt;&gt;"",_PENDIENTES!$F$856,"")</f>
        <v/>
      </c>
      <c r="G862" s="50" t="str">
        <f aca="false">IF(_PENDIENTES!$B$856&lt;&gt;"",_PENDIENTES!$G$856,"")</f>
        <v/>
      </c>
      <c r="H862" s="50" t="str">
        <f aca="false">IF(_PENDIENTES!$B$856&lt;&gt;"",_PENDIENTES!$H$856,"")</f>
        <v/>
      </c>
      <c r="I862" s="107" t="str">
        <f aca="false">IF(_PENDIENTES!$B$856&lt;&gt;"",_PENDIENTES!$I$856,"")</f>
        <v/>
      </c>
      <c r="J862" s="106" t="str">
        <f aca="false">IF(_PENDIENTES!$B$856&lt;&gt;"",_PENDIENTES!$J$856,"")</f>
        <v/>
      </c>
      <c r="K862" s="106" t="str">
        <f aca="false">IF(_PENDIENTES!$B$856&lt;&gt;"","POR RECOGER","")</f>
        <v/>
      </c>
      <c r="L862" s="106" t="str">
        <f aca="false">IF(_PENDIENTES!$B$856&lt;&gt;"",_PENDIENTES!$K$856,"")</f>
        <v/>
      </c>
      <c r="M862" s="89" t="str">
        <f aca="false">IF(_PENDIENTES!$B$856&lt;&gt;"",_PENDIENTES!$B$856,"")</f>
        <v/>
      </c>
      <c r="N862" s="109" t="str">
        <f aca="false">IF(_PENDIENTES!$B$856&lt;&gt;"",_PENDIENTES!$L$856,"")</f>
        <v/>
      </c>
      <c r="O862" s="89"/>
      <c r="P862" s="89"/>
      <c r="Q862" s="89"/>
      <c r="R862" s="89"/>
      <c r="S862" s="89"/>
    </row>
    <row r="863" customFormat="false" ht="15.75" hidden="true" customHeight="true" outlineLevel="0" collapsed="false">
      <c r="A863" s="46" t="str">
        <f aca="false">IF(_PENDIENTES!$B$857&lt;&gt;"",856,"")</f>
        <v/>
      </c>
      <c r="B863" s="41" t="str">
        <f aca="false">IF(_PENDIENTES!$B$857&lt;&gt;"",_PENDIENTES!$A$857,"")</f>
        <v/>
      </c>
      <c r="C863" s="110" t="str">
        <f aca="false">IF(_PENDIENTES!$B$857&lt;&gt;"",_PENDIENTES!$C$857,"")</f>
        <v/>
      </c>
      <c r="D863" s="46" t="str">
        <f aca="false">IF(_PENDIENTES!$B$857&lt;&gt;"",_PENDIENTES!$D$857,"")</f>
        <v/>
      </c>
      <c r="E863" s="112" t="str">
        <f aca="false">IF(_PENDIENTES!$B$857&lt;&gt;"",_PENDIENTES!$E$857,"")</f>
        <v/>
      </c>
      <c r="F863" s="46" t="str">
        <f aca="false">IF(_PENDIENTES!$B$857&lt;&gt;"",_PENDIENTES!$F$857,"")</f>
        <v/>
      </c>
      <c r="G863" s="44" t="str">
        <f aca="false">IF(_PENDIENTES!$B$857&lt;&gt;"",_PENDIENTES!$G$857,"")</f>
        <v/>
      </c>
      <c r="H863" s="44" t="str">
        <f aca="false">IF(_PENDIENTES!$B$857&lt;&gt;"",_PENDIENTES!$H$857,"")</f>
        <v/>
      </c>
      <c r="I863" s="110" t="str">
        <f aca="false">IF(_PENDIENTES!$B$857&lt;&gt;"",_PENDIENTES!$I$857,"")</f>
        <v/>
      </c>
      <c r="J863" s="46" t="str">
        <f aca="false">IF(_PENDIENTES!$B$857&lt;&gt;"",_PENDIENTES!$J$857,"")</f>
        <v/>
      </c>
      <c r="K863" s="46" t="str">
        <f aca="false">IF(_PENDIENTES!$B$857&lt;&gt;"","POR RECOGER","")</f>
        <v/>
      </c>
      <c r="L863" s="46" t="str">
        <f aca="false">IF(_PENDIENTES!$B$857&lt;&gt;"",_PENDIENTES!$K$857,"")</f>
        <v/>
      </c>
      <c r="M863" s="89" t="str">
        <f aca="false">IF(_PENDIENTES!$B$857&lt;&gt;"",_PENDIENTES!$B$857,"")</f>
        <v/>
      </c>
      <c r="N863" s="109" t="str">
        <f aca="false">IF(_PENDIENTES!$B$857&lt;&gt;"",_PENDIENTES!$L$857,"")</f>
        <v/>
      </c>
      <c r="O863" s="89"/>
      <c r="P863" s="89"/>
      <c r="Q863" s="89"/>
      <c r="R863" s="89"/>
      <c r="S863" s="89"/>
    </row>
    <row r="864" customFormat="false" ht="15.75" hidden="true" customHeight="true" outlineLevel="0" collapsed="false">
      <c r="A864" s="106" t="str">
        <f aca="false">IF(_PENDIENTES!$B$858&lt;&gt;"",857,"")</f>
        <v/>
      </c>
      <c r="B864" s="47" t="str">
        <f aca="false">IF(_PENDIENTES!$B$858&lt;&gt;"",_PENDIENTES!$A$858,"")</f>
        <v/>
      </c>
      <c r="C864" s="107" t="str">
        <f aca="false">IF(_PENDIENTES!$B$858&lt;&gt;"",_PENDIENTES!$C$858,"")</f>
        <v/>
      </c>
      <c r="D864" s="106" t="str">
        <f aca="false">IF(_PENDIENTES!$B$858&lt;&gt;"",_PENDIENTES!$D$858,"")</f>
        <v/>
      </c>
      <c r="E864" s="111" t="str">
        <f aca="false">IF(_PENDIENTES!$B$858&lt;&gt;"",_PENDIENTES!$E$858,"")</f>
        <v/>
      </c>
      <c r="F864" s="106" t="str">
        <f aca="false">IF(_PENDIENTES!$B$858&lt;&gt;"",_PENDIENTES!$F$858,"")</f>
        <v/>
      </c>
      <c r="G864" s="50" t="str">
        <f aca="false">IF(_PENDIENTES!$B$858&lt;&gt;"",_PENDIENTES!$G$858,"")</f>
        <v/>
      </c>
      <c r="H864" s="50" t="str">
        <f aca="false">IF(_PENDIENTES!$B$858&lt;&gt;"",_PENDIENTES!$H$858,"")</f>
        <v/>
      </c>
      <c r="I864" s="107" t="str">
        <f aca="false">IF(_PENDIENTES!$B$858&lt;&gt;"",_PENDIENTES!$I$858,"")</f>
        <v/>
      </c>
      <c r="J864" s="106" t="str">
        <f aca="false">IF(_PENDIENTES!$B$858&lt;&gt;"",_PENDIENTES!$J$858,"")</f>
        <v/>
      </c>
      <c r="K864" s="106" t="str">
        <f aca="false">IF(_PENDIENTES!$B$858&lt;&gt;"","POR RECOGER","")</f>
        <v/>
      </c>
      <c r="L864" s="106" t="str">
        <f aca="false">IF(_PENDIENTES!$B$858&lt;&gt;"",_PENDIENTES!$K$858,"")</f>
        <v/>
      </c>
      <c r="M864" s="89" t="str">
        <f aca="false">IF(_PENDIENTES!$B$858&lt;&gt;"",_PENDIENTES!$B$858,"")</f>
        <v/>
      </c>
      <c r="N864" s="109" t="str">
        <f aca="false">IF(_PENDIENTES!$B$858&lt;&gt;"",_PENDIENTES!$L$858,"")</f>
        <v/>
      </c>
      <c r="O864" s="89"/>
      <c r="P864" s="89"/>
      <c r="Q864" s="89"/>
      <c r="R864" s="89"/>
      <c r="S864" s="89"/>
    </row>
    <row r="865" customFormat="false" ht="15.75" hidden="true" customHeight="true" outlineLevel="0" collapsed="false">
      <c r="A865" s="46" t="str">
        <f aca="false">IF(_PENDIENTES!$B$859&lt;&gt;"",858,"")</f>
        <v/>
      </c>
      <c r="B865" s="41" t="str">
        <f aca="false">IF(_PENDIENTES!$B$859&lt;&gt;"",_PENDIENTES!$A$859,"")</f>
        <v/>
      </c>
      <c r="C865" s="110" t="str">
        <f aca="false">IF(_PENDIENTES!$B$859&lt;&gt;"",_PENDIENTES!$C$859,"")</f>
        <v/>
      </c>
      <c r="D865" s="46" t="str">
        <f aca="false">IF(_PENDIENTES!$B$859&lt;&gt;"",_PENDIENTES!$D$859,"")</f>
        <v/>
      </c>
      <c r="E865" s="112" t="str">
        <f aca="false">IF(_PENDIENTES!$B$859&lt;&gt;"",_PENDIENTES!$E$859,"")</f>
        <v/>
      </c>
      <c r="F865" s="46" t="str">
        <f aca="false">IF(_PENDIENTES!$B$859&lt;&gt;"",_PENDIENTES!$F$859,"")</f>
        <v/>
      </c>
      <c r="G865" s="44" t="str">
        <f aca="false">IF(_PENDIENTES!$B$859&lt;&gt;"",_PENDIENTES!$G$859,"")</f>
        <v/>
      </c>
      <c r="H865" s="44" t="str">
        <f aca="false">IF(_PENDIENTES!$B$859&lt;&gt;"",_PENDIENTES!$H$859,"")</f>
        <v/>
      </c>
      <c r="I865" s="110" t="str">
        <f aca="false">IF(_PENDIENTES!$B$859&lt;&gt;"",_PENDIENTES!$I$859,"")</f>
        <v/>
      </c>
      <c r="J865" s="46" t="str">
        <f aca="false">IF(_PENDIENTES!$B$859&lt;&gt;"",_PENDIENTES!$J$859,"")</f>
        <v/>
      </c>
      <c r="K865" s="46" t="str">
        <f aca="false">IF(_PENDIENTES!$B$859&lt;&gt;"","POR RECOGER","")</f>
        <v/>
      </c>
      <c r="L865" s="46" t="str">
        <f aca="false">IF(_PENDIENTES!$B$859&lt;&gt;"",_PENDIENTES!$K$859,"")</f>
        <v/>
      </c>
      <c r="M865" s="89" t="str">
        <f aca="false">IF(_PENDIENTES!$B$859&lt;&gt;"",_PENDIENTES!$B$859,"")</f>
        <v/>
      </c>
      <c r="N865" s="109" t="str">
        <f aca="false">IF(_PENDIENTES!$B$859&lt;&gt;"",_PENDIENTES!$L$859,"")</f>
        <v/>
      </c>
      <c r="O865" s="89"/>
      <c r="P865" s="89"/>
      <c r="Q865" s="89"/>
      <c r="R865" s="89"/>
      <c r="S865" s="89"/>
    </row>
    <row r="866" customFormat="false" ht="15.75" hidden="true" customHeight="true" outlineLevel="0" collapsed="false">
      <c r="A866" s="106" t="str">
        <f aca="false">IF(_PENDIENTES!$B$860&lt;&gt;"",859,"")</f>
        <v/>
      </c>
      <c r="B866" s="47" t="str">
        <f aca="false">IF(_PENDIENTES!$B$860&lt;&gt;"",_PENDIENTES!$A$860,"")</f>
        <v/>
      </c>
      <c r="C866" s="107" t="str">
        <f aca="false">IF(_PENDIENTES!$B$860&lt;&gt;"",_PENDIENTES!$C$860,"")</f>
        <v/>
      </c>
      <c r="D866" s="106" t="str">
        <f aca="false">IF(_PENDIENTES!$B$860&lt;&gt;"",_PENDIENTES!$D$860,"")</f>
        <v/>
      </c>
      <c r="E866" s="111" t="str">
        <f aca="false">IF(_PENDIENTES!$B$860&lt;&gt;"",_PENDIENTES!$E$860,"")</f>
        <v/>
      </c>
      <c r="F866" s="106" t="str">
        <f aca="false">IF(_PENDIENTES!$B$860&lt;&gt;"",_PENDIENTES!$F$860,"")</f>
        <v/>
      </c>
      <c r="G866" s="50" t="str">
        <f aca="false">IF(_PENDIENTES!$B$860&lt;&gt;"",_PENDIENTES!$G$860,"")</f>
        <v/>
      </c>
      <c r="H866" s="50" t="str">
        <f aca="false">IF(_PENDIENTES!$B$860&lt;&gt;"",_PENDIENTES!$H$860,"")</f>
        <v/>
      </c>
      <c r="I866" s="107" t="str">
        <f aca="false">IF(_PENDIENTES!$B$860&lt;&gt;"",_PENDIENTES!$I$860,"")</f>
        <v/>
      </c>
      <c r="J866" s="106" t="str">
        <f aca="false">IF(_PENDIENTES!$B$860&lt;&gt;"",_PENDIENTES!$J$860,"")</f>
        <v/>
      </c>
      <c r="K866" s="106" t="str">
        <f aca="false">IF(_PENDIENTES!$B$860&lt;&gt;"","POR RECOGER","")</f>
        <v/>
      </c>
      <c r="L866" s="106" t="str">
        <f aca="false">IF(_PENDIENTES!$B$860&lt;&gt;"",_PENDIENTES!$K$860,"")</f>
        <v/>
      </c>
      <c r="M866" s="89" t="str">
        <f aca="false">IF(_PENDIENTES!$B$860&lt;&gt;"",_PENDIENTES!$B$860,"")</f>
        <v/>
      </c>
      <c r="N866" s="109" t="str">
        <f aca="false">IF(_PENDIENTES!$B$860&lt;&gt;"",_PENDIENTES!$L$860,"")</f>
        <v/>
      </c>
      <c r="O866" s="89"/>
      <c r="P866" s="89"/>
      <c r="Q866" s="89"/>
      <c r="R866" s="89"/>
      <c r="S866" s="89"/>
    </row>
    <row r="867" customFormat="false" ht="15.75" hidden="true" customHeight="true" outlineLevel="0" collapsed="false">
      <c r="A867" s="46" t="str">
        <f aca="false">IF(_PENDIENTES!$B$861&lt;&gt;"",860,"")</f>
        <v/>
      </c>
      <c r="B867" s="41" t="str">
        <f aca="false">IF(_PENDIENTES!$B$861&lt;&gt;"",_PENDIENTES!$A$861,"")</f>
        <v/>
      </c>
      <c r="C867" s="110" t="str">
        <f aca="false">IF(_PENDIENTES!$B$861&lt;&gt;"",_PENDIENTES!$C$861,"")</f>
        <v/>
      </c>
      <c r="D867" s="46" t="str">
        <f aca="false">IF(_PENDIENTES!$B$861&lt;&gt;"",_PENDIENTES!$D$861,"")</f>
        <v/>
      </c>
      <c r="E867" s="112" t="str">
        <f aca="false">IF(_PENDIENTES!$B$861&lt;&gt;"",_PENDIENTES!$E$861,"")</f>
        <v/>
      </c>
      <c r="F867" s="46" t="str">
        <f aca="false">IF(_PENDIENTES!$B$861&lt;&gt;"",_PENDIENTES!$F$861,"")</f>
        <v/>
      </c>
      <c r="G867" s="44" t="str">
        <f aca="false">IF(_PENDIENTES!$B$861&lt;&gt;"",_PENDIENTES!$G$861,"")</f>
        <v/>
      </c>
      <c r="H867" s="44" t="str">
        <f aca="false">IF(_PENDIENTES!$B$861&lt;&gt;"",_PENDIENTES!$H$861,"")</f>
        <v/>
      </c>
      <c r="I867" s="110" t="str">
        <f aca="false">IF(_PENDIENTES!$B$861&lt;&gt;"",_PENDIENTES!$I$861,"")</f>
        <v/>
      </c>
      <c r="J867" s="46" t="str">
        <f aca="false">IF(_PENDIENTES!$B$861&lt;&gt;"",_PENDIENTES!$J$861,"")</f>
        <v/>
      </c>
      <c r="K867" s="46" t="str">
        <f aca="false">IF(_PENDIENTES!$B$861&lt;&gt;"","POR RECOGER","")</f>
        <v/>
      </c>
      <c r="L867" s="46" t="str">
        <f aca="false">IF(_PENDIENTES!$B$861&lt;&gt;"",_PENDIENTES!$K$861,"")</f>
        <v/>
      </c>
      <c r="M867" s="89" t="str">
        <f aca="false">IF(_PENDIENTES!$B$861&lt;&gt;"",_PENDIENTES!$B$861,"")</f>
        <v/>
      </c>
      <c r="N867" s="109" t="str">
        <f aca="false">IF(_PENDIENTES!$B$861&lt;&gt;"",_PENDIENTES!$L$861,"")</f>
        <v/>
      </c>
      <c r="O867" s="89"/>
      <c r="P867" s="89"/>
      <c r="Q867" s="89"/>
      <c r="R867" s="89"/>
      <c r="S867" s="89"/>
    </row>
    <row r="868" customFormat="false" ht="15.75" hidden="true" customHeight="true" outlineLevel="0" collapsed="false">
      <c r="A868" s="106" t="str">
        <f aca="false">IF(_PENDIENTES!$B$862&lt;&gt;"",861,"")</f>
        <v/>
      </c>
      <c r="B868" s="47" t="str">
        <f aca="false">IF(_PENDIENTES!$B$862&lt;&gt;"",_PENDIENTES!$A$862,"")</f>
        <v/>
      </c>
      <c r="C868" s="107" t="str">
        <f aca="false">IF(_PENDIENTES!$B$862&lt;&gt;"",_PENDIENTES!$C$862,"")</f>
        <v/>
      </c>
      <c r="D868" s="106" t="str">
        <f aca="false">IF(_PENDIENTES!$B$862&lt;&gt;"",_PENDIENTES!$D$862,"")</f>
        <v/>
      </c>
      <c r="E868" s="111" t="str">
        <f aca="false">IF(_PENDIENTES!$B$862&lt;&gt;"",_PENDIENTES!$E$862,"")</f>
        <v/>
      </c>
      <c r="F868" s="106" t="str">
        <f aca="false">IF(_PENDIENTES!$B$862&lt;&gt;"",_PENDIENTES!$F$862,"")</f>
        <v/>
      </c>
      <c r="G868" s="50" t="str">
        <f aca="false">IF(_PENDIENTES!$B$862&lt;&gt;"",_PENDIENTES!$G$862,"")</f>
        <v/>
      </c>
      <c r="H868" s="50" t="str">
        <f aca="false">IF(_PENDIENTES!$B$862&lt;&gt;"",_PENDIENTES!$H$862,"")</f>
        <v/>
      </c>
      <c r="I868" s="107" t="str">
        <f aca="false">IF(_PENDIENTES!$B$862&lt;&gt;"",_PENDIENTES!$I$862,"")</f>
        <v/>
      </c>
      <c r="J868" s="106" t="str">
        <f aca="false">IF(_PENDIENTES!$B$862&lt;&gt;"",_PENDIENTES!$J$862,"")</f>
        <v/>
      </c>
      <c r="K868" s="106" t="str">
        <f aca="false">IF(_PENDIENTES!$B$862&lt;&gt;"","POR RECOGER","")</f>
        <v/>
      </c>
      <c r="L868" s="106" t="str">
        <f aca="false">IF(_PENDIENTES!$B$862&lt;&gt;"",_PENDIENTES!$K$862,"")</f>
        <v/>
      </c>
      <c r="M868" s="89" t="str">
        <f aca="false">IF(_PENDIENTES!$B$862&lt;&gt;"",_PENDIENTES!$B$862,"")</f>
        <v/>
      </c>
      <c r="N868" s="109" t="str">
        <f aca="false">IF(_PENDIENTES!$B$862&lt;&gt;"",_PENDIENTES!$L$862,"")</f>
        <v/>
      </c>
      <c r="O868" s="89"/>
      <c r="P868" s="89"/>
      <c r="Q868" s="89"/>
      <c r="R868" s="89"/>
      <c r="S868" s="89"/>
    </row>
    <row r="869" customFormat="false" ht="15.75" hidden="true" customHeight="true" outlineLevel="0" collapsed="false">
      <c r="A869" s="46" t="str">
        <f aca="false">IF(_PENDIENTES!$B$863&lt;&gt;"",862,"")</f>
        <v/>
      </c>
      <c r="B869" s="41" t="str">
        <f aca="false">IF(_PENDIENTES!$B$863&lt;&gt;"",_PENDIENTES!$A$863,"")</f>
        <v/>
      </c>
      <c r="C869" s="110" t="str">
        <f aca="false">IF(_PENDIENTES!$B$863&lt;&gt;"",_PENDIENTES!$C$863,"")</f>
        <v/>
      </c>
      <c r="D869" s="46" t="str">
        <f aca="false">IF(_PENDIENTES!$B$863&lt;&gt;"",_PENDIENTES!$D$863,"")</f>
        <v/>
      </c>
      <c r="E869" s="112" t="str">
        <f aca="false">IF(_PENDIENTES!$B$863&lt;&gt;"",_PENDIENTES!$E$863,"")</f>
        <v/>
      </c>
      <c r="F869" s="46" t="str">
        <f aca="false">IF(_PENDIENTES!$B$863&lt;&gt;"",_PENDIENTES!$F$863,"")</f>
        <v/>
      </c>
      <c r="G869" s="44" t="str">
        <f aca="false">IF(_PENDIENTES!$B$863&lt;&gt;"",_PENDIENTES!$G$863,"")</f>
        <v/>
      </c>
      <c r="H869" s="44" t="str">
        <f aca="false">IF(_PENDIENTES!$B$863&lt;&gt;"",_PENDIENTES!$H$863,"")</f>
        <v/>
      </c>
      <c r="I869" s="110" t="str">
        <f aca="false">IF(_PENDIENTES!$B$863&lt;&gt;"",_PENDIENTES!$I$863,"")</f>
        <v/>
      </c>
      <c r="J869" s="46" t="str">
        <f aca="false">IF(_PENDIENTES!$B$863&lt;&gt;"",_PENDIENTES!$J$863,"")</f>
        <v/>
      </c>
      <c r="K869" s="46" t="str">
        <f aca="false">IF(_PENDIENTES!$B$863&lt;&gt;"","POR RECOGER","")</f>
        <v/>
      </c>
      <c r="L869" s="46" t="str">
        <f aca="false">IF(_PENDIENTES!$B$863&lt;&gt;"",_PENDIENTES!$K$863,"")</f>
        <v/>
      </c>
      <c r="M869" s="89" t="str">
        <f aca="false">IF(_PENDIENTES!$B$863&lt;&gt;"",_PENDIENTES!$B$863,"")</f>
        <v/>
      </c>
      <c r="N869" s="109" t="str">
        <f aca="false">IF(_PENDIENTES!$B$863&lt;&gt;"",_PENDIENTES!$L$863,"")</f>
        <v/>
      </c>
      <c r="O869" s="89"/>
      <c r="P869" s="89"/>
      <c r="Q869" s="89"/>
      <c r="R869" s="89"/>
      <c r="S869" s="89"/>
    </row>
    <row r="870" customFormat="false" ht="15.75" hidden="true" customHeight="true" outlineLevel="0" collapsed="false">
      <c r="A870" s="106" t="str">
        <f aca="false">IF(_PENDIENTES!$B$864&lt;&gt;"",863,"")</f>
        <v/>
      </c>
      <c r="B870" s="47" t="str">
        <f aca="false">IF(_PENDIENTES!$B$864&lt;&gt;"",_PENDIENTES!$A$864,"")</f>
        <v/>
      </c>
      <c r="C870" s="107" t="str">
        <f aca="false">IF(_PENDIENTES!$B$864&lt;&gt;"",_PENDIENTES!$C$864,"")</f>
        <v/>
      </c>
      <c r="D870" s="106" t="str">
        <f aca="false">IF(_PENDIENTES!$B$864&lt;&gt;"",_PENDIENTES!$D$864,"")</f>
        <v/>
      </c>
      <c r="E870" s="111" t="str">
        <f aca="false">IF(_PENDIENTES!$B$864&lt;&gt;"",_PENDIENTES!$E$864,"")</f>
        <v/>
      </c>
      <c r="F870" s="106" t="str">
        <f aca="false">IF(_PENDIENTES!$B$864&lt;&gt;"",_PENDIENTES!$F$864,"")</f>
        <v/>
      </c>
      <c r="G870" s="50" t="str">
        <f aca="false">IF(_PENDIENTES!$B$864&lt;&gt;"",_PENDIENTES!$G$864,"")</f>
        <v/>
      </c>
      <c r="H870" s="50" t="str">
        <f aca="false">IF(_PENDIENTES!$B$864&lt;&gt;"",_PENDIENTES!$H$864,"")</f>
        <v/>
      </c>
      <c r="I870" s="107" t="str">
        <f aca="false">IF(_PENDIENTES!$B$864&lt;&gt;"",_PENDIENTES!$I$864,"")</f>
        <v/>
      </c>
      <c r="J870" s="106" t="str">
        <f aca="false">IF(_PENDIENTES!$B$864&lt;&gt;"",_PENDIENTES!$J$864,"")</f>
        <v/>
      </c>
      <c r="K870" s="106" t="str">
        <f aca="false">IF(_PENDIENTES!$B$864&lt;&gt;"","POR RECOGER","")</f>
        <v/>
      </c>
      <c r="L870" s="106" t="str">
        <f aca="false">IF(_PENDIENTES!$B$864&lt;&gt;"",_PENDIENTES!$K$864,"")</f>
        <v/>
      </c>
      <c r="M870" s="89" t="str">
        <f aca="false">IF(_PENDIENTES!$B$864&lt;&gt;"",_PENDIENTES!$B$864,"")</f>
        <v/>
      </c>
      <c r="N870" s="109" t="str">
        <f aca="false">IF(_PENDIENTES!$B$864&lt;&gt;"",_PENDIENTES!$L$864,"")</f>
        <v/>
      </c>
      <c r="O870" s="89"/>
      <c r="P870" s="89"/>
      <c r="Q870" s="89"/>
      <c r="R870" s="89"/>
      <c r="S870" s="89"/>
    </row>
    <row r="871" customFormat="false" ht="15.75" hidden="true" customHeight="true" outlineLevel="0" collapsed="false">
      <c r="A871" s="46" t="str">
        <f aca="false">IF(_PENDIENTES!$B$865&lt;&gt;"",864,"")</f>
        <v/>
      </c>
      <c r="B871" s="41" t="str">
        <f aca="false">IF(_PENDIENTES!$B$865&lt;&gt;"",_PENDIENTES!$A$865,"")</f>
        <v/>
      </c>
      <c r="C871" s="110" t="str">
        <f aca="false">IF(_PENDIENTES!$B$865&lt;&gt;"",_PENDIENTES!$C$865,"")</f>
        <v/>
      </c>
      <c r="D871" s="46" t="str">
        <f aca="false">IF(_PENDIENTES!$B$865&lt;&gt;"",_PENDIENTES!$D$865,"")</f>
        <v/>
      </c>
      <c r="E871" s="112" t="str">
        <f aca="false">IF(_PENDIENTES!$B$865&lt;&gt;"",_PENDIENTES!$E$865,"")</f>
        <v/>
      </c>
      <c r="F871" s="46" t="str">
        <f aca="false">IF(_PENDIENTES!$B$865&lt;&gt;"",_PENDIENTES!$F$865,"")</f>
        <v/>
      </c>
      <c r="G871" s="44" t="str">
        <f aca="false">IF(_PENDIENTES!$B$865&lt;&gt;"",_PENDIENTES!$G$865,"")</f>
        <v/>
      </c>
      <c r="H871" s="44" t="str">
        <f aca="false">IF(_PENDIENTES!$B$865&lt;&gt;"",_PENDIENTES!$H$865,"")</f>
        <v/>
      </c>
      <c r="I871" s="110" t="str">
        <f aca="false">IF(_PENDIENTES!$B$865&lt;&gt;"",_PENDIENTES!$I$865,"")</f>
        <v/>
      </c>
      <c r="J871" s="46" t="str">
        <f aca="false">IF(_PENDIENTES!$B$865&lt;&gt;"",_PENDIENTES!$J$865,"")</f>
        <v/>
      </c>
      <c r="K871" s="46" t="str">
        <f aca="false">IF(_PENDIENTES!$B$865&lt;&gt;"","POR RECOGER","")</f>
        <v/>
      </c>
      <c r="L871" s="46" t="str">
        <f aca="false">IF(_PENDIENTES!$B$865&lt;&gt;"",_PENDIENTES!$K$865,"")</f>
        <v/>
      </c>
      <c r="M871" s="89" t="str">
        <f aca="false">IF(_PENDIENTES!$B$865&lt;&gt;"",_PENDIENTES!$B$865,"")</f>
        <v/>
      </c>
      <c r="N871" s="109" t="str">
        <f aca="false">IF(_PENDIENTES!$B$865&lt;&gt;"",_PENDIENTES!$L$865,"")</f>
        <v/>
      </c>
      <c r="O871" s="89"/>
      <c r="P871" s="89"/>
      <c r="Q871" s="89"/>
      <c r="R871" s="89"/>
      <c r="S871" s="89"/>
    </row>
    <row r="872" customFormat="false" ht="15.75" hidden="true" customHeight="true" outlineLevel="0" collapsed="false">
      <c r="A872" s="106" t="str">
        <f aca="false">IF(_PENDIENTES!$B$866&lt;&gt;"",865,"")</f>
        <v/>
      </c>
      <c r="B872" s="47" t="str">
        <f aca="false">IF(_PENDIENTES!$B$866&lt;&gt;"",_PENDIENTES!$A$866,"")</f>
        <v/>
      </c>
      <c r="C872" s="107" t="str">
        <f aca="false">IF(_PENDIENTES!$B$866&lt;&gt;"",_PENDIENTES!$C$866,"")</f>
        <v/>
      </c>
      <c r="D872" s="106" t="str">
        <f aca="false">IF(_PENDIENTES!$B$866&lt;&gt;"",_PENDIENTES!$D$866,"")</f>
        <v/>
      </c>
      <c r="E872" s="111" t="str">
        <f aca="false">IF(_PENDIENTES!$B$866&lt;&gt;"",_PENDIENTES!$E$866,"")</f>
        <v/>
      </c>
      <c r="F872" s="106" t="str">
        <f aca="false">IF(_PENDIENTES!$B$866&lt;&gt;"",_PENDIENTES!$F$866,"")</f>
        <v/>
      </c>
      <c r="G872" s="50" t="str">
        <f aca="false">IF(_PENDIENTES!$B$866&lt;&gt;"",_PENDIENTES!$G$866,"")</f>
        <v/>
      </c>
      <c r="H872" s="50" t="str">
        <f aca="false">IF(_PENDIENTES!$B$866&lt;&gt;"",_PENDIENTES!$H$866,"")</f>
        <v/>
      </c>
      <c r="I872" s="107" t="str">
        <f aca="false">IF(_PENDIENTES!$B$866&lt;&gt;"",_PENDIENTES!$I$866,"")</f>
        <v/>
      </c>
      <c r="J872" s="106" t="str">
        <f aca="false">IF(_PENDIENTES!$B$866&lt;&gt;"",_PENDIENTES!$J$866,"")</f>
        <v/>
      </c>
      <c r="K872" s="106" t="str">
        <f aca="false">IF(_PENDIENTES!$B$866&lt;&gt;"","POR RECOGER","")</f>
        <v/>
      </c>
      <c r="L872" s="106" t="str">
        <f aca="false">IF(_PENDIENTES!$B$866&lt;&gt;"",_PENDIENTES!$K$866,"")</f>
        <v/>
      </c>
      <c r="M872" s="89" t="str">
        <f aca="false">IF(_PENDIENTES!$B$866&lt;&gt;"",_PENDIENTES!$B$866,"")</f>
        <v/>
      </c>
      <c r="N872" s="109" t="str">
        <f aca="false">IF(_PENDIENTES!$B$866&lt;&gt;"",_PENDIENTES!$L$866,"")</f>
        <v/>
      </c>
      <c r="O872" s="89"/>
      <c r="P872" s="89"/>
      <c r="Q872" s="89"/>
      <c r="R872" s="89"/>
      <c r="S872" s="89"/>
    </row>
    <row r="873" customFormat="false" ht="15.75" hidden="true" customHeight="true" outlineLevel="0" collapsed="false">
      <c r="A873" s="46" t="str">
        <f aca="false">IF(_PENDIENTES!$B$867&lt;&gt;"",866,"")</f>
        <v/>
      </c>
      <c r="B873" s="41" t="str">
        <f aca="false">IF(_PENDIENTES!$B$867&lt;&gt;"",_PENDIENTES!$A$867,"")</f>
        <v/>
      </c>
      <c r="C873" s="110" t="str">
        <f aca="false">IF(_PENDIENTES!$B$867&lt;&gt;"",_PENDIENTES!$C$867,"")</f>
        <v/>
      </c>
      <c r="D873" s="46" t="str">
        <f aca="false">IF(_PENDIENTES!$B$867&lt;&gt;"",_PENDIENTES!$D$867,"")</f>
        <v/>
      </c>
      <c r="E873" s="112" t="str">
        <f aca="false">IF(_PENDIENTES!$B$867&lt;&gt;"",_PENDIENTES!$E$867,"")</f>
        <v/>
      </c>
      <c r="F873" s="46" t="str">
        <f aca="false">IF(_PENDIENTES!$B$867&lt;&gt;"",_PENDIENTES!$F$867,"")</f>
        <v/>
      </c>
      <c r="G873" s="44" t="str">
        <f aca="false">IF(_PENDIENTES!$B$867&lt;&gt;"",_PENDIENTES!$G$867,"")</f>
        <v/>
      </c>
      <c r="H873" s="44" t="str">
        <f aca="false">IF(_PENDIENTES!$B$867&lt;&gt;"",_PENDIENTES!$H$867,"")</f>
        <v/>
      </c>
      <c r="I873" s="110" t="str">
        <f aca="false">IF(_PENDIENTES!$B$867&lt;&gt;"",_PENDIENTES!$I$867,"")</f>
        <v/>
      </c>
      <c r="J873" s="46" t="str">
        <f aca="false">IF(_PENDIENTES!$B$867&lt;&gt;"",_PENDIENTES!$J$867,"")</f>
        <v/>
      </c>
      <c r="K873" s="46" t="str">
        <f aca="false">IF(_PENDIENTES!$B$867&lt;&gt;"","POR RECOGER","")</f>
        <v/>
      </c>
      <c r="L873" s="46" t="str">
        <f aca="false">IF(_PENDIENTES!$B$867&lt;&gt;"",_PENDIENTES!$K$867,"")</f>
        <v/>
      </c>
      <c r="M873" s="89" t="str">
        <f aca="false">IF(_PENDIENTES!$B$867&lt;&gt;"",_PENDIENTES!$B$867,"")</f>
        <v/>
      </c>
      <c r="N873" s="109" t="str">
        <f aca="false">IF(_PENDIENTES!$B$867&lt;&gt;"",_PENDIENTES!$L$867,"")</f>
        <v/>
      </c>
      <c r="O873" s="89"/>
      <c r="P873" s="89"/>
      <c r="Q873" s="89"/>
      <c r="R873" s="89"/>
      <c r="S873" s="89"/>
    </row>
    <row r="874" customFormat="false" ht="15.75" hidden="true" customHeight="true" outlineLevel="0" collapsed="false">
      <c r="A874" s="106" t="str">
        <f aca="false">IF(_PENDIENTES!$B$868&lt;&gt;"",867,"")</f>
        <v/>
      </c>
      <c r="B874" s="47" t="str">
        <f aca="false">IF(_PENDIENTES!$B$868&lt;&gt;"",_PENDIENTES!$A$868,"")</f>
        <v/>
      </c>
      <c r="C874" s="107" t="str">
        <f aca="false">IF(_PENDIENTES!$B$868&lt;&gt;"",_PENDIENTES!$C$868,"")</f>
        <v/>
      </c>
      <c r="D874" s="106" t="str">
        <f aca="false">IF(_PENDIENTES!$B$868&lt;&gt;"",_PENDIENTES!$D$868,"")</f>
        <v/>
      </c>
      <c r="E874" s="111" t="str">
        <f aca="false">IF(_PENDIENTES!$B$868&lt;&gt;"",_PENDIENTES!$E$868,"")</f>
        <v/>
      </c>
      <c r="F874" s="106" t="str">
        <f aca="false">IF(_PENDIENTES!$B$868&lt;&gt;"",_PENDIENTES!$F$868,"")</f>
        <v/>
      </c>
      <c r="G874" s="50" t="str">
        <f aca="false">IF(_PENDIENTES!$B$868&lt;&gt;"",_PENDIENTES!$G$868,"")</f>
        <v/>
      </c>
      <c r="H874" s="50" t="str">
        <f aca="false">IF(_PENDIENTES!$B$868&lt;&gt;"",_PENDIENTES!$H$868,"")</f>
        <v/>
      </c>
      <c r="I874" s="107" t="str">
        <f aca="false">IF(_PENDIENTES!$B$868&lt;&gt;"",_PENDIENTES!$I$868,"")</f>
        <v/>
      </c>
      <c r="J874" s="106" t="str">
        <f aca="false">IF(_PENDIENTES!$B$868&lt;&gt;"",_PENDIENTES!$J$868,"")</f>
        <v/>
      </c>
      <c r="K874" s="106" t="str">
        <f aca="false">IF(_PENDIENTES!$B$868&lt;&gt;"","POR RECOGER","")</f>
        <v/>
      </c>
      <c r="L874" s="106" t="str">
        <f aca="false">IF(_PENDIENTES!$B$868&lt;&gt;"",_PENDIENTES!$K$868,"")</f>
        <v/>
      </c>
      <c r="M874" s="89" t="str">
        <f aca="false">IF(_PENDIENTES!$B$868&lt;&gt;"",_PENDIENTES!$B$868,"")</f>
        <v/>
      </c>
      <c r="N874" s="109" t="str">
        <f aca="false">IF(_PENDIENTES!$B$868&lt;&gt;"",_PENDIENTES!$L$868,"")</f>
        <v/>
      </c>
      <c r="O874" s="89"/>
      <c r="P874" s="89"/>
      <c r="Q874" s="89"/>
      <c r="R874" s="89"/>
      <c r="S874" s="89"/>
    </row>
    <row r="875" customFormat="false" ht="15.75" hidden="true" customHeight="true" outlineLevel="0" collapsed="false">
      <c r="A875" s="46" t="str">
        <f aca="false">IF(_PENDIENTES!$B$869&lt;&gt;"",868,"")</f>
        <v/>
      </c>
      <c r="B875" s="41" t="str">
        <f aca="false">IF(_PENDIENTES!$B$869&lt;&gt;"",_PENDIENTES!$A$869,"")</f>
        <v/>
      </c>
      <c r="C875" s="110" t="str">
        <f aca="false">IF(_PENDIENTES!$B$869&lt;&gt;"",_PENDIENTES!$C$869,"")</f>
        <v/>
      </c>
      <c r="D875" s="46" t="str">
        <f aca="false">IF(_PENDIENTES!$B$869&lt;&gt;"",_PENDIENTES!$D$869,"")</f>
        <v/>
      </c>
      <c r="E875" s="112" t="str">
        <f aca="false">IF(_PENDIENTES!$B$869&lt;&gt;"",_PENDIENTES!$E$869,"")</f>
        <v/>
      </c>
      <c r="F875" s="46" t="str">
        <f aca="false">IF(_PENDIENTES!$B$869&lt;&gt;"",_PENDIENTES!$F$869,"")</f>
        <v/>
      </c>
      <c r="G875" s="44" t="str">
        <f aca="false">IF(_PENDIENTES!$B$869&lt;&gt;"",_PENDIENTES!$G$869,"")</f>
        <v/>
      </c>
      <c r="H875" s="44" t="str">
        <f aca="false">IF(_PENDIENTES!$B$869&lt;&gt;"",_PENDIENTES!$H$869,"")</f>
        <v/>
      </c>
      <c r="I875" s="110" t="str">
        <f aca="false">IF(_PENDIENTES!$B$869&lt;&gt;"",_PENDIENTES!$I$869,"")</f>
        <v/>
      </c>
      <c r="J875" s="46" t="str">
        <f aca="false">IF(_PENDIENTES!$B$869&lt;&gt;"",_PENDIENTES!$J$869,"")</f>
        <v/>
      </c>
      <c r="K875" s="46" t="str">
        <f aca="false">IF(_PENDIENTES!$B$869&lt;&gt;"","POR RECOGER","")</f>
        <v/>
      </c>
      <c r="L875" s="46" t="str">
        <f aca="false">IF(_PENDIENTES!$B$869&lt;&gt;"",_PENDIENTES!$K$869,"")</f>
        <v/>
      </c>
      <c r="M875" s="89" t="str">
        <f aca="false">IF(_PENDIENTES!$B$869&lt;&gt;"",_PENDIENTES!$B$869,"")</f>
        <v/>
      </c>
      <c r="N875" s="109" t="str">
        <f aca="false">IF(_PENDIENTES!$B$869&lt;&gt;"",_PENDIENTES!$L$869,"")</f>
        <v/>
      </c>
      <c r="O875" s="89"/>
      <c r="P875" s="89"/>
      <c r="Q875" s="89"/>
      <c r="R875" s="89"/>
      <c r="S875" s="89"/>
    </row>
    <row r="876" customFormat="false" ht="15.75" hidden="true" customHeight="true" outlineLevel="0" collapsed="false">
      <c r="A876" s="106" t="str">
        <f aca="false">IF(_PENDIENTES!$B$870&lt;&gt;"",869,"")</f>
        <v/>
      </c>
      <c r="B876" s="47" t="str">
        <f aca="false">IF(_PENDIENTES!$B$870&lt;&gt;"",_PENDIENTES!$A$870,"")</f>
        <v/>
      </c>
      <c r="C876" s="107" t="str">
        <f aca="false">IF(_PENDIENTES!$B$870&lt;&gt;"",_PENDIENTES!$C$870,"")</f>
        <v/>
      </c>
      <c r="D876" s="106" t="str">
        <f aca="false">IF(_PENDIENTES!$B$870&lt;&gt;"",_PENDIENTES!$D$870,"")</f>
        <v/>
      </c>
      <c r="E876" s="111" t="str">
        <f aca="false">IF(_PENDIENTES!$B$870&lt;&gt;"",_PENDIENTES!$E$870,"")</f>
        <v/>
      </c>
      <c r="F876" s="106" t="str">
        <f aca="false">IF(_PENDIENTES!$B$870&lt;&gt;"",_PENDIENTES!$F$870,"")</f>
        <v/>
      </c>
      <c r="G876" s="50" t="str">
        <f aca="false">IF(_PENDIENTES!$B$870&lt;&gt;"",_PENDIENTES!$G$870,"")</f>
        <v/>
      </c>
      <c r="H876" s="50" t="str">
        <f aca="false">IF(_PENDIENTES!$B$870&lt;&gt;"",_PENDIENTES!$H$870,"")</f>
        <v/>
      </c>
      <c r="I876" s="107" t="str">
        <f aca="false">IF(_PENDIENTES!$B$870&lt;&gt;"",_PENDIENTES!$I$870,"")</f>
        <v/>
      </c>
      <c r="J876" s="106" t="str">
        <f aca="false">IF(_PENDIENTES!$B$870&lt;&gt;"",_PENDIENTES!$J$870,"")</f>
        <v/>
      </c>
      <c r="K876" s="106" t="str">
        <f aca="false">IF(_PENDIENTES!$B$870&lt;&gt;"","POR RECOGER","")</f>
        <v/>
      </c>
      <c r="L876" s="106" t="str">
        <f aca="false">IF(_PENDIENTES!$B$870&lt;&gt;"",_PENDIENTES!$K$870,"")</f>
        <v/>
      </c>
      <c r="M876" s="89" t="str">
        <f aca="false">IF(_PENDIENTES!$B$870&lt;&gt;"",_PENDIENTES!$B$870,"")</f>
        <v/>
      </c>
      <c r="N876" s="109" t="str">
        <f aca="false">IF(_PENDIENTES!$B$870&lt;&gt;"",_PENDIENTES!$L$870,"")</f>
        <v/>
      </c>
      <c r="O876" s="89"/>
      <c r="P876" s="89"/>
      <c r="Q876" s="89"/>
      <c r="R876" s="89"/>
      <c r="S876" s="89"/>
    </row>
    <row r="877" customFormat="false" ht="15.75" hidden="true" customHeight="true" outlineLevel="0" collapsed="false">
      <c r="A877" s="46" t="str">
        <f aca="false">IF(_PENDIENTES!$B$871&lt;&gt;"",870,"")</f>
        <v/>
      </c>
      <c r="B877" s="41" t="str">
        <f aca="false">IF(_PENDIENTES!$B$871&lt;&gt;"",_PENDIENTES!$A$871,"")</f>
        <v/>
      </c>
      <c r="C877" s="110" t="str">
        <f aca="false">IF(_PENDIENTES!$B$871&lt;&gt;"",_PENDIENTES!$C$871,"")</f>
        <v/>
      </c>
      <c r="D877" s="46" t="str">
        <f aca="false">IF(_PENDIENTES!$B$871&lt;&gt;"",_PENDIENTES!$D$871,"")</f>
        <v/>
      </c>
      <c r="E877" s="112" t="str">
        <f aca="false">IF(_PENDIENTES!$B$871&lt;&gt;"",_PENDIENTES!$E$871,"")</f>
        <v/>
      </c>
      <c r="F877" s="46" t="str">
        <f aca="false">IF(_PENDIENTES!$B$871&lt;&gt;"",_PENDIENTES!$F$871,"")</f>
        <v/>
      </c>
      <c r="G877" s="44" t="str">
        <f aca="false">IF(_PENDIENTES!$B$871&lt;&gt;"",_PENDIENTES!$G$871,"")</f>
        <v/>
      </c>
      <c r="H877" s="44" t="str">
        <f aca="false">IF(_PENDIENTES!$B$871&lt;&gt;"",_PENDIENTES!$H$871,"")</f>
        <v/>
      </c>
      <c r="I877" s="110" t="str">
        <f aca="false">IF(_PENDIENTES!$B$871&lt;&gt;"",_PENDIENTES!$I$871,"")</f>
        <v/>
      </c>
      <c r="J877" s="46" t="str">
        <f aca="false">IF(_PENDIENTES!$B$871&lt;&gt;"",_PENDIENTES!$J$871,"")</f>
        <v/>
      </c>
      <c r="K877" s="46" t="str">
        <f aca="false">IF(_PENDIENTES!$B$871&lt;&gt;"","POR RECOGER","")</f>
        <v/>
      </c>
      <c r="L877" s="46" t="str">
        <f aca="false">IF(_PENDIENTES!$B$871&lt;&gt;"",_PENDIENTES!$K$871,"")</f>
        <v/>
      </c>
      <c r="M877" s="89" t="str">
        <f aca="false">IF(_PENDIENTES!$B$871&lt;&gt;"",_PENDIENTES!$B$871,"")</f>
        <v/>
      </c>
      <c r="N877" s="109" t="str">
        <f aca="false">IF(_PENDIENTES!$B$871&lt;&gt;"",_PENDIENTES!$L$871,"")</f>
        <v/>
      </c>
      <c r="O877" s="89"/>
      <c r="P877" s="89"/>
      <c r="Q877" s="89"/>
      <c r="R877" s="89"/>
      <c r="S877" s="89"/>
    </row>
    <row r="878" customFormat="false" ht="15.75" hidden="true" customHeight="true" outlineLevel="0" collapsed="false">
      <c r="A878" s="106" t="str">
        <f aca="false">IF(_PENDIENTES!$B$872&lt;&gt;"",871,"")</f>
        <v/>
      </c>
      <c r="B878" s="47" t="str">
        <f aca="false">IF(_PENDIENTES!$B$872&lt;&gt;"",_PENDIENTES!$A$872,"")</f>
        <v/>
      </c>
      <c r="C878" s="107" t="str">
        <f aca="false">IF(_PENDIENTES!$B$872&lt;&gt;"",_PENDIENTES!$C$872,"")</f>
        <v/>
      </c>
      <c r="D878" s="106" t="str">
        <f aca="false">IF(_PENDIENTES!$B$872&lt;&gt;"",_PENDIENTES!$D$872,"")</f>
        <v/>
      </c>
      <c r="E878" s="111" t="str">
        <f aca="false">IF(_PENDIENTES!$B$872&lt;&gt;"",_PENDIENTES!$E$872,"")</f>
        <v/>
      </c>
      <c r="F878" s="106" t="str">
        <f aca="false">IF(_PENDIENTES!$B$872&lt;&gt;"",_PENDIENTES!$F$872,"")</f>
        <v/>
      </c>
      <c r="G878" s="50" t="str">
        <f aca="false">IF(_PENDIENTES!$B$872&lt;&gt;"",_PENDIENTES!$G$872,"")</f>
        <v/>
      </c>
      <c r="H878" s="50" t="str">
        <f aca="false">IF(_PENDIENTES!$B$872&lt;&gt;"",_PENDIENTES!$H$872,"")</f>
        <v/>
      </c>
      <c r="I878" s="107" t="str">
        <f aca="false">IF(_PENDIENTES!$B$872&lt;&gt;"",_PENDIENTES!$I$872,"")</f>
        <v/>
      </c>
      <c r="J878" s="106" t="str">
        <f aca="false">IF(_PENDIENTES!$B$872&lt;&gt;"",_PENDIENTES!$J$872,"")</f>
        <v/>
      </c>
      <c r="K878" s="106" t="str">
        <f aca="false">IF(_PENDIENTES!$B$872&lt;&gt;"","POR RECOGER","")</f>
        <v/>
      </c>
      <c r="L878" s="106" t="str">
        <f aca="false">IF(_PENDIENTES!$B$872&lt;&gt;"",_PENDIENTES!$K$872,"")</f>
        <v/>
      </c>
      <c r="M878" s="89" t="str">
        <f aca="false">IF(_PENDIENTES!$B$872&lt;&gt;"",_PENDIENTES!$B$872,"")</f>
        <v/>
      </c>
      <c r="N878" s="109" t="str">
        <f aca="false">IF(_PENDIENTES!$B$872&lt;&gt;"",_PENDIENTES!$L$872,"")</f>
        <v/>
      </c>
      <c r="O878" s="89"/>
      <c r="P878" s="89"/>
      <c r="Q878" s="89"/>
      <c r="R878" s="89"/>
      <c r="S878" s="89"/>
    </row>
    <row r="879" customFormat="false" ht="15.75" hidden="true" customHeight="true" outlineLevel="0" collapsed="false">
      <c r="A879" s="46" t="str">
        <f aca="false">IF(_PENDIENTES!$B$873&lt;&gt;"",872,"")</f>
        <v/>
      </c>
      <c r="B879" s="41" t="str">
        <f aca="false">IF(_PENDIENTES!$B$873&lt;&gt;"",_PENDIENTES!$A$873,"")</f>
        <v/>
      </c>
      <c r="C879" s="110" t="str">
        <f aca="false">IF(_PENDIENTES!$B$873&lt;&gt;"",_PENDIENTES!$C$873,"")</f>
        <v/>
      </c>
      <c r="D879" s="46" t="str">
        <f aca="false">IF(_PENDIENTES!$B$873&lt;&gt;"",_PENDIENTES!$D$873,"")</f>
        <v/>
      </c>
      <c r="E879" s="112" t="str">
        <f aca="false">IF(_PENDIENTES!$B$873&lt;&gt;"",_PENDIENTES!$E$873,"")</f>
        <v/>
      </c>
      <c r="F879" s="46" t="str">
        <f aca="false">IF(_PENDIENTES!$B$873&lt;&gt;"",_PENDIENTES!$F$873,"")</f>
        <v/>
      </c>
      <c r="G879" s="44" t="str">
        <f aca="false">IF(_PENDIENTES!$B$873&lt;&gt;"",_PENDIENTES!$G$873,"")</f>
        <v/>
      </c>
      <c r="H879" s="44" t="str">
        <f aca="false">IF(_PENDIENTES!$B$873&lt;&gt;"",_PENDIENTES!$H$873,"")</f>
        <v/>
      </c>
      <c r="I879" s="110" t="str">
        <f aca="false">IF(_PENDIENTES!$B$873&lt;&gt;"",_PENDIENTES!$I$873,"")</f>
        <v/>
      </c>
      <c r="J879" s="46" t="str">
        <f aca="false">IF(_PENDIENTES!$B$873&lt;&gt;"",_PENDIENTES!$J$873,"")</f>
        <v/>
      </c>
      <c r="K879" s="46" t="str">
        <f aca="false">IF(_PENDIENTES!$B$873&lt;&gt;"","POR RECOGER","")</f>
        <v/>
      </c>
      <c r="L879" s="46" t="str">
        <f aca="false">IF(_PENDIENTES!$B$873&lt;&gt;"",_PENDIENTES!$K$873,"")</f>
        <v/>
      </c>
      <c r="M879" s="89" t="str">
        <f aca="false">IF(_PENDIENTES!$B$873&lt;&gt;"",_PENDIENTES!$B$873,"")</f>
        <v/>
      </c>
      <c r="N879" s="109" t="str">
        <f aca="false">IF(_PENDIENTES!$B$873&lt;&gt;"",_PENDIENTES!$L$873,"")</f>
        <v/>
      </c>
      <c r="O879" s="89"/>
      <c r="P879" s="89"/>
      <c r="Q879" s="89"/>
      <c r="R879" s="89"/>
      <c r="S879" s="89"/>
    </row>
    <row r="880" customFormat="false" ht="15.75" hidden="true" customHeight="true" outlineLevel="0" collapsed="false">
      <c r="A880" s="106" t="str">
        <f aca="false">IF(_PENDIENTES!$B$874&lt;&gt;"",873,"")</f>
        <v/>
      </c>
      <c r="B880" s="47" t="str">
        <f aca="false">IF(_PENDIENTES!$B$874&lt;&gt;"",_PENDIENTES!$A$874,"")</f>
        <v/>
      </c>
      <c r="C880" s="107" t="str">
        <f aca="false">IF(_PENDIENTES!$B$874&lt;&gt;"",_PENDIENTES!$C$874,"")</f>
        <v/>
      </c>
      <c r="D880" s="106" t="str">
        <f aca="false">IF(_PENDIENTES!$B$874&lt;&gt;"",_PENDIENTES!$D$874,"")</f>
        <v/>
      </c>
      <c r="E880" s="111" t="str">
        <f aca="false">IF(_PENDIENTES!$B$874&lt;&gt;"",_PENDIENTES!$E$874,"")</f>
        <v/>
      </c>
      <c r="F880" s="106" t="str">
        <f aca="false">IF(_PENDIENTES!$B$874&lt;&gt;"",_PENDIENTES!$F$874,"")</f>
        <v/>
      </c>
      <c r="G880" s="50" t="str">
        <f aca="false">IF(_PENDIENTES!$B$874&lt;&gt;"",_PENDIENTES!$G$874,"")</f>
        <v/>
      </c>
      <c r="H880" s="50" t="str">
        <f aca="false">IF(_PENDIENTES!$B$874&lt;&gt;"",_PENDIENTES!$H$874,"")</f>
        <v/>
      </c>
      <c r="I880" s="107" t="str">
        <f aca="false">IF(_PENDIENTES!$B$874&lt;&gt;"",_PENDIENTES!$I$874,"")</f>
        <v/>
      </c>
      <c r="J880" s="106" t="str">
        <f aca="false">IF(_PENDIENTES!$B$874&lt;&gt;"",_PENDIENTES!$J$874,"")</f>
        <v/>
      </c>
      <c r="K880" s="106" t="str">
        <f aca="false">IF(_PENDIENTES!$B$874&lt;&gt;"","POR RECOGER","")</f>
        <v/>
      </c>
      <c r="L880" s="106" t="str">
        <f aca="false">IF(_PENDIENTES!$B$874&lt;&gt;"",_PENDIENTES!$K$874,"")</f>
        <v/>
      </c>
      <c r="M880" s="89" t="str">
        <f aca="false">IF(_PENDIENTES!$B$874&lt;&gt;"",_PENDIENTES!$B$874,"")</f>
        <v/>
      </c>
      <c r="N880" s="109" t="str">
        <f aca="false">IF(_PENDIENTES!$B$874&lt;&gt;"",_PENDIENTES!$L$874,"")</f>
        <v/>
      </c>
      <c r="O880" s="89"/>
      <c r="P880" s="89"/>
      <c r="Q880" s="89"/>
      <c r="R880" s="89"/>
      <c r="S880" s="89"/>
    </row>
    <row r="881" customFormat="false" ht="15.75" hidden="true" customHeight="true" outlineLevel="0" collapsed="false">
      <c r="A881" s="46" t="str">
        <f aca="false">IF(_PENDIENTES!$B$875&lt;&gt;"",874,"")</f>
        <v/>
      </c>
      <c r="B881" s="41" t="str">
        <f aca="false">IF(_PENDIENTES!$B$875&lt;&gt;"",_PENDIENTES!$A$875,"")</f>
        <v/>
      </c>
      <c r="C881" s="110" t="str">
        <f aca="false">IF(_PENDIENTES!$B$875&lt;&gt;"",_PENDIENTES!$C$875,"")</f>
        <v/>
      </c>
      <c r="D881" s="46" t="str">
        <f aca="false">IF(_PENDIENTES!$B$875&lt;&gt;"",_PENDIENTES!$D$875,"")</f>
        <v/>
      </c>
      <c r="E881" s="112" t="str">
        <f aca="false">IF(_PENDIENTES!$B$875&lt;&gt;"",_PENDIENTES!$E$875,"")</f>
        <v/>
      </c>
      <c r="F881" s="46" t="str">
        <f aca="false">IF(_PENDIENTES!$B$875&lt;&gt;"",_PENDIENTES!$F$875,"")</f>
        <v/>
      </c>
      <c r="G881" s="44" t="str">
        <f aca="false">IF(_PENDIENTES!$B$875&lt;&gt;"",_PENDIENTES!$G$875,"")</f>
        <v/>
      </c>
      <c r="H881" s="44" t="str">
        <f aca="false">IF(_PENDIENTES!$B$875&lt;&gt;"",_PENDIENTES!$H$875,"")</f>
        <v/>
      </c>
      <c r="I881" s="110" t="str">
        <f aca="false">IF(_PENDIENTES!$B$875&lt;&gt;"",_PENDIENTES!$I$875,"")</f>
        <v/>
      </c>
      <c r="J881" s="46" t="str">
        <f aca="false">IF(_PENDIENTES!$B$875&lt;&gt;"",_PENDIENTES!$J$875,"")</f>
        <v/>
      </c>
      <c r="K881" s="46" t="str">
        <f aca="false">IF(_PENDIENTES!$B$875&lt;&gt;"","POR RECOGER","")</f>
        <v/>
      </c>
      <c r="L881" s="46" t="str">
        <f aca="false">IF(_PENDIENTES!$B$875&lt;&gt;"",_PENDIENTES!$K$875,"")</f>
        <v/>
      </c>
      <c r="M881" s="89" t="str">
        <f aca="false">IF(_PENDIENTES!$B$875&lt;&gt;"",_PENDIENTES!$B$875,"")</f>
        <v/>
      </c>
      <c r="N881" s="109" t="str">
        <f aca="false">IF(_PENDIENTES!$B$875&lt;&gt;"",_PENDIENTES!$L$875,"")</f>
        <v/>
      </c>
      <c r="O881" s="89"/>
      <c r="P881" s="89"/>
      <c r="Q881" s="89"/>
      <c r="R881" s="89"/>
      <c r="S881" s="89"/>
    </row>
    <row r="882" customFormat="false" ht="15.75" hidden="true" customHeight="true" outlineLevel="0" collapsed="false">
      <c r="A882" s="106" t="str">
        <f aca="false">IF(_PENDIENTES!$B$876&lt;&gt;"",875,"")</f>
        <v/>
      </c>
      <c r="B882" s="47" t="str">
        <f aca="false">IF(_PENDIENTES!$B$876&lt;&gt;"",_PENDIENTES!$A$876,"")</f>
        <v/>
      </c>
      <c r="C882" s="107" t="str">
        <f aca="false">IF(_PENDIENTES!$B$876&lt;&gt;"",_PENDIENTES!$C$876,"")</f>
        <v/>
      </c>
      <c r="D882" s="106" t="str">
        <f aca="false">IF(_PENDIENTES!$B$876&lt;&gt;"",_PENDIENTES!$D$876,"")</f>
        <v/>
      </c>
      <c r="E882" s="111" t="str">
        <f aca="false">IF(_PENDIENTES!$B$876&lt;&gt;"",_PENDIENTES!$E$876,"")</f>
        <v/>
      </c>
      <c r="F882" s="106" t="str">
        <f aca="false">IF(_PENDIENTES!$B$876&lt;&gt;"",_PENDIENTES!$F$876,"")</f>
        <v/>
      </c>
      <c r="G882" s="50" t="str">
        <f aca="false">IF(_PENDIENTES!$B$876&lt;&gt;"",_PENDIENTES!$G$876,"")</f>
        <v/>
      </c>
      <c r="H882" s="50" t="str">
        <f aca="false">IF(_PENDIENTES!$B$876&lt;&gt;"",_PENDIENTES!$H$876,"")</f>
        <v/>
      </c>
      <c r="I882" s="107" t="str">
        <f aca="false">IF(_PENDIENTES!$B$876&lt;&gt;"",_PENDIENTES!$I$876,"")</f>
        <v/>
      </c>
      <c r="J882" s="106" t="str">
        <f aca="false">IF(_PENDIENTES!$B$876&lt;&gt;"",_PENDIENTES!$J$876,"")</f>
        <v/>
      </c>
      <c r="K882" s="106" t="str">
        <f aca="false">IF(_PENDIENTES!$B$876&lt;&gt;"","POR RECOGER","")</f>
        <v/>
      </c>
      <c r="L882" s="106" t="str">
        <f aca="false">IF(_PENDIENTES!$B$876&lt;&gt;"",_PENDIENTES!$K$876,"")</f>
        <v/>
      </c>
      <c r="M882" s="89" t="str">
        <f aca="false">IF(_PENDIENTES!$B$876&lt;&gt;"",_PENDIENTES!$B$876,"")</f>
        <v/>
      </c>
      <c r="N882" s="109" t="str">
        <f aca="false">IF(_PENDIENTES!$B$876&lt;&gt;"",_PENDIENTES!$L$876,"")</f>
        <v/>
      </c>
      <c r="O882" s="89"/>
      <c r="P882" s="89"/>
      <c r="Q882" s="89"/>
      <c r="R882" s="89"/>
      <c r="S882" s="89"/>
    </row>
    <row r="883" customFormat="false" ht="15.75" hidden="true" customHeight="true" outlineLevel="0" collapsed="false">
      <c r="A883" s="46" t="str">
        <f aca="false">IF(_PENDIENTES!$B$877&lt;&gt;"",876,"")</f>
        <v/>
      </c>
      <c r="B883" s="41" t="str">
        <f aca="false">IF(_PENDIENTES!$B$877&lt;&gt;"",_PENDIENTES!$A$877,"")</f>
        <v/>
      </c>
      <c r="C883" s="110" t="str">
        <f aca="false">IF(_PENDIENTES!$B$877&lt;&gt;"",_PENDIENTES!$C$877,"")</f>
        <v/>
      </c>
      <c r="D883" s="46" t="str">
        <f aca="false">IF(_PENDIENTES!$B$877&lt;&gt;"",_PENDIENTES!$D$877,"")</f>
        <v/>
      </c>
      <c r="E883" s="112" t="str">
        <f aca="false">IF(_PENDIENTES!$B$877&lt;&gt;"",_PENDIENTES!$E$877,"")</f>
        <v/>
      </c>
      <c r="F883" s="46" t="str">
        <f aca="false">IF(_PENDIENTES!$B$877&lt;&gt;"",_PENDIENTES!$F$877,"")</f>
        <v/>
      </c>
      <c r="G883" s="44" t="str">
        <f aca="false">IF(_PENDIENTES!$B$877&lt;&gt;"",_PENDIENTES!$G$877,"")</f>
        <v/>
      </c>
      <c r="H883" s="44" t="str">
        <f aca="false">IF(_PENDIENTES!$B$877&lt;&gt;"",_PENDIENTES!$H$877,"")</f>
        <v/>
      </c>
      <c r="I883" s="110" t="str">
        <f aca="false">IF(_PENDIENTES!$B$877&lt;&gt;"",_PENDIENTES!$I$877,"")</f>
        <v/>
      </c>
      <c r="J883" s="46" t="str">
        <f aca="false">IF(_PENDIENTES!$B$877&lt;&gt;"",_PENDIENTES!$J$877,"")</f>
        <v/>
      </c>
      <c r="K883" s="46" t="str">
        <f aca="false">IF(_PENDIENTES!$B$877&lt;&gt;"","POR RECOGER","")</f>
        <v/>
      </c>
      <c r="L883" s="46" t="str">
        <f aca="false">IF(_PENDIENTES!$B$877&lt;&gt;"",_PENDIENTES!$K$877,"")</f>
        <v/>
      </c>
      <c r="M883" s="89" t="str">
        <f aca="false">IF(_PENDIENTES!$B$877&lt;&gt;"",_PENDIENTES!$B$877,"")</f>
        <v/>
      </c>
      <c r="N883" s="109" t="str">
        <f aca="false">IF(_PENDIENTES!$B$877&lt;&gt;"",_PENDIENTES!$L$877,"")</f>
        <v/>
      </c>
      <c r="O883" s="89"/>
      <c r="P883" s="89"/>
      <c r="Q883" s="89"/>
      <c r="R883" s="89"/>
      <c r="S883" s="89"/>
    </row>
    <row r="884" customFormat="false" ht="15.75" hidden="true" customHeight="true" outlineLevel="0" collapsed="false">
      <c r="A884" s="106" t="str">
        <f aca="false">IF(_PENDIENTES!$B$878&lt;&gt;"",877,"")</f>
        <v/>
      </c>
      <c r="B884" s="47" t="str">
        <f aca="false">IF(_PENDIENTES!$B$878&lt;&gt;"",_PENDIENTES!$A$878,"")</f>
        <v/>
      </c>
      <c r="C884" s="107" t="str">
        <f aca="false">IF(_PENDIENTES!$B$878&lt;&gt;"",_PENDIENTES!$C$878,"")</f>
        <v/>
      </c>
      <c r="D884" s="106" t="str">
        <f aca="false">IF(_PENDIENTES!$B$878&lt;&gt;"",_PENDIENTES!$D$878,"")</f>
        <v/>
      </c>
      <c r="E884" s="111" t="str">
        <f aca="false">IF(_PENDIENTES!$B$878&lt;&gt;"",_PENDIENTES!$E$878,"")</f>
        <v/>
      </c>
      <c r="F884" s="106" t="str">
        <f aca="false">IF(_PENDIENTES!$B$878&lt;&gt;"",_PENDIENTES!$F$878,"")</f>
        <v/>
      </c>
      <c r="G884" s="50" t="str">
        <f aca="false">IF(_PENDIENTES!$B$878&lt;&gt;"",_PENDIENTES!$G$878,"")</f>
        <v/>
      </c>
      <c r="H884" s="50" t="str">
        <f aca="false">IF(_PENDIENTES!$B$878&lt;&gt;"",_PENDIENTES!$H$878,"")</f>
        <v/>
      </c>
      <c r="I884" s="107" t="str">
        <f aca="false">IF(_PENDIENTES!$B$878&lt;&gt;"",_PENDIENTES!$I$878,"")</f>
        <v/>
      </c>
      <c r="J884" s="106" t="str">
        <f aca="false">IF(_PENDIENTES!$B$878&lt;&gt;"",_PENDIENTES!$J$878,"")</f>
        <v/>
      </c>
      <c r="K884" s="106" t="str">
        <f aca="false">IF(_PENDIENTES!$B$878&lt;&gt;"","POR RECOGER","")</f>
        <v/>
      </c>
      <c r="L884" s="106" t="str">
        <f aca="false">IF(_PENDIENTES!$B$878&lt;&gt;"",_PENDIENTES!$K$878,"")</f>
        <v/>
      </c>
      <c r="M884" s="89" t="str">
        <f aca="false">IF(_PENDIENTES!$B$878&lt;&gt;"",_PENDIENTES!$B$878,"")</f>
        <v/>
      </c>
      <c r="N884" s="109" t="str">
        <f aca="false">IF(_PENDIENTES!$B$878&lt;&gt;"",_PENDIENTES!$L$878,"")</f>
        <v/>
      </c>
      <c r="O884" s="89"/>
      <c r="P884" s="89"/>
      <c r="Q884" s="89"/>
      <c r="R884" s="89"/>
      <c r="S884" s="89"/>
    </row>
    <row r="885" customFormat="false" ht="15.75" hidden="true" customHeight="true" outlineLevel="0" collapsed="false">
      <c r="A885" s="46" t="str">
        <f aca="false">IF(_PENDIENTES!$B$879&lt;&gt;"",878,"")</f>
        <v/>
      </c>
      <c r="B885" s="41" t="str">
        <f aca="false">IF(_PENDIENTES!$B$879&lt;&gt;"",_PENDIENTES!$A$879,"")</f>
        <v/>
      </c>
      <c r="C885" s="110" t="str">
        <f aca="false">IF(_PENDIENTES!$B$879&lt;&gt;"",_PENDIENTES!$C$879,"")</f>
        <v/>
      </c>
      <c r="D885" s="46" t="str">
        <f aca="false">IF(_PENDIENTES!$B$879&lt;&gt;"",_PENDIENTES!$D$879,"")</f>
        <v/>
      </c>
      <c r="E885" s="112" t="str">
        <f aca="false">IF(_PENDIENTES!$B$879&lt;&gt;"",_PENDIENTES!$E$879,"")</f>
        <v/>
      </c>
      <c r="F885" s="46" t="str">
        <f aca="false">IF(_PENDIENTES!$B$879&lt;&gt;"",_PENDIENTES!$F$879,"")</f>
        <v/>
      </c>
      <c r="G885" s="44" t="str">
        <f aca="false">IF(_PENDIENTES!$B$879&lt;&gt;"",_PENDIENTES!$G$879,"")</f>
        <v/>
      </c>
      <c r="H885" s="44" t="str">
        <f aca="false">IF(_PENDIENTES!$B$879&lt;&gt;"",_PENDIENTES!$H$879,"")</f>
        <v/>
      </c>
      <c r="I885" s="110" t="str">
        <f aca="false">IF(_PENDIENTES!$B$879&lt;&gt;"",_PENDIENTES!$I$879,"")</f>
        <v/>
      </c>
      <c r="J885" s="46" t="str">
        <f aca="false">IF(_PENDIENTES!$B$879&lt;&gt;"",_PENDIENTES!$J$879,"")</f>
        <v/>
      </c>
      <c r="K885" s="46" t="str">
        <f aca="false">IF(_PENDIENTES!$B$879&lt;&gt;"","POR RECOGER","")</f>
        <v/>
      </c>
      <c r="L885" s="46" t="str">
        <f aca="false">IF(_PENDIENTES!$B$879&lt;&gt;"",_PENDIENTES!$K$879,"")</f>
        <v/>
      </c>
      <c r="M885" s="89" t="str">
        <f aca="false">IF(_PENDIENTES!$B$879&lt;&gt;"",_PENDIENTES!$B$879,"")</f>
        <v/>
      </c>
      <c r="N885" s="109" t="str">
        <f aca="false">IF(_PENDIENTES!$B$879&lt;&gt;"",_PENDIENTES!$L$879,"")</f>
        <v/>
      </c>
      <c r="O885" s="89"/>
      <c r="P885" s="89"/>
      <c r="Q885" s="89"/>
      <c r="R885" s="89"/>
      <c r="S885" s="89"/>
    </row>
    <row r="886" customFormat="false" ht="15.75" hidden="true" customHeight="true" outlineLevel="0" collapsed="false">
      <c r="A886" s="106" t="str">
        <f aca="false">IF(_PENDIENTES!$B$880&lt;&gt;"",879,"")</f>
        <v/>
      </c>
      <c r="B886" s="47" t="str">
        <f aca="false">IF(_PENDIENTES!$B$880&lt;&gt;"",_PENDIENTES!$A$880,"")</f>
        <v/>
      </c>
      <c r="C886" s="107" t="str">
        <f aca="false">IF(_PENDIENTES!$B$880&lt;&gt;"",_PENDIENTES!$C$880,"")</f>
        <v/>
      </c>
      <c r="D886" s="106" t="str">
        <f aca="false">IF(_PENDIENTES!$B$880&lt;&gt;"",_PENDIENTES!$D$880,"")</f>
        <v/>
      </c>
      <c r="E886" s="111" t="str">
        <f aca="false">IF(_PENDIENTES!$B$880&lt;&gt;"",_PENDIENTES!$E$880,"")</f>
        <v/>
      </c>
      <c r="F886" s="106" t="str">
        <f aca="false">IF(_PENDIENTES!$B$880&lt;&gt;"",_PENDIENTES!$F$880,"")</f>
        <v/>
      </c>
      <c r="G886" s="50" t="str">
        <f aca="false">IF(_PENDIENTES!$B$880&lt;&gt;"",_PENDIENTES!$G$880,"")</f>
        <v/>
      </c>
      <c r="H886" s="50" t="str">
        <f aca="false">IF(_PENDIENTES!$B$880&lt;&gt;"",_PENDIENTES!$H$880,"")</f>
        <v/>
      </c>
      <c r="I886" s="107" t="str">
        <f aca="false">IF(_PENDIENTES!$B$880&lt;&gt;"",_PENDIENTES!$I$880,"")</f>
        <v/>
      </c>
      <c r="J886" s="106" t="str">
        <f aca="false">IF(_PENDIENTES!$B$880&lt;&gt;"",_PENDIENTES!$J$880,"")</f>
        <v/>
      </c>
      <c r="K886" s="106" t="str">
        <f aca="false">IF(_PENDIENTES!$B$880&lt;&gt;"","POR RECOGER","")</f>
        <v/>
      </c>
      <c r="L886" s="106" t="str">
        <f aca="false">IF(_PENDIENTES!$B$880&lt;&gt;"",_PENDIENTES!$K$880,"")</f>
        <v/>
      </c>
      <c r="M886" s="89" t="str">
        <f aca="false">IF(_PENDIENTES!$B$880&lt;&gt;"",_PENDIENTES!$B$880,"")</f>
        <v/>
      </c>
      <c r="N886" s="109" t="str">
        <f aca="false">IF(_PENDIENTES!$B$880&lt;&gt;"",_PENDIENTES!$L$880,"")</f>
        <v/>
      </c>
      <c r="O886" s="89"/>
      <c r="P886" s="89"/>
      <c r="Q886" s="89"/>
      <c r="R886" s="89"/>
      <c r="S886" s="89"/>
    </row>
    <row r="887" customFormat="false" ht="15.75" hidden="true" customHeight="true" outlineLevel="0" collapsed="false">
      <c r="A887" s="46" t="str">
        <f aca="false">IF(_PENDIENTES!$B$881&lt;&gt;"",880,"")</f>
        <v/>
      </c>
      <c r="B887" s="41" t="str">
        <f aca="false">IF(_PENDIENTES!$B$881&lt;&gt;"",_PENDIENTES!$A$881,"")</f>
        <v/>
      </c>
      <c r="C887" s="110" t="str">
        <f aca="false">IF(_PENDIENTES!$B$881&lt;&gt;"",_PENDIENTES!$C$881,"")</f>
        <v/>
      </c>
      <c r="D887" s="46" t="str">
        <f aca="false">IF(_PENDIENTES!$B$881&lt;&gt;"",_PENDIENTES!$D$881,"")</f>
        <v/>
      </c>
      <c r="E887" s="112" t="str">
        <f aca="false">IF(_PENDIENTES!$B$881&lt;&gt;"",_PENDIENTES!$E$881,"")</f>
        <v/>
      </c>
      <c r="F887" s="46" t="str">
        <f aca="false">IF(_PENDIENTES!$B$881&lt;&gt;"",_PENDIENTES!$F$881,"")</f>
        <v/>
      </c>
      <c r="G887" s="44" t="str">
        <f aca="false">IF(_PENDIENTES!$B$881&lt;&gt;"",_PENDIENTES!$G$881,"")</f>
        <v/>
      </c>
      <c r="H887" s="44" t="str">
        <f aca="false">IF(_PENDIENTES!$B$881&lt;&gt;"",_PENDIENTES!$H$881,"")</f>
        <v/>
      </c>
      <c r="I887" s="110" t="str">
        <f aca="false">IF(_PENDIENTES!$B$881&lt;&gt;"",_PENDIENTES!$I$881,"")</f>
        <v/>
      </c>
      <c r="J887" s="46" t="str">
        <f aca="false">IF(_PENDIENTES!$B$881&lt;&gt;"",_PENDIENTES!$J$881,"")</f>
        <v/>
      </c>
      <c r="K887" s="46" t="str">
        <f aca="false">IF(_PENDIENTES!$B$881&lt;&gt;"","POR RECOGER","")</f>
        <v/>
      </c>
      <c r="L887" s="46" t="str">
        <f aca="false">IF(_PENDIENTES!$B$881&lt;&gt;"",_PENDIENTES!$K$881,"")</f>
        <v/>
      </c>
      <c r="M887" s="89" t="str">
        <f aca="false">IF(_PENDIENTES!$B$881&lt;&gt;"",_PENDIENTES!$B$881,"")</f>
        <v/>
      </c>
      <c r="N887" s="109" t="str">
        <f aca="false">IF(_PENDIENTES!$B$881&lt;&gt;"",_PENDIENTES!$L$881,"")</f>
        <v/>
      </c>
      <c r="O887" s="89"/>
      <c r="P887" s="89"/>
      <c r="Q887" s="89"/>
      <c r="R887" s="89"/>
      <c r="S887" s="89"/>
    </row>
    <row r="888" customFormat="false" ht="15.75" hidden="true" customHeight="true" outlineLevel="0" collapsed="false">
      <c r="A888" s="106" t="str">
        <f aca="false">IF(_PENDIENTES!$B$882&lt;&gt;"",881,"")</f>
        <v/>
      </c>
      <c r="B888" s="47" t="str">
        <f aca="false">IF(_PENDIENTES!$B$882&lt;&gt;"",_PENDIENTES!$A$882,"")</f>
        <v/>
      </c>
      <c r="C888" s="107" t="str">
        <f aca="false">IF(_PENDIENTES!$B$882&lt;&gt;"",_PENDIENTES!$C$882,"")</f>
        <v/>
      </c>
      <c r="D888" s="106" t="str">
        <f aca="false">IF(_PENDIENTES!$B$882&lt;&gt;"",_PENDIENTES!$D$882,"")</f>
        <v/>
      </c>
      <c r="E888" s="111" t="str">
        <f aca="false">IF(_PENDIENTES!$B$882&lt;&gt;"",_PENDIENTES!$E$882,"")</f>
        <v/>
      </c>
      <c r="F888" s="106" t="str">
        <f aca="false">IF(_PENDIENTES!$B$882&lt;&gt;"",_PENDIENTES!$F$882,"")</f>
        <v/>
      </c>
      <c r="G888" s="50" t="str">
        <f aca="false">IF(_PENDIENTES!$B$882&lt;&gt;"",_PENDIENTES!$G$882,"")</f>
        <v/>
      </c>
      <c r="H888" s="50" t="str">
        <f aca="false">IF(_PENDIENTES!$B$882&lt;&gt;"",_PENDIENTES!$H$882,"")</f>
        <v/>
      </c>
      <c r="I888" s="107" t="str">
        <f aca="false">IF(_PENDIENTES!$B$882&lt;&gt;"",_PENDIENTES!$I$882,"")</f>
        <v/>
      </c>
      <c r="J888" s="106" t="str">
        <f aca="false">IF(_PENDIENTES!$B$882&lt;&gt;"",_PENDIENTES!$J$882,"")</f>
        <v/>
      </c>
      <c r="K888" s="106" t="str">
        <f aca="false">IF(_PENDIENTES!$B$882&lt;&gt;"","POR RECOGER","")</f>
        <v/>
      </c>
      <c r="L888" s="106" t="str">
        <f aca="false">IF(_PENDIENTES!$B$882&lt;&gt;"",_PENDIENTES!$K$882,"")</f>
        <v/>
      </c>
      <c r="M888" s="89" t="str">
        <f aca="false">IF(_PENDIENTES!$B$882&lt;&gt;"",_PENDIENTES!$B$882,"")</f>
        <v/>
      </c>
      <c r="N888" s="109" t="str">
        <f aca="false">IF(_PENDIENTES!$B$882&lt;&gt;"",_PENDIENTES!$L$882,"")</f>
        <v/>
      </c>
      <c r="O888" s="89"/>
      <c r="P888" s="89"/>
      <c r="Q888" s="89"/>
      <c r="R888" s="89"/>
      <c r="S888" s="89"/>
    </row>
    <row r="889" customFormat="false" ht="15.75" hidden="true" customHeight="true" outlineLevel="0" collapsed="false">
      <c r="A889" s="46" t="str">
        <f aca="false">IF(_PENDIENTES!$B$883&lt;&gt;"",882,"")</f>
        <v/>
      </c>
      <c r="B889" s="41" t="str">
        <f aca="false">IF(_PENDIENTES!$B$883&lt;&gt;"",_PENDIENTES!$A$883,"")</f>
        <v/>
      </c>
      <c r="C889" s="110" t="str">
        <f aca="false">IF(_PENDIENTES!$B$883&lt;&gt;"",_PENDIENTES!$C$883,"")</f>
        <v/>
      </c>
      <c r="D889" s="46" t="str">
        <f aca="false">IF(_PENDIENTES!$B$883&lt;&gt;"",_PENDIENTES!$D$883,"")</f>
        <v/>
      </c>
      <c r="E889" s="112" t="str">
        <f aca="false">IF(_PENDIENTES!$B$883&lt;&gt;"",_PENDIENTES!$E$883,"")</f>
        <v/>
      </c>
      <c r="F889" s="46" t="str">
        <f aca="false">IF(_PENDIENTES!$B$883&lt;&gt;"",_PENDIENTES!$F$883,"")</f>
        <v/>
      </c>
      <c r="G889" s="44" t="str">
        <f aca="false">IF(_PENDIENTES!$B$883&lt;&gt;"",_PENDIENTES!$G$883,"")</f>
        <v/>
      </c>
      <c r="H889" s="44" t="str">
        <f aca="false">IF(_PENDIENTES!$B$883&lt;&gt;"",_PENDIENTES!$H$883,"")</f>
        <v/>
      </c>
      <c r="I889" s="110" t="str">
        <f aca="false">IF(_PENDIENTES!$B$883&lt;&gt;"",_PENDIENTES!$I$883,"")</f>
        <v/>
      </c>
      <c r="J889" s="46" t="str">
        <f aca="false">IF(_PENDIENTES!$B$883&lt;&gt;"",_PENDIENTES!$J$883,"")</f>
        <v/>
      </c>
      <c r="K889" s="46" t="str">
        <f aca="false">IF(_PENDIENTES!$B$883&lt;&gt;"","POR RECOGER","")</f>
        <v/>
      </c>
      <c r="L889" s="46" t="str">
        <f aca="false">IF(_PENDIENTES!$B$883&lt;&gt;"",_PENDIENTES!$K$883,"")</f>
        <v/>
      </c>
      <c r="M889" s="89" t="str">
        <f aca="false">IF(_PENDIENTES!$B$883&lt;&gt;"",_PENDIENTES!$B$883,"")</f>
        <v/>
      </c>
      <c r="N889" s="109" t="str">
        <f aca="false">IF(_PENDIENTES!$B$883&lt;&gt;"",_PENDIENTES!$L$883,"")</f>
        <v/>
      </c>
      <c r="O889" s="89"/>
      <c r="P889" s="89"/>
      <c r="Q889" s="89"/>
      <c r="R889" s="89"/>
      <c r="S889" s="89"/>
    </row>
    <row r="890" customFormat="false" ht="15.75" hidden="true" customHeight="true" outlineLevel="0" collapsed="false">
      <c r="A890" s="106" t="str">
        <f aca="false">IF(_PENDIENTES!$B$884&lt;&gt;"",883,"")</f>
        <v/>
      </c>
      <c r="B890" s="47" t="str">
        <f aca="false">IF(_PENDIENTES!$B$884&lt;&gt;"",_PENDIENTES!$A$884,"")</f>
        <v/>
      </c>
      <c r="C890" s="107" t="str">
        <f aca="false">IF(_PENDIENTES!$B$884&lt;&gt;"",_PENDIENTES!$C$884,"")</f>
        <v/>
      </c>
      <c r="D890" s="106" t="str">
        <f aca="false">IF(_PENDIENTES!$B$884&lt;&gt;"",_PENDIENTES!$D$884,"")</f>
        <v/>
      </c>
      <c r="E890" s="111" t="str">
        <f aca="false">IF(_PENDIENTES!$B$884&lt;&gt;"",_PENDIENTES!$E$884,"")</f>
        <v/>
      </c>
      <c r="F890" s="106" t="str">
        <f aca="false">IF(_PENDIENTES!$B$884&lt;&gt;"",_PENDIENTES!$F$884,"")</f>
        <v/>
      </c>
      <c r="G890" s="50" t="str">
        <f aca="false">IF(_PENDIENTES!$B$884&lt;&gt;"",_PENDIENTES!$G$884,"")</f>
        <v/>
      </c>
      <c r="H890" s="50" t="str">
        <f aca="false">IF(_PENDIENTES!$B$884&lt;&gt;"",_PENDIENTES!$H$884,"")</f>
        <v/>
      </c>
      <c r="I890" s="107" t="str">
        <f aca="false">IF(_PENDIENTES!$B$884&lt;&gt;"",_PENDIENTES!$I$884,"")</f>
        <v/>
      </c>
      <c r="J890" s="106" t="str">
        <f aca="false">IF(_PENDIENTES!$B$884&lt;&gt;"",_PENDIENTES!$J$884,"")</f>
        <v/>
      </c>
      <c r="K890" s="106" t="str">
        <f aca="false">IF(_PENDIENTES!$B$884&lt;&gt;"","POR RECOGER","")</f>
        <v/>
      </c>
      <c r="L890" s="106" t="str">
        <f aca="false">IF(_PENDIENTES!$B$884&lt;&gt;"",_PENDIENTES!$K$884,"")</f>
        <v/>
      </c>
      <c r="M890" s="89" t="str">
        <f aca="false">IF(_PENDIENTES!$B$884&lt;&gt;"",_PENDIENTES!$B$884,"")</f>
        <v/>
      </c>
      <c r="N890" s="109" t="str">
        <f aca="false">IF(_PENDIENTES!$B$884&lt;&gt;"",_PENDIENTES!$L$884,"")</f>
        <v/>
      </c>
      <c r="O890" s="89"/>
      <c r="P890" s="89"/>
      <c r="Q890" s="89"/>
      <c r="R890" s="89"/>
      <c r="S890" s="89"/>
    </row>
    <row r="891" customFormat="false" ht="15.75" hidden="true" customHeight="true" outlineLevel="0" collapsed="false">
      <c r="A891" s="46" t="str">
        <f aca="false">IF(_PENDIENTES!$B$885&lt;&gt;"",884,"")</f>
        <v/>
      </c>
      <c r="B891" s="41" t="str">
        <f aca="false">IF(_PENDIENTES!$B$885&lt;&gt;"",_PENDIENTES!$A$885,"")</f>
        <v/>
      </c>
      <c r="C891" s="110" t="str">
        <f aca="false">IF(_PENDIENTES!$B$885&lt;&gt;"",_PENDIENTES!$C$885,"")</f>
        <v/>
      </c>
      <c r="D891" s="46" t="str">
        <f aca="false">IF(_PENDIENTES!$B$885&lt;&gt;"",_PENDIENTES!$D$885,"")</f>
        <v/>
      </c>
      <c r="E891" s="112" t="str">
        <f aca="false">IF(_PENDIENTES!$B$885&lt;&gt;"",_PENDIENTES!$E$885,"")</f>
        <v/>
      </c>
      <c r="F891" s="46" t="str">
        <f aca="false">IF(_PENDIENTES!$B$885&lt;&gt;"",_PENDIENTES!$F$885,"")</f>
        <v/>
      </c>
      <c r="G891" s="44" t="str">
        <f aca="false">IF(_PENDIENTES!$B$885&lt;&gt;"",_PENDIENTES!$G$885,"")</f>
        <v/>
      </c>
      <c r="H891" s="44" t="str">
        <f aca="false">IF(_PENDIENTES!$B$885&lt;&gt;"",_PENDIENTES!$H$885,"")</f>
        <v/>
      </c>
      <c r="I891" s="110" t="str">
        <f aca="false">IF(_PENDIENTES!$B$885&lt;&gt;"",_PENDIENTES!$I$885,"")</f>
        <v/>
      </c>
      <c r="J891" s="46" t="str">
        <f aca="false">IF(_PENDIENTES!$B$885&lt;&gt;"",_PENDIENTES!$J$885,"")</f>
        <v/>
      </c>
      <c r="K891" s="46" t="str">
        <f aca="false">IF(_PENDIENTES!$B$885&lt;&gt;"","POR RECOGER","")</f>
        <v/>
      </c>
      <c r="L891" s="46" t="str">
        <f aca="false">IF(_PENDIENTES!$B$885&lt;&gt;"",_PENDIENTES!$K$885,"")</f>
        <v/>
      </c>
      <c r="M891" s="89" t="str">
        <f aca="false">IF(_PENDIENTES!$B$885&lt;&gt;"",_PENDIENTES!$B$885,"")</f>
        <v/>
      </c>
      <c r="N891" s="109" t="str">
        <f aca="false">IF(_PENDIENTES!$B$885&lt;&gt;"",_PENDIENTES!$L$885,"")</f>
        <v/>
      </c>
      <c r="O891" s="89"/>
      <c r="P891" s="89"/>
      <c r="Q891" s="89"/>
      <c r="R891" s="89"/>
      <c r="S891" s="89"/>
    </row>
    <row r="892" customFormat="false" ht="15.75" hidden="true" customHeight="true" outlineLevel="0" collapsed="false">
      <c r="A892" s="106" t="str">
        <f aca="false">IF(_PENDIENTES!$B$886&lt;&gt;"",885,"")</f>
        <v/>
      </c>
      <c r="B892" s="47" t="str">
        <f aca="false">IF(_PENDIENTES!$B$886&lt;&gt;"",_PENDIENTES!$A$886,"")</f>
        <v/>
      </c>
      <c r="C892" s="107" t="str">
        <f aca="false">IF(_PENDIENTES!$B$886&lt;&gt;"",_PENDIENTES!$C$886,"")</f>
        <v/>
      </c>
      <c r="D892" s="106" t="str">
        <f aca="false">IF(_PENDIENTES!$B$886&lt;&gt;"",_PENDIENTES!$D$886,"")</f>
        <v/>
      </c>
      <c r="E892" s="111" t="str">
        <f aca="false">IF(_PENDIENTES!$B$886&lt;&gt;"",_PENDIENTES!$E$886,"")</f>
        <v/>
      </c>
      <c r="F892" s="106" t="str">
        <f aca="false">IF(_PENDIENTES!$B$886&lt;&gt;"",_PENDIENTES!$F$886,"")</f>
        <v/>
      </c>
      <c r="G892" s="50" t="str">
        <f aca="false">IF(_PENDIENTES!$B$886&lt;&gt;"",_PENDIENTES!$G$886,"")</f>
        <v/>
      </c>
      <c r="H892" s="50" t="str">
        <f aca="false">IF(_PENDIENTES!$B$886&lt;&gt;"",_PENDIENTES!$H$886,"")</f>
        <v/>
      </c>
      <c r="I892" s="107" t="str">
        <f aca="false">IF(_PENDIENTES!$B$886&lt;&gt;"",_PENDIENTES!$I$886,"")</f>
        <v/>
      </c>
      <c r="J892" s="106" t="str">
        <f aca="false">IF(_PENDIENTES!$B$886&lt;&gt;"",_PENDIENTES!$J$886,"")</f>
        <v/>
      </c>
      <c r="K892" s="106" t="str">
        <f aca="false">IF(_PENDIENTES!$B$886&lt;&gt;"","POR RECOGER","")</f>
        <v/>
      </c>
      <c r="L892" s="106" t="str">
        <f aca="false">IF(_PENDIENTES!$B$886&lt;&gt;"",_PENDIENTES!$K$886,"")</f>
        <v/>
      </c>
      <c r="M892" s="89" t="str">
        <f aca="false">IF(_PENDIENTES!$B$886&lt;&gt;"",_PENDIENTES!$B$886,"")</f>
        <v/>
      </c>
      <c r="N892" s="109" t="str">
        <f aca="false">IF(_PENDIENTES!$B$886&lt;&gt;"",_PENDIENTES!$L$886,"")</f>
        <v/>
      </c>
      <c r="O892" s="89"/>
      <c r="P892" s="89"/>
      <c r="Q892" s="89"/>
      <c r="R892" s="89"/>
      <c r="S892" s="89"/>
    </row>
    <row r="893" customFormat="false" ht="15.75" hidden="true" customHeight="true" outlineLevel="0" collapsed="false">
      <c r="A893" s="46" t="str">
        <f aca="false">IF(_PENDIENTES!$B$887&lt;&gt;"",886,"")</f>
        <v/>
      </c>
      <c r="B893" s="41" t="str">
        <f aca="false">IF(_PENDIENTES!$B$887&lt;&gt;"",_PENDIENTES!$A$887,"")</f>
        <v/>
      </c>
      <c r="C893" s="110" t="str">
        <f aca="false">IF(_PENDIENTES!$B$887&lt;&gt;"",_PENDIENTES!$C$887,"")</f>
        <v/>
      </c>
      <c r="D893" s="46" t="str">
        <f aca="false">IF(_PENDIENTES!$B$887&lt;&gt;"",_PENDIENTES!$D$887,"")</f>
        <v/>
      </c>
      <c r="E893" s="112" t="str">
        <f aca="false">IF(_PENDIENTES!$B$887&lt;&gt;"",_PENDIENTES!$E$887,"")</f>
        <v/>
      </c>
      <c r="F893" s="46" t="str">
        <f aca="false">IF(_PENDIENTES!$B$887&lt;&gt;"",_PENDIENTES!$F$887,"")</f>
        <v/>
      </c>
      <c r="G893" s="44" t="str">
        <f aca="false">IF(_PENDIENTES!$B$887&lt;&gt;"",_PENDIENTES!$G$887,"")</f>
        <v/>
      </c>
      <c r="H893" s="44" t="str">
        <f aca="false">IF(_PENDIENTES!$B$887&lt;&gt;"",_PENDIENTES!$H$887,"")</f>
        <v/>
      </c>
      <c r="I893" s="110" t="str">
        <f aca="false">IF(_PENDIENTES!$B$887&lt;&gt;"",_PENDIENTES!$I$887,"")</f>
        <v/>
      </c>
      <c r="J893" s="46" t="str">
        <f aca="false">IF(_PENDIENTES!$B$887&lt;&gt;"",_PENDIENTES!$J$887,"")</f>
        <v/>
      </c>
      <c r="K893" s="46" t="str">
        <f aca="false">IF(_PENDIENTES!$B$887&lt;&gt;"","POR RECOGER","")</f>
        <v/>
      </c>
      <c r="L893" s="46" t="str">
        <f aca="false">IF(_PENDIENTES!$B$887&lt;&gt;"",_PENDIENTES!$K$887,"")</f>
        <v/>
      </c>
      <c r="M893" s="89" t="str">
        <f aca="false">IF(_PENDIENTES!$B$887&lt;&gt;"",_PENDIENTES!$B$887,"")</f>
        <v/>
      </c>
      <c r="N893" s="109" t="str">
        <f aca="false">IF(_PENDIENTES!$B$887&lt;&gt;"",_PENDIENTES!$L$887,"")</f>
        <v/>
      </c>
      <c r="O893" s="89"/>
      <c r="P893" s="89"/>
      <c r="Q893" s="89"/>
      <c r="R893" s="89"/>
      <c r="S893" s="89"/>
    </row>
    <row r="894" customFormat="false" ht="15.75" hidden="true" customHeight="true" outlineLevel="0" collapsed="false">
      <c r="A894" s="106" t="str">
        <f aca="false">IF(_PENDIENTES!$B$888&lt;&gt;"",887,"")</f>
        <v/>
      </c>
      <c r="B894" s="47" t="str">
        <f aca="false">IF(_PENDIENTES!$B$888&lt;&gt;"",_PENDIENTES!$A$888,"")</f>
        <v/>
      </c>
      <c r="C894" s="107" t="str">
        <f aca="false">IF(_PENDIENTES!$B$888&lt;&gt;"",_PENDIENTES!$C$888,"")</f>
        <v/>
      </c>
      <c r="D894" s="106" t="str">
        <f aca="false">IF(_PENDIENTES!$B$888&lt;&gt;"",_PENDIENTES!$D$888,"")</f>
        <v/>
      </c>
      <c r="E894" s="111" t="str">
        <f aca="false">IF(_PENDIENTES!$B$888&lt;&gt;"",_PENDIENTES!$E$888,"")</f>
        <v/>
      </c>
      <c r="F894" s="106" t="str">
        <f aca="false">IF(_PENDIENTES!$B$888&lt;&gt;"",_PENDIENTES!$F$888,"")</f>
        <v/>
      </c>
      <c r="G894" s="50" t="str">
        <f aca="false">IF(_PENDIENTES!$B$888&lt;&gt;"",_PENDIENTES!$G$888,"")</f>
        <v/>
      </c>
      <c r="H894" s="50" t="str">
        <f aca="false">IF(_PENDIENTES!$B$888&lt;&gt;"",_PENDIENTES!$H$888,"")</f>
        <v/>
      </c>
      <c r="I894" s="107" t="str">
        <f aca="false">IF(_PENDIENTES!$B$888&lt;&gt;"",_PENDIENTES!$I$888,"")</f>
        <v/>
      </c>
      <c r="J894" s="106" t="str">
        <f aca="false">IF(_PENDIENTES!$B$888&lt;&gt;"",_PENDIENTES!$J$888,"")</f>
        <v/>
      </c>
      <c r="K894" s="106" t="str">
        <f aca="false">IF(_PENDIENTES!$B$888&lt;&gt;"","POR RECOGER","")</f>
        <v/>
      </c>
      <c r="L894" s="106" t="str">
        <f aca="false">IF(_PENDIENTES!$B$888&lt;&gt;"",_PENDIENTES!$K$888,"")</f>
        <v/>
      </c>
      <c r="M894" s="89" t="str">
        <f aca="false">IF(_PENDIENTES!$B$888&lt;&gt;"",_PENDIENTES!$B$888,"")</f>
        <v/>
      </c>
      <c r="N894" s="109" t="str">
        <f aca="false">IF(_PENDIENTES!$B$888&lt;&gt;"",_PENDIENTES!$L$888,"")</f>
        <v/>
      </c>
      <c r="O894" s="89"/>
      <c r="P894" s="89"/>
      <c r="Q894" s="89"/>
      <c r="R894" s="89"/>
      <c r="S894" s="89"/>
    </row>
    <row r="895" customFormat="false" ht="15.75" hidden="true" customHeight="true" outlineLevel="0" collapsed="false">
      <c r="A895" s="46" t="str">
        <f aca="false">IF(_PENDIENTES!$B$889&lt;&gt;"",888,"")</f>
        <v/>
      </c>
      <c r="B895" s="41" t="str">
        <f aca="false">IF(_PENDIENTES!$B$889&lt;&gt;"",_PENDIENTES!$A$889,"")</f>
        <v/>
      </c>
      <c r="C895" s="110" t="str">
        <f aca="false">IF(_PENDIENTES!$B$889&lt;&gt;"",_PENDIENTES!$C$889,"")</f>
        <v/>
      </c>
      <c r="D895" s="46" t="str">
        <f aca="false">IF(_PENDIENTES!$B$889&lt;&gt;"",_PENDIENTES!$D$889,"")</f>
        <v/>
      </c>
      <c r="E895" s="112" t="str">
        <f aca="false">IF(_PENDIENTES!$B$889&lt;&gt;"",_PENDIENTES!$E$889,"")</f>
        <v/>
      </c>
      <c r="F895" s="46" t="str">
        <f aca="false">IF(_PENDIENTES!$B$889&lt;&gt;"",_PENDIENTES!$F$889,"")</f>
        <v/>
      </c>
      <c r="G895" s="44" t="str">
        <f aca="false">IF(_PENDIENTES!$B$889&lt;&gt;"",_PENDIENTES!$G$889,"")</f>
        <v/>
      </c>
      <c r="H895" s="44" t="str">
        <f aca="false">IF(_PENDIENTES!$B$889&lt;&gt;"",_PENDIENTES!$H$889,"")</f>
        <v/>
      </c>
      <c r="I895" s="110" t="str">
        <f aca="false">IF(_PENDIENTES!$B$889&lt;&gt;"",_PENDIENTES!$I$889,"")</f>
        <v/>
      </c>
      <c r="J895" s="46" t="str">
        <f aca="false">IF(_PENDIENTES!$B$889&lt;&gt;"",_PENDIENTES!$J$889,"")</f>
        <v/>
      </c>
      <c r="K895" s="46" t="str">
        <f aca="false">IF(_PENDIENTES!$B$889&lt;&gt;"","POR RECOGER","")</f>
        <v/>
      </c>
      <c r="L895" s="46" t="str">
        <f aca="false">IF(_PENDIENTES!$B$889&lt;&gt;"",_PENDIENTES!$K$889,"")</f>
        <v/>
      </c>
      <c r="M895" s="89" t="str">
        <f aca="false">IF(_PENDIENTES!$B$889&lt;&gt;"",_PENDIENTES!$B$889,"")</f>
        <v/>
      </c>
      <c r="N895" s="109" t="str">
        <f aca="false">IF(_PENDIENTES!$B$889&lt;&gt;"",_PENDIENTES!$L$889,"")</f>
        <v/>
      </c>
      <c r="O895" s="89"/>
      <c r="P895" s="89"/>
      <c r="Q895" s="89"/>
      <c r="R895" s="89"/>
      <c r="S895" s="89"/>
    </row>
    <row r="896" customFormat="false" ht="15.75" hidden="true" customHeight="true" outlineLevel="0" collapsed="false">
      <c r="A896" s="106" t="str">
        <f aca="false">IF(_PENDIENTES!$B$890&lt;&gt;"",889,"")</f>
        <v/>
      </c>
      <c r="B896" s="47" t="str">
        <f aca="false">IF(_PENDIENTES!$B$890&lt;&gt;"",_PENDIENTES!$A$890,"")</f>
        <v/>
      </c>
      <c r="C896" s="107" t="str">
        <f aca="false">IF(_PENDIENTES!$B$890&lt;&gt;"",_PENDIENTES!$C$890,"")</f>
        <v/>
      </c>
      <c r="D896" s="106" t="str">
        <f aca="false">IF(_PENDIENTES!$B$890&lt;&gt;"",_PENDIENTES!$D$890,"")</f>
        <v/>
      </c>
      <c r="E896" s="111" t="str">
        <f aca="false">IF(_PENDIENTES!$B$890&lt;&gt;"",_PENDIENTES!$E$890,"")</f>
        <v/>
      </c>
      <c r="F896" s="106" t="str">
        <f aca="false">IF(_PENDIENTES!$B$890&lt;&gt;"",_PENDIENTES!$F$890,"")</f>
        <v/>
      </c>
      <c r="G896" s="50" t="str">
        <f aca="false">IF(_PENDIENTES!$B$890&lt;&gt;"",_PENDIENTES!$G$890,"")</f>
        <v/>
      </c>
      <c r="H896" s="50" t="str">
        <f aca="false">IF(_PENDIENTES!$B$890&lt;&gt;"",_PENDIENTES!$H$890,"")</f>
        <v/>
      </c>
      <c r="I896" s="107" t="str">
        <f aca="false">IF(_PENDIENTES!$B$890&lt;&gt;"",_PENDIENTES!$I$890,"")</f>
        <v/>
      </c>
      <c r="J896" s="106" t="str">
        <f aca="false">IF(_PENDIENTES!$B$890&lt;&gt;"",_PENDIENTES!$J$890,"")</f>
        <v/>
      </c>
      <c r="K896" s="106" t="str">
        <f aca="false">IF(_PENDIENTES!$B$890&lt;&gt;"","POR RECOGER","")</f>
        <v/>
      </c>
      <c r="L896" s="106" t="str">
        <f aca="false">IF(_PENDIENTES!$B$890&lt;&gt;"",_PENDIENTES!$K$890,"")</f>
        <v/>
      </c>
      <c r="M896" s="89" t="str">
        <f aca="false">IF(_PENDIENTES!$B$890&lt;&gt;"",_PENDIENTES!$B$890,"")</f>
        <v/>
      </c>
      <c r="N896" s="109" t="str">
        <f aca="false">IF(_PENDIENTES!$B$890&lt;&gt;"",_PENDIENTES!$L$890,"")</f>
        <v/>
      </c>
      <c r="O896" s="89"/>
      <c r="P896" s="89"/>
      <c r="Q896" s="89"/>
      <c r="R896" s="89"/>
      <c r="S896" s="89"/>
    </row>
    <row r="897" customFormat="false" ht="15.75" hidden="true" customHeight="true" outlineLevel="0" collapsed="false">
      <c r="A897" s="46" t="str">
        <f aca="false">IF(_PENDIENTES!$B$891&lt;&gt;"",890,"")</f>
        <v/>
      </c>
      <c r="B897" s="41" t="str">
        <f aca="false">IF(_PENDIENTES!$B$891&lt;&gt;"",_PENDIENTES!$A$891,"")</f>
        <v/>
      </c>
      <c r="C897" s="110" t="str">
        <f aca="false">IF(_PENDIENTES!$B$891&lt;&gt;"",_PENDIENTES!$C$891,"")</f>
        <v/>
      </c>
      <c r="D897" s="46" t="str">
        <f aca="false">IF(_PENDIENTES!$B$891&lt;&gt;"",_PENDIENTES!$D$891,"")</f>
        <v/>
      </c>
      <c r="E897" s="46" t="str">
        <f aca="false">IF(_PENDIENTES!$B$891&lt;&gt;"",_PENDIENTES!$E$891,"")</f>
        <v/>
      </c>
      <c r="F897" s="46" t="str">
        <f aca="false">IF(_PENDIENTES!$B$891&lt;&gt;"",_PENDIENTES!$F$891,"")</f>
        <v/>
      </c>
      <c r="G897" s="44" t="str">
        <f aca="false">IF(_PENDIENTES!$B$891&lt;&gt;"",_PENDIENTES!$G$891,"")</f>
        <v/>
      </c>
      <c r="H897" s="44" t="str">
        <f aca="false">IF(_PENDIENTES!$B$891&lt;&gt;"",_PENDIENTES!$H$891,"")</f>
        <v/>
      </c>
      <c r="I897" s="110" t="str">
        <f aca="false">IF(_PENDIENTES!$B$891&lt;&gt;"",_PENDIENTES!$I$891,"")</f>
        <v/>
      </c>
      <c r="J897" s="46" t="str">
        <f aca="false">IF(_PENDIENTES!$B$891&lt;&gt;"",_PENDIENTES!$J$891,"")</f>
        <v/>
      </c>
      <c r="K897" s="46" t="str">
        <f aca="false">IF(_PENDIENTES!$B$891&lt;&gt;"","POR RECOGER","")</f>
        <v/>
      </c>
      <c r="L897" s="46" t="str">
        <f aca="false">IF(_PENDIENTES!$B$891&lt;&gt;"",_PENDIENTES!$K$891,"")</f>
        <v/>
      </c>
      <c r="M897" s="89" t="str">
        <f aca="false">IF(_PENDIENTES!$B$891&lt;&gt;"",_PENDIENTES!$B$891,"")</f>
        <v/>
      </c>
      <c r="N897" s="109" t="str">
        <f aca="false">IF(_PENDIENTES!$B$891&lt;&gt;"",_PENDIENTES!$L$891,"")</f>
        <v/>
      </c>
      <c r="O897" s="89"/>
      <c r="P897" s="89"/>
      <c r="Q897" s="89"/>
      <c r="R897" s="89"/>
      <c r="S897" s="89"/>
    </row>
    <row r="898" customFormat="false" ht="15.75" hidden="true" customHeight="true" outlineLevel="0" collapsed="false">
      <c r="A898" s="106" t="str">
        <f aca="false">IF(_PENDIENTES!$B$892&lt;&gt;"",891,"")</f>
        <v/>
      </c>
      <c r="B898" s="47" t="str">
        <f aca="false">IF(_PENDIENTES!$B$892&lt;&gt;"",_PENDIENTES!$A$892,"")</f>
        <v/>
      </c>
      <c r="C898" s="107" t="str">
        <f aca="false">IF(_PENDIENTES!$B$892&lt;&gt;"",_PENDIENTES!$C$892,"")</f>
        <v/>
      </c>
      <c r="D898" s="106" t="str">
        <f aca="false">IF(_PENDIENTES!$B$892&lt;&gt;"",_PENDIENTES!$D$892,"")</f>
        <v/>
      </c>
      <c r="E898" s="111" t="str">
        <f aca="false">IF(_PENDIENTES!$B$892&lt;&gt;"",_PENDIENTES!$E$892,"")</f>
        <v/>
      </c>
      <c r="F898" s="106" t="str">
        <f aca="false">IF(_PENDIENTES!$B$892&lt;&gt;"",_PENDIENTES!$F$892,"")</f>
        <v/>
      </c>
      <c r="G898" s="50" t="str">
        <f aca="false">IF(_PENDIENTES!$B$892&lt;&gt;"",_PENDIENTES!$G$892,"")</f>
        <v/>
      </c>
      <c r="H898" s="50" t="str">
        <f aca="false">IF(_PENDIENTES!$B$892&lt;&gt;"",_PENDIENTES!$H$892,"")</f>
        <v/>
      </c>
      <c r="I898" s="107" t="str">
        <f aca="false">IF(_PENDIENTES!$B$892&lt;&gt;"",_PENDIENTES!$I$892,"")</f>
        <v/>
      </c>
      <c r="J898" s="106" t="str">
        <f aca="false">IF(_PENDIENTES!$B$892&lt;&gt;"",_PENDIENTES!$J$892,"")</f>
        <v/>
      </c>
      <c r="K898" s="106" t="str">
        <f aca="false">IF(_PENDIENTES!$B$892&lt;&gt;"","POR RECOGER","")</f>
        <v/>
      </c>
      <c r="L898" s="106" t="str">
        <f aca="false">IF(_PENDIENTES!$B$892&lt;&gt;"",_PENDIENTES!$K$892,"")</f>
        <v/>
      </c>
      <c r="M898" s="89" t="str">
        <f aca="false">IF(_PENDIENTES!$B$892&lt;&gt;"",_PENDIENTES!$B$892,"")</f>
        <v/>
      </c>
      <c r="N898" s="109" t="str">
        <f aca="false">IF(_PENDIENTES!$B$892&lt;&gt;"",_PENDIENTES!$L$892,"")</f>
        <v/>
      </c>
      <c r="O898" s="89"/>
      <c r="P898" s="89"/>
      <c r="Q898" s="89"/>
      <c r="R898" s="89"/>
      <c r="S898" s="89"/>
    </row>
    <row r="899" customFormat="false" ht="15.75" hidden="true" customHeight="true" outlineLevel="0" collapsed="false">
      <c r="A899" s="46" t="str">
        <f aca="false">IF(_PENDIENTES!$B$893&lt;&gt;"",892,"")</f>
        <v/>
      </c>
      <c r="B899" s="41" t="str">
        <f aca="false">IF(_PENDIENTES!$B$893&lt;&gt;"",_PENDIENTES!$A$893,"")</f>
        <v/>
      </c>
      <c r="C899" s="110" t="str">
        <f aca="false">IF(_PENDIENTES!$B$893&lt;&gt;"",_PENDIENTES!$C$893,"")</f>
        <v/>
      </c>
      <c r="D899" s="46" t="str">
        <f aca="false">IF(_PENDIENTES!$B$893&lt;&gt;"",_PENDIENTES!$D$893,"")</f>
        <v/>
      </c>
      <c r="E899" s="112" t="str">
        <f aca="false">IF(_PENDIENTES!$B$893&lt;&gt;"",_PENDIENTES!$E$893,"")</f>
        <v/>
      </c>
      <c r="F899" s="46" t="str">
        <f aca="false">IF(_PENDIENTES!$B$893&lt;&gt;"",_PENDIENTES!$F$893,"")</f>
        <v/>
      </c>
      <c r="G899" s="44" t="str">
        <f aca="false">IF(_PENDIENTES!$B$893&lt;&gt;"",_PENDIENTES!$G$893,"")</f>
        <v/>
      </c>
      <c r="H899" s="44" t="str">
        <f aca="false">IF(_PENDIENTES!$B$893&lt;&gt;"",_PENDIENTES!$H$893,"")</f>
        <v/>
      </c>
      <c r="I899" s="110" t="str">
        <f aca="false">IF(_PENDIENTES!$B$893&lt;&gt;"",_PENDIENTES!$I$893,"")</f>
        <v/>
      </c>
      <c r="J899" s="46" t="str">
        <f aca="false">IF(_PENDIENTES!$B$893&lt;&gt;"",_PENDIENTES!$J$893,"")</f>
        <v/>
      </c>
      <c r="K899" s="46" t="str">
        <f aca="false">IF(_PENDIENTES!$B$893&lt;&gt;"","POR RECOGER","")</f>
        <v/>
      </c>
      <c r="L899" s="46" t="str">
        <f aca="false">IF(_PENDIENTES!$B$893&lt;&gt;"",_PENDIENTES!$K$893,"")</f>
        <v/>
      </c>
      <c r="M899" s="89" t="str">
        <f aca="false">IF(_PENDIENTES!$B$893&lt;&gt;"",_PENDIENTES!$B$893,"")</f>
        <v/>
      </c>
      <c r="N899" s="109" t="str">
        <f aca="false">IF(_PENDIENTES!$B$893&lt;&gt;"",_PENDIENTES!$L$893,"")</f>
        <v/>
      </c>
      <c r="O899" s="89"/>
      <c r="P899" s="89"/>
      <c r="Q899" s="89"/>
      <c r="R899" s="89"/>
      <c r="S899" s="89"/>
    </row>
    <row r="900" customFormat="false" ht="15.75" hidden="true" customHeight="true" outlineLevel="0" collapsed="false">
      <c r="A900" s="106" t="str">
        <f aca="false">IF(_PENDIENTES!$B$894&lt;&gt;"",893,"")</f>
        <v/>
      </c>
      <c r="B900" s="47" t="str">
        <f aca="false">IF(_PENDIENTES!$B$894&lt;&gt;"",_PENDIENTES!$A$894,"")</f>
        <v/>
      </c>
      <c r="C900" s="107" t="str">
        <f aca="false">IF(_PENDIENTES!$B$894&lt;&gt;"",_PENDIENTES!$C$894,"")</f>
        <v/>
      </c>
      <c r="D900" s="106" t="str">
        <f aca="false">IF(_PENDIENTES!$B$894&lt;&gt;"",_PENDIENTES!$D$894,"")</f>
        <v/>
      </c>
      <c r="E900" s="111" t="str">
        <f aca="false">IF(_PENDIENTES!$B$894&lt;&gt;"",_PENDIENTES!$E$894,"")</f>
        <v/>
      </c>
      <c r="F900" s="106" t="str">
        <f aca="false">IF(_PENDIENTES!$B$894&lt;&gt;"",_PENDIENTES!$F$894,"")</f>
        <v/>
      </c>
      <c r="G900" s="50" t="str">
        <f aca="false">IF(_PENDIENTES!$B$894&lt;&gt;"",_PENDIENTES!$G$894,"")</f>
        <v/>
      </c>
      <c r="H900" s="50" t="str">
        <f aca="false">IF(_PENDIENTES!$B$894&lt;&gt;"",_PENDIENTES!$H$894,"")</f>
        <v/>
      </c>
      <c r="I900" s="107" t="str">
        <f aca="false">IF(_PENDIENTES!$B$894&lt;&gt;"",_PENDIENTES!$I$894,"")</f>
        <v/>
      </c>
      <c r="J900" s="106" t="str">
        <f aca="false">IF(_PENDIENTES!$B$894&lt;&gt;"",_PENDIENTES!$J$894,"")</f>
        <v/>
      </c>
      <c r="K900" s="106" t="str">
        <f aca="false">IF(_PENDIENTES!$B$894&lt;&gt;"","POR RECOGER","")</f>
        <v/>
      </c>
      <c r="L900" s="106" t="str">
        <f aca="false">IF(_PENDIENTES!$B$894&lt;&gt;"",_PENDIENTES!$K$894,"")</f>
        <v/>
      </c>
      <c r="M900" s="89" t="str">
        <f aca="false">IF(_PENDIENTES!$B$894&lt;&gt;"",_PENDIENTES!$B$894,"")</f>
        <v/>
      </c>
      <c r="N900" s="109" t="str">
        <f aca="false">IF(_PENDIENTES!$B$894&lt;&gt;"",_PENDIENTES!$L$894,"")</f>
        <v/>
      </c>
      <c r="O900" s="89"/>
      <c r="P900" s="89"/>
      <c r="Q900" s="89"/>
      <c r="R900" s="89"/>
      <c r="S900" s="89"/>
    </row>
    <row r="901" customFormat="false" ht="15.75" hidden="true" customHeight="true" outlineLevel="0" collapsed="false">
      <c r="A901" s="46" t="str">
        <f aca="false">IF(_PENDIENTES!$B$895&lt;&gt;"",894,"")</f>
        <v/>
      </c>
      <c r="B901" s="41" t="str">
        <f aca="false">IF(_PENDIENTES!$B$895&lt;&gt;"",_PENDIENTES!$A$895,"")</f>
        <v/>
      </c>
      <c r="C901" s="110" t="str">
        <f aca="false">IF(_PENDIENTES!$B$895&lt;&gt;"",_PENDIENTES!$C$895,"")</f>
        <v/>
      </c>
      <c r="D901" s="46" t="str">
        <f aca="false">IF(_PENDIENTES!$B$895&lt;&gt;"",_PENDIENTES!$D$895,"")</f>
        <v/>
      </c>
      <c r="E901" s="112" t="str">
        <f aca="false">IF(_PENDIENTES!$B$895&lt;&gt;"",_PENDIENTES!$E$895,"")</f>
        <v/>
      </c>
      <c r="F901" s="46" t="str">
        <f aca="false">IF(_PENDIENTES!$B$895&lt;&gt;"",_PENDIENTES!$F$895,"")</f>
        <v/>
      </c>
      <c r="G901" s="44" t="str">
        <f aca="false">IF(_PENDIENTES!$B$895&lt;&gt;"",_PENDIENTES!$G$895,"")</f>
        <v/>
      </c>
      <c r="H901" s="44" t="str">
        <f aca="false">IF(_PENDIENTES!$B$895&lt;&gt;"",_PENDIENTES!$H$895,"")</f>
        <v/>
      </c>
      <c r="I901" s="110" t="str">
        <f aca="false">IF(_PENDIENTES!$B$895&lt;&gt;"",_PENDIENTES!$I$895,"")</f>
        <v/>
      </c>
      <c r="J901" s="46" t="str">
        <f aca="false">IF(_PENDIENTES!$B$895&lt;&gt;"",_PENDIENTES!$J$895,"")</f>
        <v/>
      </c>
      <c r="K901" s="46" t="str">
        <f aca="false">IF(_PENDIENTES!$B$895&lt;&gt;"","POR RECOGER","")</f>
        <v/>
      </c>
      <c r="L901" s="46" t="str">
        <f aca="false">IF(_PENDIENTES!$B$895&lt;&gt;"",_PENDIENTES!$K$895,"")</f>
        <v/>
      </c>
      <c r="M901" s="89" t="str">
        <f aca="false">IF(_PENDIENTES!$B$895&lt;&gt;"",_PENDIENTES!$B$895,"")</f>
        <v/>
      </c>
      <c r="N901" s="109" t="str">
        <f aca="false">IF(_PENDIENTES!$B$895&lt;&gt;"",_PENDIENTES!$L$895,"")</f>
        <v/>
      </c>
      <c r="O901" s="89"/>
      <c r="P901" s="89"/>
      <c r="Q901" s="89"/>
      <c r="R901" s="89"/>
      <c r="S901" s="89"/>
    </row>
    <row r="902" customFormat="false" ht="15.75" hidden="true" customHeight="true" outlineLevel="0" collapsed="false">
      <c r="A902" s="106" t="str">
        <f aca="false">IF(_PENDIENTES!$B$896&lt;&gt;"",895,"")</f>
        <v/>
      </c>
      <c r="B902" s="47" t="str">
        <f aca="false">IF(_PENDIENTES!$B$896&lt;&gt;"",_PENDIENTES!$A$896,"")</f>
        <v/>
      </c>
      <c r="C902" s="107" t="str">
        <f aca="false">IF(_PENDIENTES!$B$896&lt;&gt;"",_PENDIENTES!$C$896,"")</f>
        <v/>
      </c>
      <c r="D902" s="106" t="str">
        <f aca="false">IF(_PENDIENTES!$B$896&lt;&gt;"",_PENDIENTES!$D$896,"")</f>
        <v/>
      </c>
      <c r="E902" s="111" t="str">
        <f aca="false">IF(_PENDIENTES!$B$896&lt;&gt;"",_PENDIENTES!$E$896,"")</f>
        <v/>
      </c>
      <c r="F902" s="106" t="str">
        <f aca="false">IF(_PENDIENTES!$B$896&lt;&gt;"",_PENDIENTES!$F$896,"")</f>
        <v/>
      </c>
      <c r="G902" s="50" t="str">
        <f aca="false">IF(_PENDIENTES!$B$896&lt;&gt;"",_PENDIENTES!$G$896,"")</f>
        <v/>
      </c>
      <c r="H902" s="50" t="str">
        <f aca="false">IF(_PENDIENTES!$B$896&lt;&gt;"",_PENDIENTES!$H$896,"")</f>
        <v/>
      </c>
      <c r="I902" s="107" t="str">
        <f aca="false">IF(_PENDIENTES!$B$896&lt;&gt;"",_PENDIENTES!$I$896,"")</f>
        <v/>
      </c>
      <c r="J902" s="106" t="str">
        <f aca="false">IF(_PENDIENTES!$B$896&lt;&gt;"",_PENDIENTES!$J$896,"")</f>
        <v/>
      </c>
      <c r="K902" s="106" t="str">
        <f aca="false">IF(_PENDIENTES!$B$896&lt;&gt;"","POR RECOGER","")</f>
        <v/>
      </c>
      <c r="L902" s="106" t="str">
        <f aca="false">IF(_PENDIENTES!$B$896&lt;&gt;"",_PENDIENTES!$K$896,"")</f>
        <v/>
      </c>
      <c r="M902" s="89" t="str">
        <f aca="false">IF(_PENDIENTES!$B$896&lt;&gt;"",_PENDIENTES!$B$896,"")</f>
        <v/>
      </c>
      <c r="N902" s="109" t="str">
        <f aca="false">IF(_PENDIENTES!$B$896&lt;&gt;"",_PENDIENTES!$L$896,"")</f>
        <v/>
      </c>
      <c r="O902" s="89"/>
      <c r="P902" s="89"/>
      <c r="Q902" s="89"/>
      <c r="R902" s="89"/>
      <c r="S902" s="89"/>
    </row>
    <row r="903" customFormat="false" ht="15.75" hidden="true" customHeight="true" outlineLevel="0" collapsed="false">
      <c r="A903" s="46" t="str">
        <f aca="false">IF(_PENDIENTES!$B$897&lt;&gt;"",896,"")</f>
        <v/>
      </c>
      <c r="B903" s="41" t="str">
        <f aca="false">IF(_PENDIENTES!$B$897&lt;&gt;"",_PENDIENTES!$A$897,"")</f>
        <v/>
      </c>
      <c r="C903" s="110" t="str">
        <f aca="false">IF(_PENDIENTES!$B$897&lt;&gt;"",_PENDIENTES!$C$897,"")</f>
        <v/>
      </c>
      <c r="D903" s="46" t="str">
        <f aca="false">IF(_PENDIENTES!$B$897&lt;&gt;"",_PENDIENTES!$D$897,"")</f>
        <v/>
      </c>
      <c r="E903" s="112" t="str">
        <f aca="false">IF(_PENDIENTES!$B$897&lt;&gt;"",_PENDIENTES!$E$897,"")</f>
        <v/>
      </c>
      <c r="F903" s="46" t="str">
        <f aca="false">IF(_PENDIENTES!$B$897&lt;&gt;"",_PENDIENTES!$F$897,"")</f>
        <v/>
      </c>
      <c r="G903" s="44" t="str">
        <f aca="false">IF(_PENDIENTES!$B$897&lt;&gt;"",_PENDIENTES!$G$897,"")</f>
        <v/>
      </c>
      <c r="H903" s="44" t="str">
        <f aca="false">IF(_PENDIENTES!$B$897&lt;&gt;"",_PENDIENTES!$H$897,"")</f>
        <v/>
      </c>
      <c r="I903" s="110" t="str">
        <f aca="false">IF(_PENDIENTES!$B$897&lt;&gt;"",_PENDIENTES!$I$897,"")</f>
        <v/>
      </c>
      <c r="J903" s="46" t="str">
        <f aca="false">IF(_PENDIENTES!$B$897&lt;&gt;"",_PENDIENTES!$J$897,"")</f>
        <v/>
      </c>
      <c r="K903" s="46" t="str">
        <f aca="false">IF(_PENDIENTES!$B$897&lt;&gt;"","POR RECOGER","")</f>
        <v/>
      </c>
      <c r="L903" s="46" t="str">
        <f aca="false">IF(_PENDIENTES!$B$897&lt;&gt;"",_PENDIENTES!$K$897,"")</f>
        <v/>
      </c>
      <c r="M903" s="89" t="str">
        <f aca="false">IF(_PENDIENTES!$B$897&lt;&gt;"",_PENDIENTES!$B$897,"")</f>
        <v/>
      </c>
      <c r="N903" s="109" t="str">
        <f aca="false">IF(_PENDIENTES!$B$897&lt;&gt;"",_PENDIENTES!$L$897,"")</f>
        <v/>
      </c>
      <c r="O903" s="89"/>
      <c r="P903" s="89"/>
      <c r="Q903" s="89"/>
      <c r="R903" s="89"/>
      <c r="S903" s="89"/>
    </row>
    <row r="904" customFormat="false" ht="15.75" hidden="true" customHeight="true" outlineLevel="0" collapsed="false">
      <c r="A904" s="106" t="str">
        <f aca="false">IF(_PENDIENTES!$B$898&lt;&gt;"",897,"")</f>
        <v/>
      </c>
      <c r="B904" s="47" t="str">
        <f aca="false">IF(_PENDIENTES!$B$898&lt;&gt;"",_PENDIENTES!$A$898,"")</f>
        <v/>
      </c>
      <c r="C904" s="107" t="str">
        <f aca="false">IF(_PENDIENTES!$B$898&lt;&gt;"",_PENDIENTES!$C$898,"")</f>
        <v/>
      </c>
      <c r="D904" s="106" t="str">
        <f aca="false">IF(_PENDIENTES!$B$898&lt;&gt;"",_PENDIENTES!$D$898,"")</f>
        <v/>
      </c>
      <c r="E904" s="111" t="str">
        <f aca="false">IF(_PENDIENTES!$B$898&lt;&gt;"",_PENDIENTES!$E$898,"")</f>
        <v/>
      </c>
      <c r="F904" s="106" t="str">
        <f aca="false">IF(_PENDIENTES!$B$898&lt;&gt;"",_PENDIENTES!$F$898,"")</f>
        <v/>
      </c>
      <c r="G904" s="50" t="str">
        <f aca="false">IF(_PENDIENTES!$B$898&lt;&gt;"",_PENDIENTES!$G$898,"")</f>
        <v/>
      </c>
      <c r="H904" s="50" t="str">
        <f aca="false">IF(_PENDIENTES!$B$898&lt;&gt;"",_PENDIENTES!$H$898,"")</f>
        <v/>
      </c>
      <c r="I904" s="107" t="str">
        <f aca="false">IF(_PENDIENTES!$B$898&lt;&gt;"",_PENDIENTES!$I$898,"")</f>
        <v/>
      </c>
      <c r="J904" s="106" t="str">
        <f aca="false">IF(_PENDIENTES!$B$898&lt;&gt;"",_PENDIENTES!$J$898,"")</f>
        <v/>
      </c>
      <c r="K904" s="106" t="str">
        <f aca="false">IF(_PENDIENTES!$B$898&lt;&gt;"","POR RECOGER","")</f>
        <v/>
      </c>
      <c r="L904" s="106" t="str">
        <f aca="false">IF(_PENDIENTES!$B$898&lt;&gt;"",_PENDIENTES!$K$898,"")</f>
        <v/>
      </c>
      <c r="M904" s="89" t="str">
        <f aca="false">IF(_PENDIENTES!$B$898&lt;&gt;"",_PENDIENTES!$B$898,"")</f>
        <v/>
      </c>
      <c r="N904" s="109" t="str">
        <f aca="false">IF(_PENDIENTES!$B$898&lt;&gt;"",_PENDIENTES!$L$898,"")</f>
        <v/>
      </c>
      <c r="O904" s="89"/>
      <c r="P904" s="89"/>
      <c r="Q904" s="89"/>
      <c r="R904" s="89"/>
      <c r="S904" s="89"/>
    </row>
    <row r="905" customFormat="false" ht="15.75" hidden="true" customHeight="true" outlineLevel="0" collapsed="false">
      <c r="A905" s="46" t="str">
        <f aca="false">IF(_PENDIENTES!$B$899&lt;&gt;"",898,"")</f>
        <v/>
      </c>
      <c r="B905" s="41" t="str">
        <f aca="false">IF(_PENDIENTES!$B$899&lt;&gt;"",_PENDIENTES!$A$899,"")</f>
        <v/>
      </c>
      <c r="C905" s="110" t="str">
        <f aca="false">IF(_PENDIENTES!$B$899&lt;&gt;"",_PENDIENTES!$C$899,"")</f>
        <v/>
      </c>
      <c r="D905" s="46" t="str">
        <f aca="false">IF(_PENDIENTES!$B$899&lt;&gt;"",_PENDIENTES!$D$899,"")</f>
        <v/>
      </c>
      <c r="E905" s="112" t="str">
        <f aca="false">IF(_PENDIENTES!$B$899&lt;&gt;"",_PENDIENTES!$E$899,"")</f>
        <v/>
      </c>
      <c r="F905" s="46" t="str">
        <f aca="false">IF(_PENDIENTES!$B$899&lt;&gt;"",_PENDIENTES!$F$899,"")</f>
        <v/>
      </c>
      <c r="G905" s="44" t="str">
        <f aca="false">IF(_PENDIENTES!$B$899&lt;&gt;"",_PENDIENTES!$G$899,"")</f>
        <v/>
      </c>
      <c r="H905" s="44" t="str">
        <f aca="false">IF(_PENDIENTES!$B$899&lt;&gt;"",_PENDIENTES!$H$899,"")</f>
        <v/>
      </c>
      <c r="I905" s="110" t="str">
        <f aca="false">IF(_PENDIENTES!$B$899&lt;&gt;"",_PENDIENTES!$I$899,"")</f>
        <v/>
      </c>
      <c r="J905" s="46" t="str">
        <f aca="false">IF(_PENDIENTES!$B$899&lt;&gt;"",_PENDIENTES!$J$899,"")</f>
        <v/>
      </c>
      <c r="K905" s="46" t="str">
        <f aca="false">IF(_PENDIENTES!$B$899&lt;&gt;"","POR RECOGER","")</f>
        <v/>
      </c>
      <c r="L905" s="46" t="str">
        <f aca="false">IF(_PENDIENTES!$B$899&lt;&gt;"",_PENDIENTES!$K$899,"")</f>
        <v/>
      </c>
      <c r="M905" s="89" t="str">
        <f aca="false">IF(_PENDIENTES!$B$899&lt;&gt;"",_PENDIENTES!$B$899,"")</f>
        <v/>
      </c>
      <c r="N905" s="109" t="str">
        <f aca="false">IF(_PENDIENTES!$B$899&lt;&gt;"",_PENDIENTES!$L$899,"")</f>
        <v/>
      </c>
      <c r="O905" s="89"/>
      <c r="P905" s="89"/>
      <c r="Q905" s="89"/>
      <c r="R905" s="89"/>
      <c r="S905" s="89"/>
    </row>
    <row r="906" customFormat="false" ht="15.75" hidden="true" customHeight="true" outlineLevel="0" collapsed="false">
      <c r="A906" s="106" t="str">
        <f aca="false">IF(_PENDIENTES!$B$900&lt;&gt;"",899,"")</f>
        <v/>
      </c>
      <c r="B906" s="47" t="str">
        <f aca="false">IF(_PENDIENTES!$B$900&lt;&gt;"",_PENDIENTES!$A$900,"")</f>
        <v/>
      </c>
      <c r="C906" s="107" t="str">
        <f aca="false">IF(_PENDIENTES!$B$900&lt;&gt;"",_PENDIENTES!$C$900,"")</f>
        <v/>
      </c>
      <c r="D906" s="106" t="str">
        <f aca="false">IF(_PENDIENTES!$B$900&lt;&gt;"",_PENDIENTES!$D$900,"")</f>
        <v/>
      </c>
      <c r="E906" s="111" t="str">
        <f aca="false">IF(_PENDIENTES!$B$900&lt;&gt;"",_PENDIENTES!$E$900,"")</f>
        <v/>
      </c>
      <c r="F906" s="106" t="str">
        <f aca="false">IF(_PENDIENTES!$B$900&lt;&gt;"",_PENDIENTES!$F$900,"")</f>
        <v/>
      </c>
      <c r="G906" s="50" t="str">
        <f aca="false">IF(_PENDIENTES!$B$900&lt;&gt;"",_PENDIENTES!$G$900,"")</f>
        <v/>
      </c>
      <c r="H906" s="50" t="str">
        <f aca="false">IF(_PENDIENTES!$B$900&lt;&gt;"",_PENDIENTES!$H$900,"")</f>
        <v/>
      </c>
      <c r="I906" s="107" t="str">
        <f aca="false">IF(_PENDIENTES!$B$900&lt;&gt;"",_PENDIENTES!$I$900,"")</f>
        <v/>
      </c>
      <c r="J906" s="106" t="str">
        <f aca="false">IF(_PENDIENTES!$B$900&lt;&gt;"",_PENDIENTES!$J$900,"")</f>
        <v/>
      </c>
      <c r="K906" s="106" t="str">
        <f aca="false">IF(_PENDIENTES!$B$900&lt;&gt;"","POR RECOGER","")</f>
        <v/>
      </c>
      <c r="L906" s="106" t="str">
        <f aca="false">IF(_PENDIENTES!$B$900&lt;&gt;"",_PENDIENTES!$K$900,"")</f>
        <v/>
      </c>
      <c r="M906" s="89" t="str">
        <f aca="false">IF(_PENDIENTES!$B$900&lt;&gt;"",_PENDIENTES!$B$900,"")</f>
        <v/>
      </c>
      <c r="N906" s="109" t="str">
        <f aca="false">IF(_PENDIENTES!$B$900&lt;&gt;"",_PENDIENTES!$L$900,"")</f>
        <v/>
      </c>
      <c r="O906" s="89"/>
      <c r="P906" s="89"/>
      <c r="Q906" s="89"/>
      <c r="R906" s="89"/>
      <c r="S906" s="89"/>
    </row>
    <row r="907" customFormat="false" ht="15.75" hidden="true" customHeight="true" outlineLevel="0" collapsed="false">
      <c r="A907" s="46" t="str">
        <f aca="false">IF(_PENDIENTES!$B$901&lt;&gt;"",900,"")</f>
        <v/>
      </c>
      <c r="B907" s="41" t="str">
        <f aca="false">IF(_PENDIENTES!$B$901&lt;&gt;"",_PENDIENTES!$A$901,"")</f>
        <v/>
      </c>
      <c r="C907" s="110" t="str">
        <f aca="false">IF(_PENDIENTES!$B$901&lt;&gt;"",_PENDIENTES!$C$901,"")</f>
        <v/>
      </c>
      <c r="D907" s="46" t="str">
        <f aca="false">IF(_PENDIENTES!$B$901&lt;&gt;"",_PENDIENTES!$D$901,"")</f>
        <v/>
      </c>
      <c r="E907" s="112" t="str">
        <f aca="false">IF(_PENDIENTES!$B$901&lt;&gt;"",_PENDIENTES!$E$901,"")</f>
        <v/>
      </c>
      <c r="F907" s="46" t="str">
        <f aca="false">IF(_PENDIENTES!$B$901&lt;&gt;"",_PENDIENTES!$F$901,"")</f>
        <v/>
      </c>
      <c r="G907" s="44" t="str">
        <f aca="false">IF(_PENDIENTES!$B$901&lt;&gt;"",_PENDIENTES!$G$901,"")</f>
        <v/>
      </c>
      <c r="H907" s="44" t="str">
        <f aca="false">IF(_PENDIENTES!$B$901&lt;&gt;"",_PENDIENTES!$H$901,"")</f>
        <v/>
      </c>
      <c r="I907" s="110" t="str">
        <f aca="false">IF(_PENDIENTES!$B$901&lt;&gt;"",_PENDIENTES!$I$901,"")</f>
        <v/>
      </c>
      <c r="J907" s="46" t="str">
        <f aca="false">IF(_PENDIENTES!$B$901&lt;&gt;"",_PENDIENTES!$J$901,"")</f>
        <v/>
      </c>
      <c r="K907" s="46" t="str">
        <f aca="false">IF(_PENDIENTES!$B$901&lt;&gt;"","POR RECOGER","")</f>
        <v/>
      </c>
      <c r="L907" s="46" t="str">
        <f aca="false">IF(_PENDIENTES!$B$901&lt;&gt;"",_PENDIENTES!$K$901,"")</f>
        <v/>
      </c>
      <c r="M907" s="89" t="str">
        <f aca="false">IF(_PENDIENTES!$B$901&lt;&gt;"",_PENDIENTES!$B$901,"")</f>
        <v/>
      </c>
      <c r="N907" s="109" t="str">
        <f aca="false">IF(_PENDIENTES!$B$901&lt;&gt;"",_PENDIENTES!$L$901,"")</f>
        <v/>
      </c>
      <c r="O907" s="89"/>
      <c r="P907" s="89"/>
      <c r="Q907" s="89"/>
      <c r="R907" s="89"/>
      <c r="S907" s="89"/>
    </row>
    <row r="908" customFormat="false" ht="15.75" hidden="true" customHeight="true" outlineLevel="0" collapsed="false">
      <c r="A908" s="106" t="str">
        <f aca="false">IF(_PENDIENTES!$B$902&lt;&gt;"",901,"")</f>
        <v/>
      </c>
      <c r="B908" s="47" t="str">
        <f aca="false">IF(_PENDIENTES!$B$902&lt;&gt;"",_PENDIENTES!$A$902,"")</f>
        <v/>
      </c>
      <c r="C908" s="107" t="str">
        <f aca="false">IF(_PENDIENTES!$B$902&lt;&gt;"",_PENDIENTES!$C$902,"")</f>
        <v/>
      </c>
      <c r="D908" s="106" t="str">
        <f aca="false">IF(_PENDIENTES!$B$902&lt;&gt;"",_PENDIENTES!$D$902,"")</f>
        <v/>
      </c>
      <c r="E908" s="111" t="str">
        <f aca="false">IF(_PENDIENTES!$B$902&lt;&gt;"",_PENDIENTES!$E$902,"")</f>
        <v/>
      </c>
      <c r="F908" s="106" t="str">
        <f aca="false">IF(_PENDIENTES!$B$902&lt;&gt;"",_PENDIENTES!$F$902,"")</f>
        <v/>
      </c>
      <c r="G908" s="50" t="str">
        <f aca="false">IF(_PENDIENTES!$B$902&lt;&gt;"",_PENDIENTES!$G$902,"")</f>
        <v/>
      </c>
      <c r="H908" s="50" t="str">
        <f aca="false">IF(_PENDIENTES!$B$902&lt;&gt;"",_PENDIENTES!$H$902,"")</f>
        <v/>
      </c>
      <c r="I908" s="107" t="str">
        <f aca="false">IF(_PENDIENTES!$B$902&lt;&gt;"",_PENDIENTES!$I$902,"")</f>
        <v/>
      </c>
      <c r="J908" s="106" t="str">
        <f aca="false">IF(_PENDIENTES!$B$902&lt;&gt;"",_PENDIENTES!$J$902,"")</f>
        <v/>
      </c>
      <c r="K908" s="106" t="str">
        <f aca="false">IF(_PENDIENTES!$B$902&lt;&gt;"","POR RECOGER","")</f>
        <v/>
      </c>
      <c r="L908" s="106" t="str">
        <f aca="false">IF(_PENDIENTES!$B$902&lt;&gt;"",_PENDIENTES!$K$902,"")</f>
        <v/>
      </c>
      <c r="M908" s="89" t="str">
        <f aca="false">IF(_PENDIENTES!$B$902&lt;&gt;"",_PENDIENTES!$B$902,"")</f>
        <v/>
      </c>
      <c r="N908" s="109" t="str">
        <f aca="false">IF(_PENDIENTES!$B$902&lt;&gt;"",_PENDIENTES!$L$902,"")</f>
        <v/>
      </c>
      <c r="O908" s="89"/>
      <c r="P908" s="89"/>
      <c r="Q908" s="89"/>
      <c r="R908" s="89"/>
      <c r="S908" s="89"/>
    </row>
    <row r="909" customFormat="false" ht="15.75" hidden="true" customHeight="true" outlineLevel="0" collapsed="false">
      <c r="A909" s="46" t="str">
        <f aca="false">IF(_PENDIENTES!$B$903&lt;&gt;"",902,"")</f>
        <v/>
      </c>
      <c r="B909" s="41" t="str">
        <f aca="false">IF(_PENDIENTES!$B$903&lt;&gt;"",_PENDIENTES!$A$903,"")</f>
        <v/>
      </c>
      <c r="C909" s="110" t="str">
        <f aca="false">IF(_PENDIENTES!$B$903&lt;&gt;"",_PENDIENTES!$C$903,"")</f>
        <v/>
      </c>
      <c r="D909" s="46" t="str">
        <f aca="false">IF(_PENDIENTES!$B$903&lt;&gt;"",_PENDIENTES!$D$903,"")</f>
        <v/>
      </c>
      <c r="E909" s="112" t="str">
        <f aca="false">IF(_PENDIENTES!$B$903&lt;&gt;"",_PENDIENTES!$E$903,"")</f>
        <v/>
      </c>
      <c r="F909" s="46" t="str">
        <f aca="false">IF(_PENDIENTES!$B$903&lt;&gt;"",_PENDIENTES!$F$903,"")</f>
        <v/>
      </c>
      <c r="G909" s="44" t="str">
        <f aca="false">IF(_PENDIENTES!$B$903&lt;&gt;"",_PENDIENTES!$G$903,"")</f>
        <v/>
      </c>
      <c r="H909" s="44" t="str">
        <f aca="false">IF(_PENDIENTES!$B$903&lt;&gt;"",_PENDIENTES!$H$903,"")</f>
        <v/>
      </c>
      <c r="I909" s="110" t="str">
        <f aca="false">IF(_PENDIENTES!$B$903&lt;&gt;"",_PENDIENTES!$I$903,"")</f>
        <v/>
      </c>
      <c r="J909" s="46" t="str">
        <f aca="false">IF(_PENDIENTES!$B$903&lt;&gt;"",_PENDIENTES!$J$903,"")</f>
        <v/>
      </c>
      <c r="K909" s="46" t="str">
        <f aca="false">IF(_PENDIENTES!$B$903&lt;&gt;"","POR RECOGER","")</f>
        <v/>
      </c>
      <c r="L909" s="46" t="str">
        <f aca="false">IF(_PENDIENTES!$B$903&lt;&gt;"",_PENDIENTES!$K$903,"")</f>
        <v/>
      </c>
      <c r="M909" s="89" t="str">
        <f aca="false">IF(_PENDIENTES!$B$903&lt;&gt;"",_PENDIENTES!$B$903,"")</f>
        <v/>
      </c>
      <c r="N909" s="109" t="str">
        <f aca="false">IF(_PENDIENTES!$B$903&lt;&gt;"",_PENDIENTES!$L$903,"")</f>
        <v/>
      </c>
      <c r="O909" s="89"/>
      <c r="P909" s="89"/>
      <c r="Q909" s="89"/>
      <c r="R909" s="89"/>
      <c r="S909" s="89"/>
    </row>
    <row r="910" customFormat="false" ht="15.75" hidden="true" customHeight="true" outlineLevel="0" collapsed="false">
      <c r="A910" s="106" t="str">
        <f aca="false">IF(_PENDIENTES!$B$904&lt;&gt;"",903,"")</f>
        <v/>
      </c>
      <c r="B910" s="47" t="str">
        <f aca="false">IF(_PENDIENTES!$B$904&lt;&gt;"",_PENDIENTES!$A$904,"")</f>
        <v/>
      </c>
      <c r="C910" s="107" t="str">
        <f aca="false">IF(_PENDIENTES!$B$904&lt;&gt;"",_PENDIENTES!$C$904,"")</f>
        <v/>
      </c>
      <c r="D910" s="106" t="str">
        <f aca="false">IF(_PENDIENTES!$B$904&lt;&gt;"",_PENDIENTES!$D$904,"")</f>
        <v/>
      </c>
      <c r="E910" s="111" t="str">
        <f aca="false">IF(_PENDIENTES!$B$904&lt;&gt;"",_PENDIENTES!$E$904,"")</f>
        <v/>
      </c>
      <c r="F910" s="106" t="str">
        <f aca="false">IF(_PENDIENTES!$B$904&lt;&gt;"",_PENDIENTES!$F$904,"")</f>
        <v/>
      </c>
      <c r="G910" s="50" t="str">
        <f aca="false">IF(_PENDIENTES!$B$904&lt;&gt;"",_PENDIENTES!$G$904,"")</f>
        <v/>
      </c>
      <c r="H910" s="50" t="str">
        <f aca="false">IF(_PENDIENTES!$B$904&lt;&gt;"",_PENDIENTES!$H$904,"")</f>
        <v/>
      </c>
      <c r="I910" s="107" t="str">
        <f aca="false">IF(_PENDIENTES!$B$904&lt;&gt;"",_PENDIENTES!$I$904,"")</f>
        <v/>
      </c>
      <c r="J910" s="106" t="str">
        <f aca="false">IF(_PENDIENTES!$B$904&lt;&gt;"",_PENDIENTES!$J$904,"")</f>
        <v/>
      </c>
      <c r="K910" s="106" t="str">
        <f aca="false">IF(_PENDIENTES!$B$904&lt;&gt;"","POR RECOGER","")</f>
        <v/>
      </c>
      <c r="L910" s="106" t="str">
        <f aca="false">IF(_PENDIENTES!$B$904&lt;&gt;"",_PENDIENTES!$K$904,"")</f>
        <v/>
      </c>
      <c r="M910" s="89" t="str">
        <f aca="false">IF(_PENDIENTES!$B$904&lt;&gt;"",_PENDIENTES!$B$904,"")</f>
        <v/>
      </c>
      <c r="N910" s="109" t="str">
        <f aca="false">IF(_PENDIENTES!$B$904&lt;&gt;"",_PENDIENTES!$L$904,"")</f>
        <v/>
      </c>
      <c r="O910" s="89"/>
      <c r="P910" s="89"/>
      <c r="Q910" s="89"/>
      <c r="R910" s="89"/>
      <c r="S910" s="89"/>
    </row>
    <row r="911" customFormat="false" ht="15.75" hidden="true" customHeight="true" outlineLevel="0" collapsed="false">
      <c r="A911" s="46" t="str">
        <f aca="false">IF(_PENDIENTES!$B$905&lt;&gt;"",904,"")</f>
        <v/>
      </c>
      <c r="B911" s="41" t="str">
        <f aca="false">IF(_PENDIENTES!$B$905&lt;&gt;"",_PENDIENTES!$A$905,"")</f>
        <v/>
      </c>
      <c r="C911" s="110" t="str">
        <f aca="false">IF(_PENDIENTES!$B$905&lt;&gt;"",_PENDIENTES!$C$905,"")</f>
        <v/>
      </c>
      <c r="D911" s="46" t="str">
        <f aca="false">IF(_PENDIENTES!$B$905&lt;&gt;"",_PENDIENTES!$D$905,"")</f>
        <v/>
      </c>
      <c r="E911" s="112" t="str">
        <f aca="false">IF(_PENDIENTES!$B$905&lt;&gt;"",_PENDIENTES!$E$905,"")</f>
        <v/>
      </c>
      <c r="F911" s="46" t="str">
        <f aca="false">IF(_PENDIENTES!$B$905&lt;&gt;"",_PENDIENTES!$F$905,"")</f>
        <v/>
      </c>
      <c r="G911" s="44" t="str">
        <f aca="false">IF(_PENDIENTES!$B$905&lt;&gt;"",_PENDIENTES!$G$905,"")</f>
        <v/>
      </c>
      <c r="H911" s="44" t="str">
        <f aca="false">IF(_PENDIENTES!$B$905&lt;&gt;"",_PENDIENTES!$H$905,"")</f>
        <v/>
      </c>
      <c r="I911" s="110" t="str">
        <f aca="false">IF(_PENDIENTES!$B$905&lt;&gt;"",_PENDIENTES!$I$905,"")</f>
        <v/>
      </c>
      <c r="J911" s="46" t="str">
        <f aca="false">IF(_PENDIENTES!$B$905&lt;&gt;"",_PENDIENTES!$J$905,"")</f>
        <v/>
      </c>
      <c r="K911" s="46" t="str">
        <f aca="false">IF(_PENDIENTES!$B$905&lt;&gt;"","POR RECOGER","")</f>
        <v/>
      </c>
      <c r="L911" s="46" t="str">
        <f aca="false">IF(_PENDIENTES!$B$905&lt;&gt;"",_PENDIENTES!$K$905,"")</f>
        <v/>
      </c>
      <c r="M911" s="89" t="str">
        <f aca="false">IF(_PENDIENTES!$B$905&lt;&gt;"",_PENDIENTES!$B$905,"")</f>
        <v/>
      </c>
      <c r="N911" s="109" t="str">
        <f aca="false">IF(_PENDIENTES!$B$905&lt;&gt;"",_PENDIENTES!$L$905,"")</f>
        <v/>
      </c>
      <c r="O911" s="89"/>
      <c r="P911" s="89"/>
      <c r="Q911" s="89"/>
      <c r="R911" s="89"/>
      <c r="S911" s="89"/>
    </row>
    <row r="912" customFormat="false" ht="15.75" hidden="true" customHeight="true" outlineLevel="0" collapsed="false">
      <c r="A912" s="106" t="str">
        <f aca="false">IF(_PENDIENTES!$B$906&lt;&gt;"",905,"")</f>
        <v/>
      </c>
      <c r="B912" s="47" t="str">
        <f aca="false">IF(_PENDIENTES!$B$906&lt;&gt;"",_PENDIENTES!$A$906,"")</f>
        <v/>
      </c>
      <c r="C912" s="107" t="str">
        <f aca="false">IF(_PENDIENTES!$B$906&lt;&gt;"",_PENDIENTES!$C$906,"")</f>
        <v/>
      </c>
      <c r="D912" s="106" t="str">
        <f aca="false">IF(_PENDIENTES!$B$906&lt;&gt;"",_PENDIENTES!$D$906,"")</f>
        <v/>
      </c>
      <c r="E912" s="111" t="str">
        <f aca="false">IF(_PENDIENTES!$B$906&lt;&gt;"",_PENDIENTES!$E$906,"")</f>
        <v/>
      </c>
      <c r="F912" s="106" t="str">
        <f aca="false">IF(_PENDIENTES!$B$906&lt;&gt;"",_PENDIENTES!$F$906,"")</f>
        <v/>
      </c>
      <c r="G912" s="50" t="str">
        <f aca="false">IF(_PENDIENTES!$B$906&lt;&gt;"",_PENDIENTES!$G$906,"")</f>
        <v/>
      </c>
      <c r="H912" s="50" t="str">
        <f aca="false">IF(_PENDIENTES!$B$906&lt;&gt;"",_PENDIENTES!$H$906,"")</f>
        <v/>
      </c>
      <c r="I912" s="107" t="str">
        <f aca="false">IF(_PENDIENTES!$B$906&lt;&gt;"",_PENDIENTES!$I$906,"")</f>
        <v/>
      </c>
      <c r="J912" s="106" t="str">
        <f aca="false">IF(_PENDIENTES!$B$906&lt;&gt;"",_PENDIENTES!$J$906,"")</f>
        <v/>
      </c>
      <c r="K912" s="106" t="str">
        <f aca="false">IF(_PENDIENTES!$B$906&lt;&gt;"","POR RECOGER","")</f>
        <v/>
      </c>
      <c r="L912" s="106" t="str">
        <f aca="false">IF(_PENDIENTES!$B$906&lt;&gt;"",_PENDIENTES!$K$906,"")</f>
        <v/>
      </c>
      <c r="M912" s="89" t="str">
        <f aca="false">IF(_PENDIENTES!$B$906&lt;&gt;"",_PENDIENTES!$B$906,"")</f>
        <v/>
      </c>
      <c r="N912" s="109" t="str">
        <f aca="false">IF(_PENDIENTES!$B$906&lt;&gt;"",_PENDIENTES!$L$906,"")</f>
        <v/>
      </c>
      <c r="O912" s="89"/>
      <c r="P912" s="89"/>
      <c r="Q912" s="89"/>
      <c r="R912" s="89"/>
      <c r="S912" s="89"/>
    </row>
    <row r="913" customFormat="false" ht="15.75" hidden="true" customHeight="true" outlineLevel="0" collapsed="false">
      <c r="A913" s="46" t="str">
        <f aca="false">IF(_PENDIENTES!$B$907&lt;&gt;"",906,"")</f>
        <v/>
      </c>
      <c r="B913" s="41" t="str">
        <f aca="false">IF(_PENDIENTES!$B$907&lt;&gt;"",_PENDIENTES!$A$907,"")</f>
        <v/>
      </c>
      <c r="C913" s="110" t="str">
        <f aca="false">IF(_PENDIENTES!$B$907&lt;&gt;"",_PENDIENTES!$C$907,"")</f>
        <v/>
      </c>
      <c r="D913" s="46" t="str">
        <f aca="false">IF(_PENDIENTES!$B$907&lt;&gt;"",_PENDIENTES!$D$907,"")</f>
        <v/>
      </c>
      <c r="E913" s="112" t="str">
        <f aca="false">IF(_PENDIENTES!$B$907&lt;&gt;"",_PENDIENTES!$E$907,"")</f>
        <v/>
      </c>
      <c r="F913" s="46" t="str">
        <f aca="false">IF(_PENDIENTES!$B$907&lt;&gt;"",_PENDIENTES!$F$907,"")</f>
        <v/>
      </c>
      <c r="G913" s="44" t="str">
        <f aca="false">IF(_PENDIENTES!$B$907&lt;&gt;"",_PENDIENTES!$G$907,"")</f>
        <v/>
      </c>
      <c r="H913" s="44" t="str">
        <f aca="false">IF(_PENDIENTES!$B$907&lt;&gt;"",_PENDIENTES!$H$907,"")</f>
        <v/>
      </c>
      <c r="I913" s="110" t="str">
        <f aca="false">IF(_PENDIENTES!$B$907&lt;&gt;"",_PENDIENTES!$I$907,"")</f>
        <v/>
      </c>
      <c r="J913" s="46" t="str">
        <f aca="false">IF(_PENDIENTES!$B$907&lt;&gt;"",_PENDIENTES!$J$907,"")</f>
        <v/>
      </c>
      <c r="K913" s="46" t="str">
        <f aca="false">IF(_PENDIENTES!$B$907&lt;&gt;"","POR RECOGER","")</f>
        <v/>
      </c>
      <c r="L913" s="46" t="str">
        <f aca="false">IF(_PENDIENTES!$B$907&lt;&gt;"",_PENDIENTES!$K$907,"")</f>
        <v/>
      </c>
      <c r="M913" s="89" t="str">
        <f aca="false">IF(_PENDIENTES!$B$907&lt;&gt;"",_PENDIENTES!$B$907,"")</f>
        <v/>
      </c>
      <c r="N913" s="109" t="str">
        <f aca="false">IF(_PENDIENTES!$B$907&lt;&gt;"",_PENDIENTES!$L$907,"")</f>
        <v/>
      </c>
      <c r="O913" s="89"/>
      <c r="P913" s="89"/>
      <c r="Q913" s="89"/>
      <c r="R913" s="89"/>
      <c r="S913" s="89"/>
    </row>
    <row r="914" customFormat="false" ht="15.75" hidden="true" customHeight="true" outlineLevel="0" collapsed="false">
      <c r="A914" s="106" t="str">
        <f aca="false">IF(_PENDIENTES!$B$908&lt;&gt;"",907,"")</f>
        <v/>
      </c>
      <c r="B914" s="47" t="str">
        <f aca="false">IF(_PENDIENTES!$B$908&lt;&gt;"",_PENDIENTES!$A$908,"")</f>
        <v/>
      </c>
      <c r="C914" s="107" t="str">
        <f aca="false">IF(_PENDIENTES!$B$908&lt;&gt;"",_PENDIENTES!$C$908,"")</f>
        <v/>
      </c>
      <c r="D914" s="106" t="str">
        <f aca="false">IF(_PENDIENTES!$B$908&lt;&gt;"",_PENDIENTES!$D$908,"")</f>
        <v/>
      </c>
      <c r="E914" s="111" t="str">
        <f aca="false">IF(_PENDIENTES!$B$908&lt;&gt;"",_PENDIENTES!$E$908,"")</f>
        <v/>
      </c>
      <c r="F914" s="106" t="str">
        <f aca="false">IF(_PENDIENTES!$B$908&lt;&gt;"",_PENDIENTES!$F$908,"")</f>
        <v/>
      </c>
      <c r="G914" s="50" t="str">
        <f aca="false">IF(_PENDIENTES!$B$908&lt;&gt;"",_PENDIENTES!$G$908,"")</f>
        <v/>
      </c>
      <c r="H914" s="50" t="str">
        <f aca="false">IF(_PENDIENTES!$B$908&lt;&gt;"",_PENDIENTES!$H$908,"")</f>
        <v/>
      </c>
      <c r="I914" s="107" t="str">
        <f aca="false">IF(_PENDIENTES!$B$908&lt;&gt;"",_PENDIENTES!$I$908,"")</f>
        <v/>
      </c>
      <c r="J914" s="106" t="str">
        <f aca="false">IF(_PENDIENTES!$B$908&lt;&gt;"",_PENDIENTES!$J$908,"")</f>
        <v/>
      </c>
      <c r="K914" s="106" t="str">
        <f aca="false">IF(_PENDIENTES!$B$908&lt;&gt;"","POR RECOGER","")</f>
        <v/>
      </c>
      <c r="L914" s="106" t="str">
        <f aca="false">IF(_PENDIENTES!$B$908&lt;&gt;"",_PENDIENTES!$K$908,"")</f>
        <v/>
      </c>
      <c r="M914" s="89" t="str">
        <f aca="false">IF(_PENDIENTES!$B$908&lt;&gt;"",_PENDIENTES!$B$908,"")</f>
        <v/>
      </c>
      <c r="N914" s="109" t="str">
        <f aca="false">IF(_PENDIENTES!$B$908&lt;&gt;"",_PENDIENTES!$L$908,"")</f>
        <v/>
      </c>
      <c r="O914" s="89"/>
      <c r="P914" s="89"/>
      <c r="Q914" s="89"/>
      <c r="R914" s="89"/>
      <c r="S914" s="89"/>
    </row>
    <row r="915" customFormat="false" ht="15.75" hidden="true" customHeight="true" outlineLevel="0" collapsed="false">
      <c r="A915" s="46" t="str">
        <f aca="false">IF(_PENDIENTES!$B$909&lt;&gt;"",908,"")</f>
        <v/>
      </c>
      <c r="B915" s="41" t="str">
        <f aca="false">IF(_PENDIENTES!$B$909&lt;&gt;"",_PENDIENTES!$A$909,"")</f>
        <v/>
      </c>
      <c r="C915" s="110" t="str">
        <f aca="false">IF(_PENDIENTES!$B$909&lt;&gt;"",_PENDIENTES!$C$909,"")</f>
        <v/>
      </c>
      <c r="D915" s="46" t="str">
        <f aca="false">IF(_PENDIENTES!$B$909&lt;&gt;"",_PENDIENTES!$D$909,"")</f>
        <v/>
      </c>
      <c r="E915" s="112" t="str">
        <f aca="false">IF(_PENDIENTES!$B$909&lt;&gt;"",_PENDIENTES!$E$909,"")</f>
        <v/>
      </c>
      <c r="F915" s="46" t="str">
        <f aca="false">IF(_PENDIENTES!$B$909&lt;&gt;"",_PENDIENTES!$F$909,"")</f>
        <v/>
      </c>
      <c r="G915" s="44" t="str">
        <f aca="false">IF(_PENDIENTES!$B$909&lt;&gt;"",_PENDIENTES!$G$909,"")</f>
        <v/>
      </c>
      <c r="H915" s="44" t="str">
        <f aca="false">IF(_PENDIENTES!$B$909&lt;&gt;"",_PENDIENTES!$H$909,"")</f>
        <v/>
      </c>
      <c r="I915" s="110" t="str">
        <f aca="false">IF(_PENDIENTES!$B$909&lt;&gt;"",_PENDIENTES!$I$909,"")</f>
        <v/>
      </c>
      <c r="J915" s="46" t="str">
        <f aca="false">IF(_PENDIENTES!$B$909&lt;&gt;"",_PENDIENTES!$J$909,"")</f>
        <v/>
      </c>
      <c r="K915" s="46" t="str">
        <f aca="false">IF(_PENDIENTES!$B$909&lt;&gt;"","POR RECOGER","")</f>
        <v/>
      </c>
      <c r="L915" s="46" t="str">
        <f aca="false">IF(_PENDIENTES!$B$909&lt;&gt;"",_PENDIENTES!$K$909,"")</f>
        <v/>
      </c>
      <c r="M915" s="89" t="str">
        <f aca="false">IF(_PENDIENTES!$B$909&lt;&gt;"",_PENDIENTES!$B$909,"")</f>
        <v/>
      </c>
      <c r="N915" s="109" t="str">
        <f aca="false">IF(_PENDIENTES!$B$909&lt;&gt;"",_PENDIENTES!$L$909,"")</f>
        <v/>
      </c>
      <c r="O915" s="89"/>
      <c r="P915" s="89"/>
      <c r="Q915" s="89"/>
      <c r="R915" s="89"/>
      <c r="S915" s="89"/>
    </row>
    <row r="916" customFormat="false" ht="15.75" hidden="true" customHeight="true" outlineLevel="0" collapsed="false">
      <c r="A916" s="106" t="str">
        <f aca="false">IF(_PENDIENTES!$B$910&lt;&gt;"",909,"")</f>
        <v/>
      </c>
      <c r="B916" s="47" t="str">
        <f aca="false">IF(_PENDIENTES!$B$910&lt;&gt;"",_PENDIENTES!$A$910,"")</f>
        <v/>
      </c>
      <c r="C916" s="107" t="str">
        <f aca="false">IF(_PENDIENTES!$B$910&lt;&gt;"",_PENDIENTES!$C$910,"")</f>
        <v/>
      </c>
      <c r="D916" s="106" t="str">
        <f aca="false">IF(_PENDIENTES!$B$910&lt;&gt;"",_PENDIENTES!$D$910,"")</f>
        <v/>
      </c>
      <c r="E916" s="111" t="str">
        <f aca="false">IF(_PENDIENTES!$B$910&lt;&gt;"",_PENDIENTES!$E$910,"")</f>
        <v/>
      </c>
      <c r="F916" s="106" t="str">
        <f aca="false">IF(_PENDIENTES!$B$910&lt;&gt;"",_PENDIENTES!$F$910,"")</f>
        <v/>
      </c>
      <c r="G916" s="50" t="str">
        <f aca="false">IF(_PENDIENTES!$B$910&lt;&gt;"",_PENDIENTES!$G$910,"")</f>
        <v/>
      </c>
      <c r="H916" s="50" t="str">
        <f aca="false">IF(_PENDIENTES!$B$910&lt;&gt;"",_PENDIENTES!$H$910,"")</f>
        <v/>
      </c>
      <c r="I916" s="107" t="str">
        <f aca="false">IF(_PENDIENTES!$B$910&lt;&gt;"",_PENDIENTES!$I$910,"")</f>
        <v/>
      </c>
      <c r="J916" s="106" t="str">
        <f aca="false">IF(_PENDIENTES!$B$910&lt;&gt;"",_PENDIENTES!$J$910,"")</f>
        <v/>
      </c>
      <c r="K916" s="106" t="str">
        <f aca="false">IF(_PENDIENTES!$B$910&lt;&gt;"","POR RECOGER","")</f>
        <v/>
      </c>
      <c r="L916" s="106" t="str">
        <f aca="false">IF(_PENDIENTES!$B$910&lt;&gt;"",_PENDIENTES!$K$910,"")</f>
        <v/>
      </c>
      <c r="M916" s="89" t="str">
        <f aca="false">IF(_PENDIENTES!$B$910&lt;&gt;"",_PENDIENTES!$B$910,"")</f>
        <v/>
      </c>
      <c r="N916" s="109" t="str">
        <f aca="false">IF(_PENDIENTES!$B$910&lt;&gt;"",_PENDIENTES!$L$910,"")</f>
        <v/>
      </c>
      <c r="O916" s="89"/>
      <c r="P916" s="89"/>
      <c r="Q916" s="89"/>
      <c r="R916" s="89"/>
      <c r="S916" s="89"/>
    </row>
    <row r="917" customFormat="false" ht="15.75" hidden="true" customHeight="true" outlineLevel="0" collapsed="false">
      <c r="A917" s="46" t="str">
        <f aca="false">IF(_PENDIENTES!$B$911&lt;&gt;"",910,"")</f>
        <v/>
      </c>
      <c r="B917" s="41" t="str">
        <f aca="false">IF(_PENDIENTES!$B$911&lt;&gt;"",_PENDIENTES!$A$911,"")</f>
        <v/>
      </c>
      <c r="C917" s="110" t="str">
        <f aca="false">IF(_PENDIENTES!$B$911&lt;&gt;"",_PENDIENTES!$C$911,"")</f>
        <v/>
      </c>
      <c r="D917" s="46" t="str">
        <f aca="false">IF(_PENDIENTES!$B$911&lt;&gt;"",_PENDIENTES!$D$911,"")</f>
        <v/>
      </c>
      <c r="E917" s="112" t="str">
        <f aca="false">IF(_PENDIENTES!$B$911&lt;&gt;"",_PENDIENTES!$E$911,"")</f>
        <v/>
      </c>
      <c r="F917" s="46" t="str">
        <f aca="false">IF(_PENDIENTES!$B$911&lt;&gt;"",_PENDIENTES!$F$911,"")</f>
        <v/>
      </c>
      <c r="G917" s="44" t="str">
        <f aca="false">IF(_PENDIENTES!$B$911&lt;&gt;"",_PENDIENTES!$G$911,"")</f>
        <v/>
      </c>
      <c r="H917" s="44" t="str">
        <f aca="false">IF(_PENDIENTES!$B$911&lt;&gt;"",_PENDIENTES!$H$911,"")</f>
        <v/>
      </c>
      <c r="I917" s="110" t="str">
        <f aca="false">IF(_PENDIENTES!$B$911&lt;&gt;"",_PENDIENTES!$I$911,"")</f>
        <v/>
      </c>
      <c r="J917" s="46" t="str">
        <f aca="false">IF(_PENDIENTES!$B$911&lt;&gt;"",_PENDIENTES!$J$911,"")</f>
        <v/>
      </c>
      <c r="K917" s="46" t="str">
        <f aca="false">IF(_PENDIENTES!$B$911&lt;&gt;"","POR RECOGER","")</f>
        <v/>
      </c>
      <c r="L917" s="46" t="str">
        <f aca="false">IF(_PENDIENTES!$B$911&lt;&gt;"",_PENDIENTES!$K$911,"")</f>
        <v/>
      </c>
      <c r="M917" s="89" t="str">
        <f aca="false">IF(_PENDIENTES!$B$911&lt;&gt;"",_PENDIENTES!$B$911,"")</f>
        <v/>
      </c>
      <c r="N917" s="109" t="str">
        <f aca="false">IF(_PENDIENTES!$B$911&lt;&gt;"",_PENDIENTES!$L$911,"")</f>
        <v/>
      </c>
      <c r="O917" s="89"/>
      <c r="P917" s="89"/>
      <c r="Q917" s="89"/>
      <c r="R917" s="89"/>
      <c r="S917" s="89"/>
    </row>
    <row r="918" customFormat="false" ht="15.75" hidden="true" customHeight="true" outlineLevel="0" collapsed="false">
      <c r="A918" s="106" t="str">
        <f aca="false">IF(_PENDIENTES!$B$912&lt;&gt;"",911,"")</f>
        <v/>
      </c>
      <c r="B918" s="47" t="str">
        <f aca="false">IF(_PENDIENTES!$B$912&lt;&gt;"",_PENDIENTES!$A$912,"")</f>
        <v/>
      </c>
      <c r="C918" s="107" t="str">
        <f aca="false">IF(_PENDIENTES!$B$912&lt;&gt;"",_PENDIENTES!$C$912,"")</f>
        <v/>
      </c>
      <c r="D918" s="106" t="str">
        <f aca="false">IF(_PENDIENTES!$B$912&lt;&gt;"",_PENDIENTES!$D$912,"")</f>
        <v/>
      </c>
      <c r="E918" s="111" t="str">
        <f aca="false">IF(_PENDIENTES!$B$912&lt;&gt;"",_PENDIENTES!$E$912,"")</f>
        <v/>
      </c>
      <c r="F918" s="106" t="str">
        <f aca="false">IF(_PENDIENTES!$B$912&lt;&gt;"",_PENDIENTES!$F$912,"")</f>
        <v/>
      </c>
      <c r="G918" s="50" t="str">
        <f aca="false">IF(_PENDIENTES!$B$912&lt;&gt;"",_PENDIENTES!$G$912,"")</f>
        <v/>
      </c>
      <c r="H918" s="50" t="str">
        <f aca="false">IF(_PENDIENTES!$B$912&lt;&gt;"",_PENDIENTES!$H$912,"")</f>
        <v/>
      </c>
      <c r="I918" s="107" t="str">
        <f aca="false">IF(_PENDIENTES!$B$912&lt;&gt;"",_PENDIENTES!$I$912,"")</f>
        <v/>
      </c>
      <c r="J918" s="106" t="str">
        <f aca="false">IF(_PENDIENTES!$B$912&lt;&gt;"",_PENDIENTES!$J$912,"")</f>
        <v/>
      </c>
      <c r="K918" s="106" t="str">
        <f aca="false">IF(_PENDIENTES!$B$912&lt;&gt;"","POR RECOGER","")</f>
        <v/>
      </c>
      <c r="L918" s="106" t="str">
        <f aca="false">IF(_PENDIENTES!$B$912&lt;&gt;"",_PENDIENTES!$K$912,"")</f>
        <v/>
      </c>
      <c r="M918" s="89" t="str">
        <f aca="false">IF(_PENDIENTES!$B$912&lt;&gt;"",_PENDIENTES!$B$912,"")</f>
        <v/>
      </c>
      <c r="N918" s="109" t="str">
        <f aca="false">IF(_PENDIENTES!$B$912&lt;&gt;"",_PENDIENTES!$L$912,"")</f>
        <v/>
      </c>
      <c r="O918" s="89"/>
      <c r="P918" s="89"/>
      <c r="Q918" s="89"/>
      <c r="R918" s="89"/>
      <c r="S918" s="89"/>
    </row>
    <row r="919" customFormat="false" ht="15.75" hidden="true" customHeight="true" outlineLevel="0" collapsed="false">
      <c r="A919" s="46" t="str">
        <f aca="false">IF(_PENDIENTES!$B$913&lt;&gt;"",912,"")</f>
        <v/>
      </c>
      <c r="B919" s="41" t="str">
        <f aca="false">IF(_PENDIENTES!$B$913&lt;&gt;"",_PENDIENTES!$A$913,"")</f>
        <v/>
      </c>
      <c r="C919" s="110" t="str">
        <f aca="false">IF(_PENDIENTES!$B$913&lt;&gt;"",_PENDIENTES!$C$913,"")</f>
        <v/>
      </c>
      <c r="D919" s="46" t="str">
        <f aca="false">IF(_PENDIENTES!$B$913&lt;&gt;"",_PENDIENTES!$D$913,"")</f>
        <v/>
      </c>
      <c r="E919" s="112" t="str">
        <f aca="false">IF(_PENDIENTES!$B$913&lt;&gt;"",_PENDIENTES!$E$913,"")</f>
        <v/>
      </c>
      <c r="F919" s="46" t="str">
        <f aca="false">IF(_PENDIENTES!$B$913&lt;&gt;"",_PENDIENTES!$F$913,"")</f>
        <v/>
      </c>
      <c r="G919" s="44" t="str">
        <f aca="false">IF(_PENDIENTES!$B$913&lt;&gt;"",_PENDIENTES!$G$913,"")</f>
        <v/>
      </c>
      <c r="H919" s="44" t="str">
        <f aca="false">IF(_PENDIENTES!$B$913&lt;&gt;"",_PENDIENTES!$H$913,"")</f>
        <v/>
      </c>
      <c r="I919" s="110" t="str">
        <f aca="false">IF(_PENDIENTES!$B$913&lt;&gt;"",_PENDIENTES!$I$913,"")</f>
        <v/>
      </c>
      <c r="J919" s="46" t="str">
        <f aca="false">IF(_PENDIENTES!$B$913&lt;&gt;"",_PENDIENTES!$J$913,"")</f>
        <v/>
      </c>
      <c r="K919" s="46" t="str">
        <f aca="false">IF(_PENDIENTES!$B$913&lt;&gt;"","POR RECOGER","")</f>
        <v/>
      </c>
      <c r="L919" s="46" t="str">
        <f aca="false">IF(_PENDIENTES!$B$913&lt;&gt;"",_PENDIENTES!$K$913,"")</f>
        <v/>
      </c>
      <c r="M919" s="89" t="str">
        <f aca="false">IF(_PENDIENTES!$B$913&lt;&gt;"",_PENDIENTES!$B$913,"")</f>
        <v/>
      </c>
      <c r="N919" s="109" t="str">
        <f aca="false">IF(_PENDIENTES!$B$913&lt;&gt;"",_PENDIENTES!$L$913,"")</f>
        <v/>
      </c>
      <c r="O919" s="89"/>
      <c r="P919" s="89"/>
      <c r="Q919" s="89"/>
      <c r="R919" s="89"/>
      <c r="S919" s="89"/>
    </row>
    <row r="920" customFormat="false" ht="15.75" hidden="true" customHeight="true" outlineLevel="0" collapsed="false">
      <c r="A920" s="106" t="str">
        <f aca="false">IF(_PENDIENTES!$B$914&lt;&gt;"",913,"")</f>
        <v/>
      </c>
      <c r="B920" s="47" t="str">
        <f aca="false">IF(_PENDIENTES!$B$914&lt;&gt;"",_PENDIENTES!$A$914,"")</f>
        <v/>
      </c>
      <c r="C920" s="107" t="str">
        <f aca="false">IF(_PENDIENTES!$B$914&lt;&gt;"",_PENDIENTES!$C$914,"")</f>
        <v/>
      </c>
      <c r="D920" s="106" t="str">
        <f aca="false">IF(_PENDIENTES!$B$914&lt;&gt;"",_PENDIENTES!$D$914,"")</f>
        <v/>
      </c>
      <c r="E920" s="111" t="str">
        <f aca="false">IF(_PENDIENTES!$B$914&lt;&gt;"",_PENDIENTES!$E$914,"")</f>
        <v/>
      </c>
      <c r="F920" s="106" t="str">
        <f aca="false">IF(_PENDIENTES!$B$914&lt;&gt;"",_PENDIENTES!$F$914,"")</f>
        <v/>
      </c>
      <c r="G920" s="50" t="str">
        <f aca="false">IF(_PENDIENTES!$B$914&lt;&gt;"",_PENDIENTES!$G$914,"")</f>
        <v/>
      </c>
      <c r="H920" s="50" t="str">
        <f aca="false">IF(_PENDIENTES!$B$914&lt;&gt;"",_PENDIENTES!$H$914,"")</f>
        <v/>
      </c>
      <c r="I920" s="107" t="str">
        <f aca="false">IF(_PENDIENTES!$B$914&lt;&gt;"",_PENDIENTES!$I$914,"")</f>
        <v/>
      </c>
      <c r="J920" s="106" t="str">
        <f aca="false">IF(_PENDIENTES!$B$914&lt;&gt;"",_PENDIENTES!$J$914,"")</f>
        <v/>
      </c>
      <c r="K920" s="106" t="str">
        <f aca="false">IF(_PENDIENTES!$B$914&lt;&gt;"","POR RECOGER","")</f>
        <v/>
      </c>
      <c r="L920" s="106" t="str">
        <f aca="false">IF(_PENDIENTES!$B$914&lt;&gt;"",_PENDIENTES!$K$914,"")</f>
        <v/>
      </c>
      <c r="M920" s="89" t="str">
        <f aca="false">IF(_PENDIENTES!$B$914&lt;&gt;"",_PENDIENTES!$B$914,"")</f>
        <v/>
      </c>
      <c r="N920" s="109" t="str">
        <f aca="false">IF(_PENDIENTES!$B$914&lt;&gt;"",_PENDIENTES!$L$914,"")</f>
        <v/>
      </c>
      <c r="O920" s="89"/>
      <c r="P920" s="89"/>
      <c r="Q920" s="89"/>
      <c r="R920" s="89"/>
      <c r="S920" s="89"/>
    </row>
    <row r="921" customFormat="false" ht="15.75" hidden="true" customHeight="true" outlineLevel="0" collapsed="false">
      <c r="A921" s="46" t="str">
        <f aca="false">IF(_PENDIENTES!$B$915&lt;&gt;"",914,"")</f>
        <v/>
      </c>
      <c r="B921" s="41" t="str">
        <f aca="false">IF(_PENDIENTES!$B$915&lt;&gt;"",_PENDIENTES!$A$915,"")</f>
        <v/>
      </c>
      <c r="C921" s="110" t="str">
        <f aca="false">IF(_PENDIENTES!$B$915&lt;&gt;"",_PENDIENTES!$C$915,"")</f>
        <v/>
      </c>
      <c r="D921" s="46" t="str">
        <f aca="false">IF(_PENDIENTES!$B$915&lt;&gt;"",_PENDIENTES!$D$915,"")</f>
        <v/>
      </c>
      <c r="E921" s="112" t="str">
        <f aca="false">IF(_PENDIENTES!$B$915&lt;&gt;"",_PENDIENTES!$E$915,"")</f>
        <v/>
      </c>
      <c r="F921" s="46" t="str">
        <f aca="false">IF(_PENDIENTES!$B$915&lt;&gt;"",_PENDIENTES!$F$915,"")</f>
        <v/>
      </c>
      <c r="G921" s="44" t="str">
        <f aca="false">IF(_PENDIENTES!$B$915&lt;&gt;"",_PENDIENTES!$G$915,"")</f>
        <v/>
      </c>
      <c r="H921" s="44" t="str">
        <f aca="false">IF(_PENDIENTES!$B$915&lt;&gt;"",_PENDIENTES!$H$915,"")</f>
        <v/>
      </c>
      <c r="I921" s="110" t="str">
        <f aca="false">IF(_PENDIENTES!$B$915&lt;&gt;"",_PENDIENTES!$I$915,"")</f>
        <v/>
      </c>
      <c r="J921" s="46" t="str">
        <f aca="false">IF(_PENDIENTES!$B$915&lt;&gt;"",_PENDIENTES!$J$915,"")</f>
        <v/>
      </c>
      <c r="K921" s="46" t="str">
        <f aca="false">IF(_PENDIENTES!$B$915&lt;&gt;"","POR RECOGER","")</f>
        <v/>
      </c>
      <c r="L921" s="46" t="str">
        <f aca="false">IF(_PENDIENTES!$B$915&lt;&gt;"",_PENDIENTES!$K$915,"")</f>
        <v/>
      </c>
      <c r="M921" s="89" t="str">
        <f aca="false">IF(_PENDIENTES!$B$915&lt;&gt;"",_PENDIENTES!$B$915,"")</f>
        <v/>
      </c>
      <c r="N921" s="109" t="str">
        <f aca="false">IF(_PENDIENTES!$B$915&lt;&gt;"",_PENDIENTES!$L$915,"")</f>
        <v/>
      </c>
      <c r="O921" s="89"/>
      <c r="P921" s="89"/>
      <c r="Q921" s="89"/>
      <c r="R921" s="89"/>
      <c r="S921" s="89"/>
    </row>
    <row r="922" customFormat="false" ht="15.75" hidden="true" customHeight="true" outlineLevel="0" collapsed="false">
      <c r="A922" s="106" t="str">
        <f aca="false">IF(_PENDIENTES!$B$916&lt;&gt;"",915,"")</f>
        <v/>
      </c>
      <c r="B922" s="47" t="str">
        <f aca="false">IF(_PENDIENTES!$B$916&lt;&gt;"",_PENDIENTES!$A$916,"")</f>
        <v/>
      </c>
      <c r="C922" s="107" t="str">
        <f aca="false">IF(_PENDIENTES!$B$916&lt;&gt;"",_PENDIENTES!$C$916,"")</f>
        <v/>
      </c>
      <c r="D922" s="106" t="str">
        <f aca="false">IF(_PENDIENTES!$B$916&lt;&gt;"",_PENDIENTES!$D$916,"")</f>
        <v/>
      </c>
      <c r="E922" s="111" t="str">
        <f aca="false">IF(_PENDIENTES!$B$916&lt;&gt;"",_PENDIENTES!$E$916,"")</f>
        <v/>
      </c>
      <c r="F922" s="106" t="str">
        <f aca="false">IF(_PENDIENTES!$B$916&lt;&gt;"",_PENDIENTES!$F$916,"")</f>
        <v/>
      </c>
      <c r="G922" s="50" t="str">
        <f aca="false">IF(_PENDIENTES!$B$916&lt;&gt;"",_PENDIENTES!$G$916,"")</f>
        <v/>
      </c>
      <c r="H922" s="50" t="str">
        <f aca="false">IF(_PENDIENTES!$B$916&lt;&gt;"",_PENDIENTES!$H$916,"")</f>
        <v/>
      </c>
      <c r="I922" s="107" t="str">
        <f aca="false">IF(_PENDIENTES!$B$916&lt;&gt;"",_PENDIENTES!$I$916,"")</f>
        <v/>
      </c>
      <c r="J922" s="106" t="str">
        <f aca="false">IF(_PENDIENTES!$B$916&lt;&gt;"",_PENDIENTES!$J$916,"")</f>
        <v/>
      </c>
      <c r="K922" s="106" t="str">
        <f aca="false">IF(_PENDIENTES!$B$916&lt;&gt;"","POR RECOGER","")</f>
        <v/>
      </c>
      <c r="L922" s="106" t="str">
        <f aca="false">IF(_PENDIENTES!$B$916&lt;&gt;"",_PENDIENTES!$K$916,"")</f>
        <v/>
      </c>
      <c r="M922" s="89" t="str">
        <f aca="false">IF(_PENDIENTES!$B$916&lt;&gt;"",_PENDIENTES!$B$916,"")</f>
        <v/>
      </c>
      <c r="N922" s="109" t="str">
        <f aca="false">IF(_PENDIENTES!$B$916&lt;&gt;"",_PENDIENTES!$L$916,"")</f>
        <v/>
      </c>
      <c r="O922" s="89"/>
      <c r="P922" s="89"/>
      <c r="Q922" s="89"/>
      <c r="R922" s="89"/>
      <c r="S922" s="89"/>
    </row>
    <row r="923" customFormat="false" ht="15.75" hidden="true" customHeight="true" outlineLevel="0" collapsed="false">
      <c r="A923" s="46" t="str">
        <f aca="false">IF(_PENDIENTES!$B$917&lt;&gt;"",916,"")</f>
        <v/>
      </c>
      <c r="B923" s="41" t="str">
        <f aca="false">IF(_PENDIENTES!$B$917&lt;&gt;"",_PENDIENTES!$A$917,"")</f>
        <v/>
      </c>
      <c r="C923" s="110" t="str">
        <f aca="false">IF(_PENDIENTES!$B$917&lt;&gt;"",_PENDIENTES!$C$917,"")</f>
        <v/>
      </c>
      <c r="D923" s="46" t="str">
        <f aca="false">IF(_PENDIENTES!$B$917&lt;&gt;"",_PENDIENTES!$D$917,"")</f>
        <v/>
      </c>
      <c r="E923" s="112" t="str">
        <f aca="false">IF(_PENDIENTES!$B$917&lt;&gt;"",_PENDIENTES!$E$917,"")</f>
        <v/>
      </c>
      <c r="F923" s="46" t="str">
        <f aca="false">IF(_PENDIENTES!$B$917&lt;&gt;"",_PENDIENTES!$F$917,"")</f>
        <v/>
      </c>
      <c r="G923" s="44" t="str">
        <f aca="false">IF(_PENDIENTES!$B$917&lt;&gt;"",_PENDIENTES!$G$917,"")</f>
        <v/>
      </c>
      <c r="H923" s="44" t="str">
        <f aca="false">IF(_PENDIENTES!$B$917&lt;&gt;"",_PENDIENTES!$H$917,"")</f>
        <v/>
      </c>
      <c r="I923" s="110" t="str">
        <f aca="false">IF(_PENDIENTES!$B$917&lt;&gt;"",_PENDIENTES!$I$917,"")</f>
        <v/>
      </c>
      <c r="J923" s="46" t="str">
        <f aca="false">IF(_PENDIENTES!$B$917&lt;&gt;"",_PENDIENTES!$J$917,"")</f>
        <v/>
      </c>
      <c r="K923" s="46" t="str">
        <f aca="false">IF(_PENDIENTES!$B$917&lt;&gt;"","POR RECOGER","")</f>
        <v/>
      </c>
      <c r="L923" s="46" t="str">
        <f aca="false">IF(_PENDIENTES!$B$917&lt;&gt;"",_PENDIENTES!$K$917,"")</f>
        <v/>
      </c>
      <c r="M923" s="89" t="str">
        <f aca="false">IF(_PENDIENTES!$B$917&lt;&gt;"",_PENDIENTES!$B$917,"")</f>
        <v/>
      </c>
      <c r="N923" s="109" t="str">
        <f aca="false">IF(_PENDIENTES!$B$917&lt;&gt;"",_PENDIENTES!$L$917,"")</f>
        <v/>
      </c>
      <c r="O923" s="89"/>
      <c r="P923" s="89"/>
      <c r="Q923" s="89"/>
      <c r="R923" s="89"/>
      <c r="S923" s="89"/>
    </row>
    <row r="924" customFormat="false" ht="15.75" hidden="true" customHeight="true" outlineLevel="0" collapsed="false">
      <c r="A924" s="106" t="str">
        <f aca="false">IF(_PENDIENTES!$B$918&lt;&gt;"",917,"")</f>
        <v/>
      </c>
      <c r="B924" s="47" t="str">
        <f aca="false">IF(_PENDIENTES!$B$918&lt;&gt;"",_PENDIENTES!$A$918,"")</f>
        <v/>
      </c>
      <c r="C924" s="107" t="str">
        <f aca="false">IF(_PENDIENTES!$B$918&lt;&gt;"",_PENDIENTES!$C$918,"")</f>
        <v/>
      </c>
      <c r="D924" s="106" t="str">
        <f aca="false">IF(_PENDIENTES!$B$918&lt;&gt;"",_PENDIENTES!$D$918,"")</f>
        <v/>
      </c>
      <c r="E924" s="111" t="str">
        <f aca="false">IF(_PENDIENTES!$B$918&lt;&gt;"",_PENDIENTES!$E$918,"")</f>
        <v/>
      </c>
      <c r="F924" s="106" t="str">
        <f aca="false">IF(_PENDIENTES!$B$918&lt;&gt;"",_PENDIENTES!$F$918,"")</f>
        <v/>
      </c>
      <c r="G924" s="50" t="str">
        <f aca="false">IF(_PENDIENTES!$B$918&lt;&gt;"",_PENDIENTES!$G$918,"")</f>
        <v/>
      </c>
      <c r="H924" s="50" t="str">
        <f aca="false">IF(_PENDIENTES!$B$918&lt;&gt;"",_PENDIENTES!$H$918,"")</f>
        <v/>
      </c>
      <c r="I924" s="107" t="str">
        <f aca="false">IF(_PENDIENTES!$B$918&lt;&gt;"",_PENDIENTES!$I$918,"")</f>
        <v/>
      </c>
      <c r="J924" s="106" t="str">
        <f aca="false">IF(_PENDIENTES!$B$918&lt;&gt;"",_PENDIENTES!$J$918,"")</f>
        <v/>
      </c>
      <c r="K924" s="106" t="str">
        <f aca="false">IF(_PENDIENTES!$B$918&lt;&gt;"","POR RECOGER","")</f>
        <v/>
      </c>
      <c r="L924" s="106" t="str">
        <f aca="false">IF(_PENDIENTES!$B$918&lt;&gt;"",_PENDIENTES!$K$918,"")</f>
        <v/>
      </c>
      <c r="M924" s="89" t="str">
        <f aca="false">IF(_PENDIENTES!$B$918&lt;&gt;"",_PENDIENTES!$B$918,"")</f>
        <v/>
      </c>
      <c r="N924" s="109" t="str">
        <f aca="false">IF(_PENDIENTES!$B$918&lt;&gt;"",_PENDIENTES!$L$918,"")</f>
        <v/>
      </c>
      <c r="O924" s="89"/>
      <c r="P924" s="89"/>
      <c r="Q924" s="89"/>
      <c r="R924" s="89"/>
      <c r="S924" s="89"/>
    </row>
    <row r="925" customFormat="false" ht="15.75" hidden="true" customHeight="true" outlineLevel="0" collapsed="false">
      <c r="A925" s="46" t="str">
        <f aca="false">IF(_PENDIENTES!$B$919&lt;&gt;"",918,"")</f>
        <v/>
      </c>
      <c r="B925" s="41" t="str">
        <f aca="false">IF(_PENDIENTES!$B$919&lt;&gt;"",_PENDIENTES!$A$919,"")</f>
        <v/>
      </c>
      <c r="C925" s="110" t="str">
        <f aca="false">IF(_PENDIENTES!$B$919&lt;&gt;"",_PENDIENTES!$C$919,"")</f>
        <v/>
      </c>
      <c r="D925" s="46" t="str">
        <f aca="false">IF(_PENDIENTES!$B$919&lt;&gt;"",_PENDIENTES!$D$919,"")</f>
        <v/>
      </c>
      <c r="E925" s="112" t="str">
        <f aca="false">IF(_PENDIENTES!$B$919&lt;&gt;"",_PENDIENTES!$E$919,"")</f>
        <v/>
      </c>
      <c r="F925" s="46" t="str">
        <f aca="false">IF(_PENDIENTES!$B$919&lt;&gt;"",_PENDIENTES!$F$919,"")</f>
        <v/>
      </c>
      <c r="G925" s="44" t="str">
        <f aca="false">IF(_PENDIENTES!$B$919&lt;&gt;"",_PENDIENTES!$G$919,"")</f>
        <v/>
      </c>
      <c r="H925" s="44" t="str">
        <f aca="false">IF(_PENDIENTES!$B$919&lt;&gt;"",_PENDIENTES!$H$919,"")</f>
        <v/>
      </c>
      <c r="I925" s="110" t="str">
        <f aca="false">IF(_PENDIENTES!$B$919&lt;&gt;"",_PENDIENTES!$I$919,"")</f>
        <v/>
      </c>
      <c r="J925" s="46" t="str">
        <f aca="false">IF(_PENDIENTES!$B$919&lt;&gt;"",_PENDIENTES!$J$919,"")</f>
        <v/>
      </c>
      <c r="K925" s="46" t="str">
        <f aca="false">IF(_PENDIENTES!$B$919&lt;&gt;"","POR RECOGER","")</f>
        <v/>
      </c>
      <c r="L925" s="46" t="str">
        <f aca="false">IF(_PENDIENTES!$B$919&lt;&gt;"",_PENDIENTES!$K$919,"")</f>
        <v/>
      </c>
      <c r="M925" s="89" t="str">
        <f aca="false">IF(_PENDIENTES!$B$919&lt;&gt;"",_PENDIENTES!$B$919,"")</f>
        <v/>
      </c>
      <c r="N925" s="109" t="str">
        <f aca="false">IF(_PENDIENTES!$B$919&lt;&gt;"",_PENDIENTES!$L$919,"")</f>
        <v/>
      </c>
      <c r="O925" s="89"/>
      <c r="P925" s="89"/>
      <c r="Q925" s="89"/>
      <c r="R925" s="89"/>
      <c r="S925" s="89"/>
    </row>
    <row r="926" customFormat="false" ht="15.75" hidden="true" customHeight="true" outlineLevel="0" collapsed="false">
      <c r="A926" s="106" t="str">
        <f aca="false">IF(_PENDIENTES!$B$920&lt;&gt;"",919,"")</f>
        <v/>
      </c>
      <c r="B926" s="47" t="str">
        <f aca="false">IF(_PENDIENTES!$B$920&lt;&gt;"",_PENDIENTES!$A$920,"")</f>
        <v/>
      </c>
      <c r="C926" s="107" t="str">
        <f aca="false">IF(_PENDIENTES!$B$920&lt;&gt;"",_PENDIENTES!$C$920,"")</f>
        <v/>
      </c>
      <c r="D926" s="106" t="str">
        <f aca="false">IF(_PENDIENTES!$B$920&lt;&gt;"",_PENDIENTES!$D$920,"")</f>
        <v/>
      </c>
      <c r="E926" s="111" t="str">
        <f aca="false">IF(_PENDIENTES!$B$920&lt;&gt;"",_PENDIENTES!$E$920,"")</f>
        <v/>
      </c>
      <c r="F926" s="106" t="str">
        <f aca="false">IF(_PENDIENTES!$B$920&lt;&gt;"",_PENDIENTES!$F$920,"")</f>
        <v/>
      </c>
      <c r="G926" s="50" t="str">
        <f aca="false">IF(_PENDIENTES!$B$920&lt;&gt;"",_PENDIENTES!$G$920,"")</f>
        <v/>
      </c>
      <c r="H926" s="50" t="str">
        <f aca="false">IF(_PENDIENTES!$B$920&lt;&gt;"",_PENDIENTES!$H$920,"")</f>
        <v/>
      </c>
      <c r="I926" s="107" t="str">
        <f aca="false">IF(_PENDIENTES!$B$920&lt;&gt;"",_PENDIENTES!$I$920,"")</f>
        <v/>
      </c>
      <c r="J926" s="106" t="str">
        <f aca="false">IF(_PENDIENTES!$B$920&lt;&gt;"",_PENDIENTES!$J$920,"")</f>
        <v/>
      </c>
      <c r="K926" s="106" t="str">
        <f aca="false">IF(_PENDIENTES!$B$920&lt;&gt;"","POR RECOGER","")</f>
        <v/>
      </c>
      <c r="L926" s="106" t="str">
        <f aca="false">IF(_PENDIENTES!$B$920&lt;&gt;"",_PENDIENTES!$K$920,"")</f>
        <v/>
      </c>
      <c r="M926" s="89" t="str">
        <f aca="false">IF(_PENDIENTES!$B$920&lt;&gt;"",_PENDIENTES!$B$920,"")</f>
        <v/>
      </c>
      <c r="N926" s="109" t="str">
        <f aca="false">IF(_PENDIENTES!$B$920&lt;&gt;"",_PENDIENTES!$L$920,"")</f>
        <v/>
      </c>
      <c r="O926" s="89"/>
      <c r="P926" s="89"/>
      <c r="Q926" s="89"/>
      <c r="R926" s="89"/>
      <c r="S926" s="89"/>
    </row>
    <row r="927" customFormat="false" ht="15.75" hidden="true" customHeight="true" outlineLevel="0" collapsed="false">
      <c r="A927" s="46" t="str">
        <f aca="false">IF(_PENDIENTES!$B$921&lt;&gt;"",920,"")</f>
        <v/>
      </c>
      <c r="B927" s="41" t="str">
        <f aca="false">IF(_PENDIENTES!$B$921&lt;&gt;"",_PENDIENTES!$A$921,"")</f>
        <v/>
      </c>
      <c r="C927" s="110" t="str">
        <f aca="false">IF(_PENDIENTES!$B$921&lt;&gt;"",_PENDIENTES!$C$921,"")</f>
        <v/>
      </c>
      <c r="D927" s="46" t="str">
        <f aca="false">IF(_PENDIENTES!$B$921&lt;&gt;"",_PENDIENTES!$D$921,"")</f>
        <v/>
      </c>
      <c r="E927" s="112" t="str">
        <f aca="false">IF(_PENDIENTES!$B$921&lt;&gt;"",_PENDIENTES!$E$921,"")</f>
        <v/>
      </c>
      <c r="F927" s="46" t="str">
        <f aca="false">IF(_PENDIENTES!$B$921&lt;&gt;"",_PENDIENTES!$F$921,"")</f>
        <v/>
      </c>
      <c r="G927" s="44" t="str">
        <f aca="false">IF(_PENDIENTES!$B$921&lt;&gt;"",_PENDIENTES!$G$921,"")</f>
        <v/>
      </c>
      <c r="H927" s="44" t="str">
        <f aca="false">IF(_PENDIENTES!$B$921&lt;&gt;"",_PENDIENTES!$H$921,"")</f>
        <v/>
      </c>
      <c r="I927" s="110" t="str">
        <f aca="false">IF(_PENDIENTES!$B$921&lt;&gt;"",_PENDIENTES!$I$921,"")</f>
        <v/>
      </c>
      <c r="J927" s="46" t="str">
        <f aca="false">IF(_PENDIENTES!$B$921&lt;&gt;"",_PENDIENTES!$J$921,"")</f>
        <v/>
      </c>
      <c r="K927" s="46" t="str">
        <f aca="false">IF(_PENDIENTES!$B$921&lt;&gt;"","POR RECOGER","")</f>
        <v/>
      </c>
      <c r="L927" s="46" t="str">
        <f aca="false">IF(_PENDIENTES!$B$921&lt;&gt;"",_PENDIENTES!$K$921,"")</f>
        <v/>
      </c>
      <c r="M927" s="89" t="str">
        <f aca="false">IF(_PENDIENTES!$B$921&lt;&gt;"",_PENDIENTES!$B$921,"")</f>
        <v/>
      </c>
      <c r="N927" s="109" t="str">
        <f aca="false">IF(_PENDIENTES!$B$921&lt;&gt;"",_PENDIENTES!$L$921,"")</f>
        <v/>
      </c>
      <c r="O927" s="89"/>
      <c r="P927" s="89"/>
      <c r="Q927" s="89"/>
      <c r="R927" s="89"/>
      <c r="S927" s="89"/>
    </row>
    <row r="928" customFormat="false" ht="15.75" hidden="true" customHeight="true" outlineLevel="0" collapsed="false">
      <c r="A928" s="106" t="str">
        <f aca="false">IF(_PENDIENTES!$B$922&lt;&gt;"",921,"")</f>
        <v/>
      </c>
      <c r="B928" s="47" t="str">
        <f aca="false">IF(_PENDIENTES!$B$922&lt;&gt;"",_PENDIENTES!$A$922,"")</f>
        <v/>
      </c>
      <c r="C928" s="107" t="str">
        <f aca="false">IF(_PENDIENTES!$B$922&lt;&gt;"",_PENDIENTES!$C$922,"")</f>
        <v/>
      </c>
      <c r="D928" s="106" t="str">
        <f aca="false">IF(_PENDIENTES!$B$922&lt;&gt;"",_PENDIENTES!$D$922,"")</f>
        <v/>
      </c>
      <c r="E928" s="111" t="str">
        <f aca="false">IF(_PENDIENTES!$B$922&lt;&gt;"",_PENDIENTES!$E$922,"")</f>
        <v/>
      </c>
      <c r="F928" s="106" t="str">
        <f aca="false">IF(_PENDIENTES!$B$922&lt;&gt;"",_PENDIENTES!$F$922,"")</f>
        <v/>
      </c>
      <c r="G928" s="50" t="str">
        <f aca="false">IF(_PENDIENTES!$B$922&lt;&gt;"",_PENDIENTES!$G$922,"")</f>
        <v/>
      </c>
      <c r="H928" s="50" t="str">
        <f aca="false">IF(_PENDIENTES!$B$922&lt;&gt;"",_PENDIENTES!$H$922,"")</f>
        <v/>
      </c>
      <c r="I928" s="107" t="str">
        <f aca="false">IF(_PENDIENTES!$B$922&lt;&gt;"",_PENDIENTES!$I$922,"")</f>
        <v/>
      </c>
      <c r="J928" s="106" t="str">
        <f aca="false">IF(_PENDIENTES!$B$922&lt;&gt;"",_PENDIENTES!$J$922,"")</f>
        <v/>
      </c>
      <c r="K928" s="106" t="str">
        <f aca="false">IF(_PENDIENTES!$B$922&lt;&gt;"","POR RECOGER","")</f>
        <v/>
      </c>
      <c r="L928" s="106" t="str">
        <f aca="false">IF(_PENDIENTES!$B$922&lt;&gt;"",_PENDIENTES!$K$922,"")</f>
        <v/>
      </c>
      <c r="M928" s="89" t="str">
        <f aca="false">IF(_PENDIENTES!$B$922&lt;&gt;"",_PENDIENTES!$B$922,"")</f>
        <v/>
      </c>
      <c r="N928" s="109" t="str">
        <f aca="false">IF(_PENDIENTES!$B$922&lt;&gt;"",_PENDIENTES!$L$922,"")</f>
        <v/>
      </c>
      <c r="O928" s="89"/>
      <c r="P928" s="89"/>
      <c r="Q928" s="89"/>
      <c r="R928" s="89"/>
      <c r="S928" s="89"/>
    </row>
    <row r="929" customFormat="false" ht="15.75" hidden="true" customHeight="true" outlineLevel="0" collapsed="false">
      <c r="A929" s="46" t="str">
        <f aca="false">IF(_PENDIENTES!$B$923&lt;&gt;"",922,"")</f>
        <v/>
      </c>
      <c r="B929" s="41" t="str">
        <f aca="false">IF(_PENDIENTES!$B$923&lt;&gt;"",_PENDIENTES!$A$923,"")</f>
        <v/>
      </c>
      <c r="C929" s="110" t="str">
        <f aca="false">IF(_PENDIENTES!$B$923&lt;&gt;"",_PENDIENTES!$C$923,"")</f>
        <v/>
      </c>
      <c r="D929" s="46" t="str">
        <f aca="false">IF(_PENDIENTES!$B$923&lt;&gt;"",_PENDIENTES!$D$923,"")</f>
        <v/>
      </c>
      <c r="E929" s="112" t="str">
        <f aca="false">IF(_PENDIENTES!$B$923&lt;&gt;"",_PENDIENTES!$E$923,"")</f>
        <v/>
      </c>
      <c r="F929" s="46" t="str">
        <f aca="false">IF(_PENDIENTES!$B$923&lt;&gt;"",_PENDIENTES!$F$923,"")</f>
        <v/>
      </c>
      <c r="G929" s="44" t="str">
        <f aca="false">IF(_PENDIENTES!$B$923&lt;&gt;"",_PENDIENTES!$G$923,"")</f>
        <v/>
      </c>
      <c r="H929" s="44" t="str">
        <f aca="false">IF(_PENDIENTES!$B$923&lt;&gt;"",_PENDIENTES!$H$923,"")</f>
        <v/>
      </c>
      <c r="I929" s="110" t="str">
        <f aca="false">IF(_PENDIENTES!$B$923&lt;&gt;"",_PENDIENTES!$I$923,"")</f>
        <v/>
      </c>
      <c r="J929" s="46" t="str">
        <f aca="false">IF(_PENDIENTES!$B$923&lt;&gt;"",_PENDIENTES!$J$923,"")</f>
        <v/>
      </c>
      <c r="K929" s="46" t="str">
        <f aca="false">IF(_PENDIENTES!$B$923&lt;&gt;"","POR RECOGER","")</f>
        <v/>
      </c>
      <c r="L929" s="46" t="str">
        <f aca="false">IF(_PENDIENTES!$B$923&lt;&gt;"",_PENDIENTES!$K$923,"")</f>
        <v/>
      </c>
      <c r="M929" s="89" t="str">
        <f aca="false">IF(_PENDIENTES!$B$923&lt;&gt;"",_PENDIENTES!$B$923,"")</f>
        <v/>
      </c>
      <c r="N929" s="109" t="str">
        <f aca="false">IF(_PENDIENTES!$B$923&lt;&gt;"",_PENDIENTES!$L$923,"")</f>
        <v/>
      </c>
      <c r="O929" s="89"/>
      <c r="P929" s="89"/>
      <c r="Q929" s="89"/>
      <c r="R929" s="89"/>
      <c r="S929" s="89"/>
    </row>
    <row r="930" customFormat="false" ht="15.75" hidden="true" customHeight="true" outlineLevel="0" collapsed="false">
      <c r="A930" s="106" t="str">
        <f aca="false">IF(_PENDIENTES!$B$924&lt;&gt;"",923,"")</f>
        <v/>
      </c>
      <c r="B930" s="47" t="str">
        <f aca="false">IF(_PENDIENTES!$B$924&lt;&gt;"",_PENDIENTES!$A$924,"")</f>
        <v/>
      </c>
      <c r="C930" s="107" t="str">
        <f aca="false">IF(_PENDIENTES!$B$924&lt;&gt;"",_PENDIENTES!$C$924,"")</f>
        <v/>
      </c>
      <c r="D930" s="106" t="str">
        <f aca="false">IF(_PENDIENTES!$B$924&lt;&gt;"",_PENDIENTES!$D$924,"")</f>
        <v/>
      </c>
      <c r="E930" s="111" t="str">
        <f aca="false">IF(_PENDIENTES!$B$924&lt;&gt;"",_PENDIENTES!$E$924,"")</f>
        <v/>
      </c>
      <c r="F930" s="106" t="str">
        <f aca="false">IF(_PENDIENTES!$B$924&lt;&gt;"",_PENDIENTES!$F$924,"")</f>
        <v/>
      </c>
      <c r="G930" s="50" t="str">
        <f aca="false">IF(_PENDIENTES!$B$924&lt;&gt;"",_PENDIENTES!$G$924,"")</f>
        <v/>
      </c>
      <c r="H930" s="50" t="str">
        <f aca="false">IF(_PENDIENTES!$B$924&lt;&gt;"",_PENDIENTES!$H$924,"")</f>
        <v/>
      </c>
      <c r="I930" s="107" t="str">
        <f aca="false">IF(_PENDIENTES!$B$924&lt;&gt;"",_PENDIENTES!$I$924,"")</f>
        <v/>
      </c>
      <c r="J930" s="106" t="str">
        <f aca="false">IF(_PENDIENTES!$B$924&lt;&gt;"",_PENDIENTES!$J$924,"")</f>
        <v/>
      </c>
      <c r="K930" s="106" t="str">
        <f aca="false">IF(_PENDIENTES!$B$924&lt;&gt;"","POR RECOGER","")</f>
        <v/>
      </c>
      <c r="L930" s="106" t="str">
        <f aca="false">IF(_PENDIENTES!$B$924&lt;&gt;"",_PENDIENTES!$K$924,"")</f>
        <v/>
      </c>
      <c r="M930" s="89" t="str">
        <f aca="false">IF(_PENDIENTES!$B$924&lt;&gt;"",_PENDIENTES!$B$924,"")</f>
        <v/>
      </c>
      <c r="N930" s="109" t="str">
        <f aca="false">IF(_PENDIENTES!$B$924&lt;&gt;"",_PENDIENTES!$L$924,"")</f>
        <v/>
      </c>
      <c r="O930" s="89"/>
      <c r="P930" s="89"/>
      <c r="Q930" s="89"/>
      <c r="R930" s="89"/>
      <c r="S930" s="89"/>
    </row>
    <row r="931" customFormat="false" ht="15.75" hidden="true" customHeight="true" outlineLevel="0" collapsed="false">
      <c r="A931" s="46" t="str">
        <f aca="false">IF(_PENDIENTES!$B$925&lt;&gt;"",924,"")</f>
        <v/>
      </c>
      <c r="B931" s="41" t="str">
        <f aca="false">IF(_PENDIENTES!$B$925&lt;&gt;"",_PENDIENTES!$A$925,"")</f>
        <v/>
      </c>
      <c r="C931" s="110" t="str">
        <f aca="false">IF(_PENDIENTES!$B$925&lt;&gt;"",_PENDIENTES!$C$925,"")</f>
        <v/>
      </c>
      <c r="D931" s="46" t="str">
        <f aca="false">IF(_PENDIENTES!$B$925&lt;&gt;"",_PENDIENTES!$D$925,"")</f>
        <v/>
      </c>
      <c r="E931" s="112" t="str">
        <f aca="false">IF(_PENDIENTES!$B$925&lt;&gt;"",_PENDIENTES!$E$925,"")</f>
        <v/>
      </c>
      <c r="F931" s="46" t="str">
        <f aca="false">IF(_PENDIENTES!$B$925&lt;&gt;"",_PENDIENTES!$F$925,"")</f>
        <v/>
      </c>
      <c r="G931" s="44" t="str">
        <f aca="false">IF(_PENDIENTES!$B$925&lt;&gt;"",_PENDIENTES!$G$925,"")</f>
        <v/>
      </c>
      <c r="H931" s="44" t="str">
        <f aca="false">IF(_PENDIENTES!$B$925&lt;&gt;"",_PENDIENTES!$H$925,"")</f>
        <v/>
      </c>
      <c r="I931" s="110" t="str">
        <f aca="false">IF(_PENDIENTES!$B$925&lt;&gt;"",_PENDIENTES!$I$925,"")</f>
        <v/>
      </c>
      <c r="J931" s="46" t="str">
        <f aca="false">IF(_PENDIENTES!$B$925&lt;&gt;"",_PENDIENTES!$J$925,"")</f>
        <v/>
      </c>
      <c r="K931" s="46" t="str">
        <f aca="false">IF(_PENDIENTES!$B$925&lt;&gt;"","POR RECOGER","")</f>
        <v/>
      </c>
      <c r="L931" s="46" t="str">
        <f aca="false">IF(_PENDIENTES!$B$925&lt;&gt;"",_PENDIENTES!$K$925,"")</f>
        <v/>
      </c>
      <c r="M931" s="89" t="str">
        <f aca="false">IF(_PENDIENTES!$B$925&lt;&gt;"",_PENDIENTES!$B$925,"")</f>
        <v/>
      </c>
      <c r="N931" s="109" t="str">
        <f aca="false">IF(_PENDIENTES!$B$925&lt;&gt;"",_PENDIENTES!$L$925,"")</f>
        <v/>
      </c>
      <c r="O931" s="89"/>
      <c r="P931" s="89"/>
      <c r="Q931" s="89"/>
      <c r="R931" s="89"/>
      <c r="S931" s="89"/>
    </row>
    <row r="932" customFormat="false" ht="15.75" hidden="true" customHeight="true" outlineLevel="0" collapsed="false">
      <c r="A932" s="106" t="str">
        <f aca="false">IF(_PENDIENTES!$B$926&lt;&gt;"",925,"")</f>
        <v/>
      </c>
      <c r="B932" s="47" t="str">
        <f aca="false">IF(_PENDIENTES!$B$926&lt;&gt;"",_PENDIENTES!$A$926,"")</f>
        <v/>
      </c>
      <c r="C932" s="107" t="str">
        <f aca="false">IF(_PENDIENTES!$B$926&lt;&gt;"",_PENDIENTES!$C$926,"")</f>
        <v/>
      </c>
      <c r="D932" s="106" t="str">
        <f aca="false">IF(_PENDIENTES!$B$926&lt;&gt;"",_PENDIENTES!$D$926,"")</f>
        <v/>
      </c>
      <c r="E932" s="111" t="str">
        <f aca="false">IF(_PENDIENTES!$B$926&lt;&gt;"",_PENDIENTES!$E$926,"")</f>
        <v/>
      </c>
      <c r="F932" s="106" t="str">
        <f aca="false">IF(_PENDIENTES!$B$926&lt;&gt;"",_PENDIENTES!$F$926,"")</f>
        <v/>
      </c>
      <c r="G932" s="50" t="str">
        <f aca="false">IF(_PENDIENTES!$B$926&lt;&gt;"",_PENDIENTES!$G$926,"")</f>
        <v/>
      </c>
      <c r="H932" s="50" t="str">
        <f aca="false">IF(_PENDIENTES!$B$926&lt;&gt;"",_PENDIENTES!$H$926,"")</f>
        <v/>
      </c>
      <c r="I932" s="107" t="str">
        <f aca="false">IF(_PENDIENTES!$B$926&lt;&gt;"",_PENDIENTES!$I$926,"")</f>
        <v/>
      </c>
      <c r="J932" s="106" t="str">
        <f aca="false">IF(_PENDIENTES!$B$926&lt;&gt;"",_PENDIENTES!$J$926,"")</f>
        <v/>
      </c>
      <c r="K932" s="106" t="str">
        <f aca="false">IF(_PENDIENTES!$B$926&lt;&gt;"","POR RECOGER","")</f>
        <v/>
      </c>
      <c r="L932" s="106" t="str">
        <f aca="false">IF(_PENDIENTES!$B$926&lt;&gt;"",_PENDIENTES!$K$926,"")</f>
        <v/>
      </c>
      <c r="M932" s="89" t="str">
        <f aca="false">IF(_PENDIENTES!$B$926&lt;&gt;"",_PENDIENTES!$B$926,"")</f>
        <v/>
      </c>
      <c r="N932" s="109" t="str">
        <f aca="false">IF(_PENDIENTES!$B$926&lt;&gt;"",_PENDIENTES!$L$926,"")</f>
        <v/>
      </c>
      <c r="O932" s="89"/>
      <c r="P932" s="89"/>
      <c r="Q932" s="89"/>
      <c r="R932" s="89"/>
      <c r="S932" s="89"/>
    </row>
    <row r="933" customFormat="false" ht="15.75" hidden="true" customHeight="true" outlineLevel="0" collapsed="false">
      <c r="A933" s="46" t="str">
        <f aca="false">IF(_PENDIENTES!$B$927&lt;&gt;"",926,"")</f>
        <v/>
      </c>
      <c r="B933" s="41" t="str">
        <f aca="false">IF(_PENDIENTES!$B$927&lt;&gt;"",_PENDIENTES!$A$927,"")</f>
        <v/>
      </c>
      <c r="C933" s="110" t="str">
        <f aca="false">IF(_PENDIENTES!$B$927&lt;&gt;"",_PENDIENTES!$C$927,"")</f>
        <v/>
      </c>
      <c r="D933" s="46" t="str">
        <f aca="false">IF(_PENDIENTES!$B$927&lt;&gt;"",_PENDIENTES!$D$927,"")</f>
        <v/>
      </c>
      <c r="E933" s="112" t="str">
        <f aca="false">IF(_PENDIENTES!$B$927&lt;&gt;"",_PENDIENTES!$E$927,"")</f>
        <v/>
      </c>
      <c r="F933" s="46" t="str">
        <f aca="false">IF(_PENDIENTES!$B$927&lt;&gt;"",_PENDIENTES!$F$927,"")</f>
        <v/>
      </c>
      <c r="G933" s="44" t="str">
        <f aca="false">IF(_PENDIENTES!$B$927&lt;&gt;"",_PENDIENTES!$G$927,"")</f>
        <v/>
      </c>
      <c r="H933" s="44" t="str">
        <f aca="false">IF(_PENDIENTES!$B$927&lt;&gt;"",_PENDIENTES!$H$927,"")</f>
        <v/>
      </c>
      <c r="I933" s="110" t="str">
        <f aca="false">IF(_PENDIENTES!$B$927&lt;&gt;"",_PENDIENTES!$I$927,"")</f>
        <v/>
      </c>
      <c r="J933" s="46" t="str">
        <f aca="false">IF(_PENDIENTES!$B$927&lt;&gt;"",_PENDIENTES!$J$927,"")</f>
        <v/>
      </c>
      <c r="K933" s="46" t="str">
        <f aca="false">IF(_PENDIENTES!$B$927&lt;&gt;"","POR RECOGER","")</f>
        <v/>
      </c>
      <c r="L933" s="46" t="str">
        <f aca="false">IF(_PENDIENTES!$B$927&lt;&gt;"",_PENDIENTES!$K$927,"")</f>
        <v/>
      </c>
      <c r="M933" s="89" t="str">
        <f aca="false">IF(_PENDIENTES!$B$927&lt;&gt;"",_PENDIENTES!$B$927,"")</f>
        <v/>
      </c>
      <c r="N933" s="109" t="str">
        <f aca="false">IF(_PENDIENTES!$B$927&lt;&gt;"",_PENDIENTES!$L$927,"")</f>
        <v/>
      </c>
      <c r="O933" s="89"/>
      <c r="P933" s="89"/>
      <c r="Q933" s="89"/>
      <c r="R933" s="89"/>
      <c r="S933" s="89"/>
    </row>
    <row r="934" customFormat="false" ht="15.75" hidden="true" customHeight="true" outlineLevel="0" collapsed="false">
      <c r="A934" s="106" t="str">
        <f aca="false">IF(_PENDIENTES!$B$928&lt;&gt;"",927,"")</f>
        <v/>
      </c>
      <c r="B934" s="47" t="str">
        <f aca="false">IF(_PENDIENTES!$B$928&lt;&gt;"",_PENDIENTES!$A$928,"")</f>
        <v/>
      </c>
      <c r="C934" s="107" t="str">
        <f aca="false">IF(_PENDIENTES!$B$928&lt;&gt;"",_PENDIENTES!$C$928,"")</f>
        <v/>
      </c>
      <c r="D934" s="106" t="str">
        <f aca="false">IF(_PENDIENTES!$B$928&lt;&gt;"",_PENDIENTES!$D$928,"")</f>
        <v/>
      </c>
      <c r="E934" s="111" t="str">
        <f aca="false">IF(_PENDIENTES!$B$928&lt;&gt;"",_PENDIENTES!$E$928,"")</f>
        <v/>
      </c>
      <c r="F934" s="106" t="str">
        <f aca="false">IF(_PENDIENTES!$B$928&lt;&gt;"",_PENDIENTES!$F$928,"")</f>
        <v/>
      </c>
      <c r="G934" s="50" t="str">
        <f aca="false">IF(_PENDIENTES!$B$928&lt;&gt;"",_PENDIENTES!$G$928,"")</f>
        <v/>
      </c>
      <c r="H934" s="50" t="str">
        <f aca="false">IF(_PENDIENTES!$B$928&lt;&gt;"",_PENDIENTES!$H$928,"")</f>
        <v/>
      </c>
      <c r="I934" s="107" t="str">
        <f aca="false">IF(_PENDIENTES!$B$928&lt;&gt;"",_PENDIENTES!$I$928,"")</f>
        <v/>
      </c>
      <c r="J934" s="106" t="str">
        <f aca="false">IF(_PENDIENTES!$B$928&lt;&gt;"",_PENDIENTES!$J$928,"")</f>
        <v/>
      </c>
      <c r="K934" s="106" t="str">
        <f aca="false">IF(_PENDIENTES!$B$928&lt;&gt;"","POR RECOGER","")</f>
        <v/>
      </c>
      <c r="L934" s="106" t="str">
        <f aca="false">IF(_PENDIENTES!$B$928&lt;&gt;"",_PENDIENTES!$K$928,"")</f>
        <v/>
      </c>
      <c r="M934" s="89" t="str">
        <f aca="false">IF(_PENDIENTES!$B$928&lt;&gt;"",_PENDIENTES!$B$928,"")</f>
        <v/>
      </c>
      <c r="N934" s="109" t="str">
        <f aca="false">IF(_PENDIENTES!$B$928&lt;&gt;"",_PENDIENTES!$L$928,"")</f>
        <v/>
      </c>
      <c r="O934" s="89"/>
      <c r="P934" s="89"/>
      <c r="Q934" s="89"/>
      <c r="R934" s="89"/>
      <c r="S934" s="89"/>
    </row>
    <row r="935" customFormat="false" ht="15.75" hidden="true" customHeight="true" outlineLevel="0" collapsed="false">
      <c r="A935" s="46" t="str">
        <f aca="false">IF(_PENDIENTES!$B$929&lt;&gt;"",928,"")</f>
        <v/>
      </c>
      <c r="B935" s="41" t="str">
        <f aca="false">IF(_PENDIENTES!$B$929&lt;&gt;"",_PENDIENTES!$A$929,"")</f>
        <v/>
      </c>
      <c r="C935" s="110" t="str">
        <f aca="false">IF(_PENDIENTES!$B$929&lt;&gt;"",_PENDIENTES!$C$929,"")</f>
        <v/>
      </c>
      <c r="D935" s="46" t="str">
        <f aca="false">IF(_PENDIENTES!$B$929&lt;&gt;"",_PENDIENTES!$D$929,"")</f>
        <v/>
      </c>
      <c r="E935" s="112" t="str">
        <f aca="false">IF(_PENDIENTES!$B$929&lt;&gt;"",_PENDIENTES!$E$929,"")</f>
        <v/>
      </c>
      <c r="F935" s="46" t="str">
        <f aca="false">IF(_PENDIENTES!$B$929&lt;&gt;"",_PENDIENTES!$F$929,"")</f>
        <v/>
      </c>
      <c r="G935" s="44" t="str">
        <f aca="false">IF(_PENDIENTES!$B$929&lt;&gt;"",_PENDIENTES!$G$929,"")</f>
        <v/>
      </c>
      <c r="H935" s="44" t="str">
        <f aca="false">IF(_PENDIENTES!$B$929&lt;&gt;"",_PENDIENTES!$H$929,"")</f>
        <v/>
      </c>
      <c r="I935" s="110" t="str">
        <f aca="false">IF(_PENDIENTES!$B$929&lt;&gt;"",_PENDIENTES!$I$929,"")</f>
        <v/>
      </c>
      <c r="J935" s="46" t="str">
        <f aca="false">IF(_PENDIENTES!$B$929&lt;&gt;"",_PENDIENTES!$J$929,"")</f>
        <v/>
      </c>
      <c r="K935" s="46" t="str">
        <f aca="false">IF(_PENDIENTES!$B$929&lt;&gt;"","POR RECOGER","")</f>
        <v/>
      </c>
      <c r="L935" s="46" t="str">
        <f aca="false">IF(_PENDIENTES!$B$929&lt;&gt;"",_PENDIENTES!$K$929,"")</f>
        <v/>
      </c>
      <c r="M935" s="89" t="str">
        <f aca="false">IF(_PENDIENTES!$B$929&lt;&gt;"",_PENDIENTES!$B$929,"")</f>
        <v/>
      </c>
      <c r="N935" s="109" t="str">
        <f aca="false">IF(_PENDIENTES!$B$929&lt;&gt;"",_PENDIENTES!$L$929,"")</f>
        <v/>
      </c>
      <c r="O935" s="89"/>
      <c r="P935" s="89"/>
      <c r="Q935" s="89"/>
      <c r="R935" s="89"/>
      <c r="S935" s="89"/>
    </row>
    <row r="936" customFormat="false" ht="15.75" hidden="true" customHeight="true" outlineLevel="0" collapsed="false">
      <c r="A936" s="106" t="str">
        <f aca="false">IF(_PENDIENTES!$B$930&lt;&gt;"",929,"")</f>
        <v/>
      </c>
      <c r="B936" s="47" t="str">
        <f aca="false">IF(_PENDIENTES!$B$930&lt;&gt;"",_PENDIENTES!$A$930,"")</f>
        <v/>
      </c>
      <c r="C936" s="107" t="str">
        <f aca="false">IF(_PENDIENTES!$B$930&lt;&gt;"",_PENDIENTES!$C$930,"")</f>
        <v/>
      </c>
      <c r="D936" s="106" t="str">
        <f aca="false">IF(_PENDIENTES!$B$930&lt;&gt;"",_PENDIENTES!$D$930,"")</f>
        <v/>
      </c>
      <c r="E936" s="111" t="str">
        <f aca="false">IF(_PENDIENTES!$B$930&lt;&gt;"",_PENDIENTES!$E$930,"")</f>
        <v/>
      </c>
      <c r="F936" s="106" t="str">
        <f aca="false">IF(_PENDIENTES!$B$930&lt;&gt;"",_PENDIENTES!$F$930,"")</f>
        <v/>
      </c>
      <c r="G936" s="50" t="str">
        <f aca="false">IF(_PENDIENTES!$B$930&lt;&gt;"",_PENDIENTES!$G$930,"")</f>
        <v/>
      </c>
      <c r="H936" s="50" t="str">
        <f aca="false">IF(_PENDIENTES!$B$930&lt;&gt;"",_PENDIENTES!$H$930,"")</f>
        <v/>
      </c>
      <c r="I936" s="107" t="str">
        <f aca="false">IF(_PENDIENTES!$B$930&lt;&gt;"",_PENDIENTES!$I$930,"")</f>
        <v/>
      </c>
      <c r="J936" s="106" t="str">
        <f aca="false">IF(_PENDIENTES!$B$930&lt;&gt;"",_PENDIENTES!$J$930,"")</f>
        <v/>
      </c>
      <c r="K936" s="106" t="str">
        <f aca="false">IF(_PENDIENTES!$B$930&lt;&gt;"","POR RECOGER","")</f>
        <v/>
      </c>
      <c r="L936" s="106" t="str">
        <f aca="false">IF(_PENDIENTES!$B$930&lt;&gt;"",_PENDIENTES!$K$930,"")</f>
        <v/>
      </c>
      <c r="M936" s="89" t="str">
        <f aca="false">IF(_PENDIENTES!$B$930&lt;&gt;"",_PENDIENTES!$B$930,"")</f>
        <v/>
      </c>
      <c r="N936" s="109" t="str">
        <f aca="false">IF(_PENDIENTES!$B$930&lt;&gt;"",_PENDIENTES!$L$930,"")</f>
        <v/>
      </c>
      <c r="O936" s="89"/>
      <c r="P936" s="89"/>
      <c r="Q936" s="89"/>
      <c r="R936" s="89"/>
      <c r="S936" s="89"/>
    </row>
    <row r="937" customFormat="false" ht="15.75" hidden="true" customHeight="true" outlineLevel="0" collapsed="false">
      <c r="A937" s="46" t="str">
        <f aca="false">IF(_PENDIENTES!$B$931&lt;&gt;"",930,"")</f>
        <v/>
      </c>
      <c r="B937" s="41" t="str">
        <f aca="false">IF(_PENDIENTES!$B$931&lt;&gt;"",_PENDIENTES!$A$931,"")</f>
        <v/>
      </c>
      <c r="C937" s="110" t="str">
        <f aca="false">IF(_PENDIENTES!$B$931&lt;&gt;"",_PENDIENTES!$C$931,"")</f>
        <v/>
      </c>
      <c r="D937" s="46" t="str">
        <f aca="false">IF(_PENDIENTES!$B$931&lt;&gt;"",_PENDIENTES!$D$931,"")</f>
        <v/>
      </c>
      <c r="E937" s="112" t="str">
        <f aca="false">IF(_PENDIENTES!$B$931&lt;&gt;"",_PENDIENTES!$E$931,"")</f>
        <v/>
      </c>
      <c r="F937" s="46" t="str">
        <f aca="false">IF(_PENDIENTES!$B$931&lt;&gt;"",_PENDIENTES!$F$931,"")</f>
        <v/>
      </c>
      <c r="G937" s="44" t="str">
        <f aca="false">IF(_PENDIENTES!$B$931&lt;&gt;"",_PENDIENTES!$G$931,"")</f>
        <v/>
      </c>
      <c r="H937" s="44" t="str">
        <f aca="false">IF(_PENDIENTES!$B$931&lt;&gt;"",_PENDIENTES!$H$931,"")</f>
        <v/>
      </c>
      <c r="I937" s="110" t="str">
        <f aca="false">IF(_PENDIENTES!$B$931&lt;&gt;"",_PENDIENTES!$I$931,"")</f>
        <v/>
      </c>
      <c r="J937" s="46" t="str">
        <f aca="false">IF(_PENDIENTES!$B$931&lt;&gt;"",_PENDIENTES!$J$931,"")</f>
        <v/>
      </c>
      <c r="K937" s="46" t="str">
        <f aca="false">IF(_PENDIENTES!$B$931&lt;&gt;"","POR RECOGER","")</f>
        <v/>
      </c>
      <c r="L937" s="46" t="str">
        <f aca="false">IF(_PENDIENTES!$B$931&lt;&gt;"",_PENDIENTES!$K$931,"")</f>
        <v/>
      </c>
      <c r="M937" s="89" t="str">
        <f aca="false">IF(_PENDIENTES!$B$931&lt;&gt;"",_PENDIENTES!$B$931,"")</f>
        <v/>
      </c>
      <c r="N937" s="109" t="str">
        <f aca="false">IF(_PENDIENTES!$B$931&lt;&gt;"",_PENDIENTES!$L$931,"")</f>
        <v/>
      </c>
      <c r="O937" s="89"/>
      <c r="P937" s="89"/>
      <c r="Q937" s="89"/>
      <c r="R937" s="89"/>
      <c r="S937" s="89"/>
    </row>
    <row r="938" customFormat="false" ht="15.75" hidden="true" customHeight="true" outlineLevel="0" collapsed="false">
      <c r="A938" s="106" t="str">
        <f aca="false">IF(_PENDIENTES!$B$932&lt;&gt;"",931,"")</f>
        <v/>
      </c>
      <c r="B938" s="47" t="str">
        <f aca="false">IF(_PENDIENTES!$B$932&lt;&gt;"",_PENDIENTES!$A$932,"")</f>
        <v/>
      </c>
      <c r="C938" s="107" t="str">
        <f aca="false">IF(_PENDIENTES!$B$932&lt;&gt;"",_PENDIENTES!$C$932,"")</f>
        <v/>
      </c>
      <c r="D938" s="106" t="str">
        <f aca="false">IF(_PENDIENTES!$B$932&lt;&gt;"",_PENDIENTES!$D$932,"")</f>
        <v/>
      </c>
      <c r="E938" s="111" t="str">
        <f aca="false">IF(_PENDIENTES!$B$932&lt;&gt;"",_PENDIENTES!$E$932,"")</f>
        <v/>
      </c>
      <c r="F938" s="106" t="str">
        <f aca="false">IF(_PENDIENTES!$B$932&lt;&gt;"",_PENDIENTES!$F$932,"")</f>
        <v/>
      </c>
      <c r="G938" s="50" t="str">
        <f aca="false">IF(_PENDIENTES!$B$932&lt;&gt;"",_PENDIENTES!$G$932,"")</f>
        <v/>
      </c>
      <c r="H938" s="50" t="str">
        <f aca="false">IF(_PENDIENTES!$B$932&lt;&gt;"",_PENDIENTES!$H$932,"")</f>
        <v/>
      </c>
      <c r="I938" s="107" t="str">
        <f aca="false">IF(_PENDIENTES!$B$932&lt;&gt;"",_PENDIENTES!$I$932,"")</f>
        <v/>
      </c>
      <c r="J938" s="106" t="str">
        <f aca="false">IF(_PENDIENTES!$B$932&lt;&gt;"",_PENDIENTES!$J$932,"")</f>
        <v/>
      </c>
      <c r="K938" s="106" t="str">
        <f aca="false">IF(_PENDIENTES!$B$932&lt;&gt;"","POR RECOGER","")</f>
        <v/>
      </c>
      <c r="L938" s="106" t="str">
        <f aca="false">IF(_PENDIENTES!$B$932&lt;&gt;"",_PENDIENTES!$K$932,"")</f>
        <v/>
      </c>
      <c r="M938" s="89" t="str">
        <f aca="false">IF(_PENDIENTES!$B$932&lt;&gt;"",_PENDIENTES!$B$932,"")</f>
        <v/>
      </c>
      <c r="N938" s="109" t="str">
        <f aca="false">IF(_PENDIENTES!$B$932&lt;&gt;"",_PENDIENTES!$L$932,"")</f>
        <v/>
      </c>
      <c r="O938" s="89"/>
      <c r="P938" s="89"/>
      <c r="Q938" s="89"/>
      <c r="R938" s="89"/>
      <c r="S938" s="89"/>
    </row>
    <row r="939" customFormat="false" ht="15.75" hidden="true" customHeight="true" outlineLevel="0" collapsed="false">
      <c r="A939" s="46" t="str">
        <f aca="false">IF(_PENDIENTES!$B$933&lt;&gt;"",932,"")</f>
        <v/>
      </c>
      <c r="B939" s="41" t="str">
        <f aca="false">IF(_PENDIENTES!$B$933&lt;&gt;"",_PENDIENTES!$A$933,"")</f>
        <v/>
      </c>
      <c r="C939" s="110" t="str">
        <f aca="false">IF(_PENDIENTES!$B$933&lt;&gt;"",_PENDIENTES!$C$933,"")</f>
        <v/>
      </c>
      <c r="D939" s="46" t="str">
        <f aca="false">IF(_PENDIENTES!$B$933&lt;&gt;"",_PENDIENTES!$D$933,"")</f>
        <v/>
      </c>
      <c r="E939" s="112" t="str">
        <f aca="false">IF(_PENDIENTES!$B$933&lt;&gt;"",_PENDIENTES!$E$933,"")</f>
        <v/>
      </c>
      <c r="F939" s="46" t="str">
        <f aca="false">IF(_PENDIENTES!$B$933&lt;&gt;"",_PENDIENTES!$F$933,"")</f>
        <v/>
      </c>
      <c r="G939" s="44" t="str">
        <f aca="false">IF(_PENDIENTES!$B$933&lt;&gt;"",_PENDIENTES!$G$933,"")</f>
        <v/>
      </c>
      <c r="H939" s="44" t="str">
        <f aca="false">IF(_PENDIENTES!$B$933&lt;&gt;"",_PENDIENTES!$H$933,"")</f>
        <v/>
      </c>
      <c r="I939" s="110" t="str">
        <f aca="false">IF(_PENDIENTES!$B$933&lt;&gt;"",_PENDIENTES!$I$933,"")</f>
        <v/>
      </c>
      <c r="J939" s="46" t="str">
        <f aca="false">IF(_PENDIENTES!$B$933&lt;&gt;"",_PENDIENTES!$J$933,"")</f>
        <v/>
      </c>
      <c r="K939" s="46" t="str">
        <f aca="false">IF(_PENDIENTES!$B$933&lt;&gt;"","POR RECOGER","")</f>
        <v/>
      </c>
      <c r="L939" s="46" t="str">
        <f aca="false">IF(_PENDIENTES!$B$933&lt;&gt;"",_PENDIENTES!$K$933,"")</f>
        <v/>
      </c>
      <c r="M939" s="89" t="str">
        <f aca="false">IF(_PENDIENTES!$B$933&lt;&gt;"",_PENDIENTES!$B$933,"")</f>
        <v/>
      </c>
      <c r="N939" s="109" t="str">
        <f aca="false">IF(_PENDIENTES!$B$933&lt;&gt;"",_PENDIENTES!$L$933,"")</f>
        <v/>
      </c>
      <c r="O939" s="89"/>
      <c r="P939" s="89"/>
      <c r="Q939" s="89"/>
      <c r="R939" s="89"/>
      <c r="S939" s="89"/>
    </row>
    <row r="940" customFormat="false" ht="15.75" hidden="true" customHeight="true" outlineLevel="0" collapsed="false">
      <c r="A940" s="106" t="str">
        <f aca="false">IF(_PENDIENTES!$B$934&lt;&gt;"",933,"")</f>
        <v/>
      </c>
      <c r="B940" s="47" t="str">
        <f aca="false">IF(_PENDIENTES!$B$934&lt;&gt;"",_PENDIENTES!$A$934,"")</f>
        <v/>
      </c>
      <c r="C940" s="107" t="str">
        <f aca="false">IF(_PENDIENTES!$B$934&lt;&gt;"",_PENDIENTES!$C$934,"")</f>
        <v/>
      </c>
      <c r="D940" s="106" t="str">
        <f aca="false">IF(_PENDIENTES!$B$934&lt;&gt;"",_PENDIENTES!$D$934,"")</f>
        <v/>
      </c>
      <c r="E940" s="111" t="str">
        <f aca="false">IF(_PENDIENTES!$B$934&lt;&gt;"",_PENDIENTES!$E$934,"")</f>
        <v/>
      </c>
      <c r="F940" s="106" t="str">
        <f aca="false">IF(_PENDIENTES!$B$934&lt;&gt;"",_PENDIENTES!$F$934,"")</f>
        <v/>
      </c>
      <c r="G940" s="50" t="str">
        <f aca="false">IF(_PENDIENTES!$B$934&lt;&gt;"",_PENDIENTES!$G$934,"")</f>
        <v/>
      </c>
      <c r="H940" s="50" t="str">
        <f aca="false">IF(_PENDIENTES!$B$934&lt;&gt;"",_PENDIENTES!$H$934,"")</f>
        <v/>
      </c>
      <c r="I940" s="107" t="str">
        <f aca="false">IF(_PENDIENTES!$B$934&lt;&gt;"",_PENDIENTES!$I$934,"")</f>
        <v/>
      </c>
      <c r="J940" s="106" t="str">
        <f aca="false">IF(_PENDIENTES!$B$934&lt;&gt;"",_PENDIENTES!$J$934,"")</f>
        <v/>
      </c>
      <c r="K940" s="106" t="str">
        <f aca="false">IF(_PENDIENTES!$B$934&lt;&gt;"","POR RECOGER","")</f>
        <v/>
      </c>
      <c r="L940" s="106" t="str">
        <f aca="false">IF(_PENDIENTES!$B$934&lt;&gt;"",_PENDIENTES!$K$934,"")</f>
        <v/>
      </c>
      <c r="M940" s="89" t="str">
        <f aca="false">IF(_PENDIENTES!$B$934&lt;&gt;"",_PENDIENTES!$B$934,"")</f>
        <v/>
      </c>
      <c r="N940" s="109" t="str">
        <f aca="false">IF(_PENDIENTES!$B$934&lt;&gt;"",_PENDIENTES!$L$934,"")</f>
        <v/>
      </c>
      <c r="O940" s="89"/>
      <c r="P940" s="89"/>
      <c r="Q940" s="89"/>
      <c r="R940" s="89"/>
      <c r="S940" s="89"/>
    </row>
    <row r="941" customFormat="false" ht="15.75" hidden="true" customHeight="true" outlineLevel="0" collapsed="false">
      <c r="A941" s="46" t="str">
        <f aca="false">IF(_PENDIENTES!$B$935&lt;&gt;"",934,"")</f>
        <v/>
      </c>
      <c r="B941" s="41" t="str">
        <f aca="false">IF(_PENDIENTES!$B$935&lt;&gt;"",_PENDIENTES!$A$935,"")</f>
        <v/>
      </c>
      <c r="C941" s="110" t="str">
        <f aca="false">IF(_PENDIENTES!$B$935&lt;&gt;"",_PENDIENTES!$C$935,"")</f>
        <v/>
      </c>
      <c r="D941" s="46" t="str">
        <f aca="false">IF(_PENDIENTES!$B$935&lt;&gt;"",_PENDIENTES!$D$935,"")</f>
        <v/>
      </c>
      <c r="E941" s="112" t="str">
        <f aca="false">IF(_PENDIENTES!$B$935&lt;&gt;"",_PENDIENTES!$E$935,"")</f>
        <v/>
      </c>
      <c r="F941" s="46" t="str">
        <f aca="false">IF(_PENDIENTES!$B$935&lt;&gt;"",_PENDIENTES!$F$935,"")</f>
        <v/>
      </c>
      <c r="G941" s="44" t="str">
        <f aca="false">IF(_PENDIENTES!$B$935&lt;&gt;"",_PENDIENTES!$G$935,"")</f>
        <v/>
      </c>
      <c r="H941" s="44" t="str">
        <f aca="false">IF(_PENDIENTES!$B$935&lt;&gt;"",_PENDIENTES!$H$935,"")</f>
        <v/>
      </c>
      <c r="I941" s="110" t="str">
        <f aca="false">IF(_PENDIENTES!$B$935&lt;&gt;"",_PENDIENTES!$I$935,"")</f>
        <v/>
      </c>
      <c r="J941" s="46" t="str">
        <f aca="false">IF(_PENDIENTES!$B$935&lt;&gt;"",_PENDIENTES!$J$935,"")</f>
        <v/>
      </c>
      <c r="K941" s="46" t="str">
        <f aca="false">IF(_PENDIENTES!$B$935&lt;&gt;"","POR RECOGER","")</f>
        <v/>
      </c>
      <c r="L941" s="46" t="str">
        <f aca="false">IF(_PENDIENTES!$B$935&lt;&gt;"",_PENDIENTES!$K$935,"")</f>
        <v/>
      </c>
      <c r="M941" s="89" t="str">
        <f aca="false">IF(_PENDIENTES!$B$935&lt;&gt;"",_PENDIENTES!$B$935,"")</f>
        <v/>
      </c>
      <c r="N941" s="109" t="str">
        <f aca="false">IF(_PENDIENTES!$B$935&lt;&gt;"",_PENDIENTES!$L$935,"")</f>
        <v/>
      </c>
      <c r="O941" s="89"/>
      <c r="P941" s="89"/>
      <c r="Q941" s="89"/>
      <c r="R941" s="89"/>
      <c r="S941" s="89"/>
    </row>
    <row r="942" customFormat="false" ht="15.75" hidden="true" customHeight="true" outlineLevel="0" collapsed="false">
      <c r="A942" s="106" t="str">
        <f aca="false">IF(_PENDIENTES!$B$936&lt;&gt;"",935,"")</f>
        <v/>
      </c>
      <c r="B942" s="47" t="str">
        <f aca="false">IF(_PENDIENTES!$B$936&lt;&gt;"",_PENDIENTES!$A$936,"")</f>
        <v/>
      </c>
      <c r="C942" s="107" t="str">
        <f aca="false">IF(_PENDIENTES!$B$936&lt;&gt;"",_PENDIENTES!$C$936,"")</f>
        <v/>
      </c>
      <c r="D942" s="106" t="str">
        <f aca="false">IF(_PENDIENTES!$B$936&lt;&gt;"",_PENDIENTES!$D$936,"")</f>
        <v/>
      </c>
      <c r="E942" s="111" t="str">
        <f aca="false">IF(_PENDIENTES!$B$936&lt;&gt;"",_PENDIENTES!$E$936,"")</f>
        <v/>
      </c>
      <c r="F942" s="106" t="str">
        <f aca="false">IF(_PENDIENTES!$B$936&lt;&gt;"",_PENDIENTES!$F$936,"")</f>
        <v/>
      </c>
      <c r="G942" s="50" t="str">
        <f aca="false">IF(_PENDIENTES!$B$936&lt;&gt;"",_PENDIENTES!$G$936,"")</f>
        <v/>
      </c>
      <c r="H942" s="50" t="str">
        <f aca="false">IF(_PENDIENTES!$B$936&lt;&gt;"",_PENDIENTES!$H$936,"")</f>
        <v/>
      </c>
      <c r="I942" s="107" t="str">
        <f aca="false">IF(_PENDIENTES!$B$936&lt;&gt;"",_PENDIENTES!$I$936,"")</f>
        <v/>
      </c>
      <c r="J942" s="106" t="str">
        <f aca="false">IF(_PENDIENTES!$B$936&lt;&gt;"",_PENDIENTES!$J$936,"")</f>
        <v/>
      </c>
      <c r="K942" s="106" t="str">
        <f aca="false">IF(_PENDIENTES!$B$936&lt;&gt;"","POR RECOGER","")</f>
        <v/>
      </c>
      <c r="L942" s="106" t="str">
        <f aca="false">IF(_PENDIENTES!$B$936&lt;&gt;"",_PENDIENTES!$K$936,"")</f>
        <v/>
      </c>
      <c r="M942" s="89" t="str">
        <f aca="false">IF(_PENDIENTES!$B$936&lt;&gt;"",_PENDIENTES!$B$936,"")</f>
        <v/>
      </c>
      <c r="N942" s="109" t="str">
        <f aca="false">IF(_PENDIENTES!$B$936&lt;&gt;"",_PENDIENTES!$L$936,"")</f>
        <v/>
      </c>
      <c r="O942" s="89"/>
      <c r="P942" s="89"/>
      <c r="Q942" s="89"/>
      <c r="R942" s="89"/>
      <c r="S942" s="89"/>
    </row>
    <row r="943" customFormat="false" ht="15.75" hidden="true" customHeight="true" outlineLevel="0" collapsed="false">
      <c r="A943" s="46" t="str">
        <f aca="false">IF(_PENDIENTES!$B$937&lt;&gt;"",936,"")</f>
        <v/>
      </c>
      <c r="B943" s="41" t="str">
        <f aca="false">IF(_PENDIENTES!$B$937&lt;&gt;"",_PENDIENTES!$A$937,"")</f>
        <v/>
      </c>
      <c r="C943" s="110" t="str">
        <f aca="false">IF(_PENDIENTES!$B$937&lt;&gt;"",_PENDIENTES!$C$937,"")</f>
        <v/>
      </c>
      <c r="D943" s="46" t="str">
        <f aca="false">IF(_PENDIENTES!$B$937&lt;&gt;"",_PENDIENTES!$D$937,"")</f>
        <v/>
      </c>
      <c r="E943" s="112" t="str">
        <f aca="false">IF(_PENDIENTES!$B$937&lt;&gt;"",_PENDIENTES!$E$937,"")</f>
        <v/>
      </c>
      <c r="F943" s="46" t="str">
        <f aca="false">IF(_PENDIENTES!$B$937&lt;&gt;"",_PENDIENTES!$F$937,"")</f>
        <v/>
      </c>
      <c r="G943" s="44" t="str">
        <f aca="false">IF(_PENDIENTES!$B$937&lt;&gt;"",_PENDIENTES!$G$937,"")</f>
        <v/>
      </c>
      <c r="H943" s="44" t="str">
        <f aca="false">IF(_PENDIENTES!$B$937&lt;&gt;"",_PENDIENTES!$H$937,"")</f>
        <v/>
      </c>
      <c r="I943" s="110" t="str">
        <f aca="false">IF(_PENDIENTES!$B$937&lt;&gt;"",_PENDIENTES!$I$937,"")</f>
        <v/>
      </c>
      <c r="J943" s="46" t="str">
        <f aca="false">IF(_PENDIENTES!$B$937&lt;&gt;"",_PENDIENTES!$J$937,"")</f>
        <v/>
      </c>
      <c r="K943" s="46" t="str">
        <f aca="false">IF(_PENDIENTES!$B$937&lt;&gt;"","POR RECOGER","")</f>
        <v/>
      </c>
      <c r="L943" s="46" t="str">
        <f aca="false">IF(_PENDIENTES!$B$937&lt;&gt;"",_PENDIENTES!$K$937,"")</f>
        <v/>
      </c>
      <c r="M943" s="89" t="str">
        <f aca="false">IF(_PENDIENTES!$B$937&lt;&gt;"",_PENDIENTES!$B$937,"")</f>
        <v/>
      </c>
      <c r="N943" s="109" t="str">
        <f aca="false">IF(_PENDIENTES!$B$937&lt;&gt;"",_PENDIENTES!$L$937,"")</f>
        <v/>
      </c>
      <c r="O943" s="89"/>
      <c r="P943" s="89"/>
      <c r="Q943" s="89"/>
      <c r="R943" s="89"/>
      <c r="S943" s="89"/>
    </row>
    <row r="944" customFormat="false" ht="15.75" hidden="true" customHeight="true" outlineLevel="0" collapsed="false">
      <c r="A944" s="106" t="str">
        <f aca="false">IF(_PENDIENTES!$B$938&lt;&gt;"",937,"")</f>
        <v/>
      </c>
      <c r="B944" s="47" t="str">
        <f aca="false">IF(_PENDIENTES!$B$938&lt;&gt;"",_PENDIENTES!$A$938,"")</f>
        <v/>
      </c>
      <c r="C944" s="107" t="str">
        <f aca="false">IF(_PENDIENTES!$B$938&lt;&gt;"",_PENDIENTES!$C$938,"")</f>
        <v/>
      </c>
      <c r="D944" s="106" t="str">
        <f aca="false">IF(_PENDIENTES!$B$938&lt;&gt;"",_PENDIENTES!$D$938,"")</f>
        <v/>
      </c>
      <c r="E944" s="111" t="str">
        <f aca="false">IF(_PENDIENTES!$B$938&lt;&gt;"",_PENDIENTES!$E$938,"")</f>
        <v/>
      </c>
      <c r="F944" s="106" t="str">
        <f aca="false">IF(_PENDIENTES!$B$938&lt;&gt;"",_PENDIENTES!$F$938,"")</f>
        <v/>
      </c>
      <c r="G944" s="50" t="str">
        <f aca="false">IF(_PENDIENTES!$B$938&lt;&gt;"",_PENDIENTES!$G$938,"")</f>
        <v/>
      </c>
      <c r="H944" s="50" t="str">
        <f aca="false">IF(_PENDIENTES!$B$938&lt;&gt;"",_PENDIENTES!$H$938,"")</f>
        <v/>
      </c>
      <c r="I944" s="107" t="str">
        <f aca="false">IF(_PENDIENTES!$B$938&lt;&gt;"",_PENDIENTES!$I$938,"")</f>
        <v/>
      </c>
      <c r="J944" s="106" t="str">
        <f aca="false">IF(_PENDIENTES!$B$938&lt;&gt;"",_PENDIENTES!$J$938,"")</f>
        <v/>
      </c>
      <c r="K944" s="106" t="str">
        <f aca="false">IF(_PENDIENTES!$B$938&lt;&gt;"","POR RECOGER","")</f>
        <v/>
      </c>
      <c r="L944" s="106" t="str">
        <f aca="false">IF(_PENDIENTES!$B$938&lt;&gt;"",_PENDIENTES!$K$938,"")</f>
        <v/>
      </c>
      <c r="M944" s="89" t="str">
        <f aca="false">IF(_PENDIENTES!$B$938&lt;&gt;"",_PENDIENTES!$B$938,"")</f>
        <v/>
      </c>
      <c r="N944" s="109" t="str">
        <f aca="false">IF(_PENDIENTES!$B$938&lt;&gt;"",_PENDIENTES!$L$938,"")</f>
        <v/>
      </c>
      <c r="O944" s="89"/>
      <c r="P944" s="89"/>
      <c r="Q944" s="89"/>
      <c r="R944" s="89"/>
      <c r="S944" s="89"/>
    </row>
    <row r="945" customFormat="false" ht="15.75" hidden="true" customHeight="true" outlineLevel="0" collapsed="false">
      <c r="A945" s="46" t="str">
        <f aca="false">IF(_PENDIENTES!$B$939&lt;&gt;"",938,"")</f>
        <v/>
      </c>
      <c r="B945" s="41" t="str">
        <f aca="false">IF(_PENDIENTES!$B$939&lt;&gt;"",_PENDIENTES!$A$939,"")</f>
        <v/>
      </c>
      <c r="C945" s="110" t="str">
        <f aca="false">IF(_PENDIENTES!$B$939&lt;&gt;"",_PENDIENTES!$C$939,"")</f>
        <v/>
      </c>
      <c r="D945" s="46" t="str">
        <f aca="false">IF(_PENDIENTES!$B$939&lt;&gt;"",_PENDIENTES!$D$939,"")</f>
        <v/>
      </c>
      <c r="E945" s="112" t="str">
        <f aca="false">IF(_PENDIENTES!$B$939&lt;&gt;"",_PENDIENTES!$E$939,"")</f>
        <v/>
      </c>
      <c r="F945" s="46" t="str">
        <f aca="false">IF(_PENDIENTES!$B$939&lt;&gt;"",_PENDIENTES!$F$939,"")</f>
        <v/>
      </c>
      <c r="G945" s="44" t="str">
        <f aca="false">IF(_PENDIENTES!$B$939&lt;&gt;"",_PENDIENTES!$G$939,"")</f>
        <v/>
      </c>
      <c r="H945" s="44" t="str">
        <f aca="false">IF(_PENDIENTES!$B$939&lt;&gt;"",_PENDIENTES!$H$939,"")</f>
        <v/>
      </c>
      <c r="I945" s="110" t="str">
        <f aca="false">IF(_PENDIENTES!$B$939&lt;&gt;"",_PENDIENTES!$I$939,"")</f>
        <v/>
      </c>
      <c r="J945" s="46" t="str">
        <f aca="false">IF(_PENDIENTES!$B$939&lt;&gt;"",_PENDIENTES!$J$939,"")</f>
        <v/>
      </c>
      <c r="K945" s="46" t="str">
        <f aca="false">IF(_PENDIENTES!$B$939&lt;&gt;"","POR RECOGER","")</f>
        <v/>
      </c>
      <c r="L945" s="46" t="str">
        <f aca="false">IF(_PENDIENTES!$B$939&lt;&gt;"",_PENDIENTES!$K$939,"")</f>
        <v/>
      </c>
      <c r="M945" s="89" t="str">
        <f aca="false">IF(_PENDIENTES!$B$939&lt;&gt;"",_PENDIENTES!$B$939,"")</f>
        <v/>
      </c>
      <c r="N945" s="109" t="str">
        <f aca="false">IF(_PENDIENTES!$B$939&lt;&gt;"",_PENDIENTES!$L$939,"")</f>
        <v/>
      </c>
      <c r="O945" s="89"/>
      <c r="P945" s="89"/>
      <c r="Q945" s="89"/>
      <c r="R945" s="89"/>
      <c r="S945" s="89"/>
    </row>
    <row r="946" customFormat="false" ht="15.75" hidden="true" customHeight="true" outlineLevel="0" collapsed="false">
      <c r="A946" s="106" t="str">
        <f aca="false">IF(_PENDIENTES!$B$940&lt;&gt;"",939,"")</f>
        <v/>
      </c>
      <c r="B946" s="47" t="str">
        <f aca="false">IF(_PENDIENTES!$B$940&lt;&gt;"",_PENDIENTES!$A$940,"")</f>
        <v/>
      </c>
      <c r="C946" s="107" t="str">
        <f aca="false">IF(_PENDIENTES!$B$940&lt;&gt;"",_PENDIENTES!$C$940,"")</f>
        <v/>
      </c>
      <c r="D946" s="106" t="str">
        <f aca="false">IF(_PENDIENTES!$B$940&lt;&gt;"",_PENDIENTES!$D$940,"")</f>
        <v/>
      </c>
      <c r="E946" s="111" t="str">
        <f aca="false">IF(_PENDIENTES!$B$940&lt;&gt;"",_PENDIENTES!$E$940,"")</f>
        <v/>
      </c>
      <c r="F946" s="106" t="str">
        <f aca="false">IF(_PENDIENTES!$B$940&lt;&gt;"",_PENDIENTES!$F$940,"")</f>
        <v/>
      </c>
      <c r="G946" s="50" t="str">
        <f aca="false">IF(_PENDIENTES!$B$940&lt;&gt;"",_PENDIENTES!$G$940,"")</f>
        <v/>
      </c>
      <c r="H946" s="50" t="str">
        <f aca="false">IF(_PENDIENTES!$B$940&lt;&gt;"",_PENDIENTES!$H$940,"")</f>
        <v/>
      </c>
      <c r="I946" s="107" t="str">
        <f aca="false">IF(_PENDIENTES!$B$940&lt;&gt;"",_PENDIENTES!$I$940,"")</f>
        <v/>
      </c>
      <c r="J946" s="106" t="str">
        <f aca="false">IF(_PENDIENTES!$B$940&lt;&gt;"",_PENDIENTES!$J$940,"")</f>
        <v/>
      </c>
      <c r="K946" s="106" t="str">
        <f aca="false">IF(_PENDIENTES!$B$940&lt;&gt;"","POR RECOGER","")</f>
        <v/>
      </c>
      <c r="L946" s="106" t="str">
        <f aca="false">IF(_PENDIENTES!$B$940&lt;&gt;"",_PENDIENTES!$K$940,"")</f>
        <v/>
      </c>
      <c r="M946" s="89" t="str">
        <f aca="false">IF(_PENDIENTES!$B$940&lt;&gt;"",_PENDIENTES!$B$940,"")</f>
        <v/>
      </c>
      <c r="N946" s="109" t="str">
        <f aca="false">IF(_PENDIENTES!$B$940&lt;&gt;"",_PENDIENTES!$L$940,"")</f>
        <v/>
      </c>
      <c r="O946" s="89"/>
      <c r="P946" s="89"/>
      <c r="Q946" s="89"/>
      <c r="R946" s="89"/>
      <c r="S946" s="89"/>
    </row>
    <row r="947" customFormat="false" ht="15.75" hidden="true" customHeight="true" outlineLevel="0" collapsed="false">
      <c r="A947" s="46" t="str">
        <f aca="false">IF(_PENDIENTES!$B$941&lt;&gt;"",940,"")</f>
        <v/>
      </c>
      <c r="B947" s="41" t="str">
        <f aca="false">IF(_PENDIENTES!$B$941&lt;&gt;"",_PENDIENTES!$A$941,"")</f>
        <v/>
      </c>
      <c r="C947" s="110" t="str">
        <f aca="false">IF(_PENDIENTES!$B$941&lt;&gt;"",_PENDIENTES!$C$941,"")</f>
        <v/>
      </c>
      <c r="D947" s="46" t="str">
        <f aca="false">IF(_PENDIENTES!$B$941&lt;&gt;"",_PENDIENTES!$D$941,"")</f>
        <v/>
      </c>
      <c r="E947" s="112" t="str">
        <f aca="false">IF(_PENDIENTES!$B$941&lt;&gt;"",_PENDIENTES!$E$941,"")</f>
        <v/>
      </c>
      <c r="F947" s="46" t="str">
        <f aca="false">IF(_PENDIENTES!$B$941&lt;&gt;"",_PENDIENTES!$F$941,"")</f>
        <v/>
      </c>
      <c r="G947" s="44" t="str">
        <f aca="false">IF(_PENDIENTES!$B$941&lt;&gt;"",_PENDIENTES!$G$941,"")</f>
        <v/>
      </c>
      <c r="H947" s="44" t="str">
        <f aca="false">IF(_PENDIENTES!$B$941&lt;&gt;"",_PENDIENTES!$H$941,"")</f>
        <v/>
      </c>
      <c r="I947" s="110" t="str">
        <f aca="false">IF(_PENDIENTES!$B$941&lt;&gt;"",_PENDIENTES!$I$941,"")</f>
        <v/>
      </c>
      <c r="J947" s="46" t="str">
        <f aca="false">IF(_PENDIENTES!$B$941&lt;&gt;"",_PENDIENTES!$J$941,"")</f>
        <v/>
      </c>
      <c r="K947" s="46" t="str">
        <f aca="false">IF(_PENDIENTES!$B$941&lt;&gt;"","POR RECOGER","")</f>
        <v/>
      </c>
      <c r="L947" s="46" t="str">
        <f aca="false">IF(_PENDIENTES!$B$941&lt;&gt;"",_PENDIENTES!$K$941,"")</f>
        <v/>
      </c>
      <c r="M947" s="89" t="str">
        <f aca="false">IF(_PENDIENTES!$B$941&lt;&gt;"",_PENDIENTES!$B$941,"")</f>
        <v/>
      </c>
      <c r="N947" s="109" t="str">
        <f aca="false">IF(_PENDIENTES!$B$941&lt;&gt;"",_PENDIENTES!$L$941,"")</f>
        <v/>
      </c>
      <c r="O947" s="89"/>
      <c r="P947" s="89"/>
      <c r="Q947" s="89"/>
      <c r="R947" s="89"/>
      <c r="S947" s="89"/>
    </row>
    <row r="948" customFormat="false" ht="15.75" hidden="true" customHeight="true" outlineLevel="0" collapsed="false">
      <c r="A948" s="106" t="str">
        <f aca="false">IF(_PENDIENTES!$B$942&lt;&gt;"",941,"")</f>
        <v/>
      </c>
      <c r="B948" s="47" t="str">
        <f aca="false">IF(_PENDIENTES!$B$942&lt;&gt;"",_PENDIENTES!$A$942,"")</f>
        <v/>
      </c>
      <c r="C948" s="107" t="str">
        <f aca="false">IF(_PENDIENTES!$B$942&lt;&gt;"",_PENDIENTES!$C$942,"")</f>
        <v/>
      </c>
      <c r="D948" s="106" t="str">
        <f aca="false">IF(_PENDIENTES!$B$942&lt;&gt;"",_PENDIENTES!$D$942,"")</f>
        <v/>
      </c>
      <c r="E948" s="111" t="str">
        <f aca="false">IF(_PENDIENTES!$B$942&lt;&gt;"",_PENDIENTES!$E$942,"")</f>
        <v/>
      </c>
      <c r="F948" s="106" t="str">
        <f aca="false">IF(_PENDIENTES!$B$942&lt;&gt;"",_PENDIENTES!$F$942,"")</f>
        <v/>
      </c>
      <c r="G948" s="50" t="str">
        <f aca="false">IF(_PENDIENTES!$B$942&lt;&gt;"",_PENDIENTES!$G$942,"")</f>
        <v/>
      </c>
      <c r="H948" s="50" t="str">
        <f aca="false">IF(_PENDIENTES!$B$942&lt;&gt;"",_PENDIENTES!$H$942,"")</f>
        <v/>
      </c>
      <c r="I948" s="107" t="str">
        <f aca="false">IF(_PENDIENTES!$B$942&lt;&gt;"",_PENDIENTES!$I$942,"")</f>
        <v/>
      </c>
      <c r="J948" s="106" t="str">
        <f aca="false">IF(_PENDIENTES!$B$942&lt;&gt;"",_PENDIENTES!$J$942,"")</f>
        <v/>
      </c>
      <c r="K948" s="106" t="str">
        <f aca="false">IF(_PENDIENTES!$B$942&lt;&gt;"","POR RECOGER","")</f>
        <v/>
      </c>
      <c r="L948" s="106" t="str">
        <f aca="false">IF(_PENDIENTES!$B$942&lt;&gt;"",_PENDIENTES!$K$942,"")</f>
        <v/>
      </c>
      <c r="M948" s="89" t="str">
        <f aca="false">IF(_PENDIENTES!$B$942&lt;&gt;"",_PENDIENTES!$B$942,"")</f>
        <v/>
      </c>
      <c r="N948" s="109" t="str">
        <f aca="false">IF(_PENDIENTES!$B$942&lt;&gt;"",_PENDIENTES!$L$942,"")</f>
        <v/>
      </c>
      <c r="O948" s="89"/>
      <c r="P948" s="89"/>
      <c r="Q948" s="89"/>
      <c r="R948" s="89"/>
      <c r="S948" s="89"/>
    </row>
    <row r="949" customFormat="false" ht="15.75" hidden="true" customHeight="true" outlineLevel="0" collapsed="false">
      <c r="A949" s="46" t="str">
        <f aca="false">IF(_PENDIENTES!$B$943&lt;&gt;"",942,"")</f>
        <v/>
      </c>
      <c r="B949" s="41" t="str">
        <f aca="false">IF(_PENDIENTES!$B$943&lt;&gt;"",_PENDIENTES!$A$943,"")</f>
        <v/>
      </c>
      <c r="C949" s="110" t="str">
        <f aca="false">IF(_PENDIENTES!$B$943&lt;&gt;"",_PENDIENTES!$C$943,"")</f>
        <v/>
      </c>
      <c r="D949" s="46" t="str">
        <f aca="false">IF(_PENDIENTES!$B$943&lt;&gt;"",_PENDIENTES!$D$943,"")</f>
        <v/>
      </c>
      <c r="E949" s="112" t="str">
        <f aca="false">IF(_PENDIENTES!$B$943&lt;&gt;"",_PENDIENTES!$E$943,"")</f>
        <v/>
      </c>
      <c r="F949" s="46" t="str">
        <f aca="false">IF(_PENDIENTES!$B$943&lt;&gt;"",_PENDIENTES!$F$943,"")</f>
        <v/>
      </c>
      <c r="G949" s="44" t="str">
        <f aca="false">IF(_PENDIENTES!$B$943&lt;&gt;"",_PENDIENTES!$G$943,"")</f>
        <v/>
      </c>
      <c r="H949" s="44" t="str">
        <f aca="false">IF(_PENDIENTES!$B$943&lt;&gt;"",_PENDIENTES!$H$943,"")</f>
        <v/>
      </c>
      <c r="I949" s="110" t="str">
        <f aca="false">IF(_PENDIENTES!$B$943&lt;&gt;"",_PENDIENTES!$I$943,"")</f>
        <v/>
      </c>
      <c r="J949" s="46" t="str">
        <f aca="false">IF(_PENDIENTES!$B$943&lt;&gt;"",_PENDIENTES!$J$943,"")</f>
        <v/>
      </c>
      <c r="K949" s="46" t="str">
        <f aca="false">IF(_PENDIENTES!$B$943&lt;&gt;"","POR RECOGER","")</f>
        <v/>
      </c>
      <c r="L949" s="46" t="str">
        <f aca="false">IF(_PENDIENTES!$B$943&lt;&gt;"",_PENDIENTES!$K$943,"")</f>
        <v/>
      </c>
      <c r="M949" s="89" t="str">
        <f aca="false">IF(_PENDIENTES!$B$943&lt;&gt;"",_PENDIENTES!$B$943,"")</f>
        <v/>
      </c>
      <c r="N949" s="109" t="str">
        <f aca="false">IF(_PENDIENTES!$B$943&lt;&gt;"",_PENDIENTES!$L$943,"")</f>
        <v/>
      </c>
      <c r="O949" s="89"/>
      <c r="P949" s="89"/>
      <c r="Q949" s="89"/>
      <c r="R949" s="89"/>
      <c r="S949" s="89"/>
    </row>
    <row r="950" customFormat="false" ht="15.75" hidden="true" customHeight="true" outlineLevel="0" collapsed="false">
      <c r="A950" s="106" t="str">
        <f aca="false">IF(_PENDIENTES!$B$944&lt;&gt;"",943,"")</f>
        <v/>
      </c>
      <c r="B950" s="47" t="str">
        <f aca="false">IF(_PENDIENTES!$B$944&lt;&gt;"",_PENDIENTES!$A$944,"")</f>
        <v/>
      </c>
      <c r="C950" s="107" t="str">
        <f aca="false">IF(_PENDIENTES!$B$944&lt;&gt;"",_PENDIENTES!$C$944,"")</f>
        <v/>
      </c>
      <c r="D950" s="106" t="str">
        <f aca="false">IF(_PENDIENTES!$B$944&lt;&gt;"",_PENDIENTES!$D$944,"")</f>
        <v/>
      </c>
      <c r="E950" s="111" t="str">
        <f aca="false">IF(_PENDIENTES!$B$944&lt;&gt;"",_PENDIENTES!$E$944,"")</f>
        <v/>
      </c>
      <c r="F950" s="106" t="str">
        <f aca="false">IF(_PENDIENTES!$B$944&lt;&gt;"",_PENDIENTES!$F$944,"")</f>
        <v/>
      </c>
      <c r="G950" s="50" t="str">
        <f aca="false">IF(_PENDIENTES!$B$944&lt;&gt;"",_PENDIENTES!$G$944,"")</f>
        <v/>
      </c>
      <c r="H950" s="50" t="str">
        <f aca="false">IF(_PENDIENTES!$B$944&lt;&gt;"",_PENDIENTES!$H$944,"")</f>
        <v/>
      </c>
      <c r="I950" s="107" t="str">
        <f aca="false">IF(_PENDIENTES!$B$944&lt;&gt;"",_PENDIENTES!$I$944,"")</f>
        <v/>
      </c>
      <c r="J950" s="106" t="str">
        <f aca="false">IF(_PENDIENTES!$B$944&lt;&gt;"",_PENDIENTES!$J$944,"")</f>
        <v/>
      </c>
      <c r="K950" s="106" t="str">
        <f aca="false">IF(_PENDIENTES!$B$944&lt;&gt;"","POR RECOGER","")</f>
        <v/>
      </c>
      <c r="L950" s="106" t="str">
        <f aca="false">IF(_PENDIENTES!$B$944&lt;&gt;"",_PENDIENTES!$K$944,"")</f>
        <v/>
      </c>
      <c r="M950" s="89" t="str">
        <f aca="false">IF(_PENDIENTES!$B$944&lt;&gt;"",_PENDIENTES!$B$944,"")</f>
        <v/>
      </c>
      <c r="N950" s="109" t="str">
        <f aca="false">IF(_PENDIENTES!$B$944&lt;&gt;"",_PENDIENTES!$L$944,"")</f>
        <v/>
      </c>
      <c r="O950" s="89"/>
      <c r="P950" s="89"/>
      <c r="Q950" s="89"/>
      <c r="R950" s="89"/>
      <c r="S950" s="89"/>
    </row>
    <row r="951" customFormat="false" ht="15.75" hidden="true" customHeight="true" outlineLevel="0" collapsed="false">
      <c r="A951" s="46" t="str">
        <f aca="false">IF(_PENDIENTES!$B$945&lt;&gt;"",944,"")</f>
        <v/>
      </c>
      <c r="B951" s="41" t="str">
        <f aca="false">IF(_PENDIENTES!$B$945&lt;&gt;"",_PENDIENTES!$A$945,"")</f>
        <v/>
      </c>
      <c r="C951" s="110" t="str">
        <f aca="false">IF(_PENDIENTES!$B$945&lt;&gt;"",_PENDIENTES!$C$945,"")</f>
        <v/>
      </c>
      <c r="D951" s="46" t="str">
        <f aca="false">IF(_PENDIENTES!$B$945&lt;&gt;"",_PENDIENTES!$D$945,"")</f>
        <v/>
      </c>
      <c r="E951" s="112" t="str">
        <f aca="false">IF(_PENDIENTES!$B$945&lt;&gt;"",_PENDIENTES!$E$945,"")</f>
        <v/>
      </c>
      <c r="F951" s="46" t="str">
        <f aca="false">IF(_PENDIENTES!$B$945&lt;&gt;"",_PENDIENTES!$F$945,"")</f>
        <v/>
      </c>
      <c r="G951" s="44" t="str">
        <f aca="false">IF(_PENDIENTES!$B$945&lt;&gt;"",_PENDIENTES!$G$945,"")</f>
        <v/>
      </c>
      <c r="H951" s="44" t="str">
        <f aca="false">IF(_PENDIENTES!$B$945&lt;&gt;"",_PENDIENTES!$H$945,"")</f>
        <v/>
      </c>
      <c r="I951" s="110" t="str">
        <f aca="false">IF(_PENDIENTES!$B$945&lt;&gt;"",_PENDIENTES!$I$945,"")</f>
        <v/>
      </c>
      <c r="J951" s="46" t="str">
        <f aca="false">IF(_PENDIENTES!$B$945&lt;&gt;"",_PENDIENTES!$J$945,"")</f>
        <v/>
      </c>
      <c r="K951" s="46" t="str">
        <f aca="false">IF(_PENDIENTES!$B$945&lt;&gt;"","POR RECOGER","")</f>
        <v/>
      </c>
      <c r="L951" s="46" t="str">
        <f aca="false">IF(_PENDIENTES!$B$945&lt;&gt;"",_PENDIENTES!$K$945,"")</f>
        <v/>
      </c>
      <c r="M951" s="89" t="str">
        <f aca="false">IF(_PENDIENTES!$B$945&lt;&gt;"",_PENDIENTES!$B$945,"")</f>
        <v/>
      </c>
      <c r="N951" s="109" t="str">
        <f aca="false">IF(_PENDIENTES!$B$945&lt;&gt;"",_PENDIENTES!$L$945,"")</f>
        <v/>
      </c>
      <c r="O951" s="89"/>
      <c r="P951" s="89"/>
      <c r="Q951" s="89"/>
      <c r="R951" s="89"/>
      <c r="S951" s="89"/>
    </row>
    <row r="952" customFormat="false" ht="15.75" hidden="true" customHeight="true" outlineLevel="0" collapsed="false">
      <c r="A952" s="106" t="str">
        <f aca="false">IF(_PENDIENTES!$B$946&lt;&gt;"",945,"")</f>
        <v/>
      </c>
      <c r="B952" s="47" t="str">
        <f aca="false">IF(_PENDIENTES!$B$946&lt;&gt;"",_PENDIENTES!$A$946,"")</f>
        <v/>
      </c>
      <c r="C952" s="107" t="str">
        <f aca="false">IF(_PENDIENTES!$B$946&lt;&gt;"",_PENDIENTES!$C$946,"")</f>
        <v/>
      </c>
      <c r="D952" s="106" t="str">
        <f aca="false">IF(_PENDIENTES!$B$946&lt;&gt;"",_PENDIENTES!$D$946,"")</f>
        <v/>
      </c>
      <c r="E952" s="111" t="str">
        <f aca="false">IF(_PENDIENTES!$B$946&lt;&gt;"",_PENDIENTES!$E$946,"")</f>
        <v/>
      </c>
      <c r="F952" s="106" t="str">
        <f aca="false">IF(_PENDIENTES!$B$946&lt;&gt;"",_PENDIENTES!$F$946,"")</f>
        <v/>
      </c>
      <c r="G952" s="50" t="str">
        <f aca="false">IF(_PENDIENTES!$B$946&lt;&gt;"",_PENDIENTES!$G$946,"")</f>
        <v/>
      </c>
      <c r="H952" s="50" t="str">
        <f aca="false">IF(_PENDIENTES!$B$946&lt;&gt;"",_PENDIENTES!$H$946,"")</f>
        <v/>
      </c>
      <c r="I952" s="107" t="str">
        <f aca="false">IF(_PENDIENTES!$B$946&lt;&gt;"",_PENDIENTES!$I$946,"")</f>
        <v/>
      </c>
      <c r="J952" s="106" t="str">
        <f aca="false">IF(_PENDIENTES!$B$946&lt;&gt;"",_PENDIENTES!$J$946,"")</f>
        <v/>
      </c>
      <c r="K952" s="106" t="str">
        <f aca="false">IF(_PENDIENTES!$B$946&lt;&gt;"","POR RECOGER","")</f>
        <v/>
      </c>
      <c r="L952" s="106" t="str">
        <f aca="false">IF(_PENDIENTES!$B$946&lt;&gt;"",_PENDIENTES!$K$946,"")</f>
        <v/>
      </c>
      <c r="M952" s="89" t="str">
        <f aca="false">IF(_PENDIENTES!$B$946&lt;&gt;"",_PENDIENTES!$B$946,"")</f>
        <v/>
      </c>
      <c r="N952" s="109" t="str">
        <f aca="false">IF(_PENDIENTES!$B$946&lt;&gt;"",_PENDIENTES!$L$946,"")</f>
        <v/>
      </c>
      <c r="O952" s="89"/>
      <c r="P952" s="89"/>
      <c r="Q952" s="89"/>
      <c r="R952" s="89"/>
      <c r="S952" s="89"/>
    </row>
    <row r="953" customFormat="false" ht="15.75" hidden="true" customHeight="true" outlineLevel="0" collapsed="false">
      <c r="A953" s="46" t="str">
        <f aca="false">IF(_PENDIENTES!$B$947&lt;&gt;"",946,"")</f>
        <v/>
      </c>
      <c r="B953" s="41" t="str">
        <f aca="false">IF(_PENDIENTES!$B$947&lt;&gt;"",_PENDIENTES!$A$947,"")</f>
        <v/>
      </c>
      <c r="C953" s="110" t="str">
        <f aca="false">IF(_PENDIENTES!$B$947&lt;&gt;"",_PENDIENTES!$C$947,"")</f>
        <v/>
      </c>
      <c r="D953" s="46" t="str">
        <f aca="false">IF(_PENDIENTES!$B$947&lt;&gt;"",_PENDIENTES!$D$947,"")</f>
        <v/>
      </c>
      <c r="E953" s="112" t="str">
        <f aca="false">IF(_PENDIENTES!$B$947&lt;&gt;"",_PENDIENTES!$E$947,"")</f>
        <v/>
      </c>
      <c r="F953" s="46" t="str">
        <f aca="false">IF(_PENDIENTES!$B$947&lt;&gt;"",_PENDIENTES!$F$947,"")</f>
        <v/>
      </c>
      <c r="G953" s="44" t="str">
        <f aca="false">IF(_PENDIENTES!$B$947&lt;&gt;"",_PENDIENTES!$G$947,"")</f>
        <v/>
      </c>
      <c r="H953" s="44" t="str">
        <f aca="false">IF(_PENDIENTES!$B$947&lt;&gt;"",_PENDIENTES!$H$947,"")</f>
        <v/>
      </c>
      <c r="I953" s="110" t="str">
        <f aca="false">IF(_PENDIENTES!$B$947&lt;&gt;"",_PENDIENTES!$I$947,"")</f>
        <v/>
      </c>
      <c r="J953" s="46" t="str">
        <f aca="false">IF(_PENDIENTES!$B$947&lt;&gt;"",_PENDIENTES!$J$947,"")</f>
        <v/>
      </c>
      <c r="K953" s="46" t="str">
        <f aca="false">IF(_PENDIENTES!$B$947&lt;&gt;"","POR RECOGER","")</f>
        <v/>
      </c>
      <c r="L953" s="46" t="str">
        <f aca="false">IF(_PENDIENTES!$B$947&lt;&gt;"",_PENDIENTES!$K$947,"")</f>
        <v/>
      </c>
      <c r="M953" s="89" t="str">
        <f aca="false">IF(_PENDIENTES!$B$947&lt;&gt;"",_PENDIENTES!$B$947,"")</f>
        <v/>
      </c>
      <c r="N953" s="109" t="str">
        <f aca="false">IF(_PENDIENTES!$B$947&lt;&gt;"",_PENDIENTES!$L$947,"")</f>
        <v/>
      </c>
      <c r="O953" s="89"/>
      <c r="P953" s="89"/>
      <c r="Q953" s="89"/>
      <c r="R953" s="89"/>
      <c r="S953" s="89"/>
    </row>
    <row r="954" customFormat="false" ht="15.75" hidden="true" customHeight="true" outlineLevel="0" collapsed="false">
      <c r="A954" s="106" t="str">
        <f aca="false">IF(_PENDIENTES!$B$948&lt;&gt;"",947,"")</f>
        <v/>
      </c>
      <c r="B954" s="47" t="str">
        <f aca="false">IF(_PENDIENTES!$B$948&lt;&gt;"",_PENDIENTES!$A$948,"")</f>
        <v/>
      </c>
      <c r="C954" s="107" t="str">
        <f aca="false">IF(_PENDIENTES!$B$948&lt;&gt;"",_PENDIENTES!$C$948,"")</f>
        <v/>
      </c>
      <c r="D954" s="106" t="str">
        <f aca="false">IF(_PENDIENTES!$B$948&lt;&gt;"",_PENDIENTES!$D$948,"")</f>
        <v/>
      </c>
      <c r="E954" s="111" t="str">
        <f aca="false">IF(_PENDIENTES!$B$948&lt;&gt;"",_PENDIENTES!$E$948,"")</f>
        <v/>
      </c>
      <c r="F954" s="106" t="str">
        <f aca="false">IF(_PENDIENTES!$B$948&lt;&gt;"",_PENDIENTES!$F$948,"")</f>
        <v/>
      </c>
      <c r="G954" s="50" t="str">
        <f aca="false">IF(_PENDIENTES!$B$948&lt;&gt;"",_PENDIENTES!$G$948,"")</f>
        <v/>
      </c>
      <c r="H954" s="50" t="str">
        <f aca="false">IF(_PENDIENTES!$B$948&lt;&gt;"",_PENDIENTES!$H$948,"")</f>
        <v/>
      </c>
      <c r="I954" s="107" t="str">
        <f aca="false">IF(_PENDIENTES!$B$948&lt;&gt;"",_PENDIENTES!$I$948,"")</f>
        <v/>
      </c>
      <c r="J954" s="106" t="str">
        <f aca="false">IF(_PENDIENTES!$B$948&lt;&gt;"",_PENDIENTES!$J$948,"")</f>
        <v/>
      </c>
      <c r="K954" s="106" t="str">
        <f aca="false">IF(_PENDIENTES!$B$948&lt;&gt;"","POR RECOGER","")</f>
        <v/>
      </c>
      <c r="L954" s="106" t="str">
        <f aca="false">IF(_PENDIENTES!$B$948&lt;&gt;"",_PENDIENTES!$K$948,"")</f>
        <v/>
      </c>
      <c r="M954" s="89" t="str">
        <f aca="false">IF(_PENDIENTES!$B$948&lt;&gt;"",_PENDIENTES!$B$948,"")</f>
        <v/>
      </c>
      <c r="N954" s="109" t="str">
        <f aca="false">IF(_PENDIENTES!$B$948&lt;&gt;"",_PENDIENTES!$L$948,"")</f>
        <v/>
      </c>
      <c r="O954" s="89"/>
      <c r="P954" s="89"/>
      <c r="Q954" s="89"/>
      <c r="R954" s="89"/>
      <c r="S954" s="89"/>
    </row>
    <row r="955" customFormat="false" ht="15.75" hidden="true" customHeight="true" outlineLevel="0" collapsed="false">
      <c r="A955" s="46" t="str">
        <f aca="false">IF(_PENDIENTES!$B$949&lt;&gt;"",948,"")</f>
        <v/>
      </c>
      <c r="B955" s="41" t="str">
        <f aca="false">IF(_PENDIENTES!$B$949&lt;&gt;"",_PENDIENTES!$A$949,"")</f>
        <v/>
      </c>
      <c r="C955" s="110" t="str">
        <f aca="false">IF(_PENDIENTES!$B$949&lt;&gt;"",_PENDIENTES!$C$949,"")</f>
        <v/>
      </c>
      <c r="D955" s="46" t="str">
        <f aca="false">IF(_PENDIENTES!$B$949&lt;&gt;"",_PENDIENTES!$D$949,"")</f>
        <v/>
      </c>
      <c r="E955" s="112" t="str">
        <f aca="false">IF(_PENDIENTES!$B$949&lt;&gt;"",_PENDIENTES!$E$949,"")</f>
        <v/>
      </c>
      <c r="F955" s="46" t="str">
        <f aca="false">IF(_PENDIENTES!$B$949&lt;&gt;"",_PENDIENTES!$F$949,"")</f>
        <v/>
      </c>
      <c r="G955" s="44" t="str">
        <f aca="false">IF(_PENDIENTES!$B$949&lt;&gt;"",_PENDIENTES!$G$949,"")</f>
        <v/>
      </c>
      <c r="H955" s="44" t="str">
        <f aca="false">IF(_PENDIENTES!$B$949&lt;&gt;"",_PENDIENTES!$H$949,"")</f>
        <v/>
      </c>
      <c r="I955" s="110" t="str">
        <f aca="false">IF(_PENDIENTES!$B$949&lt;&gt;"",_PENDIENTES!$I$949,"")</f>
        <v/>
      </c>
      <c r="J955" s="46" t="str">
        <f aca="false">IF(_PENDIENTES!$B$949&lt;&gt;"",_PENDIENTES!$J$949,"")</f>
        <v/>
      </c>
      <c r="K955" s="46" t="str">
        <f aca="false">IF(_PENDIENTES!$B$949&lt;&gt;"","POR RECOGER","")</f>
        <v/>
      </c>
      <c r="L955" s="46" t="str">
        <f aca="false">IF(_PENDIENTES!$B$949&lt;&gt;"",_PENDIENTES!$K$949,"")</f>
        <v/>
      </c>
      <c r="M955" s="89" t="str">
        <f aca="false">IF(_PENDIENTES!$B$949&lt;&gt;"",_PENDIENTES!$B$949,"")</f>
        <v/>
      </c>
      <c r="N955" s="109" t="str">
        <f aca="false">IF(_PENDIENTES!$B$949&lt;&gt;"",_PENDIENTES!$L$949,"")</f>
        <v/>
      </c>
      <c r="O955" s="89"/>
      <c r="P955" s="89"/>
      <c r="Q955" s="89"/>
      <c r="R955" s="89"/>
      <c r="S955" s="89"/>
    </row>
    <row r="956" customFormat="false" ht="15.75" hidden="true" customHeight="true" outlineLevel="0" collapsed="false">
      <c r="A956" s="106" t="str">
        <f aca="false">IF(_PENDIENTES!$B$950&lt;&gt;"",949,"")</f>
        <v/>
      </c>
      <c r="B956" s="47" t="str">
        <f aca="false">IF(_PENDIENTES!$B$950&lt;&gt;"",_PENDIENTES!$A$950,"")</f>
        <v/>
      </c>
      <c r="C956" s="107" t="str">
        <f aca="false">IF(_PENDIENTES!$B$950&lt;&gt;"",_PENDIENTES!$C$950,"")</f>
        <v/>
      </c>
      <c r="D956" s="106" t="str">
        <f aca="false">IF(_PENDIENTES!$B$950&lt;&gt;"",_PENDIENTES!$D$950,"")</f>
        <v/>
      </c>
      <c r="E956" s="111" t="str">
        <f aca="false">IF(_PENDIENTES!$B$950&lt;&gt;"",_PENDIENTES!$E$950,"")</f>
        <v/>
      </c>
      <c r="F956" s="106" t="str">
        <f aca="false">IF(_PENDIENTES!$B$950&lt;&gt;"",_PENDIENTES!$F$950,"")</f>
        <v/>
      </c>
      <c r="G956" s="50" t="str">
        <f aca="false">IF(_PENDIENTES!$B$950&lt;&gt;"",_PENDIENTES!$G$950,"")</f>
        <v/>
      </c>
      <c r="H956" s="50" t="str">
        <f aca="false">IF(_PENDIENTES!$B$950&lt;&gt;"",_PENDIENTES!$H$950,"")</f>
        <v/>
      </c>
      <c r="I956" s="107" t="str">
        <f aca="false">IF(_PENDIENTES!$B$950&lt;&gt;"",_PENDIENTES!$I$950,"")</f>
        <v/>
      </c>
      <c r="J956" s="106" t="str">
        <f aca="false">IF(_PENDIENTES!$B$950&lt;&gt;"",_PENDIENTES!$J$950,"")</f>
        <v/>
      </c>
      <c r="K956" s="106" t="str">
        <f aca="false">IF(_PENDIENTES!$B$950&lt;&gt;"","POR RECOGER","")</f>
        <v/>
      </c>
      <c r="L956" s="106" t="str">
        <f aca="false">IF(_PENDIENTES!$B$950&lt;&gt;"",_PENDIENTES!$K$950,"")</f>
        <v/>
      </c>
      <c r="M956" s="89" t="str">
        <f aca="false">IF(_PENDIENTES!$B$950&lt;&gt;"",_PENDIENTES!$B$950,"")</f>
        <v/>
      </c>
      <c r="N956" s="109" t="str">
        <f aca="false">IF(_PENDIENTES!$B$950&lt;&gt;"",_PENDIENTES!$L$950,"")</f>
        <v/>
      </c>
      <c r="O956" s="89"/>
      <c r="P956" s="89"/>
      <c r="Q956" s="89"/>
      <c r="R956" s="89"/>
      <c r="S956" s="89"/>
    </row>
    <row r="957" customFormat="false" ht="15.75" hidden="true" customHeight="true" outlineLevel="0" collapsed="false">
      <c r="A957" s="46" t="str">
        <f aca="false">IF(_PENDIENTES!$B$951&lt;&gt;"",950,"")</f>
        <v/>
      </c>
      <c r="B957" s="41" t="str">
        <f aca="false">IF(_PENDIENTES!$B$951&lt;&gt;"",_PENDIENTES!$A$951,"")</f>
        <v/>
      </c>
      <c r="C957" s="110" t="str">
        <f aca="false">IF(_PENDIENTES!$B$951&lt;&gt;"",_PENDIENTES!$C$951,"")</f>
        <v/>
      </c>
      <c r="D957" s="46" t="str">
        <f aca="false">IF(_PENDIENTES!$B$951&lt;&gt;"",_PENDIENTES!$D$951,"")</f>
        <v/>
      </c>
      <c r="E957" s="112" t="str">
        <f aca="false">IF(_PENDIENTES!$B$951&lt;&gt;"",_PENDIENTES!$E$951,"")</f>
        <v/>
      </c>
      <c r="F957" s="46" t="str">
        <f aca="false">IF(_PENDIENTES!$B$951&lt;&gt;"",_PENDIENTES!$F$951,"")</f>
        <v/>
      </c>
      <c r="G957" s="44" t="str">
        <f aca="false">IF(_PENDIENTES!$B$951&lt;&gt;"",_PENDIENTES!$G$951,"")</f>
        <v/>
      </c>
      <c r="H957" s="44" t="str">
        <f aca="false">IF(_PENDIENTES!$B$951&lt;&gt;"",_PENDIENTES!$H$951,"")</f>
        <v/>
      </c>
      <c r="I957" s="110" t="str">
        <f aca="false">IF(_PENDIENTES!$B$951&lt;&gt;"",_PENDIENTES!$I$951,"")</f>
        <v/>
      </c>
      <c r="J957" s="46" t="str">
        <f aca="false">IF(_PENDIENTES!$B$951&lt;&gt;"",_PENDIENTES!$J$951,"")</f>
        <v/>
      </c>
      <c r="K957" s="46" t="str">
        <f aca="false">IF(_PENDIENTES!$B$951&lt;&gt;"","POR RECOGER","")</f>
        <v/>
      </c>
      <c r="L957" s="46" t="str">
        <f aca="false">IF(_PENDIENTES!$B$951&lt;&gt;"",_PENDIENTES!$K$951,"")</f>
        <v/>
      </c>
      <c r="M957" s="89" t="str">
        <f aca="false">IF(_PENDIENTES!$B$951&lt;&gt;"",_PENDIENTES!$B$951,"")</f>
        <v/>
      </c>
      <c r="N957" s="109" t="str">
        <f aca="false">IF(_PENDIENTES!$B$951&lt;&gt;"",_PENDIENTES!$L$951,"")</f>
        <v/>
      </c>
      <c r="O957" s="89"/>
      <c r="P957" s="89"/>
      <c r="Q957" s="89"/>
      <c r="R957" s="89"/>
      <c r="S957" s="89"/>
    </row>
    <row r="958" customFormat="false" ht="15.75" hidden="true" customHeight="true" outlineLevel="0" collapsed="false">
      <c r="A958" s="106" t="str">
        <f aca="false">IF(_PENDIENTES!$B$952&lt;&gt;"",951,"")</f>
        <v/>
      </c>
      <c r="B958" s="47" t="str">
        <f aca="false">IF(_PENDIENTES!$B$952&lt;&gt;"",_PENDIENTES!$A$952,"")</f>
        <v/>
      </c>
      <c r="C958" s="107" t="str">
        <f aca="false">IF(_PENDIENTES!$B$952&lt;&gt;"",_PENDIENTES!$C$952,"")</f>
        <v/>
      </c>
      <c r="D958" s="106" t="str">
        <f aca="false">IF(_PENDIENTES!$B$952&lt;&gt;"",_PENDIENTES!$D$952,"")</f>
        <v/>
      </c>
      <c r="E958" s="111" t="str">
        <f aca="false">IF(_PENDIENTES!$B$952&lt;&gt;"",_PENDIENTES!$E$952,"")</f>
        <v/>
      </c>
      <c r="F958" s="106" t="str">
        <f aca="false">IF(_PENDIENTES!$B$952&lt;&gt;"",_PENDIENTES!$F$952,"")</f>
        <v/>
      </c>
      <c r="G958" s="50" t="str">
        <f aca="false">IF(_PENDIENTES!$B$952&lt;&gt;"",_PENDIENTES!$G$952,"")</f>
        <v/>
      </c>
      <c r="H958" s="50" t="str">
        <f aca="false">IF(_PENDIENTES!$B$952&lt;&gt;"",_PENDIENTES!$H$952,"")</f>
        <v/>
      </c>
      <c r="I958" s="107" t="str">
        <f aca="false">IF(_PENDIENTES!$B$952&lt;&gt;"",_PENDIENTES!$I$952,"")</f>
        <v/>
      </c>
      <c r="J958" s="106" t="str">
        <f aca="false">IF(_PENDIENTES!$B$952&lt;&gt;"",_PENDIENTES!$J$952,"")</f>
        <v/>
      </c>
      <c r="K958" s="106" t="str">
        <f aca="false">IF(_PENDIENTES!$B$952&lt;&gt;"","POR RECOGER","")</f>
        <v/>
      </c>
      <c r="L958" s="106" t="str">
        <f aca="false">IF(_PENDIENTES!$B$952&lt;&gt;"",_PENDIENTES!$K$952,"")</f>
        <v/>
      </c>
      <c r="M958" s="89" t="str">
        <f aca="false">IF(_PENDIENTES!$B$952&lt;&gt;"",_PENDIENTES!$B$952,"")</f>
        <v/>
      </c>
      <c r="N958" s="109" t="str">
        <f aca="false">IF(_PENDIENTES!$B$952&lt;&gt;"",_PENDIENTES!$L$952,"")</f>
        <v/>
      </c>
      <c r="O958" s="89"/>
      <c r="P958" s="89"/>
      <c r="Q958" s="89"/>
      <c r="R958" s="89"/>
      <c r="S958" s="89"/>
    </row>
    <row r="959" customFormat="false" ht="15.75" hidden="true" customHeight="true" outlineLevel="0" collapsed="false">
      <c r="A959" s="46" t="str">
        <f aca="false">IF(_PENDIENTES!$B$953&lt;&gt;"",952,"")</f>
        <v/>
      </c>
      <c r="B959" s="41" t="str">
        <f aca="false">IF(_PENDIENTES!$B$953&lt;&gt;"",_PENDIENTES!$A$953,"")</f>
        <v/>
      </c>
      <c r="C959" s="110" t="str">
        <f aca="false">IF(_PENDIENTES!$B$953&lt;&gt;"",_PENDIENTES!$C$953,"")</f>
        <v/>
      </c>
      <c r="D959" s="46" t="str">
        <f aca="false">IF(_PENDIENTES!$B$953&lt;&gt;"",_PENDIENTES!$D$953,"")</f>
        <v/>
      </c>
      <c r="E959" s="112" t="str">
        <f aca="false">IF(_PENDIENTES!$B$953&lt;&gt;"",_PENDIENTES!$E$953,"")</f>
        <v/>
      </c>
      <c r="F959" s="46" t="str">
        <f aca="false">IF(_PENDIENTES!$B$953&lt;&gt;"",_PENDIENTES!$F$953,"")</f>
        <v/>
      </c>
      <c r="G959" s="44" t="str">
        <f aca="false">IF(_PENDIENTES!$B$953&lt;&gt;"",_PENDIENTES!$G$953,"")</f>
        <v/>
      </c>
      <c r="H959" s="44" t="str">
        <f aca="false">IF(_PENDIENTES!$B$953&lt;&gt;"",_PENDIENTES!$H$953,"")</f>
        <v/>
      </c>
      <c r="I959" s="110" t="str">
        <f aca="false">IF(_PENDIENTES!$B$953&lt;&gt;"",_PENDIENTES!$I$953,"")</f>
        <v/>
      </c>
      <c r="J959" s="46" t="str">
        <f aca="false">IF(_PENDIENTES!$B$953&lt;&gt;"",_PENDIENTES!$J$953,"")</f>
        <v/>
      </c>
      <c r="K959" s="46" t="str">
        <f aca="false">IF(_PENDIENTES!$B$953&lt;&gt;"","POR RECOGER","")</f>
        <v/>
      </c>
      <c r="L959" s="46" t="str">
        <f aca="false">IF(_PENDIENTES!$B$953&lt;&gt;"",_PENDIENTES!$K$953,"")</f>
        <v/>
      </c>
      <c r="M959" s="89" t="str">
        <f aca="false">IF(_PENDIENTES!$B$953&lt;&gt;"",_PENDIENTES!$B$953,"")</f>
        <v/>
      </c>
      <c r="N959" s="109" t="str">
        <f aca="false">IF(_PENDIENTES!$B$953&lt;&gt;"",_PENDIENTES!$L$953,"")</f>
        <v/>
      </c>
      <c r="O959" s="89"/>
      <c r="P959" s="89"/>
      <c r="Q959" s="89"/>
      <c r="R959" s="89"/>
      <c r="S959" s="89"/>
    </row>
    <row r="960" customFormat="false" ht="15.75" hidden="true" customHeight="true" outlineLevel="0" collapsed="false">
      <c r="A960" s="106" t="str">
        <f aca="false">IF(_PENDIENTES!$B$954&lt;&gt;"",953,"")</f>
        <v/>
      </c>
      <c r="B960" s="47" t="str">
        <f aca="false">IF(_PENDIENTES!$B$954&lt;&gt;"",_PENDIENTES!$A$954,"")</f>
        <v/>
      </c>
      <c r="C960" s="107" t="str">
        <f aca="false">IF(_PENDIENTES!$B$954&lt;&gt;"",_PENDIENTES!$C$954,"")</f>
        <v/>
      </c>
      <c r="D960" s="106" t="str">
        <f aca="false">IF(_PENDIENTES!$B$954&lt;&gt;"",_PENDIENTES!$D$954,"")</f>
        <v/>
      </c>
      <c r="E960" s="111" t="str">
        <f aca="false">IF(_PENDIENTES!$B$954&lt;&gt;"",_PENDIENTES!$E$954,"")</f>
        <v/>
      </c>
      <c r="F960" s="106" t="str">
        <f aca="false">IF(_PENDIENTES!$B$954&lt;&gt;"",_PENDIENTES!$F$954,"")</f>
        <v/>
      </c>
      <c r="G960" s="50" t="str">
        <f aca="false">IF(_PENDIENTES!$B$954&lt;&gt;"",_PENDIENTES!$G$954,"")</f>
        <v/>
      </c>
      <c r="H960" s="50" t="str">
        <f aca="false">IF(_PENDIENTES!$B$954&lt;&gt;"",_PENDIENTES!$H$954,"")</f>
        <v/>
      </c>
      <c r="I960" s="107" t="str">
        <f aca="false">IF(_PENDIENTES!$B$954&lt;&gt;"",_PENDIENTES!$I$954,"")</f>
        <v/>
      </c>
      <c r="J960" s="106" t="str">
        <f aca="false">IF(_PENDIENTES!$B$954&lt;&gt;"",_PENDIENTES!$J$954,"")</f>
        <v/>
      </c>
      <c r="K960" s="106" t="str">
        <f aca="false">IF(_PENDIENTES!$B$954&lt;&gt;"","POR RECOGER","")</f>
        <v/>
      </c>
      <c r="L960" s="106" t="str">
        <f aca="false">IF(_PENDIENTES!$B$954&lt;&gt;"",_PENDIENTES!$K$954,"")</f>
        <v/>
      </c>
      <c r="M960" s="89" t="str">
        <f aca="false">IF(_PENDIENTES!$B$954&lt;&gt;"",_PENDIENTES!$B$954,"")</f>
        <v/>
      </c>
      <c r="N960" s="109" t="str">
        <f aca="false">IF(_PENDIENTES!$B$954&lt;&gt;"",_PENDIENTES!$L$954,"")</f>
        <v/>
      </c>
      <c r="O960" s="89"/>
      <c r="P960" s="89"/>
      <c r="Q960" s="89"/>
      <c r="R960" s="89"/>
      <c r="S960" s="89"/>
    </row>
    <row r="961" customFormat="false" ht="15.75" hidden="true" customHeight="true" outlineLevel="0" collapsed="false">
      <c r="A961" s="46" t="str">
        <f aca="false">IF(_PENDIENTES!$B$955&lt;&gt;"",954,"")</f>
        <v/>
      </c>
      <c r="B961" s="41" t="str">
        <f aca="false">IF(_PENDIENTES!$B$955&lt;&gt;"",_PENDIENTES!$A$955,"")</f>
        <v/>
      </c>
      <c r="C961" s="110" t="str">
        <f aca="false">IF(_PENDIENTES!$B$955&lt;&gt;"",_PENDIENTES!$C$955,"")</f>
        <v/>
      </c>
      <c r="D961" s="46" t="str">
        <f aca="false">IF(_PENDIENTES!$B$955&lt;&gt;"",_PENDIENTES!$D$955,"")</f>
        <v/>
      </c>
      <c r="E961" s="112" t="str">
        <f aca="false">IF(_PENDIENTES!$B$955&lt;&gt;"",_PENDIENTES!$E$955,"")</f>
        <v/>
      </c>
      <c r="F961" s="46" t="str">
        <f aca="false">IF(_PENDIENTES!$B$955&lt;&gt;"",_PENDIENTES!$F$955,"")</f>
        <v/>
      </c>
      <c r="G961" s="44" t="str">
        <f aca="false">IF(_PENDIENTES!$B$955&lt;&gt;"",_PENDIENTES!$G$955,"")</f>
        <v/>
      </c>
      <c r="H961" s="44" t="str">
        <f aca="false">IF(_PENDIENTES!$B$955&lt;&gt;"",_PENDIENTES!$H$955,"")</f>
        <v/>
      </c>
      <c r="I961" s="110" t="str">
        <f aca="false">IF(_PENDIENTES!$B$955&lt;&gt;"",_PENDIENTES!$I$955,"")</f>
        <v/>
      </c>
      <c r="J961" s="46" t="str">
        <f aca="false">IF(_PENDIENTES!$B$955&lt;&gt;"",_PENDIENTES!$J$955,"")</f>
        <v/>
      </c>
      <c r="K961" s="46" t="str">
        <f aca="false">IF(_PENDIENTES!$B$955&lt;&gt;"","POR RECOGER","")</f>
        <v/>
      </c>
      <c r="L961" s="46" t="str">
        <f aca="false">IF(_PENDIENTES!$B$955&lt;&gt;"",_PENDIENTES!$K$955,"")</f>
        <v/>
      </c>
      <c r="M961" s="89" t="str">
        <f aca="false">IF(_PENDIENTES!$B$955&lt;&gt;"",_PENDIENTES!$B$955,"")</f>
        <v/>
      </c>
      <c r="N961" s="109" t="str">
        <f aca="false">IF(_PENDIENTES!$B$955&lt;&gt;"",_PENDIENTES!$L$955,"")</f>
        <v/>
      </c>
      <c r="O961" s="89"/>
      <c r="P961" s="89"/>
      <c r="Q961" s="89"/>
      <c r="R961" s="89"/>
      <c r="S961" s="89"/>
    </row>
    <row r="962" customFormat="false" ht="15.75" hidden="true" customHeight="true" outlineLevel="0" collapsed="false">
      <c r="A962" s="106" t="str">
        <f aca="false">IF(_PENDIENTES!$B$956&lt;&gt;"",955,"")</f>
        <v/>
      </c>
      <c r="B962" s="47" t="str">
        <f aca="false">IF(_PENDIENTES!$B$956&lt;&gt;"",_PENDIENTES!$A$956,"")</f>
        <v/>
      </c>
      <c r="C962" s="107" t="str">
        <f aca="false">IF(_PENDIENTES!$B$956&lt;&gt;"",_PENDIENTES!$C$956,"")</f>
        <v/>
      </c>
      <c r="D962" s="106" t="str">
        <f aca="false">IF(_PENDIENTES!$B$956&lt;&gt;"",_PENDIENTES!$D$956,"")</f>
        <v/>
      </c>
      <c r="E962" s="111" t="str">
        <f aca="false">IF(_PENDIENTES!$B$956&lt;&gt;"",_PENDIENTES!$E$956,"")</f>
        <v/>
      </c>
      <c r="F962" s="106" t="str">
        <f aca="false">IF(_PENDIENTES!$B$956&lt;&gt;"",_PENDIENTES!$F$956,"")</f>
        <v/>
      </c>
      <c r="G962" s="50" t="str">
        <f aca="false">IF(_PENDIENTES!$B$956&lt;&gt;"",_PENDIENTES!$G$956,"")</f>
        <v/>
      </c>
      <c r="H962" s="50" t="str">
        <f aca="false">IF(_PENDIENTES!$B$956&lt;&gt;"",_PENDIENTES!$H$956,"")</f>
        <v/>
      </c>
      <c r="I962" s="107" t="str">
        <f aca="false">IF(_PENDIENTES!$B$956&lt;&gt;"",_PENDIENTES!$I$956,"")</f>
        <v/>
      </c>
      <c r="J962" s="106" t="str">
        <f aca="false">IF(_PENDIENTES!$B$956&lt;&gt;"",_PENDIENTES!$J$956,"")</f>
        <v/>
      </c>
      <c r="K962" s="106" t="str">
        <f aca="false">IF(_PENDIENTES!$B$956&lt;&gt;"","POR RECOGER","")</f>
        <v/>
      </c>
      <c r="L962" s="106" t="str">
        <f aca="false">IF(_PENDIENTES!$B$956&lt;&gt;"",_PENDIENTES!$K$956,"")</f>
        <v/>
      </c>
      <c r="M962" s="89" t="str">
        <f aca="false">IF(_PENDIENTES!$B$956&lt;&gt;"",_PENDIENTES!$B$956,"")</f>
        <v/>
      </c>
      <c r="N962" s="109" t="str">
        <f aca="false">IF(_PENDIENTES!$B$956&lt;&gt;"",_PENDIENTES!$L$956,"")</f>
        <v/>
      </c>
      <c r="O962" s="89"/>
      <c r="P962" s="89"/>
      <c r="Q962" s="89"/>
      <c r="R962" s="89"/>
      <c r="S962" s="89"/>
    </row>
    <row r="963" customFormat="false" ht="15.75" hidden="true" customHeight="true" outlineLevel="0" collapsed="false">
      <c r="A963" s="46" t="str">
        <f aca="false">IF(_PENDIENTES!$B$957&lt;&gt;"",956,"")</f>
        <v/>
      </c>
      <c r="B963" s="41" t="str">
        <f aca="false">IF(_PENDIENTES!$B$957&lt;&gt;"",_PENDIENTES!$A$957,"")</f>
        <v/>
      </c>
      <c r="C963" s="110" t="str">
        <f aca="false">IF(_PENDIENTES!$B$957&lt;&gt;"",_PENDIENTES!$C$957,"")</f>
        <v/>
      </c>
      <c r="D963" s="46" t="str">
        <f aca="false">IF(_PENDIENTES!$B$957&lt;&gt;"",_PENDIENTES!$D$957,"")</f>
        <v/>
      </c>
      <c r="E963" s="112" t="str">
        <f aca="false">IF(_PENDIENTES!$B$957&lt;&gt;"",_PENDIENTES!$E$957,"")</f>
        <v/>
      </c>
      <c r="F963" s="46" t="str">
        <f aca="false">IF(_PENDIENTES!$B$957&lt;&gt;"",_PENDIENTES!$F$957,"")</f>
        <v/>
      </c>
      <c r="G963" s="44" t="str">
        <f aca="false">IF(_PENDIENTES!$B$957&lt;&gt;"",_PENDIENTES!$G$957,"")</f>
        <v/>
      </c>
      <c r="H963" s="44" t="str">
        <f aca="false">IF(_PENDIENTES!$B$957&lt;&gt;"",_PENDIENTES!$H$957,"")</f>
        <v/>
      </c>
      <c r="I963" s="110" t="str">
        <f aca="false">IF(_PENDIENTES!$B$957&lt;&gt;"",_PENDIENTES!$I$957,"")</f>
        <v/>
      </c>
      <c r="J963" s="46" t="str">
        <f aca="false">IF(_PENDIENTES!$B$957&lt;&gt;"",_PENDIENTES!$J$957,"")</f>
        <v/>
      </c>
      <c r="K963" s="46" t="str">
        <f aca="false">IF(_PENDIENTES!$B$957&lt;&gt;"","POR RECOGER","")</f>
        <v/>
      </c>
      <c r="L963" s="46" t="str">
        <f aca="false">IF(_PENDIENTES!$B$957&lt;&gt;"",_PENDIENTES!$K$957,"")</f>
        <v/>
      </c>
      <c r="M963" s="89" t="str">
        <f aca="false">IF(_PENDIENTES!$B$957&lt;&gt;"",_PENDIENTES!$B$957,"")</f>
        <v/>
      </c>
      <c r="N963" s="109" t="str">
        <f aca="false">IF(_PENDIENTES!$B$957&lt;&gt;"",_PENDIENTES!$L$957,"")</f>
        <v/>
      </c>
      <c r="O963" s="89"/>
      <c r="P963" s="89"/>
      <c r="Q963" s="89"/>
      <c r="R963" s="89"/>
      <c r="S963" s="89"/>
    </row>
    <row r="964" customFormat="false" ht="15.75" hidden="true" customHeight="true" outlineLevel="0" collapsed="false">
      <c r="A964" s="106" t="str">
        <f aca="false">IF(_PENDIENTES!$B$958&lt;&gt;"",957,"")</f>
        <v/>
      </c>
      <c r="B964" s="47" t="str">
        <f aca="false">IF(_PENDIENTES!$B$958&lt;&gt;"",_PENDIENTES!$A$958,"")</f>
        <v/>
      </c>
      <c r="C964" s="107" t="str">
        <f aca="false">IF(_PENDIENTES!$B$958&lt;&gt;"",_PENDIENTES!$C$958,"")</f>
        <v/>
      </c>
      <c r="D964" s="106" t="str">
        <f aca="false">IF(_PENDIENTES!$B$958&lt;&gt;"",_PENDIENTES!$D$958,"")</f>
        <v/>
      </c>
      <c r="E964" s="111" t="str">
        <f aca="false">IF(_PENDIENTES!$B$958&lt;&gt;"",_PENDIENTES!$E$958,"")</f>
        <v/>
      </c>
      <c r="F964" s="106" t="str">
        <f aca="false">IF(_PENDIENTES!$B$958&lt;&gt;"",_PENDIENTES!$F$958,"")</f>
        <v/>
      </c>
      <c r="G964" s="50" t="str">
        <f aca="false">IF(_PENDIENTES!$B$958&lt;&gt;"",_PENDIENTES!$G$958,"")</f>
        <v/>
      </c>
      <c r="H964" s="50" t="str">
        <f aca="false">IF(_PENDIENTES!$B$958&lt;&gt;"",_PENDIENTES!$H$958,"")</f>
        <v/>
      </c>
      <c r="I964" s="107" t="str">
        <f aca="false">IF(_PENDIENTES!$B$958&lt;&gt;"",_PENDIENTES!$I$958,"")</f>
        <v/>
      </c>
      <c r="J964" s="106" t="str">
        <f aca="false">IF(_PENDIENTES!$B$958&lt;&gt;"",_PENDIENTES!$J$958,"")</f>
        <v/>
      </c>
      <c r="K964" s="106" t="str">
        <f aca="false">IF(_PENDIENTES!$B$958&lt;&gt;"","POR RECOGER","")</f>
        <v/>
      </c>
      <c r="L964" s="106" t="str">
        <f aca="false">IF(_PENDIENTES!$B$958&lt;&gt;"",_PENDIENTES!$K$958,"")</f>
        <v/>
      </c>
      <c r="M964" s="89" t="str">
        <f aca="false">IF(_PENDIENTES!$B$958&lt;&gt;"",_PENDIENTES!$B$958,"")</f>
        <v/>
      </c>
      <c r="N964" s="109" t="str">
        <f aca="false">IF(_PENDIENTES!$B$958&lt;&gt;"",_PENDIENTES!$L$958,"")</f>
        <v/>
      </c>
      <c r="O964" s="89"/>
      <c r="P964" s="89"/>
      <c r="Q964" s="89"/>
      <c r="R964" s="89"/>
      <c r="S964" s="89"/>
    </row>
    <row r="965" customFormat="false" ht="15.75" hidden="true" customHeight="true" outlineLevel="0" collapsed="false">
      <c r="A965" s="46" t="str">
        <f aca="false">IF(_PENDIENTES!$B$959&lt;&gt;"",958,"")</f>
        <v/>
      </c>
      <c r="B965" s="41" t="str">
        <f aca="false">IF(_PENDIENTES!$B$959&lt;&gt;"",_PENDIENTES!$A$959,"")</f>
        <v/>
      </c>
      <c r="C965" s="110" t="str">
        <f aca="false">IF(_PENDIENTES!$B$959&lt;&gt;"",_PENDIENTES!$C$959,"")</f>
        <v/>
      </c>
      <c r="D965" s="46" t="str">
        <f aca="false">IF(_PENDIENTES!$B$959&lt;&gt;"",_PENDIENTES!$D$959,"")</f>
        <v/>
      </c>
      <c r="E965" s="112" t="str">
        <f aca="false">IF(_PENDIENTES!$B$959&lt;&gt;"",_PENDIENTES!$E$959,"")</f>
        <v/>
      </c>
      <c r="F965" s="46" t="str">
        <f aca="false">IF(_PENDIENTES!$B$959&lt;&gt;"",_PENDIENTES!$F$959,"")</f>
        <v/>
      </c>
      <c r="G965" s="44" t="str">
        <f aca="false">IF(_PENDIENTES!$B$959&lt;&gt;"",_PENDIENTES!$G$959,"")</f>
        <v/>
      </c>
      <c r="H965" s="44" t="str">
        <f aca="false">IF(_PENDIENTES!$B$959&lt;&gt;"",_PENDIENTES!$H$959,"")</f>
        <v/>
      </c>
      <c r="I965" s="110" t="str">
        <f aca="false">IF(_PENDIENTES!$B$959&lt;&gt;"",_PENDIENTES!$I$959,"")</f>
        <v/>
      </c>
      <c r="J965" s="46" t="str">
        <f aca="false">IF(_PENDIENTES!$B$959&lt;&gt;"",_PENDIENTES!$J$959,"")</f>
        <v/>
      </c>
      <c r="K965" s="46" t="str">
        <f aca="false">IF(_PENDIENTES!$B$959&lt;&gt;"","POR RECOGER","")</f>
        <v/>
      </c>
      <c r="L965" s="46" t="str">
        <f aca="false">IF(_PENDIENTES!$B$959&lt;&gt;"",_PENDIENTES!$K$959,"")</f>
        <v/>
      </c>
      <c r="M965" s="89" t="str">
        <f aca="false">IF(_PENDIENTES!$B$959&lt;&gt;"",_PENDIENTES!$B$959,"")</f>
        <v/>
      </c>
      <c r="N965" s="109" t="str">
        <f aca="false">IF(_PENDIENTES!$B$959&lt;&gt;"",_PENDIENTES!$L$959,"")</f>
        <v/>
      </c>
      <c r="O965" s="89"/>
      <c r="P965" s="89"/>
      <c r="Q965" s="89"/>
      <c r="R965" s="89"/>
      <c r="S965" s="89"/>
    </row>
    <row r="966" customFormat="false" ht="15.75" hidden="true" customHeight="true" outlineLevel="0" collapsed="false">
      <c r="A966" s="106" t="str">
        <f aca="false">IF(_PENDIENTES!$B$960&lt;&gt;"",959,"")</f>
        <v/>
      </c>
      <c r="B966" s="47" t="str">
        <f aca="false">IF(_PENDIENTES!$B$960&lt;&gt;"",_PENDIENTES!$A$960,"")</f>
        <v/>
      </c>
      <c r="C966" s="107" t="str">
        <f aca="false">IF(_PENDIENTES!$B$960&lt;&gt;"",_PENDIENTES!$C$960,"")</f>
        <v/>
      </c>
      <c r="D966" s="106" t="str">
        <f aca="false">IF(_PENDIENTES!$B$960&lt;&gt;"",_PENDIENTES!$D$960,"")</f>
        <v/>
      </c>
      <c r="E966" s="111" t="str">
        <f aca="false">IF(_PENDIENTES!$B$960&lt;&gt;"",_PENDIENTES!$E$960,"")</f>
        <v/>
      </c>
      <c r="F966" s="106" t="str">
        <f aca="false">IF(_PENDIENTES!$B$960&lt;&gt;"",_PENDIENTES!$F$960,"")</f>
        <v/>
      </c>
      <c r="G966" s="50" t="str">
        <f aca="false">IF(_PENDIENTES!$B$960&lt;&gt;"",_PENDIENTES!$G$960,"")</f>
        <v/>
      </c>
      <c r="H966" s="50" t="str">
        <f aca="false">IF(_PENDIENTES!$B$960&lt;&gt;"",_PENDIENTES!$H$960,"")</f>
        <v/>
      </c>
      <c r="I966" s="107" t="str">
        <f aca="false">IF(_PENDIENTES!$B$960&lt;&gt;"",_PENDIENTES!$I$960,"")</f>
        <v/>
      </c>
      <c r="J966" s="106" t="str">
        <f aca="false">IF(_PENDIENTES!$B$960&lt;&gt;"",_PENDIENTES!$J$960,"")</f>
        <v/>
      </c>
      <c r="K966" s="106" t="str">
        <f aca="false">IF(_PENDIENTES!$B$960&lt;&gt;"","POR RECOGER","")</f>
        <v/>
      </c>
      <c r="L966" s="106" t="str">
        <f aca="false">IF(_PENDIENTES!$B$960&lt;&gt;"",_PENDIENTES!$K$960,"")</f>
        <v/>
      </c>
      <c r="M966" s="89" t="str">
        <f aca="false">IF(_PENDIENTES!$B$960&lt;&gt;"",_PENDIENTES!$B$960,"")</f>
        <v/>
      </c>
      <c r="N966" s="109" t="str">
        <f aca="false">IF(_PENDIENTES!$B$960&lt;&gt;"",_PENDIENTES!$L$960,"")</f>
        <v/>
      </c>
      <c r="O966" s="89"/>
      <c r="P966" s="89"/>
      <c r="Q966" s="89"/>
      <c r="R966" s="89"/>
      <c r="S966" s="89"/>
    </row>
    <row r="967" customFormat="false" ht="15.75" hidden="true" customHeight="true" outlineLevel="0" collapsed="false">
      <c r="A967" s="46" t="str">
        <f aca="false">IF(_PENDIENTES!$B$961&lt;&gt;"",960,"")</f>
        <v/>
      </c>
      <c r="B967" s="41" t="str">
        <f aca="false">IF(_PENDIENTES!$B$961&lt;&gt;"",_PENDIENTES!$A$961,"")</f>
        <v/>
      </c>
      <c r="C967" s="110" t="str">
        <f aca="false">IF(_PENDIENTES!$B$961&lt;&gt;"",_PENDIENTES!$C$961,"")</f>
        <v/>
      </c>
      <c r="D967" s="46" t="str">
        <f aca="false">IF(_PENDIENTES!$B$961&lt;&gt;"",_PENDIENTES!$D$961,"")</f>
        <v/>
      </c>
      <c r="E967" s="112" t="str">
        <f aca="false">IF(_PENDIENTES!$B$961&lt;&gt;"",_PENDIENTES!$E$961,"")</f>
        <v/>
      </c>
      <c r="F967" s="46" t="str">
        <f aca="false">IF(_PENDIENTES!$B$961&lt;&gt;"",_PENDIENTES!$F$961,"")</f>
        <v/>
      </c>
      <c r="G967" s="44" t="str">
        <f aca="false">IF(_PENDIENTES!$B$961&lt;&gt;"",_PENDIENTES!$G$961,"")</f>
        <v/>
      </c>
      <c r="H967" s="44" t="str">
        <f aca="false">IF(_PENDIENTES!$B$961&lt;&gt;"",_PENDIENTES!$H$961,"")</f>
        <v/>
      </c>
      <c r="I967" s="110" t="str">
        <f aca="false">IF(_PENDIENTES!$B$961&lt;&gt;"",_PENDIENTES!$I$961,"")</f>
        <v/>
      </c>
      <c r="J967" s="46" t="str">
        <f aca="false">IF(_PENDIENTES!$B$961&lt;&gt;"",_PENDIENTES!$J$961,"")</f>
        <v/>
      </c>
      <c r="K967" s="46" t="str">
        <f aca="false">IF(_PENDIENTES!$B$961&lt;&gt;"","POR RECOGER","")</f>
        <v/>
      </c>
      <c r="L967" s="46" t="str">
        <f aca="false">IF(_PENDIENTES!$B$961&lt;&gt;"",_PENDIENTES!$K$961,"")</f>
        <v/>
      </c>
      <c r="M967" s="89" t="str">
        <f aca="false">IF(_PENDIENTES!$B$961&lt;&gt;"",_PENDIENTES!$B$961,"")</f>
        <v/>
      </c>
      <c r="N967" s="109" t="str">
        <f aca="false">IF(_PENDIENTES!$B$961&lt;&gt;"",_PENDIENTES!$L$961,"")</f>
        <v/>
      </c>
      <c r="O967" s="89"/>
      <c r="P967" s="89"/>
      <c r="Q967" s="89"/>
      <c r="R967" s="89"/>
      <c r="S967" s="89"/>
    </row>
    <row r="968" customFormat="false" ht="15.75" hidden="true" customHeight="true" outlineLevel="0" collapsed="false">
      <c r="A968" s="106" t="str">
        <f aca="false">IF(_PENDIENTES!$B$962&lt;&gt;"",961,"")</f>
        <v/>
      </c>
      <c r="B968" s="47" t="str">
        <f aca="false">IF(_PENDIENTES!$B$962&lt;&gt;"",_PENDIENTES!$A$962,"")</f>
        <v/>
      </c>
      <c r="C968" s="107" t="str">
        <f aca="false">IF(_PENDIENTES!$B$962&lt;&gt;"",_PENDIENTES!$C$962,"")</f>
        <v/>
      </c>
      <c r="D968" s="106" t="str">
        <f aca="false">IF(_PENDIENTES!$B$962&lt;&gt;"",_PENDIENTES!$D$962,"")</f>
        <v/>
      </c>
      <c r="E968" s="111" t="str">
        <f aca="false">IF(_PENDIENTES!$B$962&lt;&gt;"",_PENDIENTES!$E$962,"")</f>
        <v/>
      </c>
      <c r="F968" s="106" t="str">
        <f aca="false">IF(_PENDIENTES!$B$962&lt;&gt;"",_PENDIENTES!$F$962,"")</f>
        <v/>
      </c>
      <c r="G968" s="50" t="str">
        <f aca="false">IF(_PENDIENTES!$B$962&lt;&gt;"",_PENDIENTES!$G$962,"")</f>
        <v/>
      </c>
      <c r="H968" s="50" t="str">
        <f aca="false">IF(_PENDIENTES!$B$962&lt;&gt;"",_PENDIENTES!$H$962,"")</f>
        <v/>
      </c>
      <c r="I968" s="107" t="str">
        <f aca="false">IF(_PENDIENTES!$B$962&lt;&gt;"",_PENDIENTES!$I$962,"")</f>
        <v/>
      </c>
      <c r="J968" s="106" t="str">
        <f aca="false">IF(_PENDIENTES!$B$962&lt;&gt;"",_PENDIENTES!$J$962,"")</f>
        <v/>
      </c>
      <c r="K968" s="106" t="str">
        <f aca="false">IF(_PENDIENTES!$B$962&lt;&gt;"","POR RECOGER","")</f>
        <v/>
      </c>
      <c r="L968" s="106" t="str">
        <f aca="false">IF(_PENDIENTES!$B$962&lt;&gt;"",_PENDIENTES!$K$962,"")</f>
        <v/>
      </c>
      <c r="M968" s="89" t="str">
        <f aca="false">IF(_PENDIENTES!$B$962&lt;&gt;"",_PENDIENTES!$B$962,"")</f>
        <v/>
      </c>
      <c r="N968" s="109" t="str">
        <f aca="false">IF(_PENDIENTES!$B$962&lt;&gt;"",_PENDIENTES!$L$962,"")</f>
        <v/>
      </c>
      <c r="O968" s="89"/>
      <c r="P968" s="89"/>
      <c r="Q968" s="89"/>
      <c r="R968" s="89"/>
      <c r="S968" s="89"/>
    </row>
    <row r="969" customFormat="false" ht="15.75" hidden="true" customHeight="true" outlineLevel="0" collapsed="false">
      <c r="A969" s="46" t="str">
        <f aca="false">IF(_PENDIENTES!$B$963&lt;&gt;"",962,"")</f>
        <v/>
      </c>
      <c r="B969" s="41" t="str">
        <f aca="false">IF(_PENDIENTES!$B$963&lt;&gt;"",_PENDIENTES!$A$963,"")</f>
        <v/>
      </c>
      <c r="C969" s="110" t="str">
        <f aca="false">IF(_PENDIENTES!$B$963&lt;&gt;"",_PENDIENTES!$C$963,"")</f>
        <v/>
      </c>
      <c r="D969" s="46" t="str">
        <f aca="false">IF(_PENDIENTES!$B$963&lt;&gt;"",_PENDIENTES!$D$963,"")</f>
        <v/>
      </c>
      <c r="E969" s="112" t="str">
        <f aca="false">IF(_PENDIENTES!$B$963&lt;&gt;"",_PENDIENTES!$E$963,"")</f>
        <v/>
      </c>
      <c r="F969" s="46" t="str">
        <f aca="false">IF(_PENDIENTES!$B$963&lt;&gt;"",_PENDIENTES!$F$963,"")</f>
        <v/>
      </c>
      <c r="G969" s="44" t="str">
        <f aca="false">IF(_PENDIENTES!$B$963&lt;&gt;"",_PENDIENTES!$G$963,"")</f>
        <v/>
      </c>
      <c r="H969" s="44" t="str">
        <f aca="false">IF(_PENDIENTES!$B$963&lt;&gt;"",_PENDIENTES!$H$963,"")</f>
        <v/>
      </c>
      <c r="I969" s="110" t="str">
        <f aca="false">IF(_PENDIENTES!$B$963&lt;&gt;"",_PENDIENTES!$I$963,"")</f>
        <v/>
      </c>
      <c r="J969" s="46" t="str">
        <f aca="false">IF(_PENDIENTES!$B$963&lt;&gt;"",_PENDIENTES!$J$963,"")</f>
        <v/>
      </c>
      <c r="K969" s="46" t="str">
        <f aca="false">IF(_PENDIENTES!$B$963&lt;&gt;"","POR RECOGER","")</f>
        <v/>
      </c>
      <c r="L969" s="46" t="str">
        <f aca="false">IF(_PENDIENTES!$B$963&lt;&gt;"",_PENDIENTES!$K$963,"")</f>
        <v/>
      </c>
      <c r="M969" s="89" t="str">
        <f aca="false">IF(_PENDIENTES!$B$963&lt;&gt;"",_PENDIENTES!$B$963,"")</f>
        <v/>
      </c>
      <c r="N969" s="109" t="str">
        <f aca="false">IF(_PENDIENTES!$B$963&lt;&gt;"",_PENDIENTES!$L$963,"")</f>
        <v/>
      </c>
      <c r="O969" s="89"/>
      <c r="P969" s="89"/>
      <c r="Q969" s="89"/>
      <c r="R969" s="89"/>
      <c r="S969" s="89"/>
    </row>
    <row r="970" customFormat="false" ht="15.75" hidden="true" customHeight="true" outlineLevel="0" collapsed="false">
      <c r="A970" s="106" t="str">
        <f aca="false">IF(_PENDIENTES!$B$964&lt;&gt;"",963,"")</f>
        <v/>
      </c>
      <c r="B970" s="47" t="str">
        <f aca="false">IF(_PENDIENTES!$B$964&lt;&gt;"",_PENDIENTES!$A$964,"")</f>
        <v/>
      </c>
      <c r="C970" s="107" t="str">
        <f aca="false">IF(_PENDIENTES!$B$964&lt;&gt;"",_PENDIENTES!$C$964,"")</f>
        <v/>
      </c>
      <c r="D970" s="106" t="str">
        <f aca="false">IF(_PENDIENTES!$B$964&lt;&gt;"",_PENDIENTES!$D$964,"")</f>
        <v/>
      </c>
      <c r="E970" s="111" t="str">
        <f aca="false">IF(_PENDIENTES!$B$964&lt;&gt;"",_PENDIENTES!$E$964,"")</f>
        <v/>
      </c>
      <c r="F970" s="106" t="str">
        <f aca="false">IF(_PENDIENTES!$B$964&lt;&gt;"",_PENDIENTES!$F$964,"")</f>
        <v/>
      </c>
      <c r="G970" s="50" t="str">
        <f aca="false">IF(_PENDIENTES!$B$964&lt;&gt;"",_PENDIENTES!$G$964,"")</f>
        <v/>
      </c>
      <c r="H970" s="50" t="str">
        <f aca="false">IF(_PENDIENTES!$B$964&lt;&gt;"",_PENDIENTES!$H$964,"")</f>
        <v/>
      </c>
      <c r="I970" s="107" t="str">
        <f aca="false">IF(_PENDIENTES!$B$964&lt;&gt;"",_PENDIENTES!$I$964,"")</f>
        <v/>
      </c>
      <c r="J970" s="106" t="str">
        <f aca="false">IF(_PENDIENTES!$B$964&lt;&gt;"",_PENDIENTES!$J$964,"")</f>
        <v/>
      </c>
      <c r="K970" s="106" t="str">
        <f aca="false">IF(_PENDIENTES!$B$964&lt;&gt;"","POR RECOGER","")</f>
        <v/>
      </c>
      <c r="L970" s="106" t="str">
        <f aca="false">IF(_PENDIENTES!$B$964&lt;&gt;"",_PENDIENTES!$K$964,"")</f>
        <v/>
      </c>
      <c r="M970" s="89" t="str">
        <f aca="false">IF(_PENDIENTES!$B$964&lt;&gt;"",_PENDIENTES!$B$964,"")</f>
        <v/>
      </c>
      <c r="N970" s="109" t="str">
        <f aca="false">IF(_PENDIENTES!$B$964&lt;&gt;"",_PENDIENTES!$L$964,"")</f>
        <v/>
      </c>
      <c r="O970" s="89"/>
      <c r="P970" s="89"/>
      <c r="Q970" s="89"/>
      <c r="R970" s="89"/>
      <c r="S970" s="89"/>
    </row>
    <row r="971" customFormat="false" ht="15.75" hidden="true" customHeight="true" outlineLevel="0" collapsed="false">
      <c r="A971" s="46" t="str">
        <f aca="false">IF(_PENDIENTES!$B$965&lt;&gt;"",964,"")</f>
        <v/>
      </c>
      <c r="B971" s="41" t="str">
        <f aca="false">IF(_PENDIENTES!$B$965&lt;&gt;"",_PENDIENTES!$A$965,"")</f>
        <v/>
      </c>
      <c r="C971" s="110" t="str">
        <f aca="false">IF(_PENDIENTES!$B$965&lt;&gt;"",_PENDIENTES!$C$965,"")</f>
        <v/>
      </c>
      <c r="D971" s="46" t="str">
        <f aca="false">IF(_PENDIENTES!$B$965&lt;&gt;"",_PENDIENTES!$D$965,"")</f>
        <v/>
      </c>
      <c r="E971" s="112" t="str">
        <f aca="false">IF(_PENDIENTES!$B$965&lt;&gt;"",_PENDIENTES!$E$965,"")</f>
        <v/>
      </c>
      <c r="F971" s="46" t="str">
        <f aca="false">IF(_PENDIENTES!$B$965&lt;&gt;"",_PENDIENTES!$F$965,"")</f>
        <v/>
      </c>
      <c r="G971" s="44" t="str">
        <f aca="false">IF(_PENDIENTES!$B$965&lt;&gt;"",_PENDIENTES!$G$965,"")</f>
        <v/>
      </c>
      <c r="H971" s="44" t="str">
        <f aca="false">IF(_PENDIENTES!$B$965&lt;&gt;"",_PENDIENTES!$H$965,"")</f>
        <v/>
      </c>
      <c r="I971" s="110" t="str">
        <f aca="false">IF(_PENDIENTES!$B$965&lt;&gt;"",_PENDIENTES!$I$965,"")</f>
        <v/>
      </c>
      <c r="J971" s="46" t="str">
        <f aca="false">IF(_PENDIENTES!$B$965&lt;&gt;"",_PENDIENTES!$J$965,"")</f>
        <v/>
      </c>
      <c r="K971" s="46" t="str">
        <f aca="false">IF(_PENDIENTES!$B$965&lt;&gt;"","POR RECOGER","")</f>
        <v/>
      </c>
      <c r="L971" s="46" t="str">
        <f aca="false">IF(_PENDIENTES!$B$965&lt;&gt;"",_PENDIENTES!$K$965,"")</f>
        <v/>
      </c>
      <c r="M971" s="89" t="str">
        <f aca="false">IF(_PENDIENTES!$B$965&lt;&gt;"",_PENDIENTES!$B$965,"")</f>
        <v/>
      </c>
      <c r="N971" s="109" t="str">
        <f aca="false">IF(_PENDIENTES!$B$965&lt;&gt;"",_PENDIENTES!$L$965,"")</f>
        <v/>
      </c>
      <c r="O971" s="89"/>
      <c r="P971" s="89"/>
      <c r="Q971" s="89"/>
      <c r="R971" s="89"/>
      <c r="S971" s="89"/>
    </row>
    <row r="972" customFormat="false" ht="15.75" hidden="true" customHeight="true" outlineLevel="0" collapsed="false">
      <c r="A972" s="106" t="str">
        <f aca="false">IF(_PENDIENTES!$B$966&lt;&gt;"",965,"")</f>
        <v/>
      </c>
      <c r="B972" s="47" t="str">
        <f aca="false">IF(_PENDIENTES!$B$966&lt;&gt;"",_PENDIENTES!$A$966,"")</f>
        <v/>
      </c>
      <c r="C972" s="107" t="str">
        <f aca="false">IF(_PENDIENTES!$B$966&lt;&gt;"",_PENDIENTES!$C$966,"")</f>
        <v/>
      </c>
      <c r="D972" s="106" t="str">
        <f aca="false">IF(_PENDIENTES!$B$966&lt;&gt;"",_PENDIENTES!$D$966,"")</f>
        <v/>
      </c>
      <c r="E972" s="111" t="str">
        <f aca="false">IF(_PENDIENTES!$B$966&lt;&gt;"",_PENDIENTES!$E$966,"")</f>
        <v/>
      </c>
      <c r="F972" s="106" t="str">
        <f aca="false">IF(_PENDIENTES!$B$966&lt;&gt;"",_PENDIENTES!$F$966,"")</f>
        <v/>
      </c>
      <c r="G972" s="50" t="str">
        <f aca="false">IF(_PENDIENTES!$B$966&lt;&gt;"",_PENDIENTES!$G$966,"")</f>
        <v/>
      </c>
      <c r="H972" s="50" t="str">
        <f aca="false">IF(_PENDIENTES!$B$966&lt;&gt;"",_PENDIENTES!$H$966,"")</f>
        <v/>
      </c>
      <c r="I972" s="107" t="str">
        <f aca="false">IF(_PENDIENTES!$B$966&lt;&gt;"",_PENDIENTES!$I$966,"")</f>
        <v/>
      </c>
      <c r="J972" s="106" t="str">
        <f aca="false">IF(_PENDIENTES!$B$966&lt;&gt;"",_PENDIENTES!$J$966,"")</f>
        <v/>
      </c>
      <c r="K972" s="106" t="str">
        <f aca="false">IF(_PENDIENTES!$B$966&lt;&gt;"","POR RECOGER","")</f>
        <v/>
      </c>
      <c r="L972" s="106" t="str">
        <f aca="false">IF(_PENDIENTES!$B$966&lt;&gt;"",_PENDIENTES!$K$966,"")</f>
        <v/>
      </c>
      <c r="M972" s="89" t="str">
        <f aca="false">IF(_PENDIENTES!$B$966&lt;&gt;"",_PENDIENTES!$B$966,"")</f>
        <v/>
      </c>
      <c r="N972" s="109" t="str">
        <f aca="false">IF(_PENDIENTES!$B$966&lt;&gt;"",_PENDIENTES!$L$966,"")</f>
        <v/>
      </c>
      <c r="O972" s="89"/>
      <c r="P972" s="89"/>
      <c r="Q972" s="89"/>
      <c r="R972" s="89"/>
      <c r="S972" s="89"/>
    </row>
    <row r="973" customFormat="false" ht="15.75" hidden="true" customHeight="true" outlineLevel="0" collapsed="false">
      <c r="A973" s="46" t="str">
        <f aca="false">IF(_PENDIENTES!$B$967&lt;&gt;"",966,"")</f>
        <v/>
      </c>
      <c r="B973" s="41" t="str">
        <f aca="false">IF(_PENDIENTES!$B$967&lt;&gt;"",_PENDIENTES!$A$967,"")</f>
        <v/>
      </c>
      <c r="C973" s="110" t="str">
        <f aca="false">IF(_PENDIENTES!$B$967&lt;&gt;"",_PENDIENTES!$C$967,"")</f>
        <v/>
      </c>
      <c r="D973" s="46" t="str">
        <f aca="false">IF(_PENDIENTES!$B$967&lt;&gt;"",_PENDIENTES!$D$967,"")</f>
        <v/>
      </c>
      <c r="E973" s="112" t="str">
        <f aca="false">IF(_PENDIENTES!$B$967&lt;&gt;"",_PENDIENTES!$E$967,"")</f>
        <v/>
      </c>
      <c r="F973" s="46" t="str">
        <f aca="false">IF(_PENDIENTES!$B$967&lt;&gt;"",_PENDIENTES!$F$967,"")</f>
        <v/>
      </c>
      <c r="G973" s="44" t="str">
        <f aca="false">IF(_PENDIENTES!$B$967&lt;&gt;"",_PENDIENTES!$G$967,"")</f>
        <v/>
      </c>
      <c r="H973" s="44" t="str">
        <f aca="false">IF(_PENDIENTES!$B$967&lt;&gt;"",_PENDIENTES!$H$967,"")</f>
        <v/>
      </c>
      <c r="I973" s="110" t="str">
        <f aca="false">IF(_PENDIENTES!$B$967&lt;&gt;"",_PENDIENTES!$I$967,"")</f>
        <v/>
      </c>
      <c r="J973" s="46" t="str">
        <f aca="false">IF(_PENDIENTES!$B$967&lt;&gt;"",_PENDIENTES!$J$967,"")</f>
        <v/>
      </c>
      <c r="K973" s="46" t="str">
        <f aca="false">IF(_PENDIENTES!$B$967&lt;&gt;"","POR RECOGER","")</f>
        <v/>
      </c>
      <c r="L973" s="46" t="str">
        <f aca="false">IF(_PENDIENTES!$B$967&lt;&gt;"",_PENDIENTES!$K$967,"")</f>
        <v/>
      </c>
      <c r="M973" s="89" t="str">
        <f aca="false">IF(_PENDIENTES!$B$967&lt;&gt;"",_PENDIENTES!$B$967,"")</f>
        <v/>
      </c>
      <c r="N973" s="109" t="str">
        <f aca="false">IF(_PENDIENTES!$B$967&lt;&gt;"",_PENDIENTES!$L$967,"")</f>
        <v/>
      </c>
      <c r="O973" s="89"/>
      <c r="P973" s="89"/>
      <c r="Q973" s="89"/>
      <c r="R973" s="89"/>
      <c r="S973" s="89"/>
    </row>
    <row r="974" customFormat="false" ht="15.75" hidden="true" customHeight="true" outlineLevel="0" collapsed="false">
      <c r="A974" s="106" t="str">
        <f aca="false">IF(_PENDIENTES!$B$968&lt;&gt;"",967,"")</f>
        <v/>
      </c>
      <c r="B974" s="47" t="str">
        <f aca="false">IF(_PENDIENTES!$B$968&lt;&gt;"",_PENDIENTES!$A$968,"")</f>
        <v/>
      </c>
      <c r="C974" s="107" t="str">
        <f aca="false">IF(_PENDIENTES!$B$968&lt;&gt;"",_PENDIENTES!$C$968,"")</f>
        <v/>
      </c>
      <c r="D974" s="106" t="str">
        <f aca="false">IF(_PENDIENTES!$B$968&lt;&gt;"",_PENDIENTES!$D$968,"")</f>
        <v/>
      </c>
      <c r="E974" s="111" t="str">
        <f aca="false">IF(_PENDIENTES!$B$968&lt;&gt;"",_PENDIENTES!$E$968,"")</f>
        <v/>
      </c>
      <c r="F974" s="106" t="str">
        <f aca="false">IF(_PENDIENTES!$B$968&lt;&gt;"",_PENDIENTES!$F$968,"")</f>
        <v/>
      </c>
      <c r="G974" s="50" t="str">
        <f aca="false">IF(_PENDIENTES!$B$968&lt;&gt;"",_PENDIENTES!$G$968,"")</f>
        <v/>
      </c>
      <c r="H974" s="50" t="str">
        <f aca="false">IF(_PENDIENTES!$B$968&lt;&gt;"",_PENDIENTES!$H$968,"")</f>
        <v/>
      </c>
      <c r="I974" s="107" t="str">
        <f aca="false">IF(_PENDIENTES!$B$968&lt;&gt;"",_PENDIENTES!$I$968,"")</f>
        <v/>
      </c>
      <c r="J974" s="106" t="str">
        <f aca="false">IF(_PENDIENTES!$B$968&lt;&gt;"",_PENDIENTES!$J$968,"")</f>
        <v/>
      </c>
      <c r="K974" s="106" t="str">
        <f aca="false">IF(_PENDIENTES!$B$968&lt;&gt;"","POR RECOGER","")</f>
        <v/>
      </c>
      <c r="L974" s="106" t="str">
        <f aca="false">IF(_PENDIENTES!$B$968&lt;&gt;"",_PENDIENTES!$K$968,"")</f>
        <v/>
      </c>
      <c r="M974" s="89" t="str">
        <f aca="false">IF(_PENDIENTES!$B$968&lt;&gt;"",_PENDIENTES!$B$968,"")</f>
        <v/>
      </c>
      <c r="N974" s="109" t="str">
        <f aca="false">IF(_PENDIENTES!$B$968&lt;&gt;"",_PENDIENTES!$L$968,"")</f>
        <v/>
      </c>
      <c r="O974" s="89"/>
      <c r="P974" s="89"/>
      <c r="Q974" s="89"/>
      <c r="R974" s="89"/>
      <c r="S974" s="89"/>
    </row>
    <row r="975" customFormat="false" ht="15.75" hidden="true" customHeight="true" outlineLevel="0" collapsed="false">
      <c r="A975" s="46" t="str">
        <f aca="false">IF(_PENDIENTES!$B$969&lt;&gt;"",968,"")</f>
        <v/>
      </c>
      <c r="B975" s="41" t="str">
        <f aca="false">IF(_PENDIENTES!$B$969&lt;&gt;"",_PENDIENTES!$A$969,"")</f>
        <v/>
      </c>
      <c r="C975" s="110" t="str">
        <f aca="false">IF(_PENDIENTES!$B$969&lt;&gt;"",_PENDIENTES!$C$969,"")</f>
        <v/>
      </c>
      <c r="D975" s="46" t="str">
        <f aca="false">IF(_PENDIENTES!$B$969&lt;&gt;"",_PENDIENTES!$D$969,"")</f>
        <v/>
      </c>
      <c r="E975" s="112" t="str">
        <f aca="false">IF(_PENDIENTES!$B$969&lt;&gt;"",_PENDIENTES!$E$969,"")</f>
        <v/>
      </c>
      <c r="F975" s="46" t="str">
        <f aca="false">IF(_PENDIENTES!$B$969&lt;&gt;"",_PENDIENTES!$F$969,"")</f>
        <v/>
      </c>
      <c r="G975" s="44" t="str">
        <f aca="false">IF(_PENDIENTES!$B$969&lt;&gt;"",_PENDIENTES!$G$969,"")</f>
        <v/>
      </c>
      <c r="H975" s="44" t="str">
        <f aca="false">IF(_PENDIENTES!$B$969&lt;&gt;"",_PENDIENTES!$H$969,"")</f>
        <v/>
      </c>
      <c r="I975" s="110" t="str">
        <f aca="false">IF(_PENDIENTES!$B$969&lt;&gt;"",_PENDIENTES!$I$969,"")</f>
        <v/>
      </c>
      <c r="J975" s="46" t="str">
        <f aca="false">IF(_PENDIENTES!$B$969&lt;&gt;"",_PENDIENTES!$J$969,"")</f>
        <v/>
      </c>
      <c r="K975" s="46" t="str">
        <f aca="false">IF(_PENDIENTES!$B$969&lt;&gt;"","POR RECOGER","")</f>
        <v/>
      </c>
      <c r="L975" s="46" t="str">
        <f aca="false">IF(_PENDIENTES!$B$969&lt;&gt;"",_PENDIENTES!$K$969,"")</f>
        <v/>
      </c>
      <c r="M975" s="89" t="str">
        <f aca="false">IF(_PENDIENTES!$B$969&lt;&gt;"",_PENDIENTES!$B$969,"")</f>
        <v/>
      </c>
      <c r="N975" s="109" t="str">
        <f aca="false">IF(_PENDIENTES!$B$969&lt;&gt;"",_PENDIENTES!$L$969,"")</f>
        <v/>
      </c>
      <c r="O975" s="89"/>
      <c r="P975" s="89"/>
      <c r="Q975" s="89"/>
      <c r="R975" s="89"/>
      <c r="S975" s="89"/>
    </row>
    <row r="976" customFormat="false" ht="15.75" hidden="true" customHeight="true" outlineLevel="0" collapsed="false">
      <c r="A976" s="106" t="str">
        <f aca="false">IF(_PENDIENTES!$B$970&lt;&gt;"",969,"")</f>
        <v/>
      </c>
      <c r="B976" s="47" t="str">
        <f aca="false">IF(_PENDIENTES!$B$970&lt;&gt;"",_PENDIENTES!$A$970,"")</f>
        <v/>
      </c>
      <c r="C976" s="107" t="str">
        <f aca="false">IF(_PENDIENTES!$B$970&lt;&gt;"",_PENDIENTES!$C$970,"")</f>
        <v/>
      </c>
      <c r="D976" s="106" t="str">
        <f aca="false">IF(_PENDIENTES!$B$970&lt;&gt;"",_PENDIENTES!$D$970,"")</f>
        <v/>
      </c>
      <c r="E976" s="111" t="str">
        <f aca="false">IF(_PENDIENTES!$B$970&lt;&gt;"",_PENDIENTES!$E$970,"")</f>
        <v/>
      </c>
      <c r="F976" s="106" t="str">
        <f aca="false">IF(_PENDIENTES!$B$970&lt;&gt;"",_PENDIENTES!$F$970,"")</f>
        <v/>
      </c>
      <c r="G976" s="50" t="str">
        <f aca="false">IF(_PENDIENTES!$B$970&lt;&gt;"",_PENDIENTES!$G$970,"")</f>
        <v/>
      </c>
      <c r="H976" s="50" t="str">
        <f aca="false">IF(_PENDIENTES!$B$970&lt;&gt;"",_PENDIENTES!$H$970,"")</f>
        <v/>
      </c>
      <c r="I976" s="107" t="str">
        <f aca="false">IF(_PENDIENTES!$B$970&lt;&gt;"",_PENDIENTES!$I$970,"")</f>
        <v/>
      </c>
      <c r="J976" s="106" t="str">
        <f aca="false">IF(_PENDIENTES!$B$970&lt;&gt;"",_PENDIENTES!$J$970,"")</f>
        <v/>
      </c>
      <c r="K976" s="106" t="str">
        <f aca="false">IF(_PENDIENTES!$B$970&lt;&gt;"","POR RECOGER","")</f>
        <v/>
      </c>
      <c r="L976" s="106" t="str">
        <f aca="false">IF(_PENDIENTES!$B$970&lt;&gt;"",_PENDIENTES!$K$970,"")</f>
        <v/>
      </c>
      <c r="M976" s="89" t="str">
        <f aca="false">IF(_PENDIENTES!$B$970&lt;&gt;"",_PENDIENTES!$B$970,"")</f>
        <v/>
      </c>
      <c r="N976" s="109" t="str">
        <f aca="false">IF(_PENDIENTES!$B$970&lt;&gt;"",_PENDIENTES!$L$970,"")</f>
        <v/>
      </c>
      <c r="O976" s="89"/>
      <c r="P976" s="89"/>
      <c r="Q976" s="89"/>
      <c r="R976" s="89"/>
      <c r="S976" s="89"/>
    </row>
    <row r="977" customFormat="false" ht="15.75" hidden="true" customHeight="true" outlineLevel="0" collapsed="false">
      <c r="A977" s="46" t="str">
        <f aca="false">IF(_PENDIENTES!$B$971&lt;&gt;"",970,"")</f>
        <v/>
      </c>
      <c r="B977" s="41" t="str">
        <f aca="false">IF(_PENDIENTES!$B$971&lt;&gt;"",_PENDIENTES!$A$971,"")</f>
        <v/>
      </c>
      <c r="C977" s="110" t="str">
        <f aca="false">IF(_PENDIENTES!$B$971&lt;&gt;"",_PENDIENTES!$C$971,"")</f>
        <v/>
      </c>
      <c r="D977" s="46" t="str">
        <f aca="false">IF(_PENDIENTES!$B$971&lt;&gt;"",_PENDIENTES!$D$971,"")</f>
        <v/>
      </c>
      <c r="E977" s="112" t="str">
        <f aca="false">IF(_PENDIENTES!$B$971&lt;&gt;"",_PENDIENTES!$E$971,"")</f>
        <v/>
      </c>
      <c r="F977" s="46" t="str">
        <f aca="false">IF(_PENDIENTES!$B$971&lt;&gt;"",_PENDIENTES!$F$971,"")</f>
        <v/>
      </c>
      <c r="G977" s="44" t="str">
        <f aca="false">IF(_PENDIENTES!$B$971&lt;&gt;"",_PENDIENTES!$G$971,"")</f>
        <v/>
      </c>
      <c r="H977" s="44" t="str">
        <f aca="false">IF(_PENDIENTES!$B$971&lt;&gt;"",_PENDIENTES!$H$971,"")</f>
        <v/>
      </c>
      <c r="I977" s="110" t="str">
        <f aca="false">IF(_PENDIENTES!$B$971&lt;&gt;"",_PENDIENTES!$I$971,"")</f>
        <v/>
      </c>
      <c r="J977" s="46" t="str">
        <f aca="false">IF(_PENDIENTES!$B$971&lt;&gt;"",_PENDIENTES!$J$971,"")</f>
        <v/>
      </c>
      <c r="K977" s="46" t="str">
        <f aca="false">IF(_PENDIENTES!$B$971&lt;&gt;"","POR RECOGER","")</f>
        <v/>
      </c>
      <c r="L977" s="46" t="str">
        <f aca="false">IF(_PENDIENTES!$B$971&lt;&gt;"",_PENDIENTES!$K$971,"")</f>
        <v/>
      </c>
      <c r="M977" s="89" t="str">
        <f aca="false">IF(_PENDIENTES!$B$971&lt;&gt;"",_PENDIENTES!$B$971,"")</f>
        <v/>
      </c>
      <c r="N977" s="109" t="str">
        <f aca="false">IF(_PENDIENTES!$B$971&lt;&gt;"",_PENDIENTES!$L$971,"")</f>
        <v/>
      </c>
      <c r="O977" s="89"/>
      <c r="P977" s="89"/>
      <c r="Q977" s="89"/>
      <c r="R977" s="89"/>
      <c r="S977" s="89"/>
    </row>
    <row r="978" customFormat="false" ht="15.75" hidden="true" customHeight="true" outlineLevel="0" collapsed="false">
      <c r="A978" s="106" t="str">
        <f aca="false">IF(_PENDIENTES!$B$972&lt;&gt;"",971,"")</f>
        <v/>
      </c>
      <c r="B978" s="47" t="str">
        <f aca="false">IF(_PENDIENTES!$B$972&lt;&gt;"",_PENDIENTES!$A$972,"")</f>
        <v/>
      </c>
      <c r="C978" s="107" t="str">
        <f aca="false">IF(_PENDIENTES!$B$972&lt;&gt;"",_PENDIENTES!$C$972,"")</f>
        <v/>
      </c>
      <c r="D978" s="106" t="str">
        <f aca="false">IF(_PENDIENTES!$B$972&lt;&gt;"",_PENDIENTES!$D$972,"")</f>
        <v/>
      </c>
      <c r="E978" s="111" t="str">
        <f aca="false">IF(_PENDIENTES!$B$972&lt;&gt;"",_PENDIENTES!$E$972,"")</f>
        <v/>
      </c>
      <c r="F978" s="106" t="str">
        <f aca="false">IF(_PENDIENTES!$B$972&lt;&gt;"",_PENDIENTES!$F$972,"")</f>
        <v/>
      </c>
      <c r="G978" s="50" t="str">
        <f aca="false">IF(_PENDIENTES!$B$972&lt;&gt;"",_PENDIENTES!$G$972,"")</f>
        <v/>
      </c>
      <c r="H978" s="50" t="str">
        <f aca="false">IF(_PENDIENTES!$B$972&lt;&gt;"",_PENDIENTES!$H$972,"")</f>
        <v/>
      </c>
      <c r="I978" s="107" t="str">
        <f aca="false">IF(_PENDIENTES!$B$972&lt;&gt;"",_PENDIENTES!$I$972,"")</f>
        <v/>
      </c>
      <c r="J978" s="106" t="str">
        <f aca="false">IF(_PENDIENTES!$B$972&lt;&gt;"",_PENDIENTES!$J$972,"")</f>
        <v/>
      </c>
      <c r="K978" s="106" t="str">
        <f aca="false">IF(_PENDIENTES!$B$972&lt;&gt;"","POR RECOGER","")</f>
        <v/>
      </c>
      <c r="L978" s="106" t="str">
        <f aca="false">IF(_PENDIENTES!$B$972&lt;&gt;"",_PENDIENTES!$K$972,"")</f>
        <v/>
      </c>
      <c r="M978" s="89" t="str">
        <f aca="false">IF(_PENDIENTES!$B$972&lt;&gt;"",_PENDIENTES!$B$972,"")</f>
        <v/>
      </c>
      <c r="N978" s="109" t="str">
        <f aca="false">IF(_PENDIENTES!$B$972&lt;&gt;"",_PENDIENTES!$L$972,"")</f>
        <v/>
      </c>
      <c r="O978" s="89"/>
      <c r="P978" s="89"/>
      <c r="Q978" s="89"/>
      <c r="R978" s="89"/>
      <c r="S978" s="89"/>
    </row>
    <row r="979" customFormat="false" ht="15.75" hidden="true" customHeight="true" outlineLevel="0" collapsed="false">
      <c r="A979" s="46" t="str">
        <f aca="false">IF(_PENDIENTES!$B$973&lt;&gt;"",972,"")</f>
        <v/>
      </c>
      <c r="B979" s="41" t="str">
        <f aca="false">IF(_PENDIENTES!$B$973&lt;&gt;"",_PENDIENTES!$A$973,"")</f>
        <v/>
      </c>
      <c r="C979" s="110" t="str">
        <f aca="false">IF(_PENDIENTES!$B$973&lt;&gt;"",_PENDIENTES!$C$973,"")</f>
        <v/>
      </c>
      <c r="D979" s="46" t="str">
        <f aca="false">IF(_PENDIENTES!$B$973&lt;&gt;"",_PENDIENTES!$D$973,"")</f>
        <v/>
      </c>
      <c r="E979" s="112" t="str">
        <f aca="false">IF(_PENDIENTES!$B$973&lt;&gt;"",_PENDIENTES!$E$973,"")</f>
        <v/>
      </c>
      <c r="F979" s="46" t="str">
        <f aca="false">IF(_PENDIENTES!$B$973&lt;&gt;"",_PENDIENTES!$F$973,"")</f>
        <v/>
      </c>
      <c r="G979" s="44" t="str">
        <f aca="false">IF(_PENDIENTES!$B$973&lt;&gt;"",_PENDIENTES!$G$973,"")</f>
        <v/>
      </c>
      <c r="H979" s="44" t="str">
        <f aca="false">IF(_PENDIENTES!$B$973&lt;&gt;"",_PENDIENTES!$H$973,"")</f>
        <v/>
      </c>
      <c r="I979" s="110" t="str">
        <f aca="false">IF(_PENDIENTES!$B$973&lt;&gt;"",_PENDIENTES!$I$973,"")</f>
        <v/>
      </c>
      <c r="J979" s="46" t="str">
        <f aca="false">IF(_PENDIENTES!$B$973&lt;&gt;"",_PENDIENTES!$J$973,"")</f>
        <v/>
      </c>
      <c r="K979" s="46" t="str">
        <f aca="false">IF(_PENDIENTES!$B$973&lt;&gt;"","POR RECOGER","")</f>
        <v/>
      </c>
      <c r="L979" s="46" t="str">
        <f aca="false">IF(_PENDIENTES!$B$973&lt;&gt;"",_PENDIENTES!$K$973,"")</f>
        <v/>
      </c>
      <c r="M979" s="89" t="str">
        <f aca="false">IF(_PENDIENTES!$B$973&lt;&gt;"",_PENDIENTES!$B$973,"")</f>
        <v/>
      </c>
      <c r="N979" s="109" t="str">
        <f aca="false">IF(_PENDIENTES!$B$973&lt;&gt;"",_PENDIENTES!$L$973,"")</f>
        <v/>
      </c>
      <c r="O979" s="89"/>
      <c r="P979" s="89"/>
      <c r="Q979" s="89"/>
      <c r="R979" s="89"/>
      <c r="S979" s="89"/>
    </row>
    <row r="980" customFormat="false" ht="15.75" hidden="true" customHeight="true" outlineLevel="0" collapsed="false">
      <c r="A980" s="106" t="str">
        <f aca="false">IF(_PENDIENTES!$B$974&lt;&gt;"",973,"")</f>
        <v/>
      </c>
      <c r="B980" s="47" t="str">
        <f aca="false">IF(_PENDIENTES!$B$974&lt;&gt;"",_PENDIENTES!$A$974,"")</f>
        <v/>
      </c>
      <c r="C980" s="107" t="str">
        <f aca="false">IF(_PENDIENTES!$B$974&lt;&gt;"",_PENDIENTES!$C$974,"")</f>
        <v/>
      </c>
      <c r="D980" s="106" t="str">
        <f aca="false">IF(_PENDIENTES!$B$974&lt;&gt;"",_PENDIENTES!$D$974,"")</f>
        <v/>
      </c>
      <c r="E980" s="111" t="str">
        <f aca="false">IF(_PENDIENTES!$B$974&lt;&gt;"",_PENDIENTES!$E$974,"")</f>
        <v/>
      </c>
      <c r="F980" s="106" t="str">
        <f aca="false">IF(_PENDIENTES!$B$974&lt;&gt;"",_PENDIENTES!$F$974,"")</f>
        <v/>
      </c>
      <c r="G980" s="50" t="str">
        <f aca="false">IF(_PENDIENTES!$B$974&lt;&gt;"",_PENDIENTES!$G$974,"")</f>
        <v/>
      </c>
      <c r="H980" s="50" t="str">
        <f aca="false">IF(_PENDIENTES!$B$974&lt;&gt;"",_PENDIENTES!$H$974,"")</f>
        <v/>
      </c>
      <c r="I980" s="107" t="str">
        <f aca="false">IF(_PENDIENTES!$B$974&lt;&gt;"",_PENDIENTES!$I$974,"")</f>
        <v/>
      </c>
      <c r="J980" s="106" t="str">
        <f aca="false">IF(_PENDIENTES!$B$974&lt;&gt;"",_PENDIENTES!$J$974,"")</f>
        <v/>
      </c>
      <c r="K980" s="106" t="str">
        <f aca="false">IF(_PENDIENTES!$B$974&lt;&gt;"","POR RECOGER","")</f>
        <v/>
      </c>
      <c r="L980" s="106" t="str">
        <f aca="false">IF(_PENDIENTES!$B$974&lt;&gt;"",_PENDIENTES!$K$974,"")</f>
        <v/>
      </c>
      <c r="M980" s="89" t="str">
        <f aca="false">IF(_PENDIENTES!$B$974&lt;&gt;"",_PENDIENTES!$B$974,"")</f>
        <v/>
      </c>
      <c r="N980" s="109" t="str">
        <f aca="false">IF(_PENDIENTES!$B$974&lt;&gt;"",_PENDIENTES!$L$974,"")</f>
        <v/>
      </c>
      <c r="O980" s="89"/>
      <c r="P980" s="89"/>
      <c r="Q980" s="89"/>
      <c r="R980" s="89"/>
      <c r="S980" s="89"/>
    </row>
    <row r="981" customFormat="false" ht="15.75" hidden="true" customHeight="true" outlineLevel="0" collapsed="false">
      <c r="A981" s="46" t="str">
        <f aca="false">IF(_PENDIENTES!$B$975&lt;&gt;"",974,"")</f>
        <v/>
      </c>
      <c r="B981" s="41" t="str">
        <f aca="false">IF(_PENDIENTES!$B$975&lt;&gt;"",_PENDIENTES!$A$975,"")</f>
        <v/>
      </c>
      <c r="C981" s="110" t="str">
        <f aca="false">IF(_PENDIENTES!$B$975&lt;&gt;"",_PENDIENTES!$C$975,"")</f>
        <v/>
      </c>
      <c r="D981" s="46" t="str">
        <f aca="false">IF(_PENDIENTES!$B$975&lt;&gt;"",_PENDIENTES!$D$975,"")</f>
        <v/>
      </c>
      <c r="E981" s="112" t="str">
        <f aca="false">IF(_PENDIENTES!$B$975&lt;&gt;"",_PENDIENTES!$E$975,"")</f>
        <v/>
      </c>
      <c r="F981" s="46" t="str">
        <f aca="false">IF(_PENDIENTES!$B$975&lt;&gt;"",_PENDIENTES!$F$975,"")</f>
        <v/>
      </c>
      <c r="G981" s="44" t="str">
        <f aca="false">IF(_PENDIENTES!$B$975&lt;&gt;"",_PENDIENTES!$G$975,"")</f>
        <v/>
      </c>
      <c r="H981" s="44" t="str">
        <f aca="false">IF(_PENDIENTES!$B$975&lt;&gt;"",_PENDIENTES!$H$975,"")</f>
        <v/>
      </c>
      <c r="I981" s="110" t="str">
        <f aca="false">IF(_PENDIENTES!$B$975&lt;&gt;"",_PENDIENTES!$I$975,"")</f>
        <v/>
      </c>
      <c r="J981" s="46" t="str">
        <f aca="false">IF(_PENDIENTES!$B$975&lt;&gt;"",_PENDIENTES!$J$975,"")</f>
        <v/>
      </c>
      <c r="K981" s="46" t="str">
        <f aca="false">IF(_PENDIENTES!$B$975&lt;&gt;"","POR RECOGER","")</f>
        <v/>
      </c>
      <c r="L981" s="46" t="str">
        <f aca="false">IF(_PENDIENTES!$B$975&lt;&gt;"",_PENDIENTES!$K$975,"")</f>
        <v/>
      </c>
      <c r="M981" s="89" t="str">
        <f aca="false">IF(_PENDIENTES!$B$975&lt;&gt;"",_PENDIENTES!$B$975,"")</f>
        <v/>
      </c>
      <c r="N981" s="109" t="str">
        <f aca="false">IF(_PENDIENTES!$B$975&lt;&gt;"",_PENDIENTES!$L$975,"")</f>
        <v/>
      </c>
      <c r="O981" s="89"/>
      <c r="P981" s="89"/>
      <c r="Q981" s="89"/>
      <c r="R981" s="89"/>
      <c r="S981" s="89"/>
    </row>
    <row r="982" customFormat="false" ht="15.75" hidden="true" customHeight="true" outlineLevel="0" collapsed="false">
      <c r="A982" s="106" t="str">
        <f aca="false">IF(_PENDIENTES!$B$976&lt;&gt;"",975,"")</f>
        <v/>
      </c>
      <c r="B982" s="47" t="str">
        <f aca="false">IF(_PENDIENTES!$B$976&lt;&gt;"",_PENDIENTES!$A$976,"")</f>
        <v/>
      </c>
      <c r="C982" s="107" t="str">
        <f aca="false">IF(_PENDIENTES!$B$976&lt;&gt;"",_PENDIENTES!$C$976,"")</f>
        <v/>
      </c>
      <c r="D982" s="106" t="str">
        <f aca="false">IF(_PENDIENTES!$B$976&lt;&gt;"",_PENDIENTES!$D$976,"")</f>
        <v/>
      </c>
      <c r="E982" s="111" t="str">
        <f aca="false">IF(_PENDIENTES!$B$976&lt;&gt;"",_PENDIENTES!$E$976,"")</f>
        <v/>
      </c>
      <c r="F982" s="106" t="str">
        <f aca="false">IF(_PENDIENTES!$B$976&lt;&gt;"",_PENDIENTES!$F$976,"")</f>
        <v/>
      </c>
      <c r="G982" s="50" t="str">
        <f aca="false">IF(_PENDIENTES!$B$976&lt;&gt;"",_PENDIENTES!$G$976,"")</f>
        <v/>
      </c>
      <c r="H982" s="50" t="str">
        <f aca="false">IF(_PENDIENTES!$B$976&lt;&gt;"",_PENDIENTES!$H$976,"")</f>
        <v/>
      </c>
      <c r="I982" s="107" t="str">
        <f aca="false">IF(_PENDIENTES!$B$976&lt;&gt;"",_PENDIENTES!$I$976,"")</f>
        <v/>
      </c>
      <c r="J982" s="106" t="str">
        <f aca="false">IF(_PENDIENTES!$B$976&lt;&gt;"",_PENDIENTES!$J$976,"")</f>
        <v/>
      </c>
      <c r="K982" s="106" t="str">
        <f aca="false">IF(_PENDIENTES!$B$976&lt;&gt;"","POR RECOGER","")</f>
        <v/>
      </c>
      <c r="L982" s="106" t="str">
        <f aca="false">IF(_PENDIENTES!$B$976&lt;&gt;"",_PENDIENTES!$K$976,"")</f>
        <v/>
      </c>
      <c r="M982" s="89" t="str">
        <f aca="false">IF(_PENDIENTES!$B$976&lt;&gt;"",_PENDIENTES!$B$976,"")</f>
        <v/>
      </c>
      <c r="N982" s="109" t="str">
        <f aca="false">IF(_PENDIENTES!$B$976&lt;&gt;"",_PENDIENTES!$L$976,"")</f>
        <v/>
      </c>
      <c r="O982" s="89"/>
      <c r="P982" s="89"/>
      <c r="Q982" s="89"/>
      <c r="R982" s="89"/>
      <c r="S982" s="89"/>
    </row>
    <row r="983" customFormat="false" ht="15.75" hidden="true" customHeight="true" outlineLevel="0" collapsed="false">
      <c r="A983" s="46" t="str">
        <f aca="false">IF(_PENDIENTES!$B$977&lt;&gt;"",976,"")</f>
        <v/>
      </c>
      <c r="B983" s="41" t="str">
        <f aca="false">IF(_PENDIENTES!$B$977&lt;&gt;"",_PENDIENTES!$A$977,"")</f>
        <v/>
      </c>
      <c r="C983" s="110" t="str">
        <f aca="false">IF(_PENDIENTES!$B$977&lt;&gt;"",_PENDIENTES!$C$977,"")</f>
        <v/>
      </c>
      <c r="D983" s="46" t="str">
        <f aca="false">IF(_PENDIENTES!$B$977&lt;&gt;"",_PENDIENTES!$D$977,"")</f>
        <v/>
      </c>
      <c r="E983" s="112" t="str">
        <f aca="false">IF(_PENDIENTES!$B$977&lt;&gt;"",_PENDIENTES!$E$977,"")</f>
        <v/>
      </c>
      <c r="F983" s="46" t="str">
        <f aca="false">IF(_PENDIENTES!$B$977&lt;&gt;"",_PENDIENTES!$F$977,"")</f>
        <v/>
      </c>
      <c r="G983" s="44" t="str">
        <f aca="false">IF(_PENDIENTES!$B$977&lt;&gt;"",_PENDIENTES!$G$977,"")</f>
        <v/>
      </c>
      <c r="H983" s="44" t="str">
        <f aca="false">IF(_PENDIENTES!$B$977&lt;&gt;"",_PENDIENTES!$H$977,"")</f>
        <v/>
      </c>
      <c r="I983" s="110" t="str">
        <f aca="false">IF(_PENDIENTES!$B$977&lt;&gt;"",_PENDIENTES!$I$977,"")</f>
        <v/>
      </c>
      <c r="J983" s="46" t="str">
        <f aca="false">IF(_PENDIENTES!$B$977&lt;&gt;"",_PENDIENTES!$J$977,"")</f>
        <v/>
      </c>
      <c r="K983" s="46" t="str">
        <f aca="false">IF(_PENDIENTES!$B$977&lt;&gt;"","POR RECOGER","")</f>
        <v/>
      </c>
      <c r="L983" s="46" t="str">
        <f aca="false">IF(_PENDIENTES!$B$977&lt;&gt;"",_PENDIENTES!$K$977,"")</f>
        <v/>
      </c>
      <c r="M983" s="89" t="str">
        <f aca="false">IF(_PENDIENTES!$B$977&lt;&gt;"",_PENDIENTES!$B$977,"")</f>
        <v/>
      </c>
      <c r="N983" s="109" t="str">
        <f aca="false">IF(_PENDIENTES!$B$977&lt;&gt;"",_PENDIENTES!$L$977,"")</f>
        <v/>
      </c>
      <c r="O983" s="89"/>
      <c r="P983" s="89"/>
      <c r="Q983" s="89"/>
      <c r="R983" s="89"/>
      <c r="S983" s="89"/>
    </row>
    <row r="984" customFormat="false" ht="15.75" hidden="true" customHeight="true" outlineLevel="0" collapsed="false">
      <c r="A984" s="106" t="str">
        <f aca="false">IF(_PENDIENTES!$B$978&lt;&gt;"",977,"")</f>
        <v/>
      </c>
      <c r="B984" s="47" t="str">
        <f aca="false">IF(_PENDIENTES!$B$978&lt;&gt;"",_PENDIENTES!$A$978,"")</f>
        <v/>
      </c>
      <c r="C984" s="107" t="str">
        <f aca="false">IF(_PENDIENTES!$B$978&lt;&gt;"",_PENDIENTES!$C$978,"")</f>
        <v/>
      </c>
      <c r="D984" s="106" t="str">
        <f aca="false">IF(_PENDIENTES!$B$978&lt;&gt;"",_PENDIENTES!$D$978,"")</f>
        <v/>
      </c>
      <c r="E984" s="111" t="str">
        <f aca="false">IF(_PENDIENTES!$B$978&lt;&gt;"",_PENDIENTES!$E$978,"")</f>
        <v/>
      </c>
      <c r="F984" s="106" t="str">
        <f aca="false">IF(_PENDIENTES!$B$978&lt;&gt;"",_PENDIENTES!$F$978,"")</f>
        <v/>
      </c>
      <c r="G984" s="50" t="str">
        <f aca="false">IF(_PENDIENTES!$B$978&lt;&gt;"",_PENDIENTES!$G$978,"")</f>
        <v/>
      </c>
      <c r="H984" s="50" t="str">
        <f aca="false">IF(_PENDIENTES!$B$978&lt;&gt;"",_PENDIENTES!$H$978,"")</f>
        <v/>
      </c>
      <c r="I984" s="107" t="str">
        <f aca="false">IF(_PENDIENTES!$B$978&lt;&gt;"",_PENDIENTES!$I$978,"")</f>
        <v/>
      </c>
      <c r="J984" s="106" t="str">
        <f aca="false">IF(_PENDIENTES!$B$978&lt;&gt;"",_PENDIENTES!$J$978,"")</f>
        <v/>
      </c>
      <c r="K984" s="106" t="str">
        <f aca="false">IF(_PENDIENTES!$B$978&lt;&gt;"","POR RECOGER","")</f>
        <v/>
      </c>
      <c r="L984" s="106" t="str">
        <f aca="false">IF(_PENDIENTES!$B$978&lt;&gt;"",_PENDIENTES!$K$978,"")</f>
        <v/>
      </c>
      <c r="M984" s="89" t="str">
        <f aca="false">IF(_PENDIENTES!$B$978&lt;&gt;"",_PENDIENTES!$B$978,"")</f>
        <v/>
      </c>
      <c r="N984" s="109" t="str">
        <f aca="false">IF(_PENDIENTES!$B$978&lt;&gt;"",_PENDIENTES!$L$978,"")</f>
        <v/>
      </c>
      <c r="O984" s="89"/>
      <c r="P984" s="89"/>
      <c r="Q984" s="89"/>
      <c r="R984" s="89"/>
      <c r="S984" s="89"/>
    </row>
    <row r="985" customFormat="false" ht="15.75" hidden="true" customHeight="true" outlineLevel="0" collapsed="false">
      <c r="A985" s="46" t="str">
        <f aca="false">IF(_PENDIENTES!$B$979&lt;&gt;"",978,"")</f>
        <v/>
      </c>
      <c r="B985" s="41" t="str">
        <f aca="false">IF(_PENDIENTES!$B$979&lt;&gt;"",_PENDIENTES!$A$979,"")</f>
        <v/>
      </c>
      <c r="C985" s="110" t="str">
        <f aca="false">IF(_PENDIENTES!$B$979&lt;&gt;"",_PENDIENTES!$C$979,"")</f>
        <v/>
      </c>
      <c r="D985" s="46" t="str">
        <f aca="false">IF(_PENDIENTES!$B$979&lt;&gt;"",_PENDIENTES!$D$979,"")</f>
        <v/>
      </c>
      <c r="E985" s="112" t="str">
        <f aca="false">IF(_PENDIENTES!$B$979&lt;&gt;"",_PENDIENTES!$E$979,"")</f>
        <v/>
      </c>
      <c r="F985" s="46" t="str">
        <f aca="false">IF(_PENDIENTES!$B$979&lt;&gt;"",_PENDIENTES!$F$979,"")</f>
        <v/>
      </c>
      <c r="G985" s="44" t="str">
        <f aca="false">IF(_PENDIENTES!$B$979&lt;&gt;"",_PENDIENTES!$G$979,"")</f>
        <v/>
      </c>
      <c r="H985" s="44" t="str">
        <f aca="false">IF(_PENDIENTES!$B$979&lt;&gt;"",_PENDIENTES!$H$979,"")</f>
        <v/>
      </c>
      <c r="I985" s="110" t="str">
        <f aca="false">IF(_PENDIENTES!$B$979&lt;&gt;"",_PENDIENTES!$I$979,"")</f>
        <v/>
      </c>
      <c r="J985" s="46" t="str">
        <f aca="false">IF(_PENDIENTES!$B$979&lt;&gt;"",_PENDIENTES!$J$979,"")</f>
        <v/>
      </c>
      <c r="K985" s="46" t="str">
        <f aca="false">IF(_PENDIENTES!$B$979&lt;&gt;"","POR RECOGER","")</f>
        <v/>
      </c>
      <c r="L985" s="46" t="str">
        <f aca="false">IF(_PENDIENTES!$B$979&lt;&gt;"",_PENDIENTES!$K$979,"")</f>
        <v/>
      </c>
      <c r="M985" s="89" t="str">
        <f aca="false">IF(_PENDIENTES!$B$979&lt;&gt;"",_PENDIENTES!$B$979,"")</f>
        <v/>
      </c>
      <c r="N985" s="109" t="str">
        <f aca="false">IF(_PENDIENTES!$B$979&lt;&gt;"",_PENDIENTES!$L$979,"")</f>
        <v/>
      </c>
      <c r="O985" s="89"/>
      <c r="P985" s="89"/>
      <c r="Q985" s="89"/>
      <c r="R985" s="89"/>
      <c r="S985" s="89"/>
    </row>
    <row r="986" customFormat="false" ht="15.75" hidden="true" customHeight="true" outlineLevel="0" collapsed="false">
      <c r="A986" s="106" t="str">
        <f aca="false">IF(_PENDIENTES!$B$980&lt;&gt;"",979,"")</f>
        <v/>
      </c>
      <c r="B986" s="47" t="str">
        <f aca="false">IF(_PENDIENTES!$B$980&lt;&gt;"",_PENDIENTES!$A$980,"")</f>
        <v/>
      </c>
      <c r="C986" s="107" t="str">
        <f aca="false">IF(_PENDIENTES!$B$980&lt;&gt;"",_PENDIENTES!$C$980,"")</f>
        <v/>
      </c>
      <c r="D986" s="106" t="str">
        <f aca="false">IF(_PENDIENTES!$B$980&lt;&gt;"",_PENDIENTES!$D$980,"")</f>
        <v/>
      </c>
      <c r="E986" s="111" t="str">
        <f aca="false">IF(_PENDIENTES!$B$980&lt;&gt;"",_PENDIENTES!$E$980,"")</f>
        <v/>
      </c>
      <c r="F986" s="106" t="str">
        <f aca="false">IF(_PENDIENTES!$B$980&lt;&gt;"",_PENDIENTES!$F$980,"")</f>
        <v/>
      </c>
      <c r="G986" s="50" t="str">
        <f aca="false">IF(_PENDIENTES!$B$980&lt;&gt;"",_PENDIENTES!$G$980,"")</f>
        <v/>
      </c>
      <c r="H986" s="50" t="str">
        <f aca="false">IF(_PENDIENTES!$B$980&lt;&gt;"",_PENDIENTES!$H$980,"")</f>
        <v/>
      </c>
      <c r="I986" s="107" t="str">
        <f aca="false">IF(_PENDIENTES!$B$980&lt;&gt;"",_PENDIENTES!$I$980,"")</f>
        <v/>
      </c>
      <c r="J986" s="106" t="str">
        <f aca="false">IF(_PENDIENTES!$B$980&lt;&gt;"",_PENDIENTES!$J$980,"")</f>
        <v/>
      </c>
      <c r="K986" s="106" t="str">
        <f aca="false">IF(_PENDIENTES!$B$980&lt;&gt;"","POR RECOGER","")</f>
        <v/>
      </c>
      <c r="L986" s="106" t="str">
        <f aca="false">IF(_PENDIENTES!$B$980&lt;&gt;"",_PENDIENTES!$K$980,"")</f>
        <v/>
      </c>
      <c r="M986" s="89" t="str">
        <f aca="false">IF(_PENDIENTES!$B$980&lt;&gt;"",_PENDIENTES!$B$980,"")</f>
        <v/>
      </c>
      <c r="N986" s="109" t="str">
        <f aca="false">IF(_PENDIENTES!$B$980&lt;&gt;"",_PENDIENTES!$L$980,"")</f>
        <v/>
      </c>
      <c r="O986" s="89"/>
      <c r="P986" s="89"/>
      <c r="Q986" s="89"/>
      <c r="R986" s="89"/>
      <c r="S986" s="89"/>
    </row>
    <row r="987" customFormat="false" ht="15.75" hidden="true" customHeight="true" outlineLevel="0" collapsed="false">
      <c r="A987" s="46" t="str">
        <f aca="false">IF(_PENDIENTES!$B$981&lt;&gt;"",980,"")</f>
        <v/>
      </c>
      <c r="B987" s="41" t="str">
        <f aca="false">IF(_PENDIENTES!$B$981&lt;&gt;"",_PENDIENTES!$A$981,"")</f>
        <v/>
      </c>
      <c r="C987" s="110" t="str">
        <f aca="false">IF(_PENDIENTES!$B$981&lt;&gt;"",_PENDIENTES!$C$981,"")</f>
        <v/>
      </c>
      <c r="D987" s="46" t="str">
        <f aca="false">IF(_PENDIENTES!$B$981&lt;&gt;"",_PENDIENTES!$D$981,"")</f>
        <v/>
      </c>
      <c r="E987" s="112" t="str">
        <f aca="false">IF(_PENDIENTES!$B$981&lt;&gt;"",_PENDIENTES!$E$981,"")</f>
        <v/>
      </c>
      <c r="F987" s="46" t="str">
        <f aca="false">IF(_PENDIENTES!$B$981&lt;&gt;"",_PENDIENTES!$F$981,"")</f>
        <v/>
      </c>
      <c r="G987" s="44" t="str">
        <f aca="false">IF(_PENDIENTES!$B$981&lt;&gt;"",_PENDIENTES!$G$981,"")</f>
        <v/>
      </c>
      <c r="H987" s="44" t="str">
        <f aca="false">IF(_PENDIENTES!$B$981&lt;&gt;"",_PENDIENTES!$H$981,"")</f>
        <v/>
      </c>
      <c r="I987" s="110" t="str">
        <f aca="false">IF(_PENDIENTES!$B$981&lt;&gt;"",_PENDIENTES!$I$981,"")</f>
        <v/>
      </c>
      <c r="J987" s="46" t="str">
        <f aca="false">IF(_PENDIENTES!$B$981&lt;&gt;"",_PENDIENTES!$J$981,"")</f>
        <v/>
      </c>
      <c r="K987" s="46" t="str">
        <f aca="false">IF(_PENDIENTES!$B$981&lt;&gt;"","POR RECOGER","")</f>
        <v/>
      </c>
      <c r="L987" s="46" t="str">
        <f aca="false">IF(_PENDIENTES!$B$981&lt;&gt;"",_PENDIENTES!$K$981,"")</f>
        <v/>
      </c>
      <c r="M987" s="89" t="str">
        <f aca="false">IF(_PENDIENTES!$B$981&lt;&gt;"",_PENDIENTES!$B$981,"")</f>
        <v/>
      </c>
      <c r="N987" s="109" t="str">
        <f aca="false">IF(_PENDIENTES!$B$981&lt;&gt;"",_PENDIENTES!$L$981,"")</f>
        <v/>
      </c>
      <c r="O987" s="89"/>
      <c r="P987" s="89"/>
      <c r="Q987" s="89"/>
      <c r="R987" s="89"/>
      <c r="S987" s="89"/>
    </row>
    <row r="988" customFormat="false" ht="15.75" hidden="true" customHeight="true" outlineLevel="0" collapsed="false">
      <c r="A988" s="106" t="str">
        <f aca="false">IF(_PENDIENTES!$B$982&lt;&gt;"",981,"")</f>
        <v/>
      </c>
      <c r="B988" s="47" t="str">
        <f aca="false">IF(_PENDIENTES!$B$982&lt;&gt;"",_PENDIENTES!$A$982,"")</f>
        <v/>
      </c>
      <c r="C988" s="107" t="str">
        <f aca="false">IF(_PENDIENTES!$B$982&lt;&gt;"",_PENDIENTES!$C$982,"")</f>
        <v/>
      </c>
      <c r="D988" s="106" t="str">
        <f aca="false">IF(_PENDIENTES!$B$982&lt;&gt;"",_PENDIENTES!$D$982,"")</f>
        <v/>
      </c>
      <c r="E988" s="111" t="str">
        <f aca="false">IF(_PENDIENTES!$B$982&lt;&gt;"",_PENDIENTES!$E$982,"")</f>
        <v/>
      </c>
      <c r="F988" s="106" t="str">
        <f aca="false">IF(_PENDIENTES!$B$982&lt;&gt;"",_PENDIENTES!$F$982,"")</f>
        <v/>
      </c>
      <c r="G988" s="50" t="str">
        <f aca="false">IF(_PENDIENTES!$B$982&lt;&gt;"",_PENDIENTES!$G$982,"")</f>
        <v/>
      </c>
      <c r="H988" s="50" t="str">
        <f aca="false">IF(_PENDIENTES!$B$982&lt;&gt;"",_PENDIENTES!$H$982,"")</f>
        <v/>
      </c>
      <c r="I988" s="107" t="str">
        <f aca="false">IF(_PENDIENTES!$B$982&lt;&gt;"",_PENDIENTES!$I$982,"")</f>
        <v/>
      </c>
      <c r="J988" s="106" t="str">
        <f aca="false">IF(_PENDIENTES!$B$982&lt;&gt;"",_PENDIENTES!$J$982,"")</f>
        <v/>
      </c>
      <c r="K988" s="106" t="str">
        <f aca="false">IF(_PENDIENTES!$B$982&lt;&gt;"","POR RECOGER","")</f>
        <v/>
      </c>
      <c r="L988" s="106" t="str">
        <f aca="false">IF(_PENDIENTES!$B$982&lt;&gt;"",_PENDIENTES!$K$982,"")</f>
        <v/>
      </c>
      <c r="M988" s="89" t="str">
        <f aca="false">IF(_PENDIENTES!$B$982&lt;&gt;"",_PENDIENTES!$B$982,"")</f>
        <v/>
      </c>
      <c r="N988" s="109" t="str">
        <f aca="false">IF(_PENDIENTES!$B$982&lt;&gt;"",_PENDIENTES!$L$982,"")</f>
        <v/>
      </c>
      <c r="O988" s="89"/>
      <c r="P988" s="89"/>
      <c r="Q988" s="89"/>
      <c r="R988" s="89"/>
      <c r="S988" s="89"/>
    </row>
    <row r="989" customFormat="false" ht="15.75" hidden="true" customHeight="true" outlineLevel="0" collapsed="false">
      <c r="A989" s="46" t="str">
        <f aca="false">IF(_PENDIENTES!$B$983&lt;&gt;"",982,"")</f>
        <v/>
      </c>
      <c r="B989" s="41" t="str">
        <f aca="false">IF(_PENDIENTES!$B$983&lt;&gt;"",_PENDIENTES!$A$983,"")</f>
        <v/>
      </c>
      <c r="C989" s="110" t="str">
        <f aca="false">IF(_PENDIENTES!$B$983&lt;&gt;"",_PENDIENTES!$C$983,"")</f>
        <v/>
      </c>
      <c r="D989" s="46" t="str">
        <f aca="false">IF(_PENDIENTES!$B$983&lt;&gt;"",_PENDIENTES!$D$983,"")</f>
        <v/>
      </c>
      <c r="E989" s="112" t="str">
        <f aca="false">IF(_PENDIENTES!$B$983&lt;&gt;"",_PENDIENTES!$E$983,"")</f>
        <v/>
      </c>
      <c r="F989" s="46" t="str">
        <f aca="false">IF(_PENDIENTES!$B$983&lt;&gt;"",_PENDIENTES!$F$983,"")</f>
        <v/>
      </c>
      <c r="G989" s="44" t="str">
        <f aca="false">IF(_PENDIENTES!$B$983&lt;&gt;"",_PENDIENTES!$G$983,"")</f>
        <v/>
      </c>
      <c r="H989" s="44" t="str">
        <f aca="false">IF(_PENDIENTES!$B$983&lt;&gt;"",_PENDIENTES!$H$983,"")</f>
        <v/>
      </c>
      <c r="I989" s="110" t="str">
        <f aca="false">IF(_PENDIENTES!$B$983&lt;&gt;"",_PENDIENTES!$I$983,"")</f>
        <v/>
      </c>
      <c r="J989" s="46" t="str">
        <f aca="false">IF(_PENDIENTES!$B$983&lt;&gt;"",_PENDIENTES!$J$983,"")</f>
        <v/>
      </c>
      <c r="K989" s="46" t="str">
        <f aca="false">IF(_PENDIENTES!$B$983&lt;&gt;"","POR RECOGER","")</f>
        <v/>
      </c>
      <c r="L989" s="46" t="str">
        <f aca="false">IF(_PENDIENTES!$B$983&lt;&gt;"",_PENDIENTES!$K$983,"")</f>
        <v/>
      </c>
      <c r="M989" s="89" t="str">
        <f aca="false">IF(_PENDIENTES!$B$983&lt;&gt;"",_PENDIENTES!$B$983,"")</f>
        <v/>
      </c>
      <c r="N989" s="109" t="str">
        <f aca="false">IF(_PENDIENTES!$B$983&lt;&gt;"",_PENDIENTES!$L$983,"")</f>
        <v/>
      </c>
      <c r="O989" s="89"/>
      <c r="P989" s="89"/>
      <c r="Q989" s="89"/>
      <c r="R989" s="89"/>
      <c r="S989" s="89"/>
    </row>
    <row r="990" customFormat="false" ht="15.75" hidden="true" customHeight="true" outlineLevel="0" collapsed="false">
      <c r="A990" s="106" t="str">
        <f aca="false">IF(_PENDIENTES!$B$984&lt;&gt;"",983,"")</f>
        <v/>
      </c>
      <c r="B990" s="47" t="str">
        <f aca="false">IF(_PENDIENTES!$B$984&lt;&gt;"",_PENDIENTES!$A$984,"")</f>
        <v/>
      </c>
      <c r="C990" s="107" t="str">
        <f aca="false">IF(_PENDIENTES!$B$984&lt;&gt;"",_PENDIENTES!$C$984,"")</f>
        <v/>
      </c>
      <c r="D990" s="106" t="str">
        <f aca="false">IF(_PENDIENTES!$B$984&lt;&gt;"",_PENDIENTES!$D$984,"")</f>
        <v/>
      </c>
      <c r="E990" s="111" t="str">
        <f aca="false">IF(_PENDIENTES!$B$984&lt;&gt;"",_PENDIENTES!$E$984,"")</f>
        <v/>
      </c>
      <c r="F990" s="106" t="str">
        <f aca="false">IF(_PENDIENTES!$B$984&lt;&gt;"",_PENDIENTES!$F$984,"")</f>
        <v/>
      </c>
      <c r="G990" s="50" t="str">
        <f aca="false">IF(_PENDIENTES!$B$984&lt;&gt;"",_PENDIENTES!$G$984,"")</f>
        <v/>
      </c>
      <c r="H990" s="50" t="str">
        <f aca="false">IF(_PENDIENTES!$B$984&lt;&gt;"",_PENDIENTES!$H$984,"")</f>
        <v/>
      </c>
      <c r="I990" s="107" t="str">
        <f aca="false">IF(_PENDIENTES!$B$984&lt;&gt;"",_PENDIENTES!$I$984,"")</f>
        <v/>
      </c>
      <c r="J990" s="106" t="str">
        <f aca="false">IF(_PENDIENTES!$B$984&lt;&gt;"",_PENDIENTES!$J$984,"")</f>
        <v/>
      </c>
      <c r="K990" s="106" t="str">
        <f aca="false">IF(_PENDIENTES!$B$984&lt;&gt;"","POR RECOGER","")</f>
        <v/>
      </c>
      <c r="L990" s="106" t="str">
        <f aca="false">IF(_PENDIENTES!$B$984&lt;&gt;"",_PENDIENTES!$K$984,"")</f>
        <v/>
      </c>
      <c r="M990" s="89" t="str">
        <f aca="false">IF(_PENDIENTES!$B$984&lt;&gt;"",_PENDIENTES!$B$984,"")</f>
        <v/>
      </c>
      <c r="N990" s="109" t="str">
        <f aca="false">IF(_PENDIENTES!$B$984&lt;&gt;"",_PENDIENTES!$L$984,"")</f>
        <v/>
      </c>
      <c r="O990" s="89"/>
      <c r="P990" s="89"/>
      <c r="Q990" s="89"/>
      <c r="R990" s="89"/>
      <c r="S990" s="89"/>
    </row>
    <row r="991" customFormat="false" ht="15.75" hidden="true" customHeight="true" outlineLevel="0" collapsed="false">
      <c r="A991" s="46" t="str">
        <f aca="false">IF(_PENDIENTES!$B$985&lt;&gt;"",984,"")</f>
        <v/>
      </c>
      <c r="B991" s="41" t="str">
        <f aca="false">IF(_PENDIENTES!$B$985&lt;&gt;"",_PENDIENTES!$A$985,"")</f>
        <v/>
      </c>
      <c r="C991" s="110" t="str">
        <f aca="false">IF(_PENDIENTES!$B$985&lt;&gt;"",_PENDIENTES!$C$985,"")</f>
        <v/>
      </c>
      <c r="D991" s="46" t="str">
        <f aca="false">IF(_PENDIENTES!$B$985&lt;&gt;"",_PENDIENTES!$D$985,"")</f>
        <v/>
      </c>
      <c r="E991" s="112" t="str">
        <f aca="false">IF(_PENDIENTES!$B$985&lt;&gt;"",_PENDIENTES!$E$985,"")</f>
        <v/>
      </c>
      <c r="F991" s="46" t="str">
        <f aca="false">IF(_PENDIENTES!$B$985&lt;&gt;"",_PENDIENTES!$F$985,"")</f>
        <v/>
      </c>
      <c r="G991" s="44" t="str">
        <f aca="false">IF(_PENDIENTES!$B$985&lt;&gt;"",_PENDIENTES!$G$985,"")</f>
        <v/>
      </c>
      <c r="H991" s="44" t="str">
        <f aca="false">IF(_PENDIENTES!$B$985&lt;&gt;"",_PENDIENTES!$H$985,"")</f>
        <v/>
      </c>
      <c r="I991" s="110" t="str">
        <f aca="false">IF(_PENDIENTES!$B$985&lt;&gt;"",_PENDIENTES!$I$985,"")</f>
        <v/>
      </c>
      <c r="J991" s="46" t="str">
        <f aca="false">IF(_PENDIENTES!$B$985&lt;&gt;"",_PENDIENTES!$J$985,"")</f>
        <v/>
      </c>
      <c r="K991" s="46" t="str">
        <f aca="false">IF(_PENDIENTES!$B$985&lt;&gt;"","POR RECOGER","")</f>
        <v/>
      </c>
      <c r="L991" s="46" t="str">
        <f aca="false">IF(_PENDIENTES!$B$985&lt;&gt;"",_PENDIENTES!$K$985,"")</f>
        <v/>
      </c>
      <c r="M991" s="89" t="str">
        <f aca="false">IF(_PENDIENTES!$B$985&lt;&gt;"",_PENDIENTES!$B$985,"")</f>
        <v/>
      </c>
      <c r="N991" s="109" t="str">
        <f aca="false">IF(_PENDIENTES!$B$985&lt;&gt;"",_PENDIENTES!$L$985,"")</f>
        <v/>
      </c>
      <c r="O991" s="89"/>
      <c r="P991" s="89"/>
      <c r="Q991" s="89"/>
      <c r="R991" s="89"/>
      <c r="S991" s="89"/>
    </row>
    <row r="992" customFormat="false" ht="15.75" hidden="true" customHeight="true" outlineLevel="0" collapsed="false">
      <c r="A992" s="106" t="str">
        <f aca="false">IF(_PENDIENTES!$B$986&lt;&gt;"",985,"")</f>
        <v/>
      </c>
      <c r="B992" s="47" t="str">
        <f aca="false">IF(_PENDIENTES!$B$986&lt;&gt;"",_PENDIENTES!$A$986,"")</f>
        <v/>
      </c>
      <c r="C992" s="107" t="str">
        <f aca="false">IF(_PENDIENTES!$B$986&lt;&gt;"",_PENDIENTES!$C$986,"")</f>
        <v/>
      </c>
      <c r="D992" s="106" t="str">
        <f aca="false">IF(_PENDIENTES!$B$986&lt;&gt;"",_PENDIENTES!$D$986,"")</f>
        <v/>
      </c>
      <c r="E992" s="111" t="str">
        <f aca="false">IF(_PENDIENTES!$B$986&lt;&gt;"",_PENDIENTES!$E$986,"")</f>
        <v/>
      </c>
      <c r="F992" s="106" t="str">
        <f aca="false">IF(_PENDIENTES!$B$986&lt;&gt;"",_PENDIENTES!$F$986,"")</f>
        <v/>
      </c>
      <c r="G992" s="50" t="str">
        <f aca="false">IF(_PENDIENTES!$B$986&lt;&gt;"",_PENDIENTES!$G$986,"")</f>
        <v/>
      </c>
      <c r="H992" s="50" t="str">
        <f aca="false">IF(_PENDIENTES!$B$986&lt;&gt;"",_PENDIENTES!$H$986,"")</f>
        <v/>
      </c>
      <c r="I992" s="107" t="str">
        <f aca="false">IF(_PENDIENTES!$B$986&lt;&gt;"",_PENDIENTES!$I$986,"")</f>
        <v/>
      </c>
      <c r="J992" s="106" t="str">
        <f aca="false">IF(_PENDIENTES!$B$986&lt;&gt;"",_PENDIENTES!$J$986,"")</f>
        <v/>
      </c>
      <c r="K992" s="106" t="str">
        <f aca="false">IF(_PENDIENTES!$B$986&lt;&gt;"","POR RECOGER","")</f>
        <v/>
      </c>
      <c r="L992" s="106" t="str">
        <f aca="false">IF(_PENDIENTES!$B$986&lt;&gt;"",_PENDIENTES!$K$986,"")</f>
        <v/>
      </c>
      <c r="M992" s="89" t="str">
        <f aca="false">IF(_PENDIENTES!$B$986&lt;&gt;"",_PENDIENTES!$B$986,"")</f>
        <v/>
      </c>
      <c r="N992" s="109" t="str">
        <f aca="false">IF(_PENDIENTES!$B$986&lt;&gt;"",_PENDIENTES!$L$986,"")</f>
        <v/>
      </c>
      <c r="O992" s="89"/>
      <c r="P992" s="89"/>
      <c r="Q992" s="89"/>
      <c r="R992" s="89"/>
      <c r="S992" s="89"/>
    </row>
    <row r="993" customFormat="false" ht="15.75" hidden="true" customHeight="true" outlineLevel="0" collapsed="false">
      <c r="A993" s="46" t="str">
        <f aca="false">IF(_PENDIENTES!$B$987&lt;&gt;"",986,"")</f>
        <v/>
      </c>
      <c r="B993" s="41" t="str">
        <f aca="false">IF(_PENDIENTES!$B$987&lt;&gt;"",_PENDIENTES!$A$987,"")</f>
        <v/>
      </c>
      <c r="C993" s="110" t="str">
        <f aca="false">IF(_PENDIENTES!$B$987&lt;&gt;"",_PENDIENTES!$C$987,"")</f>
        <v/>
      </c>
      <c r="D993" s="46" t="str">
        <f aca="false">IF(_PENDIENTES!$B$987&lt;&gt;"",_PENDIENTES!$D$987,"")</f>
        <v/>
      </c>
      <c r="E993" s="112" t="str">
        <f aca="false">IF(_PENDIENTES!$B$987&lt;&gt;"",_PENDIENTES!$E$987,"")</f>
        <v/>
      </c>
      <c r="F993" s="46" t="str">
        <f aca="false">IF(_PENDIENTES!$B$987&lt;&gt;"",_PENDIENTES!$F$987,"")</f>
        <v/>
      </c>
      <c r="G993" s="44" t="str">
        <f aca="false">IF(_PENDIENTES!$B$987&lt;&gt;"",_PENDIENTES!$G$987,"")</f>
        <v/>
      </c>
      <c r="H993" s="44" t="str">
        <f aca="false">IF(_PENDIENTES!$B$987&lt;&gt;"",_PENDIENTES!$H$987,"")</f>
        <v/>
      </c>
      <c r="I993" s="110" t="str">
        <f aca="false">IF(_PENDIENTES!$B$987&lt;&gt;"",_PENDIENTES!$I$987,"")</f>
        <v/>
      </c>
      <c r="J993" s="46" t="str">
        <f aca="false">IF(_PENDIENTES!$B$987&lt;&gt;"",_PENDIENTES!$J$987,"")</f>
        <v/>
      </c>
      <c r="K993" s="46" t="str">
        <f aca="false">IF(_PENDIENTES!$B$987&lt;&gt;"","POR RECOGER","")</f>
        <v/>
      </c>
      <c r="L993" s="46" t="str">
        <f aca="false">IF(_PENDIENTES!$B$987&lt;&gt;"",_PENDIENTES!$K$987,"")</f>
        <v/>
      </c>
      <c r="M993" s="89" t="str">
        <f aca="false">IF(_PENDIENTES!$B$987&lt;&gt;"",_PENDIENTES!$B$987,"")</f>
        <v/>
      </c>
      <c r="N993" s="109" t="str">
        <f aca="false">IF(_PENDIENTES!$B$987&lt;&gt;"",_PENDIENTES!$L$987,"")</f>
        <v/>
      </c>
      <c r="O993" s="89"/>
      <c r="P993" s="89"/>
      <c r="Q993" s="89"/>
      <c r="R993" s="89"/>
      <c r="S993" s="89"/>
    </row>
    <row r="994" customFormat="false" ht="15.75" hidden="true" customHeight="true" outlineLevel="0" collapsed="false">
      <c r="A994" s="106" t="str">
        <f aca="false">IF(_PENDIENTES!$B$988&lt;&gt;"",987,"")</f>
        <v/>
      </c>
      <c r="B994" s="47" t="str">
        <f aca="false">IF(_PENDIENTES!$B$988&lt;&gt;"",_PENDIENTES!$A$988,"")</f>
        <v/>
      </c>
      <c r="C994" s="107" t="str">
        <f aca="false">IF(_PENDIENTES!$B$988&lt;&gt;"",_PENDIENTES!$C$988,"")</f>
        <v/>
      </c>
      <c r="D994" s="106" t="str">
        <f aca="false">IF(_PENDIENTES!$B$988&lt;&gt;"",_PENDIENTES!$D$988,"")</f>
        <v/>
      </c>
      <c r="E994" s="111" t="str">
        <f aca="false">IF(_PENDIENTES!$B$988&lt;&gt;"",_PENDIENTES!$E$988,"")</f>
        <v/>
      </c>
      <c r="F994" s="106" t="str">
        <f aca="false">IF(_PENDIENTES!$B$988&lt;&gt;"",_PENDIENTES!$F$988,"")</f>
        <v/>
      </c>
      <c r="G994" s="50" t="str">
        <f aca="false">IF(_PENDIENTES!$B$988&lt;&gt;"",_PENDIENTES!$G$988,"")</f>
        <v/>
      </c>
      <c r="H994" s="50" t="str">
        <f aca="false">IF(_PENDIENTES!$B$988&lt;&gt;"",_PENDIENTES!$H$988,"")</f>
        <v/>
      </c>
      <c r="I994" s="107" t="str">
        <f aca="false">IF(_PENDIENTES!$B$988&lt;&gt;"",_PENDIENTES!$I$988,"")</f>
        <v/>
      </c>
      <c r="J994" s="106" t="str">
        <f aca="false">IF(_PENDIENTES!$B$988&lt;&gt;"",_PENDIENTES!$J$988,"")</f>
        <v/>
      </c>
      <c r="K994" s="106" t="str">
        <f aca="false">IF(_PENDIENTES!$B$988&lt;&gt;"","POR RECOGER","")</f>
        <v/>
      </c>
      <c r="L994" s="106" t="str">
        <f aca="false">IF(_PENDIENTES!$B$988&lt;&gt;"",_PENDIENTES!$K$988,"")</f>
        <v/>
      </c>
      <c r="M994" s="89" t="str">
        <f aca="false">IF(_PENDIENTES!$B$988&lt;&gt;"",_PENDIENTES!$B$988,"")</f>
        <v/>
      </c>
      <c r="N994" s="109" t="str">
        <f aca="false">IF(_PENDIENTES!$B$988&lt;&gt;"",_PENDIENTES!$L$988,"")</f>
        <v/>
      </c>
      <c r="O994" s="89"/>
      <c r="P994" s="89"/>
      <c r="Q994" s="89"/>
      <c r="R994" s="89"/>
      <c r="S994" s="89"/>
    </row>
    <row r="995" customFormat="false" ht="15.75" hidden="true" customHeight="true" outlineLevel="0" collapsed="false">
      <c r="A995" s="46" t="str">
        <f aca="false">IF(_PENDIENTES!$B$989&lt;&gt;"",988,"")</f>
        <v/>
      </c>
      <c r="B995" s="41" t="str">
        <f aca="false">IF(_PENDIENTES!$B$989&lt;&gt;"",_PENDIENTES!$A$989,"")</f>
        <v/>
      </c>
      <c r="C995" s="110" t="str">
        <f aca="false">IF(_PENDIENTES!$B$989&lt;&gt;"",_PENDIENTES!$C$989,"")</f>
        <v/>
      </c>
      <c r="D995" s="46" t="str">
        <f aca="false">IF(_PENDIENTES!$B$989&lt;&gt;"",_PENDIENTES!$D$989,"")</f>
        <v/>
      </c>
      <c r="E995" s="112" t="str">
        <f aca="false">IF(_PENDIENTES!$B$989&lt;&gt;"",_PENDIENTES!$E$989,"")</f>
        <v/>
      </c>
      <c r="F995" s="46" t="str">
        <f aca="false">IF(_PENDIENTES!$B$989&lt;&gt;"",_PENDIENTES!$F$989,"")</f>
        <v/>
      </c>
      <c r="G995" s="44" t="str">
        <f aca="false">IF(_PENDIENTES!$B$989&lt;&gt;"",_PENDIENTES!$G$989,"")</f>
        <v/>
      </c>
      <c r="H995" s="44" t="str">
        <f aca="false">IF(_PENDIENTES!$B$989&lt;&gt;"",_PENDIENTES!$H$989,"")</f>
        <v/>
      </c>
      <c r="I995" s="110" t="str">
        <f aca="false">IF(_PENDIENTES!$B$989&lt;&gt;"",_PENDIENTES!$I$989,"")</f>
        <v/>
      </c>
      <c r="J995" s="46" t="str">
        <f aca="false">IF(_PENDIENTES!$B$989&lt;&gt;"",_PENDIENTES!$J$989,"")</f>
        <v/>
      </c>
      <c r="K995" s="46" t="str">
        <f aca="false">IF(_PENDIENTES!$B$989&lt;&gt;"","POR RECOGER","")</f>
        <v/>
      </c>
      <c r="L995" s="46" t="str">
        <f aca="false">IF(_PENDIENTES!$B$989&lt;&gt;"",_PENDIENTES!$K$989,"")</f>
        <v/>
      </c>
      <c r="M995" s="89" t="str">
        <f aca="false">IF(_PENDIENTES!$B$989&lt;&gt;"",_PENDIENTES!$B$989,"")</f>
        <v/>
      </c>
      <c r="N995" s="109" t="str">
        <f aca="false">IF(_PENDIENTES!$B$989&lt;&gt;"",_PENDIENTES!$L$989,"")</f>
        <v/>
      </c>
      <c r="O995" s="89"/>
      <c r="P995" s="89"/>
      <c r="Q995" s="89"/>
      <c r="R995" s="89"/>
      <c r="S995" s="89"/>
    </row>
    <row r="996" customFormat="false" ht="15.75" hidden="true" customHeight="true" outlineLevel="0" collapsed="false">
      <c r="A996" s="106" t="str">
        <f aca="false">IF(_PENDIENTES!$B$990&lt;&gt;"",989,"")</f>
        <v/>
      </c>
      <c r="B996" s="47" t="str">
        <f aca="false">IF(_PENDIENTES!$B$990&lt;&gt;"",_PENDIENTES!$A$990,"")</f>
        <v/>
      </c>
      <c r="C996" s="107" t="str">
        <f aca="false">IF(_PENDIENTES!$B$990&lt;&gt;"",_PENDIENTES!$C$990,"")</f>
        <v/>
      </c>
      <c r="D996" s="106" t="str">
        <f aca="false">IF(_PENDIENTES!$B$990&lt;&gt;"",_PENDIENTES!$D$990,"")</f>
        <v/>
      </c>
      <c r="E996" s="111" t="str">
        <f aca="false">IF(_PENDIENTES!$B$990&lt;&gt;"",_PENDIENTES!$E$990,"")</f>
        <v/>
      </c>
      <c r="F996" s="106" t="str">
        <f aca="false">IF(_PENDIENTES!$B$990&lt;&gt;"",_PENDIENTES!$F$990,"")</f>
        <v/>
      </c>
      <c r="G996" s="50" t="str">
        <f aca="false">IF(_PENDIENTES!$B$990&lt;&gt;"",_PENDIENTES!$G$990,"")</f>
        <v/>
      </c>
      <c r="H996" s="50" t="str">
        <f aca="false">IF(_PENDIENTES!$B$990&lt;&gt;"",_PENDIENTES!$H$990,"")</f>
        <v/>
      </c>
      <c r="I996" s="107" t="str">
        <f aca="false">IF(_PENDIENTES!$B$990&lt;&gt;"",_PENDIENTES!$I$990,"")</f>
        <v/>
      </c>
      <c r="J996" s="106" t="str">
        <f aca="false">IF(_PENDIENTES!$B$990&lt;&gt;"",_PENDIENTES!$J$990,"")</f>
        <v/>
      </c>
      <c r="K996" s="106" t="str">
        <f aca="false">IF(_PENDIENTES!$B$990&lt;&gt;"","POR RECOGER","")</f>
        <v/>
      </c>
      <c r="L996" s="106" t="str">
        <f aca="false">IF(_PENDIENTES!$B$990&lt;&gt;"",_PENDIENTES!$K$990,"")</f>
        <v/>
      </c>
      <c r="M996" s="89" t="str">
        <f aca="false">IF(_PENDIENTES!$B$990&lt;&gt;"",_PENDIENTES!$B$990,"")</f>
        <v/>
      </c>
      <c r="N996" s="109" t="str">
        <f aca="false">IF(_PENDIENTES!$B$990&lt;&gt;"",_PENDIENTES!$L$990,"")</f>
        <v/>
      </c>
      <c r="O996" s="89"/>
      <c r="P996" s="89"/>
      <c r="Q996" s="89"/>
      <c r="R996" s="89"/>
      <c r="S996" s="89"/>
    </row>
    <row r="997" customFormat="false" ht="15.75" hidden="true" customHeight="true" outlineLevel="0" collapsed="false">
      <c r="A997" s="46" t="str">
        <f aca="false">IF(_PENDIENTES!$B$991&lt;&gt;"",990,"")</f>
        <v/>
      </c>
      <c r="B997" s="41" t="str">
        <f aca="false">IF(_PENDIENTES!$B$991&lt;&gt;"",_PENDIENTES!$A$991,"")</f>
        <v/>
      </c>
      <c r="C997" s="110" t="str">
        <f aca="false">IF(_PENDIENTES!$B$991&lt;&gt;"",_PENDIENTES!$C$991,"")</f>
        <v/>
      </c>
      <c r="D997" s="46" t="str">
        <f aca="false">IF(_PENDIENTES!$B$991&lt;&gt;"",_PENDIENTES!$D$991,"")</f>
        <v/>
      </c>
      <c r="E997" s="112" t="str">
        <f aca="false">IF(_PENDIENTES!$B$991&lt;&gt;"",_PENDIENTES!$E$991,"")</f>
        <v/>
      </c>
      <c r="F997" s="46" t="str">
        <f aca="false">IF(_PENDIENTES!$B$991&lt;&gt;"",_PENDIENTES!$F$991,"")</f>
        <v/>
      </c>
      <c r="G997" s="44" t="str">
        <f aca="false">IF(_PENDIENTES!$B$991&lt;&gt;"",_PENDIENTES!$G$991,"")</f>
        <v/>
      </c>
      <c r="H997" s="44" t="str">
        <f aca="false">IF(_PENDIENTES!$B$991&lt;&gt;"",_PENDIENTES!$H$991,"")</f>
        <v/>
      </c>
      <c r="I997" s="110" t="str">
        <f aca="false">IF(_PENDIENTES!$B$991&lt;&gt;"",_PENDIENTES!$I$991,"")</f>
        <v/>
      </c>
      <c r="J997" s="46" t="str">
        <f aca="false">IF(_PENDIENTES!$B$991&lt;&gt;"",_PENDIENTES!$J$991,"")</f>
        <v/>
      </c>
      <c r="K997" s="46" t="str">
        <f aca="false">IF(_PENDIENTES!$B$991&lt;&gt;"","POR RECOGER","")</f>
        <v/>
      </c>
      <c r="L997" s="46" t="str">
        <f aca="false">IF(_PENDIENTES!$B$991&lt;&gt;"",_PENDIENTES!$K$991,"")</f>
        <v/>
      </c>
      <c r="M997" s="89" t="str">
        <f aca="false">IF(_PENDIENTES!$B$991&lt;&gt;"",_PENDIENTES!$B$991,"")</f>
        <v/>
      </c>
      <c r="N997" s="109" t="str">
        <f aca="false">IF(_PENDIENTES!$B$991&lt;&gt;"",_PENDIENTES!$L$991,"")</f>
        <v/>
      </c>
      <c r="O997" s="89"/>
      <c r="P997" s="89"/>
      <c r="Q997" s="89"/>
      <c r="R997" s="89"/>
      <c r="S997" s="89"/>
    </row>
    <row r="998" customFormat="false" ht="15.75" hidden="true" customHeight="true" outlineLevel="0" collapsed="false">
      <c r="A998" s="106" t="str">
        <f aca="false">IF(_PENDIENTES!$B$992&lt;&gt;"",991,"")</f>
        <v/>
      </c>
      <c r="B998" s="47" t="str">
        <f aca="false">IF(_PENDIENTES!$B$992&lt;&gt;"",_PENDIENTES!$A$992,"")</f>
        <v/>
      </c>
      <c r="C998" s="107" t="str">
        <f aca="false">IF(_PENDIENTES!$B$992&lt;&gt;"",_PENDIENTES!$C$992,"")</f>
        <v/>
      </c>
      <c r="D998" s="106" t="str">
        <f aca="false">IF(_PENDIENTES!$B$992&lt;&gt;"",_PENDIENTES!$D$992,"")</f>
        <v/>
      </c>
      <c r="E998" s="111" t="str">
        <f aca="false">IF(_PENDIENTES!$B$992&lt;&gt;"",_PENDIENTES!$E$992,"")</f>
        <v/>
      </c>
      <c r="F998" s="106" t="str">
        <f aca="false">IF(_PENDIENTES!$B$992&lt;&gt;"",_PENDIENTES!$F$992,"")</f>
        <v/>
      </c>
      <c r="G998" s="50" t="str">
        <f aca="false">IF(_PENDIENTES!$B$992&lt;&gt;"",_PENDIENTES!$G$992,"")</f>
        <v/>
      </c>
      <c r="H998" s="50" t="str">
        <f aca="false">IF(_PENDIENTES!$B$992&lt;&gt;"",_PENDIENTES!$H$992,"")</f>
        <v/>
      </c>
      <c r="I998" s="107" t="str">
        <f aca="false">IF(_PENDIENTES!$B$992&lt;&gt;"",_PENDIENTES!$I$992,"")</f>
        <v/>
      </c>
      <c r="J998" s="106" t="str">
        <f aca="false">IF(_PENDIENTES!$B$992&lt;&gt;"",_PENDIENTES!$J$992,"")</f>
        <v/>
      </c>
      <c r="K998" s="106" t="str">
        <f aca="false">IF(_PENDIENTES!$B$992&lt;&gt;"","POR RECOGER","")</f>
        <v/>
      </c>
      <c r="L998" s="106" t="str">
        <f aca="false">IF(_PENDIENTES!$B$992&lt;&gt;"",_PENDIENTES!$K$992,"")</f>
        <v/>
      </c>
      <c r="M998" s="89" t="str">
        <f aca="false">IF(_PENDIENTES!$B$992&lt;&gt;"",_PENDIENTES!$B$992,"")</f>
        <v/>
      </c>
      <c r="N998" s="109" t="str">
        <f aca="false">IF(_PENDIENTES!$B$992&lt;&gt;"",_PENDIENTES!$L$992,"")</f>
        <v/>
      </c>
      <c r="O998" s="89"/>
      <c r="P998" s="89"/>
      <c r="Q998" s="89"/>
      <c r="R998" s="89"/>
      <c r="S998" s="89"/>
    </row>
    <row r="999" customFormat="false" ht="15.75" hidden="true" customHeight="true" outlineLevel="0" collapsed="false">
      <c r="A999" s="46" t="str">
        <f aca="false">IF(_PENDIENTES!$B$993&lt;&gt;"",992,"")</f>
        <v/>
      </c>
      <c r="B999" s="41" t="str">
        <f aca="false">IF(_PENDIENTES!$B$993&lt;&gt;"",_PENDIENTES!$A$993,"")</f>
        <v/>
      </c>
      <c r="C999" s="110" t="str">
        <f aca="false">IF(_PENDIENTES!$B$993&lt;&gt;"",_PENDIENTES!$C$993,"")</f>
        <v/>
      </c>
      <c r="D999" s="46" t="str">
        <f aca="false">IF(_PENDIENTES!$B$993&lt;&gt;"",_PENDIENTES!$D$993,"")</f>
        <v/>
      </c>
      <c r="E999" s="112" t="str">
        <f aca="false">IF(_PENDIENTES!$B$993&lt;&gt;"",_PENDIENTES!$E$993,"")</f>
        <v/>
      </c>
      <c r="F999" s="46" t="str">
        <f aca="false">IF(_PENDIENTES!$B$993&lt;&gt;"",_PENDIENTES!$F$993,"")</f>
        <v/>
      </c>
      <c r="G999" s="44" t="str">
        <f aca="false">IF(_PENDIENTES!$B$993&lt;&gt;"",_PENDIENTES!$G$993,"")</f>
        <v/>
      </c>
      <c r="H999" s="44" t="str">
        <f aca="false">IF(_PENDIENTES!$B$993&lt;&gt;"",_PENDIENTES!$H$993,"")</f>
        <v/>
      </c>
      <c r="I999" s="110" t="str">
        <f aca="false">IF(_PENDIENTES!$B$993&lt;&gt;"",_PENDIENTES!$I$993,"")</f>
        <v/>
      </c>
      <c r="J999" s="46" t="str">
        <f aca="false">IF(_PENDIENTES!$B$993&lt;&gt;"",_PENDIENTES!$J$993,"")</f>
        <v/>
      </c>
      <c r="K999" s="46" t="str">
        <f aca="false">IF(_PENDIENTES!$B$993&lt;&gt;"","POR RECOGER","")</f>
        <v/>
      </c>
      <c r="L999" s="46" t="str">
        <f aca="false">IF(_PENDIENTES!$B$993&lt;&gt;"",_PENDIENTES!$K$993,"")</f>
        <v/>
      </c>
      <c r="M999" s="89" t="str">
        <f aca="false">IF(_PENDIENTES!$B$993&lt;&gt;"",_PENDIENTES!$B$993,"")</f>
        <v/>
      </c>
      <c r="N999" s="109" t="str">
        <f aca="false">IF(_PENDIENTES!$B$993&lt;&gt;"",_PENDIENTES!$L$993,"")</f>
        <v/>
      </c>
      <c r="O999" s="89"/>
      <c r="P999" s="89"/>
      <c r="Q999" s="89"/>
      <c r="R999" s="89"/>
      <c r="S999" s="89"/>
    </row>
    <row r="1000" customFormat="false" ht="15.75" hidden="true" customHeight="true" outlineLevel="0" collapsed="false">
      <c r="A1000" s="106" t="str">
        <f aca="false">IF(_PENDIENTES!$B$994&lt;&gt;"",993,"")</f>
        <v/>
      </c>
      <c r="B1000" s="47" t="str">
        <f aca="false">IF(_PENDIENTES!$B$994&lt;&gt;"",_PENDIENTES!$A$994,"")</f>
        <v/>
      </c>
      <c r="C1000" s="107" t="str">
        <f aca="false">IF(_PENDIENTES!$B$994&lt;&gt;"",_PENDIENTES!$C$994,"")</f>
        <v/>
      </c>
      <c r="D1000" s="106" t="str">
        <f aca="false">IF(_PENDIENTES!$B$994&lt;&gt;"",_PENDIENTES!$D$994,"")</f>
        <v/>
      </c>
      <c r="E1000" s="111" t="str">
        <f aca="false">IF(_PENDIENTES!$B$994&lt;&gt;"",_PENDIENTES!$E$994,"")</f>
        <v/>
      </c>
      <c r="F1000" s="106" t="str">
        <f aca="false">IF(_PENDIENTES!$B$994&lt;&gt;"",_PENDIENTES!$F$994,"")</f>
        <v/>
      </c>
      <c r="G1000" s="50" t="str">
        <f aca="false">IF(_PENDIENTES!$B$994&lt;&gt;"",_PENDIENTES!$G$994,"")</f>
        <v/>
      </c>
      <c r="H1000" s="50" t="str">
        <f aca="false">IF(_PENDIENTES!$B$994&lt;&gt;"",_PENDIENTES!$H$994,"")</f>
        <v/>
      </c>
      <c r="I1000" s="107" t="str">
        <f aca="false">IF(_PENDIENTES!$B$994&lt;&gt;"",_PENDIENTES!$I$994,"")</f>
        <v/>
      </c>
      <c r="J1000" s="106" t="str">
        <f aca="false">IF(_PENDIENTES!$B$994&lt;&gt;"",_PENDIENTES!$J$994,"")</f>
        <v/>
      </c>
      <c r="K1000" s="106" t="str">
        <f aca="false">IF(_PENDIENTES!$B$994&lt;&gt;"","POR RECOGER","")</f>
        <v/>
      </c>
      <c r="L1000" s="106" t="str">
        <f aca="false">IF(_PENDIENTES!$B$994&lt;&gt;"",_PENDIENTES!$K$994,"")</f>
        <v/>
      </c>
      <c r="M1000" s="89" t="str">
        <f aca="false">IF(_PENDIENTES!$B$994&lt;&gt;"",_PENDIENTES!$B$994,"")</f>
        <v/>
      </c>
      <c r="N1000" s="109" t="str">
        <f aca="false">IF(_PENDIENTES!$B$994&lt;&gt;"",_PENDIENTES!$L$994,"")</f>
        <v/>
      </c>
      <c r="O1000" s="89"/>
      <c r="P1000" s="89"/>
      <c r="Q1000" s="89"/>
      <c r="R1000" s="89"/>
      <c r="S1000" s="89"/>
    </row>
    <row r="1001" customFormat="false" ht="15.75" hidden="true" customHeight="true" outlineLevel="0" collapsed="false">
      <c r="A1001" s="46" t="str">
        <f aca="false">IF(_PENDIENTES!$B$995&lt;&gt;"",994,"")</f>
        <v/>
      </c>
      <c r="B1001" s="41" t="str">
        <f aca="false">IF(_PENDIENTES!$B$995&lt;&gt;"",_PENDIENTES!$A$995,"")</f>
        <v/>
      </c>
      <c r="C1001" s="110" t="str">
        <f aca="false">IF(_PENDIENTES!$B$995&lt;&gt;"",_PENDIENTES!$C$995,"")</f>
        <v/>
      </c>
      <c r="D1001" s="46" t="str">
        <f aca="false">IF(_PENDIENTES!$B$995&lt;&gt;"",_PENDIENTES!$D$995,"")</f>
        <v/>
      </c>
      <c r="E1001" s="112" t="str">
        <f aca="false">IF(_PENDIENTES!$B$995&lt;&gt;"",_PENDIENTES!$E$995,"")</f>
        <v/>
      </c>
      <c r="F1001" s="46" t="str">
        <f aca="false">IF(_PENDIENTES!$B$995&lt;&gt;"",_PENDIENTES!$F$995,"")</f>
        <v/>
      </c>
      <c r="G1001" s="44" t="str">
        <f aca="false">IF(_PENDIENTES!$B$995&lt;&gt;"",_PENDIENTES!$G$995,"")</f>
        <v/>
      </c>
      <c r="H1001" s="44" t="str">
        <f aca="false">IF(_PENDIENTES!$B$995&lt;&gt;"",_PENDIENTES!$H$995,"")</f>
        <v/>
      </c>
      <c r="I1001" s="110" t="str">
        <f aca="false">IF(_PENDIENTES!$B$995&lt;&gt;"",_PENDIENTES!$I$995,"")</f>
        <v/>
      </c>
      <c r="J1001" s="46" t="str">
        <f aca="false">IF(_PENDIENTES!$B$995&lt;&gt;"",_PENDIENTES!$J$995,"")</f>
        <v/>
      </c>
      <c r="K1001" s="46" t="str">
        <f aca="false">IF(_PENDIENTES!$B$995&lt;&gt;"","POR RECOGER","")</f>
        <v/>
      </c>
      <c r="L1001" s="46" t="str">
        <f aca="false">IF(_PENDIENTES!$B$995&lt;&gt;"",_PENDIENTES!$K$995,"")</f>
        <v/>
      </c>
      <c r="M1001" s="89" t="str">
        <f aca="false">IF(_PENDIENTES!$B$995&lt;&gt;"",_PENDIENTES!$B$995,"")</f>
        <v/>
      </c>
      <c r="N1001" s="109" t="str">
        <f aca="false">IF(_PENDIENTES!$B$995&lt;&gt;"",_PENDIENTES!$L$995,"")</f>
        <v/>
      </c>
      <c r="O1001" s="89"/>
      <c r="P1001" s="89"/>
      <c r="Q1001" s="89"/>
      <c r="R1001" s="89"/>
      <c r="S1001" s="89"/>
    </row>
    <row r="1002" customFormat="false" ht="15.75" hidden="true" customHeight="true" outlineLevel="0" collapsed="false">
      <c r="A1002" s="106" t="str">
        <f aca="false">IF(_PENDIENTES!$B$996&lt;&gt;"",995,"")</f>
        <v/>
      </c>
      <c r="B1002" s="47" t="str">
        <f aca="false">IF(_PENDIENTES!$B$996&lt;&gt;"",_PENDIENTES!$A$996,"")</f>
        <v/>
      </c>
      <c r="C1002" s="107" t="str">
        <f aca="false">IF(_PENDIENTES!$B$996&lt;&gt;"",_PENDIENTES!$C$996,"")</f>
        <v/>
      </c>
      <c r="D1002" s="106" t="str">
        <f aca="false">IF(_PENDIENTES!$B$996&lt;&gt;"",_PENDIENTES!$D$996,"")</f>
        <v/>
      </c>
      <c r="E1002" s="111" t="str">
        <f aca="false">IF(_PENDIENTES!$B$996&lt;&gt;"",_PENDIENTES!$E$996,"")</f>
        <v/>
      </c>
      <c r="F1002" s="106" t="str">
        <f aca="false">IF(_PENDIENTES!$B$996&lt;&gt;"",_PENDIENTES!$F$996,"")</f>
        <v/>
      </c>
      <c r="G1002" s="50" t="str">
        <f aca="false">IF(_PENDIENTES!$B$996&lt;&gt;"",_PENDIENTES!$G$996,"")</f>
        <v/>
      </c>
      <c r="H1002" s="50" t="str">
        <f aca="false">IF(_PENDIENTES!$B$996&lt;&gt;"",_PENDIENTES!$H$996,"")</f>
        <v/>
      </c>
      <c r="I1002" s="107" t="str">
        <f aca="false">IF(_PENDIENTES!$B$996&lt;&gt;"",_PENDIENTES!$I$996,"")</f>
        <v/>
      </c>
      <c r="J1002" s="106" t="str">
        <f aca="false">IF(_PENDIENTES!$B$996&lt;&gt;"",_PENDIENTES!$J$996,"")</f>
        <v/>
      </c>
      <c r="K1002" s="106" t="str">
        <f aca="false">IF(_PENDIENTES!$B$996&lt;&gt;"","POR RECOGER","")</f>
        <v/>
      </c>
      <c r="L1002" s="106" t="str">
        <f aca="false">IF(_PENDIENTES!$B$996&lt;&gt;"",_PENDIENTES!$K$996,"")</f>
        <v/>
      </c>
      <c r="M1002" s="89" t="str">
        <f aca="false">IF(_PENDIENTES!$B$996&lt;&gt;"",_PENDIENTES!$B$996,"")</f>
        <v/>
      </c>
      <c r="N1002" s="109" t="str">
        <f aca="false">IF(_PENDIENTES!$B$996&lt;&gt;"",_PENDIENTES!$L$996,"")</f>
        <v/>
      </c>
      <c r="O1002" s="89"/>
      <c r="P1002" s="89"/>
      <c r="Q1002" s="89"/>
      <c r="R1002" s="89"/>
      <c r="S1002" s="89"/>
    </row>
    <row r="1003" customFormat="false" ht="15.75" hidden="true" customHeight="true" outlineLevel="0" collapsed="false">
      <c r="A1003" s="46" t="str">
        <f aca="false">IF(_PENDIENTES!$B$997&lt;&gt;"",996,"")</f>
        <v/>
      </c>
      <c r="B1003" s="41" t="str">
        <f aca="false">IF(_PENDIENTES!$B$997&lt;&gt;"",_PENDIENTES!$A$997,"")</f>
        <v/>
      </c>
      <c r="C1003" s="110" t="str">
        <f aca="false">IF(_PENDIENTES!$B$997&lt;&gt;"",_PENDIENTES!$C$997,"")</f>
        <v/>
      </c>
      <c r="D1003" s="46" t="str">
        <f aca="false">IF(_PENDIENTES!$B$997&lt;&gt;"",_PENDIENTES!$D$997,"")</f>
        <v/>
      </c>
      <c r="E1003" s="46" t="str">
        <f aca="false">IF(_PENDIENTES!$B$997&lt;&gt;"",_PENDIENTES!$E$997,"")</f>
        <v/>
      </c>
      <c r="F1003" s="46" t="str">
        <f aca="false">IF(_PENDIENTES!$B$997&lt;&gt;"",_PENDIENTES!$F$997,"")</f>
        <v/>
      </c>
      <c r="G1003" s="44" t="str">
        <f aca="false">IF(_PENDIENTES!$B$997&lt;&gt;"",_PENDIENTES!$G$997,"")</f>
        <v/>
      </c>
      <c r="H1003" s="44" t="str">
        <f aca="false">IF(_PENDIENTES!$B$997&lt;&gt;"",_PENDIENTES!$H$997,"")</f>
        <v/>
      </c>
      <c r="I1003" s="110" t="str">
        <f aca="false">IF(_PENDIENTES!$B$997&lt;&gt;"",_PENDIENTES!$I$997,"")</f>
        <v/>
      </c>
      <c r="J1003" s="46" t="str">
        <f aca="false">IF(_PENDIENTES!$B$997&lt;&gt;"",_PENDIENTES!$J$997,"")</f>
        <v/>
      </c>
      <c r="K1003" s="46" t="str">
        <f aca="false">IF(_PENDIENTES!$B$997&lt;&gt;"","POR RECOGER","")</f>
        <v/>
      </c>
      <c r="L1003" s="46" t="str">
        <f aca="false">IF(_PENDIENTES!$B$997&lt;&gt;"",_PENDIENTES!$K$997,"")</f>
        <v/>
      </c>
      <c r="M1003" s="89" t="str">
        <f aca="false">IF(_PENDIENTES!$B$997&lt;&gt;"",_PENDIENTES!$B$997,"")</f>
        <v/>
      </c>
      <c r="N1003" s="109" t="str">
        <f aca="false">IF(_PENDIENTES!$B$997&lt;&gt;"",_PENDIENTES!$L$997,"")</f>
        <v/>
      </c>
      <c r="O1003" s="89"/>
      <c r="P1003" s="89"/>
      <c r="Q1003" s="89"/>
      <c r="R1003" s="89"/>
      <c r="S1003" s="89"/>
    </row>
    <row r="1004" customFormat="false" ht="15.75" hidden="true" customHeight="true" outlineLevel="0" collapsed="false">
      <c r="A1004" s="106" t="str">
        <f aca="false">IF(_PENDIENTES!$B$998&lt;&gt;"",997,"")</f>
        <v/>
      </c>
      <c r="B1004" s="47" t="str">
        <f aca="false">IF(_PENDIENTES!$B$998&lt;&gt;"",_PENDIENTES!$A$998,"")</f>
        <v/>
      </c>
      <c r="C1004" s="107" t="str">
        <f aca="false">IF(_PENDIENTES!$B$998&lt;&gt;"",_PENDIENTES!$C$998,"")</f>
        <v/>
      </c>
      <c r="D1004" s="106" t="str">
        <f aca="false">IF(_PENDIENTES!$B$998&lt;&gt;"",_PENDIENTES!$D$998,"")</f>
        <v/>
      </c>
      <c r="E1004" s="111" t="str">
        <f aca="false">IF(_PENDIENTES!$B$998&lt;&gt;"",_PENDIENTES!$E$998,"")</f>
        <v/>
      </c>
      <c r="F1004" s="106" t="str">
        <f aca="false">IF(_PENDIENTES!$B$998&lt;&gt;"",_PENDIENTES!$F$998,"")</f>
        <v/>
      </c>
      <c r="G1004" s="50" t="str">
        <f aca="false">IF(_PENDIENTES!$B$998&lt;&gt;"",_PENDIENTES!$G$998,"")</f>
        <v/>
      </c>
      <c r="H1004" s="50" t="str">
        <f aca="false">IF(_PENDIENTES!$B$998&lt;&gt;"",_PENDIENTES!$H$998,"")</f>
        <v/>
      </c>
      <c r="I1004" s="107" t="str">
        <f aca="false">IF(_PENDIENTES!$B$998&lt;&gt;"",_PENDIENTES!$I$998,"")</f>
        <v/>
      </c>
      <c r="J1004" s="106" t="str">
        <f aca="false">IF(_PENDIENTES!$B$998&lt;&gt;"",_PENDIENTES!$J$998,"")</f>
        <v/>
      </c>
      <c r="K1004" s="106" t="str">
        <f aca="false">IF(_PENDIENTES!$B$998&lt;&gt;"","POR RECOGER","")</f>
        <v/>
      </c>
      <c r="L1004" s="106" t="str">
        <f aca="false">IF(_PENDIENTES!$B$998&lt;&gt;"",_PENDIENTES!$K$998,"")</f>
        <v/>
      </c>
      <c r="M1004" s="89" t="str">
        <f aca="false">IF(_PENDIENTES!$B$998&lt;&gt;"",_PENDIENTES!$B$998,"")</f>
        <v/>
      </c>
      <c r="N1004" s="109" t="str">
        <f aca="false">IF(_PENDIENTES!$B$998&lt;&gt;"",_PENDIENTES!$L$998,"")</f>
        <v/>
      </c>
      <c r="O1004" s="89"/>
      <c r="P1004" s="89"/>
      <c r="Q1004" s="89"/>
      <c r="R1004" s="89"/>
      <c r="S1004" s="89"/>
    </row>
    <row r="1005" customFormat="false" ht="15.75" hidden="true" customHeight="true" outlineLevel="0" collapsed="false">
      <c r="A1005" s="46" t="str">
        <f aca="false">IF(_PENDIENTES!$B$999&lt;&gt;"",998,"")</f>
        <v/>
      </c>
      <c r="B1005" s="41" t="str">
        <f aca="false">IF(_PENDIENTES!$B$999&lt;&gt;"",_PENDIENTES!$A$999,"")</f>
        <v/>
      </c>
      <c r="C1005" s="110" t="str">
        <f aca="false">IF(_PENDIENTES!$B$999&lt;&gt;"",_PENDIENTES!$C$999,"")</f>
        <v/>
      </c>
      <c r="D1005" s="46" t="str">
        <f aca="false">IF(_PENDIENTES!$B$999&lt;&gt;"",_PENDIENTES!$D$999,"")</f>
        <v/>
      </c>
      <c r="E1005" s="112" t="str">
        <f aca="false">IF(_PENDIENTES!$B$999&lt;&gt;"",_PENDIENTES!$E$999,"")</f>
        <v/>
      </c>
      <c r="F1005" s="46" t="str">
        <f aca="false">IF(_PENDIENTES!$B$999&lt;&gt;"",_PENDIENTES!$F$999,"")</f>
        <v/>
      </c>
      <c r="G1005" s="44" t="str">
        <f aca="false">IF(_PENDIENTES!$B$999&lt;&gt;"",_PENDIENTES!$G$999,"")</f>
        <v/>
      </c>
      <c r="H1005" s="44" t="str">
        <f aca="false">IF(_PENDIENTES!$B$999&lt;&gt;"",_PENDIENTES!$H$999,"")</f>
        <v/>
      </c>
      <c r="I1005" s="110" t="str">
        <f aca="false">IF(_PENDIENTES!$B$999&lt;&gt;"",_PENDIENTES!$I$999,"")</f>
        <v/>
      </c>
      <c r="J1005" s="46" t="str">
        <f aca="false">IF(_PENDIENTES!$B$999&lt;&gt;"",_PENDIENTES!$J$999,"")</f>
        <v/>
      </c>
      <c r="K1005" s="46" t="str">
        <f aca="false">IF(_PENDIENTES!$B$999&lt;&gt;"","POR RECOGER","")</f>
        <v/>
      </c>
      <c r="L1005" s="46" t="str">
        <f aca="false">IF(_PENDIENTES!$B$999&lt;&gt;"",_PENDIENTES!$K$999,"")</f>
        <v/>
      </c>
      <c r="M1005" s="89" t="str">
        <f aca="false">IF(_PENDIENTES!$B$999&lt;&gt;"",_PENDIENTES!$B$999,"")</f>
        <v/>
      </c>
      <c r="N1005" s="109" t="str">
        <f aca="false">IF(_PENDIENTES!$B$999&lt;&gt;"",_PENDIENTES!$L$999,"")</f>
        <v/>
      </c>
      <c r="O1005" s="89"/>
      <c r="P1005" s="89"/>
      <c r="Q1005" s="89"/>
      <c r="R1005" s="89"/>
      <c r="S1005" s="89"/>
    </row>
    <row r="1006" customFormat="false" ht="15.75" hidden="true" customHeight="true" outlineLevel="0" collapsed="false">
      <c r="A1006" s="106" t="str">
        <f aca="false">IF(_PENDIENTES!$B$1000&lt;&gt;"",999,"")</f>
        <v/>
      </c>
      <c r="B1006" s="47" t="str">
        <f aca="false">IF(_PENDIENTES!$B$1000&lt;&gt;"",_PENDIENTES!$A$1000,"")</f>
        <v/>
      </c>
      <c r="C1006" s="107" t="str">
        <f aca="false">IF(_PENDIENTES!$B$1000&lt;&gt;"",_PENDIENTES!$C$1000,"")</f>
        <v/>
      </c>
      <c r="D1006" s="106" t="str">
        <f aca="false">IF(_PENDIENTES!$B$1000&lt;&gt;"",_PENDIENTES!$D$1000,"")</f>
        <v/>
      </c>
      <c r="E1006" s="111" t="str">
        <f aca="false">IF(_PENDIENTES!$B$1000&lt;&gt;"",_PENDIENTES!$E$1000,"")</f>
        <v/>
      </c>
      <c r="F1006" s="106" t="str">
        <f aca="false">IF(_PENDIENTES!$B$1000&lt;&gt;"",_PENDIENTES!$F$1000,"")</f>
        <v/>
      </c>
      <c r="G1006" s="50" t="str">
        <f aca="false">IF(_PENDIENTES!$B$1000&lt;&gt;"",_PENDIENTES!$G$1000,"")</f>
        <v/>
      </c>
      <c r="H1006" s="50" t="str">
        <f aca="false">IF(_PENDIENTES!$B$1000&lt;&gt;"",_PENDIENTES!$H$1000,"")</f>
        <v/>
      </c>
      <c r="I1006" s="107" t="str">
        <f aca="false">IF(_PENDIENTES!$B$1000&lt;&gt;"",_PENDIENTES!$I$1000,"")</f>
        <v/>
      </c>
      <c r="J1006" s="106" t="str">
        <f aca="false">IF(_PENDIENTES!$B$1000&lt;&gt;"",_PENDIENTES!$J$1000,"")</f>
        <v/>
      </c>
      <c r="K1006" s="106" t="str">
        <f aca="false">IF(_PENDIENTES!$B$1000&lt;&gt;"","POR RECOGER","")</f>
        <v/>
      </c>
      <c r="L1006" s="106" t="str">
        <f aca="false">IF(_PENDIENTES!$B$1000&lt;&gt;"",_PENDIENTES!$K$1000,"")</f>
        <v/>
      </c>
      <c r="M1006" s="89" t="str">
        <f aca="false">IF(_PENDIENTES!$B$1000&lt;&gt;"",_PENDIENTES!$B$1000,"")</f>
        <v/>
      </c>
      <c r="N1006" s="109" t="str">
        <f aca="false">IF(_PENDIENTES!$B$1000&lt;&gt;"",_PENDIENTES!$L$1000,"")</f>
        <v/>
      </c>
      <c r="O1006" s="89"/>
      <c r="P1006" s="89"/>
      <c r="Q1006" s="89"/>
      <c r="R1006" s="89"/>
      <c r="S1006" s="89"/>
    </row>
    <row r="1007" customFormat="false" ht="15.75" hidden="true" customHeight="true" outlineLevel="0" collapsed="false">
      <c r="A1007" s="46" t="str">
        <f aca="false">IF(_PENDIENTES!$B$1001&lt;&gt;"",1000,"")</f>
        <v/>
      </c>
      <c r="B1007" s="41" t="str">
        <f aca="false">IF(_PENDIENTES!$B$1001&lt;&gt;"",_PENDIENTES!$A$1001,"")</f>
        <v/>
      </c>
      <c r="C1007" s="110" t="str">
        <f aca="false">IF(_PENDIENTES!$B$1001&lt;&gt;"",_PENDIENTES!$C$1001,"")</f>
        <v/>
      </c>
      <c r="D1007" s="46" t="str">
        <f aca="false">IF(_PENDIENTES!$B$1001&lt;&gt;"",_PENDIENTES!$D$1001,"")</f>
        <v/>
      </c>
      <c r="E1007" s="112" t="str">
        <f aca="false">IF(_PENDIENTES!$B$1001&lt;&gt;"",_PENDIENTES!$E$1001,"")</f>
        <v/>
      </c>
      <c r="F1007" s="46" t="str">
        <f aca="false">IF(_PENDIENTES!$B$1001&lt;&gt;"",_PENDIENTES!$F$1001,"")</f>
        <v/>
      </c>
      <c r="G1007" s="44" t="str">
        <f aca="false">IF(_PENDIENTES!$B$1001&lt;&gt;"",_PENDIENTES!$G$1001,"")</f>
        <v/>
      </c>
      <c r="H1007" s="44" t="str">
        <f aca="false">IF(_PENDIENTES!$B$1001&lt;&gt;"",_PENDIENTES!$H$1001,"")</f>
        <v/>
      </c>
      <c r="I1007" s="110" t="str">
        <f aca="false">IF(_PENDIENTES!$B$1001&lt;&gt;"",_PENDIENTES!$I$1001,"")</f>
        <v/>
      </c>
      <c r="J1007" s="46" t="str">
        <f aca="false">IF(_PENDIENTES!$B$1001&lt;&gt;"",_PENDIENTES!$J$1001,"")</f>
        <v/>
      </c>
      <c r="K1007" s="46" t="str">
        <f aca="false">IF(_PENDIENTES!$B$1001&lt;&gt;"","POR RECOGER","")</f>
        <v/>
      </c>
      <c r="L1007" s="46" t="str">
        <f aca="false">IF(_PENDIENTES!$B$1001&lt;&gt;"",_PENDIENTES!$K$1001,"")</f>
        <v/>
      </c>
      <c r="M1007" s="89" t="str">
        <f aca="false">IF(_PENDIENTES!$B$1001&lt;&gt;"",_PENDIENTES!$B$1001,"")</f>
        <v/>
      </c>
      <c r="N1007" s="109" t="str">
        <f aca="false">IF(_PENDIENTES!$B$1001&lt;&gt;"",_PENDIENTES!$L$1001,"")</f>
        <v/>
      </c>
      <c r="O1007" s="89"/>
      <c r="P1007" s="89"/>
      <c r="Q1007" s="89"/>
      <c r="R1007" s="89"/>
      <c r="S1007" s="89"/>
    </row>
    <row r="1008" customFormat="false" ht="15.75" hidden="true" customHeight="true" outlineLevel="0" collapsed="false">
      <c r="A1008" s="106" t="str">
        <f aca="false">IF(_PENDIENTES!$B$1002&lt;&gt;"",1001,"")</f>
        <v/>
      </c>
      <c r="B1008" s="47" t="str">
        <f aca="false">IF(_PENDIENTES!$B$1002&lt;&gt;"",_PENDIENTES!$A$1002,"")</f>
        <v/>
      </c>
      <c r="C1008" s="107" t="str">
        <f aca="false">IF(_PENDIENTES!$B$1002&lt;&gt;"",_PENDIENTES!$C$1002,"")</f>
        <v/>
      </c>
      <c r="D1008" s="106" t="str">
        <f aca="false">IF(_PENDIENTES!$B$1002&lt;&gt;"",_PENDIENTES!$D$1002,"")</f>
        <v/>
      </c>
      <c r="E1008" s="106" t="str">
        <f aca="false">IF(_PENDIENTES!$B$1002&lt;&gt;"",_PENDIENTES!$E$1002,"")</f>
        <v/>
      </c>
      <c r="F1008" s="106" t="str">
        <f aca="false">IF(_PENDIENTES!$B$1002&lt;&gt;"",_PENDIENTES!$F$1002,"")</f>
        <v/>
      </c>
      <c r="G1008" s="50" t="str">
        <f aca="false">IF(_PENDIENTES!$B$1002&lt;&gt;"",_PENDIENTES!$G$1002,"")</f>
        <v/>
      </c>
      <c r="H1008" s="50" t="str">
        <f aca="false">IF(_PENDIENTES!$B$1002&lt;&gt;"",_PENDIENTES!$H$1002,"")</f>
        <v/>
      </c>
      <c r="I1008" s="107" t="str">
        <f aca="false">IF(_PENDIENTES!$B$1002&lt;&gt;"",_PENDIENTES!$I$1002,"")</f>
        <v/>
      </c>
      <c r="J1008" s="106" t="str">
        <f aca="false">IF(_PENDIENTES!$B$1002&lt;&gt;"",_PENDIENTES!$J$1002,"")</f>
        <v/>
      </c>
      <c r="K1008" s="106" t="str">
        <f aca="false">IF(_PENDIENTES!$B$1002&lt;&gt;"","POR RECOGER","")</f>
        <v/>
      </c>
      <c r="L1008" s="106" t="str">
        <f aca="false">IF(_PENDIENTES!$B$1002&lt;&gt;"",_PENDIENTES!$K$1002,"")</f>
        <v/>
      </c>
      <c r="M1008" s="89" t="str">
        <f aca="false">IF(_PENDIENTES!$B$1002&lt;&gt;"",_PENDIENTES!$B$1002,"")</f>
        <v/>
      </c>
      <c r="N1008" s="109" t="str">
        <f aca="false">IF(_PENDIENTES!$B$1002&lt;&gt;"",_PENDIENTES!$L$1002,"")</f>
        <v/>
      </c>
      <c r="O1008" s="89"/>
    </row>
    <row r="1009" customFormat="false" ht="15.75" hidden="true" customHeight="true" outlineLevel="0" collapsed="false">
      <c r="A1009" s="46" t="str">
        <f aca="false">IF(_PENDIENTES!$B$1003&lt;&gt;"",1002,"")</f>
        <v/>
      </c>
      <c r="B1009" s="41" t="str">
        <f aca="false">IF(_PENDIENTES!$B$1003&lt;&gt;"",_PENDIENTES!$A$1003,"")</f>
        <v/>
      </c>
      <c r="C1009" s="110" t="str">
        <f aca="false">IF(_PENDIENTES!$B$1003&lt;&gt;"",_PENDIENTES!$C$1003,"")</f>
        <v/>
      </c>
      <c r="D1009" s="46" t="str">
        <f aca="false">IF(_PENDIENTES!$B$1003&lt;&gt;"",_PENDIENTES!$D$1003,"")</f>
        <v/>
      </c>
      <c r="E1009" s="46" t="str">
        <f aca="false">IF(_PENDIENTES!$B$1003&lt;&gt;"",_PENDIENTES!$E$1003,"")</f>
        <v/>
      </c>
      <c r="F1009" s="46" t="str">
        <f aca="false">IF(_PENDIENTES!$B$1003&lt;&gt;"",_PENDIENTES!$F$1003,"")</f>
        <v/>
      </c>
      <c r="G1009" s="44" t="str">
        <f aca="false">IF(_PENDIENTES!$B$1003&lt;&gt;"",_PENDIENTES!$G$1003,"")</f>
        <v/>
      </c>
      <c r="H1009" s="44" t="str">
        <f aca="false">IF(_PENDIENTES!$B$1003&lt;&gt;"",_PENDIENTES!$H$1003,"")</f>
        <v/>
      </c>
      <c r="I1009" s="110" t="str">
        <f aca="false">IF(_PENDIENTES!$B$1003&lt;&gt;"",_PENDIENTES!$I$1003,"")</f>
        <v/>
      </c>
      <c r="J1009" s="46" t="str">
        <f aca="false">IF(_PENDIENTES!$B$1003&lt;&gt;"",_PENDIENTES!$J$1003,"")</f>
        <v/>
      </c>
      <c r="K1009" s="46" t="str">
        <f aca="false">IF(_PENDIENTES!$B$1003&lt;&gt;"","POR RECOGER","")</f>
        <v/>
      </c>
      <c r="L1009" s="46" t="str">
        <f aca="false">IF(_PENDIENTES!$B$1003&lt;&gt;"",_PENDIENTES!$K$1003,"")</f>
        <v/>
      </c>
      <c r="M1009" s="89" t="str">
        <f aca="false">IF(_PENDIENTES!$B$1003&lt;&gt;"",_PENDIENTES!$B$1003,"")</f>
        <v/>
      </c>
      <c r="N1009" s="109" t="str">
        <f aca="false">IF(_PENDIENTES!$B$1003&lt;&gt;"",_PENDIENTES!$L$1003,"")</f>
        <v/>
      </c>
      <c r="O1009" s="89"/>
    </row>
    <row r="1010" customFormat="false" ht="15.75" hidden="true" customHeight="true" outlineLevel="0" collapsed="false">
      <c r="A1010" s="106" t="str">
        <f aca="false">IF(_PENDIENTES!$B$1004&lt;&gt;"",1003,"")</f>
        <v/>
      </c>
      <c r="B1010" s="47" t="str">
        <f aca="false">IF(_PENDIENTES!$B$1004&lt;&gt;"",_PENDIENTES!$A$1004,"")</f>
        <v/>
      </c>
      <c r="C1010" s="107" t="str">
        <f aca="false">IF(_PENDIENTES!$B$1004&lt;&gt;"",_PENDIENTES!$C$1004,"")</f>
        <v/>
      </c>
      <c r="D1010" s="106" t="str">
        <f aca="false">IF(_PENDIENTES!$B$1004&lt;&gt;"",_PENDIENTES!$D$1004,"")</f>
        <v/>
      </c>
      <c r="E1010" s="106" t="str">
        <f aca="false">IF(_PENDIENTES!$B$1004&lt;&gt;"",_PENDIENTES!$E$1004,"")</f>
        <v/>
      </c>
      <c r="F1010" s="106" t="str">
        <f aca="false">IF(_PENDIENTES!$B$1004&lt;&gt;"",_PENDIENTES!$F$1004,"")</f>
        <v/>
      </c>
      <c r="G1010" s="50" t="str">
        <f aca="false">IF(_PENDIENTES!$B$1004&lt;&gt;"",_PENDIENTES!$G$1004,"")</f>
        <v/>
      </c>
      <c r="H1010" s="50" t="str">
        <f aca="false">IF(_PENDIENTES!$B$1004&lt;&gt;"",_PENDIENTES!$H$1004,"")</f>
        <v/>
      </c>
      <c r="I1010" s="107" t="str">
        <f aca="false">IF(_PENDIENTES!$B$1004&lt;&gt;"",_PENDIENTES!$I$1004,"")</f>
        <v/>
      </c>
      <c r="J1010" s="106" t="str">
        <f aca="false">IF(_PENDIENTES!$B$1004&lt;&gt;"",_PENDIENTES!$J$1004,"")</f>
        <v/>
      </c>
      <c r="K1010" s="106" t="str">
        <f aca="false">IF(_PENDIENTES!$B$1004&lt;&gt;"","POR RECOGER","")</f>
        <v/>
      </c>
      <c r="L1010" s="106" t="str">
        <f aca="false">IF(_PENDIENTES!$B$1004&lt;&gt;"",_PENDIENTES!$K$1004,"")</f>
        <v/>
      </c>
      <c r="M1010" s="89" t="str">
        <f aca="false">IF(_PENDIENTES!$B$1004&lt;&gt;"",_PENDIENTES!$B$1004,"")</f>
        <v/>
      </c>
      <c r="N1010" s="109" t="str">
        <f aca="false">IF(_PENDIENTES!$B$1004&lt;&gt;"",_PENDIENTES!$L$1004,"")</f>
        <v/>
      </c>
      <c r="O1010" s="89"/>
    </row>
    <row r="1011" customFormat="false" ht="15.75" hidden="true" customHeight="true" outlineLevel="0" collapsed="false">
      <c r="A1011" s="46" t="str">
        <f aca="false">IF(_PENDIENTES!$B$1005&lt;&gt;"",1004,"")</f>
        <v/>
      </c>
      <c r="B1011" s="41" t="str">
        <f aca="false">IF(_PENDIENTES!$B$1005&lt;&gt;"",_PENDIENTES!$A$1005,"")</f>
        <v/>
      </c>
      <c r="C1011" s="110" t="str">
        <f aca="false">IF(_PENDIENTES!$B$1005&lt;&gt;"",_PENDIENTES!$C$1005,"")</f>
        <v/>
      </c>
      <c r="D1011" s="46" t="str">
        <f aca="false">IF(_PENDIENTES!$B$1005&lt;&gt;"",_PENDIENTES!$D$1005,"")</f>
        <v/>
      </c>
      <c r="E1011" s="46" t="str">
        <f aca="false">IF(_PENDIENTES!$B$1005&lt;&gt;"",_PENDIENTES!$E$1005,"")</f>
        <v/>
      </c>
      <c r="F1011" s="46" t="str">
        <f aca="false">IF(_PENDIENTES!$B$1005&lt;&gt;"",_PENDIENTES!$F$1005,"")</f>
        <v/>
      </c>
      <c r="G1011" s="44" t="str">
        <f aca="false">IF(_PENDIENTES!$B$1005&lt;&gt;"",_PENDIENTES!$G$1005,"")</f>
        <v/>
      </c>
      <c r="H1011" s="44" t="str">
        <f aca="false">IF(_PENDIENTES!$B$1005&lt;&gt;"",_PENDIENTES!$H$1005,"")</f>
        <v/>
      </c>
      <c r="I1011" s="110" t="str">
        <f aca="false">IF(_PENDIENTES!$B$1005&lt;&gt;"",_PENDIENTES!$I$1005,"")</f>
        <v/>
      </c>
      <c r="J1011" s="46" t="str">
        <f aca="false">IF(_PENDIENTES!$B$1005&lt;&gt;"",_PENDIENTES!$J$1005,"")</f>
        <v/>
      </c>
      <c r="K1011" s="46" t="str">
        <f aca="false">IF(_PENDIENTES!$B$1005&lt;&gt;"","POR RECOGER","")</f>
        <v/>
      </c>
      <c r="L1011" s="46" t="str">
        <f aca="false">IF(_PENDIENTES!$B$1005&lt;&gt;"",_PENDIENTES!$K$1005,"")</f>
        <v/>
      </c>
      <c r="M1011" s="89" t="str">
        <f aca="false">IF(_PENDIENTES!$B$1005&lt;&gt;"",_PENDIENTES!$B$1005,"")</f>
        <v/>
      </c>
      <c r="N1011" s="109" t="str">
        <f aca="false">IF(_PENDIENTES!$B$1005&lt;&gt;"",_PENDIENTES!$L$1005,"")</f>
        <v/>
      </c>
      <c r="O1011" s="89"/>
    </row>
    <row r="1012" customFormat="false" ht="15.75" hidden="true" customHeight="true" outlineLevel="0" collapsed="false">
      <c r="A1012" s="106" t="str">
        <f aca="false">IF(_PENDIENTES!$B$1006&lt;&gt;"",1005,"")</f>
        <v/>
      </c>
      <c r="B1012" s="47" t="str">
        <f aca="false">IF(_PENDIENTES!$B$1006&lt;&gt;"",_PENDIENTES!$A$1006,"")</f>
        <v/>
      </c>
      <c r="C1012" s="107" t="str">
        <f aca="false">IF(_PENDIENTES!$B$1006&lt;&gt;"",_PENDIENTES!$C$1006,"")</f>
        <v/>
      </c>
      <c r="D1012" s="106" t="str">
        <f aca="false">IF(_PENDIENTES!$B$1006&lt;&gt;"",_PENDIENTES!$D$1006,"")</f>
        <v/>
      </c>
      <c r="E1012" s="106" t="str">
        <f aca="false">IF(_PENDIENTES!$B$1006&lt;&gt;"",_PENDIENTES!$E$1006,"")</f>
        <v/>
      </c>
      <c r="F1012" s="106" t="str">
        <f aca="false">IF(_PENDIENTES!$B$1006&lt;&gt;"",_PENDIENTES!$F$1006,"")</f>
        <v/>
      </c>
      <c r="G1012" s="50" t="str">
        <f aca="false">IF(_PENDIENTES!$B$1006&lt;&gt;"",_PENDIENTES!$G$1006,"")</f>
        <v/>
      </c>
      <c r="H1012" s="50" t="str">
        <f aca="false">IF(_PENDIENTES!$B$1006&lt;&gt;"",_PENDIENTES!$H$1006,"")</f>
        <v/>
      </c>
      <c r="I1012" s="107" t="str">
        <f aca="false">IF(_PENDIENTES!$B$1006&lt;&gt;"",_PENDIENTES!$I$1006,"")</f>
        <v/>
      </c>
      <c r="J1012" s="106" t="str">
        <f aca="false">IF(_PENDIENTES!$B$1006&lt;&gt;"",_PENDIENTES!$J$1006,"")</f>
        <v/>
      </c>
      <c r="K1012" s="106" t="str">
        <f aca="false">IF(_PENDIENTES!$B$1006&lt;&gt;"","POR RECOGER","")</f>
        <v/>
      </c>
      <c r="L1012" s="106" t="str">
        <f aca="false">IF(_PENDIENTES!$B$1006&lt;&gt;"",_PENDIENTES!$K$1006,"")</f>
        <v/>
      </c>
      <c r="M1012" s="89" t="str">
        <f aca="false">IF(_PENDIENTES!$B$1006&lt;&gt;"",_PENDIENTES!$B$1006,"")</f>
        <v/>
      </c>
      <c r="N1012" s="109" t="str">
        <f aca="false">IF(_PENDIENTES!$B$1006&lt;&gt;"",_PENDIENTES!$L$1006,"")</f>
        <v/>
      </c>
      <c r="O1012" s="89"/>
    </row>
    <row r="1013" customFormat="false" ht="15.75" hidden="true" customHeight="true" outlineLevel="0" collapsed="false">
      <c r="A1013" s="46" t="str">
        <f aca="false">IF(_PENDIENTES!$B$1007&lt;&gt;"",1006,"")</f>
        <v/>
      </c>
      <c r="B1013" s="41" t="str">
        <f aca="false">IF(_PENDIENTES!$B$1007&lt;&gt;"",_PENDIENTES!$A$1007,"")</f>
        <v/>
      </c>
      <c r="C1013" s="110" t="str">
        <f aca="false">IF(_PENDIENTES!$B$1007&lt;&gt;"",_PENDIENTES!$C$1007,"")</f>
        <v/>
      </c>
      <c r="D1013" s="46" t="str">
        <f aca="false">IF(_PENDIENTES!$B$1007&lt;&gt;"",_PENDIENTES!$D$1007,"")</f>
        <v/>
      </c>
      <c r="E1013" s="46" t="str">
        <f aca="false">IF(_PENDIENTES!$B$1007&lt;&gt;"",_PENDIENTES!$E$1007,"")</f>
        <v/>
      </c>
      <c r="F1013" s="46" t="str">
        <f aca="false">IF(_PENDIENTES!$B$1007&lt;&gt;"",_PENDIENTES!$F$1007,"")</f>
        <v/>
      </c>
      <c r="G1013" s="44" t="str">
        <f aca="false">IF(_PENDIENTES!$B$1007&lt;&gt;"",_PENDIENTES!$G$1007,"")</f>
        <v/>
      </c>
      <c r="H1013" s="44" t="str">
        <f aca="false">IF(_PENDIENTES!$B$1007&lt;&gt;"",_PENDIENTES!$H$1007,"")</f>
        <v/>
      </c>
      <c r="I1013" s="110" t="str">
        <f aca="false">IF(_PENDIENTES!$B$1007&lt;&gt;"",_PENDIENTES!$I$1007,"")</f>
        <v/>
      </c>
      <c r="J1013" s="46" t="str">
        <f aca="false">IF(_PENDIENTES!$B$1007&lt;&gt;"",_PENDIENTES!$J$1007,"")</f>
        <v/>
      </c>
      <c r="K1013" s="46" t="str">
        <f aca="false">IF(_PENDIENTES!$B$1007&lt;&gt;"","POR RECOGER","")</f>
        <v/>
      </c>
      <c r="L1013" s="46" t="str">
        <f aca="false">IF(_PENDIENTES!$B$1007&lt;&gt;"",_PENDIENTES!$K$1007,"")</f>
        <v/>
      </c>
      <c r="M1013" s="89" t="str">
        <f aca="false">IF(_PENDIENTES!$B$1007&lt;&gt;"",_PENDIENTES!$B$1007,"")</f>
        <v/>
      </c>
      <c r="N1013" s="109" t="str">
        <f aca="false">IF(_PENDIENTES!$B$1007&lt;&gt;"",_PENDIENTES!$L$1007,"")</f>
        <v/>
      </c>
      <c r="O1013" s="89"/>
    </row>
    <row r="1014" customFormat="false" ht="15.75" hidden="true" customHeight="true" outlineLevel="0" collapsed="false">
      <c r="A1014" s="106" t="str">
        <f aca="false">IF(_PENDIENTES!$B$1008&lt;&gt;"",1007,"")</f>
        <v/>
      </c>
      <c r="B1014" s="47" t="str">
        <f aca="false">IF(_PENDIENTES!$B$1008&lt;&gt;"",_PENDIENTES!$A$1008,"")</f>
        <v/>
      </c>
      <c r="C1014" s="107" t="str">
        <f aca="false">IF(_PENDIENTES!$B$1008&lt;&gt;"",_PENDIENTES!$C$1008,"")</f>
        <v/>
      </c>
      <c r="D1014" s="106" t="str">
        <f aca="false">IF(_PENDIENTES!$B$1008&lt;&gt;"",_PENDIENTES!$D$1008,"")</f>
        <v/>
      </c>
      <c r="E1014" s="106" t="str">
        <f aca="false">IF(_PENDIENTES!$B$1008&lt;&gt;"",_PENDIENTES!$E$1008,"")</f>
        <v/>
      </c>
      <c r="F1014" s="106" t="str">
        <f aca="false">IF(_PENDIENTES!$B$1008&lt;&gt;"",_PENDIENTES!$F$1008,"")</f>
        <v/>
      </c>
      <c r="G1014" s="50" t="str">
        <f aca="false">IF(_PENDIENTES!$B$1008&lt;&gt;"",_PENDIENTES!$G$1008,"")</f>
        <v/>
      </c>
      <c r="H1014" s="50" t="str">
        <f aca="false">IF(_PENDIENTES!$B$1008&lt;&gt;"",_PENDIENTES!$H$1008,"")</f>
        <v/>
      </c>
      <c r="I1014" s="107" t="str">
        <f aca="false">IF(_PENDIENTES!$B$1008&lt;&gt;"",_PENDIENTES!$I$1008,"")</f>
        <v/>
      </c>
      <c r="J1014" s="106" t="str">
        <f aca="false">IF(_PENDIENTES!$B$1008&lt;&gt;"",_PENDIENTES!$J$1008,"")</f>
        <v/>
      </c>
      <c r="K1014" s="106" t="str">
        <f aca="false">IF(_PENDIENTES!$B$1008&lt;&gt;"","POR RECOGER","")</f>
        <v/>
      </c>
      <c r="L1014" s="106" t="str">
        <f aca="false">IF(_PENDIENTES!$B$1008&lt;&gt;"",_PENDIENTES!$K$1008,"")</f>
        <v/>
      </c>
      <c r="M1014" s="89" t="str">
        <f aca="false">IF(_PENDIENTES!$B$1008&lt;&gt;"",_PENDIENTES!$B$1008,"")</f>
        <v/>
      </c>
      <c r="N1014" s="109" t="str">
        <f aca="false">IF(_PENDIENTES!$B$1008&lt;&gt;"",_PENDIENTES!$L$1008,"")</f>
        <v/>
      </c>
      <c r="O1014" s="89"/>
    </row>
    <row r="1015" customFormat="false" ht="15.75" hidden="true" customHeight="true" outlineLevel="0" collapsed="false">
      <c r="A1015" s="46" t="str">
        <f aca="false">IF(_PENDIENTES!$B$1009&lt;&gt;"",1008,"")</f>
        <v/>
      </c>
      <c r="B1015" s="41" t="str">
        <f aca="false">IF(_PENDIENTES!$B$1009&lt;&gt;"",_PENDIENTES!$A$1009,"")</f>
        <v/>
      </c>
      <c r="C1015" s="110" t="str">
        <f aca="false">IF(_PENDIENTES!$B$1009&lt;&gt;"",_PENDIENTES!$C$1009,"")</f>
        <v/>
      </c>
      <c r="D1015" s="46" t="str">
        <f aca="false">IF(_PENDIENTES!$B$1009&lt;&gt;"",_PENDIENTES!$D$1009,"")</f>
        <v/>
      </c>
      <c r="E1015" s="46" t="str">
        <f aca="false">IF(_PENDIENTES!$B$1009&lt;&gt;"",_PENDIENTES!$E$1009,"")</f>
        <v/>
      </c>
      <c r="F1015" s="46" t="str">
        <f aca="false">IF(_PENDIENTES!$B$1009&lt;&gt;"",_PENDIENTES!$F$1009,"")</f>
        <v/>
      </c>
      <c r="G1015" s="44" t="str">
        <f aca="false">IF(_PENDIENTES!$B$1009&lt;&gt;"",_PENDIENTES!$G$1009,"")</f>
        <v/>
      </c>
      <c r="H1015" s="44" t="str">
        <f aca="false">IF(_PENDIENTES!$B$1009&lt;&gt;"",_PENDIENTES!$H$1009,"")</f>
        <v/>
      </c>
      <c r="I1015" s="110" t="str">
        <f aca="false">IF(_PENDIENTES!$B$1009&lt;&gt;"",_PENDIENTES!$I$1009,"")</f>
        <v/>
      </c>
      <c r="J1015" s="46" t="str">
        <f aca="false">IF(_PENDIENTES!$B$1009&lt;&gt;"",_PENDIENTES!$J$1009,"")</f>
        <v/>
      </c>
      <c r="K1015" s="46" t="str">
        <f aca="false">IF(_PENDIENTES!$B$1009&lt;&gt;"","POR RECOGER","")</f>
        <v/>
      </c>
      <c r="L1015" s="46" t="str">
        <f aca="false">IF(_PENDIENTES!$B$1009&lt;&gt;"",_PENDIENTES!$K$1009,"")</f>
        <v/>
      </c>
      <c r="M1015" s="89" t="str">
        <f aca="false">IF(_PENDIENTES!$B$1009&lt;&gt;"",_PENDIENTES!$B$1009,"")</f>
        <v/>
      </c>
      <c r="N1015" s="109" t="str">
        <f aca="false">IF(_PENDIENTES!$B$1009&lt;&gt;"",_PENDIENTES!$L$1009,"")</f>
        <v/>
      </c>
      <c r="O1015" s="89"/>
    </row>
    <row r="1016" customFormat="false" ht="15.75" hidden="true" customHeight="true" outlineLevel="0" collapsed="false">
      <c r="A1016" s="106" t="str">
        <f aca="false">IF(_PENDIENTES!$B$1010&lt;&gt;"",1009,"")</f>
        <v/>
      </c>
      <c r="B1016" s="47" t="str">
        <f aca="false">IF(_PENDIENTES!$B$1010&lt;&gt;"",_PENDIENTES!$A$1010,"")</f>
        <v/>
      </c>
      <c r="C1016" s="107" t="str">
        <f aca="false">IF(_PENDIENTES!$B$1010&lt;&gt;"",_PENDIENTES!$C$1010,"")</f>
        <v/>
      </c>
      <c r="D1016" s="106" t="str">
        <f aca="false">IF(_PENDIENTES!$B$1010&lt;&gt;"",_PENDIENTES!$D$1010,"")</f>
        <v/>
      </c>
      <c r="E1016" s="106" t="str">
        <f aca="false">IF(_PENDIENTES!$B$1010&lt;&gt;"",_PENDIENTES!$E$1010,"")</f>
        <v/>
      </c>
      <c r="F1016" s="106" t="str">
        <f aca="false">IF(_PENDIENTES!$B$1010&lt;&gt;"",_PENDIENTES!$F$1010,"")</f>
        <v/>
      </c>
      <c r="G1016" s="50" t="str">
        <f aca="false">IF(_PENDIENTES!$B$1010&lt;&gt;"",_PENDIENTES!$G$1010,"")</f>
        <v/>
      </c>
      <c r="H1016" s="50" t="str">
        <f aca="false">IF(_PENDIENTES!$B$1010&lt;&gt;"",_PENDIENTES!$H$1010,"")</f>
        <v/>
      </c>
      <c r="I1016" s="107" t="str">
        <f aca="false">IF(_PENDIENTES!$B$1010&lt;&gt;"",_PENDIENTES!$I$1010,"")</f>
        <v/>
      </c>
      <c r="J1016" s="106" t="str">
        <f aca="false">IF(_PENDIENTES!$B$1010&lt;&gt;"",_PENDIENTES!$J$1010,"")</f>
        <v/>
      </c>
      <c r="K1016" s="106" t="str">
        <f aca="false">IF(_PENDIENTES!$B$1010&lt;&gt;"","POR RECOGER","")</f>
        <v/>
      </c>
      <c r="L1016" s="106" t="str">
        <f aca="false">IF(_PENDIENTES!$B$1010&lt;&gt;"",_PENDIENTES!$K$1010,"")</f>
        <v/>
      </c>
      <c r="M1016" s="89" t="str">
        <f aca="false">IF(_PENDIENTES!$B$1010&lt;&gt;"",_PENDIENTES!$B$1010,"")</f>
        <v/>
      </c>
      <c r="N1016" s="109" t="str">
        <f aca="false">IF(_PENDIENTES!$B$1010&lt;&gt;"",_PENDIENTES!$L$1010,"")</f>
        <v/>
      </c>
      <c r="O1016" s="89"/>
    </row>
    <row r="1017" customFormat="false" ht="15.75" hidden="true" customHeight="true" outlineLevel="0" collapsed="false">
      <c r="A1017" s="46" t="str">
        <f aca="false">IF(_PENDIENTES!$B$1011&lt;&gt;"",1010,"")</f>
        <v/>
      </c>
      <c r="B1017" s="41" t="str">
        <f aca="false">IF(_PENDIENTES!$B$1011&lt;&gt;"",_PENDIENTES!$A$1011,"")</f>
        <v/>
      </c>
      <c r="C1017" s="110" t="str">
        <f aca="false">IF(_PENDIENTES!$B$1011&lt;&gt;"",_PENDIENTES!$C$1011,"")</f>
        <v/>
      </c>
      <c r="D1017" s="46" t="str">
        <f aca="false">IF(_PENDIENTES!$B$1011&lt;&gt;"",_PENDIENTES!$D$1011,"")</f>
        <v/>
      </c>
      <c r="E1017" s="46" t="str">
        <f aca="false">IF(_PENDIENTES!$B$1011&lt;&gt;"",_PENDIENTES!$E$1011,"")</f>
        <v/>
      </c>
      <c r="F1017" s="46" t="str">
        <f aca="false">IF(_PENDIENTES!$B$1011&lt;&gt;"",_PENDIENTES!$F$1011,"")</f>
        <v/>
      </c>
      <c r="G1017" s="44" t="str">
        <f aca="false">IF(_PENDIENTES!$B$1011&lt;&gt;"",_PENDIENTES!$G$1011,"")</f>
        <v/>
      </c>
      <c r="H1017" s="44" t="str">
        <f aca="false">IF(_PENDIENTES!$B$1011&lt;&gt;"",_PENDIENTES!$H$1011,"")</f>
        <v/>
      </c>
      <c r="I1017" s="110" t="str">
        <f aca="false">IF(_PENDIENTES!$B$1011&lt;&gt;"",_PENDIENTES!$I$1011,"")</f>
        <v/>
      </c>
      <c r="J1017" s="46" t="str">
        <f aca="false">IF(_PENDIENTES!$B$1011&lt;&gt;"",_PENDIENTES!$J$1011,"")</f>
        <v/>
      </c>
      <c r="K1017" s="46" t="str">
        <f aca="false">IF(_PENDIENTES!$B$1011&lt;&gt;"","POR RECOGER","")</f>
        <v/>
      </c>
      <c r="L1017" s="46" t="str">
        <f aca="false">IF(_PENDIENTES!$B$1011&lt;&gt;"",_PENDIENTES!$K$1011,"")</f>
        <v/>
      </c>
      <c r="M1017" s="89" t="str">
        <f aca="false">IF(_PENDIENTES!$B$1011&lt;&gt;"",_PENDIENTES!$B$1011,"")</f>
        <v/>
      </c>
      <c r="N1017" s="109" t="str">
        <f aca="false">IF(_PENDIENTES!$B$1011&lt;&gt;"",_PENDIENTES!$L$1011,"")</f>
        <v/>
      </c>
      <c r="O1017" s="89"/>
    </row>
    <row r="1018" customFormat="false" ht="15.75" hidden="true" customHeight="true" outlineLevel="0" collapsed="false">
      <c r="A1018" s="106" t="str">
        <f aca="false">IF(_PENDIENTES!$B$1012&lt;&gt;"",1011,"")</f>
        <v/>
      </c>
      <c r="B1018" s="47" t="str">
        <f aca="false">IF(_PENDIENTES!$B$1012&lt;&gt;"",_PENDIENTES!$A$1012,"")</f>
        <v/>
      </c>
      <c r="C1018" s="107" t="str">
        <f aca="false">IF(_PENDIENTES!$B$1012&lt;&gt;"",_PENDIENTES!$C$1012,"")</f>
        <v/>
      </c>
      <c r="D1018" s="106" t="str">
        <f aca="false">IF(_PENDIENTES!$B$1012&lt;&gt;"",_PENDIENTES!$D$1012,"")</f>
        <v/>
      </c>
      <c r="E1018" s="106" t="str">
        <f aca="false">IF(_PENDIENTES!$B$1012&lt;&gt;"",_PENDIENTES!$E$1012,"")</f>
        <v/>
      </c>
      <c r="F1018" s="106" t="str">
        <f aca="false">IF(_PENDIENTES!$B$1012&lt;&gt;"",_PENDIENTES!$F$1012,"")</f>
        <v/>
      </c>
      <c r="G1018" s="50" t="str">
        <f aca="false">IF(_PENDIENTES!$B$1012&lt;&gt;"",_PENDIENTES!$G$1012,"")</f>
        <v/>
      </c>
      <c r="H1018" s="50" t="str">
        <f aca="false">IF(_PENDIENTES!$B$1012&lt;&gt;"",_PENDIENTES!$H$1012,"")</f>
        <v/>
      </c>
      <c r="I1018" s="107" t="str">
        <f aca="false">IF(_PENDIENTES!$B$1012&lt;&gt;"",_PENDIENTES!$I$1012,"")</f>
        <v/>
      </c>
      <c r="J1018" s="106" t="str">
        <f aca="false">IF(_PENDIENTES!$B$1012&lt;&gt;"",_PENDIENTES!$J$1012,"")</f>
        <v/>
      </c>
      <c r="K1018" s="106" t="str">
        <f aca="false">IF(_PENDIENTES!$B$1012&lt;&gt;"","POR RECOGER","")</f>
        <v/>
      </c>
      <c r="L1018" s="106" t="str">
        <f aca="false">IF(_PENDIENTES!$B$1012&lt;&gt;"",_PENDIENTES!$K$1012,"")</f>
        <v/>
      </c>
      <c r="M1018" s="89" t="str">
        <f aca="false">IF(_PENDIENTES!$B$1012&lt;&gt;"",_PENDIENTES!$B$1012,"")</f>
        <v/>
      </c>
      <c r="N1018" s="109" t="str">
        <f aca="false">IF(_PENDIENTES!$B$1012&lt;&gt;"",_PENDIENTES!$L$1012,"")</f>
        <v/>
      </c>
      <c r="O1018" s="89"/>
    </row>
    <row r="1019" customFormat="false" ht="15.75" hidden="true" customHeight="true" outlineLevel="0" collapsed="false">
      <c r="A1019" s="46" t="str">
        <f aca="false">IF(_PENDIENTES!$B$1013&lt;&gt;"",1012,"")</f>
        <v/>
      </c>
      <c r="B1019" s="41" t="str">
        <f aca="false">IF(_PENDIENTES!$B$1013&lt;&gt;"",_PENDIENTES!$A$1013,"")</f>
        <v/>
      </c>
      <c r="C1019" s="110" t="str">
        <f aca="false">IF(_PENDIENTES!$B$1013&lt;&gt;"",_PENDIENTES!$C$1013,"")</f>
        <v/>
      </c>
      <c r="D1019" s="46" t="str">
        <f aca="false">IF(_PENDIENTES!$B$1013&lt;&gt;"",_PENDIENTES!$D$1013,"")</f>
        <v/>
      </c>
      <c r="E1019" s="46" t="str">
        <f aca="false">IF(_PENDIENTES!$B$1013&lt;&gt;"",_PENDIENTES!$E$1013,"")</f>
        <v/>
      </c>
      <c r="F1019" s="46" t="str">
        <f aca="false">IF(_PENDIENTES!$B$1013&lt;&gt;"",_PENDIENTES!$F$1013,"")</f>
        <v/>
      </c>
      <c r="G1019" s="44" t="str">
        <f aca="false">IF(_PENDIENTES!$B$1013&lt;&gt;"",_PENDIENTES!$G$1013,"")</f>
        <v/>
      </c>
      <c r="H1019" s="44" t="str">
        <f aca="false">IF(_PENDIENTES!$B$1013&lt;&gt;"",_PENDIENTES!$H$1013,"")</f>
        <v/>
      </c>
      <c r="I1019" s="110" t="str">
        <f aca="false">IF(_PENDIENTES!$B$1013&lt;&gt;"",_PENDIENTES!$I$1013,"")</f>
        <v/>
      </c>
      <c r="J1019" s="46" t="str">
        <f aca="false">IF(_PENDIENTES!$B$1013&lt;&gt;"",_PENDIENTES!$J$1013,"")</f>
        <v/>
      </c>
      <c r="K1019" s="46" t="str">
        <f aca="false">IF(_PENDIENTES!$B$1013&lt;&gt;"","POR RECOGER","")</f>
        <v/>
      </c>
      <c r="L1019" s="46" t="str">
        <f aca="false">IF(_PENDIENTES!$B$1013&lt;&gt;"",_PENDIENTES!$K$1013,"")</f>
        <v/>
      </c>
      <c r="M1019" s="89" t="str">
        <f aca="false">IF(_PENDIENTES!$B$1013&lt;&gt;"",_PENDIENTES!$B$1013,"")</f>
        <v/>
      </c>
      <c r="N1019" s="109" t="str">
        <f aca="false">IF(_PENDIENTES!$B$1013&lt;&gt;"",_PENDIENTES!$L$1013,"")</f>
        <v/>
      </c>
      <c r="O1019" s="89"/>
    </row>
    <row r="1020" customFormat="false" ht="15.75" hidden="true" customHeight="true" outlineLevel="0" collapsed="false">
      <c r="A1020" s="106" t="str">
        <f aca="false">IF(_PENDIENTES!$B$1014&lt;&gt;"",1013,"")</f>
        <v/>
      </c>
      <c r="B1020" s="47" t="str">
        <f aca="false">IF(_PENDIENTES!$B$1014&lt;&gt;"",_PENDIENTES!$A$1014,"")</f>
        <v/>
      </c>
      <c r="C1020" s="107" t="str">
        <f aca="false">IF(_PENDIENTES!$B$1014&lt;&gt;"",_PENDIENTES!$C$1014,"")</f>
        <v/>
      </c>
      <c r="D1020" s="106" t="str">
        <f aca="false">IF(_PENDIENTES!$B$1014&lt;&gt;"",_PENDIENTES!$D$1014,"")</f>
        <v/>
      </c>
      <c r="E1020" s="106" t="str">
        <f aca="false">IF(_PENDIENTES!$B$1014&lt;&gt;"",_PENDIENTES!$E$1014,"")</f>
        <v/>
      </c>
      <c r="F1020" s="106" t="str">
        <f aca="false">IF(_PENDIENTES!$B$1014&lt;&gt;"",_PENDIENTES!$F$1014,"")</f>
        <v/>
      </c>
      <c r="G1020" s="50" t="str">
        <f aca="false">IF(_PENDIENTES!$B$1014&lt;&gt;"",_PENDIENTES!$G$1014,"")</f>
        <v/>
      </c>
      <c r="H1020" s="50" t="str">
        <f aca="false">IF(_PENDIENTES!$B$1014&lt;&gt;"",_PENDIENTES!$H$1014,"")</f>
        <v/>
      </c>
      <c r="I1020" s="107" t="str">
        <f aca="false">IF(_PENDIENTES!$B$1014&lt;&gt;"",_PENDIENTES!$I$1014,"")</f>
        <v/>
      </c>
      <c r="J1020" s="106" t="str">
        <f aca="false">IF(_PENDIENTES!$B$1014&lt;&gt;"",_PENDIENTES!$J$1014,"")</f>
        <v/>
      </c>
      <c r="K1020" s="106" t="str">
        <f aca="false">IF(_PENDIENTES!$B$1014&lt;&gt;"","POR RECOGER","")</f>
        <v/>
      </c>
      <c r="L1020" s="106" t="str">
        <f aca="false">IF(_PENDIENTES!$B$1014&lt;&gt;"",_PENDIENTES!$K$1014,"")</f>
        <v/>
      </c>
      <c r="M1020" s="89" t="str">
        <f aca="false">IF(_PENDIENTES!$B$1014&lt;&gt;"",_PENDIENTES!$B$1014,"")</f>
        <v/>
      </c>
      <c r="N1020" s="109" t="str">
        <f aca="false">IF(_PENDIENTES!$B$1014&lt;&gt;"",_PENDIENTES!$L$1014,"")</f>
        <v/>
      </c>
      <c r="O1020" s="89"/>
    </row>
    <row r="1021" customFormat="false" ht="15.75" hidden="true" customHeight="true" outlineLevel="0" collapsed="false">
      <c r="A1021" s="46" t="str">
        <f aca="false">IF(_PENDIENTES!$B$1015&lt;&gt;"",1014,"")</f>
        <v/>
      </c>
      <c r="B1021" s="41" t="str">
        <f aca="false">IF(_PENDIENTES!$B$1015&lt;&gt;"",_PENDIENTES!$A$1015,"")</f>
        <v/>
      </c>
      <c r="C1021" s="110" t="str">
        <f aca="false">IF(_PENDIENTES!$B$1015&lt;&gt;"",_PENDIENTES!$C$1015,"")</f>
        <v/>
      </c>
      <c r="D1021" s="46" t="str">
        <f aca="false">IF(_PENDIENTES!$B$1015&lt;&gt;"",_PENDIENTES!$D$1015,"")</f>
        <v/>
      </c>
      <c r="E1021" s="46" t="str">
        <f aca="false">IF(_PENDIENTES!$B$1015&lt;&gt;"",_PENDIENTES!$E$1015,"")</f>
        <v/>
      </c>
      <c r="F1021" s="46" t="str">
        <f aca="false">IF(_PENDIENTES!$B$1015&lt;&gt;"",_PENDIENTES!$F$1015,"")</f>
        <v/>
      </c>
      <c r="G1021" s="44" t="str">
        <f aca="false">IF(_PENDIENTES!$B$1015&lt;&gt;"",_PENDIENTES!$G$1015,"")</f>
        <v/>
      </c>
      <c r="H1021" s="44" t="str">
        <f aca="false">IF(_PENDIENTES!$B$1015&lt;&gt;"",_PENDIENTES!$H$1015,"")</f>
        <v/>
      </c>
      <c r="I1021" s="110" t="str">
        <f aca="false">IF(_PENDIENTES!$B$1015&lt;&gt;"",_PENDIENTES!$I$1015,"")</f>
        <v/>
      </c>
      <c r="J1021" s="46" t="str">
        <f aca="false">IF(_PENDIENTES!$B$1015&lt;&gt;"",_PENDIENTES!$J$1015,"")</f>
        <v/>
      </c>
      <c r="K1021" s="46" t="str">
        <f aca="false">IF(_PENDIENTES!$B$1015&lt;&gt;"","POR RECOGER","")</f>
        <v/>
      </c>
      <c r="L1021" s="46" t="str">
        <f aca="false">IF(_PENDIENTES!$B$1015&lt;&gt;"",_PENDIENTES!$K$1015,"")</f>
        <v/>
      </c>
      <c r="M1021" s="89" t="str">
        <f aca="false">IF(_PENDIENTES!$B$1015&lt;&gt;"",_PENDIENTES!$B$1015,"")</f>
        <v/>
      </c>
      <c r="N1021" s="109" t="str">
        <f aca="false">IF(_PENDIENTES!$B$1015&lt;&gt;"",_PENDIENTES!$L$1015,"")</f>
        <v/>
      </c>
      <c r="O1021" s="89"/>
    </row>
    <row r="1022" customFormat="false" ht="15.75" hidden="true" customHeight="true" outlineLevel="0" collapsed="false">
      <c r="A1022" s="106" t="str">
        <f aca="false">IF(_PENDIENTES!$B$1016&lt;&gt;"",1015,"")</f>
        <v/>
      </c>
      <c r="B1022" s="47" t="str">
        <f aca="false">IF(_PENDIENTES!$B$1016&lt;&gt;"",_PENDIENTES!$A$1016,"")</f>
        <v/>
      </c>
      <c r="C1022" s="107" t="str">
        <f aca="false">IF(_PENDIENTES!$B$1016&lt;&gt;"",_PENDIENTES!$C$1016,"")</f>
        <v/>
      </c>
      <c r="D1022" s="106" t="str">
        <f aca="false">IF(_PENDIENTES!$B$1016&lt;&gt;"",_PENDIENTES!$D$1016,"")</f>
        <v/>
      </c>
      <c r="E1022" s="106" t="str">
        <f aca="false">IF(_PENDIENTES!$B$1016&lt;&gt;"",_PENDIENTES!$E$1016,"")</f>
        <v/>
      </c>
      <c r="F1022" s="106" t="str">
        <f aca="false">IF(_PENDIENTES!$B$1016&lt;&gt;"",_PENDIENTES!$F$1016,"")</f>
        <v/>
      </c>
      <c r="G1022" s="50" t="str">
        <f aca="false">IF(_PENDIENTES!$B$1016&lt;&gt;"",_PENDIENTES!$G$1016,"")</f>
        <v/>
      </c>
      <c r="H1022" s="50" t="str">
        <f aca="false">IF(_PENDIENTES!$B$1016&lt;&gt;"",_PENDIENTES!$H$1016,"")</f>
        <v/>
      </c>
      <c r="I1022" s="107" t="str">
        <f aca="false">IF(_PENDIENTES!$B$1016&lt;&gt;"",_PENDIENTES!$I$1016,"")</f>
        <v/>
      </c>
      <c r="J1022" s="106" t="str">
        <f aca="false">IF(_PENDIENTES!$B$1016&lt;&gt;"",_PENDIENTES!$J$1016,"")</f>
        <v/>
      </c>
      <c r="K1022" s="106" t="str">
        <f aca="false">IF(_PENDIENTES!$B$1016&lt;&gt;"","POR RECOGER","")</f>
        <v/>
      </c>
      <c r="L1022" s="106" t="str">
        <f aca="false">IF(_PENDIENTES!$B$1016&lt;&gt;"",_PENDIENTES!$K$1016,"")</f>
        <v/>
      </c>
      <c r="M1022" s="89" t="str">
        <f aca="false">IF(_PENDIENTES!$B$1016&lt;&gt;"",_PENDIENTES!$B$1016,"")</f>
        <v/>
      </c>
      <c r="N1022" s="109" t="str">
        <f aca="false">IF(_PENDIENTES!$B$1016&lt;&gt;"",_PENDIENTES!$L$1016,"")</f>
        <v/>
      </c>
      <c r="O1022" s="89"/>
    </row>
    <row r="1023" customFormat="false" ht="15.75" hidden="true" customHeight="true" outlineLevel="0" collapsed="false">
      <c r="A1023" s="46" t="str">
        <f aca="false">IF(_PENDIENTES!$B$1017&lt;&gt;"",1016,"")</f>
        <v/>
      </c>
      <c r="B1023" s="41" t="str">
        <f aca="false">IF(_PENDIENTES!$B$1017&lt;&gt;"",_PENDIENTES!$A$1017,"")</f>
        <v/>
      </c>
      <c r="C1023" s="110" t="str">
        <f aca="false">IF(_PENDIENTES!$B$1017&lt;&gt;"",_PENDIENTES!$C$1017,"")</f>
        <v/>
      </c>
      <c r="D1023" s="46" t="str">
        <f aca="false">IF(_PENDIENTES!$B$1017&lt;&gt;"",_PENDIENTES!$D$1017,"")</f>
        <v/>
      </c>
      <c r="E1023" s="46" t="str">
        <f aca="false">IF(_PENDIENTES!$B$1017&lt;&gt;"",_PENDIENTES!$E$1017,"")</f>
        <v/>
      </c>
      <c r="F1023" s="46" t="str">
        <f aca="false">IF(_PENDIENTES!$B$1017&lt;&gt;"",_PENDIENTES!$F$1017,"")</f>
        <v/>
      </c>
      <c r="G1023" s="44" t="str">
        <f aca="false">IF(_PENDIENTES!$B$1017&lt;&gt;"",_PENDIENTES!$G$1017,"")</f>
        <v/>
      </c>
      <c r="H1023" s="44" t="str">
        <f aca="false">IF(_PENDIENTES!$B$1017&lt;&gt;"",_PENDIENTES!$H$1017,"")</f>
        <v/>
      </c>
      <c r="I1023" s="110" t="str">
        <f aca="false">IF(_PENDIENTES!$B$1017&lt;&gt;"",_PENDIENTES!$I$1017,"")</f>
        <v/>
      </c>
      <c r="J1023" s="46" t="str">
        <f aca="false">IF(_PENDIENTES!$B$1017&lt;&gt;"",_PENDIENTES!$J$1017,"")</f>
        <v/>
      </c>
      <c r="K1023" s="46" t="str">
        <f aca="false">IF(_PENDIENTES!$B$1017&lt;&gt;"","POR RECOGER","")</f>
        <v/>
      </c>
      <c r="L1023" s="46" t="str">
        <f aca="false">IF(_PENDIENTES!$B$1017&lt;&gt;"",_PENDIENTES!$K$1017,"")</f>
        <v/>
      </c>
      <c r="M1023" s="89" t="str">
        <f aca="false">IF(_PENDIENTES!$B$1017&lt;&gt;"",_PENDIENTES!$B$1017,"")</f>
        <v/>
      </c>
      <c r="N1023" s="109" t="str">
        <f aca="false">IF(_PENDIENTES!$B$1017&lt;&gt;"",_PENDIENTES!$L$1017,"")</f>
        <v/>
      </c>
      <c r="O1023" s="89"/>
    </row>
    <row r="1024" customFormat="false" ht="15.75" hidden="true" customHeight="true" outlineLevel="0" collapsed="false">
      <c r="A1024" s="106" t="str">
        <f aca="false">IF(_PENDIENTES!$B$1018&lt;&gt;"",1017,"")</f>
        <v/>
      </c>
      <c r="B1024" s="47" t="str">
        <f aca="false">IF(_PENDIENTES!$B$1018&lt;&gt;"",_PENDIENTES!$A$1018,"")</f>
        <v/>
      </c>
      <c r="C1024" s="107" t="str">
        <f aca="false">IF(_PENDIENTES!$B$1018&lt;&gt;"",_PENDIENTES!$C$1018,"")</f>
        <v/>
      </c>
      <c r="D1024" s="106" t="str">
        <f aca="false">IF(_PENDIENTES!$B$1018&lt;&gt;"",_PENDIENTES!$D$1018,"")</f>
        <v/>
      </c>
      <c r="E1024" s="106" t="str">
        <f aca="false">IF(_PENDIENTES!$B$1018&lt;&gt;"",_PENDIENTES!$E$1018,"")</f>
        <v/>
      </c>
      <c r="F1024" s="106" t="str">
        <f aca="false">IF(_PENDIENTES!$B$1018&lt;&gt;"",_PENDIENTES!$F$1018,"")</f>
        <v/>
      </c>
      <c r="G1024" s="50" t="str">
        <f aca="false">IF(_PENDIENTES!$B$1018&lt;&gt;"",_PENDIENTES!$G$1018,"")</f>
        <v/>
      </c>
      <c r="H1024" s="50" t="str">
        <f aca="false">IF(_PENDIENTES!$B$1018&lt;&gt;"",_PENDIENTES!$H$1018,"")</f>
        <v/>
      </c>
      <c r="I1024" s="107" t="str">
        <f aca="false">IF(_PENDIENTES!$B$1018&lt;&gt;"",_PENDIENTES!$I$1018,"")</f>
        <v/>
      </c>
      <c r="J1024" s="106" t="str">
        <f aca="false">IF(_PENDIENTES!$B$1018&lt;&gt;"",_PENDIENTES!$J$1018,"")</f>
        <v/>
      </c>
      <c r="K1024" s="106" t="str">
        <f aca="false">IF(_PENDIENTES!$B$1018&lt;&gt;"","POR RECOGER","")</f>
        <v/>
      </c>
      <c r="L1024" s="106" t="str">
        <f aca="false">IF(_PENDIENTES!$B$1018&lt;&gt;"",_PENDIENTES!$K$1018,"")</f>
        <v/>
      </c>
      <c r="M1024" s="89" t="str">
        <f aca="false">IF(_PENDIENTES!$B$1018&lt;&gt;"",_PENDIENTES!$B$1018,"")</f>
        <v/>
      </c>
      <c r="N1024" s="109" t="str">
        <f aca="false">IF(_PENDIENTES!$B$1018&lt;&gt;"",_PENDIENTES!$L$1018,"")</f>
        <v/>
      </c>
      <c r="O1024" s="89"/>
    </row>
    <row r="1025" customFormat="false" ht="15.75" hidden="true" customHeight="true" outlineLevel="0" collapsed="false">
      <c r="A1025" s="46" t="str">
        <f aca="false">IF(_PENDIENTES!$B$1019&lt;&gt;"",1018,"")</f>
        <v/>
      </c>
      <c r="B1025" s="41" t="str">
        <f aca="false">IF(_PENDIENTES!$B$1019&lt;&gt;"",_PENDIENTES!$A$1019,"")</f>
        <v/>
      </c>
      <c r="C1025" s="110" t="str">
        <f aca="false">IF(_PENDIENTES!$B$1019&lt;&gt;"",_PENDIENTES!$C$1019,"")</f>
        <v/>
      </c>
      <c r="D1025" s="46" t="str">
        <f aca="false">IF(_PENDIENTES!$B$1019&lt;&gt;"",_PENDIENTES!$D$1019,"")</f>
        <v/>
      </c>
      <c r="E1025" s="46" t="str">
        <f aca="false">IF(_PENDIENTES!$B$1019&lt;&gt;"",_PENDIENTES!$E$1019,"")</f>
        <v/>
      </c>
      <c r="F1025" s="46" t="str">
        <f aca="false">IF(_PENDIENTES!$B$1019&lt;&gt;"",_PENDIENTES!$F$1019,"")</f>
        <v/>
      </c>
      <c r="G1025" s="44" t="str">
        <f aca="false">IF(_PENDIENTES!$B$1019&lt;&gt;"",_PENDIENTES!$G$1019,"")</f>
        <v/>
      </c>
      <c r="H1025" s="44" t="str">
        <f aca="false">IF(_PENDIENTES!$B$1019&lt;&gt;"",_PENDIENTES!$H$1019,"")</f>
        <v/>
      </c>
      <c r="I1025" s="110" t="str">
        <f aca="false">IF(_PENDIENTES!$B$1019&lt;&gt;"",_PENDIENTES!$I$1019,"")</f>
        <v/>
      </c>
      <c r="J1025" s="46" t="str">
        <f aca="false">IF(_PENDIENTES!$B$1019&lt;&gt;"",_PENDIENTES!$J$1019,"")</f>
        <v/>
      </c>
      <c r="K1025" s="46" t="str">
        <f aca="false">IF(_PENDIENTES!$B$1019&lt;&gt;"","POR RECOGER","")</f>
        <v/>
      </c>
      <c r="L1025" s="46" t="str">
        <f aca="false">IF(_PENDIENTES!$B$1019&lt;&gt;"",_PENDIENTES!$K$1019,"")</f>
        <v/>
      </c>
      <c r="M1025" s="89" t="str">
        <f aca="false">IF(_PENDIENTES!$B$1019&lt;&gt;"",_PENDIENTES!$B$1019,"")</f>
        <v/>
      </c>
      <c r="N1025" s="109" t="str">
        <f aca="false">IF(_PENDIENTES!$B$1019&lt;&gt;"",_PENDIENTES!$L$1019,"")</f>
        <v/>
      </c>
      <c r="O1025" s="89"/>
    </row>
    <row r="1026" customFormat="false" ht="15.75" hidden="true" customHeight="true" outlineLevel="0" collapsed="false">
      <c r="A1026" s="106" t="str">
        <f aca="false">IF(_PENDIENTES!$B$1020&lt;&gt;"",1019,"")</f>
        <v/>
      </c>
      <c r="B1026" s="47" t="str">
        <f aca="false">IF(_PENDIENTES!$B$1020&lt;&gt;"",_PENDIENTES!$A$1020,"")</f>
        <v/>
      </c>
      <c r="C1026" s="107" t="str">
        <f aca="false">IF(_PENDIENTES!$B$1020&lt;&gt;"",_PENDIENTES!$C$1020,"")</f>
        <v/>
      </c>
      <c r="D1026" s="106" t="str">
        <f aca="false">IF(_PENDIENTES!$B$1020&lt;&gt;"",_PENDIENTES!$D$1020,"")</f>
        <v/>
      </c>
      <c r="E1026" s="106" t="str">
        <f aca="false">IF(_PENDIENTES!$B$1020&lt;&gt;"",_PENDIENTES!$E$1020,"")</f>
        <v/>
      </c>
      <c r="F1026" s="106" t="str">
        <f aca="false">IF(_PENDIENTES!$B$1020&lt;&gt;"",_PENDIENTES!$F$1020,"")</f>
        <v/>
      </c>
      <c r="G1026" s="50" t="str">
        <f aca="false">IF(_PENDIENTES!$B$1020&lt;&gt;"",_PENDIENTES!$G$1020,"")</f>
        <v/>
      </c>
      <c r="H1026" s="50" t="str">
        <f aca="false">IF(_PENDIENTES!$B$1020&lt;&gt;"",_PENDIENTES!$H$1020,"")</f>
        <v/>
      </c>
      <c r="I1026" s="107" t="str">
        <f aca="false">IF(_PENDIENTES!$B$1020&lt;&gt;"",_PENDIENTES!$I$1020,"")</f>
        <v/>
      </c>
      <c r="J1026" s="106" t="str">
        <f aca="false">IF(_PENDIENTES!$B$1020&lt;&gt;"",_PENDIENTES!$J$1020,"")</f>
        <v/>
      </c>
      <c r="K1026" s="106" t="str">
        <f aca="false">IF(_PENDIENTES!$B$1020&lt;&gt;"","POR RECOGER","")</f>
        <v/>
      </c>
      <c r="L1026" s="106" t="str">
        <f aca="false">IF(_PENDIENTES!$B$1020&lt;&gt;"",_PENDIENTES!$K$1020,"")</f>
        <v/>
      </c>
      <c r="M1026" s="89" t="str">
        <f aca="false">IF(_PENDIENTES!$B$1020&lt;&gt;"",_PENDIENTES!$B$1020,"")</f>
        <v/>
      </c>
      <c r="N1026" s="109" t="str">
        <f aca="false">IF(_PENDIENTES!$B$1020&lt;&gt;"",_PENDIENTES!$L$1020,"")</f>
        <v/>
      </c>
      <c r="O1026" s="89"/>
    </row>
    <row r="1027" customFormat="false" ht="15.75" hidden="true" customHeight="true" outlineLevel="0" collapsed="false">
      <c r="A1027" s="46" t="str">
        <f aca="false">IF(_PENDIENTES!$B$1021&lt;&gt;"",1020,"")</f>
        <v/>
      </c>
      <c r="B1027" s="41" t="str">
        <f aca="false">IF(_PENDIENTES!$B$1021&lt;&gt;"",_PENDIENTES!$A$1021,"")</f>
        <v/>
      </c>
      <c r="C1027" s="110" t="str">
        <f aca="false">IF(_PENDIENTES!$B$1021&lt;&gt;"",_PENDIENTES!$C$1021,"")</f>
        <v/>
      </c>
      <c r="D1027" s="46" t="str">
        <f aca="false">IF(_PENDIENTES!$B$1021&lt;&gt;"",_PENDIENTES!$D$1021,"")</f>
        <v/>
      </c>
      <c r="E1027" s="46" t="str">
        <f aca="false">IF(_PENDIENTES!$B$1021&lt;&gt;"",_PENDIENTES!$E$1021,"")</f>
        <v/>
      </c>
      <c r="F1027" s="46" t="str">
        <f aca="false">IF(_PENDIENTES!$B$1021&lt;&gt;"",_PENDIENTES!$F$1021,"")</f>
        <v/>
      </c>
      <c r="G1027" s="44" t="str">
        <f aca="false">IF(_PENDIENTES!$B$1021&lt;&gt;"",_PENDIENTES!$G$1021,"")</f>
        <v/>
      </c>
      <c r="H1027" s="44" t="str">
        <f aca="false">IF(_PENDIENTES!$B$1021&lt;&gt;"",_PENDIENTES!$H$1021,"")</f>
        <v/>
      </c>
      <c r="I1027" s="110" t="str">
        <f aca="false">IF(_PENDIENTES!$B$1021&lt;&gt;"",_PENDIENTES!$I$1021,"")</f>
        <v/>
      </c>
      <c r="J1027" s="46" t="str">
        <f aca="false">IF(_PENDIENTES!$B$1021&lt;&gt;"",_PENDIENTES!$J$1021,"")</f>
        <v/>
      </c>
      <c r="K1027" s="46" t="str">
        <f aca="false">IF(_PENDIENTES!$B$1021&lt;&gt;"","POR RECOGER","")</f>
        <v/>
      </c>
      <c r="L1027" s="46" t="str">
        <f aca="false">IF(_PENDIENTES!$B$1021&lt;&gt;"",_PENDIENTES!$K$1021,"")</f>
        <v/>
      </c>
      <c r="M1027" s="89" t="str">
        <f aca="false">IF(_PENDIENTES!$B$1021&lt;&gt;"",_PENDIENTES!$B$1021,"")</f>
        <v/>
      </c>
      <c r="N1027" s="109" t="str">
        <f aca="false">IF(_PENDIENTES!$B$1021&lt;&gt;"",_PENDIENTES!$L$1021,"")</f>
        <v/>
      </c>
      <c r="O1027" s="89"/>
    </row>
    <row r="1028" customFormat="false" ht="15.75" hidden="true" customHeight="true" outlineLevel="0" collapsed="false">
      <c r="A1028" s="106" t="str">
        <f aca="false">IF(_PENDIENTES!$B$1022&lt;&gt;"",1021,"")</f>
        <v/>
      </c>
      <c r="B1028" s="47" t="str">
        <f aca="false">IF(_PENDIENTES!$B$1022&lt;&gt;"",_PENDIENTES!$A$1022,"")</f>
        <v/>
      </c>
      <c r="C1028" s="107" t="str">
        <f aca="false">IF(_PENDIENTES!$B$1022&lt;&gt;"",_PENDIENTES!$C$1022,"")</f>
        <v/>
      </c>
      <c r="D1028" s="106" t="str">
        <f aca="false">IF(_PENDIENTES!$B$1022&lt;&gt;"",_PENDIENTES!$D$1022,"")</f>
        <v/>
      </c>
      <c r="E1028" s="106" t="str">
        <f aca="false">IF(_PENDIENTES!$B$1022&lt;&gt;"",_PENDIENTES!$E$1022,"")</f>
        <v/>
      </c>
      <c r="F1028" s="106" t="str">
        <f aca="false">IF(_PENDIENTES!$B$1022&lt;&gt;"",_PENDIENTES!$F$1022,"")</f>
        <v/>
      </c>
      <c r="G1028" s="50" t="str">
        <f aca="false">IF(_PENDIENTES!$B$1022&lt;&gt;"",_PENDIENTES!$G$1022,"")</f>
        <v/>
      </c>
      <c r="H1028" s="50" t="str">
        <f aca="false">IF(_PENDIENTES!$B$1022&lt;&gt;"",_PENDIENTES!$H$1022,"")</f>
        <v/>
      </c>
      <c r="I1028" s="107" t="str">
        <f aca="false">IF(_PENDIENTES!$B$1022&lt;&gt;"",_PENDIENTES!$I$1022,"")</f>
        <v/>
      </c>
      <c r="J1028" s="106" t="str">
        <f aca="false">IF(_PENDIENTES!$B$1022&lt;&gt;"",_PENDIENTES!$J$1022,"")</f>
        <v/>
      </c>
      <c r="K1028" s="106" t="str">
        <f aca="false">IF(_PENDIENTES!$B$1022&lt;&gt;"","POR RECOGER","")</f>
        <v/>
      </c>
      <c r="L1028" s="106" t="str">
        <f aca="false">IF(_PENDIENTES!$B$1022&lt;&gt;"",_PENDIENTES!$K$1022,"")</f>
        <v/>
      </c>
      <c r="M1028" s="89" t="str">
        <f aca="false">IF(_PENDIENTES!$B$1022&lt;&gt;"",_PENDIENTES!$B$1022,"")</f>
        <v/>
      </c>
      <c r="N1028" s="109" t="str">
        <f aca="false">IF(_PENDIENTES!$B$1022&lt;&gt;"",_PENDIENTES!$L$1022,"")</f>
        <v/>
      </c>
      <c r="O1028" s="89"/>
    </row>
    <row r="1029" customFormat="false" ht="15.75" hidden="true" customHeight="true" outlineLevel="0" collapsed="false">
      <c r="A1029" s="46" t="str">
        <f aca="false">IF(_PENDIENTES!$B$1023&lt;&gt;"",1022,"")</f>
        <v/>
      </c>
      <c r="B1029" s="41" t="str">
        <f aca="false">IF(_PENDIENTES!$B$1023&lt;&gt;"",_PENDIENTES!$A$1023,"")</f>
        <v/>
      </c>
      <c r="C1029" s="110" t="str">
        <f aca="false">IF(_PENDIENTES!$B$1023&lt;&gt;"",_PENDIENTES!$C$1023,"")</f>
        <v/>
      </c>
      <c r="D1029" s="46" t="str">
        <f aca="false">IF(_PENDIENTES!$B$1023&lt;&gt;"",_PENDIENTES!$D$1023,"")</f>
        <v/>
      </c>
      <c r="E1029" s="46" t="str">
        <f aca="false">IF(_PENDIENTES!$B$1023&lt;&gt;"",_PENDIENTES!$E$1023,"")</f>
        <v/>
      </c>
      <c r="F1029" s="46" t="str">
        <f aca="false">IF(_PENDIENTES!$B$1023&lt;&gt;"",_PENDIENTES!$F$1023,"")</f>
        <v/>
      </c>
      <c r="G1029" s="44" t="str">
        <f aca="false">IF(_PENDIENTES!$B$1023&lt;&gt;"",_PENDIENTES!$G$1023,"")</f>
        <v/>
      </c>
      <c r="H1029" s="44" t="str">
        <f aca="false">IF(_PENDIENTES!$B$1023&lt;&gt;"",_PENDIENTES!$H$1023,"")</f>
        <v/>
      </c>
      <c r="I1029" s="110" t="str">
        <f aca="false">IF(_PENDIENTES!$B$1023&lt;&gt;"",_PENDIENTES!$I$1023,"")</f>
        <v/>
      </c>
      <c r="J1029" s="46" t="str">
        <f aca="false">IF(_PENDIENTES!$B$1023&lt;&gt;"",_PENDIENTES!$J$1023,"")</f>
        <v/>
      </c>
      <c r="K1029" s="46" t="str">
        <f aca="false">IF(_PENDIENTES!$B$1023&lt;&gt;"","POR RECOGER","")</f>
        <v/>
      </c>
      <c r="L1029" s="46" t="str">
        <f aca="false">IF(_PENDIENTES!$B$1023&lt;&gt;"",_PENDIENTES!$K$1023,"")</f>
        <v/>
      </c>
      <c r="M1029" s="89" t="str">
        <f aca="false">IF(_PENDIENTES!$B$1023&lt;&gt;"",_PENDIENTES!$B$1023,"")</f>
        <v/>
      </c>
      <c r="N1029" s="109" t="str">
        <f aca="false">IF(_PENDIENTES!$B$1023&lt;&gt;"",_PENDIENTES!$L$1023,"")</f>
        <v/>
      </c>
      <c r="O1029" s="89"/>
    </row>
    <row r="1030" customFormat="false" ht="15.75" hidden="true" customHeight="true" outlineLevel="0" collapsed="false">
      <c r="A1030" s="106" t="str">
        <f aca="false">IF(_PENDIENTES!$B$1024&lt;&gt;"",1023,"")</f>
        <v/>
      </c>
      <c r="B1030" s="47" t="str">
        <f aca="false">IF(_PENDIENTES!$B$1024&lt;&gt;"",_PENDIENTES!$A$1024,"")</f>
        <v/>
      </c>
      <c r="C1030" s="107" t="str">
        <f aca="false">IF(_PENDIENTES!$B$1024&lt;&gt;"",_PENDIENTES!$C$1024,"")</f>
        <v/>
      </c>
      <c r="D1030" s="106" t="str">
        <f aca="false">IF(_PENDIENTES!$B$1024&lt;&gt;"",_PENDIENTES!$D$1024,"")</f>
        <v/>
      </c>
      <c r="E1030" s="106" t="str">
        <f aca="false">IF(_PENDIENTES!$B$1024&lt;&gt;"",_PENDIENTES!$E$1024,"")</f>
        <v/>
      </c>
      <c r="F1030" s="106" t="str">
        <f aca="false">IF(_PENDIENTES!$B$1024&lt;&gt;"",_PENDIENTES!$F$1024,"")</f>
        <v/>
      </c>
      <c r="G1030" s="50" t="str">
        <f aca="false">IF(_PENDIENTES!$B$1024&lt;&gt;"",_PENDIENTES!$G$1024,"")</f>
        <v/>
      </c>
      <c r="H1030" s="50" t="str">
        <f aca="false">IF(_PENDIENTES!$B$1024&lt;&gt;"",_PENDIENTES!$H$1024,"")</f>
        <v/>
      </c>
      <c r="I1030" s="107" t="str">
        <f aca="false">IF(_PENDIENTES!$B$1024&lt;&gt;"",_PENDIENTES!$I$1024,"")</f>
        <v/>
      </c>
      <c r="J1030" s="106" t="str">
        <f aca="false">IF(_PENDIENTES!$B$1024&lt;&gt;"",_PENDIENTES!$J$1024,"")</f>
        <v/>
      </c>
      <c r="K1030" s="106" t="str">
        <f aca="false">IF(_PENDIENTES!$B$1024&lt;&gt;"","POR RECOGER","")</f>
        <v/>
      </c>
      <c r="L1030" s="106" t="str">
        <f aca="false">IF(_PENDIENTES!$B$1024&lt;&gt;"",_PENDIENTES!$K$1024,"")</f>
        <v/>
      </c>
      <c r="M1030" s="89" t="str">
        <f aca="false">IF(_PENDIENTES!$B$1024&lt;&gt;"",_PENDIENTES!$B$1024,"")</f>
        <v/>
      </c>
      <c r="N1030" s="109" t="str">
        <f aca="false">IF(_PENDIENTES!$B$1024&lt;&gt;"",_PENDIENTES!$L$1024,"")</f>
        <v/>
      </c>
      <c r="O1030" s="89"/>
    </row>
    <row r="1031" customFormat="false" ht="15.75" hidden="true" customHeight="true" outlineLevel="0" collapsed="false">
      <c r="A1031" s="46" t="str">
        <f aca="false">IF(_PENDIENTES!$B$1025&lt;&gt;"",1024,"")</f>
        <v/>
      </c>
      <c r="B1031" s="41" t="str">
        <f aca="false">IF(_PENDIENTES!$B$1025&lt;&gt;"",_PENDIENTES!$A$1025,"")</f>
        <v/>
      </c>
      <c r="C1031" s="110" t="str">
        <f aca="false">IF(_PENDIENTES!$B$1025&lt;&gt;"",_PENDIENTES!$C$1025,"")</f>
        <v/>
      </c>
      <c r="D1031" s="46" t="str">
        <f aca="false">IF(_PENDIENTES!$B$1025&lt;&gt;"",_PENDIENTES!$D$1025,"")</f>
        <v/>
      </c>
      <c r="E1031" s="46" t="str">
        <f aca="false">IF(_PENDIENTES!$B$1025&lt;&gt;"",_PENDIENTES!$E$1025,"")</f>
        <v/>
      </c>
      <c r="F1031" s="46" t="str">
        <f aca="false">IF(_PENDIENTES!$B$1025&lt;&gt;"",_PENDIENTES!$F$1025,"")</f>
        <v/>
      </c>
      <c r="G1031" s="44" t="str">
        <f aca="false">IF(_PENDIENTES!$B$1025&lt;&gt;"",_PENDIENTES!$G$1025,"")</f>
        <v/>
      </c>
      <c r="H1031" s="44" t="str">
        <f aca="false">IF(_PENDIENTES!$B$1025&lt;&gt;"",_PENDIENTES!$H$1025,"")</f>
        <v/>
      </c>
      <c r="I1031" s="110" t="str">
        <f aca="false">IF(_PENDIENTES!$B$1025&lt;&gt;"",_PENDIENTES!$I$1025,"")</f>
        <v/>
      </c>
      <c r="J1031" s="46" t="str">
        <f aca="false">IF(_PENDIENTES!$B$1025&lt;&gt;"",_PENDIENTES!$J$1025,"")</f>
        <v/>
      </c>
      <c r="K1031" s="46" t="str">
        <f aca="false">IF(_PENDIENTES!$B$1025&lt;&gt;"","POR RECOGER","")</f>
        <v/>
      </c>
      <c r="L1031" s="46" t="str">
        <f aca="false">IF(_PENDIENTES!$B$1025&lt;&gt;"",_PENDIENTES!$K$1025,"")</f>
        <v/>
      </c>
      <c r="M1031" s="89" t="str">
        <f aca="false">IF(_PENDIENTES!$B$1025&lt;&gt;"",_PENDIENTES!$B$1025,"")</f>
        <v/>
      </c>
      <c r="N1031" s="109" t="str">
        <f aca="false">IF(_PENDIENTES!$B$1025&lt;&gt;"",_PENDIENTES!$L$1025,"")</f>
        <v/>
      </c>
      <c r="O1031" s="89"/>
    </row>
    <row r="1032" customFormat="false" ht="15.75" hidden="true" customHeight="true" outlineLevel="0" collapsed="false">
      <c r="A1032" s="106" t="str">
        <f aca="false">IF(_PENDIENTES!$B$1026&lt;&gt;"",1025,"")</f>
        <v/>
      </c>
      <c r="B1032" s="47" t="str">
        <f aca="false">IF(_PENDIENTES!$B$1026&lt;&gt;"",_PENDIENTES!$A$1026,"")</f>
        <v/>
      </c>
      <c r="C1032" s="107" t="str">
        <f aca="false">IF(_PENDIENTES!$B$1026&lt;&gt;"",_PENDIENTES!$C$1026,"")</f>
        <v/>
      </c>
      <c r="D1032" s="106" t="str">
        <f aca="false">IF(_PENDIENTES!$B$1026&lt;&gt;"",_PENDIENTES!$D$1026,"")</f>
        <v/>
      </c>
      <c r="E1032" s="106" t="str">
        <f aca="false">IF(_PENDIENTES!$B$1026&lt;&gt;"",_PENDIENTES!$E$1026,"")</f>
        <v/>
      </c>
      <c r="F1032" s="106" t="str">
        <f aca="false">IF(_PENDIENTES!$B$1026&lt;&gt;"",_PENDIENTES!$F$1026,"")</f>
        <v/>
      </c>
      <c r="G1032" s="50" t="str">
        <f aca="false">IF(_PENDIENTES!$B$1026&lt;&gt;"",_PENDIENTES!$G$1026,"")</f>
        <v/>
      </c>
      <c r="H1032" s="50" t="str">
        <f aca="false">IF(_PENDIENTES!$B$1026&lt;&gt;"",_PENDIENTES!$H$1026,"")</f>
        <v/>
      </c>
      <c r="I1032" s="107" t="str">
        <f aca="false">IF(_PENDIENTES!$B$1026&lt;&gt;"",_PENDIENTES!$I$1026,"")</f>
        <v/>
      </c>
      <c r="J1032" s="106" t="str">
        <f aca="false">IF(_PENDIENTES!$B$1026&lt;&gt;"",_PENDIENTES!$J$1026,"")</f>
        <v/>
      </c>
      <c r="K1032" s="106" t="str">
        <f aca="false">IF(_PENDIENTES!$B$1026&lt;&gt;"","POR RECOGER","")</f>
        <v/>
      </c>
      <c r="L1032" s="106" t="str">
        <f aca="false">IF(_PENDIENTES!$B$1026&lt;&gt;"",_PENDIENTES!$K$1026,"")</f>
        <v/>
      </c>
      <c r="M1032" s="89" t="str">
        <f aca="false">IF(_PENDIENTES!$B$1026&lt;&gt;"",_PENDIENTES!$B$1026,"")</f>
        <v/>
      </c>
      <c r="N1032" s="109" t="str">
        <f aca="false">IF(_PENDIENTES!$B$1026&lt;&gt;"",_PENDIENTES!$L$1026,"")</f>
        <v/>
      </c>
      <c r="O1032" s="89"/>
    </row>
    <row r="1033" customFormat="false" ht="15.75" hidden="true" customHeight="true" outlineLevel="0" collapsed="false">
      <c r="A1033" s="46" t="str">
        <f aca="false">IF(_PENDIENTES!$B$1027&lt;&gt;"",1026,"")</f>
        <v/>
      </c>
      <c r="B1033" s="41" t="str">
        <f aca="false">IF(_PENDIENTES!$B$1027&lt;&gt;"",_PENDIENTES!$A$1027,"")</f>
        <v/>
      </c>
      <c r="C1033" s="110" t="str">
        <f aca="false">IF(_PENDIENTES!$B$1027&lt;&gt;"",_PENDIENTES!$C$1027,"")</f>
        <v/>
      </c>
      <c r="D1033" s="46" t="str">
        <f aca="false">IF(_PENDIENTES!$B$1027&lt;&gt;"",_PENDIENTES!$D$1027,"")</f>
        <v/>
      </c>
      <c r="E1033" s="46" t="str">
        <f aca="false">IF(_PENDIENTES!$B$1027&lt;&gt;"",_PENDIENTES!$E$1027,"")</f>
        <v/>
      </c>
      <c r="F1033" s="46" t="str">
        <f aca="false">IF(_PENDIENTES!$B$1027&lt;&gt;"",_PENDIENTES!$F$1027,"")</f>
        <v/>
      </c>
      <c r="G1033" s="44" t="str">
        <f aca="false">IF(_PENDIENTES!$B$1027&lt;&gt;"",_PENDIENTES!$G$1027,"")</f>
        <v/>
      </c>
      <c r="H1033" s="44" t="str">
        <f aca="false">IF(_PENDIENTES!$B$1027&lt;&gt;"",_PENDIENTES!$H$1027,"")</f>
        <v/>
      </c>
      <c r="I1033" s="110" t="str">
        <f aca="false">IF(_PENDIENTES!$B$1027&lt;&gt;"",_PENDIENTES!$I$1027,"")</f>
        <v/>
      </c>
      <c r="J1033" s="46" t="str">
        <f aca="false">IF(_PENDIENTES!$B$1027&lt;&gt;"",_PENDIENTES!$J$1027,"")</f>
        <v/>
      </c>
      <c r="K1033" s="46" t="str">
        <f aca="false">IF(_PENDIENTES!$B$1027&lt;&gt;"","POR RECOGER","")</f>
        <v/>
      </c>
      <c r="L1033" s="46" t="str">
        <f aca="false">IF(_PENDIENTES!$B$1027&lt;&gt;"",_PENDIENTES!$K$1027,"")</f>
        <v/>
      </c>
      <c r="M1033" s="89" t="str">
        <f aca="false">IF(_PENDIENTES!$B$1027&lt;&gt;"",_PENDIENTES!$B$1027,"")</f>
        <v/>
      </c>
      <c r="N1033" s="109" t="str">
        <f aca="false">IF(_PENDIENTES!$B$1027&lt;&gt;"",_PENDIENTES!$L$1027,"")</f>
        <v/>
      </c>
      <c r="O1033" s="89"/>
    </row>
    <row r="1034" customFormat="false" ht="15.75" hidden="true" customHeight="true" outlineLevel="0" collapsed="false">
      <c r="A1034" s="106" t="str">
        <f aca="false">IF(_PENDIENTES!$B$1028&lt;&gt;"",1027,"")</f>
        <v/>
      </c>
      <c r="B1034" s="47" t="str">
        <f aca="false">IF(_PENDIENTES!$B$1028&lt;&gt;"",_PENDIENTES!$A$1028,"")</f>
        <v/>
      </c>
      <c r="C1034" s="107" t="str">
        <f aca="false">IF(_PENDIENTES!$B$1028&lt;&gt;"",_PENDIENTES!$C$1028,"")</f>
        <v/>
      </c>
      <c r="D1034" s="106" t="str">
        <f aca="false">IF(_PENDIENTES!$B$1028&lt;&gt;"",_PENDIENTES!$D$1028,"")</f>
        <v/>
      </c>
      <c r="E1034" s="106" t="str">
        <f aca="false">IF(_PENDIENTES!$B$1028&lt;&gt;"",_PENDIENTES!$E$1028,"")</f>
        <v/>
      </c>
      <c r="F1034" s="106" t="str">
        <f aca="false">IF(_PENDIENTES!$B$1028&lt;&gt;"",_PENDIENTES!$F$1028,"")</f>
        <v/>
      </c>
      <c r="G1034" s="50" t="str">
        <f aca="false">IF(_PENDIENTES!$B$1028&lt;&gt;"",_PENDIENTES!$G$1028,"")</f>
        <v/>
      </c>
      <c r="H1034" s="50" t="str">
        <f aca="false">IF(_PENDIENTES!$B$1028&lt;&gt;"",_PENDIENTES!$H$1028,"")</f>
        <v/>
      </c>
      <c r="I1034" s="107" t="str">
        <f aca="false">IF(_PENDIENTES!$B$1028&lt;&gt;"",_PENDIENTES!$I$1028,"")</f>
        <v/>
      </c>
      <c r="J1034" s="106" t="str">
        <f aca="false">IF(_PENDIENTES!$B$1028&lt;&gt;"",_PENDIENTES!$J$1028,"")</f>
        <v/>
      </c>
      <c r="K1034" s="106" t="str">
        <f aca="false">IF(_PENDIENTES!$B$1028&lt;&gt;"","POR RECOGER","")</f>
        <v/>
      </c>
      <c r="L1034" s="106" t="str">
        <f aca="false">IF(_PENDIENTES!$B$1028&lt;&gt;"",_PENDIENTES!$K$1028,"")</f>
        <v/>
      </c>
      <c r="M1034" s="89" t="str">
        <f aca="false">IF(_PENDIENTES!$B$1028&lt;&gt;"",_PENDIENTES!$B$1028,"")</f>
        <v/>
      </c>
      <c r="N1034" s="109" t="str">
        <f aca="false">IF(_PENDIENTES!$B$1028&lt;&gt;"",_PENDIENTES!$L$1028,"")</f>
        <v/>
      </c>
      <c r="O1034" s="89"/>
    </row>
    <row r="1035" customFormat="false" ht="15.75" hidden="true" customHeight="true" outlineLevel="0" collapsed="false">
      <c r="A1035" s="46" t="str">
        <f aca="false">IF(_PENDIENTES!$B$1029&lt;&gt;"",1028,"")</f>
        <v/>
      </c>
      <c r="B1035" s="41" t="str">
        <f aca="false">IF(_PENDIENTES!$B$1029&lt;&gt;"",_PENDIENTES!$A$1029,"")</f>
        <v/>
      </c>
      <c r="C1035" s="110" t="str">
        <f aca="false">IF(_PENDIENTES!$B$1029&lt;&gt;"",_PENDIENTES!$C$1029,"")</f>
        <v/>
      </c>
      <c r="D1035" s="46" t="str">
        <f aca="false">IF(_PENDIENTES!$B$1029&lt;&gt;"",_PENDIENTES!$D$1029,"")</f>
        <v/>
      </c>
      <c r="E1035" s="46" t="str">
        <f aca="false">IF(_PENDIENTES!$B$1029&lt;&gt;"",_PENDIENTES!$E$1029,"")</f>
        <v/>
      </c>
      <c r="F1035" s="46" t="str">
        <f aca="false">IF(_PENDIENTES!$B$1029&lt;&gt;"",_PENDIENTES!$F$1029,"")</f>
        <v/>
      </c>
      <c r="G1035" s="44" t="str">
        <f aca="false">IF(_PENDIENTES!$B$1029&lt;&gt;"",_PENDIENTES!$G$1029,"")</f>
        <v/>
      </c>
      <c r="H1035" s="44" t="str">
        <f aca="false">IF(_PENDIENTES!$B$1029&lt;&gt;"",_PENDIENTES!$H$1029,"")</f>
        <v/>
      </c>
      <c r="I1035" s="110" t="str">
        <f aca="false">IF(_PENDIENTES!$B$1029&lt;&gt;"",_PENDIENTES!$I$1029,"")</f>
        <v/>
      </c>
      <c r="J1035" s="46" t="str">
        <f aca="false">IF(_PENDIENTES!$B$1029&lt;&gt;"",_PENDIENTES!$J$1029,"")</f>
        <v/>
      </c>
      <c r="K1035" s="46" t="str">
        <f aca="false">IF(_PENDIENTES!$B$1029&lt;&gt;"","POR RECOGER","")</f>
        <v/>
      </c>
      <c r="L1035" s="46" t="str">
        <f aca="false">IF(_PENDIENTES!$B$1029&lt;&gt;"",_PENDIENTES!$K$1029,"")</f>
        <v/>
      </c>
      <c r="M1035" s="89" t="str">
        <f aca="false">IF(_PENDIENTES!$B$1029&lt;&gt;"",_PENDIENTES!$B$1029,"")</f>
        <v/>
      </c>
      <c r="N1035" s="109" t="str">
        <f aca="false">IF(_PENDIENTES!$B$1029&lt;&gt;"",_PENDIENTES!$L$1029,"")</f>
        <v/>
      </c>
      <c r="O1035" s="89"/>
    </row>
    <row r="1036" customFormat="false" ht="15.75" hidden="true" customHeight="true" outlineLevel="0" collapsed="false">
      <c r="A1036" s="106" t="str">
        <f aca="false">IF(_PENDIENTES!$B$1030&lt;&gt;"",1029,"")</f>
        <v/>
      </c>
      <c r="B1036" s="47" t="str">
        <f aca="false">IF(_PENDIENTES!$B$1030&lt;&gt;"",_PENDIENTES!$A$1030,"")</f>
        <v/>
      </c>
      <c r="C1036" s="107" t="str">
        <f aca="false">IF(_PENDIENTES!$B$1030&lt;&gt;"",_PENDIENTES!$C$1030,"")</f>
        <v/>
      </c>
      <c r="D1036" s="106" t="str">
        <f aca="false">IF(_PENDIENTES!$B$1030&lt;&gt;"",_PENDIENTES!$D$1030,"")</f>
        <v/>
      </c>
      <c r="E1036" s="106" t="str">
        <f aca="false">IF(_PENDIENTES!$B$1030&lt;&gt;"",_PENDIENTES!$E$1030,"")</f>
        <v/>
      </c>
      <c r="F1036" s="106" t="str">
        <f aca="false">IF(_PENDIENTES!$B$1030&lt;&gt;"",_PENDIENTES!$F$1030,"")</f>
        <v/>
      </c>
      <c r="G1036" s="50" t="str">
        <f aca="false">IF(_PENDIENTES!$B$1030&lt;&gt;"",_PENDIENTES!$G$1030,"")</f>
        <v/>
      </c>
      <c r="H1036" s="50" t="str">
        <f aca="false">IF(_PENDIENTES!$B$1030&lt;&gt;"",_PENDIENTES!$H$1030,"")</f>
        <v/>
      </c>
      <c r="I1036" s="107" t="str">
        <f aca="false">IF(_PENDIENTES!$B$1030&lt;&gt;"",_PENDIENTES!$I$1030,"")</f>
        <v/>
      </c>
      <c r="J1036" s="106" t="str">
        <f aca="false">IF(_PENDIENTES!$B$1030&lt;&gt;"",_PENDIENTES!$J$1030,"")</f>
        <v/>
      </c>
      <c r="K1036" s="106" t="str">
        <f aca="false">IF(_PENDIENTES!$B$1030&lt;&gt;"","POR RECOGER","")</f>
        <v/>
      </c>
      <c r="L1036" s="106" t="str">
        <f aca="false">IF(_PENDIENTES!$B$1030&lt;&gt;"",_PENDIENTES!$K$1030,"")</f>
        <v/>
      </c>
      <c r="M1036" s="89" t="str">
        <f aca="false">IF(_PENDIENTES!$B$1030&lt;&gt;"",_PENDIENTES!$B$1030,"")</f>
        <v/>
      </c>
      <c r="N1036" s="109" t="str">
        <f aca="false">IF(_PENDIENTES!$B$1030&lt;&gt;"",_PENDIENTES!$L$1030,"")</f>
        <v/>
      </c>
      <c r="O1036" s="89"/>
    </row>
    <row r="1037" customFormat="false" ht="15.75" hidden="true" customHeight="true" outlineLevel="0" collapsed="false">
      <c r="A1037" s="46" t="str">
        <f aca="false">IF(_PENDIENTES!$B$1031&lt;&gt;"",1030,"")</f>
        <v/>
      </c>
      <c r="B1037" s="41" t="str">
        <f aca="false">IF(_PENDIENTES!$B$1031&lt;&gt;"",_PENDIENTES!$A$1031,"")</f>
        <v/>
      </c>
      <c r="C1037" s="110" t="str">
        <f aca="false">IF(_PENDIENTES!$B$1031&lt;&gt;"",_PENDIENTES!$C$1031,"")</f>
        <v/>
      </c>
      <c r="D1037" s="46" t="str">
        <f aca="false">IF(_PENDIENTES!$B$1031&lt;&gt;"",_PENDIENTES!$D$1031,"")</f>
        <v/>
      </c>
      <c r="E1037" s="46" t="str">
        <f aca="false">IF(_PENDIENTES!$B$1031&lt;&gt;"",_PENDIENTES!$E$1031,"")</f>
        <v/>
      </c>
      <c r="F1037" s="46" t="str">
        <f aca="false">IF(_PENDIENTES!$B$1031&lt;&gt;"",_PENDIENTES!$F$1031,"")</f>
        <v/>
      </c>
      <c r="G1037" s="44" t="str">
        <f aca="false">IF(_PENDIENTES!$B$1031&lt;&gt;"",_PENDIENTES!$G$1031,"")</f>
        <v/>
      </c>
      <c r="H1037" s="44" t="str">
        <f aca="false">IF(_PENDIENTES!$B$1031&lt;&gt;"",_PENDIENTES!$H$1031,"")</f>
        <v/>
      </c>
      <c r="I1037" s="110" t="str">
        <f aca="false">IF(_PENDIENTES!$B$1031&lt;&gt;"",_PENDIENTES!$I$1031,"")</f>
        <v/>
      </c>
      <c r="J1037" s="46" t="str">
        <f aca="false">IF(_PENDIENTES!$B$1031&lt;&gt;"",_PENDIENTES!$J$1031,"")</f>
        <v/>
      </c>
      <c r="K1037" s="46" t="str">
        <f aca="false">IF(_PENDIENTES!$B$1031&lt;&gt;"","POR RECOGER","")</f>
        <v/>
      </c>
      <c r="L1037" s="46" t="str">
        <f aca="false">IF(_PENDIENTES!$B$1031&lt;&gt;"",_PENDIENTES!$K$1031,"")</f>
        <v/>
      </c>
      <c r="M1037" s="89" t="str">
        <f aca="false">IF(_PENDIENTES!$B$1031&lt;&gt;"",_PENDIENTES!$B$1031,"")</f>
        <v/>
      </c>
      <c r="N1037" s="109" t="str">
        <f aca="false">IF(_PENDIENTES!$B$1031&lt;&gt;"",_PENDIENTES!$L$1031,"")</f>
        <v/>
      </c>
      <c r="O1037" s="89"/>
    </row>
    <row r="1038" customFormat="false" ht="15.75" hidden="true" customHeight="true" outlineLevel="0" collapsed="false">
      <c r="A1038" s="106" t="str">
        <f aca="false">IF(_PENDIENTES!$B$1032&lt;&gt;"",1031,"")</f>
        <v/>
      </c>
      <c r="B1038" s="47" t="str">
        <f aca="false">IF(_PENDIENTES!$B$1032&lt;&gt;"",_PENDIENTES!$A$1032,"")</f>
        <v/>
      </c>
      <c r="C1038" s="107" t="str">
        <f aca="false">IF(_PENDIENTES!$B$1032&lt;&gt;"",_PENDIENTES!$C$1032,"")</f>
        <v/>
      </c>
      <c r="D1038" s="106" t="str">
        <f aca="false">IF(_PENDIENTES!$B$1032&lt;&gt;"",_PENDIENTES!$D$1032,"")</f>
        <v/>
      </c>
      <c r="E1038" s="106" t="str">
        <f aca="false">IF(_PENDIENTES!$B$1032&lt;&gt;"",_PENDIENTES!$E$1032,"")</f>
        <v/>
      </c>
      <c r="F1038" s="106" t="str">
        <f aca="false">IF(_PENDIENTES!$B$1032&lt;&gt;"",_PENDIENTES!$F$1032,"")</f>
        <v/>
      </c>
      <c r="G1038" s="50" t="str">
        <f aca="false">IF(_PENDIENTES!$B$1032&lt;&gt;"",_PENDIENTES!$G$1032,"")</f>
        <v/>
      </c>
      <c r="H1038" s="50" t="str">
        <f aca="false">IF(_PENDIENTES!$B$1032&lt;&gt;"",_PENDIENTES!$H$1032,"")</f>
        <v/>
      </c>
      <c r="I1038" s="107" t="str">
        <f aca="false">IF(_PENDIENTES!$B$1032&lt;&gt;"",_PENDIENTES!$I$1032,"")</f>
        <v/>
      </c>
      <c r="J1038" s="106" t="str">
        <f aca="false">IF(_PENDIENTES!$B$1032&lt;&gt;"",_PENDIENTES!$J$1032,"")</f>
        <v/>
      </c>
      <c r="K1038" s="106" t="str">
        <f aca="false">IF(_PENDIENTES!$B$1032&lt;&gt;"","POR RECOGER","")</f>
        <v/>
      </c>
      <c r="L1038" s="106" t="str">
        <f aca="false">IF(_PENDIENTES!$B$1032&lt;&gt;"",_PENDIENTES!$K$1032,"")</f>
        <v/>
      </c>
      <c r="M1038" s="89" t="str">
        <f aca="false">IF(_PENDIENTES!$B$1032&lt;&gt;"",_PENDIENTES!$B$1032,"")</f>
        <v/>
      </c>
      <c r="N1038" s="109" t="str">
        <f aca="false">IF(_PENDIENTES!$B$1032&lt;&gt;"",_PENDIENTES!$L$1032,"")</f>
        <v/>
      </c>
      <c r="O1038" s="89"/>
    </row>
    <row r="1039" customFormat="false" ht="15.75" hidden="true" customHeight="true" outlineLevel="0" collapsed="false">
      <c r="A1039" s="46" t="str">
        <f aca="false">IF(_PENDIENTES!$B$1033&lt;&gt;"",1032,"")</f>
        <v/>
      </c>
      <c r="B1039" s="41" t="str">
        <f aca="false">IF(_PENDIENTES!$B$1033&lt;&gt;"",_PENDIENTES!$A$1033,"")</f>
        <v/>
      </c>
      <c r="C1039" s="110" t="str">
        <f aca="false">IF(_PENDIENTES!$B$1033&lt;&gt;"",_PENDIENTES!$C$1033,"")</f>
        <v/>
      </c>
      <c r="D1039" s="46" t="str">
        <f aca="false">IF(_PENDIENTES!$B$1033&lt;&gt;"",_PENDIENTES!$D$1033,"")</f>
        <v/>
      </c>
      <c r="E1039" s="46" t="str">
        <f aca="false">IF(_PENDIENTES!$B$1033&lt;&gt;"",_PENDIENTES!$E$1033,"")</f>
        <v/>
      </c>
      <c r="F1039" s="46" t="str">
        <f aca="false">IF(_PENDIENTES!$B$1033&lt;&gt;"",_PENDIENTES!$F$1033,"")</f>
        <v/>
      </c>
      <c r="G1039" s="44" t="str">
        <f aca="false">IF(_PENDIENTES!$B$1033&lt;&gt;"",_PENDIENTES!$G$1033,"")</f>
        <v/>
      </c>
      <c r="H1039" s="44" t="str">
        <f aca="false">IF(_PENDIENTES!$B$1033&lt;&gt;"",_PENDIENTES!$H$1033,"")</f>
        <v/>
      </c>
      <c r="I1039" s="110" t="str">
        <f aca="false">IF(_PENDIENTES!$B$1033&lt;&gt;"",_PENDIENTES!$I$1033,"")</f>
        <v/>
      </c>
      <c r="J1039" s="46" t="str">
        <f aca="false">IF(_PENDIENTES!$B$1033&lt;&gt;"",_PENDIENTES!$J$1033,"")</f>
        <v/>
      </c>
      <c r="K1039" s="46" t="str">
        <f aca="false">IF(_PENDIENTES!$B$1033&lt;&gt;"","POR RECOGER","")</f>
        <v/>
      </c>
      <c r="L1039" s="46" t="str">
        <f aca="false">IF(_PENDIENTES!$B$1033&lt;&gt;"",_PENDIENTES!$K$1033,"")</f>
        <v/>
      </c>
      <c r="M1039" s="89" t="str">
        <f aca="false">IF(_PENDIENTES!$B$1033&lt;&gt;"",_PENDIENTES!$B$1033,"")</f>
        <v/>
      </c>
      <c r="N1039" s="109" t="str">
        <f aca="false">IF(_PENDIENTES!$B$1033&lt;&gt;"",_PENDIENTES!$L$1033,"")</f>
        <v/>
      </c>
      <c r="O1039" s="89"/>
    </row>
    <row r="1040" customFormat="false" ht="15.75" hidden="true" customHeight="true" outlineLevel="0" collapsed="false">
      <c r="A1040" s="106" t="str">
        <f aca="false">IF(_PENDIENTES!$B$1034&lt;&gt;"",1033,"")</f>
        <v/>
      </c>
      <c r="B1040" s="47" t="str">
        <f aca="false">IF(_PENDIENTES!$B$1034&lt;&gt;"",_PENDIENTES!$A$1034,"")</f>
        <v/>
      </c>
      <c r="C1040" s="107" t="str">
        <f aca="false">IF(_PENDIENTES!$B$1034&lt;&gt;"",_PENDIENTES!$C$1034,"")</f>
        <v/>
      </c>
      <c r="D1040" s="106" t="str">
        <f aca="false">IF(_PENDIENTES!$B$1034&lt;&gt;"",_PENDIENTES!$D$1034,"")</f>
        <v/>
      </c>
      <c r="E1040" s="106" t="str">
        <f aca="false">IF(_PENDIENTES!$B$1034&lt;&gt;"",_PENDIENTES!$E$1034,"")</f>
        <v/>
      </c>
      <c r="F1040" s="106" t="str">
        <f aca="false">IF(_PENDIENTES!$B$1034&lt;&gt;"",_PENDIENTES!$F$1034,"")</f>
        <v/>
      </c>
      <c r="G1040" s="50" t="str">
        <f aca="false">IF(_PENDIENTES!$B$1034&lt;&gt;"",_PENDIENTES!$G$1034,"")</f>
        <v/>
      </c>
      <c r="H1040" s="50" t="str">
        <f aca="false">IF(_PENDIENTES!$B$1034&lt;&gt;"",_PENDIENTES!$H$1034,"")</f>
        <v/>
      </c>
      <c r="I1040" s="107" t="str">
        <f aca="false">IF(_PENDIENTES!$B$1034&lt;&gt;"",_PENDIENTES!$I$1034,"")</f>
        <v/>
      </c>
      <c r="J1040" s="106" t="str">
        <f aca="false">IF(_PENDIENTES!$B$1034&lt;&gt;"",_PENDIENTES!$J$1034,"")</f>
        <v/>
      </c>
      <c r="K1040" s="106" t="str">
        <f aca="false">IF(_PENDIENTES!$B$1034&lt;&gt;"","POR RECOGER","")</f>
        <v/>
      </c>
      <c r="L1040" s="106" t="str">
        <f aca="false">IF(_PENDIENTES!$B$1034&lt;&gt;"",_PENDIENTES!$K$1034,"")</f>
        <v/>
      </c>
      <c r="M1040" s="89" t="str">
        <f aca="false">IF(_PENDIENTES!$B$1034&lt;&gt;"",_PENDIENTES!$B$1034,"")</f>
        <v/>
      </c>
      <c r="N1040" s="109" t="str">
        <f aca="false">IF(_PENDIENTES!$B$1034&lt;&gt;"",_PENDIENTES!$L$1034,"")</f>
        <v/>
      </c>
      <c r="O1040" s="89"/>
    </row>
    <row r="1041" customFormat="false" ht="15.75" hidden="true" customHeight="true" outlineLevel="0" collapsed="false">
      <c r="A1041" s="46" t="str">
        <f aca="false">IF(_PENDIENTES!$B$1035&lt;&gt;"",1034,"")</f>
        <v/>
      </c>
      <c r="B1041" s="41" t="str">
        <f aca="false">IF(_PENDIENTES!$B$1035&lt;&gt;"",_PENDIENTES!$A$1035,"")</f>
        <v/>
      </c>
      <c r="C1041" s="110" t="str">
        <f aca="false">IF(_PENDIENTES!$B$1035&lt;&gt;"",_PENDIENTES!$C$1035,"")</f>
        <v/>
      </c>
      <c r="D1041" s="46" t="str">
        <f aca="false">IF(_PENDIENTES!$B$1035&lt;&gt;"",_PENDIENTES!$D$1035,"")</f>
        <v/>
      </c>
      <c r="E1041" s="46" t="str">
        <f aca="false">IF(_PENDIENTES!$B$1035&lt;&gt;"",_PENDIENTES!$E$1035,"")</f>
        <v/>
      </c>
      <c r="F1041" s="46" t="str">
        <f aca="false">IF(_PENDIENTES!$B$1035&lt;&gt;"",_PENDIENTES!$F$1035,"")</f>
        <v/>
      </c>
      <c r="G1041" s="44" t="str">
        <f aca="false">IF(_PENDIENTES!$B$1035&lt;&gt;"",_PENDIENTES!$G$1035,"")</f>
        <v/>
      </c>
      <c r="H1041" s="44" t="str">
        <f aca="false">IF(_PENDIENTES!$B$1035&lt;&gt;"",_PENDIENTES!$H$1035,"")</f>
        <v/>
      </c>
      <c r="I1041" s="110" t="str">
        <f aca="false">IF(_PENDIENTES!$B$1035&lt;&gt;"",_PENDIENTES!$I$1035,"")</f>
        <v/>
      </c>
      <c r="J1041" s="46" t="str">
        <f aca="false">IF(_PENDIENTES!$B$1035&lt;&gt;"",_PENDIENTES!$J$1035,"")</f>
        <v/>
      </c>
      <c r="K1041" s="46" t="str">
        <f aca="false">IF(_PENDIENTES!$B$1035&lt;&gt;"","POR RECOGER","")</f>
        <v/>
      </c>
      <c r="L1041" s="46" t="str">
        <f aca="false">IF(_PENDIENTES!$B$1035&lt;&gt;"",_PENDIENTES!$K$1035,"")</f>
        <v/>
      </c>
      <c r="M1041" s="89" t="str">
        <f aca="false">IF(_PENDIENTES!$B$1035&lt;&gt;"",_PENDIENTES!$B$1035,"")</f>
        <v/>
      </c>
      <c r="N1041" s="109" t="str">
        <f aca="false">IF(_PENDIENTES!$B$1035&lt;&gt;"",_PENDIENTES!$L$1035,"")</f>
        <v/>
      </c>
      <c r="O1041" s="89"/>
    </row>
    <row r="1042" customFormat="false" ht="15.75" hidden="true" customHeight="true" outlineLevel="0" collapsed="false">
      <c r="A1042" s="106" t="str">
        <f aca="false">IF(_PENDIENTES!$B$1036&lt;&gt;"",1035,"")</f>
        <v/>
      </c>
      <c r="B1042" s="47" t="str">
        <f aca="false">IF(_PENDIENTES!$B$1036&lt;&gt;"",_PENDIENTES!$A$1036,"")</f>
        <v/>
      </c>
      <c r="C1042" s="107" t="str">
        <f aca="false">IF(_PENDIENTES!$B$1036&lt;&gt;"",_PENDIENTES!$C$1036,"")</f>
        <v/>
      </c>
      <c r="D1042" s="106" t="str">
        <f aca="false">IF(_PENDIENTES!$B$1036&lt;&gt;"",_PENDIENTES!$D$1036,"")</f>
        <v/>
      </c>
      <c r="E1042" s="106" t="str">
        <f aca="false">IF(_PENDIENTES!$B$1036&lt;&gt;"",_PENDIENTES!$E$1036,"")</f>
        <v/>
      </c>
      <c r="F1042" s="106" t="str">
        <f aca="false">IF(_PENDIENTES!$B$1036&lt;&gt;"",_PENDIENTES!$F$1036,"")</f>
        <v/>
      </c>
      <c r="G1042" s="50" t="str">
        <f aca="false">IF(_PENDIENTES!$B$1036&lt;&gt;"",_PENDIENTES!$G$1036,"")</f>
        <v/>
      </c>
      <c r="H1042" s="50" t="str">
        <f aca="false">IF(_PENDIENTES!$B$1036&lt;&gt;"",_PENDIENTES!$H$1036,"")</f>
        <v/>
      </c>
      <c r="I1042" s="107" t="str">
        <f aca="false">IF(_PENDIENTES!$B$1036&lt;&gt;"",_PENDIENTES!$I$1036,"")</f>
        <v/>
      </c>
      <c r="J1042" s="106" t="str">
        <f aca="false">IF(_PENDIENTES!$B$1036&lt;&gt;"",_PENDIENTES!$J$1036,"")</f>
        <v/>
      </c>
      <c r="K1042" s="106" t="str">
        <f aca="false">IF(_PENDIENTES!$B$1036&lt;&gt;"","POR RECOGER","")</f>
        <v/>
      </c>
      <c r="L1042" s="106" t="str">
        <f aca="false">IF(_PENDIENTES!$B$1036&lt;&gt;"",_PENDIENTES!$K$1036,"")</f>
        <v/>
      </c>
      <c r="M1042" s="89" t="str">
        <f aca="false">IF(_PENDIENTES!$B$1036&lt;&gt;"",_PENDIENTES!$B$1036,"")</f>
        <v/>
      </c>
      <c r="N1042" s="109" t="str">
        <f aca="false">IF(_PENDIENTES!$B$1036&lt;&gt;"",_PENDIENTES!$L$1036,"")</f>
        <v/>
      </c>
      <c r="O1042" s="89"/>
    </row>
    <row r="1043" customFormat="false" ht="15.75" hidden="true" customHeight="true" outlineLevel="0" collapsed="false">
      <c r="A1043" s="46" t="str">
        <f aca="false">IF(_PENDIENTES!$B$1037&lt;&gt;"",1036,"")</f>
        <v/>
      </c>
      <c r="B1043" s="41" t="str">
        <f aca="false">IF(_PENDIENTES!$B$1037&lt;&gt;"",_PENDIENTES!$A$1037,"")</f>
        <v/>
      </c>
      <c r="C1043" s="110" t="str">
        <f aca="false">IF(_PENDIENTES!$B$1037&lt;&gt;"",_PENDIENTES!$C$1037,"")</f>
        <v/>
      </c>
      <c r="D1043" s="46" t="str">
        <f aca="false">IF(_PENDIENTES!$B$1037&lt;&gt;"",_PENDIENTES!$D$1037,"")</f>
        <v/>
      </c>
      <c r="E1043" s="46" t="str">
        <f aca="false">IF(_PENDIENTES!$B$1037&lt;&gt;"",_PENDIENTES!$E$1037,"")</f>
        <v/>
      </c>
      <c r="F1043" s="46" t="str">
        <f aca="false">IF(_PENDIENTES!$B$1037&lt;&gt;"",_PENDIENTES!$F$1037,"")</f>
        <v/>
      </c>
      <c r="G1043" s="44" t="str">
        <f aca="false">IF(_PENDIENTES!$B$1037&lt;&gt;"",_PENDIENTES!$G$1037,"")</f>
        <v/>
      </c>
      <c r="H1043" s="44" t="str">
        <f aca="false">IF(_PENDIENTES!$B$1037&lt;&gt;"",_PENDIENTES!$H$1037,"")</f>
        <v/>
      </c>
      <c r="I1043" s="110" t="str">
        <f aca="false">IF(_PENDIENTES!$B$1037&lt;&gt;"",_PENDIENTES!$I$1037,"")</f>
        <v/>
      </c>
      <c r="J1043" s="46" t="str">
        <f aca="false">IF(_PENDIENTES!$B$1037&lt;&gt;"",_PENDIENTES!$J$1037,"")</f>
        <v/>
      </c>
      <c r="K1043" s="46" t="str">
        <f aca="false">IF(_PENDIENTES!$B$1037&lt;&gt;"","POR RECOGER","")</f>
        <v/>
      </c>
      <c r="L1043" s="46" t="str">
        <f aca="false">IF(_PENDIENTES!$B$1037&lt;&gt;"",_PENDIENTES!$K$1037,"")</f>
        <v/>
      </c>
      <c r="M1043" s="89" t="str">
        <f aca="false">IF(_PENDIENTES!$B$1037&lt;&gt;"",_PENDIENTES!$B$1037,"")</f>
        <v/>
      </c>
      <c r="N1043" s="109" t="str">
        <f aca="false">IF(_PENDIENTES!$B$1037&lt;&gt;"",_PENDIENTES!$L$1037,"")</f>
        <v/>
      </c>
      <c r="O1043" s="89"/>
    </row>
    <row r="1044" customFormat="false" ht="15.75" hidden="true" customHeight="true" outlineLevel="0" collapsed="false">
      <c r="A1044" s="106" t="str">
        <f aca="false">IF(_PENDIENTES!$B$1038&lt;&gt;"",1037,"")</f>
        <v/>
      </c>
      <c r="B1044" s="47" t="str">
        <f aca="false">IF(_PENDIENTES!$B$1038&lt;&gt;"",_PENDIENTES!$A$1038,"")</f>
        <v/>
      </c>
      <c r="C1044" s="107" t="str">
        <f aca="false">IF(_PENDIENTES!$B$1038&lt;&gt;"",_PENDIENTES!$C$1038,"")</f>
        <v/>
      </c>
      <c r="D1044" s="106" t="str">
        <f aca="false">IF(_PENDIENTES!$B$1038&lt;&gt;"",_PENDIENTES!$D$1038,"")</f>
        <v/>
      </c>
      <c r="E1044" s="106" t="str">
        <f aca="false">IF(_PENDIENTES!$B$1038&lt;&gt;"",_PENDIENTES!$E$1038,"")</f>
        <v/>
      </c>
      <c r="F1044" s="106" t="str">
        <f aca="false">IF(_PENDIENTES!$B$1038&lt;&gt;"",_PENDIENTES!$F$1038,"")</f>
        <v/>
      </c>
      <c r="G1044" s="50" t="str">
        <f aca="false">IF(_PENDIENTES!$B$1038&lt;&gt;"",_PENDIENTES!$G$1038,"")</f>
        <v/>
      </c>
      <c r="H1044" s="50" t="str">
        <f aca="false">IF(_PENDIENTES!$B$1038&lt;&gt;"",_PENDIENTES!$H$1038,"")</f>
        <v/>
      </c>
      <c r="I1044" s="107" t="str">
        <f aca="false">IF(_PENDIENTES!$B$1038&lt;&gt;"",_PENDIENTES!$I$1038,"")</f>
        <v/>
      </c>
      <c r="J1044" s="106" t="str">
        <f aca="false">IF(_PENDIENTES!$B$1038&lt;&gt;"",_PENDIENTES!$J$1038,"")</f>
        <v/>
      </c>
      <c r="K1044" s="106" t="str">
        <f aca="false">IF(_PENDIENTES!$B$1038&lt;&gt;"","POR RECOGER","")</f>
        <v/>
      </c>
      <c r="L1044" s="106" t="str">
        <f aca="false">IF(_PENDIENTES!$B$1038&lt;&gt;"",_PENDIENTES!$K$1038,"")</f>
        <v/>
      </c>
      <c r="M1044" s="89" t="str">
        <f aca="false">IF(_PENDIENTES!$B$1038&lt;&gt;"",_PENDIENTES!$B$1038,"")</f>
        <v/>
      </c>
      <c r="N1044" s="109" t="str">
        <f aca="false">IF(_PENDIENTES!$B$1038&lt;&gt;"",_PENDIENTES!$L$1038,"")</f>
        <v/>
      </c>
      <c r="O1044" s="89"/>
    </row>
    <row r="1045" customFormat="false" ht="15.75" hidden="true" customHeight="true" outlineLevel="0" collapsed="false">
      <c r="A1045" s="46" t="str">
        <f aca="false">IF(_PENDIENTES!$B$1039&lt;&gt;"",1038,"")</f>
        <v/>
      </c>
      <c r="B1045" s="41" t="str">
        <f aca="false">IF(_PENDIENTES!$B$1039&lt;&gt;"",_PENDIENTES!$A$1039,"")</f>
        <v/>
      </c>
      <c r="C1045" s="110" t="str">
        <f aca="false">IF(_PENDIENTES!$B$1039&lt;&gt;"",_PENDIENTES!$C$1039,"")</f>
        <v/>
      </c>
      <c r="D1045" s="46" t="str">
        <f aca="false">IF(_PENDIENTES!$B$1039&lt;&gt;"",_PENDIENTES!$D$1039,"")</f>
        <v/>
      </c>
      <c r="E1045" s="46" t="str">
        <f aca="false">IF(_PENDIENTES!$B$1039&lt;&gt;"",_PENDIENTES!$E$1039,"")</f>
        <v/>
      </c>
      <c r="F1045" s="46" t="str">
        <f aca="false">IF(_PENDIENTES!$B$1039&lt;&gt;"",_PENDIENTES!$F$1039,"")</f>
        <v/>
      </c>
      <c r="G1045" s="44" t="str">
        <f aca="false">IF(_PENDIENTES!$B$1039&lt;&gt;"",_PENDIENTES!$G$1039,"")</f>
        <v/>
      </c>
      <c r="H1045" s="44" t="str">
        <f aca="false">IF(_PENDIENTES!$B$1039&lt;&gt;"",_PENDIENTES!$H$1039,"")</f>
        <v/>
      </c>
      <c r="I1045" s="110" t="str">
        <f aca="false">IF(_PENDIENTES!$B$1039&lt;&gt;"",_PENDIENTES!$I$1039,"")</f>
        <v/>
      </c>
      <c r="J1045" s="46" t="str">
        <f aca="false">IF(_PENDIENTES!$B$1039&lt;&gt;"",_PENDIENTES!$J$1039,"")</f>
        <v/>
      </c>
      <c r="K1045" s="46" t="str">
        <f aca="false">IF(_PENDIENTES!$B$1039&lt;&gt;"","POR RECOGER","")</f>
        <v/>
      </c>
      <c r="L1045" s="46" t="str">
        <f aca="false">IF(_PENDIENTES!$B$1039&lt;&gt;"",_PENDIENTES!$K$1039,"")</f>
        <v/>
      </c>
      <c r="M1045" s="89" t="str">
        <f aca="false">IF(_PENDIENTES!$B$1039&lt;&gt;"",_PENDIENTES!$B$1039,"")</f>
        <v/>
      </c>
      <c r="N1045" s="109" t="str">
        <f aca="false">IF(_PENDIENTES!$B$1039&lt;&gt;"",_PENDIENTES!$L$1039,"")</f>
        <v/>
      </c>
      <c r="O1045" s="89"/>
    </row>
    <row r="1046" customFormat="false" ht="15.75" hidden="true" customHeight="true" outlineLevel="0" collapsed="false">
      <c r="A1046" s="106" t="str">
        <f aca="false">IF(_PENDIENTES!$B$1040&lt;&gt;"",1039,"")</f>
        <v/>
      </c>
      <c r="B1046" s="47" t="str">
        <f aca="false">IF(_PENDIENTES!$B$1040&lt;&gt;"",_PENDIENTES!$A$1040,"")</f>
        <v/>
      </c>
      <c r="C1046" s="107" t="str">
        <f aca="false">IF(_PENDIENTES!$B$1040&lt;&gt;"",_PENDIENTES!$C$1040,"")</f>
        <v/>
      </c>
      <c r="D1046" s="106" t="str">
        <f aca="false">IF(_PENDIENTES!$B$1040&lt;&gt;"",_PENDIENTES!$D$1040,"")</f>
        <v/>
      </c>
      <c r="E1046" s="106" t="str">
        <f aca="false">IF(_PENDIENTES!$B$1040&lt;&gt;"",_PENDIENTES!$E$1040,"")</f>
        <v/>
      </c>
      <c r="F1046" s="106" t="str">
        <f aca="false">IF(_PENDIENTES!$B$1040&lt;&gt;"",_PENDIENTES!$F$1040,"")</f>
        <v/>
      </c>
      <c r="G1046" s="50" t="str">
        <f aca="false">IF(_PENDIENTES!$B$1040&lt;&gt;"",_PENDIENTES!$G$1040,"")</f>
        <v/>
      </c>
      <c r="H1046" s="50" t="str">
        <f aca="false">IF(_PENDIENTES!$B$1040&lt;&gt;"",_PENDIENTES!$H$1040,"")</f>
        <v/>
      </c>
      <c r="I1046" s="107" t="str">
        <f aca="false">IF(_PENDIENTES!$B$1040&lt;&gt;"",_PENDIENTES!$I$1040,"")</f>
        <v/>
      </c>
      <c r="J1046" s="106" t="str">
        <f aca="false">IF(_PENDIENTES!$B$1040&lt;&gt;"",_PENDIENTES!$J$1040,"")</f>
        <v/>
      </c>
      <c r="K1046" s="106" t="str">
        <f aca="false">IF(_PENDIENTES!$B$1040&lt;&gt;"","POR RECOGER","")</f>
        <v/>
      </c>
      <c r="L1046" s="106" t="str">
        <f aca="false">IF(_PENDIENTES!$B$1040&lt;&gt;"",_PENDIENTES!$K$1040,"")</f>
        <v/>
      </c>
      <c r="M1046" s="89" t="str">
        <f aca="false">IF(_PENDIENTES!$B$1040&lt;&gt;"",_PENDIENTES!$B$1040,"")</f>
        <v/>
      </c>
      <c r="N1046" s="109" t="str">
        <f aca="false">IF(_PENDIENTES!$B$1040&lt;&gt;"",_PENDIENTES!$L$1040,"")</f>
        <v/>
      </c>
      <c r="O1046" s="89"/>
    </row>
    <row r="1047" customFormat="false" ht="15.75" hidden="true" customHeight="true" outlineLevel="0" collapsed="false">
      <c r="A1047" s="46" t="str">
        <f aca="false">IF(_PENDIENTES!$B$1041&lt;&gt;"",1040,"")</f>
        <v/>
      </c>
      <c r="B1047" s="41" t="str">
        <f aca="false">IF(_PENDIENTES!$B$1041&lt;&gt;"",_PENDIENTES!$A$1041,"")</f>
        <v/>
      </c>
      <c r="C1047" s="110" t="str">
        <f aca="false">IF(_PENDIENTES!$B$1041&lt;&gt;"",_PENDIENTES!$C$1041,"")</f>
        <v/>
      </c>
      <c r="D1047" s="46" t="str">
        <f aca="false">IF(_PENDIENTES!$B$1041&lt;&gt;"",_PENDIENTES!$D$1041,"")</f>
        <v/>
      </c>
      <c r="E1047" s="46" t="str">
        <f aca="false">IF(_PENDIENTES!$B$1041&lt;&gt;"",_PENDIENTES!$E$1041,"")</f>
        <v/>
      </c>
      <c r="F1047" s="46" t="str">
        <f aca="false">IF(_PENDIENTES!$B$1041&lt;&gt;"",_PENDIENTES!$F$1041,"")</f>
        <v/>
      </c>
      <c r="G1047" s="44" t="str">
        <f aca="false">IF(_PENDIENTES!$B$1041&lt;&gt;"",_PENDIENTES!$G$1041,"")</f>
        <v/>
      </c>
      <c r="H1047" s="44" t="str">
        <f aca="false">IF(_PENDIENTES!$B$1041&lt;&gt;"",_PENDIENTES!$H$1041,"")</f>
        <v/>
      </c>
      <c r="I1047" s="110" t="str">
        <f aca="false">IF(_PENDIENTES!$B$1041&lt;&gt;"",_PENDIENTES!$I$1041,"")</f>
        <v/>
      </c>
      <c r="J1047" s="46" t="str">
        <f aca="false">IF(_PENDIENTES!$B$1041&lt;&gt;"",_PENDIENTES!$J$1041,"")</f>
        <v/>
      </c>
      <c r="K1047" s="46" t="str">
        <f aca="false">IF(_PENDIENTES!$B$1041&lt;&gt;"","POR RECOGER","")</f>
        <v/>
      </c>
      <c r="L1047" s="46" t="str">
        <f aca="false">IF(_PENDIENTES!$B$1041&lt;&gt;"",_PENDIENTES!$K$1041,"")</f>
        <v/>
      </c>
      <c r="M1047" s="89" t="str">
        <f aca="false">IF(_PENDIENTES!$B$1041&lt;&gt;"",_PENDIENTES!$B$1041,"")</f>
        <v/>
      </c>
      <c r="N1047" s="109" t="str">
        <f aca="false">IF(_PENDIENTES!$B$1041&lt;&gt;"",_PENDIENTES!$L$1041,"")</f>
        <v/>
      </c>
      <c r="O1047" s="89"/>
    </row>
    <row r="1048" customFormat="false" ht="15.75" hidden="true" customHeight="true" outlineLevel="0" collapsed="false">
      <c r="A1048" s="106" t="str">
        <f aca="false">IF(_PENDIENTES!$B$1042&lt;&gt;"",1041,"")</f>
        <v/>
      </c>
      <c r="B1048" s="47" t="str">
        <f aca="false">IF(_PENDIENTES!$B$1042&lt;&gt;"",_PENDIENTES!$A$1042,"")</f>
        <v/>
      </c>
      <c r="C1048" s="107" t="str">
        <f aca="false">IF(_PENDIENTES!$B$1042&lt;&gt;"",_PENDIENTES!$C$1042,"")</f>
        <v/>
      </c>
      <c r="D1048" s="106" t="str">
        <f aca="false">IF(_PENDIENTES!$B$1042&lt;&gt;"",_PENDIENTES!$D$1042,"")</f>
        <v/>
      </c>
      <c r="E1048" s="106" t="str">
        <f aca="false">IF(_PENDIENTES!$B$1042&lt;&gt;"",_PENDIENTES!$E$1042,"")</f>
        <v/>
      </c>
      <c r="F1048" s="106" t="str">
        <f aca="false">IF(_PENDIENTES!$B$1042&lt;&gt;"",_PENDIENTES!$F$1042,"")</f>
        <v/>
      </c>
      <c r="G1048" s="50" t="str">
        <f aca="false">IF(_PENDIENTES!$B$1042&lt;&gt;"",_PENDIENTES!$G$1042,"")</f>
        <v/>
      </c>
      <c r="H1048" s="50" t="str">
        <f aca="false">IF(_PENDIENTES!$B$1042&lt;&gt;"",_PENDIENTES!$H$1042,"")</f>
        <v/>
      </c>
      <c r="I1048" s="107" t="str">
        <f aca="false">IF(_PENDIENTES!$B$1042&lt;&gt;"",_PENDIENTES!$I$1042,"")</f>
        <v/>
      </c>
      <c r="J1048" s="106" t="str">
        <f aca="false">IF(_PENDIENTES!$B$1042&lt;&gt;"",_PENDIENTES!$J$1042,"")</f>
        <v/>
      </c>
      <c r="K1048" s="106" t="str">
        <f aca="false">IF(_PENDIENTES!$B$1042&lt;&gt;"","POR RECOGER","")</f>
        <v/>
      </c>
      <c r="L1048" s="106" t="str">
        <f aca="false">IF(_PENDIENTES!$B$1042&lt;&gt;"",_PENDIENTES!$K$1042,"")</f>
        <v/>
      </c>
      <c r="M1048" s="89" t="str">
        <f aca="false">IF(_PENDIENTES!$B$1042&lt;&gt;"",_PENDIENTES!$B$1042,"")</f>
        <v/>
      </c>
      <c r="N1048" s="109" t="str">
        <f aca="false">IF(_PENDIENTES!$B$1042&lt;&gt;"",_PENDIENTES!$L$1042,"")</f>
        <v/>
      </c>
      <c r="O1048" s="89"/>
    </row>
    <row r="1049" customFormat="false" ht="15.75" hidden="true" customHeight="true" outlineLevel="0" collapsed="false">
      <c r="A1049" s="46" t="str">
        <f aca="false">IF(_PENDIENTES!$B$1043&lt;&gt;"",1042,"")</f>
        <v/>
      </c>
      <c r="B1049" s="41" t="str">
        <f aca="false">IF(_PENDIENTES!$B$1043&lt;&gt;"",_PENDIENTES!$A$1043,"")</f>
        <v/>
      </c>
      <c r="C1049" s="110" t="str">
        <f aca="false">IF(_PENDIENTES!$B$1043&lt;&gt;"",_PENDIENTES!$C$1043,"")</f>
        <v/>
      </c>
      <c r="D1049" s="46" t="str">
        <f aca="false">IF(_PENDIENTES!$B$1043&lt;&gt;"",_PENDIENTES!$D$1043,"")</f>
        <v/>
      </c>
      <c r="E1049" s="46" t="str">
        <f aca="false">IF(_PENDIENTES!$B$1043&lt;&gt;"",_PENDIENTES!$E$1043,"")</f>
        <v/>
      </c>
      <c r="F1049" s="46" t="str">
        <f aca="false">IF(_PENDIENTES!$B$1043&lt;&gt;"",_PENDIENTES!$F$1043,"")</f>
        <v/>
      </c>
      <c r="G1049" s="44" t="str">
        <f aca="false">IF(_PENDIENTES!$B$1043&lt;&gt;"",_PENDIENTES!$G$1043,"")</f>
        <v/>
      </c>
      <c r="H1049" s="44" t="str">
        <f aca="false">IF(_PENDIENTES!$B$1043&lt;&gt;"",_PENDIENTES!$H$1043,"")</f>
        <v/>
      </c>
      <c r="I1049" s="110" t="str">
        <f aca="false">IF(_PENDIENTES!$B$1043&lt;&gt;"",_PENDIENTES!$I$1043,"")</f>
        <v/>
      </c>
      <c r="J1049" s="46" t="str">
        <f aca="false">IF(_PENDIENTES!$B$1043&lt;&gt;"",_PENDIENTES!$J$1043,"")</f>
        <v/>
      </c>
      <c r="K1049" s="46" t="str">
        <f aca="false">IF(_PENDIENTES!$B$1043&lt;&gt;"","POR RECOGER","")</f>
        <v/>
      </c>
      <c r="L1049" s="46" t="str">
        <f aca="false">IF(_PENDIENTES!$B$1043&lt;&gt;"",_PENDIENTES!$K$1043,"")</f>
        <v/>
      </c>
      <c r="M1049" s="89" t="str">
        <f aca="false">IF(_PENDIENTES!$B$1043&lt;&gt;"",_PENDIENTES!$B$1043,"")</f>
        <v/>
      </c>
      <c r="N1049" s="109" t="str">
        <f aca="false">IF(_PENDIENTES!$B$1043&lt;&gt;"",_PENDIENTES!$L$1043,"")</f>
        <v/>
      </c>
      <c r="O1049" s="89"/>
    </row>
    <row r="1050" customFormat="false" ht="15.75" hidden="true" customHeight="true" outlineLevel="0" collapsed="false">
      <c r="A1050" s="106" t="str">
        <f aca="false">IF(_PENDIENTES!$B$1044&lt;&gt;"",1043,"")</f>
        <v/>
      </c>
      <c r="B1050" s="47" t="str">
        <f aca="false">IF(_PENDIENTES!$B$1044&lt;&gt;"",_PENDIENTES!$A$1044,"")</f>
        <v/>
      </c>
      <c r="C1050" s="107" t="str">
        <f aca="false">IF(_PENDIENTES!$B$1044&lt;&gt;"",_PENDIENTES!$C$1044,"")</f>
        <v/>
      </c>
      <c r="D1050" s="106" t="str">
        <f aca="false">IF(_PENDIENTES!$B$1044&lt;&gt;"",_PENDIENTES!$D$1044,"")</f>
        <v/>
      </c>
      <c r="E1050" s="106" t="str">
        <f aca="false">IF(_PENDIENTES!$B$1044&lt;&gt;"",_PENDIENTES!$E$1044,"")</f>
        <v/>
      </c>
      <c r="F1050" s="106" t="str">
        <f aca="false">IF(_PENDIENTES!$B$1044&lt;&gt;"",_PENDIENTES!$F$1044,"")</f>
        <v/>
      </c>
      <c r="G1050" s="50" t="str">
        <f aca="false">IF(_PENDIENTES!$B$1044&lt;&gt;"",_PENDIENTES!$G$1044,"")</f>
        <v/>
      </c>
      <c r="H1050" s="50" t="str">
        <f aca="false">IF(_PENDIENTES!$B$1044&lt;&gt;"",_PENDIENTES!$H$1044,"")</f>
        <v/>
      </c>
      <c r="I1050" s="107" t="str">
        <f aca="false">IF(_PENDIENTES!$B$1044&lt;&gt;"",_PENDIENTES!$I$1044,"")</f>
        <v/>
      </c>
      <c r="J1050" s="106" t="str">
        <f aca="false">IF(_PENDIENTES!$B$1044&lt;&gt;"",_PENDIENTES!$J$1044,"")</f>
        <v/>
      </c>
      <c r="K1050" s="106" t="str">
        <f aca="false">IF(_PENDIENTES!$B$1044&lt;&gt;"","POR RECOGER","")</f>
        <v/>
      </c>
      <c r="L1050" s="106" t="str">
        <f aca="false">IF(_PENDIENTES!$B$1044&lt;&gt;"",_PENDIENTES!$K$1044,"")</f>
        <v/>
      </c>
      <c r="M1050" s="89" t="str">
        <f aca="false">IF(_PENDIENTES!$B$1044&lt;&gt;"",_PENDIENTES!$B$1044,"")</f>
        <v/>
      </c>
      <c r="N1050" s="109" t="str">
        <f aca="false">IF(_PENDIENTES!$B$1044&lt;&gt;"",_PENDIENTES!$L$1044,"")</f>
        <v/>
      </c>
      <c r="O1050" s="89"/>
    </row>
    <row r="1051" customFormat="false" ht="15.75" hidden="true" customHeight="true" outlineLevel="0" collapsed="false">
      <c r="A1051" s="46" t="str">
        <f aca="false">IF(_PENDIENTES!$B$1045&lt;&gt;"",1044,"")</f>
        <v/>
      </c>
      <c r="B1051" s="41" t="str">
        <f aca="false">IF(_PENDIENTES!$B$1045&lt;&gt;"",_PENDIENTES!$A$1045,"")</f>
        <v/>
      </c>
      <c r="C1051" s="110" t="str">
        <f aca="false">IF(_PENDIENTES!$B$1045&lt;&gt;"",_PENDIENTES!$C$1045,"")</f>
        <v/>
      </c>
      <c r="D1051" s="46" t="str">
        <f aca="false">IF(_PENDIENTES!$B$1045&lt;&gt;"",_PENDIENTES!$D$1045,"")</f>
        <v/>
      </c>
      <c r="E1051" s="46" t="str">
        <f aca="false">IF(_PENDIENTES!$B$1045&lt;&gt;"",_PENDIENTES!$E$1045,"")</f>
        <v/>
      </c>
      <c r="F1051" s="46" t="str">
        <f aca="false">IF(_PENDIENTES!$B$1045&lt;&gt;"",_PENDIENTES!$F$1045,"")</f>
        <v/>
      </c>
      <c r="G1051" s="44" t="str">
        <f aca="false">IF(_PENDIENTES!$B$1045&lt;&gt;"",_PENDIENTES!$G$1045,"")</f>
        <v/>
      </c>
      <c r="H1051" s="44" t="str">
        <f aca="false">IF(_PENDIENTES!$B$1045&lt;&gt;"",_PENDIENTES!$H$1045,"")</f>
        <v/>
      </c>
      <c r="I1051" s="110" t="str">
        <f aca="false">IF(_PENDIENTES!$B$1045&lt;&gt;"",_PENDIENTES!$I$1045,"")</f>
        <v/>
      </c>
      <c r="J1051" s="46" t="str">
        <f aca="false">IF(_PENDIENTES!$B$1045&lt;&gt;"",_PENDIENTES!$J$1045,"")</f>
        <v/>
      </c>
      <c r="K1051" s="46" t="str">
        <f aca="false">IF(_PENDIENTES!$B$1045&lt;&gt;"","POR RECOGER","")</f>
        <v/>
      </c>
      <c r="L1051" s="46" t="str">
        <f aca="false">IF(_PENDIENTES!$B$1045&lt;&gt;"",_PENDIENTES!$K$1045,"")</f>
        <v/>
      </c>
      <c r="M1051" s="89" t="str">
        <f aca="false">IF(_PENDIENTES!$B$1045&lt;&gt;"",_PENDIENTES!$B$1045,"")</f>
        <v/>
      </c>
      <c r="N1051" s="109" t="str">
        <f aca="false">IF(_PENDIENTES!$B$1045&lt;&gt;"",_PENDIENTES!$L$1045,"")</f>
        <v/>
      </c>
      <c r="O1051" s="89"/>
    </row>
    <row r="1052" customFormat="false" ht="15.75" hidden="true" customHeight="true" outlineLevel="0" collapsed="false">
      <c r="A1052" s="106" t="str">
        <f aca="false">IF(_PENDIENTES!$B$1046&lt;&gt;"",1045,"")</f>
        <v/>
      </c>
      <c r="B1052" s="47" t="str">
        <f aca="false">IF(_PENDIENTES!$B$1046&lt;&gt;"",_PENDIENTES!$A$1046,"")</f>
        <v/>
      </c>
      <c r="C1052" s="107" t="str">
        <f aca="false">IF(_PENDIENTES!$B$1046&lt;&gt;"",_PENDIENTES!$C$1046,"")</f>
        <v/>
      </c>
      <c r="D1052" s="106" t="str">
        <f aca="false">IF(_PENDIENTES!$B$1046&lt;&gt;"",_PENDIENTES!$D$1046,"")</f>
        <v/>
      </c>
      <c r="E1052" s="106" t="str">
        <f aca="false">IF(_PENDIENTES!$B$1046&lt;&gt;"",_PENDIENTES!$E$1046,"")</f>
        <v/>
      </c>
      <c r="F1052" s="106" t="str">
        <f aca="false">IF(_PENDIENTES!$B$1046&lt;&gt;"",_PENDIENTES!$F$1046,"")</f>
        <v/>
      </c>
      <c r="G1052" s="50" t="str">
        <f aca="false">IF(_PENDIENTES!$B$1046&lt;&gt;"",_PENDIENTES!$G$1046,"")</f>
        <v/>
      </c>
      <c r="H1052" s="50" t="str">
        <f aca="false">IF(_PENDIENTES!$B$1046&lt;&gt;"",_PENDIENTES!$H$1046,"")</f>
        <v/>
      </c>
      <c r="I1052" s="107" t="str">
        <f aca="false">IF(_PENDIENTES!$B$1046&lt;&gt;"",_PENDIENTES!$I$1046,"")</f>
        <v/>
      </c>
      <c r="J1052" s="106" t="str">
        <f aca="false">IF(_PENDIENTES!$B$1046&lt;&gt;"",_PENDIENTES!$J$1046,"")</f>
        <v/>
      </c>
      <c r="K1052" s="106" t="str">
        <f aca="false">IF(_PENDIENTES!$B$1046&lt;&gt;"","POR RECOGER","")</f>
        <v/>
      </c>
      <c r="L1052" s="106" t="str">
        <f aca="false">IF(_PENDIENTES!$B$1046&lt;&gt;"",_PENDIENTES!$K$1046,"")</f>
        <v/>
      </c>
      <c r="M1052" s="89" t="str">
        <f aca="false">IF(_PENDIENTES!$B$1046&lt;&gt;"",_PENDIENTES!$B$1046,"")</f>
        <v/>
      </c>
      <c r="N1052" s="109" t="str">
        <f aca="false">IF(_PENDIENTES!$B$1046&lt;&gt;"",_PENDIENTES!$L$1046,"")</f>
        <v/>
      </c>
      <c r="O1052" s="89"/>
    </row>
    <row r="1053" customFormat="false" ht="15.75" hidden="true" customHeight="true" outlineLevel="0" collapsed="false">
      <c r="A1053" s="46" t="str">
        <f aca="false">IF(_PENDIENTES!$B$1047&lt;&gt;"",1046,"")</f>
        <v/>
      </c>
      <c r="B1053" s="41" t="str">
        <f aca="false">IF(_PENDIENTES!$B$1047&lt;&gt;"",_PENDIENTES!$A$1047,"")</f>
        <v/>
      </c>
      <c r="C1053" s="110" t="str">
        <f aca="false">IF(_PENDIENTES!$B$1047&lt;&gt;"",_PENDIENTES!$C$1047,"")</f>
        <v/>
      </c>
      <c r="D1053" s="46" t="str">
        <f aca="false">IF(_PENDIENTES!$B$1047&lt;&gt;"",_PENDIENTES!$D$1047,"")</f>
        <v/>
      </c>
      <c r="E1053" s="46" t="str">
        <f aca="false">IF(_PENDIENTES!$B$1047&lt;&gt;"",_PENDIENTES!$E$1047,"")</f>
        <v/>
      </c>
      <c r="F1053" s="46" t="str">
        <f aca="false">IF(_PENDIENTES!$B$1047&lt;&gt;"",_PENDIENTES!$F$1047,"")</f>
        <v/>
      </c>
      <c r="G1053" s="44" t="str">
        <f aca="false">IF(_PENDIENTES!$B$1047&lt;&gt;"",_PENDIENTES!$G$1047,"")</f>
        <v/>
      </c>
      <c r="H1053" s="44" t="str">
        <f aca="false">IF(_PENDIENTES!$B$1047&lt;&gt;"",_PENDIENTES!$H$1047,"")</f>
        <v/>
      </c>
      <c r="I1053" s="110" t="str">
        <f aca="false">IF(_PENDIENTES!$B$1047&lt;&gt;"",_PENDIENTES!$I$1047,"")</f>
        <v/>
      </c>
      <c r="J1053" s="46" t="str">
        <f aca="false">IF(_PENDIENTES!$B$1047&lt;&gt;"",_PENDIENTES!$J$1047,"")</f>
        <v/>
      </c>
      <c r="K1053" s="46" t="str">
        <f aca="false">IF(_PENDIENTES!$B$1047&lt;&gt;"","POR RECOGER","")</f>
        <v/>
      </c>
      <c r="L1053" s="46" t="str">
        <f aca="false">IF(_PENDIENTES!$B$1047&lt;&gt;"",_PENDIENTES!$K$1047,"")</f>
        <v/>
      </c>
      <c r="M1053" s="89" t="str">
        <f aca="false">IF(_PENDIENTES!$B$1047&lt;&gt;"",_PENDIENTES!$B$1047,"")</f>
        <v/>
      </c>
      <c r="N1053" s="109" t="str">
        <f aca="false">IF(_PENDIENTES!$B$1047&lt;&gt;"",_PENDIENTES!$L$1047,"")</f>
        <v/>
      </c>
      <c r="O1053" s="89"/>
    </row>
    <row r="1054" customFormat="false" ht="15.75" hidden="true" customHeight="true" outlineLevel="0" collapsed="false">
      <c r="A1054" s="106" t="str">
        <f aca="false">IF(_PENDIENTES!$B$1048&lt;&gt;"",1047,"")</f>
        <v/>
      </c>
      <c r="B1054" s="47" t="str">
        <f aca="false">IF(_PENDIENTES!$B$1048&lt;&gt;"",_PENDIENTES!$A$1048,"")</f>
        <v/>
      </c>
      <c r="C1054" s="107" t="str">
        <f aca="false">IF(_PENDIENTES!$B$1048&lt;&gt;"",_PENDIENTES!$C$1048,"")</f>
        <v/>
      </c>
      <c r="D1054" s="106" t="str">
        <f aca="false">IF(_PENDIENTES!$B$1048&lt;&gt;"",_PENDIENTES!$D$1048,"")</f>
        <v/>
      </c>
      <c r="E1054" s="106" t="str">
        <f aca="false">IF(_PENDIENTES!$B$1048&lt;&gt;"",_PENDIENTES!$E$1048,"")</f>
        <v/>
      </c>
      <c r="F1054" s="106" t="str">
        <f aca="false">IF(_PENDIENTES!$B$1048&lt;&gt;"",_PENDIENTES!$F$1048,"")</f>
        <v/>
      </c>
      <c r="G1054" s="50" t="str">
        <f aca="false">IF(_PENDIENTES!$B$1048&lt;&gt;"",_PENDIENTES!$G$1048,"")</f>
        <v/>
      </c>
      <c r="H1054" s="50" t="str">
        <f aca="false">IF(_PENDIENTES!$B$1048&lt;&gt;"",_PENDIENTES!$H$1048,"")</f>
        <v/>
      </c>
      <c r="I1054" s="107" t="str">
        <f aca="false">IF(_PENDIENTES!$B$1048&lt;&gt;"",_PENDIENTES!$I$1048,"")</f>
        <v/>
      </c>
      <c r="J1054" s="106" t="str">
        <f aca="false">IF(_PENDIENTES!$B$1048&lt;&gt;"",_PENDIENTES!$J$1048,"")</f>
        <v/>
      </c>
      <c r="K1054" s="106" t="str">
        <f aca="false">IF(_PENDIENTES!$B$1048&lt;&gt;"","POR RECOGER","")</f>
        <v/>
      </c>
      <c r="L1054" s="106" t="str">
        <f aca="false">IF(_PENDIENTES!$B$1048&lt;&gt;"",_PENDIENTES!$K$1048,"")</f>
        <v/>
      </c>
      <c r="M1054" s="89" t="str">
        <f aca="false">IF(_PENDIENTES!$B$1048&lt;&gt;"",_PENDIENTES!$B$1048,"")</f>
        <v/>
      </c>
      <c r="N1054" s="109" t="str">
        <f aca="false">IF(_PENDIENTES!$B$1048&lt;&gt;"",_PENDIENTES!$L$1048,"")</f>
        <v/>
      </c>
      <c r="O1054" s="89"/>
    </row>
    <row r="1055" customFormat="false" ht="15.75" hidden="true" customHeight="true" outlineLevel="0" collapsed="false">
      <c r="A1055" s="46" t="str">
        <f aca="false">IF(_PENDIENTES!$B$1049&lt;&gt;"",1048,"")</f>
        <v/>
      </c>
      <c r="B1055" s="41" t="str">
        <f aca="false">IF(_PENDIENTES!$B$1049&lt;&gt;"",_PENDIENTES!$A$1049,"")</f>
        <v/>
      </c>
      <c r="C1055" s="110" t="str">
        <f aca="false">IF(_PENDIENTES!$B$1049&lt;&gt;"",_PENDIENTES!$C$1049,"")</f>
        <v/>
      </c>
      <c r="D1055" s="46" t="str">
        <f aca="false">IF(_PENDIENTES!$B$1049&lt;&gt;"",_PENDIENTES!$D$1049,"")</f>
        <v/>
      </c>
      <c r="E1055" s="46" t="str">
        <f aca="false">IF(_PENDIENTES!$B$1049&lt;&gt;"",_PENDIENTES!$E$1049,"")</f>
        <v/>
      </c>
      <c r="F1055" s="46" t="str">
        <f aca="false">IF(_PENDIENTES!$B$1049&lt;&gt;"",_PENDIENTES!$F$1049,"")</f>
        <v/>
      </c>
      <c r="G1055" s="44" t="str">
        <f aca="false">IF(_PENDIENTES!$B$1049&lt;&gt;"",_PENDIENTES!$G$1049,"")</f>
        <v/>
      </c>
      <c r="H1055" s="44" t="str">
        <f aca="false">IF(_PENDIENTES!$B$1049&lt;&gt;"",_PENDIENTES!$H$1049,"")</f>
        <v/>
      </c>
      <c r="I1055" s="110" t="str">
        <f aca="false">IF(_PENDIENTES!$B$1049&lt;&gt;"",_PENDIENTES!$I$1049,"")</f>
        <v/>
      </c>
      <c r="J1055" s="46" t="str">
        <f aca="false">IF(_PENDIENTES!$B$1049&lt;&gt;"",_PENDIENTES!$J$1049,"")</f>
        <v/>
      </c>
      <c r="K1055" s="46" t="str">
        <f aca="false">IF(_PENDIENTES!$B$1049&lt;&gt;"","POR RECOGER","")</f>
        <v/>
      </c>
      <c r="L1055" s="46" t="str">
        <f aca="false">IF(_PENDIENTES!$B$1049&lt;&gt;"",_PENDIENTES!$K$1049,"")</f>
        <v/>
      </c>
      <c r="M1055" s="89" t="str">
        <f aca="false">IF(_PENDIENTES!$B$1049&lt;&gt;"",_PENDIENTES!$B$1049,"")</f>
        <v/>
      </c>
      <c r="N1055" s="109" t="str">
        <f aca="false">IF(_PENDIENTES!$B$1049&lt;&gt;"",_PENDIENTES!$L$1049,"")</f>
        <v/>
      </c>
      <c r="O1055" s="89"/>
    </row>
    <row r="1056" customFormat="false" ht="15.75" hidden="true" customHeight="true" outlineLevel="0" collapsed="false">
      <c r="A1056" s="106" t="str">
        <f aca="false">IF(_PENDIENTES!$B$1050&lt;&gt;"",1049,"")</f>
        <v/>
      </c>
      <c r="B1056" s="47" t="str">
        <f aca="false">IF(_PENDIENTES!$B$1050&lt;&gt;"",_PENDIENTES!$A$1050,"")</f>
        <v/>
      </c>
      <c r="C1056" s="107" t="str">
        <f aca="false">IF(_PENDIENTES!$B$1050&lt;&gt;"",_PENDIENTES!$C$1050,"")</f>
        <v/>
      </c>
      <c r="D1056" s="106" t="str">
        <f aca="false">IF(_PENDIENTES!$B$1050&lt;&gt;"",_PENDIENTES!$D$1050,"")</f>
        <v/>
      </c>
      <c r="E1056" s="106" t="str">
        <f aca="false">IF(_PENDIENTES!$B$1050&lt;&gt;"",_PENDIENTES!$E$1050,"")</f>
        <v/>
      </c>
      <c r="F1056" s="106" t="str">
        <f aca="false">IF(_PENDIENTES!$B$1050&lt;&gt;"",_PENDIENTES!$F$1050,"")</f>
        <v/>
      </c>
      <c r="G1056" s="50" t="str">
        <f aca="false">IF(_PENDIENTES!$B$1050&lt;&gt;"",_PENDIENTES!$G$1050,"")</f>
        <v/>
      </c>
      <c r="H1056" s="50" t="str">
        <f aca="false">IF(_PENDIENTES!$B$1050&lt;&gt;"",_PENDIENTES!$H$1050,"")</f>
        <v/>
      </c>
      <c r="I1056" s="107" t="str">
        <f aca="false">IF(_PENDIENTES!$B$1050&lt;&gt;"",_PENDIENTES!$I$1050,"")</f>
        <v/>
      </c>
      <c r="J1056" s="106" t="str">
        <f aca="false">IF(_PENDIENTES!$B$1050&lt;&gt;"",_PENDIENTES!$J$1050,"")</f>
        <v/>
      </c>
      <c r="K1056" s="106" t="str">
        <f aca="false">IF(_PENDIENTES!$B$1050&lt;&gt;"","POR RECOGER","")</f>
        <v/>
      </c>
      <c r="L1056" s="106" t="str">
        <f aca="false">IF(_PENDIENTES!$B$1050&lt;&gt;"",_PENDIENTES!$K$1050,"")</f>
        <v/>
      </c>
      <c r="M1056" s="89" t="str">
        <f aca="false">IF(_PENDIENTES!$B$1050&lt;&gt;"",_PENDIENTES!$B$1050,"")</f>
        <v/>
      </c>
      <c r="N1056" s="109" t="str">
        <f aca="false">IF(_PENDIENTES!$B$1050&lt;&gt;"",_PENDIENTES!$L$1050,"")</f>
        <v/>
      </c>
      <c r="O1056" s="89"/>
    </row>
    <row r="1057" customFormat="false" ht="15.75" hidden="true" customHeight="true" outlineLevel="0" collapsed="false">
      <c r="A1057" s="46" t="str">
        <f aca="false">IF(_PENDIENTES!$B$1051&lt;&gt;"",1050,"")</f>
        <v/>
      </c>
      <c r="B1057" s="41" t="str">
        <f aca="false">IF(_PENDIENTES!$B$1051&lt;&gt;"",_PENDIENTES!$A$1051,"")</f>
        <v/>
      </c>
      <c r="C1057" s="110" t="str">
        <f aca="false">IF(_PENDIENTES!$B$1051&lt;&gt;"",_PENDIENTES!$C$1051,"")</f>
        <v/>
      </c>
      <c r="D1057" s="46" t="str">
        <f aca="false">IF(_PENDIENTES!$B$1051&lt;&gt;"",_PENDIENTES!$D$1051,"")</f>
        <v/>
      </c>
      <c r="E1057" s="46" t="str">
        <f aca="false">IF(_PENDIENTES!$B$1051&lt;&gt;"",_PENDIENTES!$E$1051,"")</f>
        <v/>
      </c>
      <c r="F1057" s="46" t="str">
        <f aca="false">IF(_PENDIENTES!$B$1051&lt;&gt;"",_PENDIENTES!$F$1051,"")</f>
        <v/>
      </c>
      <c r="G1057" s="44" t="str">
        <f aca="false">IF(_PENDIENTES!$B$1051&lt;&gt;"",_PENDIENTES!$G$1051,"")</f>
        <v/>
      </c>
      <c r="H1057" s="44" t="str">
        <f aca="false">IF(_PENDIENTES!$B$1051&lt;&gt;"",_PENDIENTES!$H$1051,"")</f>
        <v/>
      </c>
      <c r="I1057" s="110" t="str">
        <f aca="false">IF(_PENDIENTES!$B$1051&lt;&gt;"",_PENDIENTES!$I$1051,"")</f>
        <v/>
      </c>
      <c r="J1057" s="46" t="str">
        <f aca="false">IF(_PENDIENTES!$B$1051&lt;&gt;"",_PENDIENTES!$J$1051,"")</f>
        <v/>
      </c>
      <c r="K1057" s="46" t="str">
        <f aca="false">IF(_PENDIENTES!$B$1051&lt;&gt;"","POR RECOGER","")</f>
        <v/>
      </c>
      <c r="L1057" s="46" t="str">
        <f aca="false">IF(_PENDIENTES!$B$1051&lt;&gt;"",_PENDIENTES!$K$1051,"")</f>
        <v/>
      </c>
      <c r="M1057" s="89" t="str">
        <f aca="false">IF(_PENDIENTES!$B$1051&lt;&gt;"",_PENDIENTES!$B$1051,"")</f>
        <v/>
      </c>
      <c r="N1057" s="109" t="str">
        <f aca="false">IF(_PENDIENTES!$B$1051&lt;&gt;"",_PENDIENTES!$L$1051,"")</f>
        <v/>
      </c>
      <c r="O1057" s="89"/>
    </row>
    <row r="1058" customFormat="false" ht="15.75" hidden="true" customHeight="true" outlineLevel="0" collapsed="false">
      <c r="A1058" s="106" t="str">
        <f aca="false">IF(_PENDIENTES!$B$1052&lt;&gt;"",1051,"")</f>
        <v/>
      </c>
      <c r="B1058" s="47" t="str">
        <f aca="false">IF(_PENDIENTES!$B$1052&lt;&gt;"",_PENDIENTES!$A$1052,"")</f>
        <v/>
      </c>
      <c r="C1058" s="107" t="str">
        <f aca="false">IF(_PENDIENTES!$B$1052&lt;&gt;"",_PENDIENTES!$C$1052,"")</f>
        <v/>
      </c>
      <c r="D1058" s="106" t="str">
        <f aca="false">IF(_PENDIENTES!$B$1052&lt;&gt;"",_PENDIENTES!$D$1052,"")</f>
        <v/>
      </c>
      <c r="E1058" s="106" t="str">
        <f aca="false">IF(_PENDIENTES!$B$1052&lt;&gt;"",_PENDIENTES!$E$1052,"")</f>
        <v/>
      </c>
      <c r="F1058" s="106" t="str">
        <f aca="false">IF(_PENDIENTES!$B$1052&lt;&gt;"",_PENDIENTES!$F$1052,"")</f>
        <v/>
      </c>
      <c r="G1058" s="50" t="str">
        <f aca="false">IF(_PENDIENTES!$B$1052&lt;&gt;"",_PENDIENTES!$G$1052,"")</f>
        <v/>
      </c>
      <c r="H1058" s="50" t="str">
        <f aca="false">IF(_PENDIENTES!$B$1052&lt;&gt;"",_PENDIENTES!$H$1052,"")</f>
        <v/>
      </c>
      <c r="I1058" s="107" t="str">
        <f aca="false">IF(_PENDIENTES!$B$1052&lt;&gt;"",_PENDIENTES!$I$1052,"")</f>
        <v/>
      </c>
      <c r="J1058" s="106" t="str">
        <f aca="false">IF(_PENDIENTES!$B$1052&lt;&gt;"",_PENDIENTES!$J$1052,"")</f>
        <v/>
      </c>
      <c r="K1058" s="106" t="str">
        <f aca="false">IF(_PENDIENTES!$B$1052&lt;&gt;"","POR RECOGER","")</f>
        <v/>
      </c>
      <c r="L1058" s="106" t="str">
        <f aca="false">IF(_PENDIENTES!$B$1052&lt;&gt;"",_PENDIENTES!$K$1052,"")</f>
        <v/>
      </c>
      <c r="M1058" s="89" t="str">
        <f aca="false">IF(_PENDIENTES!$B$1052&lt;&gt;"",_PENDIENTES!$B$1052,"")</f>
        <v/>
      </c>
      <c r="N1058" s="109" t="str">
        <f aca="false">IF(_PENDIENTES!$B$1052&lt;&gt;"",_PENDIENTES!$L$1052,"")</f>
        <v/>
      </c>
      <c r="O1058" s="89"/>
    </row>
    <row r="1059" customFormat="false" ht="15.75" hidden="true" customHeight="true" outlineLevel="0" collapsed="false">
      <c r="A1059" s="46" t="str">
        <f aca="false">IF(_PENDIENTES!$B$1053&lt;&gt;"",1052,"")</f>
        <v/>
      </c>
      <c r="B1059" s="41" t="str">
        <f aca="false">IF(_PENDIENTES!$B$1053&lt;&gt;"",_PENDIENTES!$A$1053,"")</f>
        <v/>
      </c>
      <c r="C1059" s="110" t="str">
        <f aca="false">IF(_PENDIENTES!$B$1053&lt;&gt;"",_PENDIENTES!$C$1053,"")</f>
        <v/>
      </c>
      <c r="D1059" s="46" t="str">
        <f aca="false">IF(_PENDIENTES!$B$1053&lt;&gt;"",_PENDIENTES!$D$1053,"")</f>
        <v/>
      </c>
      <c r="E1059" s="46" t="str">
        <f aca="false">IF(_PENDIENTES!$B$1053&lt;&gt;"",_PENDIENTES!$E$1053,"")</f>
        <v/>
      </c>
      <c r="F1059" s="46" t="str">
        <f aca="false">IF(_PENDIENTES!$B$1053&lt;&gt;"",_PENDIENTES!$F$1053,"")</f>
        <v/>
      </c>
      <c r="G1059" s="44" t="str">
        <f aca="false">IF(_PENDIENTES!$B$1053&lt;&gt;"",_PENDIENTES!$G$1053,"")</f>
        <v/>
      </c>
      <c r="H1059" s="44" t="str">
        <f aca="false">IF(_PENDIENTES!$B$1053&lt;&gt;"",_PENDIENTES!$H$1053,"")</f>
        <v/>
      </c>
      <c r="I1059" s="110" t="str">
        <f aca="false">IF(_PENDIENTES!$B$1053&lt;&gt;"",_PENDIENTES!$I$1053,"")</f>
        <v/>
      </c>
      <c r="J1059" s="46" t="str">
        <f aca="false">IF(_PENDIENTES!$B$1053&lt;&gt;"",_PENDIENTES!$J$1053,"")</f>
        <v/>
      </c>
      <c r="K1059" s="46" t="str">
        <f aca="false">IF(_PENDIENTES!$B$1053&lt;&gt;"","POR RECOGER","")</f>
        <v/>
      </c>
      <c r="L1059" s="46" t="str">
        <f aca="false">IF(_PENDIENTES!$B$1053&lt;&gt;"",_PENDIENTES!$K$1053,"")</f>
        <v/>
      </c>
      <c r="M1059" s="89" t="str">
        <f aca="false">IF(_PENDIENTES!$B$1053&lt;&gt;"",_PENDIENTES!$B$1053,"")</f>
        <v/>
      </c>
      <c r="N1059" s="109" t="str">
        <f aca="false">IF(_PENDIENTES!$B$1053&lt;&gt;"",_PENDIENTES!$L$1053,"")</f>
        <v/>
      </c>
      <c r="O1059" s="89"/>
    </row>
    <row r="1060" customFormat="false" ht="15.75" hidden="true" customHeight="true" outlineLevel="0" collapsed="false">
      <c r="A1060" s="106" t="str">
        <f aca="false">IF(_PENDIENTES!$B$1054&lt;&gt;"",1053,"")</f>
        <v/>
      </c>
      <c r="B1060" s="47" t="str">
        <f aca="false">IF(_PENDIENTES!$B$1054&lt;&gt;"",_PENDIENTES!$A$1054,"")</f>
        <v/>
      </c>
      <c r="C1060" s="107" t="str">
        <f aca="false">IF(_PENDIENTES!$B$1054&lt;&gt;"",_PENDIENTES!$C$1054,"")</f>
        <v/>
      </c>
      <c r="D1060" s="106" t="str">
        <f aca="false">IF(_PENDIENTES!$B$1054&lt;&gt;"",_PENDIENTES!$D$1054,"")</f>
        <v/>
      </c>
      <c r="E1060" s="106" t="str">
        <f aca="false">IF(_PENDIENTES!$B$1054&lt;&gt;"",_PENDIENTES!$E$1054,"")</f>
        <v/>
      </c>
      <c r="F1060" s="106" t="str">
        <f aca="false">IF(_PENDIENTES!$B$1054&lt;&gt;"",_PENDIENTES!$F$1054,"")</f>
        <v/>
      </c>
      <c r="G1060" s="50" t="str">
        <f aca="false">IF(_PENDIENTES!$B$1054&lt;&gt;"",_PENDIENTES!$G$1054,"")</f>
        <v/>
      </c>
      <c r="H1060" s="50" t="str">
        <f aca="false">IF(_PENDIENTES!$B$1054&lt;&gt;"",_PENDIENTES!$H$1054,"")</f>
        <v/>
      </c>
      <c r="I1060" s="107" t="str">
        <f aca="false">IF(_PENDIENTES!$B$1054&lt;&gt;"",_PENDIENTES!$I$1054,"")</f>
        <v/>
      </c>
      <c r="J1060" s="106" t="str">
        <f aca="false">IF(_PENDIENTES!$B$1054&lt;&gt;"",_PENDIENTES!$J$1054,"")</f>
        <v/>
      </c>
      <c r="K1060" s="106" t="str">
        <f aca="false">IF(_PENDIENTES!$B$1054&lt;&gt;"","POR RECOGER","")</f>
        <v/>
      </c>
      <c r="L1060" s="106" t="str">
        <f aca="false">IF(_PENDIENTES!$B$1054&lt;&gt;"",_PENDIENTES!$K$1054,"")</f>
        <v/>
      </c>
      <c r="M1060" s="89" t="str">
        <f aca="false">IF(_PENDIENTES!$B$1054&lt;&gt;"",_PENDIENTES!$B$1054,"")</f>
        <v/>
      </c>
      <c r="N1060" s="109" t="str">
        <f aca="false">IF(_PENDIENTES!$B$1054&lt;&gt;"",_PENDIENTES!$L$1054,"")</f>
        <v/>
      </c>
      <c r="O1060" s="89"/>
    </row>
    <row r="1061" customFormat="false" ht="15.75" hidden="true" customHeight="true" outlineLevel="0" collapsed="false">
      <c r="A1061" s="46" t="str">
        <f aca="false">IF(_PENDIENTES!$B$1055&lt;&gt;"",1054,"")</f>
        <v/>
      </c>
      <c r="B1061" s="41" t="str">
        <f aca="false">IF(_PENDIENTES!$B$1055&lt;&gt;"",_PENDIENTES!$A$1055,"")</f>
        <v/>
      </c>
      <c r="C1061" s="110" t="str">
        <f aca="false">IF(_PENDIENTES!$B$1055&lt;&gt;"",_PENDIENTES!$C$1055,"")</f>
        <v/>
      </c>
      <c r="D1061" s="46" t="str">
        <f aca="false">IF(_PENDIENTES!$B$1055&lt;&gt;"",_PENDIENTES!$D$1055,"")</f>
        <v/>
      </c>
      <c r="E1061" s="46" t="str">
        <f aca="false">IF(_PENDIENTES!$B$1055&lt;&gt;"",_PENDIENTES!$E$1055,"")</f>
        <v/>
      </c>
      <c r="F1061" s="46" t="str">
        <f aca="false">IF(_PENDIENTES!$B$1055&lt;&gt;"",_PENDIENTES!$F$1055,"")</f>
        <v/>
      </c>
      <c r="G1061" s="44" t="str">
        <f aca="false">IF(_PENDIENTES!$B$1055&lt;&gt;"",_PENDIENTES!$G$1055,"")</f>
        <v/>
      </c>
      <c r="H1061" s="44" t="str">
        <f aca="false">IF(_PENDIENTES!$B$1055&lt;&gt;"",_PENDIENTES!$H$1055,"")</f>
        <v/>
      </c>
      <c r="I1061" s="110" t="str">
        <f aca="false">IF(_PENDIENTES!$B$1055&lt;&gt;"",_PENDIENTES!$I$1055,"")</f>
        <v/>
      </c>
      <c r="J1061" s="46" t="str">
        <f aca="false">IF(_PENDIENTES!$B$1055&lt;&gt;"",_PENDIENTES!$J$1055,"")</f>
        <v/>
      </c>
      <c r="K1061" s="46" t="str">
        <f aca="false">IF(_PENDIENTES!$B$1055&lt;&gt;"","POR RECOGER","")</f>
        <v/>
      </c>
      <c r="L1061" s="46" t="str">
        <f aca="false">IF(_PENDIENTES!$B$1055&lt;&gt;"",_PENDIENTES!$K$1055,"")</f>
        <v/>
      </c>
      <c r="M1061" s="89" t="str">
        <f aca="false">IF(_PENDIENTES!$B$1055&lt;&gt;"",_PENDIENTES!$B$1055,"")</f>
        <v/>
      </c>
      <c r="N1061" s="109" t="str">
        <f aca="false">IF(_PENDIENTES!$B$1055&lt;&gt;"",_PENDIENTES!$L$1055,"")</f>
        <v/>
      </c>
      <c r="O1061" s="89"/>
    </row>
    <row r="1062" customFormat="false" ht="15.75" hidden="true" customHeight="true" outlineLevel="0" collapsed="false">
      <c r="A1062" s="106" t="str">
        <f aca="false">IF(_PENDIENTES!$B$1056&lt;&gt;"",1055,"")</f>
        <v/>
      </c>
      <c r="B1062" s="47" t="str">
        <f aca="false">IF(_PENDIENTES!$B$1056&lt;&gt;"",_PENDIENTES!$A$1056,"")</f>
        <v/>
      </c>
      <c r="C1062" s="107" t="str">
        <f aca="false">IF(_PENDIENTES!$B$1056&lt;&gt;"",_PENDIENTES!$C$1056,"")</f>
        <v/>
      </c>
      <c r="D1062" s="106" t="str">
        <f aca="false">IF(_PENDIENTES!$B$1056&lt;&gt;"",_PENDIENTES!$D$1056,"")</f>
        <v/>
      </c>
      <c r="E1062" s="106" t="str">
        <f aca="false">IF(_PENDIENTES!$B$1056&lt;&gt;"",_PENDIENTES!$E$1056,"")</f>
        <v/>
      </c>
      <c r="F1062" s="106" t="str">
        <f aca="false">IF(_PENDIENTES!$B$1056&lt;&gt;"",_PENDIENTES!$F$1056,"")</f>
        <v/>
      </c>
      <c r="G1062" s="50" t="str">
        <f aca="false">IF(_PENDIENTES!$B$1056&lt;&gt;"",_PENDIENTES!$G$1056,"")</f>
        <v/>
      </c>
      <c r="H1062" s="50" t="str">
        <f aca="false">IF(_PENDIENTES!$B$1056&lt;&gt;"",_PENDIENTES!$H$1056,"")</f>
        <v/>
      </c>
      <c r="I1062" s="107" t="str">
        <f aca="false">IF(_PENDIENTES!$B$1056&lt;&gt;"",_PENDIENTES!$I$1056,"")</f>
        <v/>
      </c>
      <c r="J1062" s="106" t="str">
        <f aca="false">IF(_PENDIENTES!$B$1056&lt;&gt;"",_PENDIENTES!$J$1056,"")</f>
        <v/>
      </c>
      <c r="K1062" s="106" t="str">
        <f aca="false">IF(_PENDIENTES!$B$1056&lt;&gt;"","POR RECOGER","")</f>
        <v/>
      </c>
      <c r="L1062" s="106" t="str">
        <f aca="false">IF(_PENDIENTES!$B$1056&lt;&gt;"",_PENDIENTES!$K$1056,"")</f>
        <v/>
      </c>
      <c r="M1062" s="89" t="str">
        <f aca="false">IF(_PENDIENTES!$B$1056&lt;&gt;"",_PENDIENTES!$B$1056,"")</f>
        <v/>
      </c>
      <c r="N1062" s="109" t="str">
        <f aca="false">IF(_PENDIENTES!$B$1056&lt;&gt;"",_PENDIENTES!$L$1056,"")</f>
        <v/>
      </c>
      <c r="O1062" s="89"/>
    </row>
    <row r="1063" customFormat="false" ht="15.75" hidden="true" customHeight="true" outlineLevel="0" collapsed="false">
      <c r="A1063" s="46" t="str">
        <f aca="false">IF(_PENDIENTES!$B$1057&lt;&gt;"",1056,"")</f>
        <v/>
      </c>
      <c r="B1063" s="41" t="str">
        <f aca="false">IF(_PENDIENTES!$B$1057&lt;&gt;"",_PENDIENTES!$A$1057,"")</f>
        <v/>
      </c>
      <c r="C1063" s="110" t="str">
        <f aca="false">IF(_PENDIENTES!$B$1057&lt;&gt;"",_PENDIENTES!$C$1057,"")</f>
        <v/>
      </c>
      <c r="D1063" s="46" t="str">
        <f aca="false">IF(_PENDIENTES!$B$1057&lt;&gt;"",_PENDIENTES!$D$1057,"")</f>
        <v/>
      </c>
      <c r="E1063" s="46" t="str">
        <f aca="false">IF(_PENDIENTES!$B$1057&lt;&gt;"",_PENDIENTES!$E$1057,"")</f>
        <v/>
      </c>
      <c r="F1063" s="46" t="str">
        <f aca="false">IF(_PENDIENTES!$B$1057&lt;&gt;"",_PENDIENTES!$F$1057,"")</f>
        <v/>
      </c>
      <c r="G1063" s="44" t="str">
        <f aca="false">IF(_PENDIENTES!$B$1057&lt;&gt;"",_PENDIENTES!$G$1057,"")</f>
        <v/>
      </c>
      <c r="H1063" s="44" t="str">
        <f aca="false">IF(_PENDIENTES!$B$1057&lt;&gt;"",_PENDIENTES!$H$1057,"")</f>
        <v/>
      </c>
      <c r="I1063" s="110" t="str">
        <f aca="false">IF(_PENDIENTES!$B$1057&lt;&gt;"",_PENDIENTES!$I$1057,"")</f>
        <v/>
      </c>
      <c r="J1063" s="46" t="str">
        <f aca="false">IF(_PENDIENTES!$B$1057&lt;&gt;"",_PENDIENTES!$J$1057,"")</f>
        <v/>
      </c>
      <c r="K1063" s="46" t="str">
        <f aca="false">IF(_PENDIENTES!$B$1057&lt;&gt;"","POR RECOGER","")</f>
        <v/>
      </c>
      <c r="L1063" s="46" t="str">
        <f aca="false">IF(_PENDIENTES!$B$1057&lt;&gt;"",_PENDIENTES!$K$1057,"")</f>
        <v/>
      </c>
      <c r="M1063" s="89" t="str">
        <f aca="false">IF(_PENDIENTES!$B$1057&lt;&gt;"",_PENDIENTES!$B$1057,"")</f>
        <v/>
      </c>
      <c r="N1063" s="109" t="str">
        <f aca="false">IF(_PENDIENTES!$B$1057&lt;&gt;"",_PENDIENTES!$L$1057,"")</f>
        <v/>
      </c>
      <c r="O1063" s="89"/>
    </row>
    <row r="1064" customFormat="false" ht="15.75" hidden="true" customHeight="true" outlineLevel="0" collapsed="false">
      <c r="A1064" s="106" t="str">
        <f aca="false">IF(_PENDIENTES!$B$1058&lt;&gt;"",1057,"")</f>
        <v/>
      </c>
      <c r="B1064" s="47" t="str">
        <f aca="false">IF(_PENDIENTES!$B$1058&lt;&gt;"",_PENDIENTES!$A$1058,"")</f>
        <v/>
      </c>
      <c r="C1064" s="107" t="str">
        <f aca="false">IF(_PENDIENTES!$B$1058&lt;&gt;"",_PENDIENTES!$C$1058,"")</f>
        <v/>
      </c>
      <c r="D1064" s="106" t="str">
        <f aca="false">IF(_PENDIENTES!$B$1058&lt;&gt;"",_PENDIENTES!$D$1058,"")</f>
        <v/>
      </c>
      <c r="E1064" s="106" t="str">
        <f aca="false">IF(_PENDIENTES!$B$1058&lt;&gt;"",_PENDIENTES!$E$1058,"")</f>
        <v/>
      </c>
      <c r="F1064" s="106" t="str">
        <f aca="false">IF(_PENDIENTES!$B$1058&lt;&gt;"",_PENDIENTES!$F$1058,"")</f>
        <v/>
      </c>
      <c r="G1064" s="50" t="str">
        <f aca="false">IF(_PENDIENTES!$B$1058&lt;&gt;"",_PENDIENTES!$G$1058,"")</f>
        <v/>
      </c>
      <c r="H1064" s="50" t="str">
        <f aca="false">IF(_PENDIENTES!$B$1058&lt;&gt;"",_PENDIENTES!$H$1058,"")</f>
        <v/>
      </c>
      <c r="I1064" s="107" t="str">
        <f aca="false">IF(_PENDIENTES!$B$1058&lt;&gt;"",_PENDIENTES!$I$1058,"")</f>
        <v/>
      </c>
      <c r="J1064" s="106" t="str">
        <f aca="false">IF(_PENDIENTES!$B$1058&lt;&gt;"",_PENDIENTES!$J$1058,"")</f>
        <v/>
      </c>
      <c r="K1064" s="106" t="str">
        <f aca="false">IF(_PENDIENTES!$B$1058&lt;&gt;"","POR RECOGER","")</f>
        <v/>
      </c>
      <c r="L1064" s="106" t="str">
        <f aca="false">IF(_PENDIENTES!$B$1058&lt;&gt;"",_PENDIENTES!$K$1058,"")</f>
        <v/>
      </c>
      <c r="M1064" s="89" t="str">
        <f aca="false">IF(_PENDIENTES!$B$1058&lt;&gt;"",_PENDIENTES!$B$1058,"")</f>
        <v/>
      </c>
      <c r="N1064" s="109" t="str">
        <f aca="false">IF(_PENDIENTES!$B$1058&lt;&gt;"",_PENDIENTES!$L$1058,"")</f>
        <v/>
      </c>
      <c r="O1064" s="89"/>
    </row>
    <row r="1065" customFormat="false" ht="15.75" hidden="true" customHeight="true" outlineLevel="0" collapsed="false">
      <c r="A1065" s="46" t="str">
        <f aca="false">IF(_PENDIENTES!$B$1059&lt;&gt;"",1058,"")</f>
        <v/>
      </c>
      <c r="B1065" s="41" t="str">
        <f aca="false">IF(_PENDIENTES!$B$1059&lt;&gt;"",_PENDIENTES!$A$1059,"")</f>
        <v/>
      </c>
      <c r="C1065" s="110" t="str">
        <f aca="false">IF(_PENDIENTES!$B$1059&lt;&gt;"",_PENDIENTES!$C$1059,"")</f>
        <v/>
      </c>
      <c r="D1065" s="46" t="str">
        <f aca="false">IF(_PENDIENTES!$B$1059&lt;&gt;"",_PENDIENTES!$D$1059,"")</f>
        <v/>
      </c>
      <c r="E1065" s="46" t="str">
        <f aca="false">IF(_PENDIENTES!$B$1059&lt;&gt;"",_PENDIENTES!$E$1059,"")</f>
        <v/>
      </c>
      <c r="F1065" s="46" t="str">
        <f aca="false">IF(_PENDIENTES!$B$1059&lt;&gt;"",_PENDIENTES!$F$1059,"")</f>
        <v/>
      </c>
      <c r="G1065" s="44" t="str">
        <f aca="false">IF(_PENDIENTES!$B$1059&lt;&gt;"",_PENDIENTES!$G$1059,"")</f>
        <v/>
      </c>
      <c r="H1065" s="44" t="str">
        <f aca="false">IF(_PENDIENTES!$B$1059&lt;&gt;"",_PENDIENTES!$H$1059,"")</f>
        <v/>
      </c>
      <c r="I1065" s="110" t="str">
        <f aca="false">IF(_PENDIENTES!$B$1059&lt;&gt;"",_PENDIENTES!$I$1059,"")</f>
        <v/>
      </c>
      <c r="J1065" s="46" t="str">
        <f aca="false">IF(_PENDIENTES!$B$1059&lt;&gt;"",_PENDIENTES!$J$1059,"")</f>
        <v/>
      </c>
      <c r="K1065" s="46" t="str">
        <f aca="false">IF(_PENDIENTES!$B$1059&lt;&gt;"","POR RECOGER","")</f>
        <v/>
      </c>
      <c r="L1065" s="46" t="str">
        <f aca="false">IF(_PENDIENTES!$B$1059&lt;&gt;"",_PENDIENTES!$K$1059,"")</f>
        <v/>
      </c>
      <c r="M1065" s="89" t="str">
        <f aca="false">IF(_PENDIENTES!$B$1059&lt;&gt;"",_PENDIENTES!$B$1059,"")</f>
        <v/>
      </c>
      <c r="N1065" s="109" t="str">
        <f aca="false">IF(_PENDIENTES!$B$1059&lt;&gt;"",_PENDIENTES!$L$1059,"")</f>
        <v/>
      </c>
      <c r="O1065" s="89"/>
    </row>
    <row r="1066" customFormat="false" ht="15.75" hidden="true" customHeight="true" outlineLevel="0" collapsed="false">
      <c r="A1066" s="106" t="str">
        <f aca="false">IF(_PENDIENTES!$B$1060&lt;&gt;"",1059,"")</f>
        <v/>
      </c>
      <c r="B1066" s="47" t="str">
        <f aca="false">IF(_PENDIENTES!$B$1060&lt;&gt;"",_PENDIENTES!$A$1060,"")</f>
        <v/>
      </c>
      <c r="C1066" s="107" t="str">
        <f aca="false">IF(_PENDIENTES!$B$1060&lt;&gt;"",_PENDIENTES!$C$1060,"")</f>
        <v/>
      </c>
      <c r="D1066" s="106" t="str">
        <f aca="false">IF(_PENDIENTES!$B$1060&lt;&gt;"",_PENDIENTES!$D$1060,"")</f>
        <v/>
      </c>
      <c r="E1066" s="106" t="str">
        <f aca="false">IF(_PENDIENTES!$B$1060&lt;&gt;"",_PENDIENTES!$E$1060,"")</f>
        <v/>
      </c>
      <c r="F1066" s="106" t="str">
        <f aca="false">IF(_PENDIENTES!$B$1060&lt;&gt;"",_PENDIENTES!$F$1060,"")</f>
        <v/>
      </c>
      <c r="G1066" s="50" t="str">
        <f aca="false">IF(_PENDIENTES!$B$1060&lt;&gt;"",_PENDIENTES!$G$1060,"")</f>
        <v/>
      </c>
      <c r="H1066" s="50" t="str">
        <f aca="false">IF(_PENDIENTES!$B$1060&lt;&gt;"",_PENDIENTES!$H$1060,"")</f>
        <v/>
      </c>
      <c r="I1066" s="107" t="str">
        <f aca="false">IF(_PENDIENTES!$B$1060&lt;&gt;"",_PENDIENTES!$I$1060,"")</f>
        <v/>
      </c>
      <c r="J1066" s="106" t="str">
        <f aca="false">IF(_PENDIENTES!$B$1060&lt;&gt;"",_PENDIENTES!$J$1060,"")</f>
        <v/>
      </c>
      <c r="K1066" s="106" t="str">
        <f aca="false">IF(_PENDIENTES!$B$1060&lt;&gt;"","POR RECOGER","")</f>
        <v/>
      </c>
      <c r="L1066" s="106" t="str">
        <f aca="false">IF(_PENDIENTES!$B$1060&lt;&gt;"",_PENDIENTES!$K$1060,"")</f>
        <v/>
      </c>
      <c r="M1066" s="89" t="str">
        <f aca="false">IF(_PENDIENTES!$B$1060&lt;&gt;"",_PENDIENTES!$B$1060,"")</f>
        <v/>
      </c>
      <c r="N1066" s="109" t="str">
        <f aca="false">IF(_PENDIENTES!$B$1060&lt;&gt;"",_PENDIENTES!$L$1060,"")</f>
        <v/>
      </c>
      <c r="O1066" s="89"/>
    </row>
    <row r="1067" customFormat="false" ht="15.75" hidden="true" customHeight="true" outlineLevel="0" collapsed="false">
      <c r="A1067" s="46" t="str">
        <f aca="false">IF(_PENDIENTES!$B$1061&lt;&gt;"",1060,"")</f>
        <v/>
      </c>
      <c r="B1067" s="41" t="str">
        <f aca="false">IF(_PENDIENTES!$B$1061&lt;&gt;"",_PENDIENTES!$A$1061,"")</f>
        <v/>
      </c>
      <c r="C1067" s="110" t="str">
        <f aca="false">IF(_PENDIENTES!$B$1061&lt;&gt;"",_PENDIENTES!$C$1061,"")</f>
        <v/>
      </c>
      <c r="D1067" s="46" t="str">
        <f aca="false">IF(_PENDIENTES!$B$1061&lt;&gt;"",_PENDIENTES!$D$1061,"")</f>
        <v/>
      </c>
      <c r="E1067" s="46" t="str">
        <f aca="false">IF(_PENDIENTES!$B$1061&lt;&gt;"",_PENDIENTES!$E$1061,"")</f>
        <v/>
      </c>
      <c r="F1067" s="46" t="str">
        <f aca="false">IF(_PENDIENTES!$B$1061&lt;&gt;"",_PENDIENTES!$F$1061,"")</f>
        <v/>
      </c>
      <c r="G1067" s="44" t="str">
        <f aca="false">IF(_PENDIENTES!$B$1061&lt;&gt;"",_PENDIENTES!$G$1061,"")</f>
        <v/>
      </c>
      <c r="H1067" s="44" t="str">
        <f aca="false">IF(_PENDIENTES!$B$1061&lt;&gt;"",_PENDIENTES!$H$1061,"")</f>
        <v/>
      </c>
      <c r="I1067" s="110" t="str">
        <f aca="false">IF(_PENDIENTES!$B$1061&lt;&gt;"",_PENDIENTES!$I$1061,"")</f>
        <v/>
      </c>
      <c r="J1067" s="46" t="str">
        <f aca="false">IF(_PENDIENTES!$B$1061&lt;&gt;"",_PENDIENTES!$J$1061,"")</f>
        <v/>
      </c>
      <c r="K1067" s="46" t="str">
        <f aca="false">IF(_PENDIENTES!$B$1061&lt;&gt;"","POR RECOGER","")</f>
        <v/>
      </c>
      <c r="L1067" s="46" t="str">
        <f aca="false">IF(_PENDIENTES!$B$1061&lt;&gt;"",_PENDIENTES!$K$1061,"")</f>
        <v/>
      </c>
      <c r="M1067" s="89" t="str">
        <f aca="false">IF(_PENDIENTES!$B$1061&lt;&gt;"",_PENDIENTES!$B$1061,"")</f>
        <v/>
      </c>
      <c r="N1067" s="109" t="str">
        <f aca="false">IF(_PENDIENTES!$B$1061&lt;&gt;"",_PENDIENTES!$L$1061,"")</f>
        <v/>
      </c>
      <c r="O1067" s="89"/>
    </row>
    <row r="1068" customFormat="false" ht="15.75" hidden="true" customHeight="true" outlineLevel="0" collapsed="false">
      <c r="A1068" s="106" t="str">
        <f aca="false">IF(_PENDIENTES!$B$1062&lt;&gt;"",1061,"")</f>
        <v/>
      </c>
      <c r="B1068" s="47" t="str">
        <f aca="false">IF(_PENDIENTES!$B$1062&lt;&gt;"",_PENDIENTES!$A$1062,"")</f>
        <v/>
      </c>
      <c r="C1068" s="107" t="str">
        <f aca="false">IF(_PENDIENTES!$B$1062&lt;&gt;"",_PENDIENTES!$C$1062,"")</f>
        <v/>
      </c>
      <c r="D1068" s="106" t="str">
        <f aca="false">IF(_PENDIENTES!$B$1062&lt;&gt;"",_PENDIENTES!$D$1062,"")</f>
        <v/>
      </c>
      <c r="E1068" s="106" t="str">
        <f aca="false">IF(_PENDIENTES!$B$1062&lt;&gt;"",_PENDIENTES!$E$1062,"")</f>
        <v/>
      </c>
      <c r="F1068" s="106" t="str">
        <f aca="false">IF(_PENDIENTES!$B$1062&lt;&gt;"",_PENDIENTES!$F$1062,"")</f>
        <v/>
      </c>
      <c r="G1068" s="50" t="str">
        <f aca="false">IF(_PENDIENTES!$B$1062&lt;&gt;"",_PENDIENTES!$G$1062,"")</f>
        <v/>
      </c>
      <c r="H1068" s="50" t="str">
        <f aca="false">IF(_PENDIENTES!$B$1062&lt;&gt;"",_PENDIENTES!$H$1062,"")</f>
        <v/>
      </c>
      <c r="I1068" s="107" t="str">
        <f aca="false">IF(_PENDIENTES!$B$1062&lt;&gt;"",_PENDIENTES!$I$1062,"")</f>
        <v/>
      </c>
      <c r="J1068" s="106" t="str">
        <f aca="false">IF(_PENDIENTES!$B$1062&lt;&gt;"",_PENDIENTES!$J$1062,"")</f>
        <v/>
      </c>
      <c r="K1068" s="106" t="str">
        <f aca="false">IF(_PENDIENTES!$B$1062&lt;&gt;"","POR RECOGER","")</f>
        <v/>
      </c>
      <c r="L1068" s="106" t="str">
        <f aca="false">IF(_PENDIENTES!$B$1062&lt;&gt;"",_PENDIENTES!$K$1062,"")</f>
        <v/>
      </c>
      <c r="M1068" s="89" t="str">
        <f aca="false">IF(_PENDIENTES!$B$1062&lt;&gt;"",_PENDIENTES!$B$1062,"")</f>
        <v/>
      </c>
      <c r="N1068" s="109" t="str">
        <f aca="false">IF(_PENDIENTES!$B$1062&lt;&gt;"",_PENDIENTES!$L$1062,"")</f>
        <v/>
      </c>
      <c r="O1068" s="89"/>
    </row>
    <row r="1069" customFormat="false" ht="15.75" hidden="true" customHeight="true" outlineLevel="0" collapsed="false">
      <c r="A1069" s="46" t="str">
        <f aca="false">IF(_PENDIENTES!$B$1063&lt;&gt;"",1062,"")</f>
        <v/>
      </c>
      <c r="B1069" s="41" t="str">
        <f aca="false">IF(_PENDIENTES!$B$1063&lt;&gt;"",_PENDIENTES!$A$1063,"")</f>
        <v/>
      </c>
      <c r="C1069" s="110" t="str">
        <f aca="false">IF(_PENDIENTES!$B$1063&lt;&gt;"",_PENDIENTES!$C$1063,"")</f>
        <v/>
      </c>
      <c r="D1069" s="46" t="str">
        <f aca="false">IF(_PENDIENTES!$B$1063&lt;&gt;"",_PENDIENTES!$D$1063,"")</f>
        <v/>
      </c>
      <c r="E1069" s="46" t="str">
        <f aca="false">IF(_PENDIENTES!$B$1063&lt;&gt;"",_PENDIENTES!$E$1063,"")</f>
        <v/>
      </c>
      <c r="F1069" s="46" t="str">
        <f aca="false">IF(_PENDIENTES!$B$1063&lt;&gt;"",_PENDIENTES!$F$1063,"")</f>
        <v/>
      </c>
      <c r="G1069" s="44" t="str">
        <f aca="false">IF(_PENDIENTES!$B$1063&lt;&gt;"",_PENDIENTES!$G$1063,"")</f>
        <v/>
      </c>
      <c r="H1069" s="44" t="str">
        <f aca="false">IF(_PENDIENTES!$B$1063&lt;&gt;"",_PENDIENTES!$H$1063,"")</f>
        <v/>
      </c>
      <c r="I1069" s="110" t="str">
        <f aca="false">IF(_PENDIENTES!$B$1063&lt;&gt;"",_PENDIENTES!$I$1063,"")</f>
        <v/>
      </c>
      <c r="J1069" s="46" t="str">
        <f aca="false">IF(_PENDIENTES!$B$1063&lt;&gt;"",_PENDIENTES!$J$1063,"")</f>
        <v/>
      </c>
      <c r="K1069" s="46" t="str">
        <f aca="false">IF(_PENDIENTES!$B$1063&lt;&gt;"","POR RECOGER","")</f>
        <v/>
      </c>
      <c r="L1069" s="46" t="str">
        <f aca="false">IF(_PENDIENTES!$B$1063&lt;&gt;"",_PENDIENTES!$K$1063,"")</f>
        <v/>
      </c>
      <c r="M1069" s="89" t="str">
        <f aca="false">IF(_PENDIENTES!$B$1063&lt;&gt;"",_PENDIENTES!$B$1063,"")</f>
        <v/>
      </c>
      <c r="N1069" s="109" t="str">
        <f aca="false">IF(_PENDIENTES!$B$1063&lt;&gt;"",_PENDIENTES!$L$1063,"")</f>
        <v/>
      </c>
      <c r="O1069" s="89"/>
    </row>
    <row r="1070" customFormat="false" ht="15.75" hidden="true" customHeight="true" outlineLevel="0" collapsed="false">
      <c r="A1070" s="106" t="str">
        <f aca="false">IF(_PENDIENTES!$B$1064&lt;&gt;"",1063,"")</f>
        <v/>
      </c>
      <c r="B1070" s="47" t="str">
        <f aca="false">IF(_PENDIENTES!$B$1064&lt;&gt;"",_PENDIENTES!$A$1064,"")</f>
        <v/>
      </c>
      <c r="C1070" s="107" t="str">
        <f aca="false">IF(_PENDIENTES!$B$1064&lt;&gt;"",_PENDIENTES!$C$1064,"")</f>
        <v/>
      </c>
      <c r="D1070" s="106" t="str">
        <f aca="false">IF(_PENDIENTES!$B$1064&lt;&gt;"",_PENDIENTES!$D$1064,"")</f>
        <v/>
      </c>
      <c r="E1070" s="106" t="str">
        <f aca="false">IF(_PENDIENTES!$B$1064&lt;&gt;"",_PENDIENTES!$E$1064,"")</f>
        <v/>
      </c>
      <c r="F1070" s="106" t="str">
        <f aca="false">IF(_PENDIENTES!$B$1064&lt;&gt;"",_PENDIENTES!$F$1064,"")</f>
        <v/>
      </c>
      <c r="G1070" s="50" t="str">
        <f aca="false">IF(_PENDIENTES!$B$1064&lt;&gt;"",_PENDIENTES!$G$1064,"")</f>
        <v/>
      </c>
      <c r="H1070" s="50" t="str">
        <f aca="false">IF(_PENDIENTES!$B$1064&lt;&gt;"",_PENDIENTES!$H$1064,"")</f>
        <v/>
      </c>
      <c r="I1070" s="107" t="str">
        <f aca="false">IF(_PENDIENTES!$B$1064&lt;&gt;"",_PENDIENTES!$I$1064,"")</f>
        <v/>
      </c>
      <c r="J1070" s="106" t="str">
        <f aca="false">IF(_PENDIENTES!$B$1064&lt;&gt;"",_PENDIENTES!$J$1064,"")</f>
        <v/>
      </c>
      <c r="K1070" s="106" t="str">
        <f aca="false">IF(_PENDIENTES!$B$1064&lt;&gt;"","POR RECOGER","")</f>
        <v/>
      </c>
      <c r="L1070" s="106" t="str">
        <f aca="false">IF(_PENDIENTES!$B$1064&lt;&gt;"",_PENDIENTES!$K$1064,"")</f>
        <v/>
      </c>
      <c r="M1070" s="89" t="str">
        <f aca="false">IF(_PENDIENTES!$B$1064&lt;&gt;"",_PENDIENTES!$B$1064,"")</f>
        <v/>
      </c>
      <c r="N1070" s="109" t="str">
        <f aca="false">IF(_PENDIENTES!$B$1064&lt;&gt;"",_PENDIENTES!$L$1064,"")</f>
        <v/>
      </c>
      <c r="O1070" s="89"/>
    </row>
    <row r="1071" customFormat="false" ht="15.75" hidden="true" customHeight="true" outlineLevel="0" collapsed="false">
      <c r="A1071" s="46" t="str">
        <f aca="false">IF(_PENDIENTES!$B$1065&lt;&gt;"",1064,"")</f>
        <v/>
      </c>
      <c r="B1071" s="41" t="str">
        <f aca="false">IF(_PENDIENTES!$B$1065&lt;&gt;"",_PENDIENTES!$A$1065,"")</f>
        <v/>
      </c>
      <c r="C1071" s="110" t="str">
        <f aca="false">IF(_PENDIENTES!$B$1065&lt;&gt;"",_PENDIENTES!$C$1065,"")</f>
        <v/>
      </c>
      <c r="D1071" s="46" t="str">
        <f aca="false">IF(_PENDIENTES!$B$1065&lt;&gt;"",_PENDIENTES!$D$1065,"")</f>
        <v/>
      </c>
      <c r="E1071" s="46" t="str">
        <f aca="false">IF(_PENDIENTES!$B$1065&lt;&gt;"",_PENDIENTES!$E$1065,"")</f>
        <v/>
      </c>
      <c r="F1071" s="46" t="str">
        <f aca="false">IF(_PENDIENTES!$B$1065&lt;&gt;"",_PENDIENTES!$F$1065,"")</f>
        <v/>
      </c>
      <c r="G1071" s="44" t="str">
        <f aca="false">IF(_PENDIENTES!$B$1065&lt;&gt;"",_PENDIENTES!$G$1065,"")</f>
        <v/>
      </c>
      <c r="H1071" s="44" t="str">
        <f aca="false">IF(_PENDIENTES!$B$1065&lt;&gt;"",_PENDIENTES!$H$1065,"")</f>
        <v/>
      </c>
      <c r="I1071" s="110" t="str">
        <f aca="false">IF(_PENDIENTES!$B$1065&lt;&gt;"",_PENDIENTES!$I$1065,"")</f>
        <v/>
      </c>
      <c r="J1071" s="46" t="str">
        <f aca="false">IF(_PENDIENTES!$B$1065&lt;&gt;"",_PENDIENTES!$J$1065,"")</f>
        <v/>
      </c>
      <c r="K1071" s="46" t="str">
        <f aca="false">IF(_PENDIENTES!$B$1065&lt;&gt;"","POR RECOGER","")</f>
        <v/>
      </c>
      <c r="L1071" s="46" t="str">
        <f aca="false">IF(_PENDIENTES!$B$1065&lt;&gt;"",_PENDIENTES!$K$1065,"")</f>
        <v/>
      </c>
      <c r="M1071" s="89" t="str">
        <f aca="false">IF(_PENDIENTES!$B$1065&lt;&gt;"",_PENDIENTES!$B$1065,"")</f>
        <v/>
      </c>
      <c r="N1071" s="109" t="str">
        <f aca="false">IF(_PENDIENTES!$B$1065&lt;&gt;"",_PENDIENTES!$L$1065,"")</f>
        <v/>
      </c>
      <c r="O1071" s="89"/>
    </row>
    <row r="1072" customFormat="false" ht="15.75" hidden="true" customHeight="true" outlineLevel="0" collapsed="false">
      <c r="A1072" s="106" t="str">
        <f aca="false">IF(_PENDIENTES!$B$1066&lt;&gt;"",1065,"")</f>
        <v/>
      </c>
      <c r="B1072" s="47" t="str">
        <f aca="false">IF(_PENDIENTES!$B$1066&lt;&gt;"",_PENDIENTES!$A$1066,"")</f>
        <v/>
      </c>
      <c r="C1072" s="107" t="str">
        <f aca="false">IF(_PENDIENTES!$B$1066&lt;&gt;"",_PENDIENTES!$C$1066,"")</f>
        <v/>
      </c>
      <c r="D1072" s="106" t="str">
        <f aca="false">IF(_PENDIENTES!$B$1066&lt;&gt;"",_PENDIENTES!$D$1066,"")</f>
        <v/>
      </c>
      <c r="E1072" s="106" t="str">
        <f aca="false">IF(_PENDIENTES!$B$1066&lt;&gt;"",_PENDIENTES!$E$1066,"")</f>
        <v/>
      </c>
      <c r="F1072" s="106" t="str">
        <f aca="false">IF(_PENDIENTES!$B$1066&lt;&gt;"",_PENDIENTES!$F$1066,"")</f>
        <v/>
      </c>
      <c r="G1072" s="50" t="str">
        <f aca="false">IF(_PENDIENTES!$B$1066&lt;&gt;"",_PENDIENTES!$G$1066,"")</f>
        <v/>
      </c>
      <c r="H1072" s="50" t="str">
        <f aca="false">IF(_PENDIENTES!$B$1066&lt;&gt;"",_PENDIENTES!$H$1066,"")</f>
        <v/>
      </c>
      <c r="I1072" s="107" t="str">
        <f aca="false">IF(_PENDIENTES!$B$1066&lt;&gt;"",_PENDIENTES!$I$1066,"")</f>
        <v/>
      </c>
      <c r="J1072" s="106" t="str">
        <f aca="false">IF(_PENDIENTES!$B$1066&lt;&gt;"",_PENDIENTES!$J$1066,"")</f>
        <v/>
      </c>
      <c r="K1072" s="106" t="str">
        <f aca="false">IF(_PENDIENTES!$B$1066&lt;&gt;"","POR RECOGER","")</f>
        <v/>
      </c>
      <c r="L1072" s="106" t="str">
        <f aca="false">IF(_PENDIENTES!$B$1066&lt;&gt;"",_PENDIENTES!$K$1066,"")</f>
        <v/>
      </c>
      <c r="M1072" s="89" t="str">
        <f aca="false">IF(_PENDIENTES!$B$1066&lt;&gt;"",_PENDIENTES!$B$1066,"")</f>
        <v/>
      </c>
      <c r="N1072" s="109" t="str">
        <f aca="false">IF(_PENDIENTES!$B$1066&lt;&gt;"",_PENDIENTES!$L$1066,"")</f>
        <v/>
      </c>
      <c r="O1072" s="89"/>
    </row>
    <row r="1073" customFormat="false" ht="15.75" hidden="true" customHeight="true" outlineLevel="0" collapsed="false">
      <c r="A1073" s="46" t="str">
        <f aca="false">IF(_PENDIENTES!$B$1067&lt;&gt;"",1066,"")</f>
        <v/>
      </c>
      <c r="B1073" s="41" t="str">
        <f aca="false">IF(_PENDIENTES!$B$1067&lt;&gt;"",_PENDIENTES!$A$1067,"")</f>
        <v/>
      </c>
      <c r="C1073" s="110" t="str">
        <f aca="false">IF(_PENDIENTES!$B$1067&lt;&gt;"",_PENDIENTES!$C$1067,"")</f>
        <v/>
      </c>
      <c r="D1073" s="46" t="str">
        <f aca="false">IF(_PENDIENTES!$B$1067&lt;&gt;"",_PENDIENTES!$D$1067,"")</f>
        <v/>
      </c>
      <c r="E1073" s="46" t="str">
        <f aca="false">IF(_PENDIENTES!$B$1067&lt;&gt;"",_PENDIENTES!$E$1067,"")</f>
        <v/>
      </c>
      <c r="F1073" s="46" t="str">
        <f aca="false">IF(_PENDIENTES!$B$1067&lt;&gt;"",_PENDIENTES!$F$1067,"")</f>
        <v/>
      </c>
      <c r="G1073" s="44" t="str">
        <f aca="false">IF(_PENDIENTES!$B$1067&lt;&gt;"",_PENDIENTES!$G$1067,"")</f>
        <v/>
      </c>
      <c r="H1073" s="44" t="str">
        <f aca="false">IF(_PENDIENTES!$B$1067&lt;&gt;"",_PENDIENTES!$H$1067,"")</f>
        <v/>
      </c>
      <c r="I1073" s="110" t="str">
        <f aca="false">IF(_PENDIENTES!$B$1067&lt;&gt;"",_PENDIENTES!$I$1067,"")</f>
        <v/>
      </c>
      <c r="J1073" s="46" t="str">
        <f aca="false">IF(_PENDIENTES!$B$1067&lt;&gt;"",_PENDIENTES!$J$1067,"")</f>
        <v/>
      </c>
      <c r="K1073" s="46" t="str">
        <f aca="false">IF(_PENDIENTES!$B$1067&lt;&gt;"","POR RECOGER","")</f>
        <v/>
      </c>
      <c r="L1073" s="46" t="str">
        <f aca="false">IF(_PENDIENTES!$B$1067&lt;&gt;"",_PENDIENTES!$K$1067,"")</f>
        <v/>
      </c>
      <c r="M1073" s="89" t="str">
        <f aca="false">IF(_PENDIENTES!$B$1067&lt;&gt;"",_PENDIENTES!$B$1067,"")</f>
        <v/>
      </c>
      <c r="N1073" s="109" t="str">
        <f aca="false">IF(_PENDIENTES!$B$1067&lt;&gt;"",_PENDIENTES!$L$1067,"")</f>
        <v/>
      </c>
      <c r="O1073" s="89"/>
    </row>
    <row r="1074" customFormat="false" ht="15.75" hidden="true" customHeight="true" outlineLevel="0" collapsed="false">
      <c r="A1074" s="106" t="str">
        <f aca="false">IF(_PENDIENTES!$B$1068&lt;&gt;"",1067,"")</f>
        <v/>
      </c>
      <c r="B1074" s="47" t="str">
        <f aca="false">IF(_PENDIENTES!$B$1068&lt;&gt;"",_PENDIENTES!$A$1068,"")</f>
        <v/>
      </c>
      <c r="C1074" s="107" t="str">
        <f aca="false">IF(_PENDIENTES!$B$1068&lt;&gt;"",_PENDIENTES!$C$1068,"")</f>
        <v/>
      </c>
      <c r="D1074" s="106" t="str">
        <f aca="false">IF(_PENDIENTES!$B$1068&lt;&gt;"",_PENDIENTES!$D$1068,"")</f>
        <v/>
      </c>
      <c r="E1074" s="106" t="str">
        <f aca="false">IF(_PENDIENTES!$B$1068&lt;&gt;"",_PENDIENTES!$E$1068,"")</f>
        <v/>
      </c>
      <c r="F1074" s="106" t="str">
        <f aca="false">IF(_PENDIENTES!$B$1068&lt;&gt;"",_PENDIENTES!$F$1068,"")</f>
        <v/>
      </c>
      <c r="G1074" s="50" t="str">
        <f aca="false">IF(_PENDIENTES!$B$1068&lt;&gt;"",_PENDIENTES!$G$1068,"")</f>
        <v/>
      </c>
      <c r="H1074" s="50" t="str">
        <f aca="false">IF(_PENDIENTES!$B$1068&lt;&gt;"",_PENDIENTES!$H$1068,"")</f>
        <v/>
      </c>
      <c r="I1074" s="107" t="str">
        <f aca="false">IF(_PENDIENTES!$B$1068&lt;&gt;"",_PENDIENTES!$I$1068,"")</f>
        <v/>
      </c>
      <c r="J1074" s="106" t="str">
        <f aca="false">IF(_PENDIENTES!$B$1068&lt;&gt;"",_PENDIENTES!$J$1068,"")</f>
        <v/>
      </c>
      <c r="K1074" s="106" t="str">
        <f aca="false">IF(_PENDIENTES!$B$1068&lt;&gt;"","POR RECOGER","")</f>
        <v/>
      </c>
      <c r="L1074" s="106" t="str">
        <f aca="false">IF(_PENDIENTES!$B$1068&lt;&gt;"",_PENDIENTES!$K$1068,"")</f>
        <v/>
      </c>
      <c r="M1074" s="89" t="str">
        <f aca="false">IF(_PENDIENTES!$B$1068&lt;&gt;"",_PENDIENTES!$B$1068,"")</f>
        <v/>
      </c>
      <c r="N1074" s="109" t="str">
        <f aca="false">IF(_PENDIENTES!$B$1068&lt;&gt;"",_PENDIENTES!$L$1068,"")</f>
        <v/>
      </c>
      <c r="O1074" s="89"/>
    </row>
    <row r="1075" customFormat="false" ht="15.75" hidden="true" customHeight="true" outlineLevel="0" collapsed="false">
      <c r="A1075" s="46" t="str">
        <f aca="false">IF(_PENDIENTES!$B$1069&lt;&gt;"",1068,"")</f>
        <v/>
      </c>
      <c r="B1075" s="41" t="str">
        <f aca="false">IF(_PENDIENTES!$B$1069&lt;&gt;"",_PENDIENTES!$A$1069,"")</f>
        <v/>
      </c>
      <c r="C1075" s="110" t="str">
        <f aca="false">IF(_PENDIENTES!$B$1069&lt;&gt;"",_PENDIENTES!$C$1069,"")</f>
        <v/>
      </c>
      <c r="D1075" s="46" t="str">
        <f aca="false">IF(_PENDIENTES!$B$1069&lt;&gt;"",_PENDIENTES!$D$1069,"")</f>
        <v/>
      </c>
      <c r="E1075" s="46" t="str">
        <f aca="false">IF(_PENDIENTES!$B$1069&lt;&gt;"",_PENDIENTES!$E$1069,"")</f>
        <v/>
      </c>
      <c r="F1075" s="46" t="str">
        <f aca="false">IF(_PENDIENTES!$B$1069&lt;&gt;"",_PENDIENTES!$F$1069,"")</f>
        <v/>
      </c>
      <c r="G1075" s="44" t="str">
        <f aca="false">IF(_PENDIENTES!$B$1069&lt;&gt;"",_PENDIENTES!$G$1069,"")</f>
        <v/>
      </c>
      <c r="H1075" s="44" t="str">
        <f aca="false">IF(_PENDIENTES!$B$1069&lt;&gt;"",_PENDIENTES!$H$1069,"")</f>
        <v/>
      </c>
      <c r="I1075" s="110" t="str">
        <f aca="false">IF(_PENDIENTES!$B$1069&lt;&gt;"",_PENDIENTES!$I$1069,"")</f>
        <v/>
      </c>
      <c r="J1075" s="46" t="str">
        <f aca="false">IF(_PENDIENTES!$B$1069&lt;&gt;"",_PENDIENTES!$J$1069,"")</f>
        <v/>
      </c>
      <c r="K1075" s="46" t="str">
        <f aca="false">IF(_PENDIENTES!$B$1069&lt;&gt;"","POR RECOGER","")</f>
        <v/>
      </c>
      <c r="L1075" s="46" t="str">
        <f aca="false">IF(_PENDIENTES!$B$1069&lt;&gt;"",_PENDIENTES!$K$1069,"")</f>
        <v/>
      </c>
      <c r="M1075" s="89" t="str">
        <f aca="false">IF(_PENDIENTES!$B$1069&lt;&gt;"",_PENDIENTES!$B$1069,"")</f>
        <v/>
      </c>
      <c r="N1075" s="109" t="str">
        <f aca="false">IF(_PENDIENTES!$B$1069&lt;&gt;"",_PENDIENTES!$L$1069,"")</f>
        <v/>
      </c>
      <c r="O1075" s="89"/>
    </row>
    <row r="1076" customFormat="false" ht="15.75" hidden="true" customHeight="true" outlineLevel="0" collapsed="false">
      <c r="A1076" s="106" t="str">
        <f aca="false">IF(_PENDIENTES!$B$1070&lt;&gt;"",1069,"")</f>
        <v/>
      </c>
      <c r="B1076" s="47" t="str">
        <f aca="false">IF(_PENDIENTES!$B$1070&lt;&gt;"",_PENDIENTES!$A$1070,"")</f>
        <v/>
      </c>
      <c r="C1076" s="107" t="str">
        <f aca="false">IF(_PENDIENTES!$B$1070&lt;&gt;"",_PENDIENTES!$C$1070,"")</f>
        <v/>
      </c>
      <c r="D1076" s="106" t="str">
        <f aca="false">IF(_PENDIENTES!$B$1070&lt;&gt;"",_PENDIENTES!$D$1070,"")</f>
        <v/>
      </c>
      <c r="E1076" s="106" t="str">
        <f aca="false">IF(_PENDIENTES!$B$1070&lt;&gt;"",_PENDIENTES!$E$1070,"")</f>
        <v/>
      </c>
      <c r="F1076" s="106" t="str">
        <f aca="false">IF(_PENDIENTES!$B$1070&lt;&gt;"",_PENDIENTES!$F$1070,"")</f>
        <v/>
      </c>
      <c r="G1076" s="50" t="str">
        <f aca="false">IF(_PENDIENTES!$B$1070&lt;&gt;"",_PENDIENTES!$G$1070,"")</f>
        <v/>
      </c>
      <c r="H1076" s="50" t="str">
        <f aca="false">IF(_PENDIENTES!$B$1070&lt;&gt;"",_PENDIENTES!$H$1070,"")</f>
        <v/>
      </c>
      <c r="I1076" s="107" t="str">
        <f aca="false">IF(_PENDIENTES!$B$1070&lt;&gt;"",_PENDIENTES!$I$1070,"")</f>
        <v/>
      </c>
      <c r="J1076" s="106" t="str">
        <f aca="false">IF(_PENDIENTES!$B$1070&lt;&gt;"",_PENDIENTES!$J$1070,"")</f>
        <v/>
      </c>
      <c r="K1076" s="106" t="str">
        <f aca="false">IF(_PENDIENTES!$B$1070&lt;&gt;"","POR RECOGER","")</f>
        <v/>
      </c>
      <c r="L1076" s="106" t="str">
        <f aca="false">IF(_PENDIENTES!$B$1070&lt;&gt;"",_PENDIENTES!$K$1070,"")</f>
        <v/>
      </c>
      <c r="M1076" s="89" t="str">
        <f aca="false">IF(_PENDIENTES!$B$1070&lt;&gt;"",_PENDIENTES!$B$1070,"")</f>
        <v/>
      </c>
      <c r="N1076" s="109" t="str">
        <f aca="false">IF(_PENDIENTES!$B$1070&lt;&gt;"",_PENDIENTES!$L$1070,"")</f>
        <v/>
      </c>
      <c r="O1076" s="89"/>
    </row>
    <row r="1077" customFormat="false" ht="15.75" hidden="true" customHeight="true" outlineLevel="0" collapsed="false">
      <c r="A1077" s="46" t="str">
        <f aca="false">IF(_PENDIENTES!$B$1071&lt;&gt;"",1070,"")</f>
        <v/>
      </c>
      <c r="B1077" s="41" t="str">
        <f aca="false">IF(_PENDIENTES!$B$1071&lt;&gt;"",_PENDIENTES!$A$1071,"")</f>
        <v/>
      </c>
      <c r="C1077" s="110" t="str">
        <f aca="false">IF(_PENDIENTES!$B$1071&lt;&gt;"",_PENDIENTES!$C$1071,"")</f>
        <v/>
      </c>
      <c r="D1077" s="46" t="str">
        <f aca="false">IF(_PENDIENTES!$B$1071&lt;&gt;"",_PENDIENTES!$D$1071,"")</f>
        <v/>
      </c>
      <c r="E1077" s="46" t="str">
        <f aca="false">IF(_PENDIENTES!$B$1071&lt;&gt;"",_PENDIENTES!$E$1071,"")</f>
        <v/>
      </c>
      <c r="F1077" s="46" t="str">
        <f aca="false">IF(_PENDIENTES!$B$1071&lt;&gt;"",_PENDIENTES!$F$1071,"")</f>
        <v/>
      </c>
      <c r="G1077" s="44" t="str">
        <f aca="false">IF(_PENDIENTES!$B$1071&lt;&gt;"",_PENDIENTES!$G$1071,"")</f>
        <v/>
      </c>
      <c r="H1077" s="44" t="str">
        <f aca="false">IF(_PENDIENTES!$B$1071&lt;&gt;"",_PENDIENTES!$H$1071,"")</f>
        <v/>
      </c>
      <c r="I1077" s="110" t="str">
        <f aca="false">IF(_PENDIENTES!$B$1071&lt;&gt;"",_PENDIENTES!$I$1071,"")</f>
        <v/>
      </c>
      <c r="J1077" s="46" t="str">
        <f aca="false">IF(_PENDIENTES!$B$1071&lt;&gt;"",_PENDIENTES!$J$1071,"")</f>
        <v/>
      </c>
      <c r="K1077" s="46" t="str">
        <f aca="false">IF(_PENDIENTES!$B$1071&lt;&gt;"","POR RECOGER","")</f>
        <v/>
      </c>
      <c r="L1077" s="46" t="str">
        <f aca="false">IF(_PENDIENTES!$B$1071&lt;&gt;"",_PENDIENTES!$K$1071,"")</f>
        <v/>
      </c>
      <c r="M1077" s="89" t="str">
        <f aca="false">IF(_PENDIENTES!$B$1071&lt;&gt;"",_PENDIENTES!$B$1071,"")</f>
        <v/>
      </c>
      <c r="N1077" s="109" t="str">
        <f aca="false">IF(_PENDIENTES!$B$1071&lt;&gt;"",_PENDIENTES!$L$1071,"")</f>
        <v/>
      </c>
      <c r="O1077" s="89"/>
    </row>
    <row r="1078" customFormat="false" ht="15.75" hidden="true" customHeight="true" outlineLevel="0" collapsed="false">
      <c r="A1078" s="106" t="str">
        <f aca="false">IF(_PENDIENTES!$B$1072&lt;&gt;"",1071,"")</f>
        <v/>
      </c>
      <c r="B1078" s="47" t="str">
        <f aca="false">IF(_PENDIENTES!$B$1072&lt;&gt;"",_PENDIENTES!$A$1072,"")</f>
        <v/>
      </c>
      <c r="C1078" s="107" t="str">
        <f aca="false">IF(_PENDIENTES!$B$1072&lt;&gt;"",_PENDIENTES!$C$1072,"")</f>
        <v/>
      </c>
      <c r="D1078" s="106" t="str">
        <f aca="false">IF(_PENDIENTES!$B$1072&lt;&gt;"",_PENDIENTES!$D$1072,"")</f>
        <v/>
      </c>
      <c r="E1078" s="106" t="str">
        <f aca="false">IF(_PENDIENTES!$B$1072&lt;&gt;"",_PENDIENTES!$E$1072,"")</f>
        <v/>
      </c>
      <c r="F1078" s="106" t="str">
        <f aca="false">IF(_PENDIENTES!$B$1072&lt;&gt;"",_PENDIENTES!$F$1072,"")</f>
        <v/>
      </c>
      <c r="G1078" s="50" t="str">
        <f aca="false">IF(_PENDIENTES!$B$1072&lt;&gt;"",_PENDIENTES!$G$1072,"")</f>
        <v/>
      </c>
      <c r="H1078" s="50" t="str">
        <f aca="false">IF(_PENDIENTES!$B$1072&lt;&gt;"",_PENDIENTES!$H$1072,"")</f>
        <v/>
      </c>
      <c r="I1078" s="107" t="str">
        <f aca="false">IF(_PENDIENTES!$B$1072&lt;&gt;"",_PENDIENTES!$I$1072,"")</f>
        <v/>
      </c>
      <c r="J1078" s="106" t="str">
        <f aca="false">IF(_PENDIENTES!$B$1072&lt;&gt;"",_PENDIENTES!$J$1072,"")</f>
        <v/>
      </c>
      <c r="K1078" s="106" t="str">
        <f aca="false">IF(_PENDIENTES!$B$1072&lt;&gt;"","POR RECOGER","")</f>
        <v/>
      </c>
      <c r="L1078" s="106" t="str">
        <f aca="false">IF(_PENDIENTES!$B$1072&lt;&gt;"",_PENDIENTES!$K$1072,"")</f>
        <v/>
      </c>
      <c r="M1078" s="89" t="str">
        <f aca="false">IF(_PENDIENTES!$B$1072&lt;&gt;"",_PENDIENTES!$B$1072,"")</f>
        <v/>
      </c>
      <c r="N1078" s="109" t="str">
        <f aca="false">IF(_PENDIENTES!$B$1072&lt;&gt;"",_PENDIENTES!$L$1072,"")</f>
        <v/>
      </c>
      <c r="O1078" s="89"/>
    </row>
    <row r="1079" customFormat="false" ht="15.75" hidden="true" customHeight="true" outlineLevel="0" collapsed="false">
      <c r="A1079" s="46" t="str">
        <f aca="false">IF(_PENDIENTES!$B$1073&lt;&gt;"",1072,"")</f>
        <v/>
      </c>
      <c r="B1079" s="41" t="str">
        <f aca="false">IF(_PENDIENTES!$B$1073&lt;&gt;"",_PENDIENTES!$A$1073,"")</f>
        <v/>
      </c>
      <c r="C1079" s="110" t="str">
        <f aca="false">IF(_PENDIENTES!$B$1073&lt;&gt;"",_PENDIENTES!$C$1073,"")</f>
        <v/>
      </c>
      <c r="D1079" s="46" t="str">
        <f aca="false">IF(_PENDIENTES!$B$1073&lt;&gt;"",_PENDIENTES!$D$1073,"")</f>
        <v/>
      </c>
      <c r="E1079" s="46" t="str">
        <f aca="false">IF(_PENDIENTES!$B$1073&lt;&gt;"",_PENDIENTES!$E$1073,"")</f>
        <v/>
      </c>
      <c r="F1079" s="46" t="str">
        <f aca="false">IF(_PENDIENTES!$B$1073&lt;&gt;"",_PENDIENTES!$F$1073,"")</f>
        <v/>
      </c>
      <c r="G1079" s="44" t="str">
        <f aca="false">IF(_PENDIENTES!$B$1073&lt;&gt;"",_PENDIENTES!$G$1073,"")</f>
        <v/>
      </c>
      <c r="H1079" s="44" t="str">
        <f aca="false">IF(_PENDIENTES!$B$1073&lt;&gt;"",_PENDIENTES!$H$1073,"")</f>
        <v/>
      </c>
      <c r="I1079" s="110" t="str">
        <f aca="false">IF(_PENDIENTES!$B$1073&lt;&gt;"",_PENDIENTES!$I$1073,"")</f>
        <v/>
      </c>
      <c r="J1079" s="46" t="str">
        <f aca="false">IF(_PENDIENTES!$B$1073&lt;&gt;"",_PENDIENTES!$J$1073,"")</f>
        <v/>
      </c>
      <c r="K1079" s="46" t="str">
        <f aca="false">IF(_PENDIENTES!$B$1073&lt;&gt;"","POR RECOGER","")</f>
        <v/>
      </c>
      <c r="L1079" s="46" t="str">
        <f aca="false">IF(_PENDIENTES!$B$1073&lt;&gt;"",_PENDIENTES!$K$1073,"")</f>
        <v/>
      </c>
      <c r="M1079" s="89" t="str">
        <f aca="false">IF(_PENDIENTES!$B$1073&lt;&gt;"",_PENDIENTES!$B$1073,"")</f>
        <v/>
      </c>
      <c r="N1079" s="109" t="str">
        <f aca="false">IF(_PENDIENTES!$B$1073&lt;&gt;"",_PENDIENTES!$L$1073,"")</f>
        <v/>
      </c>
      <c r="O1079" s="89"/>
    </row>
    <row r="1080" customFormat="false" ht="15.75" hidden="true" customHeight="true" outlineLevel="0" collapsed="false">
      <c r="A1080" s="106" t="str">
        <f aca="false">IF(_PENDIENTES!$B$1074&lt;&gt;"",1073,"")</f>
        <v/>
      </c>
      <c r="B1080" s="47" t="str">
        <f aca="false">IF(_PENDIENTES!$B$1074&lt;&gt;"",_PENDIENTES!$A$1074,"")</f>
        <v/>
      </c>
      <c r="C1080" s="107" t="str">
        <f aca="false">IF(_PENDIENTES!$B$1074&lt;&gt;"",_PENDIENTES!$C$1074,"")</f>
        <v/>
      </c>
      <c r="D1080" s="106" t="str">
        <f aca="false">IF(_PENDIENTES!$B$1074&lt;&gt;"",_PENDIENTES!$D$1074,"")</f>
        <v/>
      </c>
      <c r="E1080" s="106" t="str">
        <f aca="false">IF(_PENDIENTES!$B$1074&lt;&gt;"",_PENDIENTES!$E$1074,"")</f>
        <v/>
      </c>
      <c r="F1080" s="106" t="str">
        <f aca="false">IF(_PENDIENTES!$B$1074&lt;&gt;"",_PENDIENTES!$F$1074,"")</f>
        <v/>
      </c>
      <c r="G1080" s="50" t="str">
        <f aca="false">IF(_PENDIENTES!$B$1074&lt;&gt;"",_PENDIENTES!$G$1074,"")</f>
        <v/>
      </c>
      <c r="H1080" s="50" t="str">
        <f aca="false">IF(_PENDIENTES!$B$1074&lt;&gt;"",_PENDIENTES!$H$1074,"")</f>
        <v/>
      </c>
      <c r="I1080" s="107" t="str">
        <f aca="false">IF(_PENDIENTES!$B$1074&lt;&gt;"",_PENDIENTES!$I$1074,"")</f>
        <v/>
      </c>
      <c r="J1080" s="106" t="str">
        <f aca="false">IF(_PENDIENTES!$B$1074&lt;&gt;"",_PENDIENTES!$J$1074,"")</f>
        <v/>
      </c>
      <c r="K1080" s="106" t="str">
        <f aca="false">IF(_PENDIENTES!$B$1074&lt;&gt;"","POR RECOGER","")</f>
        <v/>
      </c>
      <c r="L1080" s="106" t="str">
        <f aca="false">IF(_PENDIENTES!$B$1074&lt;&gt;"",_PENDIENTES!$K$1074,"")</f>
        <v/>
      </c>
      <c r="M1080" s="89" t="str">
        <f aca="false">IF(_PENDIENTES!$B$1074&lt;&gt;"",_PENDIENTES!$B$1074,"")</f>
        <v/>
      </c>
      <c r="N1080" s="109" t="str">
        <f aca="false">IF(_PENDIENTES!$B$1074&lt;&gt;"",_PENDIENTES!$L$1074,"")</f>
        <v/>
      </c>
      <c r="O1080" s="89"/>
    </row>
    <row r="1081" customFormat="false" ht="15.75" hidden="true" customHeight="true" outlineLevel="0" collapsed="false">
      <c r="A1081" s="46" t="str">
        <f aca="false">IF(_PENDIENTES!$B$1075&lt;&gt;"",1074,"")</f>
        <v/>
      </c>
      <c r="B1081" s="41" t="str">
        <f aca="false">IF(_PENDIENTES!$B$1075&lt;&gt;"",_PENDIENTES!$A$1075,"")</f>
        <v/>
      </c>
      <c r="C1081" s="110" t="str">
        <f aca="false">IF(_PENDIENTES!$B$1075&lt;&gt;"",_PENDIENTES!$C$1075,"")</f>
        <v/>
      </c>
      <c r="D1081" s="46" t="str">
        <f aca="false">IF(_PENDIENTES!$B$1075&lt;&gt;"",_PENDIENTES!$D$1075,"")</f>
        <v/>
      </c>
      <c r="E1081" s="46" t="str">
        <f aca="false">IF(_PENDIENTES!$B$1075&lt;&gt;"",_PENDIENTES!$E$1075,"")</f>
        <v/>
      </c>
      <c r="F1081" s="46" t="str">
        <f aca="false">IF(_PENDIENTES!$B$1075&lt;&gt;"",_PENDIENTES!$F$1075,"")</f>
        <v/>
      </c>
      <c r="G1081" s="44" t="str">
        <f aca="false">IF(_PENDIENTES!$B$1075&lt;&gt;"",_PENDIENTES!$G$1075,"")</f>
        <v/>
      </c>
      <c r="H1081" s="44" t="str">
        <f aca="false">IF(_PENDIENTES!$B$1075&lt;&gt;"",_PENDIENTES!$H$1075,"")</f>
        <v/>
      </c>
      <c r="I1081" s="110" t="str">
        <f aca="false">IF(_PENDIENTES!$B$1075&lt;&gt;"",_PENDIENTES!$I$1075,"")</f>
        <v/>
      </c>
      <c r="J1081" s="46" t="str">
        <f aca="false">IF(_PENDIENTES!$B$1075&lt;&gt;"",_PENDIENTES!$J$1075,"")</f>
        <v/>
      </c>
      <c r="K1081" s="46" t="str">
        <f aca="false">IF(_PENDIENTES!$B$1075&lt;&gt;"","POR RECOGER","")</f>
        <v/>
      </c>
      <c r="L1081" s="46" t="str">
        <f aca="false">IF(_PENDIENTES!$B$1075&lt;&gt;"",_PENDIENTES!$K$1075,"")</f>
        <v/>
      </c>
      <c r="M1081" s="89" t="str">
        <f aca="false">IF(_PENDIENTES!$B$1075&lt;&gt;"",_PENDIENTES!$B$1075,"")</f>
        <v/>
      </c>
      <c r="N1081" s="109" t="str">
        <f aca="false">IF(_PENDIENTES!$B$1075&lt;&gt;"",_PENDIENTES!$L$1075,"")</f>
        <v/>
      </c>
      <c r="O1081" s="89"/>
    </row>
    <row r="1082" customFormat="false" ht="15.75" hidden="true" customHeight="true" outlineLevel="0" collapsed="false">
      <c r="A1082" s="106" t="str">
        <f aca="false">IF(_PENDIENTES!$B$1076&lt;&gt;"",1075,"")</f>
        <v/>
      </c>
      <c r="B1082" s="47" t="str">
        <f aca="false">IF(_PENDIENTES!$B$1076&lt;&gt;"",_PENDIENTES!$A$1076,"")</f>
        <v/>
      </c>
      <c r="C1082" s="107" t="str">
        <f aca="false">IF(_PENDIENTES!$B$1076&lt;&gt;"",_PENDIENTES!$C$1076,"")</f>
        <v/>
      </c>
      <c r="D1082" s="106" t="str">
        <f aca="false">IF(_PENDIENTES!$B$1076&lt;&gt;"",_PENDIENTES!$D$1076,"")</f>
        <v/>
      </c>
      <c r="E1082" s="106" t="str">
        <f aca="false">IF(_PENDIENTES!$B$1076&lt;&gt;"",_PENDIENTES!$E$1076,"")</f>
        <v/>
      </c>
      <c r="F1082" s="106" t="str">
        <f aca="false">IF(_PENDIENTES!$B$1076&lt;&gt;"",_PENDIENTES!$F$1076,"")</f>
        <v/>
      </c>
      <c r="G1082" s="50" t="str">
        <f aca="false">IF(_PENDIENTES!$B$1076&lt;&gt;"",_PENDIENTES!$G$1076,"")</f>
        <v/>
      </c>
      <c r="H1082" s="50" t="str">
        <f aca="false">IF(_PENDIENTES!$B$1076&lt;&gt;"",_PENDIENTES!$H$1076,"")</f>
        <v/>
      </c>
      <c r="I1082" s="107" t="str">
        <f aca="false">IF(_PENDIENTES!$B$1076&lt;&gt;"",_PENDIENTES!$I$1076,"")</f>
        <v/>
      </c>
      <c r="J1082" s="106" t="str">
        <f aca="false">IF(_PENDIENTES!$B$1076&lt;&gt;"",_PENDIENTES!$J$1076,"")</f>
        <v/>
      </c>
      <c r="K1082" s="106" t="str">
        <f aca="false">IF(_PENDIENTES!$B$1076&lt;&gt;"","POR RECOGER","")</f>
        <v/>
      </c>
      <c r="L1082" s="106" t="str">
        <f aca="false">IF(_PENDIENTES!$B$1076&lt;&gt;"",_PENDIENTES!$K$1076,"")</f>
        <v/>
      </c>
      <c r="M1082" s="89" t="str">
        <f aca="false">IF(_PENDIENTES!$B$1076&lt;&gt;"",_PENDIENTES!$B$1076,"")</f>
        <v/>
      </c>
      <c r="N1082" s="109" t="str">
        <f aca="false">IF(_PENDIENTES!$B$1076&lt;&gt;"",_PENDIENTES!$L$1076,"")</f>
        <v/>
      </c>
      <c r="O1082" s="89"/>
    </row>
    <row r="1083" customFormat="false" ht="15.75" hidden="true" customHeight="true" outlineLevel="0" collapsed="false">
      <c r="A1083" s="46" t="str">
        <f aca="false">IF(_PENDIENTES!$B$1077&lt;&gt;"",1076,"")</f>
        <v/>
      </c>
      <c r="B1083" s="41" t="str">
        <f aca="false">IF(_PENDIENTES!$B$1077&lt;&gt;"",_PENDIENTES!$A$1077,"")</f>
        <v/>
      </c>
      <c r="C1083" s="110" t="str">
        <f aca="false">IF(_PENDIENTES!$B$1077&lt;&gt;"",_PENDIENTES!$C$1077,"")</f>
        <v/>
      </c>
      <c r="D1083" s="46" t="str">
        <f aca="false">IF(_PENDIENTES!$B$1077&lt;&gt;"",_PENDIENTES!$D$1077,"")</f>
        <v/>
      </c>
      <c r="E1083" s="46" t="str">
        <f aca="false">IF(_PENDIENTES!$B$1077&lt;&gt;"",_PENDIENTES!$E$1077,"")</f>
        <v/>
      </c>
      <c r="F1083" s="46" t="str">
        <f aca="false">IF(_PENDIENTES!$B$1077&lt;&gt;"",_PENDIENTES!$F$1077,"")</f>
        <v/>
      </c>
      <c r="G1083" s="44" t="str">
        <f aca="false">IF(_PENDIENTES!$B$1077&lt;&gt;"",_PENDIENTES!$G$1077,"")</f>
        <v/>
      </c>
      <c r="H1083" s="44" t="str">
        <f aca="false">IF(_PENDIENTES!$B$1077&lt;&gt;"",_PENDIENTES!$H$1077,"")</f>
        <v/>
      </c>
      <c r="I1083" s="110" t="str">
        <f aca="false">IF(_PENDIENTES!$B$1077&lt;&gt;"",_PENDIENTES!$I$1077,"")</f>
        <v/>
      </c>
      <c r="J1083" s="46" t="str">
        <f aca="false">IF(_PENDIENTES!$B$1077&lt;&gt;"",_PENDIENTES!$J$1077,"")</f>
        <v/>
      </c>
      <c r="K1083" s="46" t="str">
        <f aca="false">IF(_PENDIENTES!$B$1077&lt;&gt;"","POR RECOGER","")</f>
        <v/>
      </c>
      <c r="L1083" s="46" t="str">
        <f aca="false">IF(_PENDIENTES!$B$1077&lt;&gt;"",_PENDIENTES!$K$1077,"")</f>
        <v/>
      </c>
      <c r="M1083" s="89" t="str">
        <f aca="false">IF(_PENDIENTES!$B$1077&lt;&gt;"",_PENDIENTES!$B$1077,"")</f>
        <v/>
      </c>
      <c r="N1083" s="109" t="str">
        <f aca="false">IF(_PENDIENTES!$B$1077&lt;&gt;"",_PENDIENTES!$L$1077,"")</f>
        <v/>
      </c>
      <c r="O1083" s="89"/>
    </row>
    <row r="1084" customFormat="false" ht="15.75" hidden="true" customHeight="true" outlineLevel="0" collapsed="false">
      <c r="A1084" s="106" t="str">
        <f aca="false">IF(_PENDIENTES!$B$1078&lt;&gt;"",1077,"")</f>
        <v/>
      </c>
      <c r="B1084" s="47" t="str">
        <f aca="false">IF(_PENDIENTES!$B$1078&lt;&gt;"",_PENDIENTES!$A$1078,"")</f>
        <v/>
      </c>
      <c r="C1084" s="107" t="str">
        <f aca="false">IF(_PENDIENTES!$B$1078&lt;&gt;"",_PENDIENTES!$C$1078,"")</f>
        <v/>
      </c>
      <c r="D1084" s="106" t="str">
        <f aca="false">IF(_PENDIENTES!$B$1078&lt;&gt;"",_PENDIENTES!$D$1078,"")</f>
        <v/>
      </c>
      <c r="E1084" s="106" t="str">
        <f aca="false">IF(_PENDIENTES!$B$1078&lt;&gt;"",_PENDIENTES!$E$1078,"")</f>
        <v/>
      </c>
      <c r="F1084" s="106" t="str">
        <f aca="false">IF(_PENDIENTES!$B$1078&lt;&gt;"",_PENDIENTES!$F$1078,"")</f>
        <v/>
      </c>
      <c r="G1084" s="50" t="str">
        <f aca="false">IF(_PENDIENTES!$B$1078&lt;&gt;"",_PENDIENTES!$G$1078,"")</f>
        <v/>
      </c>
      <c r="H1084" s="50" t="str">
        <f aca="false">IF(_PENDIENTES!$B$1078&lt;&gt;"",_PENDIENTES!$H$1078,"")</f>
        <v/>
      </c>
      <c r="I1084" s="107" t="str">
        <f aca="false">IF(_PENDIENTES!$B$1078&lt;&gt;"",_PENDIENTES!$I$1078,"")</f>
        <v/>
      </c>
      <c r="J1084" s="106" t="str">
        <f aca="false">IF(_PENDIENTES!$B$1078&lt;&gt;"",_PENDIENTES!$J$1078,"")</f>
        <v/>
      </c>
      <c r="K1084" s="106" t="str">
        <f aca="false">IF(_PENDIENTES!$B$1078&lt;&gt;"","POR RECOGER","")</f>
        <v/>
      </c>
      <c r="L1084" s="106" t="str">
        <f aca="false">IF(_PENDIENTES!$B$1078&lt;&gt;"",_PENDIENTES!$K$1078,"")</f>
        <v/>
      </c>
      <c r="M1084" s="89" t="str">
        <f aca="false">IF(_PENDIENTES!$B$1078&lt;&gt;"",_PENDIENTES!$B$1078,"")</f>
        <v/>
      </c>
      <c r="N1084" s="109" t="str">
        <f aca="false">IF(_PENDIENTES!$B$1078&lt;&gt;"",_PENDIENTES!$L$1078,"")</f>
        <v/>
      </c>
      <c r="O1084" s="89"/>
    </row>
    <row r="1085" customFormat="false" ht="15.75" hidden="true" customHeight="true" outlineLevel="0" collapsed="false">
      <c r="A1085" s="46" t="str">
        <f aca="false">IF(_PENDIENTES!$B$1079&lt;&gt;"",1078,"")</f>
        <v/>
      </c>
      <c r="B1085" s="41" t="str">
        <f aca="false">IF(_PENDIENTES!$B$1079&lt;&gt;"",_PENDIENTES!$A$1079,"")</f>
        <v/>
      </c>
      <c r="C1085" s="110" t="str">
        <f aca="false">IF(_PENDIENTES!$B$1079&lt;&gt;"",_PENDIENTES!$C$1079,"")</f>
        <v/>
      </c>
      <c r="D1085" s="46" t="str">
        <f aca="false">IF(_PENDIENTES!$B$1079&lt;&gt;"",_PENDIENTES!$D$1079,"")</f>
        <v/>
      </c>
      <c r="E1085" s="46" t="str">
        <f aca="false">IF(_PENDIENTES!$B$1079&lt;&gt;"",_PENDIENTES!$E$1079,"")</f>
        <v/>
      </c>
      <c r="F1085" s="46" t="str">
        <f aca="false">IF(_PENDIENTES!$B$1079&lt;&gt;"",_PENDIENTES!$F$1079,"")</f>
        <v/>
      </c>
      <c r="G1085" s="44" t="str">
        <f aca="false">IF(_PENDIENTES!$B$1079&lt;&gt;"",_PENDIENTES!$G$1079,"")</f>
        <v/>
      </c>
      <c r="H1085" s="44" t="str">
        <f aca="false">IF(_PENDIENTES!$B$1079&lt;&gt;"",_PENDIENTES!$H$1079,"")</f>
        <v/>
      </c>
      <c r="I1085" s="110" t="str">
        <f aca="false">IF(_PENDIENTES!$B$1079&lt;&gt;"",_PENDIENTES!$I$1079,"")</f>
        <v/>
      </c>
      <c r="J1085" s="46" t="str">
        <f aca="false">IF(_PENDIENTES!$B$1079&lt;&gt;"",_PENDIENTES!$J$1079,"")</f>
        <v/>
      </c>
      <c r="K1085" s="46" t="str">
        <f aca="false">IF(_PENDIENTES!$B$1079&lt;&gt;"","POR RECOGER","")</f>
        <v/>
      </c>
      <c r="L1085" s="46" t="str">
        <f aca="false">IF(_PENDIENTES!$B$1079&lt;&gt;"",_PENDIENTES!$K$1079,"")</f>
        <v/>
      </c>
      <c r="M1085" s="89" t="str">
        <f aca="false">IF(_PENDIENTES!$B$1079&lt;&gt;"",_PENDIENTES!$B$1079,"")</f>
        <v/>
      </c>
      <c r="N1085" s="109" t="str">
        <f aca="false">IF(_PENDIENTES!$B$1079&lt;&gt;"",_PENDIENTES!$L$1079,"")</f>
        <v/>
      </c>
      <c r="O1085" s="89"/>
    </row>
    <row r="1086" customFormat="false" ht="15.75" hidden="true" customHeight="true" outlineLevel="0" collapsed="false">
      <c r="A1086" s="106" t="str">
        <f aca="false">IF(_PENDIENTES!$B$1080&lt;&gt;"",1079,"")</f>
        <v/>
      </c>
      <c r="B1086" s="47" t="str">
        <f aca="false">IF(_PENDIENTES!$B$1080&lt;&gt;"",_PENDIENTES!$A$1080,"")</f>
        <v/>
      </c>
      <c r="C1086" s="107" t="str">
        <f aca="false">IF(_PENDIENTES!$B$1080&lt;&gt;"",_PENDIENTES!$C$1080,"")</f>
        <v/>
      </c>
      <c r="D1086" s="106" t="str">
        <f aca="false">IF(_PENDIENTES!$B$1080&lt;&gt;"",_PENDIENTES!$D$1080,"")</f>
        <v/>
      </c>
      <c r="E1086" s="106" t="str">
        <f aca="false">IF(_PENDIENTES!$B$1080&lt;&gt;"",_PENDIENTES!$E$1080,"")</f>
        <v/>
      </c>
      <c r="F1086" s="106" t="str">
        <f aca="false">IF(_PENDIENTES!$B$1080&lt;&gt;"",_PENDIENTES!$F$1080,"")</f>
        <v/>
      </c>
      <c r="G1086" s="50" t="str">
        <f aca="false">IF(_PENDIENTES!$B$1080&lt;&gt;"",_PENDIENTES!$G$1080,"")</f>
        <v/>
      </c>
      <c r="H1086" s="50" t="str">
        <f aca="false">IF(_PENDIENTES!$B$1080&lt;&gt;"",_PENDIENTES!$H$1080,"")</f>
        <v/>
      </c>
      <c r="I1086" s="107" t="str">
        <f aca="false">IF(_PENDIENTES!$B$1080&lt;&gt;"",_PENDIENTES!$I$1080,"")</f>
        <v/>
      </c>
      <c r="J1086" s="106" t="str">
        <f aca="false">IF(_PENDIENTES!$B$1080&lt;&gt;"",_PENDIENTES!$J$1080,"")</f>
        <v/>
      </c>
      <c r="K1086" s="106" t="str">
        <f aca="false">IF(_PENDIENTES!$B$1080&lt;&gt;"","POR RECOGER","")</f>
        <v/>
      </c>
      <c r="L1086" s="106" t="str">
        <f aca="false">IF(_PENDIENTES!$B$1080&lt;&gt;"",_PENDIENTES!$K$1080,"")</f>
        <v/>
      </c>
      <c r="M1086" s="89" t="str">
        <f aca="false">IF(_PENDIENTES!$B$1080&lt;&gt;"",_PENDIENTES!$B$1080,"")</f>
        <v/>
      </c>
      <c r="N1086" s="109" t="str">
        <f aca="false">IF(_PENDIENTES!$B$1080&lt;&gt;"",_PENDIENTES!$L$1080,"")</f>
        <v/>
      </c>
      <c r="O1086" s="89"/>
    </row>
    <row r="1087" customFormat="false" ht="15.75" hidden="true" customHeight="true" outlineLevel="0" collapsed="false">
      <c r="A1087" s="46" t="str">
        <f aca="false">IF(_PENDIENTES!$B$1081&lt;&gt;"",1080,"")</f>
        <v/>
      </c>
      <c r="B1087" s="41" t="str">
        <f aca="false">IF(_PENDIENTES!$B$1081&lt;&gt;"",_PENDIENTES!$A$1081,"")</f>
        <v/>
      </c>
      <c r="C1087" s="110" t="str">
        <f aca="false">IF(_PENDIENTES!$B$1081&lt;&gt;"",_PENDIENTES!$C$1081,"")</f>
        <v/>
      </c>
      <c r="D1087" s="46" t="str">
        <f aca="false">IF(_PENDIENTES!$B$1081&lt;&gt;"",_PENDIENTES!$D$1081,"")</f>
        <v/>
      </c>
      <c r="E1087" s="46" t="str">
        <f aca="false">IF(_PENDIENTES!$B$1081&lt;&gt;"",_PENDIENTES!$E$1081,"")</f>
        <v/>
      </c>
      <c r="F1087" s="46" t="str">
        <f aca="false">IF(_PENDIENTES!$B$1081&lt;&gt;"",_PENDIENTES!$F$1081,"")</f>
        <v/>
      </c>
      <c r="G1087" s="44" t="str">
        <f aca="false">IF(_PENDIENTES!$B$1081&lt;&gt;"",_PENDIENTES!$G$1081,"")</f>
        <v/>
      </c>
      <c r="H1087" s="44" t="str">
        <f aca="false">IF(_PENDIENTES!$B$1081&lt;&gt;"",_PENDIENTES!$H$1081,"")</f>
        <v/>
      </c>
      <c r="I1087" s="110" t="str">
        <f aca="false">IF(_PENDIENTES!$B$1081&lt;&gt;"",_PENDIENTES!$I$1081,"")</f>
        <v/>
      </c>
      <c r="J1087" s="46" t="str">
        <f aca="false">IF(_PENDIENTES!$B$1081&lt;&gt;"",_PENDIENTES!$J$1081,"")</f>
        <v/>
      </c>
      <c r="K1087" s="46" t="str">
        <f aca="false">IF(_PENDIENTES!$B$1081&lt;&gt;"","POR RECOGER","")</f>
        <v/>
      </c>
      <c r="L1087" s="46" t="str">
        <f aca="false">IF(_PENDIENTES!$B$1081&lt;&gt;"",_PENDIENTES!$K$1081,"")</f>
        <v/>
      </c>
      <c r="M1087" s="89" t="str">
        <f aca="false">IF(_PENDIENTES!$B$1081&lt;&gt;"",_PENDIENTES!$B$1081,"")</f>
        <v/>
      </c>
      <c r="N1087" s="109" t="str">
        <f aca="false">IF(_PENDIENTES!$B$1081&lt;&gt;"",_PENDIENTES!$L$1081,"")</f>
        <v/>
      </c>
      <c r="O1087" s="89"/>
    </row>
    <row r="1088" customFormat="false" ht="15.75" hidden="true" customHeight="true" outlineLevel="0" collapsed="false">
      <c r="A1088" s="106" t="str">
        <f aca="false">IF(_PENDIENTES!$B$1082&lt;&gt;"",1081,"")</f>
        <v/>
      </c>
      <c r="B1088" s="47" t="str">
        <f aca="false">IF(_PENDIENTES!$B$1082&lt;&gt;"",_PENDIENTES!$A$1082,"")</f>
        <v/>
      </c>
      <c r="C1088" s="107" t="str">
        <f aca="false">IF(_PENDIENTES!$B$1082&lt;&gt;"",_PENDIENTES!$C$1082,"")</f>
        <v/>
      </c>
      <c r="D1088" s="106" t="str">
        <f aca="false">IF(_PENDIENTES!$B$1082&lt;&gt;"",_PENDIENTES!$D$1082,"")</f>
        <v/>
      </c>
      <c r="E1088" s="106" t="str">
        <f aca="false">IF(_PENDIENTES!$B$1082&lt;&gt;"",_PENDIENTES!$E$1082,"")</f>
        <v/>
      </c>
      <c r="F1088" s="106" t="str">
        <f aca="false">IF(_PENDIENTES!$B$1082&lt;&gt;"",_PENDIENTES!$F$1082,"")</f>
        <v/>
      </c>
      <c r="G1088" s="50" t="str">
        <f aca="false">IF(_PENDIENTES!$B$1082&lt;&gt;"",_PENDIENTES!$G$1082,"")</f>
        <v/>
      </c>
      <c r="H1088" s="50" t="str">
        <f aca="false">IF(_PENDIENTES!$B$1082&lt;&gt;"",_PENDIENTES!$H$1082,"")</f>
        <v/>
      </c>
      <c r="I1088" s="107" t="str">
        <f aca="false">IF(_PENDIENTES!$B$1082&lt;&gt;"",_PENDIENTES!$I$1082,"")</f>
        <v/>
      </c>
      <c r="J1088" s="106" t="str">
        <f aca="false">IF(_PENDIENTES!$B$1082&lt;&gt;"",_PENDIENTES!$J$1082,"")</f>
        <v/>
      </c>
      <c r="K1088" s="106" t="str">
        <f aca="false">IF(_PENDIENTES!$B$1082&lt;&gt;"","POR RECOGER","")</f>
        <v/>
      </c>
      <c r="L1088" s="106" t="str">
        <f aca="false">IF(_PENDIENTES!$B$1082&lt;&gt;"",_PENDIENTES!$K$1082,"")</f>
        <v/>
      </c>
      <c r="M1088" s="89" t="str">
        <f aca="false">IF(_PENDIENTES!$B$1082&lt;&gt;"",_PENDIENTES!$B$1082,"")</f>
        <v/>
      </c>
      <c r="N1088" s="109" t="str">
        <f aca="false">IF(_PENDIENTES!$B$1082&lt;&gt;"",_PENDIENTES!$L$1082,"")</f>
        <v/>
      </c>
      <c r="O1088" s="89"/>
    </row>
    <row r="1089" customFormat="false" ht="15.75" hidden="true" customHeight="true" outlineLevel="0" collapsed="false">
      <c r="A1089" s="46" t="str">
        <f aca="false">IF(_PENDIENTES!$B$1083&lt;&gt;"",1082,"")</f>
        <v/>
      </c>
      <c r="B1089" s="41" t="str">
        <f aca="false">IF(_PENDIENTES!$B$1083&lt;&gt;"",_PENDIENTES!$A$1083,"")</f>
        <v/>
      </c>
      <c r="C1089" s="110" t="str">
        <f aca="false">IF(_PENDIENTES!$B$1083&lt;&gt;"",_PENDIENTES!$C$1083,"")</f>
        <v/>
      </c>
      <c r="D1089" s="46" t="str">
        <f aca="false">IF(_PENDIENTES!$B$1083&lt;&gt;"",_PENDIENTES!$D$1083,"")</f>
        <v/>
      </c>
      <c r="E1089" s="46" t="str">
        <f aca="false">IF(_PENDIENTES!$B$1083&lt;&gt;"",_PENDIENTES!$E$1083,"")</f>
        <v/>
      </c>
      <c r="F1089" s="46" t="str">
        <f aca="false">IF(_PENDIENTES!$B$1083&lt;&gt;"",_PENDIENTES!$F$1083,"")</f>
        <v/>
      </c>
      <c r="G1089" s="44" t="str">
        <f aca="false">IF(_PENDIENTES!$B$1083&lt;&gt;"",_PENDIENTES!$G$1083,"")</f>
        <v/>
      </c>
      <c r="H1089" s="44" t="str">
        <f aca="false">IF(_PENDIENTES!$B$1083&lt;&gt;"",_PENDIENTES!$H$1083,"")</f>
        <v/>
      </c>
      <c r="I1089" s="110" t="str">
        <f aca="false">IF(_PENDIENTES!$B$1083&lt;&gt;"",_PENDIENTES!$I$1083,"")</f>
        <v/>
      </c>
      <c r="J1089" s="46" t="str">
        <f aca="false">IF(_PENDIENTES!$B$1083&lt;&gt;"",_PENDIENTES!$J$1083,"")</f>
        <v/>
      </c>
      <c r="K1089" s="46" t="str">
        <f aca="false">IF(_PENDIENTES!$B$1083&lt;&gt;"","POR RECOGER","")</f>
        <v/>
      </c>
      <c r="L1089" s="46" t="str">
        <f aca="false">IF(_PENDIENTES!$B$1083&lt;&gt;"",_PENDIENTES!$K$1083,"")</f>
        <v/>
      </c>
      <c r="M1089" s="89" t="str">
        <f aca="false">IF(_PENDIENTES!$B$1083&lt;&gt;"",_PENDIENTES!$B$1083,"")</f>
        <v/>
      </c>
      <c r="N1089" s="109" t="str">
        <f aca="false">IF(_PENDIENTES!$B$1083&lt;&gt;"",_PENDIENTES!$L$1083,"")</f>
        <v/>
      </c>
      <c r="O1089" s="89"/>
    </row>
    <row r="1090" customFormat="false" ht="15.75" hidden="true" customHeight="true" outlineLevel="0" collapsed="false">
      <c r="A1090" s="106" t="str">
        <f aca="false">IF(_PENDIENTES!$B$1084&lt;&gt;"",1083,"")</f>
        <v/>
      </c>
      <c r="B1090" s="47" t="str">
        <f aca="false">IF(_PENDIENTES!$B$1084&lt;&gt;"",_PENDIENTES!$A$1084,"")</f>
        <v/>
      </c>
      <c r="C1090" s="107" t="str">
        <f aca="false">IF(_PENDIENTES!$B$1084&lt;&gt;"",_PENDIENTES!$C$1084,"")</f>
        <v/>
      </c>
      <c r="D1090" s="106" t="str">
        <f aca="false">IF(_PENDIENTES!$B$1084&lt;&gt;"",_PENDIENTES!$D$1084,"")</f>
        <v/>
      </c>
      <c r="E1090" s="106" t="str">
        <f aca="false">IF(_PENDIENTES!$B$1084&lt;&gt;"",_PENDIENTES!$E$1084,"")</f>
        <v/>
      </c>
      <c r="F1090" s="106" t="str">
        <f aca="false">IF(_PENDIENTES!$B$1084&lt;&gt;"",_PENDIENTES!$F$1084,"")</f>
        <v/>
      </c>
      <c r="G1090" s="50" t="str">
        <f aca="false">IF(_PENDIENTES!$B$1084&lt;&gt;"",_PENDIENTES!$G$1084,"")</f>
        <v/>
      </c>
      <c r="H1090" s="50" t="str">
        <f aca="false">IF(_PENDIENTES!$B$1084&lt;&gt;"",_PENDIENTES!$H$1084,"")</f>
        <v/>
      </c>
      <c r="I1090" s="107" t="str">
        <f aca="false">IF(_PENDIENTES!$B$1084&lt;&gt;"",_PENDIENTES!$I$1084,"")</f>
        <v/>
      </c>
      <c r="J1090" s="106" t="str">
        <f aca="false">IF(_PENDIENTES!$B$1084&lt;&gt;"",_PENDIENTES!$J$1084,"")</f>
        <v/>
      </c>
      <c r="K1090" s="106" t="str">
        <f aca="false">IF(_PENDIENTES!$B$1084&lt;&gt;"","POR RECOGER","")</f>
        <v/>
      </c>
      <c r="L1090" s="106" t="str">
        <f aca="false">IF(_PENDIENTES!$B$1084&lt;&gt;"",_PENDIENTES!$K$1084,"")</f>
        <v/>
      </c>
      <c r="M1090" s="89" t="str">
        <f aca="false">IF(_PENDIENTES!$B$1084&lt;&gt;"",_PENDIENTES!$B$1084,"")</f>
        <v/>
      </c>
      <c r="N1090" s="109" t="str">
        <f aca="false">IF(_PENDIENTES!$B$1084&lt;&gt;"",_PENDIENTES!$L$1084,"")</f>
        <v/>
      </c>
      <c r="O1090" s="89"/>
    </row>
    <row r="1091" customFormat="false" ht="15.75" hidden="true" customHeight="true" outlineLevel="0" collapsed="false">
      <c r="A1091" s="46" t="str">
        <f aca="false">IF(_PENDIENTES!$B$1085&lt;&gt;"",1084,"")</f>
        <v/>
      </c>
      <c r="B1091" s="41" t="str">
        <f aca="false">IF(_PENDIENTES!$B$1085&lt;&gt;"",_PENDIENTES!$A$1085,"")</f>
        <v/>
      </c>
      <c r="C1091" s="110" t="str">
        <f aca="false">IF(_PENDIENTES!$B$1085&lt;&gt;"",_PENDIENTES!$C$1085,"")</f>
        <v/>
      </c>
      <c r="D1091" s="46" t="str">
        <f aca="false">IF(_PENDIENTES!$B$1085&lt;&gt;"",_PENDIENTES!$D$1085,"")</f>
        <v/>
      </c>
      <c r="E1091" s="46" t="str">
        <f aca="false">IF(_PENDIENTES!$B$1085&lt;&gt;"",_PENDIENTES!$E$1085,"")</f>
        <v/>
      </c>
      <c r="F1091" s="46" t="str">
        <f aca="false">IF(_PENDIENTES!$B$1085&lt;&gt;"",_PENDIENTES!$F$1085,"")</f>
        <v/>
      </c>
      <c r="G1091" s="44" t="str">
        <f aca="false">IF(_PENDIENTES!$B$1085&lt;&gt;"",_PENDIENTES!$G$1085,"")</f>
        <v/>
      </c>
      <c r="H1091" s="44" t="str">
        <f aca="false">IF(_PENDIENTES!$B$1085&lt;&gt;"",_PENDIENTES!$H$1085,"")</f>
        <v/>
      </c>
      <c r="I1091" s="110" t="str">
        <f aca="false">IF(_PENDIENTES!$B$1085&lt;&gt;"",_PENDIENTES!$I$1085,"")</f>
        <v/>
      </c>
      <c r="J1091" s="46" t="str">
        <f aca="false">IF(_PENDIENTES!$B$1085&lt;&gt;"",_PENDIENTES!$J$1085,"")</f>
        <v/>
      </c>
      <c r="K1091" s="46" t="str">
        <f aca="false">IF(_PENDIENTES!$B$1085&lt;&gt;"","POR RECOGER","")</f>
        <v/>
      </c>
      <c r="L1091" s="46" t="str">
        <f aca="false">IF(_PENDIENTES!$B$1085&lt;&gt;"",_PENDIENTES!$K$1085,"")</f>
        <v/>
      </c>
      <c r="M1091" s="89" t="str">
        <f aca="false">IF(_PENDIENTES!$B$1085&lt;&gt;"",_PENDIENTES!$B$1085,"")</f>
        <v/>
      </c>
      <c r="N1091" s="109" t="str">
        <f aca="false">IF(_PENDIENTES!$B$1085&lt;&gt;"",_PENDIENTES!$L$1085,"")</f>
        <v/>
      </c>
      <c r="O1091" s="89"/>
    </row>
    <row r="1092" customFormat="false" ht="15.75" hidden="true" customHeight="true" outlineLevel="0" collapsed="false">
      <c r="A1092" s="106" t="str">
        <f aca="false">IF(_PENDIENTES!$B$1086&lt;&gt;"",1085,"")</f>
        <v/>
      </c>
      <c r="B1092" s="47" t="str">
        <f aca="false">IF(_PENDIENTES!$B$1086&lt;&gt;"",_PENDIENTES!$A$1086,"")</f>
        <v/>
      </c>
      <c r="C1092" s="107" t="str">
        <f aca="false">IF(_PENDIENTES!$B$1086&lt;&gt;"",_PENDIENTES!$C$1086,"")</f>
        <v/>
      </c>
      <c r="D1092" s="106" t="str">
        <f aca="false">IF(_PENDIENTES!$B$1086&lt;&gt;"",_PENDIENTES!$D$1086,"")</f>
        <v/>
      </c>
      <c r="E1092" s="106" t="str">
        <f aca="false">IF(_PENDIENTES!$B$1086&lt;&gt;"",_PENDIENTES!$E$1086,"")</f>
        <v/>
      </c>
      <c r="F1092" s="106" t="str">
        <f aca="false">IF(_PENDIENTES!$B$1086&lt;&gt;"",_PENDIENTES!$F$1086,"")</f>
        <v/>
      </c>
      <c r="G1092" s="50" t="str">
        <f aca="false">IF(_PENDIENTES!$B$1086&lt;&gt;"",_PENDIENTES!$G$1086,"")</f>
        <v/>
      </c>
      <c r="H1092" s="50" t="str">
        <f aca="false">IF(_PENDIENTES!$B$1086&lt;&gt;"",_PENDIENTES!$H$1086,"")</f>
        <v/>
      </c>
      <c r="I1092" s="107" t="str">
        <f aca="false">IF(_PENDIENTES!$B$1086&lt;&gt;"",_PENDIENTES!$I$1086,"")</f>
        <v/>
      </c>
      <c r="J1092" s="106" t="str">
        <f aca="false">IF(_PENDIENTES!$B$1086&lt;&gt;"",_PENDIENTES!$J$1086,"")</f>
        <v/>
      </c>
      <c r="K1092" s="106" t="str">
        <f aca="false">IF(_PENDIENTES!$B$1086&lt;&gt;"","POR RECOGER","")</f>
        <v/>
      </c>
      <c r="L1092" s="106" t="str">
        <f aca="false">IF(_PENDIENTES!$B$1086&lt;&gt;"",_PENDIENTES!$K$1086,"")</f>
        <v/>
      </c>
      <c r="M1092" s="89" t="str">
        <f aca="false">IF(_PENDIENTES!$B$1086&lt;&gt;"",_PENDIENTES!$B$1086,"")</f>
        <v/>
      </c>
      <c r="N1092" s="109" t="str">
        <f aca="false">IF(_PENDIENTES!$B$1086&lt;&gt;"",_PENDIENTES!$L$1086,"")</f>
        <v/>
      </c>
      <c r="O1092" s="89"/>
    </row>
    <row r="1093" customFormat="false" ht="15.75" hidden="true" customHeight="true" outlineLevel="0" collapsed="false">
      <c r="A1093" s="46" t="str">
        <f aca="false">IF(_PENDIENTES!$B$1087&lt;&gt;"",1086,"")</f>
        <v/>
      </c>
      <c r="B1093" s="41" t="str">
        <f aca="false">IF(_PENDIENTES!$B$1087&lt;&gt;"",_PENDIENTES!$A$1087,"")</f>
        <v/>
      </c>
      <c r="C1093" s="110" t="str">
        <f aca="false">IF(_PENDIENTES!$B$1087&lt;&gt;"",_PENDIENTES!$C$1087,"")</f>
        <v/>
      </c>
      <c r="D1093" s="46" t="str">
        <f aca="false">IF(_PENDIENTES!$B$1087&lt;&gt;"",_PENDIENTES!$D$1087,"")</f>
        <v/>
      </c>
      <c r="E1093" s="46" t="str">
        <f aca="false">IF(_PENDIENTES!$B$1087&lt;&gt;"",_PENDIENTES!$E$1087,"")</f>
        <v/>
      </c>
      <c r="F1093" s="46" t="str">
        <f aca="false">IF(_PENDIENTES!$B$1087&lt;&gt;"",_PENDIENTES!$F$1087,"")</f>
        <v/>
      </c>
      <c r="G1093" s="44" t="str">
        <f aca="false">IF(_PENDIENTES!$B$1087&lt;&gt;"",_PENDIENTES!$G$1087,"")</f>
        <v/>
      </c>
      <c r="H1093" s="44" t="str">
        <f aca="false">IF(_PENDIENTES!$B$1087&lt;&gt;"",_PENDIENTES!$H$1087,"")</f>
        <v/>
      </c>
      <c r="I1093" s="110" t="str">
        <f aca="false">IF(_PENDIENTES!$B$1087&lt;&gt;"",_PENDIENTES!$I$1087,"")</f>
        <v/>
      </c>
      <c r="J1093" s="46" t="str">
        <f aca="false">IF(_PENDIENTES!$B$1087&lt;&gt;"",_PENDIENTES!$J$1087,"")</f>
        <v/>
      </c>
      <c r="K1093" s="46" t="str">
        <f aca="false">IF(_PENDIENTES!$B$1087&lt;&gt;"","POR RECOGER","")</f>
        <v/>
      </c>
      <c r="L1093" s="46" t="str">
        <f aca="false">IF(_PENDIENTES!$B$1087&lt;&gt;"",_PENDIENTES!$K$1087,"")</f>
        <v/>
      </c>
      <c r="M1093" s="89" t="str">
        <f aca="false">IF(_PENDIENTES!$B$1087&lt;&gt;"",_PENDIENTES!$B$1087,"")</f>
        <v/>
      </c>
      <c r="N1093" s="109" t="str">
        <f aca="false">IF(_PENDIENTES!$B$1087&lt;&gt;"",_PENDIENTES!$L$1087,"")</f>
        <v/>
      </c>
      <c r="O1093" s="89"/>
    </row>
    <row r="1094" customFormat="false" ht="15.75" hidden="true" customHeight="true" outlineLevel="0" collapsed="false">
      <c r="A1094" s="106" t="str">
        <f aca="false">IF(_PENDIENTES!$B$1088&lt;&gt;"",1087,"")</f>
        <v/>
      </c>
      <c r="B1094" s="47" t="str">
        <f aca="false">IF(_PENDIENTES!$B$1088&lt;&gt;"",_PENDIENTES!$A$1088,"")</f>
        <v/>
      </c>
      <c r="C1094" s="107" t="str">
        <f aca="false">IF(_PENDIENTES!$B$1088&lt;&gt;"",_PENDIENTES!$C$1088,"")</f>
        <v/>
      </c>
      <c r="D1094" s="106" t="str">
        <f aca="false">IF(_PENDIENTES!$B$1088&lt;&gt;"",_PENDIENTES!$D$1088,"")</f>
        <v/>
      </c>
      <c r="E1094" s="106" t="str">
        <f aca="false">IF(_PENDIENTES!$B$1088&lt;&gt;"",_PENDIENTES!$E$1088,"")</f>
        <v/>
      </c>
      <c r="F1094" s="106" t="str">
        <f aca="false">IF(_PENDIENTES!$B$1088&lt;&gt;"",_PENDIENTES!$F$1088,"")</f>
        <v/>
      </c>
      <c r="G1094" s="50" t="str">
        <f aca="false">IF(_PENDIENTES!$B$1088&lt;&gt;"",_PENDIENTES!$G$1088,"")</f>
        <v/>
      </c>
      <c r="H1094" s="50" t="str">
        <f aca="false">IF(_PENDIENTES!$B$1088&lt;&gt;"",_PENDIENTES!$H$1088,"")</f>
        <v/>
      </c>
      <c r="I1094" s="107" t="str">
        <f aca="false">IF(_PENDIENTES!$B$1088&lt;&gt;"",_PENDIENTES!$I$1088,"")</f>
        <v/>
      </c>
      <c r="J1094" s="106" t="str">
        <f aca="false">IF(_PENDIENTES!$B$1088&lt;&gt;"",_PENDIENTES!$J$1088,"")</f>
        <v/>
      </c>
      <c r="K1094" s="106" t="str">
        <f aca="false">IF(_PENDIENTES!$B$1088&lt;&gt;"","POR RECOGER","")</f>
        <v/>
      </c>
      <c r="L1094" s="106" t="str">
        <f aca="false">IF(_PENDIENTES!$B$1088&lt;&gt;"",_PENDIENTES!$K$1088,"")</f>
        <v/>
      </c>
      <c r="M1094" s="89" t="str">
        <f aca="false">IF(_PENDIENTES!$B$1088&lt;&gt;"",_PENDIENTES!$B$1088,"")</f>
        <v/>
      </c>
      <c r="N1094" s="109" t="str">
        <f aca="false">IF(_PENDIENTES!$B$1088&lt;&gt;"",_PENDIENTES!$L$1088,"")</f>
        <v/>
      </c>
      <c r="O1094" s="89"/>
    </row>
    <row r="1095" customFormat="false" ht="15.75" hidden="true" customHeight="true" outlineLevel="0" collapsed="false">
      <c r="A1095" s="46" t="str">
        <f aca="false">IF(_PENDIENTES!$B$1089&lt;&gt;"",1088,"")</f>
        <v/>
      </c>
      <c r="B1095" s="41" t="str">
        <f aca="false">IF(_PENDIENTES!$B$1089&lt;&gt;"",_PENDIENTES!$A$1089,"")</f>
        <v/>
      </c>
      <c r="C1095" s="110" t="str">
        <f aca="false">IF(_PENDIENTES!$B$1089&lt;&gt;"",_PENDIENTES!$C$1089,"")</f>
        <v/>
      </c>
      <c r="D1095" s="46" t="str">
        <f aca="false">IF(_PENDIENTES!$B$1089&lt;&gt;"",_PENDIENTES!$D$1089,"")</f>
        <v/>
      </c>
      <c r="E1095" s="46" t="str">
        <f aca="false">IF(_PENDIENTES!$B$1089&lt;&gt;"",_PENDIENTES!$E$1089,"")</f>
        <v/>
      </c>
      <c r="F1095" s="46" t="str">
        <f aca="false">IF(_PENDIENTES!$B$1089&lt;&gt;"",_PENDIENTES!$F$1089,"")</f>
        <v/>
      </c>
      <c r="G1095" s="44" t="str">
        <f aca="false">IF(_PENDIENTES!$B$1089&lt;&gt;"",_PENDIENTES!$G$1089,"")</f>
        <v/>
      </c>
      <c r="H1095" s="44" t="str">
        <f aca="false">IF(_PENDIENTES!$B$1089&lt;&gt;"",_PENDIENTES!$H$1089,"")</f>
        <v/>
      </c>
      <c r="I1095" s="110" t="str">
        <f aca="false">IF(_PENDIENTES!$B$1089&lt;&gt;"",_PENDIENTES!$I$1089,"")</f>
        <v/>
      </c>
      <c r="J1095" s="46" t="str">
        <f aca="false">IF(_PENDIENTES!$B$1089&lt;&gt;"",_PENDIENTES!$J$1089,"")</f>
        <v/>
      </c>
      <c r="K1095" s="46" t="str">
        <f aca="false">IF(_PENDIENTES!$B$1089&lt;&gt;"","POR RECOGER","")</f>
        <v/>
      </c>
      <c r="L1095" s="46" t="str">
        <f aca="false">IF(_PENDIENTES!$B$1089&lt;&gt;"",_PENDIENTES!$K$1089,"")</f>
        <v/>
      </c>
      <c r="M1095" s="89" t="str">
        <f aca="false">IF(_PENDIENTES!$B$1089&lt;&gt;"",_PENDIENTES!$B$1089,"")</f>
        <v/>
      </c>
      <c r="N1095" s="109" t="str">
        <f aca="false">IF(_PENDIENTES!$B$1089&lt;&gt;"",_PENDIENTES!$L$1089,"")</f>
        <v/>
      </c>
      <c r="O1095" s="89"/>
    </row>
    <row r="1096" customFormat="false" ht="15.75" hidden="true" customHeight="true" outlineLevel="0" collapsed="false">
      <c r="A1096" s="106" t="str">
        <f aca="false">IF(_PENDIENTES!$B$1090&lt;&gt;"",1089,"")</f>
        <v/>
      </c>
      <c r="B1096" s="47" t="str">
        <f aca="false">IF(_PENDIENTES!$B$1090&lt;&gt;"",_PENDIENTES!$A$1090,"")</f>
        <v/>
      </c>
      <c r="C1096" s="107" t="str">
        <f aca="false">IF(_PENDIENTES!$B$1090&lt;&gt;"",_PENDIENTES!$C$1090,"")</f>
        <v/>
      </c>
      <c r="D1096" s="106" t="str">
        <f aca="false">IF(_PENDIENTES!$B$1090&lt;&gt;"",_PENDIENTES!$D$1090,"")</f>
        <v/>
      </c>
      <c r="E1096" s="106" t="str">
        <f aca="false">IF(_PENDIENTES!$B$1090&lt;&gt;"",_PENDIENTES!$E$1090,"")</f>
        <v/>
      </c>
      <c r="F1096" s="106" t="str">
        <f aca="false">IF(_PENDIENTES!$B$1090&lt;&gt;"",_PENDIENTES!$F$1090,"")</f>
        <v/>
      </c>
      <c r="G1096" s="50" t="str">
        <f aca="false">IF(_PENDIENTES!$B$1090&lt;&gt;"",_PENDIENTES!$G$1090,"")</f>
        <v/>
      </c>
      <c r="H1096" s="50" t="str">
        <f aca="false">IF(_PENDIENTES!$B$1090&lt;&gt;"",_PENDIENTES!$H$1090,"")</f>
        <v/>
      </c>
      <c r="I1096" s="107" t="str">
        <f aca="false">IF(_PENDIENTES!$B$1090&lt;&gt;"",_PENDIENTES!$I$1090,"")</f>
        <v/>
      </c>
      <c r="J1096" s="106" t="str">
        <f aca="false">IF(_PENDIENTES!$B$1090&lt;&gt;"",_PENDIENTES!$J$1090,"")</f>
        <v/>
      </c>
      <c r="K1096" s="106" t="str">
        <f aca="false">IF(_PENDIENTES!$B$1090&lt;&gt;"","POR RECOGER","")</f>
        <v/>
      </c>
      <c r="L1096" s="106" t="str">
        <f aca="false">IF(_PENDIENTES!$B$1090&lt;&gt;"",_PENDIENTES!$K$1090,"")</f>
        <v/>
      </c>
      <c r="M1096" s="89" t="str">
        <f aca="false">IF(_PENDIENTES!$B$1090&lt;&gt;"",_PENDIENTES!$B$1090,"")</f>
        <v/>
      </c>
      <c r="N1096" s="109" t="str">
        <f aca="false">IF(_PENDIENTES!$B$1090&lt;&gt;"",_PENDIENTES!$L$1090,"")</f>
        <v/>
      </c>
      <c r="O1096" s="89"/>
    </row>
    <row r="1097" customFormat="false" ht="15.75" hidden="true" customHeight="true" outlineLevel="0" collapsed="false">
      <c r="A1097" s="46" t="str">
        <f aca="false">IF(_PENDIENTES!$B$1091&lt;&gt;"",1090,"")</f>
        <v/>
      </c>
      <c r="B1097" s="41" t="str">
        <f aca="false">IF(_PENDIENTES!$B$1091&lt;&gt;"",_PENDIENTES!$A$1091,"")</f>
        <v/>
      </c>
      <c r="C1097" s="110" t="str">
        <f aca="false">IF(_PENDIENTES!$B$1091&lt;&gt;"",_PENDIENTES!$C$1091,"")</f>
        <v/>
      </c>
      <c r="D1097" s="46" t="str">
        <f aca="false">IF(_PENDIENTES!$B$1091&lt;&gt;"",_PENDIENTES!$D$1091,"")</f>
        <v/>
      </c>
      <c r="E1097" s="46" t="str">
        <f aca="false">IF(_PENDIENTES!$B$1091&lt;&gt;"",_PENDIENTES!$E$1091,"")</f>
        <v/>
      </c>
      <c r="F1097" s="46" t="str">
        <f aca="false">IF(_PENDIENTES!$B$1091&lt;&gt;"",_PENDIENTES!$F$1091,"")</f>
        <v/>
      </c>
      <c r="G1097" s="44" t="str">
        <f aca="false">IF(_PENDIENTES!$B$1091&lt;&gt;"",_PENDIENTES!$G$1091,"")</f>
        <v/>
      </c>
      <c r="H1097" s="44" t="str">
        <f aca="false">IF(_PENDIENTES!$B$1091&lt;&gt;"",_PENDIENTES!$H$1091,"")</f>
        <v/>
      </c>
      <c r="I1097" s="110" t="str">
        <f aca="false">IF(_PENDIENTES!$B$1091&lt;&gt;"",_PENDIENTES!$I$1091,"")</f>
        <v/>
      </c>
      <c r="J1097" s="46" t="str">
        <f aca="false">IF(_PENDIENTES!$B$1091&lt;&gt;"",_PENDIENTES!$J$1091,"")</f>
        <v/>
      </c>
      <c r="K1097" s="46" t="str">
        <f aca="false">IF(_PENDIENTES!$B$1091&lt;&gt;"","POR RECOGER","")</f>
        <v/>
      </c>
      <c r="L1097" s="46" t="str">
        <f aca="false">IF(_PENDIENTES!$B$1091&lt;&gt;"",_PENDIENTES!$K$1091,"")</f>
        <v/>
      </c>
      <c r="M1097" s="89" t="str">
        <f aca="false">IF(_PENDIENTES!$B$1091&lt;&gt;"",_PENDIENTES!$B$1091,"")</f>
        <v/>
      </c>
      <c r="N1097" s="109" t="str">
        <f aca="false">IF(_PENDIENTES!$B$1091&lt;&gt;"",_PENDIENTES!$L$1091,"")</f>
        <v/>
      </c>
      <c r="O1097" s="89"/>
    </row>
    <row r="1098" customFormat="false" ht="15.75" hidden="true" customHeight="true" outlineLevel="0" collapsed="false">
      <c r="A1098" s="106" t="str">
        <f aca="false">IF(_PENDIENTES!$B$1092&lt;&gt;"",1091,"")</f>
        <v/>
      </c>
      <c r="B1098" s="47" t="str">
        <f aca="false">IF(_PENDIENTES!$B$1092&lt;&gt;"",_PENDIENTES!$A$1092,"")</f>
        <v/>
      </c>
      <c r="C1098" s="107" t="str">
        <f aca="false">IF(_PENDIENTES!$B$1092&lt;&gt;"",_PENDIENTES!$C$1092,"")</f>
        <v/>
      </c>
      <c r="D1098" s="106" t="str">
        <f aca="false">IF(_PENDIENTES!$B$1092&lt;&gt;"",_PENDIENTES!$D$1092,"")</f>
        <v/>
      </c>
      <c r="E1098" s="106" t="str">
        <f aca="false">IF(_PENDIENTES!$B$1092&lt;&gt;"",_PENDIENTES!$E$1092,"")</f>
        <v/>
      </c>
      <c r="F1098" s="106" t="str">
        <f aca="false">IF(_PENDIENTES!$B$1092&lt;&gt;"",_PENDIENTES!$F$1092,"")</f>
        <v/>
      </c>
      <c r="G1098" s="50" t="str">
        <f aca="false">IF(_PENDIENTES!$B$1092&lt;&gt;"",_PENDIENTES!$G$1092,"")</f>
        <v/>
      </c>
      <c r="H1098" s="50" t="str">
        <f aca="false">IF(_PENDIENTES!$B$1092&lt;&gt;"",_PENDIENTES!$H$1092,"")</f>
        <v/>
      </c>
      <c r="I1098" s="107" t="str">
        <f aca="false">IF(_PENDIENTES!$B$1092&lt;&gt;"",_PENDIENTES!$I$1092,"")</f>
        <v/>
      </c>
      <c r="J1098" s="106" t="str">
        <f aca="false">IF(_PENDIENTES!$B$1092&lt;&gt;"",_PENDIENTES!$J$1092,"")</f>
        <v/>
      </c>
      <c r="K1098" s="106" t="str">
        <f aca="false">IF(_PENDIENTES!$B$1092&lt;&gt;"","POR RECOGER","")</f>
        <v/>
      </c>
      <c r="L1098" s="106" t="str">
        <f aca="false">IF(_PENDIENTES!$B$1092&lt;&gt;"",_PENDIENTES!$K$1092,"")</f>
        <v/>
      </c>
      <c r="M1098" s="89" t="str">
        <f aca="false">IF(_PENDIENTES!$B$1092&lt;&gt;"",_PENDIENTES!$B$1092,"")</f>
        <v/>
      </c>
      <c r="N1098" s="109" t="str">
        <f aca="false">IF(_PENDIENTES!$B$1092&lt;&gt;"",_PENDIENTES!$L$1092,"")</f>
        <v/>
      </c>
      <c r="O1098" s="89"/>
    </row>
    <row r="1099" customFormat="false" ht="15.75" hidden="true" customHeight="true" outlineLevel="0" collapsed="false">
      <c r="A1099" s="46" t="str">
        <f aca="false">IF(_PENDIENTES!$B$1093&lt;&gt;"",1092,"")</f>
        <v/>
      </c>
      <c r="B1099" s="41" t="str">
        <f aca="false">IF(_PENDIENTES!$B$1093&lt;&gt;"",_PENDIENTES!$A$1093,"")</f>
        <v/>
      </c>
      <c r="C1099" s="110" t="str">
        <f aca="false">IF(_PENDIENTES!$B$1093&lt;&gt;"",_PENDIENTES!$C$1093,"")</f>
        <v/>
      </c>
      <c r="D1099" s="46" t="str">
        <f aca="false">IF(_PENDIENTES!$B$1093&lt;&gt;"",_PENDIENTES!$D$1093,"")</f>
        <v/>
      </c>
      <c r="E1099" s="46" t="str">
        <f aca="false">IF(_PENDIENTES!$B$1093&lt;&gt;"",_PENDIENTES!$E$1093,"")</f>
        <v/>
      </c>
      <c r="F1099" s="46" t="str">
        <f aca="false">IF(_PENDIENTES!$B$1093&lt;&gt;"",_PENDIENTES!$F$1093,"")</f>
        <v/>
      </c>
      <c r="G1099" s="44" t="str">
        <f aca="false">IF(_PENDIENTES!$B$1093&lt;&gt;"",_PENDIENTES!$G$1093,"")</f>
        <v/>
      </c>
      <c r="H1099" s="44" t="str">
        <f aca="false">IF(_PENDIENTES!$B$1093&lt;&gt;"",_PENDIENTES!$H$1093,"")</f>
        <v/>
      </c>
      <c r="I1099" s="110" t="str">
        <f aca="false">IF(_PENDIENTES!$B$1093&lt;&gt;"",_PENDIENTES!$I$1093,"")</f>
        <v/>
      </c>
      <c r="J1099" s="46" t="str">
        <f aca="false">IF(_PENDIENTES!$B$1093&lt;&gt;"",_PENDIENTES!$J$1093,"")</f>
        <v/>
      </c>
      <c r="K1099" s="46" t="str">
        <f aca="false">IF(_PENDIENTES!$B$1093&lt;&gt;"","POR RECOGER","")</f>
        <v/>
      </c>
      <c r="L1099" s="46" t="str">
        <f aca="false">IF(_PENDIENTES!$B$1093&lt;&gt;"",_PENDIENTES!$K$1093,"")</f>
        <v/>
      </c>
      <c r="M1099" s="89" t="str">
        <f aca="false">IF(_PENDIENTES!$B$1093&lt;&gt;"",_PENDIENTES!$B$1093,"")</f>
        <v/>
      </c>
      <c r="N1099" s="109" t="str">
        <f aca="false">IF(_PENDIENTES!$B$1093&lt;&gt;"",_PENDIENTES!$L$1093,"")</f>
        <v/>
      </c>
      <c r="O1099" s="89"/>
    </row>
    <row r="1100" customFormat="false" ht="15.75" hidden="true" customHeight="true" outlineLevel="0" collapsed="false">
      <c r="A1100" s="106" t="str">
        <f aca="false">IF(_PENDIENTES!$B$1094&lt;&gt;"",1093,"")</f>
        <v/>
      </c>
      <c r="B1100" s="47" t="str">
        <f aca="false">IF(_PENDIENTES!$B$1094&lt;&gt;"",_PENDIENTES!$A$1094,"")</f>
        <v/>
      </c>
      <c r="C1100" s="107" t="str">
        <f aca="false">IF(_PENDIENTES!$B$1094&lt;&gt;"",_PENDIENTES!$C$1094,"")</f>
        <v/>
      </c>
      <c r="D1100" s="106" t="str">
        <f aca="false">IF(_PENDIENTES!$B$1094&lt;&gt;"",_PENDIENTES!$D$1094,"")</f>
        <v/>
      </c>
      <c r="E1100" s="106" t="str">
        <f aca="false">IF(_PENDIENTES!$B$1094&lt;&gt;"",_PENDIENTES!$E$1094,"")</f>
        <v/>
      </c>
      <c r="F1100" s="106" t="str">
        <f aca="false">IF(_PENDIENTES!$B$1094&lt;&gt;"",_PENDIENTES!$F$1094,"")</f>
        <v/>
      </c>
      <c r="G1100" s="50" t="str">
        <f aca="false">IF(_PENDIENTES!$B$1094&lt;&gt;"",_PENDIENTES!$G$1094,"")</f>
        <v/>
      </c>
      <c r="H1100" s="50" t="str">
        <f aca="false">IF(_PENDIENTES!$B$1094&lt;&gt;"",_PENDIENTES!$H$1094,"")</f>
        <v/>
      </c>
      <c r="I1100" s="107" t="str">
        <f aca="false">IF(_PENDIENTES!$B$1094&lt;&gt;"",_PENDIENTES!$I$1094,"")</f>
        <v/>
      </c>
      <c r="J1100" s="106" t="str">
        <f aca="false">IF(_PENDIENTES!$B$1094&lt;&gt;"",_PENDIENTES!$J$1094,"")</f>
        <v/>
      </c>
      <c r="K1100" s="106" t="str">
        <f aca="false">IF(_PENDIENTES!$B$1094&lt;&gt;"","POR RECOGER","")</f>
        <v/>
      </c>
      <c r="L1100" s="106" t="str">
        <f aca="false">IF(_PENDIENTES!$B$1094&lt;&gt;"",_PENDIENTES!$K$1094,"")</f>
        <v/>
      </c>
      <c r="M1100" s="89" t="str">
        <f aca="false">IF(_PENDIENTES!$B$1094&lt;&gt;"",_PENDIENTES!$B$1094,"")</f>
        <v/>
      </c>
      <c r="N1100" s="109" t="str">
        <f aca="false">IF(_PENDIENTES!$B$1094&lt;&gt;"",_PENDIENTES!$L$1094,"")</f>
        <v/>
      </c>
      <c r="O1100" s="89"/>
    </row>
    <row r="1101" customFormat="false" ht="15.75" hidden="true" customHeight="true" outlineLevel="0" collapsed="false">
      <c r="A1101" s="46" t="str">
        <f aca="false">IF(_PENDIENTES!$B$1095&lt;&gt;"",1094,"")</f>
        <v/>
      </c>
      <c r="B1101" s="41" t="str">
        <f aca="false">IF(_PENDIENTES!$B$1095&lt;&gt;"",_PENDIENTES!$A$1095,"")</f>
        <v/>
      </c>
      <c r="C1101" s="110" t="str">
        <f aca="false">IF(_PENDIENTES!$B$1095&lt;&gt;"",_PENDIENTES!$C$1095,"")</f>
        <v/>
      </c>
      <c r="D1101" s="46" t="str">
        <f aca="false">IF(_PENDIENTES!$B$1095&lt;&gt;"",_PENDIENTES!$D$1095,"")</f>
        <v/>
      </c>
      <c r="E1101" s="46" t="str">
        <f aca="false">IF(_PENDIENTES!$B$1095&lt;&gt;"",_PENDIENTES!$E$1095,"")</f>
        <v/>
      </c>
      <c r="F1101" s="46" t="str">
        <f aca="false">IF(_PENDIENTES!$B$1095&lt;&gt;"",_PENDIENTES!$F$1095,"")</f>
        <v/>
      </c>
      <c r="G1101" s="44" t="str">
        <f aca="false">IF(_PENDIENTES!$B$1095&lt;&gt;"",_PENDIENTES!$G$1095,"")</f>
        <v/>
      </c>
      <c r="H1101" s="44" t="str">
        <f aca="false">IF(_PENDIENTES!$B$1095&lt;&gt;"",_PENDIENTES!$H$1095,"")</f>
        <v/>
      </c>
      <c r="I1101" s="110" t="str">
        <f aca="false">IF(_PENDIENTES!$B$1095&lt;&gt;"",_PENDIENTES!$I$1095,"")</f>
        <v/>
      </c>
      <c r="J1101" s="46" t="str">
        <f aca="false">IF(_PENDIENTES!$B$1095&lt;&gt;"",_PENDIENTES!$J$1095,"")</f>
        <v/>
      </c>
      <c r="K1101" s="46" t="str">
        <f aca="false">IF(_PENDIENTES!$B$1095&lt;&gt;"","POR RECOGER","")</f>
        <v/>
      </c>
      <c r="L1101" s="46" t="str">
        <f aca="false">IF(_PENDIENTES!$B$1095&lt;&gt;"",_PENDIENTES!$K$1095,"")</f>
        <v/>
      </c>
      <c r="M1101" s="89" t="str">
        <f aca="false">IF(_PENDIENTES!$B$1095&lt;&gt;"",_PENDIENTES!$B$1095,"")</f>
        <v/>
      </c>
      <c r="N1101" s="109" t="str">
        <f aca="false">IF(_PENDIENTES!$B$1095&lt;&gt;"",_PENDIENTES!$L$1095,"")</f>
        <v/>
      </c>
      <c r="O1101" s="89"/>
    </row>
    <row r="1102" customFormat="false" ht="15.75" hidden="true" customHeight="true" outlineLevel="0" collapsed="false">
      <c r="A1102" s="106" t="str">
        <f aca="false">IF(_PENDIENTES!$B$1096&lt;&gt;"",1095,"")</f>
        <v/>
      </c>
      <c r="B1102" s="47" t="str">
        <f aca="false">IF(_PENDIENTES!$B$1096&lt;&gt;"",_PENDIENTES!$A$1096,"")</f>
        <v/>
      </c>
      <c r="C1102" s="107" t="str">
        <f aca="false">IF(_PENDIENTES!$B$1096&lt;&gt;"",_PENDIENTES!$C$1096,"")</f>
        <v/>
      </c>
      <c r="D1102" s="106" t="str">
        <f aca="false">IF(_PENDIENTES!$B$1096&lt;&gt;"",_PENDIENTES!$D$1096,"")</f>
        <v/>
      </c>
      <c r="E1102" s="106" t="str">
        <f aca="false">IF(_PENDIENTES!$B$1096&lt;&gt;"",_PENDIENTES!$E$1096,"")</f>
        <v/>
      </c>
      <c r="F1102" s="106" t="str">
        <f aca="false">IF(_PENDIENTES!$B$1096&lt;&gt;"",_PENDIENTES!$F$1096,"")</f>
        <v/>
      </c>
      <c r="G1102" s="50" t="str">
        <f aca="false">IF(_PENDIENTES!$B$1096&lt;&gt;"",_PENDIENTES!$G$1096,"")</f>
        <v/>
      </c>
      <c r="H1102" s="50" t="str">
        <f aca="false">IF(_PENDIENTES!$B$1096&lt;&gt;"",_PENDIENTES!$H$1096,"")</f>
        <v/>
      </c>
      <c r="I1102" s="107" t="str">
        <f aca="false">IF(_PENDIENTES!$B$1096&lt;&gt;"",_PENDIENTES!$I$1096,"")</f>
        <v/>
      </c>
      <c r="J1102" s="106" t="str">
        <f aca="false">IF(_PENDIENTES!$B$1096&lt;&gt;"",_PENDIENTES!$J$1096,"")</f>
        <v/>
      </c>
      <c r="K1102" s="106" t="str">
        <f aca="false">IF(_PENDIENTES!$B$1096&lt;&gt;"","POR RECOGER","")</f>
        <v/>
      </c>
      <c r="L1102" s="106" t="str">
        <f aca="false">IF(_PENDIENTES!$B$1096&lt;&gt;"",_PENDIENTES!$K$1096,"")</f>
        <v/>
      </c>
      <c r="M1102" s="89" t="str">
        <f aca="false">IF(_PENDIENTES!$B$1096&lt;&gt;"",_PENDIENTES!$B$1096,"")</f>
        <v/>
      </c>
      <c r="N1102" s="109" t="str">
        <f aca="false">IF(_PENDIENTES!$B$1096&lt;&gt;"",_PENDIENTES!$L$1096,"")</f>
        <v/>
      </c>
      <c r="O1102" s="89"/>
    </row>
    <row r="1103" customFormat="false" ht="15.75" hidden="true" customHeight="true" outlineLevel="0" collapsed="false">
      <c r="A1103" s="46" t="str">
        <f aca="false">IF(_PENDIENTES!$B$1097&lt;&gt;"",1096,"")</f>
        <v/>
      </c>
      <c r="B1103" s="41" t="str">
        <f aca="false">IF(_PENDIENTES!$B$1097&lt;&gt;"",_PENDIENTES!$A$1097,"")</f>
        <v/>
      </c>
      <c r="C1103" s="110" t="str">
        <f aca="false">IF(_PENDIENTES!$B$1097&lt;&gt;"",_PENDIENTES!$C$1097,"")</f>
        <v/>
      </c>
      <c r="D1103" s="46" t="str">
        <f aca="false">IF(_PENDIENTES!$B$1097&lt;&gt;"",_PENDIENTES!$D$1097,"")</f>
        <v/>
      </c>
      <c r="E1103" s="46" t="str">
        <f aca="false">IF(_PENDIENTES!$B$1097&lt;&gt;"",_PENDIENTES!$E$1097,"")</f>
        <v/>
      </c>
      <c r="F1103" s="46" t="str">
        <f aca="false">IF(_PENDIENTES!$B$1097&lt;&gt;"",_PENDIENTES!$F$1097,"")</f>
        <v/>
      </c>
      <c r="G1103" s="44" t="str">
        <f aca="false">IF(_PENDIENTES!$B$1097&lt;&gt;"",_PENDIENTES!$G$1097,"")</f>
        <v/>
      </c>
      <c r="H1103" s="44" t="str">
        <f aca="false">IF(_PENDIENTES!$B$1097&lt;&gt;"",_PENDIENTES!$H$1097,"")</f>
        <v/>
      </c>
      <c r="I1103" s="110" t="str">
        <f aca="false">IF(_PENDIENTES!$B$1097&lt;&gt;"",_PENDIENTES!$I$1097,"")</f>
        <v/>
      </c>
      <c r="J1103" s="46" t="str">
        <f aca="false">IF(_PENDIENTES!$B$1097&lt;&gt;"",_PENDIENTES!$J$1097,"")</f>
        <v/>
      </c>
      <c r="K1103" s="46" t="str">
        <f aca="false">IF(_PENDIENTES!$B$1097&lt;&gt;"","POR RECOGER","")</f>
        <v/>
      </c>
      <c r="L1103" s="46" t="str">
        <f aca="false">IF(_PENDIENTES!$B$1097&lt;&gt;"",_PENDIENTES!$K$1097,"")</f>
        <v/>
      </c>
      <c r="M1103" s="89" t="str">
        <f aca="false">IF(_PENDIENTES!$B$1097&lt;&gt;"",_PENDIENTES!$B$1097,"")</f>
        <v/>
      </c>
      <c r="N1103" s="109" t="str">
        <f aca="false">IF(_PENDIENTES!$B$1097&lt;&gt;"",_PENDIENTES!$L$1097,"")</f>
        <v/>
      </c>
      <c r="O1103" s="89"/>
    </row>
    <row r="1104" customFormat="false" ht="15.75" hidden="true" customHeight="true" outlineLevel="0" collapsed="false">
      <c r="A1104" s="106" t="str">
        <f aca="false">IF(_PENDIENTES!$B$1098&lt;&gt;"",1097,"")</f>
        <v/>
      </c>
      <c r="B1104" s="47" t="str">
        <f aca="false">IF(_PENDIENTES!$B$1098&lt;&gt;"",_PENDIENTES!$A$1098,"")</f>
        <v/>
      </c>
      <c r="C1104" s="107" t="str">
        <f aca="false">IF(_PENDIENTES!$B$1098&lt;&gt;"",_PENDIENTES!$C$1098,"")</f>
        <v/>
      </c>
      <c r="D1104" s="106" t="str">
        <f aca="false">IF(_PENDIENTES!$B$1098&lt;&gt;"",_PENDIENTES!$D$1098,"")</f>
        <v/>
      </c>
      <c r="E1104" s="106" t="str">
        <f aca="false">IF(_PENDIENTES!$B$1098&lt;&gt;"",_PENDIENTES!$E$1098,"")</f>
        <v/>
      </c>
      <c r="F1104" s="106" t="str">
        <f aca="false">IF(_PENDIENTES!$B$1098&lt;&gt;"",_PENDIENTES!$F$1098,"")</f>
        <v/>
      </c>
      <c r="G1104" s="50" t="str">
        <f aca="false">IF(_PENDIENTES!$B$1098&lt;&gt;"",_PENDIENTES!$G$1098,"")</f>
        <v/>
      </c>
      <c r="H1104" s="50" t="str">
        <f aca="false">IF(_PENDIENTES!$B$1098&lt;&gt;"",_PENDIENTES!$H$1098,"")</f>
        <v/>
      </c>
      <c r="I1104" s="107" t="str">
        <f aca="false">IF(_PENDIENTES!$B$1098&lt;&gt;"",_PENDIENTES!$I$1098,"")</f>
        <v/>
      </c>
      <c r="J1104" s="106" t="str">
        <f aca="false">IF(_PENDIENTES!$B$1098&lt;&gt;"",_PENDIENTES!$J$1098,"")</f>
        <v/>
      </c>
      <c r="K1104" s="106" t="str">
        <f aca="false">IF(_PENDIENTES!$B$1098&lt;&gt;"","POR RECOGER","")</f>
        <v/>
      </c>
      <c r="L1104" s="106" t="str">
        <f aca="false">IF(_PENDIENTES!$B$1098&lt;&gt;"",_PENDIENTES!$K$1098,"")</f>
        <v/>
      </c>
      <c r="M1104" s="89" t="str">
        <f aca="false">IF(_PENDIENTES!$B$1098&lt;&gt;"",_PENDIENTES!$B$1098,"")</f>
        <v/>
      </c>
      <c r="N1104" s="109" t="str">
        <f aca="false">IF(_PENDIENTES!$B$1098&lt;&gt;"",_PENDIENTES!$L$1098,"")</f>
        <v/>
      </c>
      <c r="O1104" s="89"/>
    </row>
    <row r="1105" customFormat="false" ht="15.75" hidden="true" customHeight="true" outlineLevel="0" collapsed="false">
      <c r="A1105" s="46" t="str">
        <f aca="false">IF(_PENDIENTES!$B$1099&lt;&gt;"",1098,"")</f>
        <v/>
      </c>
      <c r="B1105" s="41" t="str">
        <f aca="false">IF(_PENDIENTES!$B$1099&lt;&gt;"",_PENDIENTES!$A$1099,"")</f>
        <v/>
      </c>
      <c r="C1105" s="110" t="str">
        <f aca="false">IF(_PENDIENTES!$B$1099&lt;&gt;"",_PENDIENTES!$C$1099,"")</f>
        <v/>
      </c>
      <c r="D1105" s="46" t="str">
        <f aca="false">IF(_PENDIENTES!$B$1099&lt;&gt;"",_PENDIENTES!$D$1099,"")</f>
        <v/>
      </c>
      <c r="E1105" s="46" t="str">
        <f aca="false">IF(_PENDIENTES!$B$1099&lt;&gt;"",_PENDIENTES!$E$1099,"")</f>
        <v/>
      </c>
      <c r="F1105" s="46" t="str">
        <f aca="false">IF(_PENDIENTES!$B$1099&lt;&gt;"",_PENDIENTES!$F$1099,"")</f>
        <v/>
      </c>
      <c r="G1105" s="44" t="str">
        <f aca="false">IF(_PENDIENTES!$B$1099&lt;&gt;"",_PENDIENTES!$G$1099,"")</f>
        <v/>
      </c>
      <c r="H1105" s="44" t="str">
        <f aca="false">IF(_PENDIENTES!$B$1099&lt;&gt;"",_PENDIENTES!$H$1099,"")</f>
        <v/>
      </c>
      <c r="I1105" s="110" t="str">
        <f aca="false">IF(_PENDIENTES!$B$1099&lt;&gt;"",_PENDIENTES!$I$1099,"")</f>
        <v/>
      </c>
      <c r="J1105" s="46" t="str">
        <f aca="false">IF(_PENDIENTES!$B$1099&lt;&gt;"",_PENDIENTES!$J$1099,"")</f>
        <v/>
      </c>
      <c r="K1105" s="46" t="str">
        <f aca="false">IF(_PENDIENTES!$B$1099&lt;&gt;"","POR RECOGER","")</f>
        <v/>
      </c>
      <c r="L1105" s="46" t="str">
        <f aca="false">IF(_PENDIENTES!$B$1099&lt;&gt;"",_PENDIENTES!$K$1099,"")</f>
        <v/>
      </c>
      <c r="M1105" s="89" t="str">
        <f aca="false">IF(_PENDIENTES!$B$1099&lt;&gt;"",_PENDIENTES!$B$1099,"")</f>
        <v/>
      </c>
      <c r="N1105" s="109" t="str">
        <f aca="false">IF(_PENDIENTES!$B$1099&lt;&gt;"",_PENDIENTES!$L$1099,"")</f>
        <v/>
      </c>
      <c r="O1105" s="89"/>
    </row>
    <row r="1106" customFormat="false" ht="15.75" hidden="true" customHeight="true" outlineLevel="0" collapsed="false">
      <c r="A1106" s="106" t="str">
        <f aca="false">IF(_PENDIENTES!$B$1100&lt;&gt;"",1099,"")</f>
        <v/>
      </c>
      <c r="B1106" s="47" t="str">
        <f aca="false">IF(_PENDIENTES!$B$1100&lt;&gt;"",_PENDIENTES!$A$1100,"")</f>
        <v/>
      </c>
      <c r="C1106" s="107" t="str">
        <f aca="false">IF(_PENDIENTES!$B$1100&lt;&gt;"",_PENDIENTES!$C$1100,"")</f>
        <v/>
      </c>
      <c r="D1106" s="106" t="str">
        <f aca="false">IF(_PENDIENTES!$B$1100&lt;&gt;"",_PENDIENTES!$D$1100,"")</f>
        <v/>
      </c>
      <c r="E1106" s="106" t="str">
        <f aca="false">IF(_PENDIENTES!$B$1100&lt;&gt;"",_PENDIENTES!$E$1100,"")</f>
        <v/>
      </c>
      <c r="F1106" s="106" t="str">
        <f aca="false">IF(_PENDIENTES!$B$1100&lt;&gt;"",_PENDIENTES!$F$1100,"")</f>
        <v/>
      </c>
      <c r="G1106" s="50" t="str">
        <f aca="false">IF(_PENDIENTES!$B$1100&lt;&gt;"",_PENDIENTES!$G$1100,"")</f>
        <v/>
      </c>
      <c r="H1106" s="50" t="str">
        <f aca="false">IF(_PENDIENTES!$B$1100&lt;&gt;"",_PENDIENTES!$H$1100,"")</f>
        <v/>
      </c>
      <c r="I1106" s="107" t="str">
        <f aca="false">IF(_PENDIENTES!$B$1100&lt;&gt;"",_PENDIENTES!$I$1100,"")</f>
        <v/>
      </c>
      <c r="J1106" s="106" t="str">
        <f aca="false">IF(_PENDIENTES!$B$1100&lt;&gt;"",_PENDIENTES!$J$1100,"")</f>
        <v/>
      </c>
      <c r="K1106" s="106" t="str">
        <f aca="false">IF(_PENDIENTES!$B$1100&lt;&gt;"","POR RECOGER","")</f>
        <v/>
      </c>
      <c r="L1106" s="106" t="str">
        <f aca="false">IF(_PENDIENTES!$B$1100&lt;&gt;"",_PENDIENTES!$K$1100,"")</f>
        <v/>
      </c>
      <c r="M1106" s="89" t="str">
        <f aca="false">IF(_PENDIENTES!$B$1100&lt;&gt;"",_PENDIENTES!$B$1100,"")</f>
        <v/>
      </c>
      <c r="N1106" s="109" t="str">
        <f aca="false">IF(_PENDIENTES!$B$1100&lt;&gt;"",_PENDIENTES!$L$1100,"")</f>
        <v/>
      </c>
      <c r="O1106" s="89"/>
    </row>
    <row r="1107" customFormat="false" ht="15.75" hidden="true" customHeight="true" outlineLevel="0" collapsed="false">
      <c r="A1107" s="46" t="str">
        <f aca="false">IF(_PENDIENTES!$B$1101&lt;&gt;"",1100,"")</f>
        <v/>
      </c>
      <c r="B1107" s="41" t="str">
        <f aca="false">IF(_PENDIENTES!$B$1101&lt;&gt;"",_PENDIENTES!$A$1101,"")</f>
        <v/>
      </c>
      <c r="C1107" s="110" t="str">
        <f aca="false">IF(_PENDIENTES!$B$1101&lt;&gt;"",_PENDIENTES!$C$1101,"")</f>
        <v/>
      </c>
      <c r="D1107" s="46" t="str">
        <f aca="false">IF(_PENDIENTES!$B$1101&lt;&gt;"",_PENDIENTES!$D$1101,"")</f>
        <v/>
      </c>
      <c r="E1107" s="46" t="str">
        <f aca="false">IF(_PENDIENTES!$B$1101&lt;&gt;"",_PENDIENTES!$E$1101,"")</f>
        <v/>
      </c>
      <c r="F1107" s="46" t="str">
        <f aca="false">IF(_PENDIENTES!$B$1101&lt;&gt;"",_PENDIENTES!$F$1101,"")</f>
        <v/>
      </c>
      <c r="G1107" s="44" t="str">
        <f aca="false">IF(_PENDIENTES!$B$1101&lt;&gt;"",_PENDIENTES!$G$1101,"")</f>
        <v/>
      </c>
      <c r="H1107" s="44" t="str">
        <f aca="false">IF(_PENDIENTES!$B$1101&lt;&gt;"",_PENDIENTES!$H$1101,"")</f>
        <v/>
      </c>
      <c r="I1107" s="110" t="str">
        <f aca="false">IF(_PENDIENTES!$B$1101&lt;&gt;"",_PENDIENTES!$I$1101,"")</f>
        <v/>
      </c>
      <c r="J1107" s="46" t="str">
        <f aca="false">IF(_PENDIENTES!$B$1101&lt;&gt;"",_PENDIENTES!$J$1101,"")</f>
        <v/>
      </c>
      <c r="K1107" s="46" t="str">
        <f aca="false">IF(_PENDIENTES!$B$1101&lt;&gt;"","POR RECOGER","")</f>
        <v/>
      </c>
      <c r="L1107" s="46" t="str">
        <f aca="false">IF(_PENDIENTES!$B$1101&lt;&gt;"",_PENDIENTES!$K$1101,"")</f>
        <v/>
      </c>
      <c r="M1107" s="89" t="str">
        <f aca="false">IF(_PENDIENTES!$B$1101&lt;&gt;"",_PENDIENTES!$B$1101,"")</f>
        <v/>
      </c>
      <c r="N1107" s="109" t="str">
        <f aca="false">IF(_PENDIENTES!$B$1101&lt;&gt;"",_PENDIENTES!$L$1101,"")</f>
        <v/>
      </c>
      <c r="O1107" s="89"/>
    </row>
    <row r="1108" customFormat="false" ht="15.75" hidden="true" customHeight="true" outlineLevel="0" collapsed="false">
      <c r="A1108" s="106" t="str">
        <f aca="false">IF(_PENDIENTES!$B$1102&lt;&gt;"",1101,"")</f>
        <v/>
      </c>
      <c r="B1108" s="47" t="str">
        <f aca="false">IF(_PENDIENTES!$B$1102&lt;&gt;"",_PENDIENTES!$A$1102,"")</f>
        <v/>
      </c>
      <c r="C1108" s="107" t="str">
        <f aca="false">IF(_PENDIENTES!$B$1102&lt;&gt;"",_PENDIENTES!$C$1102,"")</f>
        <v/>
      </c>
      <c r="D1108" s="106" t="str">
        <f aca="false">IF(_PENDIENTES!$B$1102&lt;&gt;"",_PENDIENTES!$D$1102,"")</f>
        <v/>
      </c>
      <c r="E1108" s="106" t="str">
        <f aca="false">IF(_PENDIENTES!$B$1102&lt;&gt;"",_PENDIENTES!$E$1102,"")</f>
        <v/>
      </c>
      <c r="F1108" s="106" t="str">
        <f aca="false">IF(_PENDIENTES!$B$1102&lt;&gt;"",_PENDIENTES!$F$1102,"")</f>
        <v/>
      </c>
      <c r="G1108" s="50" t="str">
        <f aca="false">IF(_PENDIENTES!$B$1102&lt;&gt;"",_PENDIENTES!$G$1102,"")</f>
        <v/>
      </c>
      <c r="H1108" s="50" t="str">
        <f aca="false">IF(_PENDIENTES!$B$1102&lt;&gt;"",_PENDIENTES!$H$1102,"")</f>
        <v/>
      </c>
      <c r="I1108" s="107" t="str">
        <f aca="false">IF(_PENDIENTES!$B$1102&lt;&gt;"",_PENDIENTES!$I$1102,"")</f>
        <v/>
      </c>
      <c r="J1108" s="106" t="str">
        <f aca="false">IF(_PENDIENTES!$B$1102&lt;&gt;"",_PENDIENTES!$J$1102,"")</f>
        <v/>
      </c>
      <c r="K1108" s="106" t="str">
        <f aca="false">IF(_PENDIENTES!$B$1102&lt;&gt;"","POR RECOGER","")</f>
        <v/>
      </c>
      <c r="L1108" s="106" t="str">
        <f aca="false">IF(_PENDIENTES!$B$1102&lt;&gt;"",_PENDIENTES!$K$1102,"")</f>
        <v/>
      </c>
      <c r="M1108" s="89" t="str">
        <f aca="false">IF(_PENDIENTES!$B$1102&lt;&gt;"",_PENDIENTES!$B$1102,"")</f>
        <v/>
      </c>
      <c r="N1108" s="109" t="str">
        <f aca="false">IF(_PENDIENTES!$B$1102&lt;&gt;"",_PENDIENTES!$L$1102,"")</f>
        <v/>
      </c>
      <c r="O1108" s="89"/>
    </row>
    <row r="1109" customFormat="false" ht="15.75" hidden="true" customHeight="true" outlineLevel="0" collapsed="false">
      <c r="A1109" s="46" t="str">
        <f aca="false">IF(_PENDIENTES!$B$1103&lt;&gt;"",1102,"")</f>
        <v/>
      </c>
      <c r="B1109" s="41" t="str">
        <f aca="false">IF(_PENDIENTES!$B$1103&lt;&gt;"",_PENDIENTES!$A$1103,"")</f>
        <v/>
      </c>
      <c r="C1109" s="110" t="str">
        <f aca="false">IF(_PENDIENTES!$B$1103&lt;&gt;"",_PENDIENTES!$C$1103,"")</f>
        <v/>
      </c>
      <c r="D1109" s="46" t="str">
        <f aca="false">IF(_PENDIENTES!$B$1103&lt;&gt;"",_PENDIENTES!$D$1103,"")</f>
        <v/>
      </c>
      <c r="E1109" s="46" t="str">
        <f aca="false">IF(_PENDIENTES!$B$1103&lt;&gt;"",_PENDIENTES!$E$1103,"")</f>
        <v/>
      </c>
      <c r="F1109" s="46" t="str">
        <f aca="false">IF(_PENDIENTES!$B$1103&lt;&gt;"",_PENDIENTES!$F$1103,"")</f>
        <v/>
      </c>
      <c r="G1109" s="44" t="str">
        <f aca="false">IF(_PENDIENTES!$B$1103&lt;&gt;"",_PENDIENTES!$G$1103,"")</f>
        <v/>
      </c>
      <c r="H1109" s="44" t="str">
        <f aca="false">IF(_PENDIENTES!$B$1103&lt;&gt;"",_PENDIENTES!$H$1103,"")</f>
        <v/>
      </c>
      <c r="I1109" s="110" t="str">
        <f aca="false">IF(_PENDIENTES!$B$1103&lt;&gt;"",_PENDIENTES!$I$1103,"")</f>
        <v/>
      </c>
      <c r="J1109" s="46" t="str">
        <f aca="false">IF(_PENDIENTES!$B$1103&lt;&gt;"",_PENDIENTES!$J$1103,"")</f>
        <v/>
      </c>
      <c r="K1109" s="46" t="str">
        <f aca="false">IF(_PENDIENTES!$B$1103&lt;&gt;"","POR RECOGER","")</f>
        <v/>
      </c>
      <c r="L1109" s="46" t="str">
        <f aca="false">IF(_PENDIENTES!$B$1103&lt;&gt;"",_PENDIENTES!$K$1103,"")</f>
        <v/>
      </c>
      <c r="M1109" s="89" t="str">
        <f aca="false">IF(_PENDIENTES!$B$1103&lt;&gt;"",_PENDIENTES!$B$1103,"")</f>
        <v/>
      </c>
      <c r="N1109" s="109" t="str">
        <f aca="false">IF(_PENDIENTES!$B$1103&lt;&gt;"",_PENDIENTES!$L$1103,"")</f>
        <v/>
      </c>
      <c r="O1109" s="89"/>
    </row>
    <row r="1110" customFormat="false" ht="15.75" hidden="true" customHeight="true" outlineLevel="0" collapsed="false">
      <c r="A1110" s="106" t="str">
        <f aca="false">IF(_PENDIENTES!$B$1104&lt;&gt;"",1103,"")</f>
        <v/>
      </c>
      <c r="B1110" s="47" t="str">
        <f aca="false">IF(_PENDIENTES!$B$1104&lt;&gt;"",_PENDIENTES!$A$1104,"")</f>
        <v/>
      </c>
      <c r="C1110" s="107" t="str">
        <f aca="false">IF(_PENDIENTES!$B$1104&lt;&gt;"",_PENDIENTES!$C$1104,"")</f>
        <v/>
      </c>
      <c r="D1110" s="106" t="str">
        <f aca="false">IF(_PENDIENTES!$B$1104&lt;&gt;"",_PENDIENTES!$D$1104,"")</f>
        <v/>
      </c>
      <c r="E1110" s="106" t="str">
        <f aca="false">IF(_PENDIENTES!$B$1104&lt;&gt;"",_PENDIENTES!$E$1104,"")</f>
        <v/>
      </c>
      <c r="F1110" s="106" t="str">
        <f aca="false">IF(_PENDIENTES!$B$1104&lt;&gt;"",_PENDIENTES!$F$1104,"")</f>
        <v/>
      </c>
      <c r="G1110" s="50" t="str">
        <f aca="false">IF(_PENDIENTES!$B$1104&lt;&gt;"",_PENDIENTES!$G$1104,"")</f>
        <v/>
      </c>
      <c r="H1110" s="50" t="str">
        <f aca="false">IF(_PENDIENTES!$B$1104&lt;&gt;"",_PENDIENTES!$H$1104,"")</f>
        <v/>
      </c>
      <c r="I1110" s="107" t="str">
        <f aca="false">IF(_PENDIENTES!$B$1104&lt;&gt;"",_PENDIENTES!$I$1104,"")</f>
        <v/>
      </c>
      <c r="J1110" s="106" t="str">
        <f aca="false">IF(_PENDIENTES!$B$1104&lt;&gt;"",_PENDIENTES!$J$1104,"")</f>
        <v/>
      </c>
      <c r="K1110" s="106" t="str">
        <f aca="false">IF(_PENDIENTES!$B$1104&lt;&gt;"","POR RECOGER","")</f>
        <v/>
      </c>
      <c r="L1110" s="106" t="str">
        <f aca="false">IF(_PENDIENTES!$B$1104&lt;&gt;"",_PENDIENTES!$K$1104,"")</f>
        <v/>
      </c>
      <c r="M1110" s="89" t="str">
        <f aca="false">IF(_PENDIENTES!$B$1104&lt;&gt;"",_PENDIENTES!$B$1104,"")</f>
        <v/>
      </c>
      <c r="N1110" s="109" t="str">
        <f aca="false">IF(_PENDIENTES!$B$1104&lt;&gt;"",_PENDIENTES!$L$1104,"")</f>
        <v/>
      </c>
      <c r="O1110" s="89"/>
    </row>
    <row r="1111" customFormat="false" ht="15.75" hidden="true" customHeight="true" outlineLevel="0" collapsed="false">
      <c r="A1111" s="46" t="str">
        <f aca="false">IF(_PENDIENTES!$B$1105&lt;&gt;"",1104,"")</f>
        <v/>
      </c>
      <c r="B1111" s="41" t="str">
        <f aca="false">IF(_PENDIENTES!$B$1105&lt;&gt;"",_PENDIENTES!$A$1105,"")</f>
        <v/>
      </c>
      <c r="C1111" s="110" t="str">
        <f aca="false">IF(_PENDIENTES!$B$1105&lt;&gt;"",_PENDIENTES!$C$1105,"")</f>
        <v/>
      </c>
      <c r="D1111" s="46" t="str">
        <f aca="false">IF(_PENDIENTES!$B$1105&lt;&gt;"",_PENDIENTES!$D$1105,"")</f>
        <v/>
      </c>
      <c r="E1111" s="46" t="str">
        <f aca="false">IF(_PENDIENTES!$B$1105&lt;&gt;"",_PENDIENTES!$E$1105,"")</f>
        <v/>
      </c>
      <c r="F1111" s="46" t="str">
        <f aca="false">IF(_PENDIENTES!$B$1105&lt;&gt;"",_PENDIENTES!$F$1105,"")</f>
        <v/>
      </c>
      <c r="G1111" s="44" t="str">
        <f aca="false">IF(_PENDIENTES!$B$1105&lt;&gt;"",_PENDIENTES!$G$1105,"")</f>
        <v/>
      </c>
      <c r="H1111" s="44" t="str">
        <f aca="false">IF(_PENDIENTES!$B$1105&lt;&gt;"",_PENDIENTES!$H$1105,"")</f>
        <v/>
      </c>
      <c r="I1111" s="110" t="str">
        <f aca="false">IF(_PENDIENTES!$B$1105&lt;&gt;"",_PENDIENTES!$I$1105,"")</f>
        <v/>
      </c>
      <c r="J1111" s="46" t="str">
        <f aca="false">IF(_PENDIENTES!$B$1105&lt;&gt;"",_PENDIENTES!$J$1105,"")</f>
        <v/>
      </c>
      <c r="K1111" s="46" t="str">
        <f aca="false">IF(_PENDIENTES!$B$1105&lt;&gt;"","POR RECOGER","")</f>
        <v/>
      </c>
      <c r="L1111" s="46" t="str">
        <f aca="false">IF(_PENDIENTES!$B$1105&lt;&gt;"",_PENDIENTES!$K$1105,"")</f>
        <v/>
      </c>
      <c r="M1111" s="89" t="str">
        <f aca="false">IF(_PENDIENTES!$B$1105&lt;&gt;"",_PENDIENTES!$B$1105,"")</f>
        <v/>
      </c>
      <c r="N1111" s="109" t="str">
        <f aca="false">IF(_PENDIENTES!$B$1105&lt;&gt;"",_PENDIENTES!$L$1105,"")</f>
        <v/>
      </c>
      <c r="O1111" s="89"/>
    </row>
    <row r="1112" customFormat="false" ht="15.75" hidden="true" customHeight="true" outlineLevel="0" collapsed="false">
      <c r="A1112" s="106" t="str">
        <f aca="false">IF(_PENDIENTES!$B$1106&lt;&gt;"",1105,"")</f>
        <v/>
      </c>
      <c r="B1112" s="47" t="str">
        <f aca="false">IF(_PENDIENTES!$B$1106&lt;&gt;"",_PENDIENTES!$A$1106,"")</f>
        <v/>
      </c>
      <c r="C1112" s="107" t="str">
        <f aca="false">IF(_PENDIENTES!$B$1106&lt;&gt;"",_PENDIENTES!$C$1106,"")</f>
        <v/>
      </c>
      <c r="D1112" s="106" t="str">
        <f aca="false">IF(_PENDIENTES!$B$1106&lt;&gt;"",_PENDIENTES!$D$1106,"")</f>
        <v/>
      </c>
      <c r="E1112" s="106" t="str">
        <f aca="false">IF(_PENDIENTES!$B$1106&lt;&gt;"",_PENDIENTES!$E$1106,"")</f>
        <v/>
      </c>
      <c r="F1112" s="106" t="str">
        <f aca="false">IF(_PENDIENTES!$B$1106&lt;&gt;"",_PENDIENTES!$F$1106,"")</f>
        <v/>
      </c>
      <c r="G1112" s="50" t="str">
        <f aca="false">IF(_PENDIENTES!$B$1106&lt;&gt;"",_PENDIENTES!$G$1106,"")</f>
        <v/>
      </c>
      <c r="H1112" s="50" t="str">
        <f aca="false">IF(_PENDIENTES!$B$1106&lt;&gt;"",_PENDIENTES!$H$1106,"")</f>
        <v/>
      </c>
      <c r="I1112" s="107" t="str">
        <f aca="false">IF(_PENDIENTES!$B$1106&lt;&gt;"",_PENDIENTES!$I$1106,"")</f>
        <v/>
      </c>
      <c r="J1112" s="106" t="str">
        <f aca="false">IF(_PENDIENTES!$B$1106&lt;&gt;"",_PENDIENTES!$J$1106,"")</f>
        <v/>
      </c>
      <c r="K1112" s="106" t="str">
        <f aca="false">IF(_PENDIENTES!$B$1106&lt;&gt;"","POR RECOGER","")</f>
        <v/>
      </c>
      <c r="L1112" s="106" t="str">
        <f aca="false">IF(_PENDIENTES!$B$1106&lt;&gt;"",_PENDIENTES!$K$1106,"")</f>
        <v/>
      </c>
      <c r="M1112" s="89" t="str">
        <f aca="false">IF(_PENDIENTES!$B$1106&lt;&gt;"",_PENDIENTES!$B$1106,"")</f>
        <v/>
      </c>
      <c r="N1112" s="109" t="str">
        <f aca="false">IF(_PENDIENTES!$B$1106&lt;&gt;"",_PENDIENTES!$L$1106,"")</f>
        <v/>
      </c>
      <c r="O1112" s="89"/>
    </row>
    <row r="1113" customFormat="false" ht="15.75" hidden="true" customHeight="true" outlineLevel="0" collapsed="false">
      <c r="A1113" s="46" t="str">
        <f aca="false">IF(_PENDIENTES!$B$1107&lt;&gt;"",1106,"")</f>
        <v/>
      </c>
      <c r="B1113" s="41" t="str">
        <f aca="false">IF(_PENDIENTES!$B$1107&lt;&gt;"",_PENDIENTES!$A$1107,"")</f>
        <v/>
      </c>
      <c r="C1113" s="110" t="str">
        <f aca="false">IF(_PENDIENTES!$B$1107&lt;&gt;"",_PENDIENTES!$C$1107,"")</f>
        <v/>
      </c>
      <c r="D1113" s="46" t="str">
        <f aca="false">IF(_PENDIENTES!$B$1107&lt;&gt;"",_PENDIENTES!$D$1107,"")</f>
        <v/>
      </c>
      <c r="E1113" s="46" t="str">
        <f aca="false">IF(_PENDIENTES!$B$1107&lt;&gt;"",_PENDIENTES!$E$1107,"")</f>
        <v/>
      </c>
      <c r="F1113" s="46" t="str">
        <f aca="false">IF(_PENDIENTES!$B$1107&lt;&gt;"",_PENDIENTES!$F$1107,"")</f>
        <v/>
      </c>
      <c r="G1113" s="44" t="str">
        <f aca="false">IF(_PENDIENTES!$B$1107&lt;&gt;"",_PENDIENTES!$G$1107,"")</f>
        <v/>
      </c>
      <c r="H1113" s="44" t="str">
        <f aca="false">IF(_PENDIENTES!$B$1107&lt;&gt;"",_PENDIENTES!$H$1107,"")</f>
        <v/>
      </c>
      <c r="I1113" s="110" t="str">
        <f aca="false">IF(_PENDIENTES!$B$1107&lt;&gt;"",_PENDIENTES!$I$1107,"")</f>
        <v/>
      </c>
      <c r="J1113" s="46" t="str">
        <f aca="false">IF(_PENDIENTES!$B$1107&lt;&gt;"",_PENDIENTES!$J$1107,"")</f>
        <v/>
      </c>
      <c r="K1113" s="46" t="str">
        <f aca="false">IF(_PENDIENTES!$B$1107&lt;&gt;"","POR RECOGER","")</f>
        <v/>
      </c>
      <c r="L1113" s="46" t="str">
        <f aca="false">IF(_PENDIENTES!$B$1107&lt;&gt;"",_PENDIENTES!$K$1107,"")</f>
        <v/>
      </c>
      <c r="M1113" s="89" t="str">
        <f aca="false">IF(_PENDIENTES!$B$1107&lt;&gt;"",_PENDIENTES!$B$1107,"")</f>
        <v/>
      </c>
      <c r="N1113" s="109" t="str">
        <f aca="false">IF(_PENDIENTES!$B$1107&lt;&gt;"",_PENDIENTES!$L$1107,"")</f>
        <v/>
      </c>
      <c r="O1113" s="89"/>
    </row>
    <row r="1114" customFormat="false" ht="15.75" hidden="true" customHeight="true" outlineLevel="0" collapsed="false">
      <c r="A1114" s="106" t="str">
        <f aca="false">IF(_PENDIENTES!$B$1108&lt;&gt;"",1107,"")</f>
        <v/>
      </c>
      <c r="B1114" s="47" t="str">
        <f aca="false">IF(_PENDIENTES!$B$1108&lt;&gt;"",_PENDIENTES!$A$1108,"")</f>
        <v/>
      </c>
      <c r="C1114" s="107" t="str">
        <f aca="false">IF(_PENDIENTES!$B$1108&lt;&gt;"",_PENDIENTES!$C$1108,"")</f>
        <v/>
      </c>
      <c r="D1114" s="106" t="str">
        <f aca="false">IF(_PENDIENTES!$B$1108&lt;&gt;"",_PENDIENTES!$D$1108,"")</f>
        <v/>
      </c>
      <c r="E1114" s="106" t="str">
        <f aca="false">IF(_PENDIENTES!$B$1108&lt;&gt;"",_PENDIENTES!$E$1108,"")</f>
        <v/>
      </c>
      <c r="F1114" s="106" t="str">
        <f aca="false">IF(_PENDIENTES!$B$1108&lt;&gt;"",_PENDIENTES!$F$1108,"")</f>
        <v/>
      </c>
      <c r="G1114" s="50" t="str">
        <f aca="false">IF(_PENDIENTES!$B$1108&lt;&gt;"",_PENDIENTES!$G$1108,"")</f>
        <v/>
      </c>
      <c r="H1114" s="50" t="str">
        <f aca="false">IF(_PENDIENTES!$B$1108&lt;&gt;"",_PENDIENTES!$H$1108,"")</f>
        <v/>
      </c>
      <c r="I1114" s="107" t="str">
        <f aca="false">IF(_PENDIENTES!$B$1108&lt;&gt;"",_PENDIENTES!$I$1108,"")</f>
        <v/>
      </c>
      <c r="J1114" s="106" t="str">
        <f aca="false">IF(_PENDIENTES!$B$1108&lt;&gt;"",_PENDIENTES!$J$1108,"")</f>
        <v/>
      </c>
      <c r="K1114" s="106" t="str">
        <f aca="false">IF(_PENDIENTES!$B$1108&lt;&gt;"","POR RECOGER","")</f>
        <v/>
      </c>
      <c r="L1114" s="106" t="str">
        <f aca="false">IF(_PENDIENTES!$B$1108&lt;&gt;"",_PENDIENTES!$K$1108,"")</f>
        <v/>
      </c>
      <c r="M1114" s="89" t="str">
        <f aca="false">IF(_PENDIENTES!$B$1108&lt;&gt;"",_PENDIENTES!$B$1108,"")</f>
        <v/>
      </c>
      <c r="N1114" s="109" t="str">
        <f aca="false">IF(_PENDIENTES!$B$1108&lt;&gt;"",_PENDIENTES!$L$1108,"")</f>
        <v/>
      </c>
      <c r="O1114" s="89"/>
    </row>
    <row r="1115" customFormat="false" ht="15.75" hidden="true" customHeight="true" outlineLevel="0" collapsed="false">
      <c r="A1115" s="46" t="str">
        <f aca="false">IF(_PENDIENTES!$B$1109&lt;&gt;"",1108,"")</f>
        <v/>
      </c>
      <c r="B1115" s="41" t="str">
        <f aca="false">IF(_PENDIENTES!$B$1109&lt;&gt;"",_PENDIENTES!$A$1109,"")</f>
        <v/>
      </c>
      <c r="C1115" s="110" t="str">
        <f aca="false">IF(_PENDIENTES!$B$1109&lt;&gt;"",_PENDIENTES!$C$1109,"")</f>
        <v/>
      </c>
      <c r="D1115" s="46" t="str">
        <f aca="false">IF(_PENDIENTES!$B$1109&lt;&gt;"",_PENDIENTES!$D$1109,"")</f>
        <v/>
      </c>
      <c r="E1115" s="46" t="str">
        <f aca="false">IF(_PENDIENTES!$B$1109&lt;&gt;"",_PENDIENTES!$E$1109,"")</f>
        <v/>
      </c>
      <c r="F1115" s="46" t="str">
        <f aca="false">IF(_PENDIENTES!$B$1109&lt;&gt;"",_PENDIENTES!$F$1109,"")</f>
        <v/>
      </c>
      <c r="G1115" s="44" t="str">
        <f aca="false">IF(_PENDIENTES!$B$1109&lt;&gt;"",_PENDIENTES!$G$1109,"")</f>
        <v/>
      </c>
      <c r="H1115" s="44" t="str">
        <f aca="false">IF(_PENDIENTES!$B$1109&lt;&gt;"",_PENDIENTES!$H$1109,"")</f>
        <v/>
      </c>
      <c r="I1115" s="110" t="str">
        <f aca="false">IF(_PENDIENTES!$B$1109&lt;&gt;"",_PENDIENTES!$I$1109,"")</f>
        <v/>
      </c>
      <c r="J1115" s="46" t="str">
        <f aca="false">IF(_PENDIENTES!$B$1109&lt;&gt;"",_PENDIENTES!$J$1109,"")</f>
        <v/>
      </c>
      <c r="K1115" s="46" t="str">
        <f aca="false">IF(_PENDIENTES!$B$1109&lt;&gt;"","POR RECOGER","")</f>
        <v/>
      </c>
      <c r="L1115" s="46" t="str">
        <f aca="false">IF(_PENDIENTES!$B$1109&lt;&gt;"",_PENDIENTES!$K$1109,"")</f>
        <v/>
      </c>
      <c r="M1115" s="89" t="str">
        <f aca="false">IF(_PENDIENTES!$B$1109&lt;&gt;"",_PENDIENTES!$B$1109,"")</f>
        <v/>
      </c>
      <c r="N1115" s="109" t="str">
        <f aca="false">IF(_PENDIENTES!$B$1109&lt;&gt;"",_PENDIENTES!$L$1109,"")</f>
        <v/>
      </c>
      <c r="O1115" s="89"/>
    </row>
    <row r="1116" customFormat="false" ht="15.75" hidden="true" customHeight="true" outlineLevel="0" collapsed="false">
      <c r="A1116" s="106" t="str">
        <f aca="false">IF(_PENDIENTES!$B$1110&lt;&gt;"",1109,"")</f>
        <v/>
      </c>
      <c r="B1116" s="47" t="str">
        <f aca="false">IF(_PENDIENTES!$B$1110&lt;&gt;"",_PENDIENTES!$A$1110,"")</f>
        <v/>
      </c>
      <c r="C1116" s="107" t="str">
        <f aca="false">IF(_PENDIENTES!$B$1110&lt;&gt;"",_PENDIENTES!$C$1110,"")</f>
        <v/>
      </c>
      <c r="D1116" s="106" t="str">
        <f aca="false">IF(_PENDIENTES!$B$1110&lt;&gt;"",_PENDIENTES!$D$1110,"")</f>
        <v/>
      </c>
      <c r="E1116" s="106" t="str">
        <f aca="false">IF(_PENDIENTES!$B$1110&lt;&gt;"",_PENDIENTES!$E$1110,"")</f>
        <v/>
      </c>
      <c r="F1116" s="106" t="str">
        <f aca="false">IF(_PENDIENTES!$B$1110&lt;&gt;"",_PENDIENTES!$F$1110,"")</f>
        <v/>
      </c>
      <c r="G1116" s="50" t="str">
        <f aca="false">IF(_PENDIENTES!$B$1110&lt;&gt;"",_PENDIENTES!$G$1110,"")</f>
        <v/>
      </c>
      <c r="H1116" s="50" t="str">
        <f aca="false">IF(_PENDIENTES!$B$1110&lt;&gt;"",_PENDIENTES!$H$1110,"")</f>
        <v/>
      </c>
      <c r="I1116" s="107" t="str">
        <f aca="false">IF(_PENDIENTES!$B$1110&lt;&gt;"",_PENDIENTES!$I$1110,"")</f>
        <v/>
      </c>
      <c r="J1116" s="106" t="str">
        <f aca="false">IF(_PENDIENTES!$B$1110&lt;&gt;"",_PENDIENTES!$J$1110,"")</f>
        <v/>
      </c>
      <c r="K1116" s="106" t="str">
        <f aca="false">IF(_PENDIENTES!$B$1110&lt;&gt;"","POR RECOGER","")</f>
        <v/>
      </c>
      <c r="L1116" s="106" t="str">
        <f aca="false">IF(_PENDIENTES!$B$1110&lt;&gt;"",_PENDIENTES!$K$1110,"")</f>
        <v/>
      </c>
      <c r="M1116" s="89" t="str">
        <f aca="false">IF(_PENDIENTES!$B$1110&lt;&gt;"",_PENDIENTES!$B$1110,"")</f>
        <v/>
      </c>
      <c r="N1116" s="109" t="str">
        <f aca="false">IF(_PENDIENTES!$B$1110&lt;&gt;"",_PENDIENTES!$L$1110,"")</f>
        <v/>
      </c>
      <c r="O1116" s="89"/>
    </row>
    <row r="1117" customFormat="false" ht="15.75" hidden="true" customHeight="true" outlineLevel="0" collapsed="false">
      <c r="A1117" s="46" t="str">
        <f aca="false">IF(_PENDIENTES!$B$1111&lt;&gt;"",1110,"")</f>
        <v/>
      </c>
      <c r="B1117" s="41" t="str">
        <f aca="false">IF(_PENDIENTES!$B$1111&lt;&gt;"",_PENDIENTES!$A$1111,"")</f>
        <v/>
      </c>
      <c r="C1117" s="110" t="str">
        <f aca="false">IF(_PENDIENTES!$B$1111&lt;&gt;"",_PENDIENTES!$C$1111,"")</f>
        <v/>
      </c>
      <c r="D1117" s="46" t="str">
        <f aca="false">IF(_PENDIENTES!$B$1111&lt;&gt;"",_PENDIENTES!$D$1111,"")</f>
        <v/>
      </c>
      <c r="E1117" s="46" t="str">
        <f aca="false">IF(_PENDIENTES!$B$1111&lt;&gt;"",_PENDIENTES!$E$1111,"")</f>
        <v/>
      </c>
      <c r="F1117" s="46" t="str">
        <f aca="false">IF(_PENDIENTES!$B$1111&lt;&gt;"",_PENDIENTES!$F$1111,"")</f>
        <v/>
      </c>
      <c r="G1117" s="44" t="str">
        <f aca="false">IF(_PENDIENTES!$B$1111&lt;&gt;"",_PENDIENTES!$G$1111,"")</f>
        <v/>
      </c>
      <c r="H1117" s="44" t="str">
        <f aca="false">IF(_PENDIENTES!$B$1111&lt;&gt;"",_PENDIENTES!$H$1111,"")</f>
        <v/>
      </c>
      <c r="I1117" s="110" t="str">
        <f aca="false">IF(_PENDIENTES!$B$1111&lt;&gt;"",_PENDIENTES!$I$1111,"")</f>
        <v/>
      </c>
      <c r="J1117" s="46" t="str">
        <f aca="false">IF(_PENDIENTES!$B$1111&lt;&gt;"",_PENDIENTES!$J$1111,"")</f>
        <v/>
      </c>
      <c r="K1117" s="46" t="str">
        <f aca="false">IF(_PENDIENTES!$B$1111&lt;&gt;"","POR RECOGER","")</f>
        <v/>
      </c>
      <c r="L1117" s="46" t="str">
        <f aca="false">IF(_PENDIENTES!$B$1111&lt;&gt;"",_PENDIENTES!$K$1111,"")</f>
        <v/>
      </c>
      <c r="M1117" s="89" t="str">
        <f aca="false">IF(_PENDIENTES!$B$1111&lt;&gt;"",_PENDIENTES!$B$1111,"")</f>
        <v/>
      </c>
      <c r="N1117" s="109" t="str">
        <f aca="false">IF(_PENDIENTES!$B$1111&lt;&gt;"",_PENDIENTES!$L$1111,"")</f>
        <v/>
      </c>
      <c r="O1117" s="89"/>
    </row>
    <row r="1118" customFormat="false" ht="15.75" hidden="true" customHeight="true" outlineLevel="0" collapsed="false">
      <c r="A1118" s="106" t="str">
        <f aca="false">IF(_PENDIENTES!$B$1112&lt;&gt;"",1111,"")</f>
        <v/>
      </c>
      <c r="B1118" s="47" t="str">
        <f aca="false">IF(_PENDIENTES!$B$1112&lt;&gt;"",_PENDIENTES!$A$1112,"")</f>
        <v/>
      </c>
      <c r="C1118" s="107" t="str">
        <f aca="false">IF(_PENDIENTES!$B$1112&lt;&gt;"",_PENDIENTES!$C$1112,"")</f>
        <v/>
      </c>
      <c r="D1118" s="106" t="str">
        <f aca="false">IF(_PENDIENTES!$B$1112&lt;&gt;"",_PENDIENTES!$D$1112,"")</f>
        <v/>
      </c>
      <c r="E1118" s="106" t="str">
        <f aca="false">IF(_PENDIENTES!$B$1112&lt;&gt;"",_PENDIENTES!$E$1112,"")</f>
        <v/>
      </c>
      <c r="F1118" s="106" t="str">
        <f aca="false">IF(_PENDIENTES!$B$1112&lt;&gt;"",_PENDIENTES!$F$1112,"")</f>
        <v/>
      </c>
      <c r="G1118" s="50" t="str">
        <f aca="false">IF(_PENDIENTES!$B$1112&lt;&gt;"",_PENDIENTES!$G$1112,"")</f>
        <v/>
      </c>
      <c r="H1118" s="50" t="str">
        <f aca="false">IF(_PENDIENTES!$B$1112&lt;&gt;"",_PENDIENTES!$H$1112,"")</f>
        <v/>
      </c>
      <c r="I1118" s="107" t="str">
        <f aca="false">IF(_PENDIENTES!$B$1112&lt;&gt;"",_PENDIENTES!$I$1112,"")</f>
        <v/>
      </c>
      <c r="J1118" s="106" t="str">
        <f aca="false">IF(_PENDIENTES!$B$1112&lt;&gt;"",_PENDIENTES!$J$1112,"")</f>
        <v/>
      </c>
      <c r="K1118" s="106" t="str">
        <f aca="false">IF(_PENDIENTES!$B$1112&lt;&gt;"","POR RECOGER","")</f>
        <v/>
      </c>
      <c r="L1118" s="106" t="str">
        <f aca="false">IF(_PENDIENTES!$B$1112&lt;&gt;"",_PENDIENTES!$K$1112,"")</f>
        <v/>
      </c>
      <c r="M1118" s="89" t="str">
        <f aca="false">IF(_PENDIENTES!$B$1112&lt;&gt;"",_PENDIENTES!$B$1112,"")</f>
        <v/>
      </c>
      <c r="N1118" s="109" t="str">
        <f aca="false">IF(_PENDIENTES!$B$1112&lt;&gt;"",_PENDIENTES!$L$1112,"")</f>
        <v/>
      </c>
      <c r="O1118" s="89"/>
    </row>
    <row r="1119" customFormat="false" ht="15.75" hidden="true" customHeight="true" outlineLevel="0" collapsed="false">
      <c r="A1119" s="46" t="str">
        <f aca="false">IF(_PENDIENTES!$B$1113&lt;&gt;"",1112,"")</f>
        <v/>
      </c>
      <c r="B1119" s="41" t="str">
        <f aca="false">IF(_PENDIENTES!$B$1113&lt;&gt;"",_PENDIENTES!$A$1113,"")</f>
        <v/>
      </c>
      <c r="C1119" s="110" t="str">
        <f aca="false">IF(_PENDIENTES!$B$1113&lt;&gt;"",_PENDIENTES!$C$1113,"")</f>
        <v/>
      </c>
      <c r="D1119" s="46" t="str">
        <f aca="false">IF(_PENDIENTES!$B$1113&lt;&gt;"",_PENDIENTES!$D$1113,"")</f>
        <v/>
      </c>
      <c r="E1119" s="46" t="str">
        <f aca="false">IF(_PENDIENTES!$B$1113&lt;&gt;"",_PENDIENTES!$E$1113,"")</f>
        <v/>
      </c>
      <c r="F1119" s="46" t="str">
        <f aca="false">IF(_PENDIENTES!$B$1113&lt;&gt;"",_PENDIENTES!$F$1113,"")</f>
        <v/>
      </c>
      <c r="G1119" s="44" t="str">
        <f aca="false">IF(_PENDIENTES!$B$1113&lt;&gt;"",_PENDIENTES!$G$1113,"")</f>
        <v/>
      </c>
      <c r="H1119" s="44" t="str">
        <f aca="false">IF(_PENDIENTES!$B$1113&lt;&gt;"",_PENDIENTES!$H$1113,"")</f>
        <v/>
      </c>
      <c r="I1119" s="110" t="str">
        <f aca="false">IF(_PENDIENTES!$B$1113&lt;&gt;"",_PENDIENTES!$I$1113,"")</f>
        <v/>
      </c>
      <c r="J1119" s="46" t="str">
        <f aca="false">IF(_PENDIENTES!$B$1113&lt;&gt;"",_PENDIENTES!$J$1113,"")</f>
        <v/>
      </c>
      <c r="K1119" s="46" t="str">
        <f aca="false">IF(_PENDIENTES!$B$1113&lt;&gt;"","POR RECOGER","")</f>
        <v/>
      </c>
      <c r="L1119" s="46" t="str">
        <f aca="false">IF(_PENDIENTES!$B$1113&lt;&gt;"",_PENDIENTES!$K$1113,"")</f>
        <v/>
      </c>
      <c r="M1119" s="89" t="str">
        <f aca="false">IF(_PENDIENTES!$B$1113&lt;&gt;"",_PENDIENTES!$B$1113,"")</f>
        <v/>
      </c>
      <c r="N1119" s="109" t="str">
        <f aca="false">IF(_PENDIENTES!$B$1113&lt;&gt;"",_PENDIENTES!$L$1113,"")</f>
        <v/>
      </c>
      <c r="O1119" s="89"/>
    </row>
    <row r="1120" customFormat="false" ht="15.75" hidden="true" customHeight="true" outlineLevel="0" collapsed="false">
      <c r="A1120" s="106" t="str">
        <f aca="false">IF(_PENDIENTES!$B$1114&lt;&gt;"",1113,"")</f>
        <v/>
      </c>
      <c r="B1120" s="47" t="str">
        <f aca="false">IF(_PENDIENTES!$B$1114&lt;&gt;"",_PENDIENTES!$A$1114,"")</f>
        <v/>
      </c>
      <c r="C1120" s="107" t="str">
        <f aca="false">IF(_PENDIENTES!$B$1114&lt;&gt;"",_PENDIENTES!$C$1114,"")</f>
        <v/>
      </c>
      <c r="D1120" s="106" t="str">
        <f aca="false">IF(_PENDIENTES!$B$1114&lt;&gt;"",_PENDIENTES!$D$1114,"")</f>
        <v/>
      </c>
      <c r="E1120" s="106" t="str">
        <f aca="false">IF(_PENDIENTES!$B$1114&lt;&gt;"",_PENDIENTES!$E$1114,"")</f>
        <v/>
      </c>
      <c r="F1120" s="106" t="str">
        <f aca="false">IF(_PENDIENTES!$B$1114&lt;&gt;"",_PENDIENTES!$F$1114,"")</f>
        <v/>
      </c>
      <c r="G1120" s="50" t="str">
        <f aca="false">IF(_PENDIENTES!$B$1114&lt;&gt;"",_PENDIENTES!$G$1114,"")</f>
        <v/>
      </c>
      <c r="H1120" s="50" t="str">
        <f aca="false">IF(_PENDIENTES!$B$1114&lt;&gt;"",_PENDIENTES!$H$1114,"")</f>
        <v/>
      </c>
      <c r="I1120" s="107" t="str">
        <f aca="false">IF(_PENDIENTES!$B$1114&lt;&gt;"",_PENDIENTES!$I$1114,"")</f>
        <v/>
      </c>
      <c r="J1120" s="106" t="str">
        <f aca="false">IF(_PENDIENTES!$B$1114&lt;&gt;"",_PENDIENTES!$J$1114,"")</f>
        <v/>
      </c>
      <c r="K1120" s="106" t="str">
        <f aca="false">IF(_PENDIENTES!$B$1114&lt;&gt;"","POR RECOGER","")</f>
        <v/>
      </c>
      <c r="L1120" s="106" t="str">
        <f aca="false">IF(_PENDIENTES!$B$1114&lt;&gt;"",_PENDIENTES!$K$1114,"")</f>
        <v/>
      </c>
      <c r="M1120" s="89" t="str">
        <f aca="false">IF(_PENDIENTES!$B$1114&lt;&gt;"",_PENDIENTES!$B$1114,"")</f>
        <v/>
      </c>
      <c r="N1120" s="109" t="str">
        <f aca="false">IF(_PENDIENTES!$B$1114&lt;&gt;"",_PENDIENTES!$L$1114,"")</f>
        <v/>
      </c>
      <c r="O1120" s="89"/>
    </row>
    <row r="1121" customFormat="false" ht="15.75" hidden="true" customHeight="true" outlineLevel="0" collapsed="false">
      <c r="A1121" s="46" t="str">
        <f aca="false">IF(_PENDIENTES!$B$1115&lt;&gt;"",1114,"")</f>
        <v/>
      </c>
      <c r="B1121" s="41" t="str">
        <f aca="false">IF(_PENDIENTES!$B$1115&lt;&gt;"",_PENDIENTES!$A$1115,"")</f>
        <v/>
      </c>
      <c r="C1121" s="110" t="str">
        <f aca="false">IF(_PENDIENTES!$B$1115&lt;&gt;"",_PENDIENTES!$C$1115,"")</f>
        <v/>
      </c>
      <c r="D1121" s="46" t="str">
        <f aca="false">IF(_PENDIENTES!$B$1115&lt;&gt;"",_PENDIENTES!$D$1115,"")</f>
        <v/>
      </c>
      <c r="E1121" s="46" t="str">
        <f aca="false">IF(_PENDIENTES!$B$1115&lt;&gt;"",_PENDIENTES!$E$1115,"")</f>
        <v/>
      </c>
      <c r="F1121" s="46" t="str">
        <f aca="false">IF(_PENDIENTES!$B$1115&lt;&gt;"",_PENDIENTES!$F$1115,"")</f>
        <v/>
      </c>
      <c r="G1121" s="44" t="str">
        <f aca="false">IF(_PENDIENTES!$B$1115&lt;&gt;"",_PENDIENTES!$G$1115,"")</f>
        <v/>
      </c>
      <c r="H1121" s="44" t="str">
        <f aca="false">IF(_PENDIENTES!$B$1115&lt;&gt;"",_PENDIENTES!$H$1115,"")</f>
        <v/>
      </c>
      <c r="I1121" s="110" t="str">
        <f aca="false">IF(_PENDIENTES!$B$1115&lt;&gt;"",_PENDIENTES!$I$1115,"")</f>
        <v/>
      </c>
      <c r="J1121" s="46" t="str">
        <f aca="false">IF(_PENDIENTES!$B$1115&lt;&gt;"",_PENDIENTES!$J$1115,"")</f>
        <v/>
      </c>
      <c r="K1121" s="46" t="str">
        <f aca="false">IF(_PENDIENTES!$B$1115&lt;&gt;"","POR RECOGER","")</f>
        <v/>
      </c>
      <c r="L1121" s="46" t="str">
        <f aca="false">IF(_PENDIENTES!$B$1115&lt;&gt;"",_PENDIENTES!$K$1115,"")</f>
        <v/>
      </c>
      <c r="M1121" s="89" t="str">
        <f aca="false">IF(_PENDIENTES!$B$1115&lt;&gt;"",_PENDIENTES!$B$1115,"")</f>
        <v/>
      </c>
      <c r="N1121" s="109" t="str">
        <f aca="false">IF(_PENDIENTES!$B$1115&lt;&gt;"",_PENDIENTES!$L$1115,"")</f>
        <v/>
      </c>
      <c r="O1121" s="89"/>
    </row>
    <row r="1122" customFormat="false" ht="15.75" hidden="true" customHeight="true" outlineLevel="0" collapsed="false">
      <c r="A1122" s="106" t="str">
        <f aca="false">IF(_PENDIENTES!$B$1116&lt;&gt;"",1115,"")</f>
        <v/>
      </c>
      <c r="B1122" s="47" t="str">
        <f aca="false">IF(_PENDIENTES!$B$1116&lt;&gt;"",_PENDIENTES!$A$1116,"")</f>
        <v/>
      </c>
      <c r="C1122" s="107" t="str">
        <f aca="false">IF(_PENDIENTES!$B$1116&lt;&gt;"",_PENDIENTES!$C$1116,"")</f>
        <v/>
      </c>
      <c r="D1122" s="106" t="str">
        <f aca="false">IF(_PENDIENTES!$B$1116&lt;&gt;"",_PENDIENTES!$D$1116,"")</f>
        <v/>
      </c>
      <c r="E1122" s="106" t="str">
        <f aca="false">IF(_PENDIENTES!$B$1116&lt;&gt;"",_PENDIENTES!$E$1116,"")</f>
        <v/>
      </c>
      <c r="F1122" s="106" t="str">
        <f aca="false">IF(_PENDIENTES!$B$1116&lt;&gt;"",_PENDIENTES!$F$1116,"")</f>
        <v/>
      </c>
      <c r="G1122" s="50" t="str">
        <f aca="false">IF(_PENDIENTES!$B$1116&lt;&gt;"",_PENDIENTES!$G$1116,"")</f>
        <v/>
      </c>
      <c r="H1122" s="50" t="str">
        <f aca="false">IF(_PENDIENTES!$B$1116&lt;&gt;"",_PENDIENTES!$H$1116,"")</f>
        <v/>
      </c>
      <c r="I1122" s="107" t="str">
        <f aca="false">IF(_PENDIENTES!$B$1116&lt;&gt;"",_PENDIENTES!$I$1116,"")</f>
        <v/>
      </c>
      <c r="J1122" s="106" t="str">
        <f aca="false">IF(_PENDIENTES!$B$1116&lt;&gt;"",_PENDIENTES!$J$1116,"")</f>
        <v/>
      </c>
      <c r="K1122" s="106" t="str">
        <f aca="false">IF(_PENDIENTES!$B$1116&lt;&gt;"","POR RECOGER","")</f>
        <v/>
      </c>
      <c r="L1122" s="106" t="str">
        <f aca="false">IF(_PENDIENTES!$B$1116&lt;&gt;"",_PENDIENTES!$K$1116,"")</f>
        <v/>
      </c>
      <c r="M1122" s="89" t="str">
        <f aca="false">IF(_PENDIENTES!$B$1116&lt;&gt;"",_PENDIENTES!$B$1116,"")</f>
        <v/>
      </c>
      <c r="N1122" s="109" t="str">
        <f aca="false">IF(_PENDIENTES!$B$1116&lt;&gt;"",_PENDIENTES!$L$1116,"")</f>
        <v/>
      </c>
      <c r="O1122" s="89"/>
    </row>
    <row r="1123" customFormat="false" ht="15.75" hidden="true" customHeight="true" outlineLevel="0" collapsed="false">
      <c r="A1123" s="46" t="str">
        <f aca="false">IF(_PENDIENTES!$B$1117&lt;&gt;"",1116,"")</f>
        <v/>
      </c>
      <c r="B1123" s="41" t="str">
        <f aca="false">IF(_PENDIENTES!$B$1117&lt;&gt;"",_PENDIENTES!$A$1117,"")</f>
        <v/>
      </c>
      <c r="C1123" s="110" t="str">
        <f aca="false">IF(_PENDIENTES!$B$1117&lt;&gt;"",_PENDIENTES!$C$1117,"")</f>
        <v/>
      </c>
      <c r="D1123" s="46" t="str">
        <f aca="false">IF(_PENDIENTES!$B$1117&lt;&gt;"",_PENDIENTES!$D$1117,"")</f>
        <v/>
      </c>
      <c r="E1123" s="46" t="str">
        <f aca="false">IF(_PENDIENTES!$B$1117&lt;&gt;"",_PENDIENTES!$E$1117,"")</f>
        <v/>
      </c>
      <c r="F1123" s="46" t="str">
        <f aca="false">IF(_PENDIENTES!$B$1117&lt;&gt;"",_PENDIENTES!$F$1117,"")</f>
        <v/>
      </c>
      <c r="G1123" s="44" t="str">
        <f aca="false">IF(_PENDIENTES!$B$1117&lt;&gt;"",_PENDIENTES!$G$1117,"")</f>
        <v/>
      </c>
      <c r="H1123" s="44" t="str">
        <f aca="false">IF(_PENDIENTES!$B$1117&lt;&gt;"",_PENDIENTES!$H$1117,"")</f>
        <v/>
      </c>
      <c r="I1123" s="110" t="str">
        <f aca="false">IF(_PENDIENTES!$B$1117&lt;&gt;"",_PENDIENTES!$I$1117,"")</f>
        <v/>
      </c>
      <c r="J1123" s="46" t="str">
        <f aca="false">IF(_PENDIENTES!$B$1117&lt;&gt;"",_PENDIENTES!$J$1117,"")</f>
        <v/>
      </c>
      <c r="K1123" s="46" t="str">
        <f aca="false">IF(_PENDIENTES!$B$1117&lt;&gt;"","POR RECOGER","")</f>
        <v/>
      </c>
      <c r="L1123" s="46" t="str">
        <f aca="false">IF(_PENDIENTES!$B$1117&lt;&gt;"",_PENDIENTES!$K$1117,"")</f>
        <v/>
      </c>
      <c r="M1123" s="89" t="str">
        <f aca="false">IF(_PENDIENTES!$B$1117&lt;&gt;"",_PENDIENTES!$B$1117,"")</f>
        <v/>
      </c>
      <c r="N1123" s="109" t="str">
        <f aca="false">IF(_PENDIENTES!$B$1117&lt;&gt;"",_PENDIENTES!$L$1117,"")</f>
        <v/>
      </c>
      <c r="O1123" s="89"/>
    </row>
    <row r="1124" customFormat="false" ht="15.75" hidden="true" customHeight="true" outlineLevel="0" collapsed="false">
      <c r="A1124" s="106" t="str">
        <f aca="false">IF(_PENDIENTES!$B$1118&lt;&gt;"",1117,"")</f>
        <v/>
      </c>
      <c r="B1124" s="47" t="str">
        <f aca="false">IF(_PENDIENTES!$B$1118&lt;&gt;"",_PENDIENTES!$A$1118,"")</f>
        <v/>
      </c>
      <c r="C1124" s="107" t="str">
        <f aca="false">IF(_PENDIENTES!$B$1118&lt;&gt;"",_PENDIENTES!$C$1118,"")</f>
        <v/>
      </c>
      <c r="D1124" s="106" t="str">
        <f aca="false">IF(_PENDIENTES!$B$1118&lt;&gt;"",_PENDIENTES!$D$1118,"")</f>
        <v/>
      </c>
      <c r="E1124" s="106" t="str">
        <f aca="false">IF(_PENDIENTES!$B$1118&lt;&gt;"",_PENDIENTES!$E$1118,"")</f>
        <v/>
      </c>
      <c r="F1124" s="106" t="str">
        <f aca="false">IF(_PENDIENTES!$B$1118&lt;&gt;"",_PENDIENTES!$F$1118,"")</f>
        <v/>
      </c>
      <c r="G1124" s="50" t="str">
        <f aca="false">IF(_PENDIENTES!$B$1118&lt;&gt;"",_PENDIENTES!$G$1118,"")</f>
        <v/>
      </c>
      <c r="H1124" s="50" t="str">
        <f aca="false">IF(_PENDIENTES!$B$1118&lt;&gt;"",_PENDIENTES!$H$1118,"")</f>
        <v/>
      </c>
      <c r="I1124" s="107" t="str">
        <f aca="false">IF(_PENDIENTES!$B$1118&lt;&gt;"",_PENDIENTES!$I$1118,"")</f>
        <v/>
      </c>
      <c r="J1124" s="106" t="str">
        <f aca="false">IF(_PENDIENTES!$B$1118&lt;&gt;"",_PENDIENTES!$J$1118,"")</f>
        <v/>
      </c>
      <c r="K1124" s="106" t="str">
        <f aca="false">IF(_PENDIENTES!$B$1118&lt;&gt;"","POR RECOGER","")</f>
        <v/>
      </c>
      <c r="L1124" s="106" t="str">
        <f aca="false">IF(_PENDIENTES!$B$1118&lt;&gt;"",_PENDIENTES!$K$1118,"")</f>
        <v/>
      </c>
      <c r="M1124" s="89" t="str">
        <f aca="false">IF(_PENDIENTES!$B$1118&lt;&gt;"",_PENDIENTES!$B$1118,"")</f>
        <v/>
      </c>
      <c r="N1124" s="109" t="str">
        <f aca="false">IF(_PENDIENTES!$B$1118&lt;&gt;"",_PENDIENTES!$L$1118,"")</f>
        <v/>
      </c>
      <c r="O1124" s="89"/>
    </row>
    <row r="1125" customFormat="false" ht="15.75" hidden="true" customHeight="true" outlineLevel="0" collapsed="false">
      <c r="A1125" s="46" t="str">
        <f aca="false">IF(_PENDIENTES!$B$1119&lt;&gt;"",1118,"")</f>
        <v/>
      </c>
      <c r="B1125" s="41" t="str">
        <f aca="false">IF(_PENDIENTES!$B$1119&lt;&gt;"",_PENDIENTES!$A$1119,"")</f>
        <v/>
      </c>
      <c r="C1125" s="110" t="str">
        <f aca="false">IF(_PENDIENTES!$B$1119&lt;&gt;"",_PENDIENTES!$C$1119,"")</f>
        <v/>
      </c>
      <c r="D1125" s="46" t="str">
        <f aca="false">IF(_PENDIENTES!$B$1119&lt;&gt;"",_PENDIENTES!$D$1119,"")</f>
        <v/>
      </c>
      <c r="E1125" s="46" t="str">
        <f aca="false">IF(_PENDIENTES!$B$1119&lt;&gt;"",_PENDIENTES!$E$1119,"")</f>
        <v/>
      </c>
      <c r="F1125" s="46" t="str">
        <f aca="false">IF(_PENDIENTES!$B$1119&lt;&gt;"",_PENDIENTES!$F$1119,"")</f>
        <v/>
      </c>
      <c r="G1125" s="44" t="str">
        <f aca="false">IF(_PENDIENTES!$B$1119&lt;&gt;"",_PENDIENTES!$G$1119,"")</f>
        <v/>
      </c>
      <c r="H1125" s="44" t="str">
        <f aca="false">IF(_PENDIENTES!$B$1119&lt;&gt;"",_PENDIENTES!$H$1119,"")</f>
        <v/>
      </c>
      <c r="I1125" s="110" t="str">
        <f aca="false">IF(_PENDIENTES!$B$1119&lt;&gt;"",_PENDIENTES!$I$1119,"")</f>
        <v/>
      </c>
      <c r="J1125" s="46" t="str">
        <f aca="false">IF(_PENDIENTES!$B$1119&lt;&gt;"",_PENDIENTES!$J$1119,"")</f>
        <v/>
      </c>
      <c r="K1125" s="46" t="str">
        <f aca="false">IF(_PENDIENTES!$B$1119&lt;&gt;"","POR RECOGER","")</f>
        <v/>
      </c>
      <c r="L1125" s="46" t="str">
        <f aca="false">IF(_PENDIENTES!$B$1119&lt;&gt;"",_PENDIENTES!$K$1119,"")</f>
        <v/>
      </c>
      <c r="M1125" s="89" t="str">
        <f aca="false">IF(_PENDIENTES!$B$1119&lt;&gt;"",_PENDIENTES!$B$1119,"")</f>
        <v/>
      </c>
      <c r="N1125" s="109" t="str">
        <f aca="false">IF(_PENDIENTES!$B$1119&lt;&gt;"",_PENDIENTES!$L$1119,"")</f>
        <v/>
      </c>
      <c r="O1125" s="89"/>
    </row>
    <row r="1126" customFormat="false" ht="15.75" hidden="true" customHeight="true" outlineLevel="0" collapsed="false">
      <c r="A1126" s="106" t="str">
        <f aca="false">IF(_PENDIENTES!$B$1120&lt;&gt;"",1119,"")</f>
        <v/>
      </c>
      <c r="B1126" s="47" t="str">
        <f aca="false">IF(_PENDIENTES!$B$1120&lt;&gt;"",_PENDIENTES!$A$1120,"")</f>
        <v/>
      </c>
      <c r="C1126" s="107" t="str">
        <f aca="false">IF(_PENDIENTES!$B$1120&lt;&gt;"",_PENDIENTES!$C$1120,"")</f>
        <v/>
      </c>
      <c r="D1126" s="106" t="str">
        <f aca="false">IF(_PENDIENTES!$B$1120&lt;&gt;"",_PENDIENTES!$D$1120,"")</f>
        <v/>
      </c>
      <c r="E1126" s="106" t="str">
        <f aca="false">IF(_PENDIENTES!$B$1120&lt;&gt;"",_PENDIENTES!$E$1120,"")</f>
        <v/>
      </c>
      <c r="F1126" s="106" t="str">
        <f aca="false">IF(_PENDIENTES!$B$1120&lt;&gt;"",_PENDIENTES!$F$1120,"")</f>
        <v/>
      </c>
      <c r="G1126" s="50" t="str">
        <f aca="false">IF(_PENDIENTES!$B$1120&lt;&gt;"",_PENDIENTES!$G$1120,"")</f>
        <v/>
      </c>
      <c r="H1126" s="50" t="str">
        <f aca="false">IF(_PENDIENTES!$B$1120&lt;&gt;"",_PENDIENTES!$H$1120,"")</f>
        <v/>
      </c>
      <c r="I1126" s="107" t="str">
        <f aca="false">IF(_PENDIENTES!$B$1120&lt;&gt;"",_PENDIENTES!$I$1120,"")</f>
        <v/>
      </c>
      <c r="J1126" s="106" t="str">
        <f aca="false">IF(_PENDIENTES!$B$1120&lt;&gt;"",_PENDIENTES!$J$1120,"")</f>
        <v/>
      </c>
      <c r="K1126" s="106" t="str">
        <f aca="false">IF(_PENDIENTES!$B$1120&lt;&gt;"","POR RECOGER","")</f>
        <v/>
      </c>
      <c r="L1126" s="106" t="str">
        <f aca="false">IF(_PENDIENTES!$B$1120&lt;&gt;"",_PENDIENTES!$K$1120,"")</f>
        <v/>
      </c>
      <c r="M1126" s="89" t="str">
        <f aca="false">IF(_PENDIENTES!$B$1120&lt;&gt;"",_PENDIENTES!$B$1120,"")</f>
        <v/>
      </c>
      <c r="N1126" s="109" t="str">
        <f aca="false">IF(_PENDIENTES!$B$1120&lt;&gt;"",_PENDIENTES!$L$1120,"")</f>
        <v/>
      </c>
      <c r="O1126" s="89"/>
    </row>
    <row r="1127" customFormat="false" ht="15.75" hidden="true" customHeight="true" outlineLevel="0" collapsed="false">
      <c r="A1127" s="46" t="str">
        <f aca="false">IF(_PENDIENTES!$B$1121&lt;&gt;"",1120,"")</f>
        <v/>
      </c>
      <c r="B1127" s="41" t="str">
        <f aca="false">IF(_PENDIENTES!$B$1121&lt;&gt;"",_PENDIENTES!$A$1121,"")</f>
        <v/>
      </c>
      <c r="C1127" s="110" t="str">
        <f aca="false">IF(_PENDIENTES!$B$1121&lt;&gt;"",_PENDIENTES!$C$1121,"")</f>
        <v/>
      </c>
      <c r="D1127" s="46" t="str">
        <f aca="false">IF(_PENDIENTES!$B$1121&lt;&gt;"",_PENDIENTES!$D$1121,"")</f>
        <v/>
      </c>
      <c r="E1127" s="46" t="str">
        <f aca="false">IF(_PENDIENTES!$B$1121&lt;&gt;"",_PENDIENTES!$E$1121,"")</f>
        <v/>
      </c>
      <c r="F1127" s="46" t="str">
        <f aca="false">IF(_PENDIENTES!$B$1121&lt;&gt;"",_PENDIENTES!$F$1121,"")</f>
        <v/>
      </c>
      <c r="G1127" s="44" t="str">
        <f aca="false">IF(_PENDIENTES!$B$1121&lt;&gt;"",_PENDIENTES!$G$1121,"")</f>
        <v/>
      </c>
      <c r="H1127" s="44" t="str">
        <f aca="false">IF(_PENDIENTES!$B$1121&lt;&gt;"",_PENDIENTES!$H$1121,"")</f>
        <v/>
      </c>
      <c r="I1127" s="110" t="str">
        <f aca="false">IF(_PENDIENTES!$B$1121&lt;&gt;"",_PENDIENTES!$I$1121,"")</f>
        <v/>
      </c>
      <c r="J1127" s="46" t="str">
        <f aca="false">IF(_PENDIENTES!$B$1121&lt;&gt;"",_PENDIENTES!$J$1121,"")</f>
        <v/>
      </c>
      <c r="K1127" s="46" t="str">
        <f aca="false">IF(_PENDIENTES!$B$1121&lt;&gt;"","POR RECOGER","")</f>
        <v/>
      </c>
      <c r="L1127" s="46" t="str">
        <f aca="false">IF(_PENDIENTES!$B$1121&lt;&gt;"",_PENDIENTES!$K$1121,"")</f>
        <v/>
      </c>
      <c r="M1127" s="89" t="str">
        <f aca="false">IF(_PENDIENTES!$B$1121&lt;&gt;"",_PENDIENTES!$B$1121,"")</f>
        <v/>
      </c>
      <c r="N1127" s="109" t="str">
        <f aca="false">IF(_PENDIENTES!$B$1121&lt;&gt;"",_PENDIENTES!$L$1121,"")</f>
        <v/>
      </c>
      <c r="O1127" s="89"/>
    </row>
    <row r="1128" customFormat="false" ht="15.75" hidden="true" customHeight="true" outlineLevel="0" collapsed="false">
      <c r="A1128" s="106" t="str">
        <f aca="false">IF(_PENDIENTES!$B$1122&lt;&gt;"",1121,"")</f>
        <v/>
      </c>
      <c r="B1128" s="47" t="str">
        <f aca="false">IF(_PENDIENTES!$B$1122&lt;&gt;"",_PENDIENTES!$A$1122,"")</f>
        <v/>
      </c>
      <c r="C1128" s="107" t="str">
        <f aca="false">IF(_PENDIENTES!$B$1122&lt;&gt;"",_PENDIENTES!$C$1122,"")</f>
        <v/>
      </c>
      <c r="D1128" s="106" t="str">
        <f aca="false">IF(_PENDIENTES!$B$1122&lt;&gt;"",_PENDIENTES!$D$1122,"")</f>
        <v/>
      </c>
      <c r="E1128" s="106" t="str">
        <f aca="false">IF(_PENDIENTES!$B$1122&lt;&gt;"",_PENDIENTES!$E$1122,"")</f>
        <v/>
      </c>
      <c r="F1128" s="106" t="str">
        <f aca="false">IF(_PENDIENTES!$B$1122&lt;&gt;"",_PENDIENTES!$F$1122,"")</f>
        <v/>
      </c>
      <c r="G1128" s="50" t="str">
        <f aca="false">IF(_PENDIENTES!$B$1122&lt;&gt;"",_PENDIENTES!$G$1122,"")</f>
        <v/>
      </c>
      <c r="H1128" s="50" t="str">
        <f aca="false">IF(_PENDIENTES!$B$1122&lt;&gt;"",_PENDIENTES!$H$1122,"")</f>
        <v/>
      </c>
      <c r="I1128" s="107" t="str">
        <f aca="false">IF(_PENDIENTES!$B$1122&lt;&gt;"",_PENDIENTES!$I$1122,"")</f>
        <v/>
      </c>
      <c r="J1128" s="106" t="str">
        <f aca="false">IF(_PENDIENTES!$B$1122&lt;&gt;"",_PENDIENTES!$J$1122,"")</f>
        <v/>
      </c>
      <c r="K1128" s="106" t="str">
        <f aca="false">IF(_PENDIENTES!$B$1122&lt;&gt;"","POR RECOGER","")</f>
        <v/>
      </c>
      <c r="L1128" s="106" t="str">
        <f aca="false">IF(_PENDIENTES!$B$1122&lt;&gt;"",_PENDIENTES!$K$1122,"")</f>
        <v/>
      </c>
      <c r="M1128" s="89" t="str">
        <f aca="false">IF(_PENDIENTES!$B$1122&lt;&gt;"",_PENDIENTES!$B$1122,"")</f>
        <v/>
      </c>
      <c r="N1128" s="109" t="str">
        <f aca="false">IF(_PENDIENTES!$B$1122&lt;&gt;"",_PENDIENTES!$L$1122,"")</f>
        <v/>
      </c>
      <c r="O1128" s="89"/>
    </row>
    <row r="1129" customFormat="false" ht="15.75" hidden="true" customHeight="true" outlineLevel="0" collapsed="false">
      <c r="A1129" s="46" t="str">
        <f aca="false">IF(_PENDIENTES!$B$1123&lt;&gt;"",1122,"")</f>
        <v/>
      </c>
      <c r="B1129" s="41" t="str">
        <f aca="false">IF(_PENDIENTES!$B$1123&lt;&gt;"",_PENDIENTES!$A$1123,"")</f>
        <v/>
      </c>
      <c r="C1129" s="110" t="str">
        <f aca="false">IF(_PENDIENTES!$B$1123&lt;&gt;"",_PENDIENTES!$C$1123,"")</f>
        <v/>
      </c>
      <c r="D1129" s="46" t="str">
        <f aca="false">IF(_PENDIENTES!$B$1123&lt;&gt;"",_PENDIENTES!$D$1123,"")</f>
        <v/>
      </c>
      <c r="E1129" s="46" t="str">
        <f aca="false">IF(_PENDIENTES!$B$1123&lt;&gt;"",_PENDIENTES!$E$1123,"")</f>
        <v/>
      </c>
      <c r="F1129" s="46" t="str">
        <f aca="false">IF(_PENDIENTES!$B$1123&lt;&gt;"",_PENDIENTES!$F$1123,"")</f>
        <v/>
      </c>
      <c r="G1129" s="44" t="str">
        <f aca="false">IF(_PENDIENTES!$B$1123&lt;&gt;"",_PENDIENTES!$G$1123,"")</f>
        <v/>
      </c>
      <c r="H1129" s="44" t="str">
        <f aca="false">IF(_PENDIENTES!$B$1123&lt;&gt;"",_PENDIENTES!$H$1123,"")</f>
        <v/>
      </c>
      <c r="I1129" s="110" t="str">
        <f aca="false">IF(_PENDIENTES!$B$1123&lt;&gt;"",_PENDIENTES!$I$1123,"")</f>
        <v/>
      </c>
      <c r="J1129" s="46" t="str">
        <f aca="false">IF(_PENDIENTES!$B$1123&lt;&gt;"",_PENDIENTES!$J$1123,"")</f>
        <v/>
      </c>
      <c r="K1129" s="46" t="str">
        <f aca="false">IF(_PENDIENTES!$B$1123&lt;&gt;"","POR RECOGER","")</f>
        <v/>
      </c>
      <c r="L1129" s="46" t="str">
        <f aca="false">IF(_PENDIENTES!$B$1123&lt;&gt;"",_PENDIENTES!$K$1123,"")</f>
        <v/>
      </c>
      <c r="M1129" s="89" t="str">
        <f aca="false">IF(_PENDIENTES!$B$1123&lt;&gt;"",_PENDIENTES!$B$1123,"")</f>
        <v/>
      </c>
      <c r="N1129" s="109" t="str">
        <f aca="false">IF(_PENDIENTES!$B$1123&lt;&gt;"",_PENDIENTES!$L$1123,"")</f>
        <v/>
      </c>
      <c r="O1129" s="89"/>
    </row>
    <row r="1130" customFormat="false" ht="15.75" hidden="true" customHeight="true" outlineLevel="0" collapsed="false">
      <c r="A1130" s="106" t="str">
        <f aca="false">IF(_PENDIENTES!$B$1124&lt;&gt;"",1123,"")</f>
        <v/>
      </c>
      <c r="B1130" s="47" t="str">
        <f aca="false">IF(_PENDIENTES!$B$1124&lt;&gt;"",_PENDIENTES!$A$1124,"")</f>
        <v/>
      </c>
      <c r="C1130" s="107" t="str">
        <f aca="false">IF(_PENDIENTES!$B$1124&lt;&gt;"",_PENDIENTES!$C$1124,"")</f>
        <v/>
      </c>
      <c r="D1130" s="106" t="str">
        <f aca="false">IF(_PENDIENTES!$B$1124&lt;&gt;"",_PENDIENTES!$D$1124,"")</f>
        <v/>
      </c>
      <c r="E1130" s="106" t="str">
        <f aca="false">IF(_PENDIENTES!$B$1124&lt;&gt;"",_PENDIENTES!$E$1124,"")</f>
        <v/>
      </c>
      <c r="F1130" s="106" t="str">
        <f aca="false">IF(_PENDIENTES!$B$1124&lt;&gt;"",_PENDIENTES!$F$1124,"")</f>
        <v/>
      </c>
      <c r="G1130" s="50" t="str">
        <f aca="false">IF(_PENDIENTES!$B$1124&lt;&gt;"",_PENDIENTES!$G$1124,"")</f>
        <v/>
      </c>
      <c r="H1130" s="50" t="str">
        <f aca="false">IF(_PENDIENTES!$B$1124&lt;&gt;"",_PENDIENTES!$H$1124,"")</f>
        <v/>
      </c>
      <c r="I1130" s="107" t="str">
        <f aca="false">IF(_PENDIENTES!$B$1124&lt;&gt;"",_PENDIENTES!$I$1124,"")</f>
        <v/>
      </c>
      <c r="J1130" s="106" t="str">
        <f aca="false">IF(_PENDIENTES!$B$1124&lt;&gt;"",_PENDIENTES!$J$1124,"")</f>
        <v/>
      </c>
      <c r="K1130" s="106" t="str">
        <f aca="false">IF(_PENDIENTES!$B$1124&lt;&gt;"","POR RECOGER","")</f>
        <v/>
      </c>
      <c r="L1130" s="106" t="str">
        <f aca="false">IF(_PENDIENTES!$B$1124&lt;&gt;"",_PENDIENTES!$K$1124,"")</f>
        <v/>
      </c>
      <c r="M1130" s="89" t="str">
        <f aca="false">IF(_PENDIENTES!$B$1124&lt;&gt;"",_PENDIENTES!$B$1124,"")</f>
        <v/>
      </c>
      <c r="N1130" s="109" t="str">
        <f aca="false">IF(_PENDIENTES!$B$1124&lt;&gt;"",_PENDIENTES!$L$1124,"")</f>
        <v/>
      </c>
      <c r="O1130" s="89"/>
    </row>
    <row r="1131" customFormat="false" ht="15.75" hidden="true" customHeight="true" outlineLevel="0" collapsed="false">
      <c r="A1131" s="46" t="str">
        <f aca="false">IF(_PENDIENTES!$B$1125&lt;&gt;"",1124,"")</f>
        <v/>
      </c>
      <c r="B1131" s="41" t="str">
        <f aca="false">IF(_PENDIENTES!$B$1125&lt;&gt;"",_PENDIENTES!$A$1125,"")</f>
        <v/>
      </c>
      <c r="C1131" s="110" t="str">
        <f aca="false">IF(_PENDIENTES!$B$1125&lt;&gt;"",_PENDIENTES!$C$1125,"")</f>
        <v/>
      </c>
      <c r="D1131" s="46" t="str">
        <f aca="false">IF(_PENDIENTES!$B$1125&lt;&gt;"",_PENDIENTES!$D$1125,"")</f>
        <v/>
      </c>
      <c r="E1131" s="46" t="str">
        <f aca="false">IF(_PENDIENTES!$B$1125&lt;&gt;"",_PENDIENTES!$E$1125,"")</f>
        <v/>
      </c>
      <c r="F1131" s="46" t="str">
        <f aca="false">IF(_PENDIENTES!$B$1125&lt;&gt;"",_PENDIENTES!$F$1125,"")</f>
        <v/>
      </c>
      <c r="G1131" s="44" t="str">
        <f aca="false">IF(_PENDIENTES!$B$1125&lt;&gt;"",_PENDIENTES!$G$1125,"")</f>
        <v/>
      </c>
      <c r="H1131" s="44" t="str">
        <f aca="false">IF(_PENDIENTES!$B$1125&lt;&gt;"",_PENDIENTES!$H$1125,"")</f>
        <v/>
      </c>
      <c r="I1131" s="110" t="str">
        <f aca="false">IF(_PENDIENTES!$B$1125&lt;&gt;"",_PENDIENTES!$I$1125,"")</f>
        <v/>
      </c>
      <c r="J1131" s="46" t="str">
        <f aca="false">IF(_PENDIENTES!$B$1125&lt;&gt;"",_PENDIENTES!$J$1125,"")</f>
        <v/>
      </c>
      <c r="K1131" s="46" t="str">
        <f aca="false">IF(_PENDIENTES!$B$1125&lt;&gt;"","POR RECOGER","")</f>
        <v/>
      </c>
      <c r="L1131" s="46" t="str">
        <f aca="false">IF(_PENDIENTES!$B$1125&lt;&gt;"",_PENDIENTES!$K$1125,"")</f>
        <v/>
      </c>
      <c r="M1131" s="89" t="str">
        <f aca="false">IF(_PENDIENTES!$B$1125&lt;&gt;"",_PENDIENTES!$B$1125,"")</f>
        <v/>
      </c>
      <c r="N1131" s="109" t="str">
        <f aca="false">IF(_PENDIENTES!$B$1125&lt;&gt;"",_PENDIENTES!$L$1125,"")</f>
        <v/>
      </c>
      <c r="O1131" s="89"/>
    </row>
    <row r="1132" customFormat="false" ht="15.75" hidden="true" customHeight="true" outlineLevel="0" collapsed="false">
      <c r="A1132" s="106" t="str">
        <f aca="false">IF(_PENDIENTES!$B$1126&lt;&gt;"",1125,"")</f>
        <v/>
      </c>
      <c r="B1132" s="47" t="str">
        <f aca="false">IF(_PENDIENTES!$B$1126&lt;&gt;"",_PENDIENTES!$A$1126,"")</f>
        <v/>
      </c>
      <c r="C1132" s="107" t="str">
        <f aca="false">IF(_PENDIENTES!$B$1126&lt;&gt;"",_PENDIENTES!$C$1126,"")</f>
        <v/>
      </c>
      <c r="D1132" s="106" t="str">
        <f aca="false">IF(_PENDIENTES!$B$1126&lt;&gt;"",_PENDIENTES!$D$1126,"")</f>
        <v/>
      </c>
      <c r="E1132" s="106" t="str">
        <f aca="false">IF(_PENDIENTES!$B$1126&lt;&gt;"",_PENDIENTES!$E$1126,"")</f>
        <v/>
      </c>
      <c r="F1132" s="106" t="str">
        <f aca="false">IF(_PENDIENTES!$B$1126&lt;&gt;"",_PENDIENTES!$F$1126,"")</f>
        <v/>
      </c>
      <c r="G1132" s="50" t="str">
        <f aca="false">IF(_PENDIENTES!$B$1126&lt;&gt;"",_PENDIENTES!$G$1126,"")</f>
        <v/>
      </c>
      <c r="H1132" s="50" t="str">
        <f aca="false">IF(_PENDIENTES!$B$1126&lt;&gt;"",_PENDIENTES!$H$1126,"")</f>
        <v/>
      </c>
      <c r="I1132" s="107" t="str">
        <f aca="false">IF(_PENDIENTES!$B$1126&lt;&gt;"",_PENDIENTES!$I$1126,"")</f>
        <v/>
      </c>
      <c r="J1132" s="106" t="str">
        <f aca="false">IF(_PENDIENTES!$B$1126&lt;&gt;"",_PENDIENTES!$J$1126,"")</f>
        <v/>
      </c>
      <c r="K1132" s="106" t="str">
        <f aca="false">IF(_PENDIENTES!$B$1126&lt;&gt;"","POR RECOGER","")</f>
        <v/>
      </c>
      <c r="L1132" s="106" t="str">
        <f aca="false">IF(_PENDIENTES!$B$1126&lt;&gt;"",_PENDIENTES!$K$1126,"")</f>
        <v/>
      </c>
      <c r="M1132" s="89" t="str">
        <f aca="false">IF(_PENDIENTES!$B$1126&lt;&gt;"",_PENDIENTES!$B$1126,"")</f>
        <v/>
      </c>
      <c r="N1132" s="109" t="str">
        <f aca="false">IF(_PENDIENTES!$B$1126&lt;&gt;"",_PENDIENTES!$L$1126,"")</f>
        <v/>
      </c>
      <c r="O1132" s="89"/>
    </row>
    <row r="1133" customFormat="false" ht="15.75" hidden="true" customHeight="true" outlineLevel="0" collapsed="false">
      <c r="A1133" s="46" t="str">
        <f aca="false">IF(_PENDIENTES!$B$1127&lt;&gt;"",1126,"")</f>
        <v/>
      </c>
      <c r="B1133" s="41" t="str">
        <f aca="false">IF(_PENDIENTES!$B$1127&lt;&gt;"",_PENDIENTES!$A$1127,"")</f>
        <v/>
      </c>
      <c r="C1133" s="110" t="str">
        <f aca="false">IF(_PENDIENTES!$B$1127&lt;&gt;"",_PENDIENTES!$C$1127,"")</f>
        <v/>
      </c>
      <c r="D1133" s="46" t="str">
        <f aca="false">IF(_PENDIENTES!$B$1127&lt;&gt;"",_PENDIENTES!$D$1127,"")</f>
        <v/>
      </c>
      <c r="E1133" s="46" t="str">
        <f aca="false">IF(_PENDIENTES!$B$1127&lt;&gt;"",_PENDIENTES!$E$1127,"")</f>
        <v/>
      </c>
      <c r="F1133" s="46" t="str">
        <f aca="false">IF(_PENDIENTES!$B$1127&lt;&gt;"",_PENDIENTES!$F$1127,"")</f>
        <v/>
      </c>
      <c r="G1133" s="44" t="str">
        <f aca="false">IF(_PENDIENTES!$B$1127&lt;&gt;"",_PENDIENTES!$G$1127,"")</f>
        <v/>
      </c>
      <c r="H1133" s="44" t="str">
        <f aca="false">IF(_PENDIENTES!$B$1127&lt;&gt;"",_PENDIENTES!$H$1127,"")</f>
        <v/>
      </c>
      <c r="I1133" s="110" t="str">
        <f aca="false">IF(_PENDIENTES!$B$1127&lt;&gt;"",_PENDIENTES!$I$1127,"")</f>
        <v/>
      </c>
      <c r="J1133" s="46" t="str">
        <f aca="false">IF(_PENDIENTES!$B$1127&lt;&gt;"",_PENDIENTES!$J$1127,"")</f>
        <v/>
      </c>
      <c r="K1133" s="46" t="str">
        <f aca="false">IF(_PENDIENTES!$B$1127&lt;&gt;"","POR RECOGER","")</f>
        <v/>
      </c>
      <c r="L1133" s="46" t="str">
        <f aca="false">IF(_PENDIENTES!$B$1127&lt;&gt;"",_PENDIENTES!$K$1127,"")</f>
        <v/>
      </c>
      <c r="M1133" s="89" t="str">
        <f aca="false">IF(_PENDIENTES!$B$1127&lt;&gt;"",_PENDIENTES!$B$1127,"")</f>
        <v/>
      </c>
      <c r="N1133" s="109" t="str">
        <f aca="false">IF(_PENDIENTES!$B$1127&lt;&gt;"",_PENDIENTES!$L$1127,"")</f>
        <v/>
      </c>
      <c r="O1133" s="89"/>
    </row>
    <row r="1134" customFormat="false" ht="15.75" hidden="true" customHeight="true" outlineLevel="0" collapsed="false">
      <c r="A1134" s="106" t="str">
        <f aca="false">IF(_PENDIENTES!$B$1128&lt;&gt;"",1127,"")</f>
        <v/>
      </c>
      <c r="B1134" s="47" t="str">
        <f aca="false">IF(_PENDIENTES!$B$1128&lt;&gt;"",_PENDIENTES!$A$1128,"")</f>
        <v/>
      </c>
      <c r="C1134" s="107" t="str">
        <f aca="false">IF(_PENDIENTES!$B$1128&lt;&gt;"",_PENDIENTES!$C$1128,"")</f>
        <v/>
      </c>
      <c r="D1134" s="106" t="str">
        <f aca="false">IF(_PENDIENTES!$B$1128&lt;&gt;"",_PENDIENTES!$D$1128,"")</f>
        <v/>
      </c>
      <c r="E1134" s="106" t="str">
        <f aca="false">IF(_PENDIENTES!$B$1128&lt;&gt;"",_PENDIENTES!$E$1128,"")</f>
        <v/>
      </c>
      <c r="F1134" s="106" t="str">
        <f aca="false">IF(_PENDIENTES!$B$1128&lt;&gt;"",_PENDIENTES!$F$1128,"")</f>
        <v/>
      </c>
      <c r="G1134" s="50" t="str">
        <f aca="false">IF(_PENDIENTES!$B$1128&lt;&gt;"",_PENDIENTES!$G$1128,"")</f>
        <v/>
      </c>
      <c r="H1134" s="50" t="str">
        <f aca="false">IF(_PENDIENTES!$B$1128&lt;&gt;"",_PENDIENTES!$H$1128,"")</f>
        <v/>
      </c>
      <c r="I1134" s="107" t="str">
        <f aca="false">IF(_PENDIENTES!$B$1128&lt;&gt;"",_PENDIENTES!$I$1128,"")</f>
        <v/>
      </c>
      <c r="J1134" s="106" t="str">
        <f aca="false">IF(_PENDIENTES!$B$1128&lt;&gt;"",_PENDIENTES!$J$1128,"")</f>
        <v/>
      </c>
      <c r="K1134" s="106" t="str">
        <f aca="false">IF(_PENDIENTES!$B$1128&lt;&gt;"","POR RECOGER","")</f>
        <v/>
      </c>
      <c r="L1134" s="106" t="str">
        <f aca="false">IF(_PENDIENTES!$B$1128&lt;&gt;"",_PENDIENTES!$K$1128,"")</f>
        <v/>
      </c>
      <c r="M1134" s="89" t="str">
        <f aca="false">IF(_PENDIENTES!$B$1128&lt;&gt;"",_PENDIENTES!$B$1128,"")</f>
        <v/>
      </c>
      <c r="N1134" s="109" t="str">
        <f aca="false">IF(_PENDIENTES!$B$1128&lt;&gt;"",_PENDIENTES!$L$1128,"")</f>
        <v/>
      </c>
      <c r="O1134" s="89"/>
    </row>
    <row r="1135" customFormat="false" ht="15.75" hidden="true" customHeight="true" outlineLevel="0" collapsed="false">
      <c r="A1135" s="46" t="str">
        <f aca="false">IF(_PENDIENTES!$B$1129&lt;&gt;"",1128,"")</f>
        <v/>
      </c>
      <c r="B1135" s="41" t="str">
        <f aca="false">IF(_PENDIENTES!$B$1129&lt;&gt;"",_PENDIENTES!$A$1129,"")</f>
        <v/>
      </c>
      <c r="C1135" s="110" t="str">
        <f aca="false">IF(_PENDIENTES!$B$1129&lt;&gt;"",_PENDIENTES!$C$1129,"")</f>
        <v/>
      </c>
      <c r="D1135" s="46" t="str">
        <f aca="false">IF(_PENDIENTES!$B$1129&lt;&gt;"",_PENDIENTES!$D$1129,"")</f>
        <v/>
      </c>
      <c r="E1135" s="46" t="str">
        <f aca="false">IF(_PENDIENTES!$B$1129&lt;&gt;"",_PENDIENTES!$E$1129,"")</f>
        <v/>
      </c>
      <c r="F1135" s="46" t="str">
        <f aca="false">IF(_PENDIENTES!$B$1129&lt;&gt;"",_PENDIENTES!$F$1129,"")</f>
        <v/>
      </c>
      <c r="G1135" s="44" t="str">
        <f aca="false">IF(_PENDIENTES!$B$1129&lt;&gt;"",_PENDIENTES!$G$1129,"")</f>
        <v/>
      </c>
      <c r="H1135" s="44" t="str">
        <f aca="false">IF(_PENDIENTES!$B$1129&lt;&gt;"",_PENDIENTES!$H$1129,"")</f>
        <v/>
      </c>
      <c r="I1135" s="110" t="str">
        <f aca="false">IF(_PENDIENTES!$B$1129&lt;&gt;"",_PENDIENTES!$I$1129,"")</f>
        <v/>
      </c>
      <c r="J1135" s="46" t="str">
        <f aca="false">IF(_PENDIENTES!$B$1129&lt;&gt;"",_PENDIENTES!$J$1129,"")</f>
        <v/>
      </c>
      <c r="K1135" s="46" t="str">
        <f aca="false">IF(_PENDIENTES!$B$1129&lt;&gt;"","POR RECOGER","")</f>
        <v/>
      </c>
      <c r="L1135" s="46" t="str">
        <f aca="false">IF(_PENDIENTES!$B$1129&lt;&gt;"",_PENDIENTES!$K$1129,"")</f>
        <v/>
      </c>
      <c r="M1135" s="89" t="str">
        <f aca="false">IF(_PENDIENTES!$B$1129&lt;&gt;"",_PENDIENTES!$B$1129,"")</f>
        <v/>
      </c>
      <c r="N1135" s="109" t="str">
        <f aca="false">IF(_PENDIENTES!$B$1129&lt;&gt;"",_PENDIENTES!$L$1129,"")</f>
        <v/>
      </c>
      <c r="O1135" s="89"/>
    </row>
    <row r="1136" customFormat="false" ht="15.75" hidden="true" customHeight="true" outlineLevel="0" collapsed="false">
      <c r="A1136" s="106" t="str">
        <f aca="false">IF(_PENDIENTES!$B$1130&lt;&gt;"",1129,"")</f>
        <v/>
      </c>
      <c r="B1136" s="47" t="str">
        <f aca="false">IF(_PENDIENTES!$B$1130&lt;&gt;"",_PENDIENTES!$A$1130,"")</f>
        <v/>
      </c>
      <c r="C1136" s="107" t="str">
        <f aca="false">IF(_PENDIENTES!$B$1130&lt;&gt;"",_PENDIENTES!$C$1130,"")</f>
        <v/>
      </c>
      <c r="D1136" s="106" t="str">
        <f aca="false">IF(_PENDIENTES!$B$1130&lt;&gt;"",_PENDIENTES!$D$1130,"")</f>
        <v/>
      </c>
      <c r="E1136" s="106" t="str">
        <f aca="false">IF(_PENDIENTES!$B$1130&lt;&gt;"",_PENDIENTES!$E$1130,"")</f>
        <v/>
      </c>
      <c r="F1136" s="106" t="str">
        <f aca="false">IF(_PENDIENTES!$B$1130&lt;&gt;"",_PENDIENTES!$F$1130,"")</f>
        <v/>
      </c>
      <c r="G1136" s="50" t="str">
        <f aca="false">IF(_PENDIENTES!$B$1130&lt;&gt;"",_PENDIENTES!$G$1130,"")</f>
        <v/>
      </c>
      <c r="H1136" s="50" t="str">
        <f aca="false">IF(_PENDIENTES!$B$1130&lt;&gt;"",_PENDIENTES!$H$1130,"")</f>
        <v/>
      </c>
      <c r="I1136" s="107" t="str">
        <f aca="false">IF(_PENDIENTES!$B$1130&lt;&gt;"",_PENDIENTES!$I$1130,"")</f>
        <v/>
      </c>
      <c r="J1136" s="106" t="str">
        <f aca="false">IF(_PENDIENTES!$B$1130&lt;&gt;"",_PENDIENTES!$J$1130,"")</f>
        <v/>
      </c>
      <c r="K1136" s="106" t="str">
        <f aca="false">IF(_PENDIENTES!$B$1130&lt;&gt;"","POR RECOGER","")</f>
        <v/>
      </c>
      <c r="L1136" s="106" t="str">
        <f aca="false">IF(_PENDIENTES!$B$1130&lt;&gt;"",_PENDIENTES!$K$1130,"")</f>
        <v/>
      </c>
      <c r="M1136" s="89" t="str">
        <f aca="false">IF(_PENDIENTES!$B$1130&lt;&gt;"",_PENDIENTES!$B$1130,"")</f>
        <v/>
      </c>
      <c r="N1136" s="109" t="str">
        <f aca="false">IF(_PENDIENTES!$B$1130&lt;&gt;"",_PENDIENTES!$L$1130,"")</f>
        <v/>
      </c>
      <c r="O1136" s="89"/>
    </row>
    <row r="1137" customFormat="false" ht="15.75" hidden="true" customHeight="true" outlineLevel="0" collapsed="false">
      <c r="A1137" s="46" t="str">
        <f aca="false">IF(_PENDIENTES!$B$1131&lt;&gt;"",1130,"")</f>
        <v/>
      </c>
      <c r="B1137" s="41" t="str">
        <f aca="false">IF(_PENDIENTES!$B$1131&lt;&gt;"",_PENDIENTES!$A$1131,"")</f>
        <v/>
      </c>
      <c r="C1137" s="110" t="str">
        <f aca="false">IF(_PENDIENTES!$B$1131&lt;&gt;"",_PENDIENTES!$C$1131,"")</f>
        <v/>
      </c>
      <c r="D1137" s="46" t="str">
        <f aca="false">IF(_PENDIENTES!$B$1131&lt;&gt;"",_PENDIENTES!$D$1131,"")</f>
        <v/>
      </c>
      <c r="E1137" s="46" t="str">
        <f aca="false">IF(_PENDIENTES!$B$1131&lt;&gt;"",_PENDIENTES!$E$1131,"")</f>
        <v/>
      </c>
      <c r="F1137" s="46" t="str">
        <f aca="false">IF(_PENDIENTES!$B$1131&lt;&gt;"",_PENDIENTES!$F$1131,"")</f>
        <v/>
      </c>
      <c r="G1137" s="44" t="str">
        <f aca="false">IF(_PENDIENTES!$B$1131&lt;&gt;"",_PENDIENTES!$G$1131,"")</f>
        <v/>
      </c>
      <c r="H1137" s="44" t="str">
        <f aca="false">IF(_PENDIENTES!$B$1131&lt;&gt;"",_PENDIENTES!$H$1131,"")</f>
        <v/>
      </c>
      <c r="I1137" s="110" t="str">
        <f aca="false">IF(_PENDIENTES!$B$1131&lt;&gt;"",_PENDIENTES!$I$1131,"")</f>
        <v/>
      </c>
      <c r="J1137" s="46" t="str">
        <f aca="false">IF(_PENDIENTES!$B$1131&lt;&gt;"",_PENDIENTES!$J$1131,"")</f>
        <v/>
      </c>
      <c r="K1137" s="46" t="str">
        <f aca="false">IF(_PENDIENTES!$B$1131&lt;&gt;"","POR RECOGER","")</f>
        <v/>
      </c>
      <c r="L1137" s="46" t="str">
        <f aca="false">IF(_PENDIENTES!$B$1131&lt;&gt;"",_PENDIENTES!$K$1131,"")</f>
        <v/>
      </c>
      <c r="M1137" s="89" t="str">
        <f aca="false">IF(_PENDIENTES!$B$1131&lt;&gt;"",_PENDIENTES!$B$1131,"")</f>
        <v/>
      </c>
      <c r="N1137" s="109" t="str">
        <f aca="false">IF(_PENDIENTES!$B$1131&lt;&gt;"",_PENDIENTES!$L$1131,"")</f>
        <v/>
      </c>
      <c r="O1137" s="89"/>
    </row>
    <row r="1138" customFormat="false" ht="15.75" hidden="true" customHeight="true" outlineLevel="0" collapsed="false">
      <c r="A1138" s="106" t="str">
        <f aca="false">IF(_PENDIENTES!$B$1132&lt;&gt;"",1131,"")</f>
        <v/>
      </c>
      <c r="B1138" s="47" t="str">
        <f aca="false">IF(_PENDIENTES!$B$1132&lt;&gt;"",_PENDIENTES!$A$1132,"")</f>
        <v/>
      </c>
      <c r="C1138" s="107" t="str">
        <f aca="false">IF(_PENDIENTES!$B$1132&lt;&gt;"",_PENDIENTES!$C$1132,"")</f>
        <v/>
      </c>
      <c r="D1138" s="106" t="str">
        <f aca="false">IF(_PENDIENTES!$B$1132&lt;&gt;"",_PENDIENTES!$D$1132,"")</f>
        <v/>
      </c>
      <c r="E1138" s="106" t="str">
        <f aca="false">IF(_PENDIENTES!$B$1132&lt;&gt;"",_PENDIENTES!$E$1132,"")</f>
        <v/>
      </c>
      <c r="F1138" s="106" t="str">
        <f aca="false">IF(_PENDIENTES!$B$1132&lt;&gt;"",_PENDIENTES!$F$1132,"")</f>
        <v/>
      </c>
      <c r="G1138" s="50" t="str">
        <f aca="false">IF(_PENDIENTES!$B$1132&lt;&gt;"",_PENDIENTES!$G$1132,"")</f>
        <v/>
      </c>
      <c r="H1138" s="50" t="str">
        <f aca="false">IF(_PENDIENTES!$B$1132&lt;&gt;"",_PENDIENTES!$H$1132,"")</f>
        <v/>
      </c>
      <c r="I1138" s="107" t="str">
        <f aca="false">IF(_PENDIENTES!$B$1132&lt;&gt;"",_PENDIENTES!$I$1132,"")</f>
        <v/>
      </c>
      <c r="J1138" s="106" t="str">
        <f aca="false">IF(_PENDIENTES!$B$1132&lt;&gt;"",_PENDIENTES!$J$1132,"")</f>
        <v/>
      </c>
      <c r="K1138" s="106" t="str">
        <f aca="false">IF(_PENDIENTES!$B$1132&lt;&gt;"","POR RECOGER","")</f>
        <v/>
      </c>
      <c r="L1138" s="106" t="str">
        <f aca="false">IF(_PENDIENTES!$B$1132&lt;&gt;"",_PENDIENTES!$K$1132,"")</f>
        <v/>
      </c>
      <c r="M1138" s="89" t="str">
        <f aca="false">IF(_PENDIENTES!$B$1132&lt;&gt;"",_PENDIENTES!$B$1132,"")</f>
        <v/>
      </c>
      <c r="N1138" s="109" t="str">
        <f aca="false">IF(_PENDIENTES!$B$1132&lt;&gt;"",_PENDIENTES!$L$1132,"")</f>
        <v/>
      </c>
      <c r="O1138" s="89"/>
    </row>
    <row r="1139" customFormat="false" ht="15.75" hidden="true" customHeight="true" outlineLevel="0" collapsed="false">
      <c r="A1139" s="46" t="str">
        <f aca="false">IF(_PENDIENTES!$B$1133&lt;&gt;"",1132,"")</f>
        <v/>
      </c>
      <c r="B1139" s="41" t="str">
        <f aca="false">IF(_PENDIENTES!$B$1133&lt;&gt;"",_PENDIENTES!$A$1133,"")</f>
        <v/>
      </c>
      <c r="C1139" s="110" t="str">
        <f aca="false">IF(_PENDIENTES!$B$1133&lt;&gt;"",_PENDIENTES!$C$1133,"")</f>
        <v/>
      </c>
      <c r="D1139" s="46" t="str">
        <f aca="false">IF(_PENDIENTES!$B$1133&lt;&gt;"",_PENDIENTES!$D$1133,"")</f>
        <v/>
      </c>
      <c r="E1139" s="46" t="str">
        <f aca="false">IF(_PENDIENTES!$B$1133&lt;&gt;"",_PENDIENTES!$E$1133,"")</f>
        <v/>
      </c>
      <c r="F1139" s="46" t="str">
        <f aca="false">IF(_PENDIENTES!$B$1133&lt;&gt;"",_PENDIENTES!$F$1133,"")</f>
        <v/>
      </c>
      <c r="G1139" s="44" t="str">
        <f aca="false">IF(_PENDIENTES!$B$1133&lt;&gt;"",_PENDIENTES!$G$1133,"")</f>
        <v/>
      </c>
      <c r="H1139" s="44" t="str">
        <f aca="false">IF(_PENDIENTES!$B$1133&lt;&gt;"",_PENDIENTES!$H$1133,"")</f>
        <v/>
      </c>
      <c r="I1139" s="110" t="str">
        <f aca="false">IF(_PENDIENTES!$B$1133&lt;&gt;"",_PENDIENTES!$I$1133,"")</f>
        <v/>
      </c>
      <c r="J1139" s="46" t="str">
        <f aca="false">IF(_PENDIENTES!$B$1133&lt;&gt;"",_PENDIENTES!$J$1133,"")</f>
        <v/>
      </c>
      <c r="K1139" s="46" t="str">
        <f aca="false">IF(_PENDIENTES!$B$1133&lt;&gt;"","POR RECOGER","")</f>
        <v/>
      </c>
      <c r="L1139" s="46" t="str">
        <f aca="false">IF(_PENDIENTES!$B$1133&lt;&gt;"",_PENDIENTES!$K$1133,"")</f>
        <v/>
      </c>
      <c r="M1139" s="89" t="str">
        <f aca="false">IF(_PENDIENTES!$B$1133&lt;&gt;"",_PENDIENTES!$B$1133,"")</f>
        <v/>
      </c>
      <c r="N1139" s="109" t="str">
        <f aca="false">IF(_PENDIENTES!$B$1133&lt;&gt;"",_PENDIENTES!$L$1133,"")</f>
        <v/>
      </c>
      <c r="O1139" s="89"/>
    </row>
    <row r="1140" customFormat="false" ht="15.75" hidden="true" customHeight="true" outlineLevel="0" collapsed="false">
      <c r="A1140" s="106" t="str">
        <f aca="false">IF(_PENDIENTES!$B$1134&lt;&gt;"",1133,"")</f>
        <v/>
      </c>
      <c r="B1140" s="47" t="str">
        <f aca="false">IF(_PENDIENTES!$B$1134&lt;&gt;"",_PENDIENTES!$A$1134,"")</f>
        <v/>
      </c>
      <c r="C1140" s="107" t="str">
        <f aca="false">IF(_PENDIENTES!$B$1134&lt;&gt;"",_PENDIENTES!$C$1134,"")</f>
        <v/>
      </c>
      <c r="D1140" s="106" t="str">
        <f aca="false">IF(_PENDIENTES!$B$1134&lt;&gt;"",_PENDIENTES!$D$1134,"")</f>
        <v/>
      </c>
      <c r="E1140" s="106" t="str">
        <f aca="false">IF(_PENDIENTES!$B$1134&lt;&gt;"",_PENDIENTES!$E$1134,"")</f>
        <v/>
      </c>
      <c r="F1140" s="106" t="str">
        <f aca="false">IF(_PENDIENTES!$B$1134&lt;&gt;"",_PENDIENTES!$F$1134,"")</f>
        <v/>
      </c>
      <c r="G1140" s="50" t="str">
        <f aca="false">IF(_PENDIENTES!$B$1134&lt;&gt;"",_PENDIENTES!$G$1134,"")</f>
        <v/>
      </c>
      <c r="H1140" s="50" t="str">
        <f aca="false">IF(_PENDIENTES!$B$1134&lt;&gt;"",_PENDIENTES!$H$1134,"")</f>
        <v/>
      </c>
      <c r="I1140" s="107" t="str">
        <f aca="false">IF(_PENDIENTES!$B$1134&lt;&gt;"",_PENDIENTES!$I$1134,"")</f>
        <v/>
      </c>
      <c r="J1140" s="106" t="str">
        <f aca="false">IF(_PENDIENTES!$B$1134&lt;&gt;"",_PENDIENTES!$J$1134,"")</f>
        <v/>
      </c>
      <c r="K1140" s="106" t="str">
        <f aca="false">IF(_PENDIENTES!$B$1134&lt;&gt;"","POR RECOGER","")</f>
        <v/>
      </c>
      <c r="L1140" s="106" t="str">
        <f aca="false">IF(_PENDIENTES!$B$1134&lt;&gt;"",_PENDIENTES!$K$1134,"")</f>
        <v/>
      </c>
      <c r="M1140" s="89" t="str">
        <f aca="false">IF(_PENDIENTES!$B$1134&lt;&gt;"",_PENDIENTES!$B$1134,"")</f>
        <v/>
      </c>
      <c r="N1140" s="109" t="str">
        <f aca="false">IF(_PENDIENTES!$B$1134&lt;&gt;"",_PENDIENTES!$L$1134,"")</f>
        <v/>
      </c>
      <c r="O1140" s="89"/>
    </row>
    <row r="1141" customFormat="false" ht="15.75" hidden="true" customHeight="true" outlineLevel="0" collapsed="false">
      <c r="A1141" s="46" t="str">
        <f aca="false">IF(_PENDIENTES!$B$1135&lt;&gt;"",1134,"")</f>
        <v/>
      </c>
      <c r="B1141" s="41" t="str">
        <f aca="false">IF(_PENDIENTES!$B$1135&lt;&gt;"",_PENDIENTES!$A$1135,"")</f>
        <v/>
      </c>
      <c r="C1141" s="110" t="str">
        <f aca="false">IF(_PENDIENTES!$B$1135&lt;&gt;"",_PENDIENTES!$C$1135,"")</f>
        <v/>
      </c>
      <c r="D1141" s="46" t="str">
        <f aca="false">IF(_PENDIENTES!$B$1135&lt;&gt;"",_PENDIENTES!$D$1135,"")</f>
        <v/>
      </c>
      <c r="E1141" s="46" t="str">
        <f aca="false">IF(_PENDIENTES!$B$1135&lt;&gt;"",_PENDIENTES!$E$1135,"")</f>
        <v/>
      </c>
      <c r="F1141" s="46" t="str">
        <f aca="false">IF(_PENDIENTES!$B$1135&lt;&gt;"",_PENDIENTES!$F$1135,"")</f>
        <v/>
      </c>
      <c r="G1141" s="44" t="str">
        <f aca="false">IF(_PENDIENTES!$B$1135&lt;&gt;"",_PENDIENTES!$G$1135,"")</f>
        <v/>
      </c>
      <c r="H1141" s="44" t="str">
        <f aca="false">IF(_PENDIENTES!$B$1135&lt;&gt;"",_PENDIENTES!$H$1135,"")</f>
        <v/>
      </c>
      <c r="I1141" s="110" t="str">
        <f aca="false">IF(_PENDIENTES!$B$1135&lt;&gt;"",_PENDIENTES!$I$1135,"")</f>
        <v/>
      </c>
      <c r="J1141" s="46" t="str">
        <f aca="false">IF(_PENDIENTES!$B$1135&lt;&gt;"",_PENDIENTES!$J$1135,"")</f>
        <v/>
      </c>
      <c r="K1141" s="46" t="str">
        <f aca="false">IF(_PENDIENTES!$B$1135&lt;&gt;"","POR RECOGER","")</f>
        <v/>
      </c>
      <c r="L1141" s="46" t="str">
        <f aca="false">IF(_PENDIENTES!$B$1135&lt;&gt;"",_PENDIENTES!$K$1135,"")</f>
        <v/>
      </c>
      <c r="M1141" s="89" t="str">
        <f aca="false">IF(_PENDIENTES!$B$1135&lt;&gt;"",_PENDIENTES!$B$1135,"")</f>
        <v/>
      </c>
      <c r="N1141" s="109" t="str">
        <f aca="false">IF(_PENDIENTES!$B$1135&lt;&gt;"",_PENDIENTES!$L$1135,"")</f>
        <v/>
      </c>
      <c r="O1141" s="89"/>
    </row>
    <row r="1142" customFormat="false" ht="15.75" hidden="true" customHeight="true" outlineLevel="0" collapsed="false">
      <c r="A1142" s="106" t="str">
        <f aca="false">IF(_PENDIENTES!$B$1136&lt;&gt;"",1135,"")</f>
        <v/>
      </c>
      <c r="B1142" s="47" t="str">
        <f aca="false">IF(_PENDIENTES!$B$1136&lt;&gt;"",_PENDIENTES!$A$1136,"")</f>
        <v/>
      </c>
      <c r="C1142" s="107" t="str">
        <f aca="false">IF(_PENDIENTES!$B$1136&lt;&gt;"",_PENDIENTES!$C$1136,"")</f>
        <v/>
      </c>
      <c r="D1142" s="106" t="str">
        <f aca="false">IF(_PENDIENTES!$B$1136&lt;&gt;"",_PENDIENTES!$D$1136,"")</f>
        <v/>
      </c>
      <c r="E1142" s="106" t="str">
        <f aca="false">IF(_PENDIENTES!$B$1136&lt;&gt;"",_PENDIENTES!$E$1136,"")</f>
        <v/>
      </c>
      <c r="F1142" s="106" t="str">
        <f aca="false">IF(_PENDIENTES!$B$1136&lt;&gt;"",_PENDIENTES!$F$1136,"")</f>
        <v/>
      </c>
      <c r="G1142" s="50" t="str">
        <f aca="false">IF(_PENDIENTES!$B$1136&lt;&gt;"",_PENDIENTES!$G$1136,"")</f>
        <v/>
      </c>
      <c r="H1142" s="50" t="str">
        <f aca="false">IF(_PENDIENTES!$B$1136&lt;&gt;"",_PENDIENTES!$H$1136,"")</f>
        <v/>
      </c>
      <c r="I1142" s="107" t="str">
        <f aca="false">IF(_PENDIENTES!$B$1136&lt;&gt;"",_PENDIENTES!$I$1136,"")</f>
        <v/>
      </c>
      <c r="J1142" s="106" t="str">
        <f aca="false">IF(_PENDIENTES!$B$1136&lt;&gt;"",_PENDIENTES!$J$1136,"")</f>
        <v/>
      </c>
      <c r="K1142" s="106" t="str">
        <f aca="false">IF(_PENDIENTES!$B$1136&lt;&gt;"","POR RECOGER","")</f>
        <v/>
      </c>
      <c r="L1142" s="106" t="str">
        <f aca="false">IF(_PENDIENTES!$B$1136&lt;&gt;"",_PENDIENTES!$K$1136,"")</f>
        <v/>
      </c>
      <c r="M1142" s="89" t="str">
        <f aca="false">IF(_PENDIENTES!$B$1136&lt;&gt;"",_PENDIENTES!$B$1136,"")</f>
        <v/>
      </c>
      <c r="N1142" s="109" t="str">
        <f aca="false">IF(_PENDIENTES!$B$1136&lt;&gt;"",_PENDIENTES!$L$1136,"")</f>
        <v/>
      </c>
      <c r="O1142" s="89"/>
    </row>
    <row r="1143" customFormat="false" ht="15.75" hidden="true" customHeight="true" outlineLevel="0" collapsed="false">
      <c r="A1143" s="46" t="str">
        <f aca="false">IF(_PENDIENTES!$B$1137&lt;&gt;"",1136,"")</f>
        <v/>
      </c>
      <c r="B1143" s="41" t="str">
        <f aca="false">IF(_PENDIENTES!$B$1137&lt;&gt;"",_PENDIENTES!$A$1137,"")</f>
        <v/>
      </c>
      <c r="C1143" s="110" t="str">
        <f aca="false">IF(_PENDIENTES!$B$1137&lt;&gt;"",_PENDIENTES!$C$1137,"")</f>
        <v/>
      </c>
      <c r="D1143" s="46" t="str">
        <f aca="false">IF(_PENDIENTES!$B$1137&lt;&gt;"",_PENDIENTES!$D$1137,"")</f>
        <v/>
      </c>
      <c r="E1143" s="46" t="str">
        <f aca="false">IF(_PENDIENTES!$B$1137&lt;&gt;"",_PENDIENTES!$E$1137,"")</f>
        <v/>
      </c>
      <c r="F1143" s="46" t="str">
        <f aca="false">IF(_PENDIENTES!$B$1137&lt;&gt;"",_PENDIENTES!$F$1137,"")</f>
        <v/>
      </c>
      <c r="G1143" s="44" t="str">
        <f aca="false">IF(_PENDIENTES!$B$1137&lt;&gt;"",_PENDIENTES!$G$1137,"")</f>
        <v/>
      </c>
      <c r="H1143" s="44" t="str">
        <f aca="false">IF(_PENDIENTES!$B$1137&lt;&gt;"",_PENDIENTES!$H$1137,"")</f>
        <v/>
      </c>
      <c r="I1143" s="110" t="str">
        <f aca="false">IF(_PENDIENTES!$B$1137&lt;&gt;"",_PENDIENTES!$I$1137,"")</f>
        <v/>
      </c>
      <c r="J1143" s="46" t="str">
        <f aca="false">IF(_PENDIENTES!$B$1137&lt;&gt;"",_PENDIENTES!$J$1137,"")</f>
        <v/>
      </c>
      <c r="K1143" s="46" t="str">
        <f aca="false">IF(_PENDIENTES!$B$1137&lt;&gt;"","POR RECOGER","")</f>
        <v/>
      </c>
      <c r="L1143" s="46" t="str">
        <f aca="false">IF(_PENDIENTES!$B$1137&lt;&gt;"",_PENDIENTES!$K$1137,"")</f>
        <v/>
      </c>
      <c r="M1143" s="89" t="str">
        <f aca="false">IF(_PENDIENTES!$B$1137&lt;&gt;"",_PENDIENTES!$B$1137,"")</f>
        <v/>
      </c>
      <c r="N1143" s="109" t="str">
        <f aca="false">IF(_PENDIENTES!$B$1137&lt;&gt;"",_PENDIENTES!$L$1137,"")</f>
        <v/>
      </c>
      <c r="O1143" s="89"/>
    </row>
    <row r="1144" customFormat="false" ht="15.75" hidden="true" customHeight="true" outlineLevel="0" collapsed="false">
      <c r="A1144" s="106" t="str">
        <f aca="false">IF(_PENDIENTES!$B$1138&lt;&gt;"",1137,"")</f>
        <v/>
      </c>
      <c r="B1144" s="47" t="str">
        <f aca="false">IF(_PENDIENTES!$B$1138&lt;&gt;"",_PENDIENTES!$A$1138,"")</f>
        <v/>
      </c>
      <c r="C1144" s="107" t="str">
        <f aca="false">IF(_PENDIENTES!$B$1138&lt;&gt;"",_PENDIENTES!$C$1138,"")</f>
        <v/>
      </c>
      <c r="D1144" s="106" t="str">
        <f aca="false">IF(_PENDIENTES!$B$1138&lt;&gt;"",_PENDIENTES!$D$1138,"")</f>
        <v/>
      </c>
      <c r="E1144" s="106" t="str">
        <f aca="false">IF(_PENDIENTES!$B$1138&lt;&gt;"",_PENDIENTES!$E$1138,"")</f>
        <v/>
      </c>
      <c r="F1144" s="106" t="str">
        <f aca="false">IF(_PENDIENTES!$B$1138&lt;&gt;"",_PENDIENTES!$F$1138,"")</f>
        <v/>
      </c>
      <c r="G1144" s="50" t="str">
        <f aca="false">IF(_PENDIENTES!$B$1138&lt;&gt;"",_PENDIENTES!$G$1138,"")</f>
        <v/>
      </c>
      <c r="H1144" s="50" t="str">
        <f aca="false">IF(_PENDIENTES!$B$1138&lt;&gt;"",_PENDIENTES!$H$1138,"")</f>
        <v/>
      </c>
      <c r="I1144" s="107" t="str">
        <f aca="false">IF(_PENDIENTES!$B$1138&lt;&gt;"",_PENDIENTES!$I$1138,"")</f>
        <v/>
      </c>
      <c r="J1144" s="106" t="str">
        <f aca="false">IF(_PENDIENTES!$B$1138&lt;&gt;"",_PENDIENTES!$J$1138,"")</f>
        <v/>
      </c>
      <c r="K1144" s="106" t="str">
        <f aca="false">IF(_PENDIENTES!$B$1138&lt;&gt;"","POR RECOGER","")</f>
        <v/>
      </c>
      <c r="L1144" s="106" t="str">
        <f aca="false">IF(_PENDIENTES!$B$1138&lt;&gt;"",_PENDIENTES!$K$1138,"")</f>
        <v/>
      </c>
      <c r="M1144" s="89" t="str">
        <f aca="false">IF(_PENDIENTES!$B$1138&lt;&gt;"",_PENDIENTES!$B$1138,"")</f>
        <v/>
      </c>
      <c r="N1144" s="109" t="str">
        <f aca="false">IF(_PENDIENTES!$B$1138&lt;&gt;"",_PENDIENTES!$L$1138,"")</f>
        <v/>
      </c>
      <c r="O1144" s="89"/>
    </row>
    <row r="1145" customFormat="false" ht="15.75" hidden="true" customHeight="true" outlineLevel="0" collapsed="false">
      <c r="A1145" s="46" t="str">
        <f aca="false">IF(_PENDIENTES!$B$1139&lt;&gt;"",1138,"")</f>
        <v/>
      </c>
      <c r="B1145" s="41" t="str">
        <f aca="false">IF(_PENDIENTES!$B$1139&lt;&gt;"",_PENDIENTES!$A$1139,"")</f>
        <v/>
      </c>
      <c r="C1145" s="110" t="str">
        <f aca="false">IF(_PENDIENTES!$B$1139&lt;&gt;"",_PENDIENTES!$C$1139,"")</f>
        <v/>
      </c>
      <c r="D1145" s="46" t="str">
        <f aca="false">IF(_PENDIENTES!$B$1139&lt;&gt;"",_PENDIENTES!$D$1139,"")</f>
        <v/>
      </c>
      <c r="E1145" s="46" t="str">
        <f aca="false">IF(_PENDIENTES!$B$1139&lt;&gt;"",_PENDIENTES!$E$1139,"")</f>
        <v/>
      </c>
      <c r="F1145" s="46" t="str">
        <f aca="false">IF(_PENDIENTES!$B$1139&lt;&gt;"",_PENDIENTES!$F$1139,"")</f>
        <v/>
      </c>
      <c r="G1145" s="44" t="str">
        <f aca="false">IF(_PENDIENTES!$B$1139&lt;&gt;"",_PENDIENTES!$G$1139,"")</f>
        <v/>
      </c>
      <c r="H1145" s="44" t="str">
        <f aca="false">IF(_PENDIENTES!$B$1139&lt;&gt;"",_PENDIENTES!$H$1139,"")</f>
        <v/>
      </c>
      <c r="I1145" s="110" t="str">
        <f aca="false">IF(_PENDIENTES!$B$1139&lt;&gt;"",_PENDIENTES!$I$1139,"")</f>
        <v/>
      </c>
      <c r="J1145" s="46" t="str">
        <f aca="false">IF(_PENDIENTES!$B$1139&lt;&gt;"",_PENDIENTES!$J$1139,"")</f>
        <v/>
      </c>
      <c r="K1145" s="46" t="str">
        <f aca="false">IF(_PENDIENTES!$B$1139&lt;&gt;"","POR RECOGER","")</f>
        <v/>
      </c>
      <c r="L1145" s="46" t="str">
        <f aca="false">IF(_PENDIENTES!$B$1139&lt;&gt;"",_PENDIENTES!$K$1139,"")</f>
        <v/>
      </c>
      <c r="M1145" s="89" t="str">
        <f aca="false">IF(_PENDIENTES!$B$1139&lt;&gt;"",_PENDIENTES!$B$1139,"")</f>
        <v/>
      </c>
      <c r="N1145" s="109" t="str">
        <f aca="false">IF(_PENDIENTES!$B$1139&lt;&gt;"",_PENDIENTES!$L$1139,"")</f>
        <v/>
      </c>
      <c r="O1145" s="89"/>
    </row>
    <row r="1146" customFormat="false" ht="15.75" hidden="true" customHeight="true" outlineLevel="0" collapsed="false">
      <c r="A1146" s="106" t="str">
        <f aca="false">IF(_PENDIENTES!$B$1140&lt;&gt;"",1139,"")</f>
        <v/>
      </c>
      <c r="B1146" s="47" t="str">
        <f aca="false">IF(_PENDIENTES!$B$1140&lt;&gt;"",_PENDIENTES!$A$1140,"")</f>
        <v/>
      </c>
      <c r="C1146" s="107" t="str">
        <f aca="false">IF(_PENDIENTES!$B$1140&lt;&gt;"",_PENDIENTES!$C$1140,"")</f>
        <v/>
      </c>
      <c r="D1146" s="106" t="str">
        <f aca="false">IF(_PENDIENTES!$B$1140&lt;&gt;"",_PENDIENTES!$D$1140,"")</f>
        <v/>
      </c>
      <c r="E1146" s="106" t="str">
        <f aca="false">IF(_PENDIENTES!$B$1140&lt;&gt;"",_PENDIENTES!$E$1140,"")</f>
        <v/>
      </c>
      <c r="F1146" s="106" t="str">
        <f aca="false">IF(_PENDIENTES!$B$1140&lt;&gt;"",_PENDIENTES!$F$1140,"")</f>
        <v/>
      </c>
      <c r="G1146" s="50" t="str">
        <f aca="false">IF(_PENDIENTES!$B$1140&lt;&gt;"",_PENDIENTES!$G$1140,"")</f>
        <v/>
      </c>
      <c r="H1146" s="50" t="str">
        <f aca="false">IF(_PENDIENTES!$B$1140&lt;&gt;"",_PENDIENTES!$H$1140,"")</f>
        <v/>
      </c>
      <c r="I1146" s="107" t="str">
        <f aca="false">IF(_PENDIENTES!$B$1140&lt;&gt;"",_PENDIENTES!$I$1140,"")</f>
        <v/>
      </c>
      <c r="J1146" s="106" t="str">
        <f aca="false">IF(_PENDIENTES!$B$1140&lt;&gt;"",_PENDIENTES!$J$1140,"")</f>
        <v/>
      </c>
      <c r="K1146" s="106" t="str">
        <f aca="false">IF(_PENDIENTES!$B$1140&lt;&gt;"","POR RECOGER","")</f>
        <v/>
      </c>
      <c r="L1146" s="106" t="str">
        <f aca="false">IF(_PENDIENTES!$B$1140&lt;&gt;"",_PENDIENTES!$K$1140,"")</f>
        <v/>
      </c>
      <c r="M1146" s="89" t="str">
        <f aca="false">IF(_PENDIENTES!$B$1140&lt;&gt;"",_PENDIENTES!$B$1140,"")</f>
        <v/>
      </c>
      <c r="N1146" s="109" t="str">
        <f aca="false">IF(_PENDIENTES!$B$1140&lt;&gt;"",_PENDIENTES!$L$1140,"")</f>
        <v/>
      </c>
      <c r="O1146" s="89"/>
    </row>
    <row r="1147" customFormat="false" ht="15.75" hidden="true" customHeight="true" outlineLevel="0" collapsed="false">
      <c r="A1147" s="46" t="str">
        <f aca="false">IF(_PENDIENTES!$B$1141&lt;&gt;"",1140,"")</f>
        <v/>
      </c>
      <c r="B1147" s="41" t="str">
        <f aca="false">IF(_PENDIENTES!$B$1141&lt;&gt;"",_PENDIENTES!$A$1141,"")</f>
        <v/>
      </c>
      <c r="C1147" s="110" t="str">
        <f aca="false">IF(_PENDIENTES!$B$1141&lt;&gt;"",_PENDIENTES!$C$1141,"")</f>
        <v/>
      </c>
      <c r="D1147" s="46" t="str">
        <f aca="false">IF(_PENDIENTES!$B$1141&lt;&gt;"",_PENDIENTES!$D$1141,"")</f>
        <v/>
      </c>
      <c r="E1147" s="46" t="str">
        <f aca="false">IF(_PENDIENTES!$B$1141&lt;&gt;"",_PENDIENTES!$E$1141,"")</f>
        <v/>
      </c>
      <c r="F1147" s="46" t="str">
        <f aca="false">IF(_PENDIENTES!$B$1141&lt;&gt;"",_PENDIENTES!$F$1141,"")</f>
        <v/>
      </c>
      <c r="G1147" s="44" t="str">
        <f aca="false">IF(_PENDIENTES!$B$1141&lt;&gt;"",_PENDIENTES!$G$1141,"")</f>
        <v/>
      </c>
      <c r="H1147" s="44" t="str">
        <f aca="false">IF(_PENDIENTES!$B$1141&lt;&gt;"",_PENDIENTES!$H$1141,"")</f>
        <v/>
      </c>
      <c r="I1147" s="110" t="str">
        <f aca="false">IF(_PENDIENTES!$B$1141&lt;&gt;"",_PENDIENTES!$I$1141,"")</f>
        <v/>
      </c>
      <c r="J1147" s="46" t="str">
        <f aca="false">IF(_PENDIENTES!$B$1141&lt;&gt;"",_PENDIENTES!$J$1141,"")</f>
        <v/>
      </c>
      <c r="K1147" s="46" t="str">
        <f aca="false">IF(_PENDIENTES!$B$1141&lt;&gt;"","POR RECOGER","")</f>
        <v/>
      </c>
      <c r="L1147" s="46" t="str">
        <f aca="false">IF(_PENDIENTES!$B$1141&lt;&gt;"",_PENDIENTES!$K$1141,"")</f>
        <v/>
      </c>
      <c r="M1147" s="89" t="str">
        <f aca="false">IF(_PENDIENTES!$B$1141&lt;&gt;"",_PENDIENTES!$B$1141,"")</f>
        <v/>
      </c>
      <c r="N1147" s="109" t="str">
        <f aca="false">IF(_PENDIENTES!$B$1141&lt;&gt;"",_PENDIENTES!$L$1141,"")</f>
        <v/>
      </c>
      <c r="O1147" s="89"/>
    </row>
    <row r="1148" customFormat="false" ht="15.75" hidden="true" customHeight="true" outlineLevel="0" collapsed="false">
      <c r="A1148" s="106" t="str">
        <f aca="false">IF(_PENDIENTES!$B$1142&lt;&gt;"",1141,"")</f>
        <v/>
      </c>
      <c r="B1148" s="47" t="str">
        <f aca="false">IF(_PENDIENTES!$B$1142&lt;&gt;"",_PENDIENTES!$A$1142,"")</f>
        <v/>
      </c>
      <c r="C1148" s="107" t="str">
        <f aca="false">IF(_PENDIENTES!$B$1142&lt;&gt;"",_PENDIENTES!$C$1142,"")</f>
        <v/>
      </c>
      <c r="D1148" s="106" t="str">
        <f aca="false">IF(_PENDIENTES!$B$1142&lt;&gt;"",_PENDIENTES!$D$1142,"")</f>
        <v/>
      </c>
      <c r="E1148" s="106" t="str">
        <f aca="false">IF(_PENDIENTES!$B$1142&lt;&gt;"",_PENDIENTES!$E$1142,"")</f>
        <v/>
      </c>
      <c r="F1148" s="106" t="str">
        <f aca="false">IF(_PENDIENTES!$B$1142&lt;&gt;"",_PENDIENTES!$F$1142,"")</f>
        <v/>
      </c>
      <c r="G1148" s="50" t="str">
        <f aca="false">IF(_PENDIENTES!$B$1142&lt;&gt;"",_PENDIENTES!$G$1142,"")</f>
        <v/>
      </c>
      <c r="H1148" s="50" t="str">
        <f aca="false">IF(_PENDIENTES!$B$1142&lt;&gt;"",_PENDIENTES!$H$1142,"")</f>
        <v/>
      </c>
      <c r="I1148" s="107" t="str">
        <f aca="false">IF(_PENDIENTES!$B$1142&lt;&gt;"",_PENDIENTES!$I$1142,"")</f>
        <v/>
      </c>
      <c r="J1148" s="106" t="str">
        <f aca="false">IF(_PENDIENTES!$B$1142&lt;&gt;"",_PENDIENTES!$J$1142,"")</f>
        <v/>
      </c>
      <c r="K1148" s="106" t="str">
        <f aca="false">IF(_PENDIENTES!$B$1142&lt;&gt;"","POR RECOGER","")</f>
        <v/>
      </c>
      <c r="L1148" s="106" t="str">
        <f aca="false">IF(_PENDIENTES!$B$1142&lt;&gt;"",_PENDIENTES!$K$1142,"")</f>
        <v/>
      </c>
      <c r="M1148" s="89" t="str">
        <f aca="false">IF(_PENDIENTES!$B$1142&lt;&gt;"",_PENDIENTES!$B$1142,"")</f>
        <v/>
      </c>
      <c r="N1148" s="109" t="str">
        <f aca="false">IF(_PENDIENTES!$B$1142&lt;&gt;"",_PENDIENTES!$L$1142,"")</f>
        <v/>
      </c>
      <c r="O1148" s="89"/>
    </row>
    <row r="1149" customFormat="false" ht="15.75" hidden="true" customHeight="true" outlineLevel="0" collapsed="false">
      <c r="A1149" s="46" t="str">
        <f aca="false">IF(_PENDIENTES!$B$1143&lt;&gt;"",1142,"")</f>
        <v/>
      </c>
      <c r="B1149" s="41" t="str">
        <f aca="false">IF(_PENDIENTES!$B$1143&lt;&gt;"",_PENDIENTES!$A$1143,"")</f>
        <v/>
      </c>
      <c r="C1149" s="110" t="str">
        <f aca="false">IF(_PENDIENTES!$B$1143&lt;&gt;"",_PENDIENTES!$C$1143,"")</f>
        <v/>
      </c>
      <c r="D1149" s="46" t="str">
        <f aca="false">IF(_PENDIENTES!$B$1143&lt;&gt;"",_PENDIENTES!$D$1143,"")</f>
        <v/>
      </c>
      <c r="E1149" s="46" t="str">
        <f aca="false">IF(_PENDIENTES!$B$1143&lt;&gt;"",_PENDIENTES!$E$1143,"")</f>
        <v/>
      </c>
      <c r="F1149" s="46" t="str">
        <f aca="false">IF(_PENDIENTES!$B$1143&lt;&gt;"",_PENDIENTES!$F$1143,"")</f>
        <v/>
      </c>
      <c r="G1149" s="44" t="str">
        <f aca="false">IF(_PENDIENTES!$B$1143&lt;&gt;"",_PENDIENTES!$G$1143,"")</f>
        <v/>
      </c>
      <c r="H1149" s="44" t="str">
        <f aca="false">IF(_PENDIENTES!$B$1143&lt;&gt;"",_PENDIENTES!$H$1143,"")</f>
        <v/>
      </c>
      <c r="I1149" s="110" t="str">
        <f aca="false">IF(_PENDIENTES!$B$1143&lt;&gt;"",_PENDIENTES!$I$1143,"")</f>
        <v/>
      </c>
      <c r="J1149" s="46" t="str">
        <f aca="false">IF(_PENDIENTES!$B$1143&lt;&gt;"",_PENDIENTES!$J$1143,"")</f>
        <v/>
      </c>
      <c r="K1149" s="46" t="str">
        <f aca="false">IF(_PENDIENTES!$B$1143&lt;&gt;"","POR RECOGER","")</f>
        <v/>
      </c>
      <c r="L1149" s="46" t="str">
        <f aca="false">IF(_PENDIENTES!$B$1143&lt;&gt;"",_PENDIENTES!$K$1143,"")</f>
        <v/>
      </c>
      <c r="M1149" s="89" t="str">
        <f aca="false">IF(_PENDIENTES!$B$1143&lt;&gt;"",_PENDIENTES!$B$1143,"")</f>
        <v/>
      </c>
      <c r="N1149" s="109" t="str">
        <f aca="false">IF(_PENDIENTES!$B$1143&lt;&gt;"",_PENDIENTES!$L$1143,"")</f>
        <v/>
      </c>
      <c r="O1149" s="89"/>
    </row>
    <row r="1150" customFormat="false" ht="15.75" hidden="true" customHeight="true" outlineLevel="0" collapsed="false">
      <c r="A1150" s="106" t="str">
        <f aca="false">IF(_PENDIENTES!$B$1144&lt;&gt;"",1143,"")</f>
        <v/>
      </c>
      <c r="B1150" s="47" t="str">
        <f aca="false">IF(_PENDIENTES!$B$1144&lt;&gt;"",_PENDIENTES!$A$1144,"")</f>
        <v/>
      </c>
      <c r="C1150" s="107" t="str">
        <f aca="false">IF(_PENDIENTES!$B$1144&lt;&gt;"",_PENDIENTES!$C$1144,"")</f>
        <v/>
      </c>
      <c r="D1150" s="106" t="str">
        <f aca="false">IF(_PENDIENTES!$B$1144&lt;&gt;"",_PENDIENTES!$D$1144,"")</f>
        <v/>
      </c>
      <c r="E1150" s="106" t="str">
        <f aca="false">IF(_PENDIENTES!$B$1144&lt;&gt;"",_PENDIENTES!$E$1144,"")</f>
        <v/>
      </c>
      <c r="F1150" s="106" t="str">
        <f aca="false">IF(_PENDIENTES!$B$1144&lt;&gt;"",_PENDIENTES!$F$1144,"")</f>
        <v/>
      </c>
      <c r="G1150" s="50" t="str">
        <f aca="false">IF(_PENDIENTES!$B$1144&lt;&gt;"",_PENDIENTES!$G$1144,"")</f>
        <v/>
      </c>
      <c r="H1150" s="50" t="str">
        <f aca="false">IF(_PENDIENTES!$B$1144&lt;&gt;"",_PENDIENTES!$H$1144,"")</f>
        <v/>
      </c>
      <c r="I1150" s="107" t="str">
        <f aca="false">IF(_PENDIENTES!$B$1144&lt;&gt;"",_PENDIENTES!$I$1144,"")</f>
        <v/>
      </c>
      <c r="J1150" s="106" t="str">
        <f aca="false">IF(_PENDIENTES!$B$1144&lt;&gt;"",_PENDIENTES!$J$1144,"")</f>
        <v/>
      </c>
      <c r="K1150" s="106" t="str">
        <f aca="false">IF(_PENDIENTES!$B$1144&lt;&gt;"","POR RECOGER","")</f>
        <v/>
      </c>
      <c r="L1150" s="106" t="str">
        <f aca="false">IF(_PENDIENTES!$B$1144&lt;&gt;"",_PENDIENTES!$K$1144,"")</f>
        <v/>
      </c>
      <c r="M1150" s="89" t="str">
        <f aca="false">IF(_PENDIENTES!$B$1144&lt;&gt;"",_PENDIENTES!$B$1144,"")</f>
        <v/>
      </c>
      <c r="N1150" s="109" t="str">
        <f aca="false">IF(_PENDIENTES!$B$1144&lt;&gt;"",_PENDIENTES!$L$1144,"")</f>
        <v/>
      </c>
      <c r="O1150" s="89"/>
    </row>
    <row r="1151" customFormat="false" ht="15.75" hidden="true" customHeight="true" outlineLevel="0" collapsed="false">
      <c r="A1151" s="46" t="str">
        <f aca="false">IF(_PENDIENTES!$B$1145&lt;&gt;"",1144,"")</f>
        <v/>
      </c>
      <c r="B1151" s="41" t="str">
        <f aca="false">IF(_PENDIENTES!$B$1145&lt;&gt;"",_PENDIENTES!$A$1145,"")</f>
        <v/>
      </c>
      <c r="C1151" s="110" t="str">
        <f aca="false">IF(_PENDIENTES!$B$1145&lt;&gt;"",_PENDIENTES!$C$1145,"")</f>
        <v/>
      </c>
      <c r="D1151" s="46" t="str">
        <f aca="false">IF(_PENDIENTES!$B$1145&lt;&gt;"",_PENDIENTES!$D$1145,"")</f>
        <v/>
      </c>
      <c r="E1151" s="46" t="str">
        <f aca="false">IF(_PENDIENTES!$B$1145&lt;&gt;"",_PENDIENTES!$E$1145,"")</f>
        <v/>
      </c>
      <c r="F1151" s="46" t="str">
        <f aca="false">IF(_PENDIENTES!$B$1145&lt;&gt;"",_PENDIENTES!$F$1145,"")</f>
        <v/>
      </c>
      <c r="G1151" s="44" t="str">
        <f aca="false">IF(_PENDIENTES!$B$1145&lt;&gt;"",_PENDIENTES!$G$1145,"")</f>
        <v/>
      </c>
      <c r="H1151" s="44" t="str">
        <f aca="false">IF(_PENDIENTES!$B$1145&lt;&gt;"",_PENDIENTES!$H$1145,"")</f>
        <v/>
      </c>
      <c r="I1151" s="110" t="str">
        <f aca="false">IF(_PENDIENTES!$B$1145&lt;&gt;"",_PENDIENTES!$I$1145,"")</f>
        <v/>
      </c>
      <c r="J1151" s="46" t="str">
        <f aca="false">IF(_PENDIENTES!$B$1145&lt;&gt;"",_PENDIENTES!$J$1145,"")</f>
        <v/>
      </c>
      <c r="K1151" s="46" t="str">
        <f aca="false">IF(_PENDIENTES!$B$1145&lt;&gt;"","POR RECOGER","")</f>
        <v/>
      </c>
      <c r="L1151" s="46" t="str">
        <f aca="false">IF(_PENDIENTES!$B$1145&lt;&gt;"",_PENDIENTES!$K$1145,"")</f>
        <v/>
      </c>
      <c r="M1151" s="89" t="str">
        <f aca="false">IF(_PENDIENTES!$B$1145&lt;&gt;"",_PENDIENTES!$B$1145,"")</f>
        <v/>
      </c>
      <c r="N1151" s="109" t="str">
        <f aca="false">IF(_PENDIENTES!$B$1145&lt;&gt;"",_PENDIENTES!$L$1145,"")</f>
        <v/>
      </c>
      <c r="O1151" s="89"/>
    </row>
    <row r="1152" customFormat="false" ht="15.75" hidden="true" customHeight="true" outlineLevel="0" collapsed="false">
      <c r="A1152" s="106" t="str">
        <f aca="false">IF(_PENDIENTES!$B$1146&lt;&gt;"",1145,"")</f>
        <v/>
      </c>
      <c r="B1152" s="47" t="str">
        <f aca="false">IF(_PENDIENTES!$B$1146&lt;&gt;"",_PENDIENTES!$A$1146,"")</f>
        <v/>
      </c>
      <c r="C1152" s="107" t="str">
        <f aca="false">IF(_PENDIENTES!$B$1146&lt;&gt;"",_PENDIENTES!$C$1146,"")</f>
        <v/>
      </c>
      <c r="D1152" s="106" t="str">
        <f aca="false">IF(_PENDIENTES!$B$1146&lt;&gt;"",_PENDIENTES!$D$1146,"")</f>
        <v/>
      </c>
      <c r="E1152" s="106" t="str">
        <f aca="false">IF(_PENDIENTES!$B$1146&lt;&gt;"",_PENDIENTES!$E$1146,"")</f>
        <v/>
      </c>
      <c r="F1152" s="106" t="str">
        <f aca="false">IF(_PENDIENTES!$B$1146&lt;&gt;"",_PENDIENTES!$F$1146,"")</f>
        <v/>
      </c>
      <c r="G1152" s="50" t="str">
        <f aca="false">IF(_PENDIENTES!$B$1146&lt;&gt;"",_PENDIENTES!$G$1146,"")</f>
        <v/>
      </c>
      <c r="H1152" s="50" t="str">
        <f aca="false">IF(_PENDIENTES!$B$1146&lt;&gt;"",_PENDIENTES!$H$1146,"")</f>
        <v/>
      </c>
      <c r="I1152" s="107" t="str">
        <f aca="false">IF(_PENDIENTES!$B$1146&lt;&gt;"",_PENDIENTES!$I$1146,"")</f>
        <v/>
      </c>
      <c r="J1152" s="106" t="str">
        <f aca="false">IF(_PENDIENTES!$B$1146&lt;&gt;"",_PENDIENTES!$J$1146,"")</f>
        <v/>
      </c>
      <c r="K1152" s="106" t="str">
        <f aca="false">IF(_PENDIENTES!$B$1146&lt;&gt;"","POR RECOGER","")</f>
        <v/>
      </c>
      <c r="L1152" s="106" t="str">
        <f aca="false">IF(_PENDIENTES!$B$1146&lt;&gt;"",_PENDIENTES!$K$1146,"")</f>
        <v/>
      </c>
      <c r="M1152" s="89" t="str">
        <f aca="false">IF(_PENDIENTES!$B$1146&lt;&gt;"",_PENDIENTES!$B$1146,"")</f>
        <v/>
      </c>
      <c r="N1152" s="109" t="str">
        <f aca="false">IF(_PENDIENTES!$B$1146&lt;&gt;"",_PENDIENTES!$L$1146,"")</f>
        <v/>
      </c>
      <c r="O1152" s="89"/>
    </row>
    <row r="1153" customFormat="false" ht="15.75" hidden="true" customHeight="true" outlineLevel="0" collapsed="false">
      <c r="A1153" s="46" t="str">
        <f aca="false">IF(_PENDIENTES!$B$1147&lt;&gt;"",1146,"")</f>
        <v/>
      </c>
      <c r="B1153" s="41" t="str">
        <f aca="false">IF(_PENDIENTES!$B$1147&lt;&gt;"",_PENDIENTES!$A$1147,"")</f>
        <v/>
      </c>
      <c r="C1153" s="110" t="str">
        <f aca="false">IF(_PENDIENTES!$B$1147&lt;&gt;"",_PENDIENTES!$C$1147,"")</f>
        <v/>
      </c>
      <c r="D1153" s="46" t="str">
        <f aca="false">IF(_PENDIENTES!$B$1147&lt;&gt;"",_PENDIENTES!$D$1147,"")</f>
        <v/>
      </c>
      <c r="E1153" s="46" t="str">
        <f aca="false">IF(_PENDIENTES!$B$1147&lt;&gt;"",_PENDIENTES!$E$1147,"")</f>
        <v/>
      </c>
      <c r="F1153" s="46" t="str">
        <f aca="false">IF(_PENDIENTES!$B$1147&lt;&gt;"",_PENDIENTES!$F$1147,"")</f>
        <v/>
      </c>
      <c r="G1153" s="44" t="str">
        <f aca="false">IF(_PENDIENTES!$B$1147&lt;&gt;"",_PENDIENTES!$G$1147,"")</f>
        <v/>
      </c>
      <c r="H1153" s="44" t="str">
        <f aca="false">IF(_PENDIENTES!$B$1147&lt;&gt;"",_PENDIENTES!$H$1147,"")</f>
        <v/>
      </c>
      <c r="I1153" s="110" t="str">
        <f aca="false">IF(_PENDIENTES!$B$1147&lt;&gt;"",_PENDIENTES!$I$1147,"")</f>
        <v/>
      </c>
      <c r="J1153" s="46" t="str">
        <f aca="false">IF(_PENDIENTES!$B$1147&lt;&gt;"",_PENDIENTES!$J$1147,"")</f>
        <v/>
      </c>
      <c r="K1153" s="46" t="str">
        <f aca="false">IF(_PENDIENTES!$B$1147&lt;&gt;"","POR RECOGER","")</f>
        <v/>
      </c>
      <c r="L1153" s="46" t="str">
        <f aca="false">IF(_PENDIENTES!$B$1147&lt;&gt;"",_PENDIENTES!$K$1147,"")</f>
        <v/>
      </c>
      <c r="M1153" s="89" t="str">
        <f aca="false">IF(_PENDIENTES!$B$1147&lt;&gt;"",_PENDIENTES!$B$1147,"")</f>
        <v/>
      </c>
      <c r="N1153" s="109" t="str">
        <f aca="false">IF(_PENDIENTES!$B$1147&lt;&gt;"",_PENDIENTES!$L$1147,"")</f>
        <v/>
      </c>
      <c r="O1153" s="89"/>
    </row>
    <row r="1154" customFormat="false" ht="15.75" hidden="true" customHeight="true" outlineLevel="0" collapsed="false">
      <c r="A1154" s="106" t="str">
        <f aca="false">IF(_PENDIENTES!$B$1148&lt;&gt;"",1147,"")</f>
        <v/>
      </c>
      <c r="B1154" s="47" t="str">
        <f aca="false">IF(_PENDIENTES!$B$1148&lt;&gt;"",_PENDIENTES!$A$1148,"")</f>
        <v/>
      </c>
      <c r="C1154" s="107" t="str">
        <f aca="false">IF(_PENDIENTES!$B$1148&lt;&gt;"",_PENDIENTES!$C$1148,"")</f>
        <v/>
      </c>
      <c r="D1154" s="106" t="str">
        <f aca="false">IF(_PENDIENTES!$B$1148&lt;&gt;"",_PENDIENTES!$D$1148,"")</f>
        <v/>
      </c>
      <c r="E1154" s="106" t="str">
        <f aca="false">IF(_PENDIENTES!$B$1148&lt;&gt;"",_PENDIENTES!$E$1148,"")</f>
        <v/>
      </c>
      <c r="F1154" s="106" t="str">
        <f aca="false">IF(_PENDIENTES!$B$1148&lt;&gt;"",_PENDIENTES!$F$1148,"")</f>
        <v/>
      </c>
      <c r="G1154" s="50" t="str">
        <f aca="false">IF(_PENDIENTES!$B$1148&lt;&gt;"",_PENDIENTES!$G$1148,"")</f>
        <v/>
      </c>
      <c r="H1154" s="50" t="str">
        <f aca="false">IF(_PENDIENTES!$B$1148&lt;&gt;"",_PENDIENTES!$H$1148,"")</f>
        <v/>
      </c>
      <c r="I1154" s="107" t="str">
        <f aca="false">IF(_PENDIENTES!$B$1148&lt;&gt;"",_PENDIENTES!$I$1148,"")</f>
        <v/>
      </c>
      <c r="J1154" s="106" t="str">
        <f aca="false">IF(_PENDIENTES!$B$1148&lt;&gt;"",_PENDIENTES!$J$1148,"")</f>
        <v/>
      </c>
      <c r="K1154" s="106" t="str">
        <f aca="false">IF(_PENDIENTES!$B$1148&lt;&gt;"","POR RECOGER","")</f>
        <v/>
      </c>
      <c r="L1154" s="106" t="str">
        <f aca="false">IF(_PENDIENTES!$B$1148&lt;&gt;"",_PENDIENTES!$K$1148,"")</f>
        <v/>
      </c>
      <c r="M1154" s="89" t="str">
        <f aca="false">IF(_PENDIENTES!$B$1148&lt;&gt;"",_PENDIENTES!$B$1148,"")</f>
        <v/>
      </c>
      <c r="N1154" s="109" t="str">
        <f aca="false">IF(_PENDIENTES!$B$1148&lt;&gt;"",_PENDIENTES!$L$1148,"")</f>
        <v/>
      </c>
      <c r="O1154" s="89"/>
    </row>
    <row r="1155" customFormat="false" ht="15.75" hidden="true" customHeight="true" outlineLevel="0" collapsed="false">
      <c r="A1155" s="46" t="str">
        <f aca="false">IF(_PENDIENTES!$B$1149&lt;&gt;"",1148,"")</f>
        <v/>
      </c>
      <c r="B1155" s="41" t="str">
        <f aca="false">IF(_PENDIENTES!$B$1149&lt;&gt;"",_PENDIENTES!$A$1149,"")</f>
        <v/>
      </c>
      <c r="C1155" s="110" t="str">
        <f aca="false">IF(_PENDIENTES!$B$1149&lt;&gt;"",_PENDIENTES!$C$1149,"")</f>
        <v/>
      </c>
      <c r="D1155" s="46" t="str">
        <f aca="false">IF(_PENDIENTES!$B$1149&lt;&gt;"",_PENDIENTES!$D$1149,"")</f>
        <v/>
      </c>
      <c r="E1155" s="46" t="str">
        <f aca="false">IF(_PENDIENTES!$B$1149&lt;&gt;"",_PENDIENTES!$E$1149,"")</f>
        <v/>
      </c>
      <c r="F1155" s="46" t="str">
        <f aca="false">IF(_PENDIENTES!$B$1149&lt;&gt;"",_PENDIENTES!$F$1149,"")</f>
        <v/>
      </c>
      <c r="G1155" s="44" t="str">
        <f aca="false">IF(_PENDIENTES!$B$1149&lt;&gt;"",_PENDIENTES!$G$1149,"")</f>
        <v/>
      </c>
      <c r="H1155" s="44" t="str">
        <f aca="false">IF(_PENDIENTES!$B$1149&lt;&gt;"",_PENDIENTES!$H$1149,"")</f>
        <v/>
      </c>
      <c r="I1155" s="110" t="str">
        <f aca="false">IF(_PENDIENTES!$B$1149&lt;&gt;"",_PENDIENTES!$I$1149,"")</f>
        <v/>
      </c>
      <c r="J1155" s="46" t="str">
        <f aca="false">IF(_PENDIENTES!$B$1149&lt;&gt;"",_PENDIENTES!$J$1149,"")</f>
        <v/>
      </c>
      <c r="K1155" s="46" t="str">
        <f aca="false">IF(_PENDIENTES!$B$1149&lt;&gt;"","POR RECOGER","")</f>
        <v/>
      </c>
      <c r="L1155" s="46" t="str">
        <f aca="false">IF(_PENDIENTES!$B$1149&lt;&gt;"",_PENDIENTES!$K$1149,"")</f>
        <v/>
      </c>
      <c r="M1155" s="89" t="str">
        <f aca="false">IF(_PENDIENTES!$B$1149&lt;&gt;"",_PENDIENTES!$B$1149,"")</f>
        <v/>
      </c>
      <c r="N1155" s="109" t="str">
        <f aca="false">IF(_PENDIENTES!$B$1149&lt;&gt;"",_PENDIENTES!$L$1149,"")</f>
        <v/>
      </c>
      <c r="O1155" s="89"/>
    </row>
    <row r="1156" customFormat="false" ht="15.75" hidden="true" customHeight="true" outlineLevel="0" collapsed="false">
      <c r="A1156" s="106" t="str">
        <f aca="false">IF(_PENDIENTES!$B$1150&lt;&gt;"",1149,"")</f>
        <v/>
      </c>
      <c r="B1156" s="47" t="str">
        <f aca="false">IF(_PENDIENTES!$B$1150&lt;&gt;"",_PENDIENTES!$A$1150,"")</f>
        <v/>
      </c>
      <c r="C1156" s="107" t="str">
        <f aca="false">IF(_PENDIENTES!$B$1150&lt;&gt;"",_PENDIENTES!$C$1150,"")</f>
        <v/>
      </c>
      <c r="D1156" s="106" t="str">
        <f aca="false">IF(_PENDIENTES!$B$1150&lt;&gt;"",_PENDIENTES!$D$1150,"")</f>
        <v/>
      </c>
      <c r="E1156" s="106" t="str">
        <f aca="false">IF(_PENDIENTES!$B$1150&lt;&gt;"",_PENDIENTES!$E$1150,"")</f>
        <v/>
      </c>
      <c r="F1156" s="106" t="str">
        <f aca="false">IF(_PENDIENTES!$B$1150&lt;&gt;"",_PENDIENTES!$F$1150,"")</f>
        <v/>
      </c>
      <c r="G1156" s="50" t="str">
        <f aca="false">IF(_PENDIENTES!$B$1150&lt;&gt;"",_PENDIENTES!$G$1150,"")</f>
        <v/>
      </c>
      <c r="H1156" s="50" t="str">
        <f aca="false">IF(_PENDIENTES!$B$1150&lt;&gt;"",_PENDIENTES!$H$1150,"")</f>
        <v/>
      </c>
      <c r="I1156" s="107" t="str">
        <f aca="false">IF(_PENDIENTES!$B$1150&lt;&gt;"",_PENDIENTES!$I$1150,"")</f>
        <v/>
      </c>
      <c r="J1156" s="106" t="str">
        <f aca="false">IF(_PENDIENTES!$B$1150&lt;&gt;"",_PENDIENTES!$J$1150,"")</f>
        <v/>
      </c>
      <c r="K1156" s="106" t="str">
        <f aca="false">IF(_PENDIENTES!$B$1150&lt;&gt;"","POR RECOGER","")</f>
        <v/>
      </c>
      <c r="L1156" s="106" t="str">
        <f aca="false">IF(_PENDIENTES!$B$1150&lt;&gt;"",_PENDIENTES!$K$1150,"")</f>
        <v/>
      </c>
      <c r="M1156" s="89" t="str">
        <f aca="false">IF(_PENDIENTES!$B$1150&lt;&gt;"",_PENDIENTES!$B$1150,"")</f>
        <v/>
      </c>
      <c r="N1156" s="109" t="str">
        <f aca="false">IF(_PENDIENTES!$B$1150&lt;&gt;"",_PENDIENTES!$L$1150,"")</f>
        <v/>
      </c>
      <c r="O1156" s="89"/>
    </row>
    <row r="1157" customFormat="false" ht="15.75" hidden="true" customHeight="true" outlineLevel="0" collapsed="false">
      <c r="A1157" s="46" t="str">
        <f aca="false">IF(_PENDIENTES!$B$1151&lt;&gt;"",1150,"")</f>
        <v/>
      </c>
      <c r="B1157" s="41" t="str">
        <f aca="false">IF(_PENDIENTES!$B$1151&lt;&gt;"",_PENDIENTES!$A$1151,"")</f>
        <v/>
      </c>
      <c r="C1157" s="110" t="str">
        <f aca="false">IF(_PENDIENTES!$B$1151&lt;&gt;"",_PENDIENTES!$C$1151,"")</f>
        <v/>
      </c>
      <c r="D1157" s="46" t="str">
        <f aca="false">IF(_PENDIENTES!$B$1151&lt;&gt;"",_PENDIENTES!$D$1151,"")</f>
        <v/>
      </c>
      <c r="E1157" s="46" t="str">
        <f aca="false">IF(_PENDIENTES!$B$1151&lt;&gt;"",_PENDIENTES!$E$1151,"")</f>
        <v/>
      </c>
      <c r="F1157" s="46" t="str">
        <f aca="false">IF(_PENDIENTES!$B$1151&lt;&gt;"",_PENDIENTES!$F$1151,"")</f>
        <v/>
      </c>
      <c r="G1157" s="44" t="str">
        <f aca="false">IF(_PENDIENTES!$B$1151&lt;&gt;"",_PENDIENTES!$G$1151,"")</f>
        <v/>
      </c>
      <c r="H1157" s="44" t="str">
        <f aca="false">IF(_PENDIENTES!$B$1151&lt;&gt;"",_PENDIENTES!$H$1151,"")</f>
        <v/>
      </c>
      <c r="I1157" s="110" t="str">
        <f aca="false">IF(_PENDIENTES!$B$1151&lt;&gt;"",_PENDIENTES!$I$1151,"")</f>
        <v/>
      </c>
      <c r="J1157" s="46" t="str">
        <f aca="false">IF(_PENDIENTES!$B$1151&lt;&gt;"",_PENDIENTES!$J$1151,"")</f>
        <v/>
      </c>
      <c r="K1157" s="46" t="str">
        <f aca="false">IF(_PENDIENTES!$B$1151&lt;&gt;"","POR RECOGER","")</f>
        <v/>
      </c>
      <c r="L1157" s="46" t="str">
        <f aca="false">IF(_PENDIENTES!$B$1151&lt;&gt;"",_PENDIENTES!$K$1151,"")</f>
        <v/>
      </c>
      <c r="M1157" s="89" t="str">
        <f aca="false">IF(_PENDIENTES!$B$1151&lt;&gt;"",_PENDIENTES!$B$1151,"")</f>
        <v/>
      </c>
      <c r="N1157" s="109" t="str">
        <f aca="false">IF(_PENDIENTES!$B$1151&lt;&gt;"",_PENDIENTES!$L$1151,"")</f>
        <v/>
      </c>
      <c r="O1157" s="89"/>
    </row>
    <row r="1158" customFormat="false" ht="15.75" hidden="true" customHeight="true" outlineLevel="0" collapsed="false">
      <c r="A1158" s="106" t="str">
        <f aca="false">IF(_PENDIENTES!$B$1152&lt;&gt;"",1151,"")</f>
        <v/>
      </c>
      <c r="B1158" s="47" t="str">
        <f aca="false">IF(_PENDIENTES!$B$1152&lt;&gt;"",_PENDIENTES!$A$1152,"")</f>
        <v/>
      </c>
      <c r="C1158" s="107" t="str">
        <f aca="false">IF(_PENDIENTES!$B$1152&lt;&gt;"",_PENDIENTES!$C$1152,"")</f>
        <v/>
      </c>
      <c r="D1158" s="106" t="str">
        <f aca="false">IF(_PENDIENTES!$B$1152&lt;&gt;"",_PENDIENTES!$D$1152,"")</f>
        <v/>
      </c>
      <c r="E1158" s="106" t="str">
        <f aca="false">IF(_PENDIENTES!$B$1152&lt;&gt;"",_PENDIENTES!$E$1152,"")</f>
        <v/>
      </c>
      <c r="F1158" s="106" t="str">
        <f aca="false">IF(_PENDIENTES!$B$1152&lt;&gt;"",_PENDIENTES!$F$1152,"")</f>
        <v/>
      </c>
      <c r="G1158" s="50" t="str">
        <f aca="false">IF(_PENDIENTES!$B$1152&lt;&gt;"",_PENDIENTES!$G$1152,"")</f>
        <v/>
      </c>
      <c r="H1158" s="50" t="str">
        <f aca="false">IF(_PENDIENTES!$B$1152&lt;&gt;"",_PENDIENTES!$H$1152,"")</f>
        <v/>
      </c>
      <c r="I1158" s="107" t="str">
        <f aca="false">IF(_PENDIENTES!$B$1152&lt;&gt;"",_PENDIENTES!$I$1152,"")</f>
        <v/>
      </c>
      <c r="J1158" s="106" t="str">
        <f aca="false">IF(_PENDIENTES!$B$1152&lt;&gt;"",_PENDIENTES!$J$1152,"")</f>
        <v/>
      </c>
      <c r="K1158" s="106" t="str">
        <f aca="false">IF(_PENDIENTES!$B$1152&lt;&gt;"","POR RECOGER","")</f>
        <v/>
      </c>
      <c r="L1158" s="106" t="str">
        <f aca="false">IF(_PENDIENTES!$B$1152&lt;&gt;"",_PENDIENTES!$K$1152,"")</f>
        <v/>
      </c>
      <c r="M1158" s="89" t="str">
        <f aca="false">IF(_PENDIENTES!$B$1152&lt;&gt;"",_PENDIENTES!$B$1152,"")</f>
        <v/>
      </c>
      <c r="N1158" s="109" t="str">
        <f aca="false">IF(_PENDIENTES!$B$1152&lt;&gt;"",_PENDIENTES!$L$1152,"")</f>
        <v/>
      </c>
      <c r="O1158" s="89"/>
    </row>
    <row r="1159" customFormat="false" ht="15.75" hidden="true" customHeight="true" outlineLevel="0" collapsed="false">
      <c r="A1159" s="46" t="str">
        <f aca="false">IF(_PENDIENTES!$B$1153&lt;&gt;"",1152,"")</f>
        <v/>
      </c>
      <c r="B1159" s="41" t="str">
        <f aca="false">IF(_PENDIENTES!$B$1153&lt;&gt;"",_PENDIENTES!$A$1153,"")</f>
        <v/>
      </c>
      <c r="C1159" s="110" t="str">
        <f aca="false">IF(_PENDIENTES!$B$1153&lt;&gt;"",_PENDIENTES!$C$1153,"")</f>
        <v/>
      </c>
      <c r="D1159" s="46" t="str">
        <f aca="false">IF(_PENDIENTES!$B$1153&lt;&gt;"",_PENDIENTES!$D$1153,"")</f>
        <v/>
      </c>
      <c r="E1159" s="46" t="str">
        <f aca="false">IF(_PENDIENTES!$B$1153&lt;&gt;"",_PENDIENTES!$E$1153,"")</f>
        <v/>
      </c>
      <c r="F1159" s="46" t="str">
        <f aca="false">IF(_PENDIENTES!$B$1153&lt;&gt;"",_PENDIENTES!$F$1153,"")</f>
        <v/>
      </c>
      <c r="G1159" s="44" t="str">
        <f aca="false">IF(_PENDIENTES!$B$1153&lt;&gt;"",_PENDIENTES!$G$1153,"")</f>
        <v/>
      </c>
      <c r="H1159" s="44" t="str">
        <f aca="false">IF(_PENDIENTES!$B$1153&lt;&gt;"",_PENDIENTES!$H$1153,"")</f>
        <v/>
      </c>
      <c r="I1159" s="110" t="str">
        <f aca="false">IF(_PENDIENTES!$B$1153&lt;&gt;"",_PENDIENTES!$I$1153,"")</f>
        <v/>
      </c>
      <c r="J1159" s="46" t="str">
        <f aca="false">IF(_PENDIENTES!$B$1153&lt;&gt;"",_PENDIENTES!$J$1153,"")</f>
        <v/>
      </c>
      <c r="K1159" s="46" t="str">
        <f aca="false">IF(_PENDIENTES!$B$1153&lt;&gt;"","POR RECOGER","")</f>
        <v/>
      </c>
      <c r="L1159" s="46" t="str">
        <f aca="false">IF(_PENDIENTES!$B$1153&lt;&gt;"",_PENDIENTES!$K$1153,"")</f>
        <v/>
      </c>
      <c r="M1159" s="89" t="str">
        <f aca="false">IF(_PENDIENTES!$B$1153&lt;&gt;"",_PENDIENTES!$B$1153,"")</f>
        <v/>
      </c>
      <c r="N1159" s="109" t="str">
        <f aca="false">IF(_PENDIENTES!$B$1153&lt;&gt;"",_PENDIENTES!$L$1153,"")</f>
        <v/>
      </c>
      <c r="O1159" s="89"/>
    </row>
    <row r="1160" customFormat="false" ht="15.75" hidden="true" customHeight="true" outlineLevel="0" collapsed="false">
      <c r="A1160" s="106" t="str">
        <f aca="false">IF(_PENDIENTES!$B$1154&lt;&gt;"",1153,"")</f>
        <v/>
      </c>
      <c r="B1160" s="47" t="str">
        <f aca="false">IF(_PENDIENTES!$B$1154&lt;&gt;"",_PENDIENTES!$A$1154,"")</f>
        <v/>
      </c>
      <c r="C1160" s="107" t="str">
        <f aca="false">IF(_PENDIENTES!$B$1154&lt;&gt;"",_PENDIENTES!$C$1154,"")</f>
        <v/>
      </c>
      <c r="D1160" s="106" t="str">
        <f aca="false">IF(_PENDIENTES!$B$1154&lt;&gt;"",_PENDIENTES!$D$1154,"")</f>
        <v/>
      </c>
      <c r="E1160" s="106" t="str">
        <f aca="false">IF(_PENDIENTES!$B$1154&lt;&gt;"",_PENDIENTES!$E$1154,"")</f>
        <v/>
      </c>
      <c r="F1160" s="106" t="str">
        <f aca="false">IF(_PENDIENTES!$B$1154&lt;&gt;"",_PENDIENTES!$F$1154,"")</f>
        <v/>
      </c>
      <c r="G1160" s="50" t="str">
        <f aca="false">IF(_PENDIENTES!$B$1154&lt;&gt;"",_PENDIENTES!$G$1154,"")</f>
        <v/>
      </c>
      <c r="H1160" s="50" t="str">
        <f aca="false">IF(_PENDIENTES!$B$1154&lt;&gt;"",_PENDIENTES!$H$1154,"")</f>
        <v/>
      </c>
      <c r="I1160" s="107" t="str">
        <f aca="false">IF(_PENDIENTES!$B$1154&lt;&gt;"",_PENDIENTES!$I$1154,"")</f>
        <v/>
      </c>
      <c r="J1160" s="106" t="str">
        <f aca="false">IF(_PENDIENTES!$B$1154&lt;&gt;"",_PENDIENTES!$J$1154,"")</f>
        <v/>
      </c>
      <c r="K1160" s="106" t="str">
        <f aca="false">IF(_PENDIENTES!$B$1154&lt;&gt;"","POR RECOGER","")</f>
        <v/>
      </c>
      <c r="L1160" s="106" t="str">
        <f aca="false">IF(_PENDIENTES!$B$1154&lt;&gt;"",_PENDIENTES!$K$1154,"")</f>
        <v/>
      </c>
      <c r="M1160" s="89" t="str">
        <f aca="false">IF(_PENDIENTES!$B$1154&lt;&gt;"",_PENDIENTES!$B$1154,"")</f>
        <v/>
      </c>
      <c r="N1160" s="109" t="str">
        <f aca="false">IF(_PENDIENTES!$B$1154&lt;&gt;"",_PENDIENTES!$L$1154,"")</f>
        <v/>
      </c>
      <c r="O1160" s="89"/>
    </row>
    <row r="1161" customFormat="false" ht="15.75" hidden="true" customHeight="true" outlineLevel="0" collapsed="false">
      <c r="A1161" s="46" t="str">
        <f aca="false">IF(_PENDIENTES!$B$1155&lt;&gt;"",1154,"")</f>
        <v/>
      </c>
      <c r="B1161" s="41" t="str">
        <f aca="false">IF(_PENDIENTES!$B$1155&lt;&gt;"",_PENDIENTES!$A$1155,"")</f>
        <v/>
      </c>
      <c r="C1161" s="110" t="str">
        <f aca="false">IF(_PENDIENTES!$B$1155&lt;&gt;"",_PENDIENTES!$C$1155,"")</f>
        <v/>
      </c>
      <c r="D1161" s="46" t="str">
        <f aca="false">IF(_PENDIENTES!$B$1155&lt;&gt;"",_PENDIENTES!$D$1155,"")</f>
        <v/>
      </c>
      <c r="E1161" s="46" t="str">
        <f aca="false">IF(_PENDIENTES!$B$1155&lt;&gt;"",_PENDIENTES!$E$1155,"")</f>
        <v/>
      </c>
      <c r="F1161" s="46" t="str">
        <f aca="false">IF(_PENDIENTES!$B$1155&lt;&gt;"",_PENDIENTES!$F$1155,"")</f>
        <v/>
      </c>
      <c r="G1161" s="44" t="str">
        <f aca="false">IF(_PENDIENTES!$B$1155&lt;&gt;"",_PENDIENTES!$G$1155,"")</f>
        <v/>
      </c>
      <c r="H1161" s="44" t="str">
        <f aca="false">IF(_PENDIENTES!$B$1155&lt;&gt;"",_PENDIENTES!$H$1155,"")</f>
        <v/>
      </c>
      <c r="I1161" s="110" t="str">
        <f aca="false">IF(_PENDIENTES!$B$1155&lt;&gt;"",_PENDIENTES!$I$1155,"")</f>
        <v/>
      </c>
      <c r="J1161" s="46" t="str">
        <f aca="false">IF(_PENDIENTES!$B$1155&lt;&gt;"",_PENDIENTES!$J$1155,"")</f>
        <v/>
      </c>
      <c r="K1161" s="46" t="str">
        <f aca="false">IF(_PENDIENTES!$B$1155&lt;&gt;"","POR RECOGER","")</f>
        <v/>
      </c>
      <c r="L1161" s="46" t="str">
        <f aca="false">IF(_PENDIENTES!$B$1155&lt;&gt;"",_PENDIENTES!$K$1155,"")</f>
        <v/>
      </c>
      <c r="M1161" s="89" t="str">
        <f aca="false">IF(_PENDIENTES!$B$1155&lt;&gt;"",_PENDIENTES!$B$1155,"")</f>
        <v/>
      </c>
      <c r="N1161" s="109" t="str">
        <f aca="false">IF(_PENDIENTES!$B$1155&lt;&gt;"",_PENDIENTES!$L$1155,"")</f>
        <v/>
      </c>
      <c r="O1161" s="89"/>
    </row>
    <row r="1162" customFormat="false" ht="15.75" hidden="true" customHeight="true" outlineLevel="0" collapsed="false">
      <c r="A1162" s="106" t="str">
        <f aca="false">IF(_PENDIENTES!$B$1156&lt;&gt;"",1155,"")</f>
        <v/>
      </c>
      <c r="B1162" s="47" t="str">
        <f aca="false">IF(_PENDIENTES!$B$1156&lt;&gt;"",_PENDIENTES!$A$1156,"")</f>
        <v/>
      </c>
      <c r="C1162" s="107" t="str">
        <f aca="false">IF(_PENDIENTES!$B$1156&lt;&gt;"",_PENDIENTES!$C$1156,"")</f>
        <v/>
      </c>
      <c r="D1162" s="106" t="str">
        <f aca="false">IF(_PENDIENTES!$B$1156&lt;&gt;"",_PENDIENTES!$D$1156,"")</f>
        <v/>
      </c>
      <c r="E1162" s="106" t="str">
        <f aca="false">IF(_PENDIENTES!$B$1156&lt;&gt;"",_PENDIENTES!$E$1156,"")</f>
        <v/>
      </c>
      <c r="F1162" s="106" t="str">
        <f aca="false">IF(_PENDIENTES!$B$1156&lt;&gt;"",_PENDIENTES!$F$1156,"")</f>
        <v/>
      </c>
      <c r="G1162" s="50" t="str">
        <f aca="false">IF(_PENDIENTES!$B$1156&lt;&gt;"",_PENDIENTES!$G$1156,"")</f>
        <v/>
      </c>
      <c r="H1162" s="50" t="str">
        <f aca="false">IF(_PENDIENTES!$B$1156&lt;&gt;"",_PENDIENTES!$H$1156,"")</f>
        <v/>
      </c>
      <c r="I1162" s="107" t="str">
        <f aca="false">IF(_PENDIENTES!$B$1156&lt;&gt;"",_PENDIENTES!$I$1156,"")</f>
        <v/>
      </c>
      <c r="J1162" s="106" t="str">
        <f aca="false">IF(_PENDIENTES!$B$1156&lt;&gt;"",_PENDIENTES!$J$1156,"")</f>
        <v/>
      </c>
      <c r="K1162" s="106" t="str">
        <f aca="false">IF(_PENDIENTES!$B$1156&lt;&gt;"","POR RECOGER","")</f>
        <v/>
      </c>
      <c r="L1162" s="106" t="str">
        <f aca="false">IF(_PENDIENTES!$B$1156&lt;&gt;"",_PENDIENTES!$K$1156,"")</f>
        <v/>
      </c>
      <c r="M1162" s="89" t="str">
        <f aca="false">IF(_PENDIENTES!$B$1156&lt;&gt;"",_PENDIENTES!$B$1156,"")</f>
        <v/>
      </c>
      <c r="N1162" s="109" t="str">
        <f aca="false">IF(_PENDIENTES!$B$1156&lt;&gt;"",_PENDIENTES!$L$1156,"")</f>
        <v/>
      </c>
      <c r="O1162" s="89"/>
    </row>
    <row r="1163" customFormat="false" ht="15.75" hidden="true" customHeight="true" outlineLevel="0" collapsed="false">
      <c r="A1163" s="46" t="str">
        <f aca="false">IF(_PENDIENTES!$B$1157&lt;&gt;"",1156,"")</f>
        <v/>
      </c>
      <c r="B1163" s="41" t="str">
        <f aca="false">IF(_PENDIENTES!$B$1157&lt;&gt;"",_PENDIENTES!$A$1157,"")</f>
        <v/>
      </c>
      <c r="C1163" s="110" t="str">
        <f aca="false">IF(_PENDIENTES!$B$1157&lt;&gt;"",_PENDIENTES!$C$1157,"")</f>
        <v/>
      </c>
      <c r="D1163" s="46" t="str">
        <f aca="false">IF(_PENDIENTES!$B$1157&lt;&gt;"",_PENDIENTES!$D$1157,"")</f>
        <v/>
      </c>
      <c r="E1163" s="46" t="str">
        <f aca="false">IF(_PENDIENTES!$B$1157&lt;&gt;"",_PENDIENTES!$E$1157,"")</f>
        <v/>
      </c>
      <c r="F1163" s="46" t="str">
        <f aca="false">IF(_PENDIENTES!$B$1157&lt;&gt;"",_PENDIENTES!$F$1157,"")</f>
        <v/>
      </c>
      <c r="G1163" s="44" t="str">
        <f aca="false">IF(_PENDIENTES!$B$1157&lt;&gt;"",_PENDIENTES!$G$1157,"")</f>
        <v/>
      </c>
      <c r="H1163" s="44" t="str">
        <f aca="false">IF(_PENDIENTES!$B$1157&lt;&gt;"",_PENDIENTES!$H$1157,"")</f>
        <v/>
      </c>
      <c r="I1163" s="110" t="str">
        <f aca="false">IF(_PENDIENTES!$B$1157&lt;&gt;"",_PENDIENTES!$I$1157,"")</f>
        <v/>
      </c>
      <c r="J1163" s="46" t="str">
        <f aca="false">IF(_PENDIENTES!$B$1157&lt;&gt;"",_PENDIENTES!$J$1157,"")</f>
        <v/>
      </c>
      <c r="K1163" s="46" t="str">
        <f aca="false">IF(_PENDIENTES!$B$1157&lt;&gt;"","POR RECOGER","")</f>
        <v/>
      </c>
      <c r="L1163" s="46" t="str">
        <f aca="false">IF(_PENDIENTES!$B$1157&lt;&gt;"",_PENDIENTES!$K$1157,"")</f>
        <v/>
      </c>
      <c r="M1163" s="89" t="str">
        <f aca="false">IF(_PENDIENTES!$B$1157&lt;&gt;"",_PENDIENTES!$B$1157,"")</f>
        <v/>
      </c>
      <c r="N1163" s="109" t="str">
        <f aca="false">IF(_PENDIENTES!$B$1157&lt;&gt;"",_PENDIENTES!$L$1157,"")</f>
        <v/>
      </c>
      <c r="O1163" s="89"/>
    </row>
    <row r="1164" customFormat="false" ht="15.75" hidden="true" customHeight="true" outlineLevel="0" collapsed="false">
      <c r="A1164" s="106" t="str">
        <f aca="false">IF(_PENDIENTES!$B$1158&lt;&gt;"",1157,"")</f>
        <v/>
      </c>
      <c r="B1164" s="47" t="str">
        <f aca="false">IF(_PENDIENTES!$B$1158&lt;&gt;"",_PENDIENTES!$A$1158,"")</f>
        <v/>
      </c>
      <c r="C1164" s="107" t="str">
        <f aca="false">IF(_PENDIENTES!$B$1158&lt;&gt;"",_PENDIENTES!$C$1158,"")</f>
        <v/>
      </c>
      <c r="D1164" s="106" t="str">
        <f aca="false">IF(_PENDIENTES!$B$1158&lt;&gt;"",_PENDIENTES!$D$1158,"")</f>
        <v/>
      </c>
      <c r="E1164" s="106" t="str">
        <f aca="false">IF(_PENDIENTES!$B$1158&lt;&gt;"",_PENDIENTES!$E$1158,"")</f>
        <v/>
      </c>
      <c r="F1164" s="106" t="str">
        <f aca="false">IF(_PENDIENTES!$B$1158&lt;&gt;"",_PENDIENTES!$F$1158,"")</f>
        <v/>
      </c>
      <c r="G1164" s="50" t="str">
        <f aca="false">IF(_PENDIENTES!$B$1158&lt;&gt;"",_PENDIENTES!$G$1158,"")</f>
        <v/>
      </c>
      <c r="H1164" s="50" t="str">
        <f aca="false">IF(_PENDIENTES!$B$1158&lt;&gt;"",_PENDIENTES!$H$1158,"")</f>
        <v/>
      </c>
      <c r="I1164" s="107" t="str">
        <f aca="false">IF(_PENDIENTES!$B$1158&lt;&gt;"",_PENDIENTES!$I$1158,"")</f>
        <v/>
      </c>
      <c r="J1164" s="106" t="str">
        <f aca="false">IF(_PENDIENTES!$B$1158&lt;&gt;"",_PENDIENTES!$J$1158,"")</f>
        <v/>
      </c>
      <c r="K1164" s="106" t="str">
        <f aca="false">IF(_PENDIENTES!$B$1158&lt;&gt;"","POR RECOGER","")</f>
        <v/>
      </c>
      <c r="L1164" s="106" t="str">
        <f aca="false">IF(_PENDIENTES!$B$1158&lt;&gt;"",_PENDIENTES!$K$1158,"")</f>
        <v/>
      </c>
      <c r="M1164" s="89" t="str">
        <f aca="false">IF(_PENDIENTES!$B$1158&lt;&gt;"",_PENDIENTES!$B$1158,"")</f>
        <v/>
      </c>
      <c r="N1164" s="109" t="str">
        <f aca="false">IF(_PENDIENTES!$B$1158&lt;&gt;"",_PENDIENTES!$L$1158,"")</f>
        <v/>
      </c>
      <c r="O1164" s="89"/>
    </row>
    <row r="1165" customFormat="false" ht="15.75" hidden="true" customHeight="true" outlineLevel="0" collapsed="false">
      <c r="A1165" s="46" t="str">
        <f aca="false">IF(_PENDIENTES!$B$1159&lt;&gt;"",1158,"")</f>
        <v/>
      </c>
      <c r="B1165" s="41" t="str">
        <f aca="false">IF(_PENDIENTES!$B$1159&lt;&gt;"",_PENDIENTES!$A$1159,"")</f>
        <v/>
      </c>
      <c r="C1165" s="110" t="str">
        <f aca="false">IF(_PENDIENTES!$B$1159&lt;&gt;"",_PENDIENTES!$C$1159,"")</f>
        <v/>
      </c>
      <c r="D1165" s="46" t="str">
        <f aca="false">IF(_PENDIENTES!$B$1159&lt;&gt;"",_PENDIENTES!$D$1159,"")</f>
        <v/>
      </c>
      <c r="E1165" s="46" t="str">
        <f aca="false">IF(_PENDIENTES!$B$1159&lt;&gt;"",_PENDIENTES!$E$1159,"")</f>
        <v/>
      </c>
      <c r="F1165" s="46" t="str">
        <f aca="false">IF(_PENDIENTES!$B$1159&lt;&gt;"",_PENDIENTES!$F$1159,"")</f>
        <v/>
      </c>
      <c r="G1165" s="44" t="str">
        <f aca="false">IF(_PENDIENTES!$B$1159&lt;&gt;"",_PENDIENTES!$G$1159,"")</f>
        <v/>
      </c>
      <c r="H1165" s="44" t="str">
        <f aca="false">IF(_PENDIENTES!$B$1159&lt;&gt;"",_PENDIENTES!$H$1159,"")</f>
        <v/>
      </c>
      <c r="I1165" s="110" t="str">
        <f aca="false">IF(_PENDIENTES!$B$1159&lt;&gt;"",_PENDIENTES!$I$1159,"")</f>
        <v/>
      </c>
      <c r="J1165" s="46" t="str">
        <f aca="false">IF(_PENDIENTES!$B$1159&lt;&gt;"",_PENDIENTES!$J$1159,"")</f>
        <v/>
      </c>
      <c r="K1165" s="46" t="str">
        <f aca="false">IF(_PENDIENTES!$B$1159&lt;&gt;"","POR RECOGER","")</f>
        <v/>
      </c>
      <c r="L1165" s="46" t="str">
        <f aca="false">IF(_PENDIENTES!$B$1159&lt;&gt;"",_PENDIENTES!$K$1159,"")</f>
        <v/>
      </c>
      <c r="M1165" s="89" t="str">
        <f aca="false">IF(_PENDIENTES!$B$1159&lt;&gt;"",_PENDIENTES!$B$1159,"")</f>
        <v/>
      </c>
      <c r="N1165" s="109" t="str">
        <f aca="false">IF(_PENDIENTES!$B$1159&lt;&gt;"",_PENDIENTES!$L$1159,"")</f>
        <v/>
      </c>
      <c r="O1165" s="89"/>
    </row>
    <row r="1166" customFormat="false" ht="15.75" hidden="true" customHeight="true" outlineLevel="0" collapsed="false">
      <c r="A1166" s="106" t="str">
        <f aca="false">IF(_PENDIENTES!$B$1160&lt;&gt;"",1159,"")</f>
        <v/>
      </c>
      <c r="B1166" s="47" t="str">
        <f aca="false">IF(_PENDIENTES!$B$1160&lt;&gt;"",_PENDIENTES!$A$1160,"")</f>
        <v/>
      </c>
      <c r="C1166" s="107" t="str">
        <f aca="false">IF(_PENDIENTES!$B$1160&lt;&gt;"",_PENDIENTES!$C$1160,"")</f>
        <v/>
      </c>
      <c r="D1166" s="106" t="str">
        <f aca="false">IF(_PENDIENTES!$B$1160&lt;&gt;"",_PENDIENTES!$D$1160,"")</f>
        <v/>
      </c>
      <c r="E1166" s="106" t="str">
        <f aca="false">IF(_PENDIENTES!$B$1160&lt;&gt;"",_PENDIENTES!$E$1160,"")</f>
        <v/>
      </c>
      <c r="F1166" s="106" t="str">
        <f aca="false">IF(_PENDIENTES!$B$1160&lt;&gt;"",_PENDIENTES!$F$1160,"")</f>
        <v/>
      </c>
      <c r="G1166" s="50" t="str">
        <f aca="false">IF(_PENDIENTES!$B$1160&lt;&gt;"",_PENDIENTES!$G$1160,"")</f>
        <v/>
      </c>
      <c r="H1166" s="50" t="str">
        <f aca="false">IF(_PENDIENTES!$B$1160&lt;&gt;"",_PENDIENTES!$H$1160,"")</f>
        <v/>
      </c>
      <c r="I1166" s="107" t="str">
        <f aca="false">IF(_PENDIENTES!$B$1160&lt;&gt;"",_PENDIENTES!$I$1160,"")</f>
        <v/>
      </c>
      <c r="J1166" s="106" t="str">
        <f aca="false">IF(_PENDIENTES!$B$1160&lt;&gt;"",_PENDIENTES!$J$1160,"")</f>
        <v/>
      </c>
      <c r="K1166" s="106" t="str">
        <f aca="false">IF(_PENDIENTES!$B$1160&lt;&gt;"","POR RECOGER","")</f>
        <v/>
      </c>
      <c r="L1166" s="106" t="str">
        <f aca="false">IF(_PENDIENTES!$B$1160&lt;&gt;"",_PENDIENTES!$K$1160,"")</f>
        <v/>
      </c>
      <c r="M1166" s="89" t="str">
        <f aca="false">IF(_PENDIENTES!$B$1160&lt;&gt;"",_PENDIENTES!$B$1160,"")</f>
        <v/>
      </c>
      <c r="N1166" s="109" t="str">
        <f aca="false">IF(_PENDIENTES!$B$1160&lt;&gt;"",_PENDIENTES!$L$1160,"")</f>
        <v/>
      </c>
      <c r="O1166" s="89"/>
    </row>
    <row r="1167" customFormat="false" ht="15.75" hidden="true" customHeight="true" outlineLevel="0" collapsed="false">
      <c r="A1167" s="46" t="str">
        <f aca="false">IF(_PENDIENTES!$B$1161&lt;&gt;"",1160,"")</f>
        <v/>
      </c>
      <c r="B1167" s="41" t="str">
        <f aca="false">IF(_PENDIENTES!$B$1161&lt;&gt;"",_PENDIENTES!$A$1161,"")</f>
        <v/>
      </c>
      <c r="C1167" s="110" t="str">
        <f aca="false">IF(_PENDIENTES!$B$1161&lt;&gt;"",_PENDIENTES!$C$1161,"")</f>
        <v/>
      </c>
      <c r="D1167" s="46" t="str">
        <f aca="false">IF(_PENDIENTES!$B$1161&lt;&gt;"",_PENDIENTES!$D$1161,"")</f>
        <v/>
      </c>
      <c r="E1167" s="46" t="str">
        <f aca="false">IF(_PENDIENTES!$B$1161&lt;&gt;"",_PENDIENTES!$E$1161,"")</f>
        <v/>
      </c>
      <c r="F1167" s="46" t="str">
        <f aca="false">IF(_PENDIENTES!$B$1161&lt;&gt;"",_PENDIENTES!$F$1161,"")</f>
        <v/>
      </c>
      <c r="G1167" s="44" t="str">
        <f aca="false">IF(_PENDIENTES!$B$1161&lt;&gt;"",_PENDIENTES!$G$1161,"")</f>
        <v/>
      </c>
      <c r="H1167" s="44" t="str">
        <f aca="false">IF(_PENDIENTES!$B$1161&lt;&gt;"",_PENDIENTES!$H$1161,"")</f>
        <v/>
      </c>
      <c r="I1167" s="110" t="str">
        <f aca="false">IF(_PENDIENTES!$B$1161&lt;&gt;"",_PENDIENTES!$I$1161,"")</f>
        <v/>
      </c>
      <c r="J1167" s="46" t="str">
        <f aca="false">IF(_PENDIENTES!$B$1161&lt;&gt;"",_PENDIENTES!$J$1161,"")</f>
        <v/>
      </c>
      <c r="K1167" s="46" t="str">
        <f aca="false">IF(_PENDIENTES!$B$1161&lt;&gt;"","POR RECOGER","")</f>
        <v/>
      </c>
      <c r="L1167" s="46" t="str">
        <f aca="false">IF(_PENDIENTES!$B$1161&lt;&gt;"",_PENDIENTES!$K$1161,"")</f>
        <v/>
      </c>
      <c r="M1167" s="89" t="str">
        <f aca="false">IF(_PENDIENTES!$B$1161&lt;&gt;"",_PENDIENTES!$B$1161,"")</f>
        <v/>
      </c>
      <c r="N1167" s="109" t="str">
        <f aca="false">IF(_PENDIENTES!$B$1161&lt;&gt;"",_PENDIENTES!$L$1161,"")</f>
        <v/>
      </c>
      <c r="O1167" s="89"/>
    </row>
    <row r="1168" customFormat="false" ht="15.75" hidden="true" customHeight="true" outlineLevel="0" collapsed="false">
      <c r="A1168" s="106" t="str">
        <f aca="false">IF(_PENDIENTES!$B$1162&lt;&gt;"",1161,"")</f>
        <v/>
      </c>
      <c r="B1168" s="47" t="str">
        <f aca="false">IF(_PENDIENTES!$B$1162&lt;&gt;"",_PENDIENTES!$A$1162,"")</f>
        <v/>
      </c>
      <c r="C1168" s="107" t="str">
        <f aca="false">IF(_PENDIENTES!$B$1162&lt;&gt;"",_PENDIENTES!$C$1162,"")</f>
        <v/>
      </c>
      <c r="D1168" s="106" t="str">
        <f aca="false">IF(_PENDIENTES!$B$1162&lt;&gt;"",_PENDIENTES!$D$1162,"")</f>
        <v/>
      </c>
      <c r="E1168" s="106" t="str">
        <f aca="false">IF(_PENDIENTES!$B$1162&lt;&gt;"",_PENDIENTES!$E$1162,"")</f>
        <v/>
      </c>
      <c r="F1168" s="106" t="str">
        <f aca="false">IF(_PENDIENTES!$B$1162&lt;&gt;"",_PENDIENTES!$F$1162,"")</f>
        <v/>
      </c>
      <c r="G1168" s="50" t="str">
        <f aca="false">IF(_PENDIENTES!$B$1162&lt;&gt;"",_PENDIENTES!$G$1162,"")</f>
        <v/>
      </c>
      <c r="H1168" s="50" t="str">
        <f aca="false">IF(_PENDIENTES!$B$1162&lt;&gt;"",_PENDIENTES!$H$1162,"")</f>
        <v/>
      </c>
      <c r="I1168" s="107" t="str">
        <f aca="false">IF(_PENDIENTES!$B$1162&lt;&gt;"",_PENDIENTES!$I$1162,"")</f>
        <v/>
      </c>
      <c r="J1168" s="106" t="str">
        <f aca="false">IF(_PENDIENTES!$B$1162&lt;&gt;"",_PENDIENTES!$J$1162,"")</f>
        <v/>
      </c>
      <c r="K1168" s="106" t="str">
        <f aca="false">IF(_PENDIENTES!$B$1162&lt;&gt;"","POR RECOGER","")</f>
        <v/>
      </c>
      <c r="L1168" s="106" t="str">
        <f aca="false">IF(_PENDIENTES!$B$1162&lt;&gt;"",_PENDIENTES!$K$1162,"")</f>
        <v/>
      </c>
      <c r="M1168" s="89" t="str">
        <f aca="false">IF(_PENDIENTES!$B$1162&lt;&gt;"",_PENDIENTES!$B$1162,"")</f>
        <v/>
      </c>
      <c r="N1168" s="109" t="str">
        <f aca="false">IF(_PENDIENTES!$B$1162&lt;&gt;"",_PENDIENTES!$L$1162,"")</f>
        <v/>
      </c>
      <c r="O1168" s="89"/>
    </row>
    <row r="1169" customFormat="false" ht="15.75" hidden="true" customHeight="true" outlineLevel="0" collapsed="false">
      <c r="A1169" s="46" t="str">
        <f aca="false">IF(_PENDIENTES!$B$1163&lt;&gt;"",1162,"")</f>
        <v/>
      </c>
      <c r="B1169" s="41" t="str">
        <f aca="false">IF(_PENDIENTES!$B$1163&lt;&gt;"",_PENDIENTES!$A$1163,"")</f>
        <v/>
      </c>
      <c r="C1169" s="110" t="str">
        <f aca="false">IF(_PENDIENTES!$B$1163&lt;&gt;"",_PENDIENTES!$C$1163,"")</f>
        <v/>
      </c>
      <c r="D1169" s="46" t="str">
        <f aca="false">IF(_PENDIENTES!$B$1163&lt;&gt;"",_PENDIENTES!$D$1163,"")</f>
        <v/>
      </c>
      <c r="E1169" s="46" t="str">
        <f aca="false">IF(_PENDIENTES!$B$1163&lt;&gt;"",_PENDIENTES!$E$1163,"")</f>
        <v/>
      </c>
      <c r="F1169" s="46" t="str">
        <f aca="false">IF(_PENDIENTES!$B$1163&lt;&gt;"",_PENDIENTES!$F$1163,"")</f>
        <v/>
      </c>
      <c r="G1169" s="44" t="str">
        <f aca="false">IF(_PENDIENTES!$B$1163&lt;&gt;"",_PENDIENTES!$G$1163,"")</f>
        <v/>
      </c>
      <c r="H1169" s="44" t="str">
        <f aca="false">IF(_PENDIENTES!$B$1163&lt;&gt;"",_PENDIENTES!$H$1163,"")</f>
        <v/>
      </c>
      <c r="I1169" s="110" t="str">
        <f aca="false">IF(_PENDIENTES!$B$1163&lt;&gt;"",_PENDIENTES!$I$1163,"")</f>
        <v/>
      </c>
      <c r="J1169" s="46" t="str">
        <f aca="false">IF(_PENDIENTES!$B$1163&lt;&gt;"",_PENDIENTES!$J$1163,"")</f>
        <v/>
      </c>
      <c r="K1169" s="46" t="str">
        <f aca="false">IF(_PENDIENTES!$B$1163&lt;&gt;"","POR RECOGER","")</f>
        <v/>
      </c>
      <c r="L1169" s="46" t="str">
        <f aca="false">IF(_PENDIENTES!$B$1163&lt;&gt;"",_PENDIENTES!$K$1163,"")</f>
        <v/>
      </c>
      <c r="M1169" s="89" t="str">
        <f aca="false">IF(_PENDIENTES!$B$1163&lt;&gt;"",_PENDIENTES!$B$1163,"")</f>
        <v/>
      </c>
      <c r="N1169" s="109" t="str">
        <f aca="false">IF(_PENDIENTES!$B$1163&lt;&gt;"",_PENDIENTES!$L$1163,"")</f>
        <v/>
      </c>
      <c r="O1169" s="89"/>
    </row>
    <row r="1170" customFormat="false" ht="15.75" hidden="true" customHeight="true" outlineLevel="0" collapsed="false">
      <c r="A1170" s="106" t="str">
        <f aca="false">IF(_PENDIENTES!$B$1164&lt;&gt;"",1163,"")</f>
        <v/>
      </c>
      <c r="B1170" s="47" t="str">
        <f aca="false">IF(_PENDIENTES!$B$1164&lt;&gt;"",_PENDIENTES!$A$1164,"")</f>
        <v/>
      </c>
      <c r="C1170" s="107" t="str">
        <f aca="false">IF(_PENDIENTES!$B$1164&lt;&gt;"",_PENDIENTES!$C$1164,"")</f>
        <v/>
      </c>
      <c r="D1170" s="106" t="str">
        <f aca="false">IF(_PENDIENTES!$B$1164&lt;&gt;"",_PENDIENTES!$D$1164,"")</f>
        <v/>
      </c>
      <c r="E1170" s="106" t="str">
        <f aca="false">IF(_PENDIENTES!$B$1164&lt;&gt;"",_PENDIENTES!$E$1164,"")</f>
        <v/>
      </c>
      <c r="F1170" s="106" t="str">
        <f aca="false">IF(_PENDIENTES!$B$1164&lt;&gt;"",_PENDIENTES!$F$1164,"")</f>
        <v/>
      </c>
      <c r="G1170" s="50" t="str">
        <f aca="false">IF(_PENDIENTES!$B$1164&lt;&gt;"",_PENDIENTES!$G$1164,"")</f>
        <v/>
      </c>
      <c r="H1170" s="50" t="str">
        <f aca="false">IF(_PENDIENTES!$B$1164&lt;&gt;"",_PENDIENTES!$H$1164,"")</f>
        <v/>
      </c>
      <c r="I1170" s="107" t="str">
        <f aca="false">IF(_PENDIENTES!$B$1164&lt;&gt;"",_PENDIENTES!$I$1164,"")</f>
        <v/>
      </c>
      <c r="J1170" s="106" t="str">
        <f aca="false">IF(_PENDIENTES!$B$1164&lt;&gt;"",_PENDIENTES!$J$1164,"")</f>
        <v/>
      </c>
      <c r="K1170" s="106" t="str">
        <f aca="false">IF(_PENDIENTES!$B$1164&lt;&gt;"","POR RECOGER","")</f>
        <v/>
      </c>
      <c r="L1170" s="106" t="str">
        <f aca="false">IF(_PENDIENTES!$B$1164&lt;&gt;"",_PENDIENTES!$K$1164,"")</f>
        <v/>
      </c>
      <c r="M1170" s="89" t="str">
        <f aca="false">IF(_PENDIENTES!$B$1164&lt;&gt;"",_PENDIENTES!$B$1164,"")</f>
        <v/>
      </c>
      <c r="N1170" s="109" t="str">
        <f aca="false">IF(_PENDIENTES!$B$1164&lt;&gt;"",_PENDIENTES!$L$1164,"")</f>
        <v/>
      </c>
      <c r="O1170" s="89"/>
    </row>
    <row r="1171" customFormat="false" ht="15.75" hidden="true" customHeight="true" outlineLevel="0" collapsed="false">
      <c r="A1171" s="46" t="str">
        <f aca="false">IF(_PENDIENTES!$B$1165&lt;&gt;"",1164,"")</f>
        <v/>
      </c>
      <c r="B1171" s="41" t="str">
        <f aca="false">IF(_PENDIENTES!$B$1165&lt;&gt;"",_PENDIENTES!$A$1165,"")</f>
        <v/>
      </c>
      <c r="C1171" s="110" t="str">
        <f aca="false">IF(_PENDIENTES!$B$1165&lt;&gt;"",_PENDIENTES!$C$1165,"")</f>
        <v/>
      </c>
      <c r="D1171" s="46" t="str">
        <f aca="false">IF(_PENDIENTES!$B$1165&lt;&gt;"",_PENDIENTES!$D$1165,"")</f>
        <v/>
      </c>
      <c r="E1171" s="46" t="str">
        <f aca="false">IF(_PENDIENTES!$B$1165&lt;&gt;"",_PENDIENTES!$E$1165,"")</f>
        <v/>
      </c>
      <c r="F1171" s="46" t="str">
        <f aca="false">IF(_PENDIENTES!$B$1165&lt;&gt;"",_PENDIENTES!$F$1165,"")</f>
        <v/>
      </c>
      <c r="G1171" s="44" t="str">
        <f aca="false">IF(_PENDIENTES!$B$1165&lt;&gt;"",_PENDIENTES!$G$1165,"")</f>
        <v/>
      </c>
      <c r="H1171" s="44" t="str">
        <f aca="false">IF(_PENDIENTES!$B$1165&lt;&gt;"",_PENDIENTES!$H$1165,"")</f>
        <v/>
      </c>
      <c r="I1171" s="110" t="str">
        <f aca="false">IF(_PENDIENTES!$B$1165&lt;&gt;"",_PENDIENTES!$I$1165,"")</f>
        <v/>
      </c>
      <c r="J1171" s="46" t="str">
        <f aca="false">IF(_PENDIENTES!$B$1165&lt;&gt;"",_PENDIENTES!$J$1165,"")</f>
        <v/>
      </c>
      <c r="K1171" s="46" t="str">
        <f aca="false">IF(_PENDIENTES!$B$1165&lt;&gt;"","POR RECOGER","")</f>
        <v/>
      </c>
      <c r="L1171" s="46" t="str">
        <f aca="false">IF(_PENDIENTES!$B$1165&lt;&gt;"",_PENDIENTES!$K$1165,"")</f>
        <v/>
      </c>
      <c r="M1171" s="89" t="str">
        <f aca="false">IF(_PENDIENTES!$B$1165&lt;&gt;"",_PENDIENTES!$B$1165,"")</f>
        <v/>
      </c>
      <c r="N1171" s="109" t="str">
        <f aca="false">IF(_PENDIENTES!$B$1165&lt;&gt;"",_PENDIENTES!$L$1165,"")</f>
        <v/>
      </c>
      <c r="O1171" s="89"/>
    </row>
    <row r="1172" customFormat="false" ht="15.75" hidden="true" customHeight="true" outlineLevel="0" collapsed="false">
      <c r="A1172" s="106" t="str">
        <f aca="false">IF(_PENDIENTES!$B$1166&lt;&gt;"",1165,"")</f>
        <v/>
      </c>
      <c r="B1172" s="47" t="str">
        <f aca="false">IF(_PENDIENTES!$B$1166&lt;&gt;"",_PENDIENTES!$A$1166,"")</f>
        <v/>
      </c>
      <c r="C1172" s="107" t="str">
        <f aca="false">IF(_PENDIENTES!$B$1166&lt;&gt;"",_PENDIENTES!$C$1166,"")</f>
        <v/>
      </c>
      <c r="D1172" s="106" t="str">
        <f aca="false">IF(_PENDIENTES!$B$1166&lt;&gt;"",_PENDIENTES!$D$1166,"")</f>
        <v/>
      </c>
      <c r="E1172" s="106" t="str">
        <f aca="false">IF(_PENDIENTES!$B$1166&lt;&gt;"",_PENDIENTES!$E$1166,"")</f>
        <v/>
      </c>
      <c r="F1172" s="106" t="str">
        <f aca="false">IF(_PENDIENTES!$B$1166&lt;&gt;"",_PENDIENTES!$F$1166,"")</f>
        <v/>
      </c>
      <c r="G1172" s="50" t="str">
        <f aca="false">IF(_PENDIENTES!$B$1166&lt;&gt;"",_PENDIENTES!$G$1166,"")</f>
        <v/>
      </c>
      <c r="H1172" s="50" t="str">
        <f aca="false">IF(_PENDIENTES!$B$1166&lt;&gt;"",_PENDIENTES!$H$1166,"")</f>
        <v/>
      </c>
      <c r="I1172" s="107" t="str">
        <f aca="false">IF(_PENDIENTES!$B$1166&lt;&gt;"",_PENDIENTES!$I$1166,"")</f>
        <v/>
      </c>
      <c r="J1172" s="106" t="str">
        <f aca="false">IF(_PENDIENTES!$B$1166&lt;&gt;"",_PENDIENTES!$J$1166,"")</f>
        <v/>
      </c>
      <c r="K1172" s="106" t="str">
        <f aca="false">IF(_PENDIENTES!$B$1166&lt;&gt;"","POR RECOGER","")</f>
        <v/>
      </c>
      <c r="L1172" s="106" t="str">
        <f aca="false">IF(_PENDIENTES!$B$1166&lt;&gt;"",_PENDIENTES!$K$1166,"")</f>
        <v/>
      </c>
      <c r="M1172" s="89" t="str">
        <f aca="false">IF(_PENDIENTES!$B$1166&lt;&gt;"",_PENDIENTES!$B$1166,"")</f>
        <v/>
      </c>
      <c r="N1172" s="109" t="str">
        <f aca="false">IF(_PENDIENTES!$B$1166&lt;&gt;"",_PENDIENTES!$L$1166,"")</f>
        <v/>
      </c>
      <c r="O1172" s="89"/>
    </row>
    <row r="1173" customFormat="false" ht="15.75" hidden="true" customHeight="true" outlineLevel="0" collapsed="false">
      <c r="A1173" s="46" t="str">
        <f aca="false">IF(_PENDIENTES!$B$1167&lt;&gt;"",1166,"")</f>
        <v/>
      </c>
      <c r="B1173" s="41" t="str">
        <f aca="false">IF(_PENDIENTES!$B$1167&lt;&gt;"",_PENDIENTES!$A$1167,"")</f>
        <v/>
      </c>
      <c r="C1173" s="110" t="str">
        <f aca="false">IF(_PENDIENTES!$B$1167&lt;&gt;"",_PENDIENTES!$C$1167,"")</f>
        <v/>
      </c>
      <c r="D1173" s="46" t="str">
        <f aca="false">IF(_PENDIENTES!$B$1167&lt;&gt;"",_PENDIENTES!$D$1167,"")</f>
        <v/>
      </c>
      <c r="E1173" s="46" t="str">
        <f aca="false">IF(_PENDIENTES!$B$1167&lt;&gt;"",_PENDIENTES!$E$1167,"")</f>
        <v/>
      </c>
      <c r="F1173" s="46" t="str">
        <f aca="false">IF(_PENDIENTES!$B$1167&lt;&gt;"",_PENDIENTES!$F$1167,"")</f>
        <v/>
      </c>
      <c r="G1173" s="44" t="str">
        <f aca="false">IF(_PENDIENTES!$B$1167&lt;&gt;"",_PENDIENTES!$G$1167,"")</f>
        <v/>
      </c>
      <c r="H1173" s="44" t="str">
        <f aca="false">IF(_PENDIENTES!$B$1167&lt;&gt;"",_PENDIENTES!$H$1167,"")</f>
        <v/>
      </c>
      <c r="I1173" s="110" t="str">
        <f aca="false">IF(_PENDIENTES!$B$1167&lt;&gt;"",_PENDIENTES!$I$1167,"")</f>
        <v/>
      </c>
      <c r="J1173" s="46" t="str">
        <f aca="false">IF(_PENDIENTES!$B$1167&lt;&gt;"",_PENDIENTES!$J$1167,"")</f>
        <v/>
      </c>
      <c r="K1173" s="46" t="str">
        <f aca="false">IF(_PENDIENTES!$B$1167&lt;&gt;"","POR RECOGER","")</f>
        <v/>
      </c>
      <c r="L1173" s="46" t="str">
        <f aca="false">IF(_PENDIENTES!$B$1167&lt;&gt;"",_PENDIENTES!$K$1167,"")</f>
        <v/>
      </c>
      <c r="M1173" s="89" t="str">
        <f aca="false">IF(_PENDIENTES!$B$1167&lt;&gt;"",_PENDIENTES!$B$1167,"")</f>
        <v/>
      </c>
      <c r="N1173" s="109" t="str">
        <f aca="false">IF(_PENDIENTES!$B$1167&lt;&gt;"",_PENDIENTES!$L$1167,"")</f>
        <v/>
      </c>
      <c r="O1173" s="89"/>
    </row>
    <row r="1174" customFormat="false" ht="15.75" hidden="true" customHeight="true" outlineLevel="0" collapsed="false">
      <c r="A1174" s="106" t="str">
        <f aca="false">IF(_PENDIENTES!$B$1168&lt;&gt;"",1167,"")</f>
        <v/>
      </c>
      <c r="B1174" s="47" t="str">
        <f aca="false">IF(_PENDIENTES!$B$1168&lt;&gt;"",_PENDIENTES!$A$1168,"")</f>
        <v/>
      </c>
      <c r="C1174" s="107" t="str">
        <f aca="false">IF(_PENDIENTES!$B$1168&lt;&gt;"",_PENDIENTES!$C$1168,"")</f>
        <v/>
      </c>
      <c r="D1174" s="106" t="str">
        <f aca="false">IF(_PENDIENTES!$B$1168&lt;&gt;"",_PENDIENTES!$D$1168,"")</f>
        <v/>
      </c>
      <c r="E1174" s="106" t="str">
        <f aca="false">IF(_PENDIENTES!$B$1168&lt;&gt;"",_PENDIENTES!$E$1168,"")</f>
        <v/>
      </c>
      <c r="F1174" s="106" t="str">
        <f aca="false">IF(_PENDIENTES!$B$1168&lt;&gt;"",_PENDIENTES!$F$1168,"")</f>
        <v/>
      </c>
      <c r="G1174" s="50" t="str">
        <f aca="false">IF(_PENDIENTES!$B$1168&lt;&gt;"",_PENDIENTES!$G$1168,"")</f>
        <v/>
      </c>
      <c r="H1174" s="50" t="str">
        <f aca="false">IF(_PENDIENTES!$B$1168&lt;&gt;"",_PENDIENTES!$H$1168,"")</f>
        <v/>
      </c>
      <c r="I1174" s="107" t="str">
        <f aca="false">IF(_PENDIENTES!$B$1168&lt;&gt;"",_PENDIENTES!$I$1168,"")</f>
        <v/>
      </c>
      <c r="J1174" s="106" t="str">
        <f aca="false">IF(_PENDIENTES!$B$1168&lt;&gt;"",_PENDIENTES!$J$1168,"")</f>
        <v/>
      </c>
      <c r="K1174" s="106" t="str">
        <f aca="false">IF(_PENDIENTES!$B$1168&lt;&gt;"","POR RECOGER","")</f>
        <v/>
      </c>
      <c r="L1174" s="106" t="str">
        <f aca="false">IF(_PENDIENTES!$B$1168&lt;&gt;"",_PENDIENTES!$K$1168,"")</f>
        <v/>
      </c>
      <c r="M1174" s="89" t="str">
        <f aca="false">IF(_PENDIENTES!$B$1168&lt;&gt;"",_PENDIENTES!$B$1168,"")</f>
        <v/>
      </c>
      <c r="N1174" s="109" t="str">
        <f aca="false">IF(_PENDIENTES!$B$1168&lt;&gt;"",_PENDIENTES!$L$1168,"")</f>
        <v/>
      </c>
      <c r="O1174" s="89"/>
    </row>
    <row r="1175" customFormat="false" ht="15.75" hidden="true" customHeight="true" outlineLevel="0" collapsed="false">
      <c r="A1175" s="46" t="str">
        <f aca="false">IF(_PENDIENTES!$B$1169&lt;&gt;"",1168,"")</f>
        <v/>
      </c>
      <c r="B1175" s="41" t="str">
        <f aca="false">IF(_PENDIENTES!$B$1169&lt;&gt;"",_PENDIENTES!$A$1169,"")</f>
        <v/>
      </c>
      <c r="C1175" s="110" t="str">
        <f aca="false">IF(_PENDIENTES!$B$1169&lt;&gt;"",_PENDIENTES!$C$1169,"")</f>
        <v/>
      </c>
      <c r="D1175" s="46" t="str">
        <f aca="false">IF(_PENDIENTES!$B$1169&lt;&gt;"",_PENDIENTES!$D$1169,"")</f>
        <v/>
      </c>
      <c r="E1175" s="46" t="str">
        <f aca="false">IF(_PENDIENTES!$B$1169&lt;&gt;"",_PENDIENTES!$E$1169,"")</f>
        <v/>
      </c>
      <c r="F1175" s="46" t="str">
        <f aca="false">IF(_PENDIENTES!$B$1169&lt;&gt;"",_PENDIENTES!$F$1169,"")</f>
        <v/>
      </c>
      <c r="G1175" s="44" t="str">
        <f aca="false">IF(_PENDIENTES!$B$1169&lt;&gt;"",_PENDIENTES!$G$1169,"")</f>
        <v/>
      </c>
      <c r="H1175" s="44" t="str">
        <f aca="false">IF(_PENDIENTES!$B$1169&lt;&gt;"",_PENDIENTES!$H$1169,"")</f>
        <v/>
      </c>
      <c r="I1175" s="110" t="str">
        <f aca="false">IF(_PENDIENTES!$B$1169&lt;&gt;"",_PENDIENTES!$I$1169,"")</f>
        <v/>
      </c>
      <c r="J1175" s="46" t="str">
        <f aca="false">IF(_PENDIENTES!$B$1169&lt;&gt;"",_PENDIENTES!$J$1169,"")</f>
        <v/>
      </c>
      <c r="K1175" s="46" t="str">
        <f aca="false">IF(_PENDIENTES!$B$1169&lt;&gt;"","POR RECOGER","")</f>
        <v/>
      </c>
      <c r="L1175" s="46" t="str">
        <f aca="false">IF(_PENDIENTES!$B$1169&lt;&gt;"",_PENDIENTES!$K$1169,"")</f>
        <v/>
      </c>
      <c r="M1175" s="89" t="str">
        <f aca="false">IF(_PENDIENTES!$B$1169&lt;&gt;"",_PENDIENTES!$B$1169,"")</f>
        <v/>
      </c>
      <c r="N1175" s="109" t="str">
        <f aca="false">IF(_PENDIENTES!$B$1169&lt;&gt;"",_PENDIENTES!$L$1169,"")</f>
        <v/>
      </c>
      <c r="O1175" s="89"/>
    </row>
    <row r="1176" customFormat="false" ht="15.75" hidden="true" customHeight="true" outlineLevel="0" collapsed="false">
      <c r="A1176" s="106" t="str">
        <f aca="false">IF(_PENDIENTES!$B$1170&lt;&gt;"",1169,"")</f>
        <v/>
      </c>
      <c r="B1176" s="47" t="str">
        <f aca="false">IF(_PENDIENTES!$B$1170&lt;&gt;"",_PENDIENTES!$A$1170,"")</f>
        <v/>
      </c>
      <c r="C1176" s="107" t="str">
        <f aca="false">IF(_PENDIENTES!$B$1170&lt;&gt;"",_PENDIENTES!$C$1170,"")</f>
        <v/>
      </c>
      <c r="D1176" s="106" t="str">
        <f aca="false">IF(_PENDIENTES!$B$1170&lt;&gt;"",_PENDIENTES!$D$1170,"")</f>
        <v/>
      </c>
      <c r="E1176" s="106" t="str">
        <f aca="false">IF(_PENDIENTES!$B$1170&lt;&gt;"",_PENDIENTES!$E$1170,"")</f>
        <v/>
      </c>
      <c r="F1176" s="106" t="str">
        <f aca="false">IF(_PENDIENTES!$B$1170&lt;&gt;"",_PENDIENTES!$F$1170,"")</f>
        <v/>
      </c>
      <c r="G1176" s="50" t="str">
        <f aca="false">IF(_PENDIENTES!$B$1170&lt;&gt;"",_PENDIENTES!$G$1170,"")</f>
        <v/>
      </c>
      <c r="H1176" s="50" t="str">
        <f aca="false">IF(_PENDIENTES!$B$1170&lt;&gt;"",_PENDIENTES!$H$1170,"")</f>
        <v/>
      </c>
      <c r="I1176" s="107" t="str">
        <f aca="false">IF(_PENDIENTES!$B$1170&lt;&gt;"",_PENDIENTES!$I$1170,"")</f>
        <v/>
      </c>
      <c r="J1176" s="106" t="str">
        <f aca="false">IF(_PENDIENTES!$B$1170&lt;&gt;"",_PENDIENTES!$J$1170,"")</f>
        <v/>
      </c>
      <c r="K1176" s="106" t="str">
        <f aca="false">IF(_PENDIENTES!$B$1170&lt;&gt;"","POR RECOGER","")</f>
        <v/>
      </c>
      <c r="L1176" s="106" t="str">
        <f aca="false">IF(_PENDIENTES!$B$1170&lt;&gt;"",_PENDIENTES!$K$1170,"")</f>
        <v/>
      </c>
      <c r="M1176" s="89" t="str">
        <f aca="false">IF(_PENDIENTES!$B$1170&lt;&gt;"",_PENDIENTES!$B$1170,"")</f>
        <v/>
      </c>
      <c r="N1176" s="109" t="str">
        <f aca="false">IF(_PENDIENTES!$B$1170&lt;&gt;"",_PENDIENTES!$L$1170,"")</f>
        <v/>
      </c>
      <c r="O1176" s="89"/>
    </row>
    <row r="1177" customFormat="false" ht="15.75" hidden="true" customHeight="true" outlineLevel="0" collapsed="false">
      <c r="A1177" s="46" t="str">
        <f aca="false">IF(_PENDIENTES!$B$1171&lt;&gt;"",1170,"")</f>
        <v/>
      </c>
      <c r="B1177" s="41" t="str">
        <f aca="false">IF(_PENDIENTES!$B$1171&lt;&gt;"",_PENDIENTES!$A$1171,"")</f>
        <v/>
      </c>
      <c r="C1177" s="110" t="str">
        <f aca="false">IF(_PENDIENTES!$B$1171&lt;&gt;"",_PENDIENTES!$C$1171,"")</f>
        <v/>
      </c>
      <c r="D1177" s="46" t="str">
        <f aca="false">IF(_PENDIENTES!$B$1171&lt;&gt;"",_PENDIENTES!$D$1171,"")</f>
        <v/>
      </c>
      <c r="E1177" s="46" t="str">
        <f aca="false">IF(_PENDIENTES!$B$1171&lt;&gt;"",_PENDIENTES!$E$1171,"")</f>
        <v/>
      </c>
      <c r="F1177" s="46" t="str">
        <f aca="false">IF(_PENDIENTES!$B$1171&lt;&gt;"",_PENDIENTES!$F$1171,"")</f>
        <v/>
      </c>
      <c r="G1177" s="44" t="str">
        <f aca="false">IF(_PENDIENTES!$B$1171&lt;&gt;"",_PENDIENTES!$G$1171,"")</f>
        <v/>
      </c>
      <c r="H1177" s="44" t="str">
        <f aca="false">IF(_PENDIENTES!$B$1171&lt;&gt;"",_PENDIENTES!$H$1171,"")</f>
        <v/>
      </c>
      <c r="I1177" s="110" t="str">
        <f aca="false">IF(_PENDIENTES!$B$1171&lt;&gt;"",_PENDIENTES!$I$1171,"")</f>
        <v/>
      </c>
      <c r="J1177" s="46" t="str">
        <f aca="false">IF(_PENDIENTES!$B$1171&lt;&gt;"",_PENDIENTES!$J$1171,"")</f>
        <v/>
      </c>
      <c r="K1177" s="46" t="str">
        <f aca="false">IF(_PENDIENTES!$B$1171&lt;&gt;"","POR RECOGER","")</f>
        <v/>
      </c>
      <c r="L1177" s="46" t="str">
        <f aca="false">IF(_PENDIENTES!$B$1171&lt;&gt;"",_PENDIENTES!$K$1171,"")</f>
        <v/>
      </c>
      <c r="M1177" s="89" t="str">
        <f aca="false">IF(_PENDIENTES!$B$1171&lt;&gt;"",_PENDIENTES!$B$1171,"")</f>
        <v/>
      </c>
      <c r="N1177" s="109" t="str">
        <f aca="false">IF(_PENDIENTES!$B$1171&lt;&gt;"",_PENDIENTES!$L$1171,"")</f>
        <v/>
      </c>
      <c r="O1177" s="89"/>
    </row>
    <row r="1178" customFormat="false" ht="15.75" hidden="true" customHeight="true" outlineLevel="0" collapsed="false">
      <c r="A1178" s="106" t="str">
        <f aca="false">IF(_PENDIENTES!$B$1172&lt;&gt;"",1171,"")</f>
        <v/>
      </c>
      <c r="B1178" s="47" t="str">
        <f aca="false">IF(_PENDIENTES!$B$1172&lt;&gt;"",_PENDIENTES!$A$1172,"")</f>
        <v/>
      </c>
      <c r="C1178" s="107" t="str">
        <f aca="false">IF(_PENDIENTES!$B$1172&lt;&gt;"",_PENDIENTES!$C$1172,"")</f>
        <v/>
      </c>
      <c r="D1178" s="106" t="str">
        <f aca="false">IF(_PENDIENTES!$B$1172&lt;&gt;"",_PENDIENTES!$D$1172,"")</f>
        <v/>
      </c>
      <c r="E1178" s="106" t="str">
        <f aca="false">IF(_PENDIENTES!$B$1172&lt;&gt;"",_PENDIENTES!$E$1172,"")</f>
        <v/>
      </c>
      <c r="F1178" s="106" t="str">
        <f aca="false">IF(_PENDIENTES!$B$1172&lt;&gt;"",_PENDIENTES!$F$1172,"")</f>
        <v/>
      </c>
      <c r="G1178" s="50" t="str">
        <f aca="false">IF(_PENDIENTES!$B$1172&lt;&gt;"",_PENDIENTES!$G$1172,"")</f>
        <v/>
      </c>
      <c r="H1178" s="50" t="str">
        <f aca="false">IF(_PENDIENTES!$B$1172&lt;&gt;"",_PENDIENTES!$H$1172,"")</f>
        <v/>
      </c>
      <c r="I1178" s="107" t="str">
        <f aca="false">IF(_PENDIENTES!$B$1172&lt;&gt;"",_PENDIENTES!$I$1172,"")</f>
        <v/>
      </c>
      <c r="J1178" s="106" t="str">
        <f aca="false">IF(_PENDIENTES!$B$1172&lt;&gt;"",_PENDIENTES!$J$1172,"")</f>
        <v/>
      </c>
      <c r="K1178" s="106" t="str">
        <f aca="false">IF(_PENDIENTES!$B$1172&lt;&gt;"","POR RECOGER","")</f>
        <v/>
      </c>
      <c r="L1178" s="106" t="str">
        <f aca="false">IF(_PENDIENTES!$B$1172&lt;&gt;"",_PENDIENTES!$K$1172,"")</f>
        <v/>
      </c>
      <c r="M1178" s="89" t="str">
        <f aca="false">IF(_PENDIENTES!$B$1172&lt;&gt;"",_PENDIENTES!$B$1172,"")</f>
        <v/>
      </c>
      <c r="N1178" s="109" t="str">
        <f aca="false">IF(_PENDIENTES!$B$1172&lt;&gt;"",_PENDIENTES!$L$1172,"")</f>
        <v/>
      </c>
      <c r="O1178" s="89"/>
    </row>
    <row r="1179" customFormat="false" ht="15.75" hidden="true" customHeight="true" outlineLevel="0" collapsed="false">
      <c r="A1179" s="46" t="str">
        <f aca="false">IF(_PENDIENTES!$B$1173&lt;&gt;"",1172,"")</f>
        <v/>
      </c>
      <c r="B1179" s="41" t="str">
        <f aca="false">IF(_PENDIENTES!$B$1173&lt;&gt;"",_PENDIENTES!$A$1173,"")</f>
        <v/>
      </c>
      <c r="C1179" s="110" t="str">
        <f aca="false">IF(_PENDIENTES!$B$1173&lt;&gt;"",_PENDIENTES!$C$1173,"")</f>
        <v/>
      </c>
      <c r="D1179" s="46" t="str">
        <f aca="false">IF(_PENDIENTES!$B$1173&lt;&gt;"",_PENDIENTES!$D$1173,"")</f>
        <v/>
      </c>
      <c r="E1179" s="46" t="str">
        <f aca="false">IF(_PENDIENTES!$B$1173&lt;&gt;"",_PENDIENTES!$E$1173,"")</f>
        <v/>
      </c>
      <c r="F1179" s="46" t="str">
        <f aca="false">IF(_PENDIENTES!$B$1173&lt;&gt;"",_PENDIENTES!$F$1173,"")</f>
        <v/>
      </c>
      <c r="G1179" s="44" t="str">
        <f aca="false">IF(_PENDIENTES!$B$1173&lt;&gt;"",_PENDIENTES!$G$1173,"")</f>
        <v/>
      </c>
      <c r="H1179" s="44" t="str">
        <f aca="false">IF(_PENDIENTES!$B$1173&lt;&gt;"",_PENDIENTES!$H$1173,"")</f>
        <v/>
      </c>
      <c r="I1179" s="110" t="str">
        <f aca="false">IF(_PENDIENTES!$B$1173&lt;&gt;"",_PENDIENTES!$I$1173,"")</f>
        <v/>
      </c>
      <c r="J1179" s="46" t="str">
        <f aca="false">IF(_PENDIENTES!$B$1173&lt;&gt;"",_PENDIENTES!$J$1173,"")</f>
        <v/>
      </c>
      <c r="K1179" s="46" t="str">
        <f aca="false">IF(_PENDIENTES!$B$1173&lt;&gt;"","POR RECOGER","")</f>
        <v/>
      </c>
      <c r="L1179" s="46" t="str">
        <f aca="false">IF(_PENDIENTES!$B$1173&lt;&gt;"",_PENDIENTES!$K$1173,"")</f>
        <v/>
      </c>
      <c r="M1179" s="89" t="str">
        <f aca="false">IF(_PENDIENTES!$B$1173&lt;&gt;"",_PENDIENTES!$B$1173,"")</f>
        <v/>
      </c>
      <c r="N1179" s="109" t="str">
        <f aca="false">IF(_PENDIENTES!$B$1173&lt;&gt;"",_PENDIENTES!$L$1173,"")</f>
        <v/>
      </c>
      <c r="O1179" s="89"/>
    </row>
    <row r="1180" customFormat="false" ht="15.75" hidden="true" customHeight="true" outlineLevel="0" collapsed="false">
      <c r="A1180" s="106" t="str">
        <f aca="false">IF(_PENDIENTES!$B$1174&lt;&gt;"",1173,"")</f>
        <v/>
      </c>
      <c r="B1180" s="47" t="str">
        <f aca="false">IF(_PENDIENTES!$B$1174&lt;&gt;"",_PENDIENTES!$A$1174,"")</f>
        <v/>
      </c>
      <c r="C1180" s="107" t="str">
        <f aca="false">IF(_PENDIENTES!$B$1174&lt;&gt;"",_PENDIENTES!$C$1174,"")</f>
        <v/>
      </c>
      <c r="D1180" s="106" t="str">
        <f aca="false">IF(_PENDIENTES!$B$1174&lt;&gt;"",_PENDIENTES!$D$1174,"")</f>
        <v/>
      </c>
      <c r="E1180" s="106" t="str">
        <f aca="false">IF(_PENDIENTES!$B$1174&lt;&gt;"",_PENDIENTES!$E$1174,"")</f>
        <v/>
      </c>
      <c r="F1180" s="106" t="str">
        <f aca="false">IF(_PENDIENTES!$B$1174&lt;&gt;"",_PENDIENTES!$F$1174,"")</f>
        <v/>
      </c>
      <c r="G1180" s="50" t="str">
        <f aca="false">IF(_PENDIENTES!$B$1174&lt;&gt;"",_PENDIENTES!$G$1174,"")</f>
        <v/>
      </c>
      <c r="H1180" s="50" t="str">
        <f aca="false">IF(_PENDIENTES!$B$1174&lt;&gt;"",_PENDIENTES!$H$1174,"")</f>
        <v/>
      </c>
      <c r="I1180" s="107" t="str">
        <f aca="false">IF(_PENDIENTES!$B$1174&lt;&gt;"",_PENDIENTES!$I$1174,"")</f>
        <v/>
      </c>
      <c r="J1180" s="106" t="str">
        <f aca="false">IF(_PENDIENTES!$B$1174&lt;&gt;"",_PENDIENTES!$J$1174,"")</f>
        <v/>
      </c>
      <c r="K1180" s="106" t="str">
        <f aca="false">IF(_PENDIENTES!$B$1174&lt;&gt;"","POR RECOGER","")</f>
        <v/>
      </c>
      <c r="L1180" s="106" t="str">
        <f aca="false">IF(_PENDIENTES!$B$1174&lt;&gt;"",_PENDIENTES!$K$1174,"")</f>
        <v/>
      </c>
      <c r="M1180" s="89" t="str">
        <f aca="false">IF(_PENDIENTES!$B$1174&lt;&gt;"",_PENDIENTES!$B$1174,"")</f>
        <v/>
      </c>
      <c r="N1180" s="109" t="str">
        <f aca="false">IF(_PENDIENTES!$B$1174&lt;&gt;"",_PENDIENTES!$L$1174,"")</f>
        <v/>
      </c>
      <c r="O1180" s="89"/>
    </row>
    <row r="1181" customFormat="false" ht="15.75" hidden="true" customHeight="true" outlineLevel="0" collapsed="false">
      <c r="A1181" s="46" t="str">
        <f aca="false">IF(_PENDIENTES!$B$1175&lt;&gt;"",1174,"")</f>
        <v/>
      </c>
      <c r="B1181" s="41" t="str">
        <f aca="false">IF(_PENDIENTES!$B$1175&lt;&gt;"",_PENDIENTES!$A$1175,"")</f>
        <v/>
      </c>
      <c r="C1181" s="110" t="str">
        <f aca="false">IF(_PENDIENTES!$B$1175&lt;&gt;"",_PENDIENTES!$C$1175,"")</f>
        <v/>
      </c>
      <c r="D1181" s="46" t="str">
        <f aca="false">IF(_PENDIENTES!$B$1175&lt;&gt;"",_PENDIENTES!$D$1175,"")</f>
        <v/>
      </c>
      <c r="E1181" s="46" t="str">
        <f aca="false">IF(_PENDIENTES!$B$1175&lt;&gt;"",_PENDIENTES!$E$1175,"")</f>
        <v/>
      </c>
      <c r="F1181" s="46" t="str">
        <f aca="false">IF(_PENDIENTES!$B$1175&lt;&gt;"",_PENDIENTES!$F$1175,"")</f>
        <v/>
      </c>
      <c r="G1181" s="44" t="str">
        <f aca="false">IF(_PENDIENTES!$B$1175&lt;&gt;"",_PENDIENTES!$G$1175,"")</f>
        <v/>
      </c>
      <c r="H1181" s="44" t="str">
        <f aca="false">IF(_PENDIENTES!$B$1175&lt;&gt;"",_PENDIENTES!$H$1175,"")</f>
        <v/>
      </c>
      <c r="I1181" s="110" t="str">
        <f aca="false">IF(_PENDIENTES!$B$1175&lt;&gt;"",_PENDIENTES!$I$1175,"")</f>
        <v/>
      </c>
      <c r="J1181" s="46" t="str">
        <f aca="false">IF(_PENDIENTES!$B$1175&lt;&gt;"",_PENDIENTES!$J$1175,"")</f>
        <v/>
      </c>
      <c r="K1181" s="46" t="str">
        <f aca="false">IF(_PENDIENTES!$B$1175&lt;&gt;"","POR RECOGER","")</f>
        <v/>
      </c>
      <c r="L1181" s="46" t="str">
        <f aca="false">IF(_PENDIENTES!$B$1175&lt;&gt;"",_PENDIENTES!$K$1175,"")</f>
        <v/>
      </c>
      <c r="M1181" s="89" t="str">
        <f aca="false">IF(_PENDIENTES!$B$1175&lt;&gt;"",_PENDIENTES!$B$1175,"")</f>
        <v/>
      </c>
      <c r="N1181" s="109" t="str">
        <f aca="false">IF(_PENDIENTES!$B$1175&lt;&gt;"",_PENDIENTES!$L$1175,"")</f>
        <v/>
      </c>
      <c r="O1181" s="89"/>
    </row>
    <row r="1182" customFormat="false" ht="15.75" hidden="true" customHeight="true" outlineLevel="0" collapsed="false">
      <c r="A1182" s="106" t="str">
        <f aca="false">IF(_PENDIENTES!$B$1176&lt;&gt;"",1175,"")</f>
        <v/>
      </c>
      <c r="B1182" s="47" t="str">
        <f aca="false">IF(_PENDIENTES!$B$1176&lt;&gt;"",_PENDIENTES!$A$1176,"")</f>
        <v/>
      </c>
      <c r="C1182" s="107" t="str">
        <f aca="false">IF(_PENDIENTES!$B$1176&lt;&gt;"",_PENDIENTES!$C$1176,"")</f>
        <v/>
      </c>
      <c r="D1182" s="106" t="str">
        <f aca="false">IF(_PENDIENTES!$B$1176&lt;&gt;"",_PENDIENTES!$D$1176,"")</f>
        <v/>
      </c>
      <c r="E1182" s="106" t="str">
        <f aca="false">IF(_PENDIENTES!$B$1176&lt;&gt;"",_PENDIENTES!$E$1176,"")</f>
        <v/>
      </c>
      <c r="F1182" s="106" t="str">
        <f aca="false">IF(_PENDIENTES!$B$1176&lt;&gt;"",_PENDIENTES!$F$1176,"")</f>
        <v/>
      </c>
      <c r="G1182" s="50" t="str">
        <f aca="false">IF(_PENDIENTES!$B$1176&lt;&gt;"",_PENDIENTES!$G$1176,"")</f>
        <v/>
      </c>
      <c r="H1182" s="50" t="str">
        <f aca="false">IF(_PENDIENTES!$B$1176&lt;&gt;"",_PENDIENTES!$H$1176,"")</f>
        <v/>
      </c>
      <c r="I1182" s="107" t="str">
        <f aca="false">IF(_PENDIENTES!$B$1176&lt;&gt;"",_PENDIENTES!$I$1176,"")</f>
        <v/>
      </c>
      <c r="J1182" s="106" t="str">
        <f aca="false">IF(_PENDIENTES!$B$1176&lt;&gt;"",_PENDIENTES!$J$1176,"")</f>
        <v/>
      </c>
      <c r="K1182" s="106" t="str">
        <f aca="false">IF(_PENDIENTES!$B$1176&lt;&gt;"","POR RECOGER","")</f>
        <v/>
      </c>
      <c r="L1182" s="106" t="str">
        <f aca="false">IF(_PENDIENTES!$B$1176&lt;&gt;"",_PENDIENTES!$K$1176,"")</f>
        <v/>
      </c>
      <c r="M1182" s="89" t="str">
        <f aca="false">IF(_PENDIENTES!$B$1176&lt;&gt;"",_PENDIENTES!$B$1176,"")</f>
        <v/>
      </c>
      <c r="N1182" s="109" t="str">
        <f aca="false">IF(_PENDIENTES!$B$1176&lt;&gt;"",_PENDIENTES!$L$1176,"")</f>
        <v/>
      </c>
      <c r="O1182" s="89"/>
    </row>
    <row r="1183" customFormat="false" ht="15.75" hidden="true" customHeight="true" outlineLevel="0" collapsed="false">
      <c r="A1183" s="46" t="str">
        <f aca="false">IF(_PENDIENTES!$B$1177&lt;&gt;"",1176,"")</f>
        <v/>
      </c>
      <c r="B1183" s="41" t="str">
        <f aca="false">IF(_PENDIENTES!$B$1177&lt;&gt;"",_PENDIENTES!$A$1177,"")</f>
        <v/>
      </c>
      <c r="C1183" s="110" t="str">
        <f aca="false">IF(_PENDIENTES!$B$1177&lt;&gt;"",_PENDIENTES!$C$1177,"")</f>
        <v/>
      </c>
      <c r="D1183" s="46" t="str">
        <f aca="false">IF(_PENDIENTES!$B$1177&lt;&gt;"",_PENDIENTES!$D$1177,"")</f>
        <v/>
      </c>
      <c r="E1183" s="46" t="str">
        <f aca="false">IF(_PENDIENTES!$B$1177&lt;&gt;"",_PENDIENTES!$E$1177,"")</f>
        <v/>
      </c>
      <c r="F1183" s="46" t="str">
        <f aca="false">IF(_PENDIENTES!$B$1177&lt;&gt;"",_PENDIENTES!$F$1177,"")</f>
        <v/>
      </c>
      <c r="G1183" s="44" t="str">
        <f aca="false">IF(_PENDIENTES!$B$1177&lt;&gt;"",_PENDIENTES!$G$1177,"")</f>
        <v/>
      </c>
      <c r="H1183" s="44" t="str">
        <f aca="false">IF(_PENDIENTES!$B$1177&lt;&gt;"",_PENDIENTES!$H$1177,"")</f>
        <v/>
      </c>
      <c r="I1183" s="110" t="str">
        <f aca="false">IF(_PENDIENTES!$B$1177&lt;&gt;"",_PENDIENTES!$I$1177,"")</f>
        <v/>
      </c>
      <c r="J1183" s="46" t="str">
        <f aca="false">IF(_PENDIENTES!$B$1177&lt;&gt;"",_PENDIENTES!$J$1177,"")</f>
        <v/>
      </c>
      <c r="K1183" s="46" t="str">
        <f aca="false">IF(_PENDIENTES!$B$1177&lt;&gt;"","POR RECOGER","")</f>
        <v/>
      </c>
      <c r="L1183" s="46" t="str">
        <f aca="false">IF(_PENDIENTES!$B$1177&lt;&gt;"",_PENDIENTES!$K$1177,"")</f>
        <v/>
      </c>
      <c r="M1183" s="89" t="str">
        <f aca="false">IF(_PENDIENTES!$B$1177&lt;&gt;"",_PENDIENTES!$B$1177,"")</f>
        <v/>
      </c>
      <c r="N1183" s="109" t="str">
        <f aca="false">IF(_PENDIENTES!$B$1177&lt;&gt;"",_PENDIENTES!$L$1177,"")</f>
        <v/>
      </c>
      <c r="O1183" s="89"/>
    </row>
    <row r="1184" customFormat="false" ht="15.75" hidden="true" customHeight="true" outlineLevel="0" collapsed="false">
      <c r="A1184" s="106" t="str">
        <f aca="false">IF(_PENDIENTES!$B$1178&lt;&gt;"",1177,"")</f>
        <v/>
      </c>
      <c r="B1184" s="47" t="str">
        <f aca="false">IF(_PENDIENTES!$B$1178&lt;&gt;"",_PENDIENTES!$A$1178,"")</f>
        <v/>
      </c>
      <c r="C1184" s="107" t="str">
        <f aca="false">IF(_PENDIENTES!$B$1178&lt;&gt;"",_PENDIENTES!$C$1178,"")</f>
        <v/>
      </c>
      <c r="D1184" s="106" t="str">
        <f aca="false">IF(_PENDIENTES!$B$1178&lt;&gt;"",_PENDIENTES!$D$1178,"")</f>
        <v/>
      </c>
      <c r="E1184" s="106" t="str">
        <f aca="false">IF(_PENDIENTES!$B$1178&lt;&gt;"",_PENDIENTES!$E$1178,"")</f>
        <v/>
      </c>
      <c r="F1184" s="106" t="str">
        <f aca="false">IF(_PENDIENTES!$B$1178&lt;&gt;"",_PENDIENTES!$F$1178,"")</f>
        <v/>
      </c>
      <c r="G1184" s="50" t="str">
        <f aca="false">IF(_PENDIENTES!$B$1178&lt;&gt;"",_PENDIENTES!$G$1178,"")</f>
        <v/>
      </c>
      <c r="H1184" s="50" t="str">
        <f aca="false">IF(_PENDIENTES!$B$1178&lt;&gt;"",_PENDIENTES!$H$1178,"")</f>
        <v/>
      </c>
      <c r="I1184" s="107" t="str">
        <f aca="false">IF(_PENDIENTES!$B$1178&lt;&gt;"",_PENDIENTES!$I$1178,"")</f>
        <v/>
      </c>
      <c r="J1184" s="106" t="str">
        <f aca="false">IF(_PENDIENTES!$B$1178&lt;&gt;"",_PENDIENTES!$J$1178,"")</f>
        <v/>
      </c>
      <c r="K1184" s="106" t="str">
        <f aca="false">IF(_PENDIENTES!$B$1178&lt;&gt;"","POR RECOGER","")</f>
        <v/>
      </c>
      <c r="L1184" s="106" t="str">
        <f aca="false">IF(_PENDIENTES!$B$1178&lt;&gt;"",_PENDIENTES!$K$1178,"")</f>
        <v/>
      </c>
      <c r="M1184" s="89" t="str">
        <f aca="false">IF(_PENDIENTES!$B$1178&lt;&gt;"",_PENDIENTES!$B$1178,"")</f>
        <v/>
      </c>
      <c r="N1184" s="109" t="str">
        <f aca="false">IF(_PENDIENTES!$B$1178&lt;&gt;"",_PENDIENTES!$L$1178,"")</f>
        <v/>
      </c>
      <c r="O1184" s="89"/>
    </row>
    <row r="1185" customFormat="false" ht="15.75" hidden="true" customHeight="true" outlineLevel="0" collapsed="false">
      <c r="A1185" s="46" t="str">
        <f aca="false">IF(_PENDIENTES!$B$1179&lt;&gt;"",1178,"")</f>
        <v/>
      </c>
      <c r="B1185" s="41" t="str">
        <f aca="false">IF(_PENDIENTES!$B$1179&lt;&gt;"",_PENDIENTES!$A$1179,"")</f>
        <v/>
      </c>
      <c r="C1185" s="110" t="str">
        <f aca="false">IF(_PENDIENTES!$B$1179&lt;&gt;"",_PENDIENTES!$C$1179,"")</f>
        <v/>
      </c>
      <c r="D1185" s="46" t="str">
        <f aca="false">IF(_PENDIENTES!$B$1179&lt;&gt;"",_PENDIENTES!$D$1179,"")</f>
        <v/>
      </c>
      <c r="E1185" s="46" t="str">
        <f aca="false">IF(_PENDIENTES!$B$1179&lt;&gt;"",_PENDIENTES!$E$1179,"")</f>
        <v/>
      </c>
      <c r="F1185" s="46" t="str">
        <f aca="false">IF(_PENDIENTES!$B$1179&lt;&gt;"",_PENDIENTES!$F$1179,"")</f>
        <v/>
      </c>
      <c r="G1185" s="44" t="str">
        <f aca="false">IF(_PENDIENTES!$B$1179&lt;&gt;"",_PENDIENTES!$G$1179,"")</f>
        <v/>
      </c>
      <c r="H1185" s="44" t="str">
        <f aca="false">IF(_PENDIENTES!$B$1179&lt;&gt;"",_PENDIENTES!$H$1179,"")</f>
        <v/>
      </c>
      <c r="I1185" s="110" t="str">
        <f aca="false">IF(_PENDIENTES!$B$1179&lt;&gt;"",_PENDIENTES!$I$1179,"")</f>
        <v/>
      </c>
      <c r="J1185" s="46" t="str">
        <f aca="false">IF(_PENDIENTES!$B$1179&lt;&gt;"",_PENDIENTES!$J$1179,"")</f>
        <v/>
      </c>
      <c r="K1185" s="46" t="str">
        <f aca="false">IF(_PENDIENTES!$B$1179&lt;&gt;"","POR RECOGER","")</f>
        <v/>
      </c>
      <c r="L1185" s="46" t="str">
        <f aca="false">IF(_PENDIENTES!$B$1179&lt;&gt;"",_PENDIENTES!$K$1179,"")</f>
        <v/>
      </c>
      <c r="M1185" s="89" t="str">
        <f aca="false">IF(_PENDIENTES!$B$1179&lt;&gt;"",_PENDIENTES!$B$1179,"")</f>
        <v/>
      </c>
      <c r="N1185" s="109" t="str">
        <f aca="false">IF(_PENDIENTES!$B$1179&lt;&gt;"",_PENDIENTES!$L$1179,"")</f>
        <v/>
      </c>
      <c r="O1185" s="89"/>
    </row>
    <row r="1186" customFormat="false" ht="15.75" hidden="true" customHeight="true" outlineLevel="0" collapsed="false">
      <c r="A1186" s="106" t="str">
        <f aca="false">IF(_PENDIENTES!$B$1180&lt;&gt;"",1179,"")</f>
        <v/>
      </c>
      <c r="B1186" s="47" t="str">
        <f aca="false">IF(_PENDIENTES!$B$1180&lt;&gt;"",_PENDIENTES!$A$1180,"")</f>
        <v/>
      </c>
      <c r="C1186" s="107" t="str">
        <f aca="false">IF(_PENDIENTES!$B$1180&lt;&gt;"",_PENDIENTES!$C$1180,"")</f>
        <v/>
      </c>
      <c r="D1186" s="106" t="str">
        <f aca="false">IF(_PENDIENTES!$B$1180&lt;&gt;"",_PENDIENTES!$D$1180,"")</f>
        <v/>
      </c>
      <c r="E1186" s="106" t="str">
        <f aca="false">IF(_PENDIENTES!$B$1180&lt;&gt;"",_PENDIENTES!$E$1180,"")</f>
        <v/>
      </c>
      <c r="F1186" s="106" t="str">
        <f aca="false">IF(_PENDIENTES!$B$1180&lt;&gt;"",_PENDIENTES!$F$1180,"")</f>
        <v/>
      </c>
      <c r="G1186" s="50" t="str">
        <f aca="false">IF(_PENDIENTES!$B$1180&lt;&gt;"",_PENDIENTES!$G$1180,"")</f>
        <v/>
      </c>
      <c r="H1186" s="50" t="str">
        <f aca="false">IF(_PENDIENTES!$B$1180&lt;&gt;"",_PENDIENTES!$H$1180,"")</f>
        <v/>
      </c>
      <c r="I1186" s="107" t="str">
        <f aca="false">IF(_PENDIENTES!$B$1180&lt;&gt;"",_PENDIENTES!$I$1180,"")</f>
        <v/>
      </c>
      <c r="J1186" s="106" t="str">
        <f aca="false">IF(_PENDIENTES!$B$1180&lt;&gt;"",_PENDIENTES!$J$1180,"")</f>
        <v/>
      </c>
      <c r="K1186" s="106" t="str">
        <f aca="false">IF(_PENDIENTES!$B$1180&lt;&gt;"","POR RECOGER","")</f>
        <v/>
      </c>
      <c r="L1186" s="106" t="str">
        <f aca="false">IF(_PENDIENTES!$B$1180&lt;&gt;"",_PENDIENTES!$K$1180,"")</f>
        <v/>
      </c>
      <c r="M1186" s="89" t="str">
        <f aca="false">IF(_PENDIENTES!$B$1180&lt;&gt;"",_PENDIENTES!$B$1180,"")</f>
        <v/>
      </c>
      <c r="N1186" s="109" t="str">
        <f aca="false">IF(_PENDIENTES!$B$1180&lt;&gt;"",_PENDIENTES!$L$1180,"")</f>
        <v/>
      </c>
      <c r="O1186" s="89"/>
    </row>
    <row r="1187" customFormat="false" ht="15.75" hidden="true" customHeight="true" outlineLevel="0" collapsed="false">
      <c r="A1187" s="46" t="str">
        <f aca="false">IF(_PENDIENTES!$B$1181&lt;&gt;"",1180,"")</f>
        <v/>
      </c>
      <c r="B1187" s="41" t="str">
        <f aca="false">IF(_PENDIENTES!$B$1181&lt;&gt;"",_PENDIENTES!$A$1181,"")</f>
        <v/>
      </c>
      <c r="C1187" s="110" t="str">
        <f aca="false">IF(_PENDIENTES!$B$1181&lt;&gt;"",_PENDIENTES!$C$1181,"")</f>
        <v/>
      </c>
      <c r="D1187" s="46" t="str">
        <f aca="false">IF(_PENDIENTES!$B$1181&lt;&gt;"",_PENDIENTES!$D$1181,"")</f>
        <v/>
      </c>
      <c r="E1187" s="46" t="str">
        <f aca="false">IF(_PENDIENTES!$B$1181&lt;&gt;"",_PENDIENTES!$E$1181,"")</f>
        <v/>
      </c>
      <c r="F1187" s="46" t="str">
        <f aca="false">IF(_PENDIENTES!$B$1181&lt;&gt;"",_PENDIENTES!$F$1181,"")</f>
        <v/>
      </c>
      <c r="G1187" s="44" t="str">
        <f aca="false">IF(_PENDIENTES!$B$1181&lt;&gt;"",_PENDIENTES!$G$1181,"")</f>
        <v/>
      </c>
      <c r="H1187" s="44" t="str">
        <f aca="false">IF(_PENDIENTES!$B$1181&lt;&gt;"",_PENDIENTES!$H$1181,"")</f>
        <v/>
      </c>
      <c r="I1187" s="110" t="str">
        <f aca="false">IF(_PENDIENTES!$B$1181&lt;&gt;"",_PENDIENTES!$I$1181,"")</f>
        <v/>
      </c>
      <c r="J1187" s="46" t="str">
        <f aca="false">IF(_PENDIENTES!$B$1181&lt;&gt;"",_PENDIENTES!$J$1181,"")</f>
        <v/>
      </c>
      <c r="K1187" s="46" t="str">
        <f aca="false">IF(_PENDIENTES!$B$1181&lt;&gt;"","POR RECOGER","")</f>
        <v/>
      </c>
      <c r="L1187" s="46" t="str">
        <f aca="false">IF(_PENDIENTES!$B$1181&lt;&gt;"",_PENDIENTES!$K$1181,"")</f>
        <v/>
      </c>
      <c r="M1187" s="89" t="str">
        <f aca="false">IF(_PENDIENTES!$B$1181&lt;&gt;"",_PENDIENTES!$B$1181,"")</f>
        <v/>
      </c>
      <c r="N1187" s="109" t="str">
        <f aca="false">IF(_PENDIENTES!$B$1181&lt;&gt;"",_PENDIENTES!$L$1181,"")</f>
        <v/>
      </c>
      <c r="O1187" s="89"/>
    </row>
    <row r="1188" customFormat="false" ht="15.75" hidden="true" customHeight="true" outlineLevel="0" collapsed="false">
      <c r="A1188" s="106" t="str">
        <f aca="false">IF(_PENDIENTES!$B$1182&lt;&gt;"",1181,"")</f>
        <v/>
      </c>
      <c r="B1188" s="47" t="str">
        <f aca="false">IF(_PENDIENTES!$B$1182&lt;&gt;"",_PENDIENTES!$A$1182,"")</f>
        <v/>
      </c>
      <c r="C1188" s="107" t="str">
        <f aca="false">IF(_PENDIENTES!$B$1182&lt;&gt;"",_PENDIENTES!$C$1182,"")</f>
        <v/>
      </c>
      <c r="D1188" s="106" t="str">
        <f aca="false">IF(_PENDIENTES!$B$1182&lt;&gt;"",_PENDIENTES!$D$1182,"")</f>
        <v/>
      </c>
      <c r="E1188" s="106" t="str">
        <f aca="false">IF(_PENDIENTES!$B$1182&lt;&gt;"",_PENDIENTES!$E$1182,"")</f>
        <v/>
      </c>
      <c r="F1188" s="106" t="str">
        <f aca="false">IF(_PENDIENTES!$B$1182&lt;&gt;"",_PENDIENTES!$F$1182,"")</f>
        <v/>
      </c>
      <c r="G1188" s="50" t="str">
        <f aca="false">IF(_PENDIENTES!$B$1182&lt;&gt;"",_PENDIENTES!$G$1182,"")</f>
        <v/>
      </c>
      <c r="H1188" s="50" t="str">
        <f aca="false">IF(_PENDIENTES!$B$1182&lt;&gt;"",_PENDIENTES!$H$1182,"")</f>
        <v/>
      </c>
      <c r="I1188" s="107" t="str">
        <f aca="false">IF(_PENDIENTES!$B$1182&lt;&gt;"",_PENDIENTES!$I$1182,"")</f>
        <v/>
      </c>
      <c r="J1188" s="106" t="str">
        <f aca="false">IF(_PENDIENTES!$B$1182&lt;&gt;"",_PENDIENTES!$J$1182,"")</f>
        <v/>
      </c>
      <c r="K1188" s="106" t="str">
        <f aca="false">IF(_PENDIENTES!$B$1182&lt;&gt;"","POR RECOGER","")</f>
        <v/>
      </c>
      <c r="L1188" s="106" t="str">
        <f aca="false">IF(_PENDIENTES!$B$1182&lt;&gt;"",_PENDIENTES!$K$1182,"")</f>
        <v/>
      </c>
      <c r="M1188" s="89" t="str">
        <f aca="false">IF(_PENDIENTES!$B$1182&lt;&gt;"",_PENDIENTES!$B$1182,"")</f>
        <v/>
      </c>
      <c r="N1188" s="109" t="str">
        <f aca="false">IF(_PENDIENTES!$B$1182&lt;&gt;"",_PENDIENTES!$L$1182,"")</f>
        <v/>
      </c>
      <c r="O1188" s="89"/>
    </row>
    <row r="1189" customFormat="false" ht="15.75" hidden="true" customHeight="true" outlineLevel="0" collapsed="false">
      <c r="A1189" s="46" t="str">
        <f aca="false">IF(_PENDIENTES!$B$1183&lt;&gt;"",1182,"")</f>
        <v/>
      </c>
      <c r="B1189" s="41" t="str">
        <f aca="false">IF(_PENDIENTES!$B$1183&lt;&gt;"",_PENDIENTES!$A$1183,"")</f>
        <v/>
      </c>
      <c r="C1189" s="110" t="str">
        <f aca="false">IF(_PENDIENTES!$B$1183&lt;&gt;"",_PENDIENTES!$C$1183,"")</f>
        <v/>
      </c>
      <c r="D1189" s="46" t="str">
        <f aca="false">IF(_PENDIENTES!$B$1183&lt;&gt;"",_PENDIENTES!$D$1183,"")</f>
        <v/>
      </c>
      <c r="E1189" s="46" t="str">
        <f aca="false">IF(_PENDIENTES!$B$1183&lt;&gt;"",_PENDIENTES!$E$1183,"")</f>
        <v/>
      </c>
      <c r="F1189" s="46" t="str">
        <f aca="false">IF(_PENDIENTES!$B$1183&lt;&gt;"",_PENDIENTES!$F$1183,"")</f>
        <v/>
      </c>
      <c r="G1189" s="44" t="str">
        <f aca="false">IF(_PENDIENTES!$B$1183&lt;&gt;"",_PENDIENTES!$G$1183,"")</f>
        <v/>
      </c>
      <c r="H1189" s="44" t="str">
        <f aca="false">IF(_PENDIENTES!$B$1183&lt;&gt;"",_PENDIENTES!$H$1183,"")</f>
        <v/>
      </c>
      <c r="I1189" s="110" t="str">
        <f aca="false">IF(_PENDIENTES!$B$1183&lt;&gt;"",_PENDIENTES!$I$1183,"")</f>
        <v/>
      </c>
      <c r="J1189" s="46" t="str">
        <f aca="false">IF(_PENDIENTES!$B$1183&lt;&gt;"",_PENDIENTES!$J$1183,"")</f>
        <v/>
      </c>
      <c r="K1189" s="46" t="str">
        <f aca="false">IF(_PENDIENTES!$B$1183&lt;&gt;"","POR RECOGER","")</f>
        <v/>
      </c>
      <c r="L1189" s="46" t="str">
        <f aca="false">IF(_PENDIENTES!$B$1183&lt;&gt;"",_PENDIENTES!$K$1183,"")</f>
        <v/>
      </c>
      <c r="M1189" s="89" t="str">
        <f aca="false">IF(_PENDIENTES!$B$1183&lt;&gt;"",_PENDIENTES!$B$1183,"")</f>
        <v/>
      </c>
      <c r="N1189" s="109" t="str">
        <f aca="false">IF(_PENDIENTES!$B$1183&lt;&gt;"",_PENDIENTES!$L$1183,"")</f>
        <v/>
      </c>
      <c r="O1189" s="89"/>
    </row>
    <row r="1190" customFormat="false" ht="15.75" hidden="true" customHeight="true" outlineLevel="0" collapsed="false">
      <c r="A1190" s="106" t="str">
        <f aca="false">IF(_PENDIENTES!$B$1184&lt;&gt;"",1183,"")</f>
        <v/>
      </c>
      <c r="B1190" s="47" t="str">
        <f aca="false">IF(_PENDIENTES!$B$1184&lt;&gt;"",_PENDIENTES!$A$1184,"")</f>
        <v/>
      </c>
      <c r="C1190" s="107" t="str">
        <f aca="false">IF(_PENDIENTES!$B$1184&lt;&gt;"",_PENDIENTES!$C$1184,"")</f>
        <v/>
      </c>
      <c r="D1190" s="106" t="str">
        <f aca="false">IF(_PENDIENTES!$B$1184&lt;&gt;"",_PENDIENTES!$D$1184,"")</f>
        <v/>
      </c>
      <c r="E1190" s="106" t="str">
        <f aca="false">IF(_PENDIENTES!$B$1184&lt;&gt;"",_PENDIENTES!$E$1184,"")</f>
        <v/>
      </c>
      <c r="F1190" s="106" t="str">
        <f aca="false">IF(_PENDIENTES!$B$1184&lt;&gt;"",_PENDIENTES!$F$1184,"")</f>
        <v/>
      </c>
      <c r="G1190" s="50" t="str">
        <f aca="false">IF(_PENDIENTES!$B$1184&lt;&gt;"",_PENDIENTES!$G$1184,"")</f>
        <v/>
      </c>
      <c r="H1190" s="50" t="str">
        <f aca="false">IF(_PENDIENTES!$B$1184&lt;&gt;"",_PENDIENTES!$H$1184,"")</f>
        <v/>
      </c>
      <c r="I1190" s="107" t="str">
        <f aca="false">IF(_PENDIENTES!$B$1184&lt;&gt;"",_PENDIENTES!$I$1184,"")</f>
        <v/>
      </c>
      <c r="J1190" s="106" t="str">
        <f aca="false">IF(_PENDIENTES!$B$1184&lt;&gt;"",_PENDIENTES!$J$1184,"")</f>
        <v/>
      </c>
      <c r="K1190" s="106" t="str">
        <f aca="false">IF(_PENDIENTES!$B$1184&lt;&gt;"","POR RECOGER","")</f>
        <v/>
      </c>
      <c r="L1190" s="106" t="str">
        <f aca="false">IF(_PENDIENTES!$B$1184&lt;&gt;"",_PENDIENTES!$K$1184,"")</f>
        <v/>
      </c>
      <c r="M1190" s="89" t="str">
        <f aca="false">IF(_PENDIENTES!$B$1184&lt;&gt;"",_PENDIENTES!$B$1184,"")</f>
        <v/>
      </c>
      <c r="N1190" s="109" t="str">
        <f aca="false">IF(_PENDIENTES!$B$1184&lt;&gt;"",_PENDIENTES!$L$1184,"")</f>
        <v/>
      </c>
      <c r="O1190" s="89"/>
    </row>
    <row r="1191" customFormat="false" ht="15.75" hidden="true" customHeight="true" outlineLevel="0" collapsed="false">
      <c r="A1191" s="46" t="str">
        <f aca="false">IF(_PENDIENTES!$B$1185&lt;&gt;"",1184,"")</f>
        <v/>
      </c>
      <c r="B1191" s="41" t="str">
        <f aca="false">IF(_PENDIENTES!$B$1185&lt;&gt;"",_PENDIENTES!$A$1185,"")</f>
        <v/>
      </c>
      <c r="C1191" s="110" t="str">
        <f aca="false">IF(_PENDIENTES!$B$1185&lt;&gt;"",_PENDIENTES!$C$1185,"")</f>
        <v/>
      </c>
      <c r="D1191" s="46" t="str">
        <f aca="false">IF(_PENDIENTES!$B$1185&lt;&gt;"",_PENDIENTES!$D$1185,"")</f>
        <v/>
      </c>
      <c r="E1191" s="46" t="str">
        <f aca="false">IF(_PENDIENTES!$B$1185&lt;&gt;"",_PENDIENTES!$E$1185,"")</f>
        <v/>
      </c>
      <c r="F1191" s="46" t="str">
        <f aca="false">IF(_PENDIENTES!$B$1185&lt;&gt;"",_PENDIENTES!$F$1185,"")</f>
        <v/>
      </c>
      <c r="G1191" s="44" t="str">
        <f aca="false">IF(_PENDIENTES!$B$1185&lt;&gt;"",_PENDIENTES!$G$1185,"")</f>
        <v/>
      </c>
      <c r="H1191" s="44" t="str">
        <f aca="false">IF(_PENDIENTES!$B$1185&lt;&gt;"",_PENDIENTES!$H$1185,"")</f>
        <v/>
      </c>
      <c r="I1191" s="110" t="str">
        <f aca="false">IF(_PENDIENTES!$B$1185&lt;&gt;"",_PENDIENTES!$I$1185,"")</f>
        <v/>
      </c>
      <c r="J1191" s="46" t="str">
        <f aca="false">IF(_PENDIENTES!$B$1185&lt;&gt;"",_PENDIENTES!$J$1185,"")</f>
        <v/>
      </c>
      <c r="K1191" s="46" t="str">
        <f aca="false">IF(_PENDIENTES!$B$1185&lt;&gt;"","POR RECOGER","")</f>
        <v/>
      </c>
      <c r="L1191" s="46" t="str">
        <f aca="false">IF(_PENDIENTES!$B$1185&lt;&gt;"",_PENDIENTES!$K$1185,"")</f>
        <v/>
      </c>
      <c r="M1191" s="89" t="str">
        <f aca="false">IF(_PENDIENTES!$B$1185&lt;&gt;"",_PENDIENTES!$B$1185,"")</f>
        <v/>
      </c>
      <c r="N1191" s="109" t="str">
        <f aca="false">IF(_PENDIENTES!$B$1185&lt;&gt;"",_PENDIENTES!$L$1185,"")</f>
        <v/>
      </c>
      <c r="O1191" s="89"/>
    </row>
    <row r="1192" customFormat="false" ht="15.75" hidden="true" customHeight="true" outlineLevel="0" collapsed="false">
      <c r="A1192" s="106" t="str">
        <f aca="false">IF(_PENDIENTES!$B$1186&lt;&gt;"",1185,"")</f>
        <v/>
      </c>
      <c r="B1192" s="47" t="str">
        <f aca="false">IF(_PENDIENTES!$B$1186&lt;&gt;"",_PENDIENTES!$A$1186,"")</f>
        <v/>
      </c>
      <c r="C1192" s="107" t="str">
        <f aca="false">IF(_PENDIENTES!$B$1186&lt;&gt;"",_PENDIENTES!$C$1186,"")</f>
        <v/>
      </c>
      <c r="D1192" s="106" t="str">
        <f aca="false">IF(_PENDIENTES!$B$1186&lt;&gt;"",_PENDIENTES!$D$1186,"")</f>
        <v/>
      </c>
      <c r="E1192" s="106" t="str">
        <f aca="false">IF(_PENDIENTES!$B$1186&lt;&gt;"",_PENDIENTES!$E$1186,"")</f>
        <v/>
      </c>
      <c r="F1192" s="106" t="str">
        <f aca="false">IF(_PENDIENTES!$B$1186&lt;&gt;"",_PENDIENTES!$F$1186,"")</f>
        <v/>
      </c>
      <c r="G1192" s="50" t="str">
        <f aca="false">IF(_PENDIENTES!$B$1186&lt;&gt;"",_PENDIENTES!$G$1186,"")</f>
        <v/>
      </c>
      <c r="H1192" s="50" t="str">
        <f aca="false">IF(_PENDIENTES!$B$1186&lt;&gt;"",_PENDIENTES!$H$1186,"")</f>
        <v/>
      </c>
      <c r="I1192" s="107" t="str">
        <f aca="false">IF(_PENDIENTES!$B$1186&lt;&gt;"",_PENDIENTES!$I$1186,"")</f>
        <v/>
      </c>
      <c r="J1192" s="106" t="str">
        <f aca="false">IF(_PENDIENTES!$B$1186&lt;&gt;"",_PENDIENTES!$J$1186,"")</f>
        <v/>
      </c>
      <c r="K1192" s="106" t="str">
        <f aca="false">IF(_PENDIENTES!$B$1186&lt;&gt;"","POR RECOGER","")</f>
        <v/>
      </c>
      <c r="L1192" s="106" t="str">
        <f aca="false">IF(_PENDIENTES!$B$1186&lt;&gt;"",_PENDIENTES!$K$1186,"")</f>
        <v/>
      </c>
      <c r="M1192" s="89" t="str">
        <f aca="false">IF(_PENDIENTES!$B$1186&lt;&gt;"",_PENDIENTES!$B$1186,"")</f>
        <v/>
      </c>
      <c r="N1192" s="109" t="str">
        <f aca="false">IF(_PENDIENTES!$B$1186&lt;&gt;"",_PENDIENTES!$L$1186,"")</f>
        <v/>
      </c>
      <c r="O1192" s="89"/>
    </row>
    <row r="1193" customFormat="false" ht="15.75" hidden="true" customHeight="true" outlineLevel="0" collapsed="false">
      <c r="A1193" s="46" t="str">
        <f aca="false">IF(_PENDIENTES!$B$1187&lt;&gt;"",1186,"")</f>
        <v/>
      </c>
      <c r="B1193" s="41" t="str">
        <f aca="false">IF(_PENDIENTES!$B$1187&lt;&gt;"",_PENDIENTES!$A$1187,"")</f>
        <v/>
      </c>
      <c r="C1193" s="110" t="str">
        <f aca="false">IF(_PENDIENTES!$B$1187&lt;&gt;"",_PENDIENTES!$C$1187,"")</f>
        <v/>
      </c>
      <c r="D1193" s="46" t="str">
        <f aca="false">IF(_PENDIENTES!$B$1187&lt;&gt;"",_PENDIENTES!$D$1187,"")</f>
        <v/>
      </c>
      <c r="E1193" s="46" t="str">
        <f aca="false">IF(_PENDIENTES!$B$1187&lt;&gt;"",_PENDIENTES!$E$1187,"")</f>
        <v/>
      </c>
      <c r="F1193" s="46" t="str">
        <f aca="false">IF(_PENDIENTES!$B$1187&lt;&gt;"",_PENDIENTES!$F$1187,"")</f>
        <v/>
      </c>
      <c r="G1193" s="44" t="str">
        <f aca="false">IF(_PENDIENTES!$B$1187&lt;&gt;"",_PENDIENTES!$G$1187,"")</f>
        <v/>
      </c>
      <c r="H1193" s="44" t="str">
        <f aca="false">IF(_PENDIENTES!$B$1187&lt;&gt;"",_PENDIENTES!$H$1187,"")</f>
        <v/>
      </c>
      <c r="I1193" s="110" t="str">
        <f aca="false">IF(_PENDIENTES!$B$1187&lt;&gt;"",_PENDIENTES!$I$1187,"")</f>
        <v/>
      </c>
      <c r="J1193" s="46" t="str">
        <f aca="false">IF(_PENDIENTES!$B$1187&lt;&gt;"",_PENDIENTES!$J$1187,"")</f>
        <v/>
      </c>
      <c r="K1193" s="46" t="str">
        <f aca="false">IF(_PENDIENTES!$B$1187&lt;&gt;"","POR RECOGER","")</f>
        <v/>
      </c>
      <c r="L1193" s="46" t="str">
        <f aca="false">IF(_PENDIENTES!$B$1187&lt;&gt;"",_PENDIENTES!$K$1187,"")</f>
        <v/>
      </c>
      <c r="M1193" s="89" t="str">
        <f aca="false">IF(_PENDIENTES!$B$1187&lt;&gt;"",_PENDIENTES!$B$1187,"")</f>
        <v/>
      </c>
      <c r="N1193" s="109" t="str">
        <f aca="false">IF(_PENDIENTES!$B$1187&lt;&gt;"",_PENDIENTES!$L$1187,"")</f>
        <v/>
      </c>
      <c r="O1193" s="89"/>
    </row>
    <row r="1194" customFormat="false" ht="15.75" hidden="true" customHeight="true" outlineLevel="0" collapsed="false">
      <c r="A1194" s="106" t="str">
        <f aca="false">IF(_PENDIENTES!$B$1188&lt;&gt;"",1187,"")</f>
        <v/>
      </c>
      <c r="B1194" s="47" t="str">
        <f aca="false">IF(_PENDIENTES!$B$1188&lt;&gt;"",_PENDIENTES!$A$1188,"")</f>
        <v/>
      </c>
      <c r="C1194" s="107" t="str">
        <f aca="false">IF(_PENDIENTES!$B$1188&lt;&gt;"",_PENDIENTES!$C$1188,"")</f>
        <v/>
      </c>
      <c r="D1194" s="106" t="str">
        <f aca="false">IF(_PENDIENTES!$B$1188&lt;&gt;"",_PENDIENTES!$D$1188,"")</f>
        <v/>
      </c>
      <c r="E1194" s="106" t="str">
        <f aca="false">IF(_PENDIENTES!$B$1188&lt;&gt;"",_PENDIENTES!$E$1188,"")</f>
        <v/>
      </c>
      <c r="F1194" s="106" t="str">
        <f aca="false">IF(_PENDIENTES!$B$1188&lt;&gt;"",_PENDIENTES!$F$1188,"")</f>
        <v/>
      </c>
      <c r="G1194" s="50" t="str">
        <f aca="false">IF(_PENDIENTES!$B$1188&lt;&gt;"",_PENDIENTES!$G$1188,"")</f>
        <v/>
      </c>
      <c r="H1194" s="50" t="str">
        <f aca="false">IF(_PENDIENTES!$B$1188&lt;&gt;"",_PENDIENTES!$H$1188,"")</f>
        <v/>
      </c>
      <c r="I1194" s="107" t="str">
        <f aca="false">IF(_PENDIENTES!$B$1188&lt;&gt;"",_PENDIENTES!$I$1188,"")</f>
        <v/>
      </c>
      <c r="J1194" s="106" t="str">
        <f aca="false">IF(_PENDIENTES!$B$1188&lt;&gt;"",_PENDIENTES!$J$1188,"")</f>
        <v/>
      </c>
      <c r="K1194" s="106" t="str">
        <f aca="false">IF(_PENDIENTES!$B$1188&lt;&gt;"","POR RECOGER","")</f>
        <v/>
      </c>
      <c r="L1194" s="106" t="str">
        <f aca="false">IF(_PENDIENTES!$B$1188&lt;&gt;"",_PENDIENTES!$K$1188,"")</f>
        <v/>
      </c>
      <c r="M1194" s="89" t="str">
        <f aca="false">IF(_PENDIENTES!$B$1188&lt;&gt;"",_PENDIENTES!$B$1188,"")</f>
        <v/>
      </c>
      <c r="N1194" s="109" t="str">
        <f aca="false">IF(_PENDIENTES!$B$1188&lt;&gt;"",_PENDIENTES!$L$1188,"")</f>
        <v/>
      </c>
      <c r="O1194" s="89"/>
    </row>
    <row r="1195" customFormat="false" ht="15.75" hidden="true" customHeight="true" outlineLevel="0" collapsed="false">
      <c r="A1195" s="46" t="str">
        <f aca="false">IF(_PENDIENTES!$B$1189&lt;&gt;"",1188,"")</f>
        <v/>
      </c>
      <c r="B1195" s="41" t="str">
        <f aca="false">IF(_PENDIENTES!$B$1189&lt;&gt;"",_PENDIENTES!$A$1189,"")</f>
        <v/>
      </c>
      <c r="C1195" s="110" t="str">
        <f aca="false">IF(_PENDIENTES!$B$1189&lt;&gt;"",_PENDIENTES!$C$1189,"")</f>
        <v/>
      </c>
      <c r="D1195" s="46" t="str">
        <f aca="false">IF(_PENDIENTES!$B$1189&lt;&gt;"",_PENDIENTES!$D$1189,"")</f>
        <v/>
      </c>
      <c r="E1195" s="46" t="str">
        <f aca="false">IF(_PENDIENTES!$B$1189&lt;&gt;"",_PENDIENTES!$E$1189,"")</f>
        <v/>
      </c>
      <c r="F1195" s="46" t="str">
        <f aca="false">IF(_PENDIENTES!$B$1189&lt;&gt;"",_PENDIENTES!$F$1189,"")</f>
        <v/>
      </c>
      <c r="G1195" s="44" t="str">
        <f aca="false">IF(_PENDIENTES!$B$1189&lt;&gt;"",_PENDIENTES!$G$1189,"")</f>
        <v/>
      </c>
      <c r="H1195" s="44" t="str">
        <f aca="false">IF(_PENDIENTES!$B$1189&lt;&gt;"",_PENDIENTES!$H$1189,"")</f>
        <v/>
      </c>
      <c r="I1195" s="110" t="str">
        <f aca="false">IF(_PENDIENTES!$B$1189&lt;&gt;"",_PENDIENTES!$I$1189,"")</f>
        <v/>
      </c>
      <c r="J1195" s="46" t="str">
        <f aca="false">IF(_PENDIENTES!$B$1189&lt;&gt;"",_PENDIENTES!$J$1189,"")</f>
        <v/>
      </c>
      <c r="K1195" s="46" t="str">
        <f aca="false">IF(_PENDIENTES!$B$1189&lt;&gt;"","POR RECOGER","")</f>
        <v/>
      </c>
      <c r="L1195" s="46" t="str">
        <f aca="false">IF(_PENDIENTES!$B$1189&lt;&gt;"",_PENDIENTES!$K$1189,"")</f>
        <v/>
      </c>
      <c r="M1195" s="89" t="str">
        <f aca="false">IF(_PENDIENTES!$B$1189&lt;&gt;"",_PENDIENTES!$B$1189,"")</f>
        <v/>
      </c>
      <c r="N1195" s="109" t="str">
        <f aca="false">IF(_PENDIENTES!$B$1189&lt;&gt;"",_PENDIENTES!$L$1189,"")</f>
        <v/>
      </c>
      <c r="O1195" s="89"/>
    </row>
    <row r="1196" customFormat="false" ht="15.75" hidden="true" customHeight="true" outlineLevel="0" collapsed="false">
      <c r="A1196" s="106" t="str">
        <f aca="false">IF(_PENDIENTES!$B$1190&lt;&gt;"",1189,"")</f>
        <v/>
      </c>
      <c r="B1196" s="47" t="str">
        <f aca="false">IF(_PENDIENTES!$B$1190&lt;&gt;"",_PENDIENTES!$A$1190,"")</f>
        <v/>
      </c>
      <c r="C1196" s="107" t="str">
        <f aca="false">IF(_PENDIENTES!$B$1190&lt;&gt;"",_PENDIENTES!$C$1190,"")</f>
        <v/>
      </c>
      <c r="D1196" s="106" t="str">
        <f aca="false">IF(_PENDIENTES!$B$1190&lt;&gt;"",_PENDIENTES!$D$1190,"")</f>
        <v/>
      </c>
      <c r="E1196" s="106" t="str">
        <f aca="false">IF(_PENDIENTES!$B$1190&lt;&gt;"",_PENDIENTES!$E$1190,"")</f>
        <v/>
      </c>
      <c r="F1196" s="106" t="str">
        <f aca="false">IF(_PENDIENTES!$B$1190&lt;&gt;"",_PENDIENTES!$F$1190,"")</f>
        <v/>
      </c>
      <c r="G1196" s="50" t="str">
        <f aca="false">IF(_PENDIENTES!$B$1190&lt;&gt;"",_PENDIENTES!$G$1190,"")</f>
        <v/>
      </c>
      <c r="H1196" s="50" t="str">
        <f aca="false">IF(_PENDIENTES!$B$1190&lt;&gt;"",_PENDIENTES!$H$1190,"")</f>
        <v/>
      </c>
      <c r="I1196" s="107" t="str">
        <f aca="false">IF(_PENDIENTES!$B$1190&lt;&gt;"",_PENDIENTES!$I$1190,"")</f>
        <v/>
      </c>
      <c r="J1196" s="106" t="str">
        <f aca="false">IF(_PENDIENTES!$B$1190&lt;&gt;"",_PENDIENTES!$J$1190,"")</f>
        <v/>
      </c>
      <c r="K1196" s="106" t="str">
        <f aca="false">IF(_PENDIENTES!$B$1190&lt;&gt;"","POR RECOGER","")</f>
        <v/>
      </c>
      <c r="L1196" s="106" t="str">
        <f aca="false">IF(_PENDIENTES!$B$1190&lt;&gt;"",_PENDIENTES!$K$1190,"")</f>
        <v/>
      </c>
      <c r="M1196" s="89" t="str">
        <f aca="false">IF(_PENDIENTES!$B$1190&lt;&gt;"",_PENDIENTES!$B$1190,"")</f>
        <v/>
      </c>
      <c r="N1196" s="109" t="str">
        <f aca="false">IF(_PENDIENTES!$B$1190&lt;&gt;"",_PENDIENTES!$L$1190,"")</f>
        <v/>
      </c>
      <c r="O1196" s="89"/>
    </row>
    <row r="1197" customFormat="false" ht="15.75" hidden="true" customHeight="true" outlineLevel="0" collapsed="false">
      <c r="A1197" s="46" t="str">
        <f aca="false">IF(_PENDIENTES!$B$1191&lt;&gt;"",1190,"")</f>
        <v/>
      </c>
      <c r="B1197" s="41" t="str">
        <f aca="false">IF(_PENDIENTES!$B$1191&lt;&gt;"",_PENDIENTES!$A$1191,"")</f>
        <v/>
      </c>
      <c r="C1197" s="110" t="str">
        <f aca="false">IF(_PENDIENTES!$B$1191&lt;&gt;"",_PENDIENTES!$C$1191,"")</f>
        <v/>
      </c>
      <c r="D1197" s="46" t="str">
        <f aca="false">IF(_PENDIENTES!$B$1191&lt;&gt;"",_PENDIENTES!$D$1191,"")</f>
        <v/>
      </c>
      <c r="E1197" s="46" t="str">
        <f aca="false">IF(_PENDIENTES!$B$1191&lt;&gt;"",_PENDIENTES!$E$1191,"")</f>
        <v/>
      </c>
      <c r="F1197" s="46" t="str">
        <f aca="false">IF(_PENDIENTES!$B$1191&lt;&gt;"",_PENDIENTES!$F$1191,"")</f>
        <v/>
      </c>
      <c r="G1197" s="44" t="str">
        <f aca="false">IF(_PENDIENTES!$B$1191&lt;&gt;"",_PENDIENTES!$G$1191,"")</f>
        <v/>
      </c>
      <c r="H1197" s="44" t="str">
        <f aca="false">IF(_PENDIENTES!$B$1191&lt;&gt;"",_PENDIENTES!$H$1191,"")</f>
        <v/>
      </c>
      <c r="I1197" s="110" t="str">
        <f aca="false">IF(_PENDIENTES!$B$1191&lt;&gt;"",_PENDIENTES!$I$1191,"")</f>
        <v/>
      </c>
      <c r="J1197" s="46" t="str">
        <f aca="false">IF(_PENDIENTES!$B$1191&lt;&gt;"",_PENDIENTES!$J$1191,"")</f>
        <v/>
      </c>
      <c r="K1197" s="46" t="str">
        <f aca="false">IF(_PENDIENTES!$B$1191&lt;&gt;"","POR RECOGER","")</f>
        <v/>
      </c>
      <c r="L1197" s="46" t="str">
        <f aca="false">IF(_PENDIENTES!$B$1191&lt;&gt;"",_PENDIENTES!$K$1191,"")</f>
        <v/>
      </c>
      <c r="M1197" s="89" t="str">
        <f aca="false">IF(_PENDIENTES!$B$1191&lt;&gt;"",_PENDIENTES!$B$1191,"")</f>
        <v/>
      </c>
      <c r="N1197" s="109" t="str">
        <f aca="false">IF(_PENDIENTES!$B$1191&lt;&gt;"",_PENDIENTES!$L$1191,"")</f>
        <v/>
      </c>
      <c r="O1197" s="89"/>
    </row>
    <row r="1198" customFormat="false" ht="15.75" hidden="true" customHeight="true" outlineLevel="0" collapsed="false">
      <c r="A1198" s="106" t="str">
        <f aca="false">IF(_PENDIENTES!$B$1192&lt;&gt;"",1191,"")</f>
        <v/>
      </c>
      <c r="B1198" s="47" t="str">
        <f aca="false">IF(_PENDIENTES!$B$1192&lt;&gt;"",_PENDIENTES!$A$1192,"")</f>
        <v/>
      </c>
      <c r="C1198" s="107" t="str">
        <f aca="false">IF(_PENDIENTES!$B$1192&lt;&gt;"",_PENDIENTES!$C$1192,"")</f>
        <v/>
      </c>
      <c r="D1198" s="106" t="str">
        <f aca="false">IF(_PENDIENTES!$B$1192&lt;&gt;"",_PENDIENTES!$D$1192,"")</f>
        <v/>
      </c>
      <c r="E1198" s="106" t="str">
        <f aca="false">IF(_PENDIENTES!$B$1192&lt;&gt;"",_PENDIENTES!$E$1192,"")</f>
        <v/>
      </c>
      <c r="F1198" s="106" t="str">
        <f aca="false">IF(_PENDIENTES!$B$1192&lt;&gt;"",_PENDIENTES!$F$1192,"")</f>
        <v/>
      </c>
      <c r="G1198" s="50" t="str">
        <f aca="false">IF(_PENDIENTES!$B$1192&lt;&gt;"",_PENDIENTES!$G$1192,"")</f>
        <v/>
      </c>
      <c r="H1198" s="50" t="str">
        <f aca="false">IF(_PENDIENTES!$B$1192&lt;&gt;"",_PENDIENTES!$H$1192,"")</f>
        <v/>
      </c>
      <c r="I1198" s="107" t="str">
        <f aca="false">IF(_PENDIENTES!$B$1192&lt;&gt;"",_PENDIENTES!$I$1192,"")</f>
        <v/>
      </c>
      <c r="J1198" s="106" t="str">
        <f aca="false">IF(_PENDIENTES!$B$1192&lt;&gt;"",_PENDIENTES!$J$1192,"")</f>
        <v/>
      </c>
      <c r="K1198" s="106" t="str">
        <f aca="false">IF(_PENDIENTES!$B$1192&lt;&gt;"","POR RECOGER","")</f>
        <v/>
      </c>
      <c r="L1198" s="106" t="str">
        <f aca="false">IF(_PENDIENTES!$B$1192&lt;&gt;"",_PENDIENTES!$K$1192,"")</f>
        <v/>
      </c>
      <c r="M1198" s="89" t="str">
        <f aca="false">IF(_PENDIENTES!$B$1192&lt;&gt;"",_PENDIENTES!$B$1192,"")</f>
        <v/>
      </c>
      <c r="N1198" s="109" t="str">
        <f aca="false">IF(_PENDIENTES!$B$1192&lt;&gt;"",_PENDIENTES!$L$1192,"")</f>
        <v/>
      </c>
      <c r="O1198" s="89"/>
    </row>
    <row r="1199" customFormat="false" ht="15.75" hidden="true" customHeight="true" outlineLevel="0" collapsed="false">
      <c r="A1199" s="46" t="str">
        <f aca="false">IF(_PENDIENTES!$B$1193&lt;&gt;"",1192,"")</f>
        <v/>
      </c>
      <c r="B1199" s="41" t="str">
        <f aca="false">IF(_PENDIENTES!$B$1193&lt;&gt;"",_PENDIENTES!$A$1193,"")</f>
        <v/>
      </c>
      <c r="C1199" s="110" t="str">
        <f aca="false">IF(_PENDIENTES!$B$1193&lt;&gt;"",_PENDIENTES!$C$1193,"")</f>
        <v/>
      </c>
      <c r="D1199" s="46" t="str">
        <f aca="false">IF(_PENDIENTES!$B$1193&lt;&gt;"",_PENDIENTES!$D$1193,"")</f>
        <v/>
      </c>
      <c r="E1199" s="46" t="str">
        <f aca="false">IF(_PENDIENTES!$B$1193&lt;&gt;"",_PENDIENTES!$E$1193,"")</f>
        <v/>
      </c>
      <c r="F1199" s="46" t="str">
        <f aca="false">IF(_PENDIENTES!$B$1193&lt;&gt;"",_PENDIENTES!$F$1193,"")</f>
        <v/>
      </c>
      <c r="G1199" s="44" t="str">
        <f aca="false">IF(_PENDIENTES!$B$1193&lt;&gt;"",_PENDIENTES!$G$1193,"")</f>
        <v/>
      </c>
      <c r="H1199" s="44" t="str">
        <f aca="false">IF(_PENDIENTES!$B$1193&lt;&gt;"",_PENDIENTES!$H$1193,"")</f>
        <v/>
      </c>
      <c r="I1199" s="110" t="str">
        <f aca="false">IF(_PENDIENTES!$B$1193&lt;&gt;"",_PENDIENTES!$I$1193,"")</f>
        <v/>
      </c>
      <c r="J1199" s="46" t="str">
        <f aca="false">IF(_PENDIENTES!$B$1193&lt;&gt;"",_PENDIENTES!$J$1193,"")</f>
        <v/>
      </c>
      <c r="K1199" s="46" t="str">
        <f aca="false">IF(_PENDIENTES!$B$1193&lt;&gt;"","POR RECOGER","")</f>
        <v/>
      </c>
      <c r="L1199" s="46" t="str">
        <f aca="false">IF(_PENDIENTES!$B$1193&lt;&gt;"",_PENDIENTES!$K$1193,"")</f>
        <v/>
      </c>
      <c r="M1199" s="89" t="str">
        <f aca="false">IF(_PENDIENTES!$B$1193&lt;&gt;"",_PENDIENTES!$B$1193,"")</f>
        <v/>
      </c>
      <c r="N1199" s="109" t="str">
        <f aca="false">IF(_PENDIENTES!$B$1193&lt;&gt;"",_PENDIENTES!$L$1193,"")</f>
        <v/>
      </c>
      <c r="O1199" s="89"/>
    </row>
    <row r="1200" customFormat="false" ht="15.75" hidden="true" customHeight="true" outlineLevel="0" collapsed="false">
      <c r="A1200" s="106" t="str">
        <f aca="false">IF(_PENDIENTES!$B$1194&lt;&gt;"",1193,"")</f>
        <v/>
      </c>
      <c r="B1200" s="47" t="str">
        <f aca="false">IF(_PENDIENTES!$B$1194&lt;&gt;"",_PENDIENTES!$A$1194,"")</f>
        <v/>
      </c>
      <c r="C1200" s="107" t="str">
        <f aca="false">IF(_PENDIENTES!$B$1194&lt;&gt;"",_PENDIENTES!$C$1194,"")</f>
        <v/>
      </c>
      <c r="D1200" s="106" t="str">
        <f aca="false">IF(_PENDIENTES!$B$1194&lt;&gt;"",_PENDIENTES!$D$1194,"")</f>
        <v/>
      </c>
      <c r="E1200" s="106" t="str">
        <f aca="false">IF(_PENDIENTES!$B$1194&lt;&gt;"",_PENDIENTES!$E$1194,"")</f>
        <v/>
      </c>
      <c r="F1200" s="106" t="str">
        <f aca="false">IF(_PENDIENTES!$B$1194&lt;&gt;"",_PENDIENTES!$F$1194,"")</f>
        <v/>
      </c>
      <c r="G1200" s="50" t="str">
        <f aca="false">IF(_PENDIENTES!$B$1194&lt;&gt;"",_PENDIENTES!$G$1194,"")</f>
        <v/>
      </c>
      <c r="H1200" s="50" t="str">
        <f aca="false">IF(_PENDIENTES!$B$1194&lt;&gt;"",_PENDIENTES!$H$1194,"")</f>
        <v/>
      </c>
      <c r="I1200" s="107" t="str">
        <f aca="false">IF(_PENDIENTES!$B$1194&lt;&gt;"",_PENDIENTES!$I$1194,"")</f>
        <v/>
      </c>
      <c r="J1200" s="106" t="str">
        <f aca="false">IF(_PENDIENTES!$B$1194&lt;&gt;"",_PENDIENTES!$J$1194,"")</f>
        <v/>
      </c>
      <c r="K1200" s="106" t="str">
        <f aca="false">IF(_PENDIENTES!$B$1194&lt;&gt;"","POR RECOGER","")</f>
        <v/>
      </c>
      <c r="L1200" s="106" t="str">
        <f aca="false">IF(_PENDIENTES!$B$1194&lt;&gt;"",_PENDIENTES!$K$1194,"")</f>
        <v/>
      </c>
      <c r="M1200" s="89" t="str">
        <f aca="false">IF(_PENDIENTES!$B$1194&lt;&gt;"",_PENDIENTES!$B$1194,"")</f>
        <v/>
      </c>
      <c r="N1200" s="109" t="str">
        <f aca="false">IF(_PENDIENTES!$B$1194&lt;&gt;"",_PENDIENTES!$L$1194,"")</f>
        <v/>
      </c>
      <c r="O1200" s="89"/>
    </row>
    <row r="1201" customFormat="false" ht="15.75" hidden="true" customHeight="true" outlineLevel="0" collapsed="false">
      <c r="A1201" s="46" t="str">
        <f aca="false">IF(_PENDIENTES!$B$1195&lt;&gt;"",1194,"")</f>
        <v/>
      </c>
      <c r="B1201" s="41" t="str">
        <f aca="false">IF(_PENDIENTES!$B$1195&lt;&gt;"",_PENDIENTES!$A$1195,"")</f>
        <v/>
      </c>
      <c r="C1201" s="110" t="str">
        <f aca="false">IF(_PENDIENTES!$B$1195&lt;&gt;"",_PENDIENTES!$C$1195,"")</f>
        <v/>
      </c>
      <c r="D1201" s="46" t="str">
        <f aca="false">IF(_PENDIENTES!$B$1195&lt;&gt;"",_PENDIENTES!$D$1195,"")</f>
        <v/>
      </c>
      <c r="E1201" s="46" t="str">
        <f aca="false">IF(_PENDIENTES!$B$1195&lt;&gt;"",_PENDIENTES!$E$1195,"")</f>
        <v/>
      </c>
      <c r="F1201" s="46" t="str">
        <f aca="false">IF(_PENDIENTES!$B$1195&lt;&gt;"",_PENDIENTES!$F$1195,"")</f>
        <v/>
      </c>
      <c r="G1201" s="44" t="str">
        <f aca="false">IF(_PENDIENTES!$B$1195&lt;&gt;"",_PENDIENTES!$G$1195,"")</f>
        <v/>
      </c>
      <c r="H1201" s="44" t="str">
        <f aca="false">IF(_PENDIENTES!$B$1195&lt;&gt;"",_PENDIENTES!$H$1195,"")</f>
        <v/>
      </c>
      <c r="I1201" s="110" t="str">
        <f aca="false">IF(_PENDIENTES!$B$1195&lt;&gt;"",_PENDIENTES!$I$1195,"")</f>
        <v/>
      </c>
      <c r="J1201" s="46" t="str">
        <f aca="false">IF(_PENDIENTES!$B$1195&lt;&gt;"",_PENDIENTES!$J$1195,"")</f>
        <v/>
      </c>
      <c r="K1201" s="46" t="str">
        <f aca="false">IF(_PENDIENTES!$B$1195&lt;&gt;"","POR RECOGER","")</f>
        <v/>
      </c>
      <c r="L1201" s="46" t="str">
        <f aca="false">IF(_PENDIENTES!$B$1195&lt;&gt;"",_PENDIENTES!$K$1195,"")</f>
        <v/>
      </c>
      <c r="M1201" s="89" t="str">
        <f aca="false">IF(_PENDIENTES!$B$1195&lt;&gt;"",_PENDIENTES!$B$1195,"")</f>
        <v/>
      </c>
      <c r="N1201" s="109" t="str">
        <f aca="false">IF(_PENDIENTES!$B$1195&lt;&gt;"",_PENDIENTES!$L$1195,"")</f>
        <v/>
      </c>
      <c r="O1201" s="89"/>
    </row>
    <row r="1202" customFormat="false" ht="15.75" hidden="true" customHeight="true" outlineLevel="0" collapsed="false">
      <c r="A1202" s="106" t="str">
        <f aca="false">IF(_PENDIENTES!$B$1196&lt;&gt;"",1195,"")</f>
        <v/>
      </c>
      <c r="B1202" s="47" t="str">
        <f aca="false">IF(_PENDIENTES!$B$1196&lt;&gt;"",_PENDIENTES!$A$1196,"")</f>
        <v/>
      </c>
      <c r="C1202" s="107" t="str">
        <f aca="false">IF(_PENDIENTES!$B$1196&lt;&gt;"",_PENDIENTES!$C$1196,"")</f>
        <v/>
      </c>
      <c r="D1202" s="106" t="str">
        <f aca="false">IF(_PENDIENTES!$B$1196&lt;&gt;"",_PENDIENTES!$D$1196,"")</f>
        <v/>
      </c>
      <c r="E1202" s="106" t="str">
        <f aca="false">IF(_PENDIENTES!$B$1196&lt;&gt;"",_PENDIENTES!$E$1196,"")</f>
        <v/>
      </c>
      <c r="F1202" s="106" t="str">
        <f aca="false">IF(_PENDIENTES!$B$1196&lt;&gt;"",_PENDIENTES!$F$1196,"")</f>
        <v/>
      </c>
      <c r="G1202" s="50" t="str">
        <f aca="false">IF(_PENDIENTES!$B$1196&lt;&gt;"",_PENDIENTES!$G$1196,"")</f>
        <v/>
      </c>
      <c r="H1202" s="50" t="str">
        <f aca="false">IF(_PENDIENTES!$B$1196&lt;&gt;"",_PENDIENTES!$H$1196,"")</f>
        <v/>
      </c>
      <c r="I1202" s="107" t="str">
        <f aca="false">IF(_PENDIENTES!$B$1196&lt;&gt;"",_PENDIENTES!$I$1196,"")</f>
        <v/>
      </c>
      <c r="J1202" s="106" t="str">
        <f aca="false">IF(_PENDIENTES!$B$1196&lt;&gt;"",_PENDIENTES!$J$1196,"")</f>
        <v/>
      </c>
      <c r="K1202" s="106" t="str">
        <f aca="false">IF(_PENDIENTES!$B$1196&lt;&gt;"","POR RECOGER","")</f>
        <v/>
      </c>
      <c r="L1202" s="106" t="str">
        <f aca="false">IF(_PENDIENTES!$B$1196&lt;&gt;"",_PENDIENTES!$K$1196,"")</f>
        <v/>
      </c>
      <c r="M1202" s="89" t="str">
        <f aca="false">IF(_PENDIENTES!$B$1196&lt;&gt;"",_PENDIENTES!$B$1196,"")</f>
        <v/>
      </c>
      <c r="N1202" s="109" t="str">
        <f aca="false">IF(_PENDIENTES!$B$1196&lt;&gt;"",_PENDIENTES!$L$1196,"")</f>
        <v/>
      </c>
      <c r="O1202" s="89"/>
    </row>
    <row r="1203" customFormat="false" ht="15.75" hidden="true" customHeight="true" outlineLevel="0" collapsed="false">
      <c r="A1203" s="46" t="str">
        <f aca="false">IF(_PENDIENTES!$B$1197&lt;&gt;"",1196,"")</f>
        <v/>
      </c>
      <c r="B1203" s="41" t="str">
        <f aca="false">IF(_PENDIENTES!$B$1197&lt;&gt;"",_PENDIENTES!$A$1197,"")</f>
        <v/>
      </c>
      <c r="C1203" s="110" t="str">
        <f aca="false">IF(_PENDIENTES!$B$1197&lt;&gt;"",_PENDIENTES!$C$1197,"")</f>
        <v/>
      </c>
      <c r="D1203" s="46" t="str">
        <f aca="false">IF(_PENDIENTES!$B$1197&lt;&gt;"",_PENDIENTES!$D$1197,"")</f>
        <v/>
      </c>
      <c r="E1203" s="46" t="str">
        <f aca="false">IF(_PENDIENTES!$B$1197&lt;&gt;"",_PENDIENTES!$E$1197,"")</f>
        <v/>
      </c>
      <c r="F1203" s="46" t="str">
        <f aca="false">IF(_PENDIENTES!$B$1197&lt;&gt;"",_PENDIENTES!$F$1197,"")</f>
        <v/>
      </c>
      <c r="G1203" s="44" t="str">
        <f aca="false">IF(_PENDIENTES!$B$1197&lt;&gt;"",_PENDIENTES!$G$1197,"")</f>
        <v/>
      </c>
      <c r="H1203" s="44" t="str">
        <f aca="false">IF(_PENDIENTES!$B$1197&lt;&gt;"",_PENDIENTES!$H$1197,"")</f>
        <v/>
      </c>
      <c r="I1203" s="110" t="str">
        <f aca="false">IF(_PENDIENTES!$B$1197&lt;&gt;"",_PENDIENTES!$I$1197,"")</f>
        <v/>
      </c>
      <c r="J1203" s="46" t="str">
        <f aca="false">IF(_PENDIENTES!$B$1197&lt;&gt;"",_PENDIENTES!$J$1197,"")</f>
        <v/>
      </c>
      <c r="K1203" s="46" t="str">
        <f aca="false">IF(_PENDIENTES!$B$1197&lt;&gt;"","POR RECOGER","")</f>
        <v/>
      </c>
      <c r="L1203" s="46" t="str">
        <f aca="false">IF(_PENDIENTES!$B$1197&lt;&gt;"",_PENDIENTES!$K$1197,"")</f>
        <v/>
      </c>
      <c r="M1203" s="89" t="str">
        <f aca="false">IF(_PENDIENTES!$B$1197&lt;&gt;"",_PENDIENTES!$B$1197,"")</f>
        <v/>
      </c>
      <c r="N1203" s="109" t="str">
        <f aca="false">IF(_PENDIENTES!$B$1197&lt;&gt;"",_PENDIENTES!$L$1197,"")</f>
        <v/>
      </c>
      <c r="O1203" s="89"/>
    </row>
    <row r="1204" customFormat="false" ht="15.75" hidden="true" customHeight="true" outlineLevel="0" collapsed="false">
      <c r="A1204" s="106" t="str">
        <f aca="false">IF(_PENDIENTES!$B$1198&lt;&gt;"",1197,"")</f>
        <v/>
      </c>
      <c r="B1204" s="47" t="str">
        <f aca="false">IF(_PENDIENTES!$B$1198&lt;&gt;"",_PENDIENTES!$A$1198,"")</f>
        <v/>
      </c>
      <c r="C1204" s="107" t="str">
        <f aca="false">IF(_PENDIENTES!$B$1198&lt;&gt;"",_PENDIENTES!$C$1198,"")</f>
        <v/>
      </c>
      <c r="D1204" s="106" t="str">
        <f aca="false">IF(_PENDIENTES!$B$1198&lt;&gt;"",_PENDIENTES!$D$1198,"")</f>
        <v/>
      </c>
      <c r="E1204" s="106" t="str">
        <f aca="false">IF(_PENDIENTES!$B$1198&lt;&gt;"",_PENDIENTES!$E$1198,"")</f>
        <v/>
      </c>
      <c r="F1204" s="106" t="str">
        <f aca="false">IF(_PENDIENTES!$B$1198&lt;&gt;"",_PENDIENTES!$F$1198,"")</f>
        <v/>
      </c>
      <c r="G1204" s="50" t="str">
        <f aca="false">IF(_PENDIENTES!$B$1198&lt;&gt;"",_PENDIENTES!$G$1198,"")</f>
        <v/>
      </c>
      <c r="H1204" s="50" t="str">
        <f aca="false">IF(_PENDIENTES!$B$1198&lt;&gt;"",_PENDIENTES!$H$1198,"")</f>
        <v/>
      </c>
      <c r="I1204" s="107" t="str">
        <f aca="false">IF(_PENDIENTES!$B$1198&lt;&gt;"",_PENDIENTES!$I$1198,"")</f>
        <v/>
      </c>
      <c r="J1204" s="106" t="str">
        <f aca="false">IF(_PENDIENTES!$B$1198&lt;&gt;"",_PENDIENTES!$J$1198,"")</f>
        <v/>
      </c>
      <c r="K1204" s="106" t="str">
        <f aca="false">IF(_PENDIENTES!$B$1198&lt;&gt;"","POR RECOGER","")</f>
        <v/>
      </c>
      <c r="L1204" s="106" t="str">
        <f aca="false">IF(_PENDIENTES!$B$1198&lt;&gt;"",_PENDIENTES!$K$1198,"")</f>
        <v/>
      </c>
      <c r="M1204" s="89" t="str">
        <f aca="false">IF(_PENDIENTES!$B$1198&lt;&gt;"",_PENDIENTES!$B$1198,"")</f>
        <v/>
      </c>
      <c r="N1204" s="109" t="str">
        <f aca="false">IF(_PENDIENTES!$B$1198&lt;&gt;"",_PENDIENTES!$L$1198,"")</f>
        <v/>
      </c>
      <c r="O1204" s="89"/>
    </row>
    <row r="1205" customFormat="false" ht="15.75" hidden="true" customHeight="true" outlineLevel="0" collapsed="false">
      <c r="A1205" s="46" t="str">
        <f aca="false">IF(_PENDIENTES!$B$1199&lt;&gt;"",1198,"")</f>
        <v/>
      </c>
      <c r="B1205" s="41" t="str">
        <f aca="false">IF(_PENDIENTES!$B$1199&lt;&gt;"",_PENDIENTES!$A$1199,"")</f>
        <v/>
      </c>
      <c r="C1205" s="110" t="str">
        <f aca="false">IF(_PENDIENTES!$B$1199&lt;&gt;"",_PENDIENTES!$C$1199,"")</f>
        <v/>
      </c>
      <c r="D1205" s="46" t="str">
        <f aca="false">IF(_PENDIENTES!$B$1199&lt;&gt;"",_PENDIENTES!$D$1199,"")</f>
        <v/>
      </c>
      <c r="E1205" s="46" t="str">
        <f aca="false">IF(_PENDIENTES!$B$1199&lt;&gt;"",_PENDIENTES!$E$1199,"")</f>
        <v/>
      </c>
      <c r="F1205" s="46" t="str">
        <f aca="false">IF(_PENDIENTES!$B$1199&lt;&gt;"",_PENDIENTES!$F$1199,"")</f>
        <v/>
      </c>
      <c r="G1205" s="44" t="str">
        <f aca="false">IF(_PENDIENTES!$B$1199&lt;&gt;"",_PENDIENTES!$G$1199,"")</f>
        <v/>
      </c>
      <c r="H1205" s="44" t="str">
        <f aca="false">IF(_PENDIENTES!$B$1199&lt;&gt;"",_PENDIENTES!$H$1199,"")</f>
        <v/>
      </c>
      <c r="I1205" s="110" t="str">
        <f aca="false">IF(_PENDIENTES!$B$1199&lt;&gt;"",_PENDIENTES!$I$1199,"")</f>
        <v/>
      </c>
      <c r="J1205" s="46" t="str">
        <f aca="false">IF(_PENDIENTES!$B$1199&lt;&gt;"",_PENDIENTES!$J$1199,"")</f>
        <v/>
      </c>
      <c r="K1205" s="46" t="str">
        <f aca="false">IF(_PENDIENTES!$B$1199&lt;&gt;"","POR RECOGER","")</f>
        <v/>
      </c>
      <c r="L1205" s="46" t="str">
        <f aca="false">IF(_PENDIENTES!$B$1199&lt;&gt;"",_PENDIENTES!$K$1199,"")</f>
        <v/>
      </c>
      <c r="M1205" s="89" t="str">
        <f aca="false">IF(_PENDIENTES!$B$1199&lt;&gt;"",_PENDIENTES!$B$1199,"")</f>
        <v/>
      </c>
      <c r="N1205" s="109" t="str">
        <f aca="false">IF(_PENDIENTES!$B$1199&lt;&gt;"",_PENDIENTES!$L$1199,"")</f>
        <v/>
      </c>
      <c r="O1205" s="89"/>
    </row>
    <row r="1206" customFormat="false" ht="15.75" hidden="true" customHeight="true" outlineLevel="0" collapsed="false">
      <c r="A1206" s="106" t="str">
        <f aca="false">IF(_PENDIENTES!$B$1200&lt;&gt;"",1199,"")</f>
        <v/>
      </c>
      <c r="B1206" s="47" t="str">
        <f aca="false">IF(_PENDIENTES!$B$1200&lt;&gt;"",_PENDIENTES!$A$1200,"")</f>
        <v/>
      </c>
      <c r="C1206" s="107" t="str">
        <f aca="false">IF(_PENDIENTES!$B$1200&lt;&gt;"",_PENDIENTES!$C$1200,"")</f>
        <v/>
      </c>
      <c r="D1206" s="106" t="str">
        <f aca="false">IF(_PENDIENTES!$B$1200&lt;&gt;"",_PENDIENTES!$D$1200,"")</f>
        <v/>
      </c>
      <c r="E1206" s="106" t="str">
        <f aca="false">IF(_PENDIENTES!$B$1200&lt;&gt;"",_PENDIENTES!$E$1200,"")</f>
        <v/>
      </c>
      <c r="F1206" s="106" t="str">
        <f aca="false">IF(_PENDIENTES!$B$1200&lt;&gt;"",_PENDIENTES!$F$1200,"")</f>
        <v/>
      </c>
      <c r="G1206" s="50" t="str">
        <f aca="false">IF(_PENDIENTES!$B$1200&lt;&gt;"",_PENDIENTES!$G$1200,"")</f>
        <v/>
      </c>
      <c r="H1206" s="50" t="str">
        <f aca="false">IF(_PENDIENTES!$B$1200&lt;&gt;"",_PENDIENTES!$H$1200,"")</f>
        <v/>
      </c>
      <c r="I1206" s="107" t="str">
        <f aca="false">IF(_PENDIENTES!$B$1200&lt;&gt;"",_PENDIENTES!$I$1200,"")</f>
        <v/>
      </c>
      <c r="J1206" s="106" t="str">
        <f aca="false">IF(_PENDIENTES!$B$1200&lt;&gt;"",_PENDIENTES!$J$1200,"")</f>
        <v/>
      </c>
      <c r="K1206" s="106" t="str">
        <f aca="false">IF(_PENDIENTES!$B$1200&lt;&gt;"","POR RECOGER","")</f>
        <v/>
      </c>
      <c r="L1206" s="106" t="str">
        <f aca="false">IF(_PENDIENTES!$B$1200&lt;&gt;"",_PENDIENTES!$K$1200,"")</f>
        <v/>
      </c>
      <c r="M1206" s="89" t="str">
        <f aca="false">IF(_PENDIENTES!$B$1200&lt;&gt;"",_PENDIENTES!$B$1200,"")</f>
        <v/>
      </c>
      <c r="N1206" s="109" t="str">
        <f aca="false">IF(_PENDIENTES!$B$1200&lt;&gt;"",_PENDIENTES!$L$1200,"")</f>
        <v/>
      </c>
      <c r="O1206" s="89"/>
    </row>
    <row r="1207" customFormat="false" ht="15.75" hidden="true" customHeight="true" outlineLevel="0" collapsed="false">
      <c r="A1207" s="46" t="str">
        <f aca="false">IF(_PENDIENTES!$B$1201&lt;&gt;"",1200,"")</f>
        <v/>
      </c>
      <c r="B1207" s="41" t="str">
        <f aca="false">IF(_PENDIENTES!$B$1201&lt;&gt;"",_PENDIENTES!$A$1201,"")</f>
        <v/>
      </c>
      <c r="C1207" s="110" t="str">
        <f aca="false">IF(_PENDIENTES!$B$1201&lt;&gt;"",_PENDIENTES!$C$1201,"")</f>
        <v/>
      </c>
      <c r="D1207" s="46" t="str">
        <f aca="false">IF(_PENDIENTES!$B$1201&lt;&gt;"",_PENDIENTES!$D$1201,"")</f>
        <v/>
      </c>
      <c r="E1207" s="46" t="str">
        <f aca="false">IF(_PENDIENTES!$B$1201&lt;&gt;"",_PENDIENTES!$E$1201,"")</f>
        <v/>
      </c>
      <c r="F1207" s="46" t="str">
        <f aca="false">IF(_PENDIENTES!$B$1201&lt;&gt;"",_PENDIENTES!$F$1201,"")</f>
        <v/>
      </c>
      <c r="G1207" s="44" t="str">
        <f aca="false">IF(_PENDIENTES!$B$1201&lt;&gt;"",_PENDIENTES!$G$1201,"")</f>
        <v/>
      </c>
      <c r="H1207" s="44" t="str">
        <f aca="false">IF(_PENDIENTES!$B$1201&lt;&gt;"",_PENDIENTES!$H$1201,"")</f>
        <v/>
      </c>
      <c r="I1207" s="110" t="str">
        <f aca="false">IF(_PENDIENTES!$B$1201&lt;&gt;"",_PENDIENTES!$I$1201,"")</f>
        <v/>
      </c>
      <c r="J1207" s="46" t="str">
        <f aca="false">IF(_PENDIENTES!$B$1201&lt;&gt;"",_PENDIENTES!$J$1201,"")</f>
        <v/>
      </c>
      <c r="K1207" s="46" t="str">
        <f aca="false">IF(_PENDIENTES!$B$1201&lt;&gt;"","POR RECOGER","")</f>
        <v/>
      </c>
      <c r="L1207" s="46" t="str">
        <f aca="false">IF(_PENDIENTES!$B$1201&lt;&gt;"",_PENDIENTES!$K$1201,"")</f>
        <v/>
      </c>
      <c r="M1207" s="89" t="str">
        <f aca="false">IF(_PENDIENTES!$B$1201&lt;&gt;"",_PENDIENTES!$B$1201,"")</f>
        <v/>
      </c>
      <c r="N1207" s="109" t="str">
        <f aca="false">IF(_PENDIENTES!$B$1201&lt;&gt;"",_PENDIENTES!$L$1201,"")</f>
        <v/>
      </c>
      <c r="O1207" s="89"/>
    </row>
    <row r="1208" customFormat="false" ht="15.75" hidden="true" customHeight="true" outlineLevel="0" collapsed="false">
      <c r="A1208" s="106" t="str">
        <f aca="false">IF(_PENDIENTES!$B$1202&lt;&gt;"",1201,"")</f>
        <v/>
      </c>
      <c r="B1208" s="47" t="str">
        <f aca="false">IF(_PENDIENTES!$B$1202&lt;&gt;"",_PENDIENTES!$A$1202,"")</f>
        <v/>
      </c>
      <c r="C1208" s="107" t="str">
        <f aca="false">IF(_PENDIENTES!$B$1202&lt;&gt;"",_PENDIENTES!$C$1202,"")</f>
        <v/>
      </c>
      <c r="D1208" s="106" t="str">
        <f aca="false">IF(_PENDIENTES!$B$1202&lt;&gt;"",_PENDIENTES!$D$1202,"")</f>
        <v/>
      </c>
      <c r="E1208" s="106" t="str">
        <f aca="false">IF(_PENDIENTES!$B$1202&lt;&gt;"",_PENDIENTES!$E$1202,"")</f>
        <v/>
      </c>
      <c r="F1208" s="106" t="str">
        <f aca="false">IF(_PENDIENTES!$B$1202&lt;&gt;"",_PENDIENTES!$F$1202,"")</f>
        <v/>
      </c>
      <c r="G1208" s="50" t="str">
        <f aca="false">IF(_PENDIENTES!$B$1202&lt;&gt;"",_PENDIENTES!$G$1202,"")</f>
        <v/>
      </c>
      <c r="H1208" s="50" t="str">
        <f aca="false">IF(_PENDIENTES!$B$1202&lt;&gt;"",_PENDIENTES!$H$1202,"")</f>
        <v/>
      </c>
      <c r="I1208" s="107" t="str">
        <f aca="false">IF(_PENDIENTES!$B$1202&lt;&gt;"",_PENDIENTES!$I$1202,"")</f>
        <v/>
      </c>
      <c r="J1208" s="106" t="str">
        <f aca="false">IF(_PENDIENTES!$B$1202&lt;&gt;"",_PENDIENTES!$J$1202,"")</f>
        <v/>
      </c>
      <c r="K1208" s="106" t="str">
        <f aca="false">IF(_PENDIENTES!$B$1202&lt;&gt;"","POR RECOGER","")</f>
        <v/>
      </c>
      <c r="L1208" s="106" t="str">
        <f aca="false">IF(_PENDIENTES!$B$1202&lt;&gt;"",_PENDIENTES!$K$1202,"")</f>
        <v/>
      </c>
      <c r="M1208" s="89" t="str">
        <f aca="false">IF(_PENDIENTES!$B$1202&lt;&gt;"",_PENDIENTES!$B$1202,"")</f>
        <v/>
      </c>
      <c r="N1208" s="109" t="str">
        <f aca="false">IF(_PENDIENTES!$B$1202&lt;&gt;"",_PENDIENTES!$L$1202,"")</f>
        <v/>
      </c>
      <c r="O1208" s="89"/>
    </row>
    <row r="1209" customFormat="false" ht="15.75" hidden="true" customHeight="true" outlineLevel="0" collapsed="false">
      <c r="A1209" s="46" t="str">
        <f aca="false">IF(_PENDIENTES!$B$1203&lt;&gt;"",1202,"")</f>
        <v/>
      </c>
      <c r="B1209" s="41" t="str">
        <f aca="false">IF(_PENDIENTES!$B$1203&lt;&gt;"",_PENDIENTES!$A$1203,"")</f>
        <v/>
      </c>
      <c r="C1209" s="110" t="str">
        <f aca="false">IF(_PENDIENTES!$B$1203&lt;&gt;"",_PENDIENTES!$C$1203,"")</f>
        <v/>
      </c>
      <c r="D1209" s="46" t="str">
        <f aca="false">IF(_PENDIENTES!$B$1203&lt;&gt;"",_PENDIENTES!$D$1203,"")</f>
        <v/>
      </c>
      <c r="E1209" s="46" t="str">
        <f aca="false">IF(_PENDIENTES!$B$1203&lt;&gt;"",_PENDIENTES!$E$1203,"")</f>
        <v/>
      </c>
      <c r="F1209" s="46" t="str">
        <f aca="false">IF(_PENDIENTES!$B$1203&lt;&gt;"",_PENDIENTES!$F$1203,"")</f>
        <v/>
      </c>
      <c r="G1209" s="44" t="str">
        <f aca="false">IF(_PENDIENTES!$B$1203&lt;&gt;"",_PENDIENTES!$G$1203,"")</f>
        <v/>
      </c>
      <c r="H1209" s="44" t="str">
        <f aca="false">IF(_PENDIENTES!$B$1203&lt;&gt;"",_PENDIENTES!$H$1203,"")</f>
        <v/>
      </c>
      <c r="I1209" s="110" t="str">
        <f aca="false">IF(_PENDIENTES!$B$1203&lt;&gt;"",_PENDIENTES!$I$1203,"")</f>
        <v/>
      </c>
      <c r="J1209" s="46" t="str">
        <f aca="false">IF(_PENDIENTES!$B$1203&lt;&gt;"",_PENDIENTES!$J$1203,"")</f>
        <v/>
      </c>
      <c r="K1209" s="46" t="str">
        <f aca="false">IF(_PENDIENTES!$B$1203&lt;&gt;"","POR RECOGER","")</f>
        <v/>
      </c>
      <c r="L1209" s="46" t="str">
        <f aca="false">IF(_PENDIENTES!$B$1203&lt;&gt;"",_PENDIENTES!$K$1203,"")</f>
        <v/>
      </c>
      <c r="M1209" s="89" t="str">
        <f aca="false">IF(_PENDIENTES!$B$1203&lt;&gt;"",_PENDIENTES!$B$1203,"")</f>
        <v/>
      </c>
      <c r="N1209" s="109" t="str">
        <f aca="false">IF(_PENDIENTES!$B$1203&lt;&gt;"",_PENDIENTES!$L$1203,"")</f>
        <v/>
      </c>
      <c r="O1209" s="89"/>
    </row>
    <row r="1210" customFormat="false" ht="15.75" hidden="true" customHeight="true" outlineLevel="0" collapsed="false">
      <c r="A1210" s="106" t="str">
        <f aca="false">IF(_PENDIENTES!$B$1204&lt;&gt;"",1203,"")</f>
        <v/>
      </c>
      <c r="B1210" s="47" t="str">
        <f aca="false">IF(_PENDIENTES!$B$1204&lt;&gt;"",_PENDIENTES!$A$1204,"")</f>
        <v/>
      </c>
      <c r="C1210" s="107" t="str">
        <f aca="false">IF(_PENDIENTES!$B$1204&lt;&gt;"",_PENDIENTES!$C$1204,"")</f>
        <v/>
      </c>
      <c r="D1210" s="106" t="str">
        <f aca="false">IF(_PENDIENTES!$B$1204&lt;&gt;"",_PENDIENTES!$D$1204,"")</f>
        <v/>
      </c>
      <c r="E1210" s="106" t="str">
        <f aca="false">IF(_PENDIENTES!$B$1204&lt;&gt;"",_PENDIENTES!$E$1204,"")</f>
        <v/>
      </c>
      <c r="F1210" s="106" t="str">
        <f aca="false">IF(_PENDIENTES!$B$1204&lt;&gt;"",_PENDIENTES!$F$1204,"")</f>
        <v/>
      </c>
      <c r="G1210" s="50" t="str">
        <f aca="false">IF(_PENDIENTES!$B$1204&lt;&gt;"",_PENDIENTES!$G$1204,"")</f>
        <v/>
      </c>
      <c r="H1210" s="50" t="str">
        <f aca="false">IF(_PENDIENTES!$B$1204&lt;&gt;"",_PENDIENTES!$H$1204,"")</f>
        <v/>
      </c>
      <c r="I1210" s="107" t="str">
        <f aca="false">IF(_PENDIENTES!$B$1204&lt;&gt;"",_PENDIENTES!$I$1204,"")</f>
        <v/>
      </c>
      <c r="J1210" s="106" t="str">
        <f aca="false">IF(_PENDIENTES!$B$1204&lt;&gt;"",_PENDIENTES!$J$1204,"")</f>
        <v/>
      </c>
      <c r="K1210" s="106" t="str">
        <f aca="false">IF(_PENDIENTES!$B$1204&lt;&gt;"","POR RECOGER","")</f>
        <v/>
      </c>
      <c r="L1210" s="106" t="str">
        <f aca="false">IF(_PENDIENTES!$B$1204&lt;&gt;"",_PENDIENTES!$K$1204,"")</f>
        <v/>
      </c>
      <c r="M1210" s="89" t="str">
        <f aca="false">IF(_PENDIENTES!$B$1204&lt;&gt;"",_PENDIENTES!$B$1204,"")</f>
        <v/>
      </c>
      <c r="N1210" s="109" t="str">
        <f aca="false">IF(_PENDIENTES!$B$1204&lt;&gt;"",_PENDIENTES!$L$1204,"")</f>
        <v/>
      </c>
      <c r="O1210" s="89"/>
    </row>
    <row r="1211" customFormat="false" ht="15.75" hidden="true" customHeight="true" outlineLevel="0" collapsed="false">
      <c r="A1211" s="46" t="str">
        <f aca="false">IF(_PENDIENTES!$B$1205&lt;&gt;"",1204,"")</f>
        <v/>
      </c>
      <c r="B1211" s="41" t="str">
        <f aca="false">IF(_PENDIENTES!$B$1205&lt;&gt;"",_PENDIENTES!$A$1205,"")</f>
        <v/>
      </c>
      <c r="C1211" s="110" t="str">
        <f aca="false">IF(_PENDIENTES!$B$1205&lt;&gt;"",_PENDIENTES!$C$1205,"")</f>
        <v/>
      </c>
      <c r="D1211" s="46" t="str">
        <f aca="false">IF(_PENDIENTES!$B$1205&lt;&gt;"",_PENDIENTES!$D$1205,"")</f>
        <v/>
      </c>
      <c r="E1211" s="46" t="str">
        <f aca="false">IF(_PENDIENTES!$B$1205&lt;&gt;"",_PENDIENTES!$E$1205,"")</f>
        <v/>
      </c>
      <c r="F1211" s="46" t="str">
        <f aca="false">IF(_PENDIENTES!$B$1205&lt;&gt;"",_PENDIENTES!$F$1205,"")</f>
        <v/>
      </c>
      <c r="G1211" s="44" t="str">
        <f aca="false">IF(_PENDIENTES!$B$1205&lt;&gt;"",_PENDIENTES!$G$1205,"")</f>
        <v/>
      </c>
      <c r="H1211" s="44" t="str">
        <f aca="false">IF(_PENDIENTES!$B$1205&lt;&gt;"",_PENDIENTES!$H$1205,"")</f>
        <v/>
      </c>
      <c r="I1211" s="110" t="str">
        <f aca="false">IF(_PENDIENTES!$B$1205&lt;&gt;"",_PENDIENTES!$I$1205,"")</f>
        <v/>
      </c>
      <c r="J1211" s="46" t="str">
        <f aca="false">IF(_PENDIENTES!$B$1205&lt;&gt;"",_PENDIENTES!$J$1205,"")</f>
        <v/>
      </c>
      <c r="K1211" s="46" t="str">
        <f aca="false">IF(_PENDIENTES!$B$1205&lt;&gt;"","POR RECOGER","")</f>
        <v/>
      </c>
      <c r="L1211" s="46" t="str">
        <f aca="false">IF(_PENDIENTES!$B$1205&lt;&gt;"",_PENDIENTES!$K$1205,"")</f>
        <v/>
      </c>
      <c r="M1211" s="89" t="str">
        <f aca="false">IF(_PENDIENTES!$B$1205&lt;&gt;"",_PENDIENTES!$B$1205,"")</f>
        <v/>
      </c>
      <c r="N1211" s="109" t="str">
        <f aca="false">IF(_PENDIENTES!$B$1205&lt;&gt;"",_PENDIENTES!$L$1205,"")</f>
        <v/>
      </c>
      <c r="O1211" s="89"/>
    </row>
    <row r="1212" customFormat="false" ht="15.75" hidden="true" customHeight="true" outlineLevel="0" collapsed="false">
      <c r="A1212" s="106" t="str">
        <f aca="false">IF(_PENDIENTES!$B$1206&lt;&gt;"",1205,"")</f>
        <v/>
      </c>
      <c r="B1212" s="47" t="str">
        <f aca="false">IF(_PENDIENTES!$B$1206&lt;&gt;"",_PENDIENTES!$A$1206,"")</f>
        <v/>
      </c>
      <c r="C1212" s="107" t="str">
        <f aca="false">IF(_PENDIENTES!$B$1206&lt;&gt;"",_PENDIENTES!$C$1206,"")</f>
        <v/>
      </c>
      <c r="D1212" s="106" t="str">
        <f aca="false">IF(_PENDIENTES!$B$1206&lt;&gt;"",_PENDIENTES!$D$1206,"")</f>
        <v/>
      </c>
      <c r="E1212" s="106" t="str">
        <f aca="false">IF(_PENDIENTES!$B$1206&lt;&gt;"",_PENDIENTES!$E$1206,"")</f>
        <v/>
      </c>
      <c r="F1212" s="106" t="str">
        <f aca="false">IF(_PENDIENTES!$B$1206&lt;&gt;"",_PENDIENTES!$F$1206,"")</f>
        <v/>
      </c>
      <c r="G1212" s="50" t="str">
        <f aca="false">IF(_PENDIENTES!$B$1206&lt;&gt;"",_PENDIENTES!$G$1206,"")</f>
        <v/>
      </c>
      <c r="H1212" s="50" t="str">
        <f aca="false">IF(_PENDIENTES!$B$1206&lt;&gt;"",_PENDIENTES!$H$1206,"")</f>
        <v/>
      </c>
      <c r="I1212" s="107" t="str">
        <f aca="false">IF(_PENDIENTES!$B$1206&lt;&gt;"",_PENDIENTES!$I$1206,"")</f>
        <v/>
      </c>
      <c r="J1212" s="106" t="str">
        <f aca="false">IF(_PENDIENTES!$B$1206&lt;&gt;"",_PENDIENTES!$J$1206,"")</f>
        <v/>
      </c>
      <c r="K1212" s="106" t="str">
        <f aca="false">IF(_PENDIENTES!$B$1206&lt;&gt;"","POR RECOGER","")</f>
        <v/>
      </c>
      <c r="L1212" s="106" t="str">
        <f aca="false">IF(_PENDIENTES!$B$1206&lt;&gt;"",_PENDIENTES!$K$1206,"")</f>
        <v/>
      </c>
      <c r="M1212" s="89" t="str">
        <f aca="false">IF(_PENDIENTES!$B$1206&lt;&gt;"",_PENDIENTES!$B$1206,"")</f>
        <v/>
      </c>
      <c r="N1212" s="109" t="str">
        <f aca="false">IF(_PENDIENTES!$B$1206&lt;&gt;"",_PENDIENTES!$L$1206,"")</f>
        <v/>
      </c>
      <c r="O1212" s="89"/>
    </row>
    <row r="1213" customFormat="false" ht="15.75" hidden="true" customHeight="true" outlineLevel="0" collapsed="false">
      <c r="A1213" s="46" t="str">
        <f aca="false">IF(_PENDIENTES!$B$1207&lt;&gt;"",1206,"")</f>
        <v/>
      </c>
      <c r="B1213" s="41" t="str">
        <f aca="false">IF(_PENDIENTES!$B$1207&lt;&gt;"",_PENDIENTES!$A$1207,"")</f>
        <v/>
      </c>
      <c r="C1213" s="110" t="str">
        <f aca="false">IF(_PENDIENTES!$B$1207&lt;&gt;"",_PENDIENTES!$C$1207,"")</f>
        <v/>
      </c>
      <c r="D1213" s="46" t="str">
        <f aca="false">IF(_PENDIENTES!$B$1207&lt;&gt;"",_PENDIENTES!$D$1207,"")</f>
        <v/>
      </c>
      <c r="E1213" s="46" t="str">
        <f aca="false">IF(_PENDIENTES!$B$1207&lt;&gt;"",_PENDIENTES!$E$1207,"")</f>
        <v/>
      </c>
      <c r="F1213" s="46" t="str">
        <f aca="false">IF(_PENDIENTES!$B$1207&lt;&gt;"",_PENDIENTES!$F$1207,"")</f>
        <v/>
      </c>
      <c r="G1213" s="44" t="str">
        <f aca="false">IF(_PENDIENTES!$B$1207&lt;&gt;"",_PENDIENTES!$G$1207,"")</f>
        <v/>
      </c>
      <c r="H1213" s="44" t="str">
        <f aca="false">IF(_PENDIENTES!$B$1207&lt;&gt;"",_PENDIENTES!$H$1207,"")</f>
        <v/>
      </c>
      <c r="I1213" s="110" t="str">
        <f aca="false">IF(_PENDIENTES!$B$1207&lt;&gt;"",_PENDIENTES!$I$1207,"")</f>
        <v/>
      </c>
      <c r="J1213" s="46" t="str">
        <f aca="false">IF(_PENDIENTES!$B$1207&lt;&gt;"",_PENDIENTES!$J$1207,"")</f>
        <v/>
      </c>
      <c r="K1213" s="46" t="str">
        <f aca="false">IF(_PENDIENTES!$B$1207&lt;&gt;"","POR RECOGER","")</f>
        <v/>
      </c>
      <c r="L1213" s="46" t="str">
        <f aca="false">IF(_PENDIENTES!$B$1207&lt;&gt;"",_PENDIENTES!$K$1207,"")</f>
        <v/>
      </c>
      <c r="M1213" s="89" t="str">
        <f aca="false">IF(_PENDIENTES!$B$1207&lt;&gt;"",_PENDIENTES!$B$1207,"")</f>
        <v/>
      </c>
      <c r="N1213" s="109" t="str">
        <f aca="false">IF(_PENDIENTES!$B$1207&lt;&gt;"",_PENDIENTES!$L$1207,"")</f>
        <v/>
      </c>
      <c r="O1213" s="89"/>
    </row>
    <row r="1214" customFormat="false" ht="15.75" hidden="true" customHeight="true" outlineLevel="0" collapsed="false">
      <c r="A1214" s="106" t="str">
        <f aca="false">IF(_PENDIENTES!$B$1208&lt;&gt;"",1207,"")</f>
        <v/>
      </c>
      <c r="B1214" s="47" t="str">
        <f aca="false">IF(_PENDIENTES!$B$1208&lt;&gt;"",_PENDIENTES!$A$1208,"")</f>
        <v/>
      </c>
      <c r="C1214" s="107" t="str">
        <f aca="false">IF(_PENDIENTES!$B$1208&lt;&gt;"",_PENDIENTES!$C$1208,"")</f>
        <v/>
      </c>
      <c r="D1214" s="106" t="str">
        <f aca="false">IF(_PENDIENTES!$B$1208&lt;&gt;"",_PENDIENTES!$D$1208,"")</f>
        <v/>
      </c>
      <c r="E1214" s="106" t="str">
        <f aca="false">IF(_PENDIENTES!$B$1208&lt;&gt;"",_PENDIENTES!$E$1208,"")</f>
        <v/>
      </c>
      <c r="F1214" s="106" t="str">
        <f aca="false">IF(_PENDIENTES!$B$1208&lt;&gt;"",_PENDIENTES!$F$1208,"")</f>
        <v/>
      </c>
      <c r="G1214" s="50" t="str">
        <f aca="false">IF(_PENDIENTES!$B$1208&lt;&gt;"",_PENDIENTES!$G$1208,"")</f>
        <v/>
      </c>
      <c r="H1214" s="50" t="str">
        <f aca="false">IF(_PENDIENTES!$B$1208&lt;&gt;"",_PENDIENTES!$H$1208,"")</f>
        <v/>
      </c>
      <c r="I1214" s="107" t="str">
        <f aca="false">IF(_PENDIENTES!$B$1208&lt;&gt;"",_PENDIENTES!$I$1208,"")</f>
        <v/>
      </c>
      <c r="J1214" s="106" t="str">
        <f aca="false">IF(_PENDIENTES!$B$1208&lt;&gt;"",_PENDIENTES!$J$1208,"")</f>
        <v/>
      </c>
      <c r="K1214" s="106" t="str">
        <f aca="false">IF(_PENDIENTES!$B$1208&lt;&gt;"","POR RECOGER","")</f>
        <v/>
      </c>
      <c r="L1214" s="106" t="str">
        <f aca="false">IF(_PENDIENTES!$B$1208&lt;&gt;"",_PENDIENTES!$K$1208,"")</f>
        <v/>
      </c>
      <c r="M1214" s="89" t="str">
        <f aca="false">IF(_PENDIENTES!$B$1208&lt;&gt;"",_PENDIENTES!$B$1208,"")</f>
        <v/>
      </c>
      <c r="N1214" s="109" t="str">
        <f aca="false">IF(_PENDIENTES!$B$1208&lt;&gt;"",_PENDIENTES!$L$1208,"")</f>
        <v/>
      </c>
      <c r="O1214" s="89"/>
    </row>
    <row r="1215" customFormat="false" ht="15.75" hidden="true" customHeight="true" outlineLevel="0" collapsed="false">
      <c r="A1215" s="46" t="str">
        <f aca="false">IF(_PENDIENTES!$B$1209&lt;&gt;"",1208,"")</f>
        <v/>
      </c>
      <c r="B1215" s="41" t="str">
        <f aca="false">IF(_PENDIENTES!$B$1209&lt;&gt;"",_PENDIENTES!$A$1209,"")</f>
        <v/>
      </c>
      <c r="C1215" s="110" t="str">
        <f aca="false">IF(_PENDIENTES!$B$1209&lt;&gt;"",_PENDIENTES!$C$1209,"")</f>
        <v/>
      </c>
      <c r="D1215" s="46" t="str">
        <f aca="false">IF(_PENDIENTES!$B$1209&lt;&gt;"",_PENDIENTES!$D$1209,"")</f>
        <v/>
      </c>
      <c r="E1215" s="46" t="str">
        <f aca="false">IF(_PENDIENTES!$B$1209&lt;&gt;"",_PENDIENTES!$E$1209,"")</f>
        <v/>
      </c>
      <c r="F1215" s="46" t="str">
        <f aca="false">IF(_PENDIENTES!$B$1209&lt;&gt;"",_PENDIENTES!$F$1209,"")</f>
        <v/>
      </c>
      <c r="G1215" s="44" t="str">
        <f aca="false">IF(_PENDIENTES!$B$1209&lt;&gt;"",_PENDIENTES!$G$1209,"")</f>
        <v/>
      </c>
      <c r="H1215" s="44" t="str">
        <f aca="false">IF(_PENDIENTES!$B$1209&lt;&gt;"",_PENDIENTES!$H$1209,"")</f>
        <v/>
      </c>
      <c r="I1215" s="110" t="str">
        <f aca="false">IF(_PENDIENTES!$B$1209&lt;&gt;"",_PENDIENTES!$I$1209,"")</f>
        <v/>
      </c>
      <c r="J1215" s="46" t="str">
        <f aca="false">IF(_PENDIENTES!$B$1209&lt;&gt;"",_PENDIENTES!$J$1209,"")</f>
        <v/>
      </c>
      <c r="K1215" s="46" t="str">
        <f aca="false">IF(_PENDIENTES!$B$1209&lt;&gt;"","POR RECOGER","")</f>
        <v/>
      </c>
      <c r="L1215" s="46" t="str">
        <f aca="false">IF(_PENDIENTES!$B$1209&lt;&gt;"",_PENDIENTES!$K$1209,"")</f>
        <v/>
      </c>
      <c r="M1215" s="89" t="str">
        <f aca="false">IF(_PENDIENTES!$B$1209&lt;&gt;"",_PENDIENTES!$B$1209,"")</f>
        <v/>
      </c>
      <c r="N1215" s="109" t="str">
        <f aca="false">IF(_PENDIENTES!$B$1209&lt;&gt;"",_PENDIENTES!$L$1209,"")</f>
        <v/>
      </c>
      <c r="O1215" s="89"/>
    </row>
    <row r="1216" customFormat="false" ht="15.75" hidden="true" customHeight="true" outlineLevel="0" collapsed="false">
      <c r="A1216" s="106" t="str">
        <f aca="false">IF(_PENDIENTES!$B$1210&lt;&gt;"",1209,"")</f>
        <v/>
      </c>
      <c r="B1216" s="47" t="str">
        <f aca="false">IF(_PENDIENTES!$B$1210&lt;&gt;"",_PENDIENTES!$A$1210,"")</f>
        <v/>
      </c>
      <c r="C1216" s="107" t="str">
        <f aca="false">IF(_PENDIENTES!$B$1210&lt;&gt;"",_PENDIENTES!$C$1210,"")</f>
        <v/>
      </c>
      <c r="D1216" s="106" t="str">
        <f aca="false">IF(_PENDIENTES!$B$1210&lt;&gt;"",_PENDIENTES!$D$1210,"")</f>
        <v/>
      </c>
      <c r="E1216" s="106" t="str">
        <f aca="false">IF(_PENDIENTES!$B$1210&lt;&gt;"",_PENDIENTES!$E$1210,"")</f>
        <v/>
      </c>
      <c r="F1216" s="106" t="str">
        <f aca="false">IF(_PENDIENTES!$B$1210&lt;&gt;"",_PENDIENTES!$F$1210,"")</f>
        <v/>
      </c>
      <c r="G1216" s="50" t="str">
        <f aca="false">IF(_PENDIENTES!$B$1210&lt;&gt;"",_PENDIENTES!$G$1210,"")</f>
        <v/>
      </c>
      <c r="H1216" s="50" t="str">
        <f aca="false">IF(_PENDIENTES!$B$1210&lt;&gt;"",_PENDIENTES!$H$1210,"")</f>
        <v/>
      </c>
      <c r="I1216" s="107" t="str">
        <f aca="false">IF(_PENDIENTES!$B$1210&lt;&gt;"",_PENDIENTES!$I$1210,"")</f>
        <v/>
      </c>
      <c r="J1216" s="106" t="str">
        <f aca="false">IF(_PENDIENTES!$B$1210&lt;&gt;"",_PENDIENTES!$J$1210,"")</f>
        <v/>
      </c>
      <c r="K1216" s="106" t="str">
        <f aca="false">IF(_PENDIENTES!$B$1210&lt;&gt;"","POR RECOGER","")</f>
        <v/>
      </c>
      <c r="L1216" s="106" t="str">
        <f aca="false">IF(_PENDIENTES!$B$1210&lt;&gt;"",_PENDIENTES!$K$1210,"")</f>
        <v/>
      </c>
      <c r="M1216" s="89" t="str">
        <f aca="false">IF(_PENDIENTES!$B$1210&lt;&gt;"",_PENDIENTES!$B$1210,"")</f>
        <v/>
      </c>
      <c r="N1216" s="109" t="str">
        <f aca="false">IF(_PENDIENTES!$B$1210&lt;&gt;"",_PENDIENTES!$L$1210,"")</f>
        <v/>
      </c>
      <c r="O1216" s="89"/>
    </row>
    <row r="1217" customFormat="false" ht="15.75" hidden="true" customHeight="true" outlineLevel="0" collapsed="false">
      <c r="A1217" s="46" t="str">
        <f aca="false">IF(_PENDIENTES!$B$1211&lt;&gt;"",1210,"")</f>
        <v/>
      </c>
      <c r="B1217" s="41" t="str">
        <f aca="false">IF(_PENDIENTES!$B$1211&lt;&gt;"",_PENDIENTES!$A$1211,"")</f>
        <v/>
      </c>
      <c r="C1217" s="110" t="str">
        <f aca="false">IF(_PENDIENTES!$B$1211&lt;&gt;"",_PENDIENTES!$C$1211,"")</f>
        <v/>
      </c>
      <c r="D1217" s="46" t="str">
        <f aca="false">IF(_PENDIENTES!$B$1211&lt;&gt;"",_PENDIENTES!$D$1211,"")</f>
        <v/>
      </c>
      <c r="E1217" s="46" t="str">
        <f aca="false">IF(_PENDIENTES!$B$1211&lt;&gt;"",_PENDIENTES!$E$1211,"")</f>
        <v/>
      </c>
      <c r="F1217" s="46" t="str">
        <f aca="false">IF(_PENDIENTES!$B$1211&lt;&gt;"",_PENDIENTES!$F$1211,"")</f>
        <v/>
      </c>
      <c r="G1217" s="44" t="str">
        <f aca="false">IF(_PENDIENTES!$B$1211&lt;&gt;"",_PENDIENTES!$G$1211,"")</f>
        <v/>
      </c>
      <c r="H1217" s="44" t="str">
        <f aca="false">IF(_PENDIENTES!$B$1211&lt;&gt;"",_PENDIENTES!$H$1211,"")</f>
        <v/>
      </c>
      <c r="I1217" s="110" t="str">
        <f aca="false">IF(_PENDIENTES!$B$1211&lt;&gt;"",_PENDIENTES!$I$1211,"")</f>
        <v/>
      </c>
      <c r="J1217" s="46" t="str">
        <f aca="false">IF(_PENDIENTES!$B$1211&lt;&gt;"",_PENDIENTES!$J$1211,"")</f>
        <v/>
      </c>
      <c r="K1217" s="46" t="str">
        <f aca="false">IF(_PENDIENTES!$B$1211&lt;&gt;"","POR RECOGER","")</f>
        <v/>
      </c>
      <c r="L1217" s="46" t="str">
        <f aca="false">IF(_PENDIENTES!$B$1211&lt;&gt;"",_PENDIENTES!$K$1211,"")</f>
        <v/>
      </c>
      <c r="M1217" s="89" t="str">
        <f aca="false">IF(_PENDIENTES!$B$1211&lt;&gt;"",_PENDIENTES!$B$1211,"")</f>
        <v/>
      </c>
      <c r="N1217" s="109" t="str">
        <f aca="false">IF(_PENDIENTES!$B$1211&lt;&gt;"",_PENDIENTES!$L$1211,"")</f>
        <v/>
      </c>
      <c r="O1217" s="89"/>
    </row>
    <row r="1218" customFormat="false" ht="15.75" hidden="true" customHeight="true" outlineLevel="0" collapsed="false">
      <c r="A1218" s="106" t="str">
        <f aca="false">IF(_PENDIENTES!$B$1212&lt;&gt;"",1211,"")</f>
        <v/>
      </c>
      <c r="B1218" s="47" t="str">
        <f aca="false">IF(_PENDIENTES!$B$1212&lt;&gt;"",_PENDIENTES!$A$1212,"")</f>
        <v/>
      </c>
      <c r="C1218" s="107" t="str">
        <f aca="false">IF(_PENDIENTES!$B$1212&lt;&gt;"",_PENDIENTES!$C$1212,"")</f>
        <v/>
      </c>
      <c r="D1218" s="106" t="str">
        <f aca="false">IF(_PENDIENTES!$B$1212&lt;&gt;"",_PENDIENTES!$D$1212,"")</f>
        <v/>
      </c>
      <c r="E1218" s="106" t="str">
        <f aca="false">IF(_PENDIENTES!$B$1212&lt;&gt;"",_PENDIENTES!$E$1212,"")</f>
        <v/>
      </c>
      <c r="F1218" s="106" t="str">
        <f aca="false">IF(_PENDIENTES!$B$1212&lt;&gt;"",_PENDIENTES!$F$1212,"")</f>
        <v/>
      </c>
      <c r="G1218" s="50" t="str">
        <f aca="false">IF(_PENDIENTES!$B$1212&lt;&gt;"",_PENDIENTES!$G$1212,"")</f>
        <v/>
      </c>
      <c r="H1218" s="50" t="str">
        <f aca="false">IF(_PENDIENTES!$B$1212&lt;&gt;"",_PENDIENTES!$H$1212,"")</f>
        <v/>
      </c>
      <c r="I1218" s="107" t="str">
        <f aca="false">IF(_PENDIENTES!$B$1212&lt;&gt;"",_PENDIENTES!$I$1212,"")</f>
        <v/>
      </c>
      <c r="J1218" s="106" t="str">
        <f aca="false">IF(_PENDIENTES!$B$1212&lt;&gt;"",_PENDIENTES!$J$1212,"")</f>
        <v/>
      </c>
      <c r="K1218" s="106" t="str">
        <f aca="false">IF(_PENDIENTES!$B$1212&lt;&gt;"","POR RECOGER","")</f>
        <v/>
      </c>
      <c r="L1218" s="106" t="str">
        <f aca="false">IF(_PENDIENTES!$B$1212&lt;&gt;"",_PENDIENTES!$K$1212,"")</f>
        <v/>
      </c>
      <c r="M1218" s="89" t="str">
        <f aca="false">IF(_PENDIENTES!$B$1212&lt;&gt;"",_PENDIENTES!$B$1212,"")</f>
        <v/>
      </c>
      <c r="N1218" s="109" t="str">
        <f aca="false">IF(_PENDIENTES!$B$1212&lt;&gt;"",_PENDIENTES!$L$1212,"")</f>
        <v/>
      </c>
      <c r="O1218" s="89"/>
    </row>
    <row r="1219" customFormat="false" ht="15.75" hidden="true" customHeight="true" outlineLevel="0" collapsed="false">
      <c r="A1219" s="46" t="str">
        <f aca="false">IF(_PENDIENTES!$B$1213&lt;&gt;"",1212,"")</f>
        <v/>
      </c>
      <c r="B1219" s="41" t="str">
        <f aca="false">IF(_PENDIENTES!$B$1213&lt;&gt;"",_PENDIENTES!$A$1213,"")</f>
        <v/>
      </c>
      <c r="C1219" s="110" t="str">
        <f aca="false">IF(_PENDIENTES!$B$1213&lt;&gt;"",_PENDIENTES!$C$1213,"")</f>
        <v/>
      </c>
      <c r="D1219" s="46" t="str">
        <f aca="false">IF(_PENDIENTES!$B$1213&lt;&gt;"",_PENDIENTES!$D$1213,"")</f>
        <v/>
      </c>
      <c r="E1219" s="46" t="str">
        <f aca="false">IF(_PENDIENTES!$B$1213&lt;&gt;"",_PENDIENTES!$E$1213,"")</f>
        <v/>
      </c>
      <c r="F1219" s="46" t="str">
        <f aca="false">IF(_PENDIENTES!$B$1213&lt;&gt;"",_PENDIENTES!$F$1213,"")</f>
        <v/>
      </c>
      <c r="G1219" s="44" t="str">
        <f aca="false">IF(_PENDIENTES!$B$1213&lt;&gt;"",_PENDIENTES!$G$1213,"")</f>
        <v/>
      </c>
      <c r="H1219" s="44" t="str">
        <f aca="false">IF(_PENDIENTES!$B$1213&lt;&gt;"",_PENDIENTES!$H$1213,"")</f>
        <v/>
      </c>
      <c r="I1219" s="110" t="str">
        <f aca="false">IF(_PENDIENTES!$B$1213&lt;&gt;"",_PENDIENTES!$I$1213,"")</f>
        <v/>
      </c>
      <c r="J1219" s="46" t="str">
        <f aca="false">IF(_PENDIENTES!$B$1213&lt;&gt;"",_PENDIENTES!$J$1213,"")</f>
        <v/>
      </c>
      <c r="K1219" s="46" t="str">
        <f aca="false">IF(_PENDIENTES!$B$1213&lt;&gt;"","POR RECOGER","")</f>
        <v/>
      </c>
      <c r="L1219" s="46" t="str">
        <f aca="false">IF(_PENDIENTES!$B$1213&lt;&gt;"",_PENDIENTES!$K$1213,"")</f>
        <v/>
      </c>
      <c r="M1219" s="89" t="str">
        <f aca="false">IF(_PENDIENTES!$B$1213&lt;&gt;"",_PENDIENTES!$B$1213,"")</f>
        <v/>
      </c>
      <c r="N1219" s="109" t="str">
        <f aca="false">IF(_PENDIENTES!$B$1213&lt;&gt;"",_PENDIENTES!$L$1213,"")</f>
        <v/>
      </c>
      <c r="O1219" s="89"/>
    </row>
    <row r="1220" customFormat="false" ht="15.75" hidden="true" customHeight="true" outlineLevel="0" collapsed="false">
      <c r="A1220" s="106" t="str">
        <f aca="false">IF(_PENDIENTES!$B$1214&lt;&gt;"",1213,"")</f>
        <v/>
      </c>
      <c r="B1220" s="47" t="str">
        <f aca="false">IF(_PENDIENTES!$B$1214&lt;&gt;"",_PENDIENTES!$A$1214,"")</f>
        <v/>
      </c>
      <c r="C1220" s="107" t="str">
        <f aca="false">IF(_PENDIENTES!$B$1214&lt;&gt;"",_PENDIENTES!$C$1214,"")</f>
        <v/>
      </c>
      <c r="D1220" s="106" t="str">
        <f aca="false">IF(_PENDIENTES!$B$1214&lt;&gt;"",_PENDIENTES!$D$1214,"")</f>
        <v/>
      </c>
      <c r="E1220" s="106" t="str">
        <f aca="false">IF(_PENDIENTES!$B$1214&lt;&gt;"",_PENDIENTES!$E$1214,"")</f>
        <v/>
      </c>
      <c r="F1220" s="106" t="str">
        <f aca="false">IF(_PENDIENTES!$B$1214&lt;&gt;"",_PENDIENTES!$F$1214,"")</f>
        <v/>
      </c>
      <c r="G1220" s="50" t="str">
        <f aca="false">IF(_PENDIENTES!$B$1214&lt;&gt;"",_PENDIENTES!$G$1214,"")</f>
        <v/>
      </c>
      <c r="H1220" s="50" t="str">
        <f aca="false">IF(_PENDIENTES!$B$1214&lt;&gt;"",_PENDIENTES!$H$1214,"")</f>
        <v/>
      </c>
      <c r="I1220" s="107" t="str">
        <f aca="false">IF(_PENDIENTES!$B$1214&lt;&gt;"",_PENDIENTES!$I$1214,"")</f>
        <v/>
      </c>
      <c r="J1220" s="106" t="str">
        <f aca="false">IF(_PENDIENTES!$B$1214&lt;&gt;"",_PENDIENTES!$J$1214,"")</f>
        <v/>
      </c>
      <c r="K1220" s="106" t="str">
        <f aca="false">IF(_PENDIENTES!$B$1214&lt;&gt;"","POR RECOGER","")</f>
        <v/>
      </c>
      <c r="L1220" s="106" t="str">
        <f aca="false">IF(_PENDIENTES!$B$1214&lt;&gt;"",_PENDIENTES!$K$1214,"")</f>
        <v/>
      </c>
      <c r="M1220" s="89" t="str">
        <f aca="false">IF(_PENDIENTES!$B$1214&lt;&gt;"",_PENDIENTES!$B$1214,"")</f>
        <v/>
      </c>
      <c r="N1220" s="109" t="str">
        <f aca="false">IF(_PENDIENTES!$B$1214&lt;&gt;"",_PENDIENTES!$L$1214,"")</f>
        <v/>
      </c>
      <c r="O1220" s="89"/>
    </row>
    <row r="1221" customFormat="false" ht="15.75" hidden="true" customHeight="true" outlineLevel="0" collapsed="false">
      <c r="A1221" s="46" t="str">
        <f aca="false">IF(_PENDIENTES!$B$1215&lt;&gt;"",1214,"")</f>
        <v/>
      </c>
      <c r="B1221" s="41" t="str">
        <f aca="false">IF(_PENDIENTES!$B$1215&lt;&gt;"",_PENDIENTES!$A$1215,"")</f>
        <v/>
      </c>
      <c r="C1221" s="110" t="str">
        <f aca="false">IF(_PENDIENTES!$B$1215&lt;&gt;"",_PENDIENTES!$C$1215,"")</f>
        <v/>
      </c>
      <c r="D1221" s="46" t="str">
        <f aca="false">IF(_PENDIENTES!$B$1215&lt;&gt;"",_PENDIENTES!$D$1215,"")</f>
        <v/>
      </c>
      <c r="E1221" s="46" t="str">
        <f aca="false">IF(_PENDIENTES!$B$1215&lt;&gt;"",_PENDIENTES!$E$1215,"")</f>
        <v/>
      </c>
      <c r="F1221" s="46" t="str">
        <f aca="false">IF(_PENDIENTES!$B$1215&lt;&gt;"",_PENDIENTES!$F$1215,"")</f>
        <v/>
      </c>
      <c r="G1221" s="44" t="str">
        <f aca="false">IF(_PENDIENTES!$B$1215&lt;&gt;"",_PENDIENTES!$G$1215,"")</f>
        <v/>
      </c>
      <c r="H1221" s="44" t="str">
        <f aca="false">IF(_PENDIENTES!$B$1215&lt;&gt;"",_PENDIENTES!$H$1215,"")</f>
        <v/>
      </c>
      <c r="I1221" s="110" t="str">
        <f aca="false">IF(_PENDIENTES!$B$1215&lt;&gt;"",_PENDIENTES!$I$1215,"")</f>
        <v/>
      </c>
      <c r="J1221" s="46" t="str">
        <f aca="false">IF(_PENDIENTES!$B$1215&lt;&gt;"",_PENDIENTES!$J$1215,"")</f>
        <v/>
      </c>
      <c r="K1221" s="46" t="str">
        <f aca="false">IF(_PENDIENTES!$B$1215&lt;&gt;"","POR RECOGER","")</f>
        <v/>
      </c>
      <c r="L1221" s="46" t="str">
        <f aca="false">IF(_PENDIENTES!$B$1215&lt;&gt;"",_PENDIENTES!$K$1215,"")</f>
        <v/>
      </c>
      <c r="M1221" s="89" t="str">
        <f aca="false">IF(_PENDIENTES!$B$1215&lt;&gt;"",_PENDIENTES!$B$1215,"")</f>
        <v/>
      </c>
      <c r="N1221" s="109" t="str">
        <f aca="false">IF(_PENDIENTES!$B$1215&lt;&gt;"",_PENDIENTES!$L$1215,"")</f>
        <v/>
      </c>
      <c r="O1221" s="89"/>
    </row>
    <row r="1222" customFormat="false" ht="15.75" hidden="true" customHeight="true" outlineLevel="0" collapsed="false">
      <c r="A1222" s="106" t="str">
        <f aca="false">IF(_PENDIENTES!$B$1216&lt;&gt;"",1215,"")</f>
        <v/>
      </c>
      <c r="B1222" s="47" t="str">
        <f aca="false">IF(_PENDIENTES!$B$1216&lt;&gt;"",_PENDIENTES!$A$1216,"")</f>
        <v/>
      </c>
      <c r="C1222" s="107" t="str">
        <f aca="false">IF(_PENDIENTES!$B$1216&lt;&gt;"",_PENDIENTES!$C$1216,"")</f>
        <v/>
      </c>
      <c r="D1222" s="106" t="str">
        <f aca="false">IF(_PENDIENTES!$B$1216&lt;&gt;"",_PENDIENTES!$D$1216,"")</f>
        <v/>
      </c>
      <c r="E1222" s="106" t="str">
        <f aca="false">IF(_PENDIENTES!$B$1216&lt;&gt;"",_PENDIENTES!$E$1216,"")</f>
        <v/>
      </c>
      <c r="F1222" s="106" t="str">
        <f aca="false">IF(_PENDIENTES!$B$1216&lt;&gt;"",_PENDIENTES!$F$1216,"")</f>
        <v/>
      </c>
      <c r="G1222" s="50" t="str">
        <f aca="false">IF(_PENDIENTES!$B$1216&lt;&gt;"",_PENDIENTES!$G$1216,"")</f>
        <v/>
      </c>
      <c r="H1222" s="50" t="str">
        <f aca="false">IF(_PENDIENTES!$B$1216&lt;&gt;"",_PENDIENTES!$H$1216,"")</f>
        <v/>
      </c>
      <c r="I1222" s="107" t="str">
        <f aca="false">IF(_PENDIENTES!$B$1216&lt;&gt;"",_PENDIENTES!$I$1216,"")</f>
        <v/>
      </c>
      <c r="J1222" s="106" t="str">
        <f aca="false">IF(_PENDIENTES!$B$1216&lt;&gt;"",_PENDIENTES!$J$1216,"")</f>
        <v/>
      </c>
      <c r="K1222" s="106" t="str">
        <f aca="false">IF(_PENDIENTES!$B$1216&lt;&gt;"","POR RECOGER","")</f>
        <v/>
      </c>
      <c r="L1222" s="106" t="str">
        <f aca="false">IF(_PENDIENTES!$B$1216&lt;&gt;"",_PENDIENTES!$K$1216,"")</f>
        <v/>
      </c>
      <c r="M1222" s="89" t="str">
        <f aca="false">IF(_PENDIENTES!$B$1216&lt;&gt;"",_PENDIENTES!$B$1216,"")</f>
        <v/>
      </c>
      <c r="N1222" s="109" t="str">
        <f aca="false">IF(_PENDIENTES!$B$1216&lt;&gt;"",_PENDIENTES!$L$1216,"")</f>
        <v/>
      </c>
      <c r="O1222" s="89"/>
    </row>
    <row r="1223" customFormat="false" ht="15.75" hidden="true" customHeight="true" outlineLevel="0" collapsed="false">
      <c r="A1223" s="46" t="str">
        <f aca="false">IF(_PENDIENTES!$B$1217&lt;&gt;"",1216,"")</f>
        <v/>
      </c>
      <c r="B1223" s="41" t="str">
        <f aca="false">IF(_PENDIENTES!$B$1217&lt;&gt;"",_PENDIENTES!$A$1217,"")</f>
        <v/>
      </c>
      <c r="C1223" s="110" t="str">
        <f aca="false">IF(_PENDIENTES!$B$1217&lt;&gt;"",_PENDIENTES!$C$1217,"")</f>
        <v/>
      </c>
      <c r="D1223" s="46" t="str">
        <f aca="false">IF(_PENDIENTES!$B$1217&lt;&gt;"",_PENDIENTES!$D$1217,"")</f>
        <v/>
      </c>
      <c r="E1223" s="46" t="str">
        <f aca="false">IF(_PENDIENTES!$B$1217&lt;&gt;"",_PENDIENTES!$E$1217,"")</f>
        <v/>
      </c>
      <c r="F1223" s="46" t="str">
        <f aca="false">IF(_PENDIENTES!$B$1217&lt;&gt;"",_PENDIENTES!$F$1217,"")</f>
        <v/>
      </c>
      <c r="G1223" s="44" t="str">
        <f aca="false">IF(_PENDIENTES!$B$1217&lt;&gt;"",_PENDIENTES!$G$1217,"")</f>
        <v/>
      </c>
      <c r="H1223" s="44" t="str">
        <f aca="false">IF(_PENDIENTES!$B$1217&lt;&gt;"",_PENDIENTES!$H$1217,"")</f>
        <v/>
      </c>
      <c r="I1223" s="110" t="str">
        <f aca="false">IF(_PENDIENTES!$B$1217&lt;&gt;"",_PENDIENTES!$I$1217,"")</f>
        <v/>
      </c>
      <c r="J1223" s="46" t="str">
        <f aca="false">IF(_PENDIENTES!$B$1217&lt;&gt;"",_PENDIENTES!$J$1217,"")</f>
        <v/>
      </c>
      <c r="K1223" s="46" t="str">
        <f aca="false">IF(_PENDIENTES!$B$1217&lt;&gt;"","POR RECOGER","")</f>
        <v/>
      </c>
      <c r="L1223" s="46" t="str">
        <f aca="false">IF(_PENDIENTES!$B$1217&lt;&gt;"",_PENDIENTES!$K$1217,"")</f>
        <v/>
      </c>
      <c r="M1223" s="89" t="str">
        <f aca="false">IF(_PENDIENTES!$B$1217&lt;&gt;"",_PENDIENTES!$B$1217,"")</f>
        <v/>
      </c>
      <c r="N1223" s="109" t="str">
        <f aca="false">IF(_PENDIENTES!$B$1217&lt;&gt;"",_PENDIENTES!$L$1217,"")</f>
        <v/>
      </c>
      <c r="O1223" s="89"/>
    </row>
    <row r="1224" customFormat="false" ht="15.75" hidden="true" customHeight="true" outlineLevel="0" collapsed="false">
      <c r="A1224" s="106" t="str">
        <f aca="false">IF(_PENDIENTES!$B$1218&lt;&gt;"",1217,"")</f>
        <v/>
      </c>
      <c r="B1224" s="47" t="str">
        <f aca="false">IF(_PENDIENTES!$B$1218&lt;&gt;"",_PENDIENTES!$A$1218,"")</f>
        <v/>
      </c>
      <c r="C1224" s="107" t="str">
        <f aca="false">IF(_PENDIENTES!$B$1218&lt;&gt;"",_PENDIENTES!$C$1218,"")</f>
        <v/>
      </c>
      <c r="D1224" s="106" t="str">
        <f aca="false">IF(_PENDIENTES!$B$1218&lt;&gt;"",_PENDIENTES!$D$1218,"")</f>
        <v/>
      </c>
      <c r="E1224" s="106" t="str">
        <f aca="false">IF(_PENDIENTES!$B$1218&lt;&gt;"",_PENDIENTES!$E$1218,"")</f>
        <v/>
      </c>
      <c r="F1224" s="106" t="str">
        <f aca="false">IF(_PENDIENTES!$B$1218&lt;&gt;"",_PENDIENTES!$F$1218,"")</f>
        <v/>
      </c>
      <c r="G1224" s="50" t="str">
        <f aca="false">IF(_PENDIENTES!$B$1218&lt;&gt;"",_PENDIENTES!$G$1218,"")</f>
        <v/>
      </c>
      <c r="H1224" s="50" t="str">
        <f aca="false">IF(_PENDIENTES!$B$1218&lt;&gt;"",_PENDIENTES!$H$1218,"")</f>
        <v/>
      </c>
      <c r="I1224" s="107" t="str">
        <f aca="false">IF(_PENDIENTES!$B$1218&lt;&gt;"",_PENDIENTES!$I$1218,"")</f>
        <v/>
      </c>
      <c r="J1224" s="106" t="str">
        <f aca="false">IF(_PENDIENTES!$B$1218&lt;&gt;"",_PENDIENTES!$J$1218,"")</f>
        <v/>
      </c>
      <c r="K1224" s="106" t="str">
        <f aca="false">IF(_PENDIENTES!$B$1218&lt;&gt;"","POR RECOGER","")</f>
        <v/>
      </c>
      <c r="L1224" s="106" t="str">
        <f aca="false">IF(_PENDIENTES!$B$1218&lt;&gt;"",_PENDIENTES!$K$1218,"")</f>
        <v/>
      </c>
      <c r="M1224" s="89" t="str">
        <f aca="false">IF(_PENDIENTES!$B$1218&lt;&gt;"",_PENDIENTES!$B$1218,"")</f>
        <v/>
      </c>
      <c r="N1224" s="109" t="str">
        <f aca="false">IF(_PENDIENTES!$B$1218&lt;&gt;"",_PENDIENTES!$L$1218,"")</f>
        <v/>
      </c>
      <c r="O1224" s="89"/>
    </row>
    <row r="1225" customFormat="false" ht="15.75" hidden="true" customHeight="true" outlineLevel="0" collapsed="false">
      <c r="A1225" s="46" t="str">
        <f aca="false">IF(_PENDIENTES!$B$1219&lt;&gt;"",1218,"")</f>
        <v/>
      </c>
      <c r="B1225" s="41" t="str">
        <f aca="false">IF(_PENDIENTES!$B$1219&lt;&gt;"",_PENDIENTES!$A$1219,"")</f>
        <v/>
      </c>
      <c r="C1225" s="110" t="str">
        <f aca="false">IF(_PENDIENTES!$B$1219&lt;&gt;"",_PENDIENTES!$C$1219,"")</f>
        <v/>
      </c>
      <c r="D1225" s="46" t="str">
        <f aca="false">IF(_PENDIENTES!$B$1219&lt;&gt;"",_PENDIENTES!$D$1219,"")</f>
        <v/>
      </c>
      <c r="E1225" s="46" t="str">
        <f aca="false">IF(_PENDIENTES!$B$1219&lt;&gt;"",_PENDIENTES!$E$1219,"")</f>
        <v/>
      </c>
      <c r="F1225" s="46" t="str">
        <f aca="false">IF(_PENDIENTES!$B$1219&lt;&gt;"",_PENDIENTES!$F$1219,"")</f>
        <v/>
      </c>
      <c r="G1225" s="44" t="str">
        <f aca="false">IF(_PENDIENTES!$B$1219&lt;&gt;"",_PENDIENTES!$G$1219,"")</f>
        <v/>
      </c>
      <c r="H1225" s="44" t="str">
        <f aca="false">IF(_PENDIENTES!$B$1219&lt;&gt;"",_PENDIENTES!$H$1219,"")</f>
        <v/>
      </c>
      <c r="I1225" s="110" t="str">
        <f aca="false">IF(_PENDIENTES!$B$1219&lt;&gt;"",_PENDIENTES!$I$1219,"")</f>
        <v/>
      </c>
      <c r="J1225" s="46" t="str">
        <f aca="false">IF(_PENDIENTES!$B$1219&lt;&gt;"",_PENDIENTES!$J$1219,"")</f>
        <v/>
      </c>
      <c r="K1225" s="46" t="str">
        <f aca="false">IF(_PENDIENTES!$B$1219&lt;&gt;"","POR RECOGER","")</f>
        <v/>
      </c>
      <c r="L1225" s="46" t="str">
        <f aca="false">IF(_PENDIENTES!$B$1219&lt;&gt;"",_PENDIENTES!$K$1219,"")</f>
        <v/>
      </c>
      <c r="M1225" s="89" t="str">
        <f aca="false">IF(_PENDIENTES!$B$1219&lt;&gt;"",_PENDIENTES!$B$1219,"")</f>
        <v/>
      </c>
      <c r="N1225" s="109" t="str">
        <f aca="false">IF(_PENDIENTES!$B$1219&lt;&gt;"",_PENDIENTES!$L$1219,"")</f>
        <v/>
      </c>
      <c r="O1225" s="89"/>
    </row>
    <row r="1226" customFormat="false" ht="15.75" hidden="true" customHeight="true" outlineLevel="0" collapsed="false">
      <c r="A1226" s="106" t="str">
        <f aca="false">IF(_PENDIENTES!$B$1220&lt;&gt;"",1219,"")</f>
        <v/>
      </c>
      <c r="B1226" s="47" t="str">
        <f aca="false">IF(_PENDIENTES!$B$1220&lt;&gt;"",_PENDIENTES!$A$1220,"")</f>
        <v/>
      </c>
      <c r="C1226" s="107" t="str">
        <f aca="false">IF(_PENDIENTES!$B$1220&lt;&gt;"",_PENDIENTES!$C$1220,"")</f>
        <v/>
      </c>
      <c r="D1226" s="106" t="str">
        <f aca="false">IF(_PENDIENTES!$B$1220&lt;&gt;"",_PENDIENTES!$D$1220,"")</f>
        <v/>
      </c>
      <c r="E1226" s="106" t="str">
        <f aca="false">IF(_PENDIENTES!$B$1220&lt;&gt;"",_PENDIENTES!$E$1220,"")</f>
        <v/>
      </c>
      <c r="F1226" s="106" t="str">
        <f aca="false">IF(_PENDIENTES!$B$1220&lt;&gt;"",_PENDIENTES!$F$1220,"")</f>
        <v/>
      </c>
      <c r="G1226" s="50" t="str">
        <f aca="false">IF(_PENDIENTES!$B$1220&lt;&gt;"",_PENDIENTES!$G$1220,"")</f>
        <v/>
      </c>
      <c r="H1226" s="50" t="str">
        <f aca="false">IF(_PENDIENTES!$B$1220&lt;&gt;"",_PENDIENTES!$H$1220,"")</f>
        <v/>
      </c>
      <c r="I1226" s="107" t="str">
        <f aca="false">IF(_PENDIENTES!$B$1220&lt;&gt;"",_PENDIENTES!$I$1220,"")</f>
        <v/>
      </c>
      <c r="J1226" s="106" t="str">
        <f aca="false">IF(_PENDIENTES!$B$1220&lt;&gt;"",_PENDIENTES!$J$1220,"")</f>
        <v/>
      </c>
      <c r="K1226" s="106" t="str">
        <f aca="false">IF(_PENDIENTES!$B$1220&lt;&gt;"","POR RECOGER","")</f>
        <v/>
      </c>
      <c r="L1226" s="106" t="str">
        <f aca="false">IF(_PENDIENTES!$B$1220&lt;&gt;"",_PENDIENTES!$K$1220,"")</f>
        <v/>
      </c>
      <c r="M1226" s="89" t="str">
        <f aca="false">IF(_PENDIENTES!$B$1220&lt;&gt;"",_PENDIENTES!$B$1220,"")</f>
        <v/>
      </c>
      <c r="N1226" s="109" t="str">
        <f aca="false">IF(_PENDIENTES!$B$1220&lt;&gt;"",_PENDIENTES!$L$1220,"")</f>
        <v/>
      </c>
      <c r="O1226" s="89"/>
    </row>
    <row r="1227" customFormat="false" ht="15.75" hidden="true" customHeight="true" outlineLevel="0" collapsed="false">
      <c r="A1227" s="46" t="str">
        <f aca="false">IF(_PENDIENTES!$B$1221&lt;&gt;"",1220,"")</f>
        <v/>
      </c>
      <c r="B1227" s="41" t="str">
        <f aca="false">IF(_PENDIENTES!$B$1221&lt;&gt;"",_PENDIENTES!$A$1221,"")</f>
        <v/>
      </c>
      <c r="C1227" s="110" t="str">
        <f aca="false">IF(_PENDIENTES!$B$1221&lt;&gt;"",_PENDIENTES!$C$1221,"")</f>
        <v/>
      </c>
      <c r="D1227" s="46" t="str">
        <f aca="false">IF(_PENDIENTES!$B$1221&lt;&gt;"",_PENDIENTES!$D$1221,"")</f>
        <v/>
      </c>
      <c r="E1227" s="46" t="str">
        <f aca="false">IF(_PENDIENTES!$B$1221&lt;&gt;"",_PENDIENTES!$E$1221,"")</f>
        <v/>
      </c>
      <c r="F1227" s="46" t="str">
        <f aca="false">IF(_PENDIENTES!$B$1221&lt;&gt;"",_PENDIENTES!$F$1221,"")</f>
        <v/>
      </c>
      <c r="G1227" s="44" t="str">
        <f aca="false">IF(_PENDIENTES!$B$1221&lt;&gt;"",_PENDIENTES!$G$1221,"")</f>
        <v/>
      </c>
      <c r="H1227" s="44" t="str">
        <f aca="false">IF(_PENDIENTES!$B$1221&lt;&gt;"",_PENDIENTES!$H$1221,"")</f>
        <v/>
      </c>
      <c r="I1227" s="110" t="str">
        <f aca="false">IF(_PENDIENTES!$B$1221&lt;&gt;"",_PENDIENTES!$I$1221,"")</f>
        <v/>
      </c>
      <c r="J1227" s="46" t="str">
        <f aca="false">IF(_PENDIENTES!$B$1221&lt;&gt;"",_PENDIENTES!$J$1221,"")</f>
        <v/>
      </c>
      <c r="K1227" s="46" t="str">
        <f aca="false">IF(_PENDIENTES!$B$1221&lt;&gt;"","POR RECOGER","")</f>
        <v/>
      </c>
      <c r="L1227" s="46" t="str">
        <f aca="false">IF(_PENDIENTES!$B$1221&lt;&gt;"",_PENDIENTES!$K$1221,"")</f>
        <v/>
      </c>
      <c r="M1227" s="89" t="str">
        <f aca="false">IF(_PENDIENTES!$B$1221&lt;&gt;"",_PENDIENTES!$B$1221,"")</f>
        <v/>
      </c>
      <c r="N1227" s="109" t="str">
        <f aca="false">IF(_PENDIENTES!$B$1221&lt;&gt;"",_PENDIENTES!$L$1221,"")</f>
        <v/>
      </c>
      <c r="O1227" s="89"/>
    </row>
    <row r="1228" customFormat="false" ht="15.75" hidden="true" customHeight="true" outlineLevel="0" collapsed="false">
      <c r="A1228" s="106" t="str">
        <f aca="false">IF(_PENDIENTES!$B$1222&lt;&gt;"",1221,"")</f>
        <v/>
      </c>
      <c r="B1228" s="47" t="str">
        <f aca="false">IF(_PENDIENTES!$B$1222&lt;&gt;"",_PENDIENTES!$A$1222,"")</f>
        <v/>
      </c>
      <c r="C1228" s="107" t="str">
        <f aca="false">IF(_PENDIENTES!$B$1222&lt;&gt;"",_PENDIENTES!$C$1222,"")</f>
        <v/>
      </c>
      <c r="D1228" s="106" t="str">
        <f aca="false">IF(_PENDIENTES!$B$1222&lt;&gt;"",_PENDIENTES!$D$1222,"")</f>
        <v/>
      </c>
      <c r="E1228" s="106" t="str">
        <f aca="false">IF(_PENDIENTES!$B$1222&lt;&gt;"",_PENDIENTES!$E$1222,"")</f>
        <v/>
      </c>
      <c r="F1228" s="106" t="str">
        <f aca="false">IF(_PENDIENTES!$B$1222&lt;&gt;"",_PENDIENTES!$F$1222,"")</f>
        <v/>
      </c>
      <c r="G1228" s="50" t="str">
        <f aca="false">IF(_PENDIENTES!$B$1222&lt;&gt;"",_PENDIENTES!$G$1222,"")</f>
        <v/>
      </c>
      <c r="H1228" s="50" t="str">
        <f aca="false">IF(_PENDIENTES!$B$1222&lt;&gt;"",_PENDIENTES!$H$1222,"")</f>
        <v/>
      </c>
      <c r="I1228" s="107" t="str">
        <f aca="false">IF(_PENDIENTES!$B$1222&lt;&gt;"",_PENDIENTES!$I$1222,"")</f>
        <v/>
      </c>
      <c r="J1228" s="106" t="str">
        <f aca="false">IF(_PENDIENTES!$B$1222&lt;&gt;"",_PENDIENTES!$J$1222,"")</f>
        <v/>
      </c>
      <c r="K1228" s="106" t="str">
        <f aca="false">IF(_PENDIENTES!$B$1222&lt;&gt;"","POR RECOGER","")</f>
        <v/>
      </c>
      <c r="L1228" s="106" t="str">
        <f aca="false">IF(_PENDIENTES!$B$1222&lt;&gt;"",_PENDIENTES!$K$1222,"")</f>
        <v/>
      </c>
      <c r="M1228" s="89" t="str">
        <f aca="false">IF(_PENDIENTES!$B$1222&lt;&gt;"",_PENDIENTES!$B$1222,"")</f>
        <v/>
      </c>
      <c r="N1228" s="109" t="str">
        <f aca="false">IF(_PENDIENTES!$B$1222&lt;&gt;"",_PENDIENTES!$L$1222,"")</f>
        <v/>
      </c>
      <c r="O1228" s="89"/>
    </row>
    <row r="1229" customFormat="false" ht="15.75" hidden="true" customHeight="true" outlineLevel="0" collapsed="false">
      <c r="A1229" s="46" t="str">
        <f aca="false">IF(_PENDIENTES!$B$1223&lt;&gt;"",1222,"")</f>
        <v/>
      </c>
      <c r="B1229" s="41" t="str">
        <f aca="false">IF(_PENDIENTES!$B$1223&lt;&gt;"",_PENDIENTES!$A$1223,"")</f>
        <v/>
      </c>
      <c r="C1229" s="110" t="str">
        <f aca="false">IF(_PENDIENTES!$B$1223&lt;&gt;"",_PENDIENTES!$C$1223,"")</f>
        <v/>
      </c>
      <c r="D1229" s="46" t="str">
        <f aca="false">IF(_PENDIENTES!$B$1223&lt;&gt;"",_PENDIENTES!$D$1223,"")</f>
        <v/>
      </c>
      <c r="E1229" s="46" t="str">
        <f aca="false">IF(_PENDIENTES!$B$1223&lt;&gt;"",_PENDIENTES!$E$1223,"")</f>
        <v/>
      </c>
      <c r="F1229" s="46" t="str">
        <f aca="false">IF(_PENDIENTES!$B$1223&lt;&gt;"",_PENDIENTES!$F$1223,"")</f>
        <v/>
      </c>
      <c r="G1229" s="44" t="str">
        <f aca="false">IF(_PENDIENTES!$B$1223&lt;&gt;"",_PENDIENTES!$G$1223,"")</f>
        <v/>
      </c>
      <c r="H1229" s="44" t="str">
        <f aca="false">IF(_PENDIENTES!$B$1223&lt;&gt;"",_PENDIENTES!$H$1223,"")</f>
        <v/>
      </c>
      <c r="I1229" s="110" t="str">
        <f aca="false">IF(_PENDIENTES!$B$1223&lt;&gt;"",_PENDIENTES!$I$1223,"")</f>
        <v/>
      </c>
      <c r="J1229" s="46" t="str">
        <f aca="false">IF(_PENDIENTES!$B$1223&lt;&gt;"",_PENDIENTES!$J$1223,"")</f>
        <v/>
      </c>
      <c r="K1229" s="46" t="str">
        <f aca="false">IF(_PENDIENTES!$B$1223&lt;&gt;"","POR RECOGER","")</f>
        <v/>
      </c>
      <c r="L1229" s="46" t="str">
        <f aca="false">IF(_PENDIENTES!$B$1223&lt;&gt;"",_PENDIENTES!$K$1223,"")</f>
        <v/>
      </c>
      <c r="M1229" s="89" t="str">
        <f aca="false">IF(_PENDIENTES!$B$1223&lt;&gt;"",_PENDIENTES!$B$1223,"")</f>
        <v/>
      </c>
      <c r="N1229" s="109" t="str">
        <f aca="false">IF(_PENDIENTES!$B$1223&lt;&gt;"",_PENDIENTES!$L$1223,"")</f>
        <v/>
      </c>
      <c r="O1229" s="89"/>
    </row>
    <row r="1230" customFormat="false" ht="15.75" hidden="true" customHeight="true" outlineLevel="0" collapsed="false">
      <c r="A1230" s="106" t="str">
        <f aca="false">IF(_PENDIENTES!$B$1224&lt;&gt;"",1223,"")</f>
        <v/>
      </c>
      <c r="B1230" s="47" t="str">
        <f aca="false">IF(_PENDIENTES!$B$1224&lt;&gt;"",_PENDIENTES!$A$1224,"")</f>
        <v/>
      </c>
      <c r="C1230" s="107" t="str">
        <f aca="false">IF(_PENDIENTES!$B$1224&lt;&gt;"",_PENDIENTES!$C$1224,"")</f>
        <v/>
      </c>
      <c r="D1230" s="106" t="str">
        <f aca="false">IF(_PENDIENTES!$B$1224&lt;&gt;"",_PENDIENTES!$D$1224,"")</f>
        <v/>
      </c>
      <c r="E1230" s="106" t="str">
        <f aca="false">IF(_PENDIENTES!$B$1224&lt;&gt;"",_PENDIENTES!$E$1224,"")</f>
        <v/>
      </c>
      <c r="F1230" s="106" t="str">
        <f aca="false">IF(_PENDIENTES!$B$1224&lt;&gt;"",_PENDIENTES!$F$1224,"")</f>
        <v/>
      </c>
      <c r="G1230" s="50" t="str">
        <f aca="false">IF(_PENDIENTES!$B$1224&lt;&gt;"",_PENDIENTES!$G$1224,"")</f>
        <v/>
      </c>
      <c r="H1230" s="50" t="str">
        <f aca="false">IF(_PENDIENTES!$B$1224&lt;&gt;"",_PENDIENTES!$H$1224,"")</f>
        <v/>
      </c>
      <c r="I1230" s="107" t="str">
        <f aca="false">IF(_PENDIENTES!$B$1224&lt;&gt;"",_PENDIENTES!$I$1224,"")</f>
        <v/>
      </c>
      <c r="J1230" s="106" t="str">
        <f aca="false">IF(_PENDIENTES!$B$1224&lt;&gt;"",_PENDIENTES!$J$1224,"")</f>
        <v/>
      </c>
      <c r="K1230" s="106" t="str">
        <f aca="false">IF(_PENDIENTES!$B$1224&lt;&gt;"","POR RECOGER","")</f>
        <v/>
      </c>
      <c r="L1230" s="106" t="str">
        <f aca="false">IF(_PENDIENTES!$B$1224&lt;&gt;"",_PENDIENTES!$K$1224,"")</f>
        <v/>
      </c>
      <c r="M1230" s="89" t="str">
        <f aca="false">IF(_PENDIENTES!$B$1224&lt;&gt;"",_PENDIENTES!$B$1224,"")</f>
        <v/>
      </c>
      <c r="N1230" s="109" t="str">
        <f aca="false">IF(_PENDIENTES!$B$1224&lt;&gt;"",_PENDIENTES!$L$1224,"")</f>
        <v/>
      </c>
      <c r="O1230" s="89"/>
    </row>
    <row r="1231" customFormat="false" ht="15.75" hidden="true" customHeight="true" outlineLevel="0" collapsed="false">
      <c r="A1231" s="46" t="str">
        <f aca="false">IF(_PENDIENTES!$B$1225&lt;&gt;"",1224,"")</f>
        <v/>
      </c>
      <c r="B1231" s="41" t="str">
        <f aca="false">IF(_PENDIENTES!$B$1225&lt;&gt;"",_PENDIENTES!$A$1225,"")</f>
        <v/>
      </c>
      <c r="C1231" s="110" t="str">
        <f aca="false">IF(_PENDIENTES!$B$1225&lt;&gt;"",_PENDIENTES!$C$1225,"")</f>
        <v/>
      </c>
      <c r="D1231" s="46" t="str">
        <f aca="false">IF(_PENDIENTES!$B$1225&lt;&gt;"",_PENDIENTES!$D$1225,"")</f>
        <v/>
      </c>
      <c r="E1231" s="46" t="str">
        <f aca="false">IF(_PENDIENTES!$B$1225&lt;&gt;"",_PENDIENTES!$E$1225,"")</f>
        <v/>
      </c>
      <c r="F1231" s="46" t="str">
        <f aca="false">IF(_PENDIENTES!$B$1225&lt;&gt;"",_PENDIENTES!$F$1225,"")</f>
        <v/>
      </c>
      <c r="G1231" s="44" t="str">
        <f aca="false">IF(_PENDIENTES!$B$1225&lt;&gt;"",_PENDIENTES!$G$1225,"")</f>
        <v/>
      </c>
      <c r="H1231" s="44" t="str">
        <f aca="false">IF(_PENDIENTES!$B$1225&lt;&gt;"",_PENDIENTES!$H$1225,"")</f>
        <v/>
      </c>
      <c r="I1231" s="110" t="str">
        <f aca="false">IF(_PENDIENTES!$B$1225&lt;&gt;"",_PENDIENTES!$I$1225,"")</f>
        <v/>
      </c>
      <c r="J1231" s="46" t="str">
        <f aca="false">IF(_PENDIENTES!$B$1225&lt;&gt;"",_PENDIENTES!$J$1225,"")</f>
        <v/>
      </c>
      <c r="K1231" s="46" t="str">
        <f aca="false">IF(_PENDIENTES!$B$1225&lt;&gt;"","POR RECOGER","")</f>
        <v/>
      </c>
      <c r="L1231" s="46" t="str">
        <f aca="false">IF(_PENDIENTES!$B$1225&lt;&gt;"",_PENDIENTES!$K$1225,"")</f>
        <v/>
      </c>
      <c r="M1231" s="89" t="str">
        <f aca="false">IF(_PENDIENTES!$B$1225&lt;&gt;"",_PENDIENTES!$B$1225,"")</f>
        <v/>
      </c>
      <c r="N1231" s="109" t="str">
        <f aca="false">IF(_PENDIENTES!$B$1225&lt;&gt;"",_PENDIENTES!$L$1225,"")</f>
        <v/>
      </c>
      <c r="O1231" s="89"/>
    </row>
    <row r="1232" customFormat="false" ht="15.75" hidden="true" customHeight="true" outlineLevel="0" collapsed="false">
      <c r="A1232" s="106" t="str">
        <f aca="false">IF(_PENDIENTES!$B$1226&lt;&gt;"",1225,"")</f>
        <v/>
      </c>
      <c r="B1232" s="47" t="str">
        <f aca="false">IF(_PENDIENTES!$B$1226&lt;&gt;"",_PENDIENTES!$A$1226,"")</f>
        <v/>
      </c>
      <c r="C1232" s="107" t="str">
        <f aca="false">IF(_PENDIENTES!$B$1226&lt;&gt;"",_PENDIENTES!$C$1226,"")</f>
        <v/>
      </c>
      <c r="D1232" s="106" t="str">
        <f aca="false">IF(_PENDIENTES!$B$1226&lt;&gt;"",_PENDIENTES!$D$1226,"")</f>
        <v/>
      </c>
      <c r="E1232" s="106" t="str">
        <f aca="false">IF(_PENDIENTES!$B$1226&lt;&gt;"",_PENDIENTES!$E$1226,"")</f>
        <v/>
      </c>
      <c r="F1232" s="106" t="str">
        <f aca="false">IF(_PENDIENTES!$B$1226&lt;&gt;"",_PENDIENTES!$F$1226,"")</f>
        <v/>
      </c>
      <c r="G1232" s="50" t="str">
        <f aca="false">IF(_PENDIENTES!$B$1226&lt;&gt;"",_PENDIENTES!$G$1226,"")</f>
        <v/>
      </c>
      <c r="H1232" s="50" t="str">
        <f aca="false">IF(_PENDIENTES!$B$1226&lt;&gt;"",_PENDIENTES!$H$1226,"")</f>
        <v/>
      </c>
      <c r="I1232" s="107" t="str">
        <f aca="false">IF(_PENDIENTES!$B$1226&lt;&gt;"",_PENDIENTES!$I$1226,"")</f>
        <v/>
      </c>
      <c r="J1232" s="106" t="str">
        <f aca="false">IF(_PENDIENTES!$B$1226&lt;&gt;"",_PENDIENTES!$J$1226,"")</f>
        <v/>
      </c>
      <c r="K1232" s="106" t="str">
        <f aca="false">IF(_PENDIENTES!$B$1226&lt;&gt;"","POR RECOGER","")</f>
        <v/>
      </c>
      <c r="L1232" s="106" t="str">
        <f aca="false">IF(_PENDIENTES!$B$1226&lt;&gt;"",_PENDIENTES!$K$1226,"")</f>
        <v/>
      </c>
      <c r="M1232" s="89" t="str">
        <f aca="false">IF(_PENDIENTES!$B$1226&lt;&gt;"",_PENDIENTES!$B$1226,"")</f>
        <v/>
      </c>
      <c r="N1232" s="109" t="str">
        <f aca="false">IF(_PENDIENTES!$B$1226&lt;&gt;"",_PENDIENTES!$L$1226,"")</f>
        <v/>
      </c>
      <c r="O1232" s="89"/>
    </row>
    <row r="1233" customFormat="false" ht="15.75" hidden="true" customHeight="true" outlineLevel="0" collapsed="false">
      <c r="A1233" s="46" t="str">
        <f aca="false">IF(_PENDIENTES!$B$1227&lt;&gt;"",1226,"")</f>
        <v/>
      </c>
      <c r="B1233" s="41" t="str">
        <f aca="false">IF(_PENDIENTES!$B$1227&lt;&gt;"",_PENDIENTES!$A$1227,"")</f>
        <v/>
      </c>
      <c r="C1233" s="110" t="str">
        <f aca="false">IF(_PENDIENTES!$B$1227&lt;&gt;"",_PENDIENTES!$C$1227,"")</f>
        <v/>
      </c>
      <c r="D1233" s="46" t="str">
        <f aca="false">IF(_PENDIENTES!$B$1227&lt;&gt;"",_PENDIENTES!$D$1227,"")</f>
        <v/>
      </c>
      <c r="E1233" s="46" t="str">
        <f aca="false">IF(_PENDIENTES!$B$1227&lt;&gt;"",_PENDIENTES!$E$1227,"")</f>
        <v/>
      </c>
      <c r="F1233" s="46" t="str">
        <f aca="false">IF(_PENDIENTES!$B$1227&lt;&gt;"",_PENDIENTES!$F$1227,"")</f>
        <v/>
      </c>
      <c r="G1233" s="44" t="str">
        <f aca="false">IF(_PENDIENTES!$B$1227&lt;&gt;"",_PENDIENTES!$G$1227,"")</f>
        <v/>
      </c>
      <c r="H1233" s="44" t="str">
        <f aca="false">IF(_PENDIENTES!$B$1227&lt;&gt;"",_PENDIENTES!$H$1227,"")</f>
        <v/>
      </c>
      <c r="I1233" s="110" t="str">
        <f aca="false">IF(_PENDIENTES!$B$1227&lt;&gt;"",_PENDIENTES!$I$1227,"")</f>
        <v/>
      </c>
      <c r="J1233" s="46" t="str">
        <f aca="false">IF(_PENDIENTES!$B$1227&lt;&gt;"",_PENDIENTES!$J$1227,"")</f>
        <v/>
      </c>
      <c r="K1233" s="46" t="str">
        <f aca="false">IF(_PENDIENTES!$B$1227&lt;&gt;"","POR RECOGER","")</f>
        <v/>
      </c>
      <c r="L1233" s="46" t="str">
        <f aca="false">IF(_PENDIENTES!$B$1227&lt;&gt;"",_PENDIENTES!$K$1227,"")</f>
        <v/>
      </c>
      <c r="M1233" s="89" t="str">
        <f aca="false">IF(_PENDIENTES!$B$1227&lt;&gt;"",_PENDIENTES!$B$1227,"")</f>
        <v/>
      </c>
      <c r="N1233" s="109" t="str">
        <f aca="false">IF(_PENDIENTES!$B$1227&lt;&gt;"",_PENDIENTES!$L$1227,"")</f>
        <v/>
      </c>
      <c r="O1233" s="89"/>
    </row>
    <row r="1234" customFormat="false" ht="15.75" hidden="true" customHeight="true" outlineLevel="0" collapsed="false">
      <c r="A1234" s="106" t="str">
        <f aca="false">IF(_PENDIENTES!$B$1228&lt;&gt;"",1227,"")</f>
        <v/>
      </c>
      <c r="B1234" s="47" t="str">
        <f aca="false">IF(_PENDIENTES!$B$1228&lt;&gt;"",_PENDIENTES!$A$1228,"")</f>
        <v/>
      </c>
      <c r="C1234" s="107" t="str">
        <f aca="false">IF(_PENDIENTES!$B$1228&lt;&gt;"",_PENDIENTES!$C$1228,"")</f>
        <v/>
      </c>
      <c r="D1234" s="106" t="str">
        <f aca="false">IF(_PENDIENTES!$B$1228&lt;&gt;"",_PENDIENTES!$D$1228,"")</f>
        <v/>
      </c>
      <c r="E1234" s="106" t="str">
        <f aca="false">IF(_PENDIENTES!$B$1228&lt;&gt;"",_PENDIENTES!$E$1228,"")</f>
        <v/>
      </c>
      <c r="F1234" s="106" t="str">
        <f aca="false">IF(_PENDIENTES!$B$1228&lt;&gt;"",_PENDIENTES!$F$1228,"")</f>
        <v/>
      </c>
      <c r="G1234" s="50" t="str">
        <f aca="false">IF(_PENDIENTES!$B$1228&lt;&gt;"",_PENDIENTES!$G$1228,"")</f>
        <v/>
      </c>
      <c r="H1234" s="50" t="str">
        <f aca="false">IF(_PENDIENTES!$B$1228&lt;&gt;"",_PENDIENTES!$H$1228,"")</f>
        <v/>
      </c>
      <c r="I1234" s="107" t="str">
        <f aca="false">IF(_PENDIENTES!$B$1228&lt;&gt;"",_PENDIENTES!$I$1228,"")</f>
        <v/>
      </c>
      <c r="J1234" s="106" t="str">
        <f aca="false">IF(_PENDIENTES!$B$1228&lt;&gt;"",_PENDIENTES!$J$1228,"")</f>
        <v/>
      </c>
      <c r="K1234" s="106" t="str">
        <f aca="false">IF(_PENDIENTES!$B$1228&lt;&gt;"","POR RECOGER","")</f>
        <v/>
      </c>
      <c r="L1234" s="106" t="str">
        <f aca="false">IF(_PENDIENTES!$B$1228&lt;&gt;"",_PENDIENTES!$K$1228,"")</f>
        <v/>
      </c>
      <c r="M1234" s="89" t="str">
        <f aca="false">IF(_PENDIENTES!$B$1228&lt;&gt;"",_PENDIENTES!$B$1228,"")</f>
        <v/>
      </c>
      <c r="N1234" s="109" t="str">
        <f aca="false">IF(_PENDIENTES!$B$1228&lt;&gt;"",_PENDIENTES!$L$1228,"")</f>
        <v/>
      </c>
      <c r="O1234" s="89"/>
    </row>
    <row r="1235" customFormat="false" ht="15.75" hidden="true" customHeight="true" outlineLevel="0" collapsed="false">
      <c r="A1235" s="46" t="str">
        <f aca="false">IF(_PENDIENTES!$B$1229&lt;&gt;"",1228,"")</f>
        <v/>
      </c>
      <c r="B1235" s="41" t="str">
        <f aca="false">IF(_PENDIENTES!$B$1229&lt;&gt;"",_PENDIENTES!$A$1229,"")</f>
        <v/>
      </c>
      <c r="C1235" s="110" t="str">
        <f aca="false">IF(_PENDIENTES!$B$1229&lt;&gt;"",_PENDIENTES!$C$1229,"")</f>
        <v/>
      </c>
      <c r="D1235" s="46" t="str">
        <f aca="false">IF(_PENDIENTES!$B$1229&lt;&gt;"",_PENDIENTES!$D$1229,"")</f>
        <v/>
      </c>
      <c r="E1235" s="46" t="str">
        <f aca="false">IF(_PENDIENTES!$B$1229&lt;&gt;"",_PENDIENTES!$E$1229,"")</f>
        <v/>
      </c>
      <c r="F1235" s="46" t="str">
        <f aca="false">IF(_PENDIENTES!$B$1229&lt;&gt;"",_PENDIENTES!$F$1229,"")</f>
        <v/>
      </c>
      <c r="G1235" s="44" t="str">
        <f aca="false">IF(_PENDIENTES!$B$1229&lt;&gt;"",_PENDIENTES!$G$1229,"")</f>
        <v/>
      </c>
      <c r="H1235" s="44" t="str">
        <f aca="false">IF(_PENDIENTES!$B$1229&lt;&gt;"",_PENDIENTES!$H$1229,"")</f>
        <v/>
      </c>
      <c r="I1235" s="110" t="str">
        <f aca="false">IF(_PENDIENTES!$B$1229&lt;&gt;"",_PENDIENTES!$I$1229,"")</f>
        <v/>
      </c>
      <c r="J1235" s="46" t="str">
        <f aca="false">IF(_PENDIENTES!$B$1229&lt;&gt;"",_PENDIENTES!$J$1229,"")</f>
        <v/>
      </c>
      <c r="K1235" s="46" t="str">
        <f aca="false">IF(_PENDIENTES!$B$1229&lt;&gt;"","POR RECOGER","")</f>
        <v/>
      </c>
      <c r="L1235" s="46" t="str">
        <f aca="false">IF(_PENDIENTES!$B$1229&lt;&gt;"",_PENDIENTES!$K$1229,"")</f>
        <v/>
      </c>
      <c r="M1235" s="89" t="str">
        <f aca="false">IF(_PENDIENTES!$B$1229&lt;&gt;"",_PENDIENTES!$B$1229,"")</f>
        <v/>
      </c>
      <c r="N1235" s="109" t="str">
        <f aca="false">IF(_PENDIENTES!$B$1229&lt;&gt;"",_PENDIENTES!$L$1229,"")</f>
        <v/>
      </c>
      <c r="O1235" s="89"/>
    </row>
    <row r="1236" customFormat="false" ht="15.75" hidden="true" customHeight="true" outlineLevel="0" collapsed="false">
      <c r="A1236" s="106" t="str">
        <f aca="false">IF(_PENDIENTES!$B$1230&lt;&gt;"",1229,"")</f>
        <v/>
      </c>
      <c r="B1236" s="47" t="str">
        <f aca="false">IF(_PENDIENTES!$B$1230&lt;&gt;"",_PENDIENTES!$A$1230,"")</f>
        <v/>
      </c>
      <c r="C1236" s="107" t="str">
        <f aca="false">IF(_PENDIENTES!$B$1230&lt;&gt;"",_PENDIENTES!$C$1230,"")</f>
        <v/>
      </c>
      <c r="D1236" s="106" t="str">
        <f aca="false">IF(_PENDIENTES!$B$1230&lt;&gt;"",_PENDIENTES!$D$1230,"")</f>
        <v/>
      </c>
      <c r="E1236" s="106" t="str">
        <f aca="false">IF(_PENDIENTES!$B$1230&lt;&gt;"",_PENDIENTES!$E$1230,"")</f>
        <v/>
      </c>
      <c r="F1236" s="106" t="str">
        <f aca="false">IF(_PENDIENTES!$B$1230&lt;&gt;"",_PENDIENTES!$F$1230,"")</f>
        <v/>
      </c>
      <c r="G1236" s="50" t="str">
        <f aca="false">IF(_PENDIENTES!$B$1230&lt;&gt;"",_PENDIENTES!$G$1230,"")</f>
        <v/>
      </c>
      <c r="H1236" s="50" t="str">
        <f aca="false">IF(_PENDIENTES!$B$1230&lt;&gt;"",_PENDIENTES!$H$1230,"")</f>
        <v/>
      </c>
      <c r="I1236" s="107" t="str">
        <f aca="false">IF(_PENDIENTES!$B$1230&lt;&gt;"",_PENDIENTES!$I$1230,"")</f>
        <v/>
      </c>
      <c r="J1236" s="106" t="str">
        <f aca="false">IF(_PENDIENTES!$B$1230&lt;&gt;"",_PENDIENTES!$J$1230,"")</f>
        <v/>
      </c>
      <c r="K1236" s="106" t="str">
        <f aca="false">IF(_PENDIENTES!$B$1230&lt;&gt;"","POR RECOGER","")</f>
        <v/>
      </c>
      <c r="L1236" s="106" t="str">
        <f aca="false">IF(_PENDIENTES!$B$1230&lt;&gt;"",_PENDIENTES!$K$1230,"")</f>
        <v/>
      </c>
      <c r="M1236" s="89" t="str">
        <f aca="false">IF(_PENDIENTES!$B$1230&lt;&gt;"",_PENDIENTES!$B$1230,"")</f>
        <v/>
      </c>
      <c r="N1236" s="109" t="str">
        <f aca="false">IF(_PENDIENTES!$B$1230&lt;&gt;"",_PENDIENTES!$L$1230,"")</f>
        <v/>
      </c>
      <c r="O1236" s="89"/>
    </row>
    <row r="1237" customFormat="false" ht="15.75" hidden="true" customHeight="true" outlineLevel="0" collapsed="false">
      <c r="A1237" s="46" t="str">
        <f aca="false">IF(_PENDIENTES!$B$1231&lt;&gt;"",1230,"")</f>
        <v/>
      </c>
      <c r="B1237" s="41" t="str">
        <f aca="false">IF(_PENDIENTES!$B$1231&lt;&gt;"",_PENDIENTES!$A$1231,"")</f>
        <v/>
      </c>
      <c r="C1237" s="110" t="str">
        <f aca="false">IF(_PENDIENTES!$B$1231&lt;&gt;"",_PENDIENTES!$C$1231,"")</f>
        <v/>
      </c>
      <c r="D1237" s="46" t="str">
        <f aca="false">IF(_PENDIENTES!$B$1231&lt;&gt;"",_PENDIENTES!$D$1231,"")</f>
        <v/>
      </c>
      <c r="E1237" s="46" t="str">
        <f aca="false">IF(_PENDIENTES!$B$1231&lt;&gt;"",_PENDIENTES!$E$1231,"")</f>
        <v/>
      </c>
      <c r="F1237" s="46" t="str">
        <f aca="false">IF(_PENDIENTES!$B$1231&lt;&gt;"",_PENDIENTES!$F$1231,"")</f>
        <v/>
      </c>
      <c r="G1237" s="44" t="str">
        <f aca="false">IF(_PENDIENTES!$B$1231&lt;&gt;"",_PENDIENTES!$G$1231,"")</f>
        <v/>
      </c>
      <c r="H1237" s="44" t="str">
        <f aca="false">IF(_PENDIENTES!$B$1231&lt;&gt;"",_PENDIENTES!$H$1231,"")</f>
        <v/>
      </c>
      <c r="I1237" s="110" t="str">
        <f aca="false">IF(_PENDIENTES!$B$1231&lt;&gt;"",_PENDIENTES!$I$1231,"")</f>
        <v/>
      </c>
      <c r="J1237" s="46" t="str">
        <f aca="false">IF(_PENDIENTES!$B$1231&lt;&gt;"",_PENDIENTES!$J$1231,"")</f>
        <v/>
      </c>
      <c r="K1237" s="46" t="str">
        <f aca="false">IF(_PENDIENTES!$B$1231&lt;&gt;"","POR RECOGER","")</f>
        <v/>
      </c>
      <c r="L1237" s="46" t="str">
        <f aca="false">IF(_PENDIENTES!$B$1231&lt;&gt;"",_PENDIENTES!$K$1231,"")</f>
        <v/>
      </c>
      <c r="M1237" s="89" t="str">
        <f aca="false">IF(_PENDIENTES!$B$1231&lt;&gt;"",_PENDIENTES!$B$1231,"")</f>
        <v/>
      </c>
      <c r="N1237" s="109" t="str">
        <f aca="false">IF(_PENDIENTES!$B$1231&lt;&gt;"",_PENDIENTES!$L$1231,"")</f>
        <v/>
      </c>
      <c r="O1237" s="89"/>
    </row>
    <row r="1238" customFormat="false" ht="15.75" hidden="true" customHeight="true" outlineLevel="0" collapsed="false">
      <c r="A1238" s="106" t="str">
        <f aca="false">IF(_PENDIENTES!$B$1232&lt;&gt;"",1231,"")</f>
        <v/>
      </c>
      <c r="B1238" s="47" t="str">
        <f aca="false">IF(_PENDIENTES!$B$1232&lt;&gt;"",_PENDIENTES!$A$1232,"")</f>
        <v/>
      </c>
      <c r="C1238" s="107" t="str">
        <f aca="false">IF(_PENDIENTES!$B$1232&lt;&gt;"",_PENDIENTES!$C$1232,"")</f>
        <v/>
      </c>
      <c r="D1238" s="106" t="str">
        <f aca="false">IF(_PENDIENTES!$B$1232&lt;&gt;"",_PENDIENTES!$D$1232,"")</f>
        <v/>
      </c>
      <c r="E1238" s="106" t="str">
        <f aca="false">IF(_PENDIENTES!$B$1232&lt;&gt;"",_PENDIENTES!$E$1232,"")</f>
        <v/>
      </c>
      <c r="F1238" s="106" t="str">
        <f aca="false">IF(_PENDIENTES!$B$1232&lt;&gt;"",_PENDIENTES!$F$1232,"")</f>
        <v/>
      </c>
      <c r="G1238" s="50" t="str">
        <f aca="false">IF(_PENDIENTES!$B$1232&lt;&gt;"",_PENDIENTES!$G$1232,"")</f>
        <v/>
      </c>
      <c r="H1238" s="50" t="str">
        <f aca="false">IF(_PENDIENTES!$B$1232&lt;&gt;"",_PENDIENTES!$H$1232,"")</f>
        <v/>
      </c>
      <c r="I1238" s="107" t="str">
        <f aca="false">IF(_PENDIENTES!$B$1232&lt;&gt;"",_PENDIENTES!$I$1232,"")</f>
        <v/>
      </c>
      <c r="J1238" s="106" t="str">
        <f aca="false">IF(_PENDIENTES!$B$1232&lt;&gt;"",_PENDIENTES!$J$1232,"")</f>
        <v/>
      </c>
      <c r="K1238" s="106" t="str">
        <f aca="false">IF(_PENDIENTES!$B$1232&lt;&gt;"","POR RECOGER","")</f>
        <v/>
      </c>
      <c r="L1238" s="106" t="str">
        <f aca="false">IF(_PENDIENTES!$B$1232&lt;&gt;"",_PENDIENTES!$K$1232,"")</f>
        <v/>
      </c>
      <c r="M1238" s="89" t="str">
        <f aca="false">IF(_PENDIENTES!$B$1232&lt;&gt;"",_PENDIENTES!$B$1232,"")</f>
        <v/>
      </c>
      <c r="N1238" s="109" t="str">
        <f aca="false">IF(_PENDIENTES!$B$1232&lt;&gt;"",_PENDIENTES!$L$1232,"")</f>
        <v/>
      </c>
      <c r="O1238" s="89"/>
    </row>
    <row r="1239" customFormat="false" ht="15.75" hidden="true" customHeight="true" outlineLevel="0" collapsed="false">
      <c r="A1239" s="46" t="str">
        <f aca="false">IF(_PENDIENTES!$B$1233&lt;&gt;"",1232,"")</f>
        <v/>
      </c>
      <c r="B1239" s="41" t="str">
        <f aca="false">IF(_PENDIENTES!$B$1233&lt;&gt;"",_PENDIENTES!$A$1233,"")</f>
        <v/>
      </c>
      <c r="C1239" s="110" t="str">
        <f aca="false">IF(_PENDIENTES!$B$1233&lt;&gt;"",_PENDIENTES!$C$1233,"")</f>
        <v/>
      </c>
      <c r="D1239" s="46" t="str">
        <f aca="false">IF(_PENDIENTES!$B$1233&lt;&gt;"",_PENDIENTES!$D$1233,"")</f>
        <v/>
      </c>
      <c r="E1239" s="46" t="str">
        <f aca="false">IF(_PENDIENTES!$B$1233&lt;&gt;"",_PENDIENTES!$E$1233,"")</f>
        <v/>
      </c>
      <c r="F1239" s="46" t="str">
        <f aca="false">IF(_PENDIENTES!$B$1233&lt;&gt;"",_PENDIENTES!$F$1233,"")</f>
        <v/>
      </c>
      <c r="G1239" s="44" t="str">
        <f aca="false">IF(_PENDIENTES!$B$1233&lt;&gt;"",_PENDIENTES!$G$1233,"")</f>
        <v/>
      </c>
      <c r="H1239" s="44" t="str">
        <f aca="false">IF(_PENDIENTES!$B$1233&lt;&gt;"",_PENDIENTES!$H$1233,"")</f>
        <v/>
      </c>
      <c r="I1239" s="110" t="str">
        <f aca="false">IF(_PENDIENTES!$B$1233&lt;&gt;"",_PENDIENTES!$I$1233,"")</f>
        <v/>
      </c>
      <c r="J1239" s="46" t="str">
        <f aca="false">IF(_PENDIENTES!$B$1233&lt;&gt;"",_PENDIENTES!$J$1233,"")</f>
        <v/>
      </c>
      <c r="K1239" s="46" t="str">
        <f aca="false">IF(_PENDIENTES!$B$1233&lt;&gt;"","POR RECOGER","")</f>
        <v/>
      </c>
      <c r="L1239" s="46" t="str">
        <f aca="false">IF(_PENDIENTES!$B$1233&lt;&gt;"",_PENDIENTES!$K$1233,"")</f>
        <v/>
      </c>
      <c r="M1239" s="89" t="str">
        <f aca="false">IF(_PENDIENTES!$B$1233&lt;&gt;"",_PENDIENTES!$B$1233,"")</f>
        <v/>
      </c>
      <c r="N1239" s="109" t="str">
        <f aca="false">IF(_PENDIENTES!$B$1233&lt;&gt;"",_PENDIENTES!$L$1233,"")</f>
        <v/>
      </c>
      <c r="O1239" s="89"/>
    </row>
    <row r="1240" customFormat="false" ht="15.75" hidden="true" customHeight="true" outlineLevel="0" collapsed="false">
      <c r="A1240" s="106" t="str">
        <f aca="false">IF(_PENDIENTES!$B$1234&lt;&gt;"",1233,"")</f>
        <v/>
      </c>
      <c r="B1240" s="47" t="str">
        <f aca="false">IF(_PENDIENTES!$B$1234&lt;&gt;"",_PENDIENTES!$A$1234,"")</f>
        <v/>
      </c>
      <c r="C1240" s="107" t="str">
        <f aca="false">IF(_PENDIENTES!$B$1234&lt;&gt;"",_PENDIENTES!$C$1234,"")</f>
        <v/>
      </c>
      <c r="D1240" s="106" t="str">
        <f aca="false">IF(_PENDIENTES!$B$1234&lt;&gt;"",_PENDIENTES!$D$1234,"")</f>
        <v/>
      </c>
      <c r="E1240" s="106" t="str">
        <f aca="false">IF(_PENDIENTES!$B$1234&lt;&gt;"",_PENDIENTES!$E$1234,"")</f>
        <v/>
      </c>
      <c r="F1240" s="106" t="str">
        <f aca="false">IF(_PENDIENTES!$B$1234&lt;&gt;"",_PENDIENTES!$F$1234,"")</f>
        <v/>
      </c>
      <c r="G1240" s="50" t="str">
        <f aca="false">IF(_PENDIENTES!$B$1234&lt;&gt;"",_PENDIENTES!$G$1234,"")</f>
        <v/>
      </c>
      <c r="H1240" s="50" t="str">
        <f aca="false">IF(_PENDIENTES!$B$1234&lt;&gt;"",_PENDIENTES!$H$1234,"")</f>
        <v/>
      </c>
      <c r="I1240" s="107" t="str">
        <f aca="false">IF(_PENDIENTES!$B$1234&lt;&gt;"",_PENDIENTES!$I$1234,"")</f>
        <v/>
      </c>
      <c r="J1240" s="106" t="str">
        <f aca="false">IF(_PENDIENTES!$B$1234&lt;&gt;"",_PENDIENTES!$J$1234,"")</f>
        <v/>
      </c>
      <c r="K1240" s="106" t="str">
        <f aca="false">IF(_PENDIENTES!$B$1234&lt;&gt;"","POR RECOGER","")</f>
        <v/>
      </c>
      <c r="L1240" s="106" t="str">
        <f aca="false">IF(_PENDIENTES!$B$1234&lt;&gt;"",_PENDIENTES!$K$1234,"")</f>
        <v/>
      </c>
      <c r="M1240" s="89" t="str">
        <f aca="false">IF(_PENDIENTES!$B$1234&lt;&gt;"",_PENDIENTES!$B$1234,"")</f>
        <v/>
      </c>
      <c r="N1240" s="109" t="str">
        <f aca="false">IF(_PENDIENTES!$B$1234&lt;&gt;"",_PENDIENTES!$L$1234,"")</f>
        <v/>
      </c>
      <c r="O1240" s="89"/>
    </row>
    <row r="1241" customFormat="false" ht="15.75" hidden="true" customHeight="true" outlineLevel="0" collapsed="false">
      <c r="A1241" s="46" t="str">
        <f aca="false">IF(_PENDIENTES!$B$1235&lt;&gt;"",1234,"")</f>
        <v/>
      </c>
      <c r="B1241" s="41" t="str">
        <f aca="false">IF(_PENDIENTES!$B$1235&lt;&gt;"",_PENDIENTES!$A$1235,"")</f>
        <v/>
      </c>
      <c r="C1241" s="110" t="str">
        <f aca="false">IF(_PENDIENTES!$B$1235&lt;&gt;"",_PENDIENTES!$C$1235,"")</f>
        <v/>
      </c>
      <c r="D1241" s="46" t="str">
        <f aca="false">IF(_PENDIENTES!$B$1235&lt;&gt;"",_PENDIENTES!$D$1235,"")</f>
        <v/>
      </c>
      <c r="E1241" s="46" t="str">
        <f aca="false">IF(_PENDIENTES!$B$1235&lt;&gt;"",_PENDIENTES!$E$1235,"")</f>
        <v/>
      </c>
      <c r="F1241" s="46" t="str">
        <f aca="false">IF(_PENDIENTES!$B$1235&lt;&gt;"",_PENDIENTES!$F$1235,"")</f>
        <v/>
      </c>
      <c r="G1241" s="44" t="str">
        <f aca="false">IF(_PENDIENTES!$B$1235&lt;&gt;"",_PENDIENTES!$G$1235,"")</f>
        <v/>
      </c>
      <c r="H1241" s="44" t="str">
        <f aca="false">IF(_PENDIENTES!$B$1235&lt;&gt;"",_PENDIENTES!$H$1235,"")</f>
        <v/>
      </c>
      <c r="I1241" s="110" t="str">
        <f aca="false">IF(_PENDIENTES!$B$1235&lt;&gt;"",_PENDIENTES!$I$1235,"")</f>
        <v/>
      </c>
      <c r="J1241" s="46" t="str">
        <f aca="false">IF(_PENDIENTES!$B$1235&lt;&gt;"",_PENDIENTES!$J$1235,"")</f>
        <v/>
      </c>
      <c r="K1241" s="46" t="str">
        <f aca="false">IF(_PENDIENTES!$B$1235&lt;&gt;"","POR RECOGER","")</f>
        <v/>
      </c>
      <c r="L1241" s="46" t="str">
        <f aca="false">IF(_PENDIENTES!$B$1235&lt;&gt;"",_PENDIENTES!$K$1235,"")</f>
        <v/>
      </c>
      <c r="M1241" s="89" t="str">
        <f aca="false">IF(_PENDIENTES!$B$1235&lt;&gt;"",_PENDIENTES!$B$1235,"")</f>
        <v/>
      </c>
      <c r="N1241" s="109" t="str">
        <f aca="false">IF(_PENDIENTES!$B$1235&lt;&gt;"",_PENDIENTES!$L$1235,"")</f>
        <v/>
      </c>
      <c r="O1241" s="89"/>
    </row>
    <row r="1242" customFormat="false" ht="15.75" hidden="true" customHeight="true" outlineLevel="0" collapsed="false">
      <c r="A1242" s="106" t="str">
        <f aca="false">IF(_PENDIENTES!$B$1236&lt;&gt;"",1235,"")</f>
        <v/>
      </c>
      <c r="B1242" s="47" t="str">
        <f aca="false">IF(_PENDIENTES!$B$1236&lt;&gt;"",_PENDIENTES!$A$1236,"")</f>
        <v/>
      </c>
      <c r="C1242" s="107" t="str">
        <f aca="false">IF(_PENDIENTES!$B$1236&lt;&gt;"",_PENDIENTES!$C$1236,"")</f>
        <v/>
      </c>
      <c r="D1242" s="106" t="str">
        <f aca="false">IF(_PENDIENTES!$B$1236&lt;&gt;"",_PENDIENTES!$D$1236,"")</f>
        <v/>
      </c>
      <c r="E1242" s="106" t="str">
        <f aca="false">IF(_PENDIENTES!$B$1236&lt;&gt;"",_PENDIENTES!$E$1236,"")</f>
        <v/>
      </c>
      <c r="F1242" s="106" t="str">
        <f aca="false">IF(_PENDIENTES!$B$1236&lt;&gt;"",_PENDIENTES!$F$1236,"")</f>
        <v/>
      </c>
      <c r="G1242" s="50" t="str">
        <f aca="false">IF(_PENDIENTES!$B$1236&lt;&gt;"",_PENDIENTES!$G$1236,"")</f>
        <v/>
      </c>
      <c r="H1242" s="50" t="str">
        <f aca="false">IF(_PENDIENTES!$B$1236&lt;&gt;"",_PENDIENTES!$H$1236,"")</f>
        <v/>
      </c>
      <c r="I1242" s="107" t="str">
        <f aca="false">IF(_PENDIENTES!$B$1236&lt;&gt;"",_PENDIENTES!$I$1236,"")</f>
        <v/>
      </c>
      <c r="J1242" s="106" t="str">
        <f aca="false">IF(_PENDIENTES!$B$1236&lt;&gt;"",_PENDIENTES!$J$1236,"")</f>
        <v/>
      </c>
      <c r="K1242" s="106" t="str">
        <f aca="false">IF(_PENDIENTES!$B$1236&lt;&gt;"","POR RECOGER","")</f>
        <v/>
      </c>
      <c r="L1242" s="106" t="str">
        <f aca="false">IF(_PENDIENTES!$B$1236&lt;&gt;"",_PENDIENTES!$K$1236,"")</f>
        <v/>
      </c>
      <c r="M1242" s="89" t="str">
        <f aca="false">IF(_PENDIENTES!$B$1236&lt;&gt;"",_PENDIENTES!$B$1236,"")</f>
        <v/>
      </c>
      <c r="N1242" s="109" t="str">
        <f aca="false">IF(_PENDIENTES!$B$1236&lt;&gt;"",_PENDIENTES!$L$1236,"")</f>
        <v/>
      </c>
      <c r="O1242" s="89"/>
    </row>
    <row r="1243" customFormat="false" ht="15.75" hidden="true" customHeight="true" outlineLevel="0" collapsed="false">
      <c r="A1243" s="46" t="str">
        <f aca="false">IF(_PENDIENTES!$B$1237&lt;&gt;"",1236,"")</f>
        <v/>
      </c>
      <c r="B1243" s="41" t="str">
        <f aca="false">IF(_PENDIENTES!$B$1237&lt;&gt;"",_PENDIENTES!$A$1237,"")</f>
        <v/>
      </c>
      <c r="C1243" s="110" t="str">
        <f aca="false">IF(_PENDIENTES!$B$1237&lt;&gt;"",_PENDIENTES!$C$1237,"")</f>
        <v/>
      </c>
      <c r="D1243" s="46" t="str">
        <f aca="false">IF(_PENDIENTES!$B$1237&lt;&gt;"",_PENDIENTES!$D$1237,"")</f>
        <v/>
      </c>
      <c r="E1243" s="46" t="str">
        <f aca="false">IF(_PENDIENTES!$B$1237&lt;&gt;"",_PENDIENTES!$E$1237,"")</f>
        <v/>
      </c>
      <c r="F1243" s="46" t="str">
        <f aca="false">IF(_PENDIENTES!$B$1237&lt;&gt;"",_PENDIENTES!$F$1237,"")</f>
        <v/>
      </c>
      <c r="G1243" s="44" t="str">
        <f aca="false">IF(_PENDIENTES!$B$1237&lt;&gt;"",_PENDIENTES!$G$1237,"")</f>
        <v/>
      </c>
      <c r="H1243" s="44" t="str">
        <f aca="false">IF(_PENDIENTES!$B$1237&lt;&gt;"",_PENDIENTES!$H$1237,"")</f>
        <v/>
      </c>
      <c r="I1243" s="110" t="str">
        <f aca="false">IF(_PENDIENTES!$B$1237&lt;&gt;"",_PENDIENTES!$I$1237,"")</f>
        <v/>
      </c>
      <c r="J1243" s="46" t="str">
        <f aca="false">IF(_PENDIENTES!$B$1237&lt;&gt;"",_PENDIENTES!$J$1237,"")</f>
        <v/>
      </c>
      <c r="K1243" s="46" t="str">
        <f aca="false">IF(_PENDIENTES!$B$1237&lt;&gt;"","POR RECOGER","")</f>
        <v/>
      </c>
      <c r="L1243" s="46" t="str">
        <f aca="false">IF(_PENDIENTES!$B$1237&lt;&gt;"",_PENDIENTES!$K$1237,"")</f>
        <v/>
      </c>
      <c r="M1243" s="89" t="str">
        <f aca="false">IF(_PENDIENTES!$B$1237&lt;&gt;"",_PENDIENTES!$B$1237,"")</f>
        <v/>
      </c>
      <c r="N1243" s="109" t="str">
        <f aca="false">IF(_PENDIENTES!$B$1237&lt;&gt;"",_PENDIENTES!$L$1237,"")</f>
        <v/>
      </c>
      <c r="O1243" s="89"/>
    </row>
    <row r="1244" customFormat="false" ht="15.75" hidden="true" customHeight="true" outlineLevel="0" collapsed="false">
      <c r="A1244" s="106" t="str">
        <f aca="false">IF(_PENDIENTES!$B$1238&lt;&gt;"",1237,"")</f>
        <v/>
      </c>
      <c r="B1244" s="47" t="str">
        <f aca="false">IF(_PENDIENTES!$B$1238&lt;&gt;"",_PENDIENTES!$A$1238,"")</f>
        <v/>
      </c>
      <c r="C1244" s="107" t="str">
        <f aca="false">IF(_PENDIENTES!$B$1238&lt;&gt;"",_PENDIENTES!$C$1238,"")</f>
        <v/>
      </c>
      <c r="D1244" s="106" t="str">
        <f aca="false">IF(_PENDIENTES!$B$1238&lt;&gt;"",_PENDIENTES!$D$1238,"")</f>
        <v/>
      </c>
      <c r="E1244" s="106" t="str">
        <f aca="false">IF(_PENDIENTES!$B$1238&lt;&gt;"",_PENDIENTES!$E$1238,"")</f>
        <v/>
      </c>
      <c r="F1244" s="106" t="str">
        <f aca="false">IF(_PENDIENTES!$B$1238&lt;&gt;"",_PENDIENTES!$F$1238,"")</f>
        <v/>
      </c>
      <c r="G1244" s="50" t="str">
        <f aca="false">IF(_PENDIENTES!$B$1238&lt;&gt;"",_PENDIENTES!$G$1238,"")</f>
        <v/>
      </c>
      <c r="H1244" s="50" t="str">
        <f aca="false">IF(_PENDIENTES!$B$1238&lt;&gt;"",_PENDIENTES!$H$1238,"")</f>
        <v/>
      </c>
      <c r="I1244" s="107" t="str">
        <f aca="false">IF(_PENDIENTES!$B$1238&lt;&gt;"",_PENDIENTES!$I$1238,"")</f>
        <v/>
      </c>
      <c r="J1244" s="106" t="str">
        <f aca="false">IF(_PENDIENTES!$B$1238&lt;&gt;"",_PENDIENTES!$J$1238,"")</f>
        <v/>
      </c>
      <c r="K1244" s="106" t="str">
        <f aca="false">IF(_PENDIENTES!$B$1238&lt;&gt;"","POR RECOGER","")</f>
        <v/>
      </c>
      <c r="L1244" s="106" t="str">
        <f aca="false">IF(_PENDIENTES!$B$1238&lt;&gt;"",_PENDIENTES!$K$1238,"")</f>
        <v/>
      </c>
      <c r="M1244" s="89" t="str">
        <f aca="false">IF(_PENDIENTES!$B$1238&lt;&gt;"",_PENDIENTES!$B$1238,"")</f>
        <v/>
      </c>
      <c r="N1244" s="109" t="str">
        <f aca="false">IF(_PENDIENTES!$B$1238&lt;&gt;"",_PENDIENTES!$L$1238,"")</f>
        <v/>
      </c>
      <c r="O1244" s="89"/>
    </row>
    <row r="1245" customFormat="false" ht="15.75" hidden="true" customHeight="true" outlineLevel="0" collapsed="false">
      <c r="A1245" s="46" t="str">
        <f aca="false">IF(_PENDIENTES!$B$1239&lt;&gt;"",1238,"")</f>
        <v/>
      </c>
      <c r="B1245" s="41" t="str">
        <f aca="false">IF(_PENDIENTES!$B$1239&lt;&gt;"",_PENDIENTES!$A$1239,"")</f>
        <v/>
      </c>
      <c r="C1245" s="110" t="str">
        <f aca="false">IF(_PENDIENTES!$B$1239&lt;&gt;"",_PENDIENTES!$C$1239,"")</f>
        <v/>
      </c>
      <c r="D1245" s="46" t="str">
        <f aca="false">IF(_PENDIENTES!$B$1239&lt;&gt;"",_PENDIENTES!$D$1239,"")</f>
        <v/>
      </c>
      <c r="E1245" s="46" t="str">
        <f aca="false">IF(_PENDIENTES!$B$1239&lt;&gt;"",_PENDIENTES!$E$1239,"")</f>
        <v/>
      </c>
      <c r="F1245" s="46" t="str">
        <f aca="false">IF(_PENDIENTES!$B$1239&lt;&gt;"",_PENDIENTES!$F$1239,"")</f>
        <v/>
      </c>
      <c r="G1245" s="44" t="str">
        <f aca="false">IF(_PENDIENTES!$B$1239&lt;&gt;"",_PENDIENTES!$G$1239,"")</f>
        <v/>
      </c>
      <c r="H1245" s="44" t="str">
        <f aca="false">IF(_PENDIENTES!$B$1239&lt;&gt;"",_PENDIENTES!$H$1239,"")</f>
        <v/>
      </c>
      <c r="I1245" s="110" t="str">
        <f aca="false">IF(_PENDIENTES!$B$1239&lt;&gt;"",_PENDIENTES!$I$1239,"")</f>
        <v/>
      </c>
      <c r="J1245" s="46" t="str">
        <f aca="false">IF(_PENDIENTES!$B$1239&lt;&gt;"",_PENDIENTES!$J$1239,"")</f>
        <v/>
      </c>
      <c r="K1245" s="46" t="str">
        <f aca="false">IF(_PENDIENTES!$B$1239&lt;&gt;"","POR RECOGER","")</f>
        <v/>
      </c>
      <c r="L1245" s="46" t="str">
        <f aca="false">IF(_PENDIENTES!$B$1239&lt;&gt;"",_PENDIENTES!$K$1239,"")</f>
        <v/>
      </c>
      <c r="M1245" s="89" t="str">
        <f aca="false">IF(_PENDIENTES!$B$1239&lt;&gt;"",_PENDIENTES!$B$1239,"")</f>
        <v/>
      </c>
      <c r="N1245" s="109" t="str">
        <f aca="false">IF(_PENDIENTES!$B$1239&lt;&gt;"",_PENDIENTES!$L$1239,"")</f>
        <v/>
      </c>
      <c r="O1245" s="89"/>
    </row>
    <row r="1246" customFormat="false" ht="15.75" hidden="true" customHeight="true" outlineLevel="0" collapsed="false">
      <c r="A1246" s="106" t="str">
        <f aca="false">IF(_PENDIENTES!$B$1240&lt;&gt;"",1239,"")</f>
        <v/>
      </c>
      <c r="B1246" s="47" t="str">
        <f aca="false">IF(_PENDIENTES!$B$1240&lt;&gt;"",_PENDIENTES!$A$1240,"")</f>
        <v/>
      </c>
      <c r="C1246" s="107" t="str">
        <f aca="false">IF(_PENDIENTES!$B$1240&lt;&gt;"",_PENDIENTES!$C$1240,"")</f>
        <v/>
      </c>
      <c r="D1246" s="106" t="str">
        <f aca="false">IF(_PENDIENTES!$B$1240&lt;&gt;"",_PENDIENTES!$D$1240,"")</f>
        <v/>
      </c>
      <c r="E1246" s="106" t="str">
        <f aca="false">IF(_PENDIENTES!$B$1240&lt;&gt;"",_PENDIENTES!$E$1240,"")</f>
        <v/>
      </c>
      <c r="F1246" s="106" t="str">
        <f aca="false">IF(_PENDIENTES!$B$1240&lt;&gt;"",_PENDIENTES!$F$1240,"")</f>
        <v/>
      </c>
      <c r="G1246" s="50" t="str">
        <f aca="false">IF(_PENDIENTES!$B$1240&lt;&gt;"",_PENDIENTES!$G$1240,"")</f>
        <v/>
      </c>
      <c r="H1246" s="50" t="str">
        <f aca="false">IF(_PENDIENTES!$B$1240&lt;&gt;"",_PENDIENTES!$H$1240,"")</f>
        <v/>
      </c>
      <c r="I1246" s="107" t="str">
        <f aca="false">IF(_PENDIENTES!$B$1240&lt;&gt;"",_PENDIENTES!$I$1240,"")</f>
        <v/>
      </c>
      <c r="J1246" s="106" t="str">
        <f aca="false">IF(_PENDIENTES!$B$1240&lt;&gt;"",_PENDIENTES!$J$1240,"")</f>
        <v/>
      </c>
      <c r="K1246" s="106" t="str">
        <f aca="false">IF(_PENDIENTES!$B$1240&lt;&gt;"","POR RECOGER","")</f>
        <v/>
      </c>
      <c r="L1246" s="106" t="str">
        <f aca="false">IF(_PENDIENTES!$B$1240&lt;&gt;"",_PENDIENTES!$K$1240,"")</f>
        <v/>
      </c>
      <c r="M1246" s="89" t="str">
        <f aca="false">IF(_PENDIENTES!$B$1240&lt;&gt;"",_PENDIENTES!$B$1240,"")</f>
        <v/>
      </c>
      <c r="N1246" s="109" t="str">
        <f aca="false">IF(_PENDIENTES!$B$1240&lt;&gt;"",_PENDIENTES!$L$1240,"")</f>
        <v/>
      </c>
      <c r="O1246" s="89"/>
    </row>
    <row r="1247" customFormat="false" ht="15.75" hidden="true" customHeight="true" outlineLevel="0" collapsed="false">
      <c r="A1247" s="46" t="str">
        <f aca="false">IF(_PENDIENTES!$B$1241&lt;&gt;"",1240,"")</f>
        <v/>
      </c>
      <c r="B1247" s="41" t="str">
        <f aca="false">IF(_PENDIENTES!$B$1241&lt;&gt;"",_PENDIENTES!$A$1241,"")</f>
        <v/>
      </c>
      <c r="C1247" s="110" t="str">
        <f aca="false">IF(_PENDIENTES!$B$1241&lt;&gt;"",_PENDIENTES!$C$1241,"")</f>
        <v/>
      </c>
      <c r="D1247" s="46" t="str">
        <f aca="false">IF(_PENDIENTES!$B$1241&lt;&gt;"",_PENDIENTES!$D$1241,"")</f>
        <v/>
      </c>
      <c r="E1247" s="46" t="str">
        <f aca="false">IF(_PENDIENTES!$B$1241&lt;&gt;"",_PENDIENTES!$E$1241,"")</f>
        <v/>
      </c>
      <c r="F1247" s="46" t="str">
        <f aca="false">IF(_PENDIENTES!$B$1241&lt;&gt;"",_PENDIENTES!$F$1241,"")</f>
        <v/>
      </c>
      <c r="G1247" s="44" t="str">
        <f aca="false">IF(_PENDIENTES!$B$1241&lt;&gt;"",_PENDIENTES!$G$1241,"")</f>
        <v/>
      </c>
      <c r="H1247" s="44" t="str">
        <f aca="false">IF(_PENDIENTES!$B$1241&lt;&gt;"",_PENDIENTES!$H$1241,"")</f>
        <v/>
      </c>
      <c r="I1247" s="110" t="str">
        <f aca="false">IF(_PENDIENTES!$B$1241&lt;&gt;"",_PENDIENTES!$I$1241,"")</f>
        <v/>
      </c>
      <c r="J1247" s="46" t="str">
        <f aca="false">IF(_PENDIENTES!$B$1241&lt;&gt;"",_PENDIENTES!$J$1241,"")</f>
        <v/>
      </c>
      <c r="K1247" s="46" t="str">
        <f aca="false">IF(_PENDIENTES!$B$1241&lt;&gt;"","POR RECOGER","")</f>
        <v/>
      </c>
      <c r="L1247" s="46" t="str">
        <f aca="false">IF(_PENDIENTES!$B$1241&lt;&gt;"",_PENDIENTES!$K$1241,"")</f>
        <v/>
      </c>
      <c r="M1247" s="89" t="str">
        <f aca="false">IF(_PENDIENTES!$B$1241&lt;&gt;"",_PENDIENTES!$B$1241,"")</f>
        <v/>
      </c>
      <c r="N1247" s="109" t="str">
        <f aca="false">IF(_PENDIENTES!$B$1241&lt;&gt;"",_PENDIENTES!$L$1241,"")</f>
        <v/>
      </c>
      <c r="O1247" s="89"/>
    </row>
    <row r="1248" customFormat="false" ht="15.75" hidden="true" customHeight="true" outlineLevel="0" collapsed="false">
      <c r="A1248" s="106" t="str">
        <f aca="false">IF(_PENDIENTES!$B$1242&lt;&gt;"",1241,"")</f>
        <v/>
      </c>
      <c r="B1248" s="47" t="str">
        <f aca="false">IF(_PENDIENTES!$B$1242&lt;&gt;"",_PENDIENTES!$A$1242,"")</f>
        <v/>
      </c>
      <c r="C1248" s="107" t="str">
        <f aca="false">IF(_PENDIENTES!$B$1242&lt;&gt;"",_PENDIENTES!$C$1242,"")</f>
        <v/>
      </c>
      <c r="D1248" s="106" t="str">
        <f aca="false">IF(_PENDIENTES!$B$1242&lt;&gt;"",_PENDIENTES!$D$1242,"")</f>
        <v/>
      </c>
      <c r="E1248" s="106" t="str">
        <f aca="false">IF(_PENDIENTES!$B$1242&lt;&gt;"",_PENDIENTES!$E$1242,"")</f>
        <v/>
      </c>
      <c r="F1248" s="106" t="str">
        <f aca="false">IF(_PENDIENTES!$B$1242&lt;&gt;"",_PENDIENTES!$F$1242,"")</f>
        <v/>
      </c>
      <c r="G1248" s="50" t="str">
        <f aca="false">IF(_PENDIENTES!$B$1242&lt;&gt;"",_PENDIENTES!$G$1242,"")</f>
        <v/>
      </c>
      <c r="H1248" s="50" t="str">
        <f aca="false">IF(_PENDIENTES!$B$1242&lt;&gt;"",_PENDIENTES!$H$1242,"")</f>
        <v/>
      </c>
      <c r="I1248" s="107" t="str">
        <f aca="false">IF(_PENDIENTES!$B$1242&lt;&gt;"",_PENDIENTES!$I$1242,"")</f>
        <v/>
      </c>
      <c r="J1248" s="106" t="str">
        <f aca="false">IF(_PENDIENTES!$B$1242&lt;&gt;"",_PENDIENTES!$J$1242,"")</f>
        <v/>
      </c>
      <c r="K1248" s="106" t="str">
        <f aca="false">IF(_PENDIENTES!$B$1242&lt;&gt;"","POR RECOGER","")</f>
        <v/>
      </c>
      <c r="L1248" s="106" t="str">
        <f aca="false">IF(_PENDIENTES!$B$1242&lt;&gt;"",_PENDIENTES!$K$1242,"")</f>
        <v/>
      </c>
      <c r="M1248" s="89" t="str">
        <f aca="false">IF(_PENDIENTES!$B$1242&lt;&gt;"",_PENDIENTES!$B$1242,"")</f>
        <v/>
      </c>
      <c r="N1248" s="109" t="str">
        <f aca="false">IF(_PENDIENTES!$B$1242&lt;&gt;"",_PENDIENTES!$L$1242,"")</f>
        <v/>
      </c>
      <c r="O1248" s="89"/>
    </row>
    <row r="1249" customFormat="false" ht="15.75" hidden="true" customHeight="true" outlineLevel="0" collapsed="false">
      <c r="A1249" s="46" t="str">
        <f aca="false">IF(_PENDIENTES!$B$1243&lt;&gt;"",1242,"")</f>
        <v/>
      </c>
      <c r="B1249" s="41" t="str">
        <f aca="false">IF(_PENDIENTES!$B$1243&lt;&gt;"",_PENDIENTES!$A$1243,"")</f>
        <v/>
      </c>
      <c r="C1249" s="110" t="str">
        <f aca="false">IF(_PENDIENTES!$B$1243&lt;&gt;"",_PENDIENTES!$C$1243,"")</f>
        <v/>
      </c>
      <c r="D1249" s="46" t="str">
        <f aca="false">IF(_PENDIENTES!$B$1243&lt;&gt;"",_PENDIENTES!$D$1243,"")</f>
        <v/>
      </c>
      <c r="E1249" s="46" t="str">
        <f aca="false">IF(_PENDIENTES!$B$1243&lt;&gt;"",_PENDIENTES!$E$1243,"")</f>
        <v/>
      </c>
      <c r="F1249" s="46" t="str">
        <f aca="false">IF(_PENDIENTES!$B$1243&lt;&gt;"",_PENDIENTES!$F$1243,"")</f>
        <v/>
      </c>
      <c r="G1249" s="44" t="str">
        <f aca="false">IF(_PENDIENTES!$B$1243&lt;&gt;"",_PENDIENTES!$G$1243,"")</f>
        <v/>
      </c>
      <c r="H1249" s="44" t="str">
        <f aca="false">IF(_PENDIENTES!$B$1243&lt;&gt;"",_PENDIENTES!$H$1243,"")</f>
        <v/>
      </c>
      <c r="I1249" s="110" t="str">
        <f aca="false">IF(_PENDIENTES!$B$1243&lt;&gt;"",_PENDIENTES!$I$1243,"")</f>
        <v/>
      </c>
      <c r="J1249" s="46" t="str">
        <f aca="false">IF(_PENDIENTES!$B$1243&lt;&gt;"",_PENDIENTES!$J$1243,"")</f>
        <v/>
      </c>
      <c r="K1249" s="46" t="str">
        <f aca="false">IF(_PENDIENTES!$B$1243&lt;&gt;"","POR RECOGER","")</f>
        <v/>
      </c>
      <c r="L1249" s="46" t="str">
        <f aca="false">IF(_PENDIENTES!$B$1243&lt;&gt;"",_PENDIENTES!$K$1243,"")</f>
        <v/>
      </c>
      <c r="M1249" s="89" t="str">
        <f aca="false">IF(_PENDIENTES!$B$1243&lt;&gt;"",_PENDIENTES!$B$1243,"")</f>
        <v/>
      </c>
      <c r="N1249" s="109" t="str">
        <f aca="false">IF(_PENDIENTES!$B$1243&lt;&gt;"",_PENDIENTES!$L$1243,"")</f>
        <v/>
      </c>
      <c r="O1249" s="89"/>
    </row>
    <row r="1250" customFormat="false" ht="15.75" hidden="true" customHeight="true" outlineLevel="0" collapsed="false">
      <c r="A1250" s="106" t="str">
        <f aca="false">IF(_PENDIENTES!$B$1244&lt;&gt;"",1243,"")</f>
        <v/>
      </c>
      <c r="B1250" s="47" t="str">
        <f aca="false">IF(_PENDIENTES!$B$1244&lt;&gt;"",_PENDIENTES!$A$1244,"")</f>
        <v/>
      </c>
      <c r="C1250" s="107" t="str">
        <f aca="false">IF(_PENDIENTES!$B$1244&lt;&gt;"",_PENDIENTES!$C$1244,"")</f>
        <v/>
      </c>
      <c r="D1250" s="106" t="str">
        <f aca="false">IF(_PENDIENTES!$B$1244&lt;&gt;"",_PENDIENTES!$D$1244,"")</f>
        <v/>
      </c>
      <c r="E1250" s="106" t="str">
        <f aca="false">IF(_PENDIENTES!$B$1244&lt;&gt;"",_PENDIENTES!$E$1244,"")</f>
        <v/>
      </c>
      <c r="F1250" s="106" t="str">
        <f aca="false">IF(_PENDIENTES!$B$1244&lt;&gt;"",_PENDIENTES!$F$1244,"")</f>
        <v/>
      </c>
      <c r="G1250" s="50" t="str">
        <f aca="false">IF(_PENDIENTES!$B$1244&lt;&gt;"",_PENDIENTES!$G$1244,"")</f>
        <v/>
      </c>
      <c r="H1250" s="50" t="str">
        <f aca="false">IF(_PENDIENTES!$B$1244&lt;&gt;"",_PENDIENTES!$H$1244,"")</f>
        <v/>
      </c>
      <c r="I1250" s="107" t="str">
        <f aca="false">IF(_PENDIENTES!$B$1244&lt;&gt;"",_PENDIENTES!$I$1244,"")</f>
        <v/>
      </c>
      <c r="J1250" s="106" t="str">
        <f aca="false">IF(_PENDIENTES!$B$1244&lt;&gt;"",_PENDIENTES!$J$1244,"")</f>
        <v/>
      </c>
      <c r="K1250" s="106" t="str">
        <f aca="false">IF(_PENDIENTES!$B$1244&lt;&gt;"","POR RECOGER","")</f>
        <v/>
      </c>
      <c r="L1250" s="106" t="str">
        <f aca="false">IF(_PENDIENTES!$B$1244&lt;&gt;"",_PENDIENTES!$K$1244,"")</f>
        <v/>
      </c>
      <c r="M1250" s="89" t="str">
        <f aca="false">IF(_PENDIENTES!$B$1244&lt;&gt;"",_PENDIENTES!$B$1244,"")</f>
        <v/>
      </c>
      <c r="N1250" s="109" t="str">
        <f aca="false">IF(_PENDIENTES!$B$1244&lt;&gt;"",_PENDIENTES!$L$1244,"")</f>
        <v/>
      </c>
      <c r="O1250" s="89"/>
    </row>
    <row r="1251" customFormat="false" ht="15.75" hidden="true" customHeight="true" outlineLevel="0" collapsed="false">
      <c r="A1251" s="46" t="str">
        <f aca="false">IF(_PENDIENTES!$B$1245&lt;&gt;"",1244,"")</f>
        <v/>
      </c>
      <c r="B1251" s="41" t="str">
        <f aca="false">IF(_PENDIENTES!$B$1245&lt;&gt;"",_PENDIENTES!$A$1245,"")</f>
        <v/>
      </c>
      <c r="C1251" s="110" t="str">
        <f aca="false">IF(_PENDIENTES!$B$1245&lt;&gt;"",_PENDIENTES!$C$1245,"")</f>
        <v/>
      </c>
      <c r="D1251" s="46" t="str">
        <f aca="false">IF(_PENDIENTES!$B$1245&lt;&gt;"",_PENDIENTES!$D$1245,"")</f>
        <v/>
      </c>
      <c r="E1251" s="46" t="str">
        <f aca="false">IF(_PENDIENTES!$B$1245&lt;&gt;"",_PENDIENTES!$E$1245,"")</f>
        <v/>
      </c>
      <c r="F1251" s="46" t="str">
        <f aca="false">IF(_PENDIENTES!$B$1245&lt;&gt;"",_PENDIENTES!$F$1245,"")</f>
        <v/>
      </c>
      <c r="G1251" s="44" t="str">
        <f aca="false">IF(_PENDIENTES!$B$1245&lt;&gt;"",_PENDIENTES!$G$1245,"")</f>
        <v/>
      </c>
      <c r="H1251" s="44" t="str">
        <f aca="false">IF(_PENDIENTES!$B$1245&lt;&gt;"",_PENDIENTES!$H$1245,"")</f>
        <v/>
      </c>
      <c r="I1251" s="110" t="str">
        <f aca="false">IF(_PENDIENTES!$B$1245&lt;&gt;"",_PENDIENTES!$I$1245,"")</f>
        <v/>
      </c>
      <c r="J1251" s="46" t="str">
        <f aca="false">IF(_PENDIENTES!$B$1245&lt;&gt;"",_PENDIENTES!$J$1245,"")</f>
        <v/>
      </c>
      <c r="K1251" s="46" t="str">
        <f aca="false">IF(_PENDIENTES!$B$1245&lt;&gt;"","POR RECOGER","")</f>
        <v/>
      </c>
      <c r="L1251" s="46" t="str">
        <f aca="false">IF(_PENDIENTES!$B$1245&lt;&gt;"",_PENDIENTES!$K$1245,"")</f>
        <v/>
      </c>
      <c r="M1251" s="89" t="str">
        <f aca="false">IF(_PENDIENTES!$B$1245&lt;&gt;"",_PENDIENTES!$B$1245,"")</f>
        <v/>
      </c>
      <c r="N1251" s="109" t="str">
        <f aca="false">IF(_PENDIENTES!$B$1245&lt;&gt;"",_PENDIENTES!$L$1245,"")</f>
        <v/>
      </c>
      <c r="O1251" s="89"/>
    </row>
    <row r="1252" customFormat="false" ht="15.75" hidden="true" customHeight="true" outlineLevel="0" collapsed="false">
      <c r="A1252" s="106" t="str">
        <f aca="false">IF(_PENDIENTES!$B$1246&lt;&gt;"",1245,"")</f>
        <v/>
      </c>
      <c r="B1252" s="47" t="str">
        <f aca="false">IF(_PENDIENTES!$B$1246&lt;&gt;"",_PENDIENTES!$A$1246,"")</f>
        <v/>
      </c>
      <c r="C1252" s="107" t="str">
        <f aca="false">IF(_PENDIENTES!$B$1246&lt;&gt;"",_PENDIENTES!$C$1246,"")</f>
        <v/>
      </c>
      <c r="D1252" s="106" t="str">
        <f aca="false">IF(_PENDIENTES!$B$1246&lt;&gt;"",_PENDIENTES!$D$1246,"")</f>
        <v/>
      </c>
      <c r="E1252" s="106" t="str">
        <f aca="false">IF(_PENDIENTES!$B$1246&lt;&gt;"",_PENDIENTES!$E$1246,"")</f>
        <v/>
      </c>
      <c r="F1252" s="106" t="str">
        <f aca="false">IF(_PENDIENTES!$B$1246&lt;&gt;"",_PENDIENTES!$F$1246,"")</f>
        <v/>
      </c>
      <c r="G1252" s="50" t="str">
        <f aca="false">IF(_PENDIENTES!$B$1246&lt;&gt;"",_PENDIENTES!$G$1246,"")</f>
        <v/>
      </c>
      <c r="H1252" s="50" t="str">
        <f aca="false">IF(_PENDIENTES!$B$1246&lt;&gt;"",_PENDIENTES!$H$1246,"")</f>
        <v/>
      </c>
      <c r="I1252" s="107" t="str">
        <f aca="false">IF(_PENDIENTES!$B$1246&lt;&gt;"",_PENDIENTES!$I$1246,"")</f>
        <v/>
      </c>
      <c r="J1252" s="106" t="str">
        <f aca="false">IF(_PENDIENTES!$B$1246&lt;&gt;"",_PENDIENTES!$J$1246,"")</f>
        <v/>
      </c>
      <c r="K1252" s="106" t="str">
        <f aca="false">IF(_PENDIENTES!$B$1246&lt;&gt;"","POR RECOGER","")</f>
        <v/>
      </c>
      <c r="L1252" s="106" t="str">
        <f aca="false">IF(_PENDIENTES!$B$1246&lt;&gt;"",_PENDIENTES!$K$1246,"")</f>
        <v/>
      </c>
      <c r="M1252" s="89" t="str">
        <f aca="false">IF(_PENDIENTES!$B$1246&lt;&gt;"",_PENDIENTES!$B$1246,"")</f>
        <v/>
      </c>
      <c r="N1252" s="109" t="str">
        <f aca="false">IF(_PENDIENTES!$B$1246&lt;&gt;"",_PENDIENTES!$L$1246,"")</f>
        <v/>
      </c>
      <c r="O1252" s="89"/>
    </row>
    <row r="1253" customFormat="false" ht="15.75" hidden="true" customHeight="true" outlineLevel="0" collapsed="false">
      <c r="A1253" s="46" t="str">
        <f aca="false">IF(_PENDIENTES!$B$1247&lt;&gt;"",1246,"")</f>
        <v/>
      </c>
      <c r="B1253" s="41" t="str">
        <f aca="false">IF(_PENDIENTES!$B$1247&lt;&gt;"",_PENDIENTES!$A$1247,"")</f>
        <v/>
      </c>
      <c r="C1253" s="110" t="str">
        <f aca="false">IF(_PENDIENTES!$B$1247&lt;&gt;"",_PENDIENTES!$C$1247,"")</f>
        <v/>
      </c>
      <c r="D1253" s="46" t="str">
        <f aca="false">IF(_PENDIENTES!$B$1247&lt;&gt;"",_PENDIENTES!$D$1247,"")</f>
        <v/>
      </c>
      <c r="E1253" s="46" t="str">
        <f aca="false">IF(_PENDIENTES!$B$1247&lt;&gt;"",_PENDIENTES!$E$1247,"")</f>
        <v/>
      </c>
      <c r="F1253" s="46" t="str">
        <f aca="false">IF(_PENDIENTES!$B$1247&lt;&gt;"",_PENDIENTES!$F$1247,"")</f>
        <v/>
      </c>
      <c r="G1253" s="44" t="str">
        <f aca="false">IF(_PENDIENTES!$B$1247&lt;&gt;"",_PENDIENTES!$G$1247,"")</f>
        <v/>
      </c>
      <c r="H1253" s="44" t="str">
        <f aca="false">IF(_PENDIENTES!$B$1247&lt;&gt;"",_PENDIENTES!$H$1247,"")</f>
        <v/>
      </c>
      <c r="I1253" s="110" t="str">
        <f aca="false">IF(_PENDIENTES!$B$1247&lt;&gt;"",_PENDIENTES!$I$1247,"")</f>
        <v/>
      </c>
      <c r="J1253" s="46" t="str">
        <f aca="false">IF(_PENDIENTES!$B$1247&lt;&gt;"",_PENDIENTES!$J$1247,"")</f>
        <v/>
      </c>
      <c r="K1253" s="46" t="str">
        <f aca="false">IF(_PENDIENTES!$B$1247&lt;&gt;"","POR RECOGER","")</f>
        <v/>
      </c>
      <c r="L1253" s="46" t="str">
        <f aca="false">IF(_PENDIENTES!$B$1247&lt;&gt;"",_PENDIENTES!$K$1247,"")</f>
        <v/>
      </c>
      <c r="M1253" s="89" t="str">
        <f aca="false">IF(_PENDIENTES!$B$1247&lt;&gt;"",_PENDIENTES!$B$1247,"")</f>
        <v/>
      </c>
      <c r="N1253" s="109" t="str">
        <f aca="false">IF(_PENDIENTES!$B$1247&lt;&gt;"",_PENDIENTES!$L$1247,"")</f>
        <v/>
      </c>
      <c r="O1253" s="89"/>
    </row>
    <row r="1254" customFormat="false" ht="15.75" hidden="true" customHeight="true" outlineLevel="0" collapsed="false">
      <c r="A1254" s="106" t="str">
        <f aca="false">IF(_PENDIENTES!$B$1248&lt;&gt;"",1247,"")</f>
        <v/>
      </c>
      <c r="B1254" s="47" t="str">
        <f aca="false">IF(_PENDIENTES!$B$1248&lt;&gt;"",_PENDIENTES!$A$1248,"")</f>
        <v/>
      </c>
      <c r="C1254" s="107" t="str">
        <f aca="false">IF(_PENDIENTES!$B$1248&lt;&gt;"",_PENDIENTES!$C$1248,"")</f>
        <v/>
      </c>
      <c r="D1254" s="106" t="str">
        <f aca="false">IF(_PENDIENTES!$B$1248&lt;&gt;"",_PENDIENTES!$D$1248,"")</f>
        <v/>
      </c>
      <c r="E1254" s="106" t="str">
        <f aca="false">IF(_PENDIENTES!$B$1248&lt;&gt;"",_PENDIENTES!$E$1248,"")</f>
        <v/>
      </c>
      <c r="F1254" s="106" t="str">
        <f aca="false">IF(_PENDIENTES!$B$1248&lt;&gt;"",_PENDIENTES!$F$1248,"")</f>
        <v/>
      </c>
      <c r="G1254" s="50" t="str">
        <f aca="false">IF(_PENDIENTES!$B$1248&lt;&gt;"",_PENDIENTES!$G$1248,"")</f>
        <v/>
      </c>
      <c r="H1254" s="50" t="str">
        <f aca="false">IF(_PENDIENTES!$B$1248&lt;&gt;"",_PENDIENTES!$H$1248,"")</f>
        <v/>
      </c>
      <c r="I1254" s="107" t="str">
        <f aca="false">IF(_PENDIENTES!$B$1248&lt;&gt;"",_PENDIENTES!$I$1248,"")</f>
        <v/>
      </c>
      <c r="J1254" s="106" t="str">
        <f aca="false">IF(_PENDIENTES!$B$1248&lt;&gt;"",_PENDIENTES!$J$1248,"")</f>
        <v/>
      </c>
      <c r="K1254" s="106" t="str">
        <f aca="false">IF(_PENDIENTES!$B$1248&lt;&gt;"","POR RECOGER","")</f>
        <v/>
      </c>
      <c r="L1254" s="106" t="str">
        <f aca="false">IF(_PENDIENTES!$B$1248&lt;&gt;"",_PENDIENTES!$K$1248,"")</f>
        <v/>
      </c>
      <c r="M1254" s="89" t="str">
        <f aca="false">IF(_PENDIENTES!$B$1248&lt;&gt;"",_PENDIENTES!$B$1248,"")</f>
        <v/>
      </c>
      <c r="N1254" s="109" t="str">
        <f aca="false">IF(_PENDIENTES!$B$1248&lt;&gt;"",_PENDIENTES!$L$1248,"")</f>
        <v/>
      </c>
      <c r="O1254" s="89"/>
    </row>
    <row r="1255" customFormat="false" ht="15.75" hidden="true" customHeight="true" outlineLevel="0" collapsed="false">
      <c r="A1255" s="46" t="str">
        <f aca="false">IF(_PENDIENTES!$B$1249&lt;&gt;"",1248,"")</f>
        <v/>
      </c>
      <c r="B1255" s="41" t="str">
        <f aca="false">IF(_PENDIENTES!$B$1249&lt;&gt;"",_PENDIENTES!$A$1249,"")</f>
        <v/>
      </c>
      <c r="C1255" s="110" t="str">
        <f aca="false">IF(_PENDIENTES!$B$1249&lt;&gt;"",_PENDIENTES!$C$1249,"")</f>
        <v/>
      </c>
      <c r="D1255" s="46" t="str">
        <f aca="false">IF(_PENDIENTES!$B$1249&lt;&gt;"",_PENDIENTES!$D$1249,"")</f>
        <v/>
      </c>
      <c r="E1255" s="46" t="str">
        <f aca="false">IF(_PENDIENTES!$B$1249&lt;&gt;"",_PENDIENTES!$E$1249,"")</f>
        <v/>
      </c>
      <c r="F1255" s="46" t="str">
        <f aca="false">IF(_PENDIENTES!$B$1249&lt;&gt;"",_PENDIENTES!$F$1249,"")</f>
        <v/>
      </c>
      <c r="G1255" s="44" t="str">
        <f aca="false">IF(_PENDIENTES!$B$1249&lt;&gt;"",_PENDIENTES!$G$1249,"")</f>
        <v/>
      </c>
      <c r="H1255" s="44" t="str">
        <f aca="false">IF(_PENDIENTES!$B$1249&lt;&gt;"",_PENDIENTES!$H$1249,"")</f>
        <v/>
      </c>
      <c r="I1255" s="110" t="str">
        <f aca="false">IF(_PENDIENTES!$B$1249&lt;&gt;"",_PENDIENTES!$I$1249,"")</f>
        <v/>
      </c>
      <c r="J1255" s="46" t="str">
        <f aca="false">IF(_PENDIENTES!$B$1249&lt;&gt;"",_PENDIENTES!$J$1249,"")</f>
        <v/>
      </c>
      <c r="K1255" s="46" t="str">
        <f aca="false">IF(_PENDIENTES!$B$1249&lt;&gt;"","POR RECOGER","")</f>
        <v/>
      </c>
      <c r="L1255" s="46" t="str">
        <f aca="false">IF(_PENDIENTES!$B$1249&lt;&gt;"",_PENDIENTES!$K$1249,"")</f>
        <v/>
      </c>
      <c r="M1255" s="89" t="str">
        <f aca="false">IF(_PENDIENTES!$B$1249&lt;&gt;"",_PENDIENTES!$B$1249,"")</f>
        <v/>
      </c>
      <c r="N1255" s="109" t="str">
        <f aca="false">IF(_PENDIENTES!$B$1249&lt;&gt;"",_PENDIENTES!$L$1249,"")</f>
        <v/>
      </c>
      <c r="O1255" s="89"/>
    </row>
    <row r="1256" customFormat="false" ht="15.75" hidden="true" customHeight="true" outlineLevel="0" collapsed="false">
      <c r="A1256" s="106" t="str">
        <f aca="false">IF(_PENDIENTES!$B$1250&lt;&gt;"",1249,"")</f>
        <v/>
      </c>
      <c r="B1256" s="47" t="str">
        <f aca="false">IF(_PENDIENTES!$B$1250&lt;&gt;"",_PENDIENTES!$A$1250,"")</f>
        <v/>
      </c>
      <c r="C1256" s="107" t="str">
        <f aca="false">IF(_PENDIENTES!$B$1250&lt;&gt;"",_PENDIENTES!$C$1250,"")</f>
        <v/>
      </c>
      <c r="D1256" s="106" t="str">
        <f aca="false">IF(_PENDIENTES!$B$1250&lt;&gt;"",_PENDIENTES!$D$1250,"")</f>
        <v/>
      </c>
      <c r="E1256" s="106" t="str">
        <f aca="false">IF(_PENDIENTES!$B$1250&lt;&gt;"",_PENDIENTES!$E$1250,"")</f>
        <v/>
      </c>
      <c r="F1256" s="106" t="str">
        <f aca="false">IF(_PENDIENTES!$B$1250&lt;&gt;"",_PENDIENTES!$F$1250,"")</f>
        <v/>
      </c>
      <c r="G1256" s="50" t="str">
        <f aca="false">IF(_PENDIENTES!$B$1250&lt;&gt;"",_PENDIENTES!$G$1250,"")</f>
        <v/>
      </c>
      <c r="H1256" s="50" t="str">
        <f aca="false">IF(_PENDIENTES!$B$1250&lt;&gt;"",_PENDIENTES!$H$1250,"")</f>
        <v/>
      </c>
      <c r="I1256" s="107" t="str">
        <f aca="false">IF(_PENDIENTES!$B$1250&lt;&gt;"",_PENDIENTES!$I$1250,"")</f>
        <v/>
      </c>
      <c r="J1256" s="106" t="str">
        <f aca="false">IF(_PENDIENTES!$B$1250&lt;&gt;"",_PENDIENTES!$J$1250,"")</f>
        <v/>
      </c>
      <c r="K1256" s="106" t="str">
        <f aca="false">IF(_PENDIENTES!$B$1250&lt;&gt;"","POR RECOGER","")</f>
        <v/>
      </c>
      <c r="L1256" s="106" t="str">
        <f aca="false">IF(_PENDIENTES!$B$1250&lt;&gt;"",_PENDIENTES!$K$1250,"")</f>
        <v/>
      </c>
      <c r="M1256" s="89" t="str">
        <f aca="false">IF(_PENDIENTES!$B$1250&lt;&gt;"",_PENDIENTES!$B$1250,"")</f>
        <v/>
      </c>
      <c r="N1256" s="109" t="str">
        <f aca="false">IF(_PENDIENTES!$B$1250&lt;&gt;"",_PENDIENTES!$L$1250,"")</f>
        <v/>
      </c>
      <c r="O1256" s="89"/>
    </row>
    <row r="1257" customFormat="false" ht="15.75" hidden="true" customHeight="true" outlineLevel="0" collapsed="false">
      <c r="A1257" s="46" t="str">
        <f aca="false">IF(_PENDIENTES!$B$1251&lt;&gt;"",1250,"")</f>
        <v/>
      </c>
      <c r="B1257" s="41" t="str">
        <f aca="false">IF(_PENDIENTES!$B$1251&lt;&gt;"",_PENDIENTES!$A$1251,"")</f>
        <v/>
      </c>
      <c r="C1257" s="110" t="str">
        <f aca="false">IF(_PENDIENTES!$B$1251&lt;&gt;"",_PENDIENTES!$C$1251,"")</f>
        <v/>
      </c>
      <c r="D1257" s="46" t="str">
        <f aca="false">IF(_PENDIENTES!$B$1251&lt;&gt;"",_PENDIENTES!$D$1251,"")</f>
        <v/>
      </c>
      <c r="E1257" s="46" t="str">
        <f aca="false">IF(_PENDIENTES!$B$1251&lt;&gt;"",_PENDIENTES!$E$1251,"")</f>
        <v/>
      </c>
      <c r="F1257" s="46" t="str">
        <f aca="false">IF(_PENDIENTES!$B$1251&lt;&gt;"",_PENDIENTES!$F$1251,"")</f>
        <v/>
      </c>
      <c r="G1257" s="44" t="str">
        <f aca="false">IF(_PENDIENTES!$B$1251&lt;&gt;"",_PENDIENTES!$G$1251,"")</f>
        <v/>
      </c>
      <c r="H1257" s="44" t="str">
        <f aca="false">IF(_PENDIENTES!$B$1251&lt;&gt;"",_PENDIENTES!$H$1251,"")</f>
        <v/>
      </c>
      <c r="I1257" s="110" t="str">
        <f aca="false">IF(_PENDIENTES!$B$1251&lt;&gt;"",_PENDIENTES!$I$1251,"")</f>
        <v/>
      </c>
      <c r="J1257" s="46" t="str">
        <f aca="false">IF(_PENDIENTES!$B$1251&lt;&gt;"",_PENDIENTES!$J$1251,"")</f>
        <v/>
      </c>
      <c r="K1257" s="46" t="str">
        <f aca="false">IF(_PENDIENTES!$B$1251&lt;&gt;"","POR RECOGER","")</f>
        <v/>
      </c>
      <c r="L1257" s="46" t="str">
        <f aca="false">IF(_PENDIENTES!$B$1251&lt;&gt;"",_PENDIENTES!$K$1251,"")</f>
        <v/>
      </c>
      <c r="M1257" s="89" t="str">
        <f aca="false">IF(_PENDIENTES!$B$1251&lt;&gt;"",_PENDIENTES!$B$1251,"")</f>
        <v/>
      </c>
      <c r="N1257" s="109" t="str">
        <f aca="false">IF(_PENDIENTES!$B$1251&lt;&gt;"",_PENDIENTES!$L$1251,"")</f>
        <v/>
      </c>
      <c r="O1257" s="89"/>
    </row>
    <row r="1258" customFormat="false" ht="15.75" hidden="true" customHeight="true" outlineLevel="0" collapsed="false">
      <c r="A1258" s="106" t="str">
        <f aca="false">IF(_PENDIENTES!$B$1252&lt;&gt;"",1251,"")</f>
        <v/>
      </c>
      <c r="B1258" s="47" t="str">
        <f aca="false">IF(_PENDIENTES!$B$1252&lt;&gt;"",_PENDIENTES!$A$1252,"")</f>
        <v/>
      </c>
      <c r="C1258" s="107" t="str">
        <f aca="false">IF(_PENDIENTES!$B$1252&lt;&gt;"",_PENDIENTES!$C$1252,"")</f>
        <v/>
      </c>
      <c r="D1258" s="106" t="str">
        <f aca="false">IF(_PENDIENTES!$B$1252&lt;&gt;"",_PENDIENTES!$D$1252,"")</f>
        <v/>
      </c>
      <c r="E1258" s="106" t="str">
        <f aca="false">IF(_PENDIENTES!$B$1252&lt;&gt;"",_PENDIENTES!$E$1252,"")</f>
        <v/>
      </c>
      <c r="F1258" s="106" t="str">
        <f aca="false">IF(_PENDIENTES!$B$1252&lt;&gt;"",_PENDIENTES!$F$1252,"")</f>
        <v/>
      </c>
      <c r="G1258" s="50" t="str">
        <f aca="false">IF(_PENDIENTES!$B$1252&lt;&gt;"",_PENDIENTES!$G$1252,"")</f>
        <v/>
      </c>
      <c r="H1258" s="50" t="str">
        <f aca="false">IF(_PENDIENTES!$B$1252&lt;&gt;"",_PENDIENTES!$H$1252,"")</f>
        <v/>
      </c>
      <c r="I1258" s="107" t="str">
        <f aca="false">IF(_PENDIENTES!$B$1252&lt;&gt;"",_PENDIENTES!$I$1252,"")</f>
        <v/>
      </c>
      <c r="J1258" s="106" t="str">
        <f aca="false">IF(_PENDIENTES!$B$1252&lt;&gt;"",_PENDIENTES!$J$1252,"")</f>
        <v/>
      </c>
      <c r="K1258" s="106" t="str">
        <f aca="false">IF(_PENDIENTES!$B$1252&lt;&gt;"","POR RECOGER","")</f>
        <v/>
      </c>
      <c r="L1258" s="106" t="str">
        <f aca="false">IF(_PENDIENTES!$B$1252&lt;&gt;"",_PENDIENTES!$K$1252,"")</f>
        <v/>
      </c>
      <c r="M1258" s="89" t="str">
        <f aca="false">IF(_PENDIENTES!$B$1252&lt;&gt;"",_PENDIENTES!$B$1252,"")</f>
        <v/>
      </c>
      <c r="N1258" s="109" t="str">
        <f aca="false">IF(_PENDIENTES!$B$1252&lt;&gt;"",_PENDIENTES!$L$1252,"")</f>
        <v/>
      </c>
      <c r="O1258" s="89"/>
    </row>
    <row r="1259" customFormat="false" ht="15.75" hidden="true" customHeight="true" outlineLevel="0" collapsed="false">
      <c r="A1259" s="46" t="str">
        <f aca="false">IF(_PENDIENTES!$B$1253&lt;&gt;"",1252,"")</f>
        <v/>
      </c>
      <c r="B1259" s="41" t="str">
        <f aca="false">IF(_PENDIENTES!$B$1253&lt;&gt;"",_PENDIENTES!$A$1253,"")</f>
        <v/>
      </c>
      <c r="C1259" s="110" t="str">
        <f aca="false">IF(_PENDIENTES!$B$1253&lt;&gt;"",_PENDIENTES!$C$1253,"")</f>
        <v/>
      </c>
      <c r="D1259" s="46" t="str">
        <f aca="false">IF(_PENDIENTES!$B$1253&lt;&gt;"",_PENDIENTES!$D$1253,"")</f>
        <v/>
      </c>
      <c r="E1259" s="46" t="str">
        <f aca="false">IF(_PENDIENTES!$B$1253&lt;&gt;"",_PENDIENTES!$E$1253,"")</f>
        <v/>
      </c>
      <c r="F1259" s="46" t="str">
        <f aca="false">IF(_PENDIENTES!$B$1253&lt;&gt;"",_PENDIENTES!$F$1253,"")</f>
        <v/>
      </c>
      <c r="G1259" s="44" t="str">
        <f aca="false">IF(_PENDIENTES!$B$1253&lt;&gt;"",_PENDIENTES!$G$1253,"")</f>
        <v/>
      </c>
      <c r="H1259" s="44" t="str">
        <f aca="false">IF(_PENDIENTES!$B$1253&lt;&gt;"",_PENDIENTES!$H$1253,"")</f>
        <v/>
      </c>
      <c r="I1259" s="110" t="str">
        <f aca="false">IF(_PENDIENTES!$B$1253&lt;&gt;"",_PENDIENTES!$I$1253,"")</f>
        <v/>
      </c>
      <c r="J1259" s="46" t="str">
        <f aca="false">IF(_PENDIENTES!$B$1253&lt;&gt;"",_PENDIENTES!$J$1253,"")</f>
        <v/>
      </c>
      <c r="K1259" s="46" t="str">
        <f aca="false">IF(_PENDIENTES!$B$1253&lt;&gt;"","POR RECOGER","")</f>
        <v/>
      </c>
      <c r="L1259" s="46" t="str">
        <f aca="false">IF(_PENDIENTES!$B$1253&lt;&gt;"",_PENDIENTES!$K$1253,"")</f>
        <v/>
      </c>
      <c r="M1259" s="89" t="str">
        <f aca="false">IF(_PENDIENTES!$B$1253&lt;&gt;"",_PENDIENTES!$B$1253,"")</f>
        <v/>
      </c>
      <c r="N1259" s="109" t="str">
        <f aca="false">IF(_PENDIENTES!$B$1253&lt;&gt;"",_PENDIENTES!$L$1253,"")</f>
        <v/>
      </c>
      <c r="O1259" s="89"/>
    </row>
    <row r="1260" customFormat="false" ht="15.75" hidden="true" customHeight="true" outlineLevel="0" collapsed="false">
      <c r="A1260" s="106" t="str">
        <f aca="false">IF(_PENDIENTES!$B$1254&lt;&gt;"",1253,"")</f>
        <v/>
      </c>
      <c r="B1260" s="47" t="str">
        <f aca="false">IF(_PENDIENTES!$B$1254&lt;&gt;"",_PENDIENTES!$A$1254,"")</f>
        <v/>
      </c>
      <c r="C1260" s="107" t="str">
        <f aca="false">IF(_PENDIENTES!$B$1254&lt;&gt;"",_PENDIENTES!$C$1254,"")</f>
        <v/>
      </c>
      <c r="D1260" s="106" t="str">
        <f aca="false">IF(_PENDIENTES!$B$1254&lt;&gt;"",_PENDIENTES!$D$1254,"")</f>
        <v/>
      </c>
      <c r="E1260" s="106" t="str">
        <f aca="false">IF(_PENDIENTES!$B$1254&lt;&gt;"",_PENDIENTES!$E$1254,"")</f>
        <v/>
      </c>
      <c r="F1260" s="106" t="str">
        <f aca="false">IF(_PENDIENTES!$B$1254&lt;&gt;"",_PENDIENTES!$F$1254,"")</f>
        <v/>
      </c>
      <c r="G1260" s="50" t="str">
        <f aca="false">IF(_PENDIENTES!$B$1254&lt;&gt;"",_PENDIENTES!$G$1254,"")</f>
        <v/>
      </c>
      <c r="H1260" s="50" t="str">
        <f aca="false">IF(_PENDIENTES!$B$1254&lt;&gt;"",_PENDIENTES!$H$1254,"")</f>
        <v/>
      </c>
      <c r="I1260" s="107" t="str">
        <f aca="false">IF(_PENDIENTES!$B$1254&lt;&gt;"",_PENDIENTES!$I$1254,"")</f>
        <v/>
      </c>
      <c r="J1260" s="106" t="str">
        <f aca="false">IF(_PENDIENTES!$B$1254&lt;&gt;"",_PENDIENTES!$J$1254,"")</f>
        <v/>
      </c>
      <c r="K1260" s="106" t="str">
        <f aca="false">IF(_PENDIENTES!$B$1254&lt;&gt;"","POR RECOGER","")</f>
        <v/>
      </c>
      <c r="L1260" s="106" t="str">
        <f aca="false">IF(_PENDIENTES!$B$1254&lt;&gt;"",_PENDIENTES!$K$1254,"")</f>
        <v/>
      </c>
      <c r="M1260" s="89" t="str">
        <f aca="false">IF(_PENDIENTES!$B$1254&lt;&gt;"",_PENDIENTES!$B$1254,"")</f>
        <v/>
      </c>
      <c r="N1260" s="109" t="str">
        <f aca="false">IF(_PENDIENTES!$B$1254&lt;&gt;"",_PENDIENTES!$L$1254,"")</f>
        <v/>
      </c>
      <c r="O1260" s="89"/>
    </row>
    <row r="1261" customFormat="false" ht="15.75" hidden="true" customHeight="true" outlineLevel="0" collapsed="false">
      <c r="A1261" s="46" t="str">
        <f aca="false">IF(_PENDIENTES!$B$1255&lt;&gt;"",1254,"")</f>
        <v/>
      </c>
      <c r="B1261" s="41" t="str">
        <f aca="false">IF(_PENDIENTES!$B$1255&lt;&gt;"",_PENDIENTES!$A$1255,"")</f>
        <v/>
      </c>
      <c r="C1261" s="110" t="str">
        <f aca="false">IF(_PENDIENTES!$B$1255&lt;&gt;"",_PENDIENTES!$C$1255,"")</f>
        <v/>
      </c>
      <c r="D1261" s="46" t="str">
        <f aca="false">IF(_PENDIENTES!$B$1255&lt;&gt;"",_PENDIENTES!$D$1255,"")</f>
        <v/>
      </c>
      <c r="E1261" s="46" t="str">
        <f aca="false">IF(_PENDIENTES!$B$1255&lt;&gt;"",_PENDIENTES!$E$1255,"")</f>
        <v/>
      </c>
      <c r="F1261" s="46" t="str">
        <f aca="false">IF(_PENDIENTES!$B$1255&lt;&gt;"",_PENDIENTES!$F$1255,"")</f>
        <v/>
      </c>
      <c r="G1261" s="44" t="str">
        <f aca="false">IF(_PENDIENTES!$B$1255&lt;&gt;"",_PENDIENTES!$G$1255,"")</f>
        <v/>
      </c>
      <c r="H1261" s="44" t="str">
        <f aca="false">IF(_PENDIENTES!$B$1255&lt;&gt;"",_PENDIENTES!$H$1255,"")</f>
        <v/>
      </c>
      <c r="I1261" s="110" t="str">
        <f aca="false">IF(_PENDIENTES!$B$1255&lt;&gt;"",_PENDIENTES!$I$1255,"")</f>
        <v/>
      </c>
      <c r="J1261" s="46" t="str">
        <f aca="false">IF(_PENDIENTES!$B$1255&lt;&gt;"",_PENDIENTES!$J$1255,"")</f>
        <v/>
      </c>
      <c r="K1261" s="46" t="str">
        <f aca="false">IF(_PENDIENTES!$B$1255&lt;&gt;"","POR RECOGER","")</f>
        <v/>
      </c>
      <c r="L1261" s="46" t="str">
        <f aca="false">IF(_PENDIENTES!$B$1255&lt;&gt;"",_PENDIENTES!$K$1255,"")</f>
        <v/>
      </c>
      <c r="M1261" s="89" t="str">
        <f aca="false">IF(_PENDIENTES!$B$1255&lt;&gt;"",_PENDIENTES!$B$1255,"")</f>
        <v/>
      </c>
      <c r="N1261" s="109" t="str">
        <f aca="false">IF(_PENDIENTES!$B$1255&lt;&gt;"",_PENDIENTES!$L$1255,"")</f>
        <v/>
      </c>
      <c r="O1261" s="89"/>
    </row>
    <row r="1262" customFormat="false" ht="15.75" hidden="true" customHeight="true" outlineLevel="0" collapsed="false">
      <c r="A1262" s="106" t="str">
        <f aca="false">IF(_PENDIENTES!$B$1256&lt;&gt;"",1255,"")</f>
        <v/>
      </c>
      <c r="B1262" s="47" t="str">
        <f aca="false">IF(_PENDIENTES!$B$1256&lt;&gt;"",_PENDIENTES!$A$1256,"")</f>
        <v/>
      </c>
      <c r="C1262" s="107" t="str">
        <f aca="false">IF(_PENDIENTES!$B$1256&lt;&gt;"",_PENDIENTES!$C$1256,"")</f>
        <v/>
      </c>
      <c r="D1262" s="106" t="str">
        <f aca="false">IF(_PENDIENTES!$B$1256&lt;&gt;"",_PENDIENTES!$D$1256,"")</f>
        <v/>
      </c>
      <c r="E1262" s="106" t="str">
        <f aca="false">IF(_PENDIENTES!$B$1256&lt;&gt;"",_PENDIENTES!$E$1256,"")</f>
        <v/>
      </c>
      <c r="F1262" s="106" t="str">
        <f aca="false">IF(_PENDIENTES!$B$1256&lt;&gt;"",_PENDIENTES!$F$1256,"")</f>
        <v/>
      </c>
      <c r="G1262" s="50" t="str">
        <f aca="false">IF(_PENDIENTES!$B$1256&lt;&gt;"",_PENDIENTES!$G$1256,"")</f>
        <v/>
      </c>
      <c r="H1262" s="50" t="str">
        <f aca="false">IF(_PENDIENTES!$B$1256&lt;&gt;"",_PENDIENTES!$H$1256,"")</f>
        <v/>
      </c>
      <c r="I1262" s="107" t="str">
        <f aca="false">IF(_PENDIENTES!$B$1256&lt;&gt;"",_PENDIENTES!$I$1256,"")</f>
        <v/>
      </c>
      <c r="J1262" s="106" t="str">
        <f aca="false">IF(_PENDIENTES!$B$1256&lt;&gt;"",_PENDIENTES!$J$1256,"")</f>
        <v/>
      </c>
      <c r="K1262" s="106" t="str">
        <f aca="false">IF(_PENDIENTES!$B$1256&lt;&gt;"","POR RECOGER","")</f>
        <v/>
      </c>
      <c r="L1262" s="106" t="str">
        <f aca="false">IF(_PENDIENTES!$B$1256&lt;&gt;"",_PENDIENTES!$K$1256,"")</f>
        <v/>
      </c>
      <c r="M1262" s="89" t="str">
        <f aca="false">IF(_PENDIENTES!$B$1256&lt;&gt;"",_PENDIENTES!$B$1256,"")</f>
        <v/>
      </c>
      <c r="N1262" s="109" t="str">
        <f aca="false">IF(_PENDIENTES!$B$1256&lt;&gt;"",_PENDIENTES!$L$1256,"")</f>
        <v/>
      </c>
      <c r="O1262" s="89"/>
    </row>
    <row r="1263" customFormat="false" ht="15.75" hidden="true" customHeight="true" outlineLevel="0" collapsed="false">
      <c r="A1263" s="46" t="str">
        <f aca="false">IF(_PENDIENTES!$B$1257&lt;&gt;"",1256,"")</f>
        <v/>
      </c>
      <c r="B1263" s="41" t="str">
        <f aca="false">IF(_PENDIENTES!$B$1257&lt;&gt;"",_PENDIENTES!$A$1257,"")</f>
        <v/>
      </c>
      <c r="C1263" s="110" t="str">
        <f aca="false">IF(_PENDIENTES!$B$1257&lt;&gt;"",_PENDIENTES!$C$1257,"")</f>
        <v/>
      </c>
      <c r="D1263" s="46" t="str">
        <f aca="false">IF(_PENDIENTES!$B$1257&lt;&gt;"",_PENDIENTES!$D$1257,"")</f>
        <v/>
      </c>
      <c r="E1263" s="46" t="str">
        <f aca="false">IF(_PENDIENTES!$B$1257&lt;&gt;"",_PENDIENTES!$E$1257,"")</f>
        <v/>
      </c>
      <c r="F1263" s="46" t="str">
        <f aca="false">IF(_PENDIENTES!$B$1257&lt;&gt;"",_PENDIENTES!$F$1257,"")</f>
        <v/>
      </c>
      <c r="G1263" s="44" t="str">
        <f aca="false">IF(_PENDIENTES!$B$1257&lt;&gt;"",_PENDIENTES!$G$1257,"")</f>
        <v/>
      </c>
      <c r="H1263" s="44" t="str">
        <f aca="false">IF(_PENDIENTES!$B$1257&lt;&gt;"",_PENDIENTES!$H$1257,"")</f>
        <v/>
      </c>
      <c r="I1263" s="110" t="str">
        <f aca="false">IF(_PENDIENTES!$B$1257&lt;&gt;"",_PENDIENTES!$I$1257,"")</f>
        <v/>
      </c>
      <c r="J1263" s="46" t="str">
        <f aca="false">IF(_PENDIENTES!$B$1257&lt;&gt;"",_PENDIENTES!$J$1257,"")</f>
        <v/>
      </c>
      <c r="K1263" s="46" t="str">
        <f aca="false">IF(_PENDIENTES!$B$1257&lt;&gt;"","POR RECOGER","")</f>
        <v/>
      </c>
      <c r="L1263" s="46" t="str">
        <f aca="false">IF(_PENDIENTES!$B$1257&lt;&gt;"",_PENDIENTES!$K$1257,"")</f>
        <v/>
      </c>
      <c r="M1263" s="89" t="str">
        <f aca="false">IF(_PENDIENTES!$B$1257&lt;&gt;"",_PENDIENTES!$B$1257,"")</f>
        <v/>
      </c>
      <c r="N1263" s="109" t="str">
        <f aca="false">IF(_PENDIENTES!$B$1257&lt;&gt;"",_PENDIENTES!$L$1257,"")</f>
        <v/>
      </c>
      <c r="O1263" s="89"/>
    </row>
    <row r="1264" customFormat="false" ht="15.75" hidden="true" customHeight="true" outlineLevel="0" collapsed="false">
      <c r="A1264" s="106" t="str">
        <f aca="false">IF(_PENDIENTES!$B$1258&lt;&gt;"",1257,"")</f>
        <v/>
      </c>
      <c r="B1264" s="47" t="str">
        <f aca="false">IF(_PENDIENTES!$B$1258&lt;&gt;"",_PENDIENTES!$A$1258,"")</f>
        <v/>
      </c>
      <c r="C1264" s="107" t="str">
        <f aca="false">IF(_PENDIENTES!$B$1258&lt;&gt;"",_PENDIENTES!$C$1258,"")</f>
        <v/>
      </c>
      <c r="D1264" s="106" t="str">
        <f aca="false">IF(_PENDIENTES!$B$1258&lt;&gt;"",_PENDIENTES!$D$1258,"")</f>
        <v/>
      </c>
      <c r="E1264" s="106" t="str">
        <f aca="false">IF(_PENDIENTES!$B$1258&lt;&gt;"",_PENDIENTES!$E$1258,"")</f>
        <v/>
      </c>
      <c r="F1264" s="106" t="str">
        <f aca="false">IF(_PENDIENTES!$B$1258&lt;&gt;"",_PENDIENTES!$F$1258,"")</f>
        <v/>
      </c>
      <c r="G1264" s="50" t="str">
        <f aca="false">IF(_PENDIENTES!$B$1258&lt;&gt;"",_PENDIENTES!$G$1258,"")</f>
        <v/>
      </c>
      <c r="H1264" s="50" t="str">
        <f aca="false">IF(_PENDIENTES!$B$1258&lt;&gt;"",_PENDIENTES!$H$1258,"")</f>
        <v/>
      </c>
      <c r="I1264" s="107" t="str">
        <f aca="false">IF(_PENDIENTES!$B$1258&lt;&gt;"",_PENDIENTES!$I$1258,"")</f>
        <v/>
      </c>
      <c r="J1264" s="106" t="str">
        <f aca="false">IF(_PENDIENTES!$B$1258&lt;&gt;"",_PENDIENTES!$J$1258,"")</f>
        <v/>
      </c>
      <c r="K1264" s="106" t="str">
        <f aca="false">IF(_PENDIENTES!$B$1258&lt;&gt;"","POR RECOGER","")</f>
        <v/>
      </c>
      <c r="L1264" s="106" t="str">
        <f aca="false">IF(_PENDIENTES!$B$1258&lt;&gt;"",_PENDIENTES!$K$1258,"")</f>
        <v/>
      </c>
      <c r="M1264" s="89" t="str">
        <f aca="false">IF(_PENDIENTES!$B$1258&lt;&gt;"",_PENDIENTES!$B$1258,"")</f>
        <v/>
      </c>
      <c r="N1264" s="109" t="str">
        <f aca="false">IF(_PENDIENTES!$B$1258&lt;&gt;"",_PENDIENTES!$L$1258,"")</f>
        <v/>
      </c>
      <c r="O1264" s="89"/>
    </row>
    <row r="1265" customFormat="false" ht="15.75" hidden="true" customHeight="true" outlineLevel="0" collapsed="false">
      <c r="A1265" s="46" t="str">
        <f aca="false">IF(_PENDIENTES!$B$1259&lt;&gt;"",1258,"")</f>
        <v/>
      </c>
      <c r="B1265" s="41" t="str">
        <f aca="false">IF(_PENDIENTES!$B$1259&lt;&gt;"",_PENDIENTES!$A$1259,"")</f>
        <v/>
      </c>
      <c r="C1265" s="110" t="str">
        <f aca="false">IF(_PENDIENTES!$B$1259&lt;&gt;"",_PENDIENTES!$C$1259,"")</f>
        <v/>
      </c>
      <c r="D1265" s="46" t="str">
        <f aca="false">IF(_PENDIENTES!$B$1259&lt;&gt;"",_PENDIENTES!$D$1259,"")</f>
        <v/>
      </c>
      <c r="E1265" s="46" t="str">
        <f aca="false">IF(_PENDIENTES!$B$1259&lt;&gt;"",_PENDIENTES!$E$1259,"")</f>
        <v/>
      </c>
      <c r="F1265" s="46" t="str">
        <f aca="false">IF(_PENDIENTES!$B$1259&lt;&gt;"",_PENDIENTES!$F$1259,"")</f>
        <v/>
      </c>
      <c r="G1265" s="44" t="str">
        <f aca="false">IF(_PENDIENTES!$B$1259&lt;&gt;"",_PENDIENTES!$G$1259,"")</f>
        <v/>
      </c>
      <c r="H1265" s="44" t="str">
        <f aca="false">IF(_PENDIENTES!$B$1259&lt;&gt;"",_PENDIENTES!$H$1259,"")</f>
        <v/>
      </c>
      <c r="I1265" s="110" t="str">
        <f aca="false">IF(_PENDIENTES!$B$1259&lt;&gt;"",_PENDIENTES!$I$1259,"")</f>
        <v/>
      </c>
      <c r="J1265" s="46" t="str">
        <f aca="false">IF(_PENDIENTES!$B$1259&lt;&gt;"",_PENDIENTES!$J$1259,"")</f>
        <v/>
      </c>
      <c r="K1265" s="46" t="str">
        <f aca="false">IF(_PENDIENTES!$B$1259&lt;&gt;"","POR RECOGER","")</f>
        <v/>
      </c>
      <c r="L1265" s="46" t="str">
        <f aca="false">IF(_PENDIENTES!$B$1259&lt;&gt;"",_PENDIENTES!$K$1259,"")</f>
        <v/>
      </c>
      <c r="M1265" s="89" t="str">
        <f aca="false">IF(_PENDIENTES!$B$1259&lt;&gt;"",_PENDIENTES!$B$1259,"")</f>
        <v/>
      </c>
      <c r="N1265" s="109" t="str">
        <f aca="false">IF(_PENDIENTES!$B$1259&lt;&gt;"",_PENDIENTES!$L$1259,"")</f>
        <v/>
      </c>
      <c r="O1265" s="89"/>
    </row>
    <row r="1266" customFormat="false" ht="15.75" hidden="true" customHeight="true" outlineLevel="0" collapsed="false">
      <c r="A1266" s="106" t="str">
        <f aca="false">IF(_PENDIENTES!$B$1260&lt;&gt;"",1259,"")</f>
        <v/>
      </c>
      <c r="B1266" s="47" t="str">
        <f aca="false">IF(_PENDIENTES!$B$1260&lt;&gt;"",_PENDIENTES!$A$1260,"")</f>
        <v/>
      </c>
      <c r="C1266" s="107" t="str">
        <f aca="false">IF(_PENDIENTES!$B$1260&lt;&gt;"",_PENDIENTES!$C$1260,"")</f>
        <v/>
      </c>
      <c r="D1266" s="106" t="str">
        <f aca="false">IF(_PENDIENTES!$B$1260&lt;&gt;"",_PENDIENTES!$D$1260,"")</f>
        <v/>
      </c>
      <c r="E1266" s="106" t="str">
        <f aca="false">IF(_PENDIENTES!$B$1260&lt;&gt;"",_PENDIENTES!$E$1260,"")</f>
        <v/>
      </c>
      <c r="F1266" s="106" t="str">
        <f aca="false">IF(_PENDIENTES!$B$1260&lt;&gt;"",_PENDIENTES!$F$1260,"")</f>
        <v/>
      </c>
      <c r="G1266" s="50" t="str">
        <f aca="false">IF(_PENDIENTES!$B$1260&lt;&gt;"",_PENDIENTES!$G$1260,"")</f>
        <v/>
      </c>
      <c r="H1266" s="50" t="str">
        <f aca="false">IF(_PENDIENTES!$B$1260&lt;&gt;"",_PENDIENTES!$H$1260,"")</f>
        <v/>
      </c>
      <c r="I1266" s="107" t="str">
        <f aca="false">IF(_PENDIENTES!$B$1260&lt;&gt;"",_PENDIENTES!$I$1260,"")</f>
        <v/>
      </c>
      <c r="J1266" s="106" t="str">
        <f aca="false">IF(_PENDIENTES!$B$1260&lt;&gt;"",_PENDIENTES!$J$1260,"")</f>
        <v/>
      </c>
      <c r="K1266" s="106" t="str">
        <f aca="false">IF(_PENDIENTES!$B$1260&lt;&gt;"","POR RECOGER","")</f>
        <v/>
      </c>
      <c r="L1266" s="106" t="str">
        <f aca="false">IF(_PENDIENTES!$B$1260&lt;&gt;"",_PENDIENTES!$K$1260,"")</f>
        <v/>
      </c>
      <c r="M1266" s="89" t="str">
        <f aca="false">IF(_PENDIENTES!$B$1260&lt;&gt;"",_PENDIENTES!$B$1260,"")</f>
        <v/>
      </c>
      <c r="N1266" s="109" t="str">
        <f aca="false">IF(_PENDIENTES!$B$1260&lt;&gt;"",_PENDIENTES!$L$1260,"")</f>
        <v/>
      </c>
      <c r="O1266" s="89"/>
    </row>
    <row r="1267" customFormat="false" ht="15.75" hidden="true" customHeight="true" outlineLevel="0" collapsed="false">
      <c r="A1267" s="46" t="str">
        <f aca="false">IF(_PENDIENTES!$B$1261&lt;&gt;"",1260,"")</f>
        <v/>
      </c>
      <c r="B1267" s="41" t="str">
        <f aca="false">IF(_PENDIENTES!$B$1261&lt;&gt;"",_PENDIENTES!$A$1261,"")</f>
        <v/>
      </c>
      <c r="C1267" s="110" t="str">
        <f aca="false">IF(_PENDIENTES!$B$1261&lt;&gt;"",_PENDIENTES!$C$1261,"")</f>
        <v/>
      </c>
      <c r="D1267" s="46" t="str">
        <f aca="false">IF(_PENDIENTES!$B$1261&lt;&gt;"",_PENDIENTES!$D$1261,"")</f>
        <v/>
      </c>
      <c r="E1267" s="46" t="str">
        <f aca="false">IF(_PENDIENTES!$B$1261&lt;&gt;"",_PENDIENTES!$E$1261,"")</f>
        <v/>
      </c>
      <c r="F1267" s="46" t="str">
        <f aca="false">IF(_PENDIENTES!$B$1261&lt;&gt;"",_PENDIENTES!$F$1261,"")</f>
        <v/>
      </c>
      <c r="G1267" s="44" t="str">
        <f aca="false">IF(_PENDIENTES!$B$1261&lt;&gt;"",_PENDIENTES!$G$1261,"")</f>
        <v/>
      </c>
      <c r="H1267" s="44" t="str">
        <f aca="false">IF(_PENDIENTES!$B$1261&lt;&gt;"",_PENDIENTES!$H$1261,"")</f>
        <v/>
      </c>
      <c r="I1267" s="110" t="str">
        <f aca="false">IF(_PENDIENTES!$B$1261&lt;&gt;"",_PENDIENTES!$I$1261,"")</f>
        <v/>
      </c>
      <c r="J1267" s="46" t="str">
        <f aca="false">IF(_PENDIENTES!$B$1261&lt;&gt;"",_PENDIENTES!$J$1261,"")</f>
        <v/>
      </c>
      <c r="K1267" s="46" t="str">
        <f aca="false">IF(_PENDIENTES!$B$1261&lt;&gt;"","POR RECOGER","")</f>
        <v/>
      </c>
      <c r="L1267" s="46" t="str">
        <f aca="false">IF(_PENDIENTES!$B$1261&lt;&gt;"",_PENDIENTES!$K$1261,"")</f>
        <v/>
      </c>
      <c r="M1267" s="89" t="str">
        <f aca="false">IF(_PENDIENTES!$B$1261&lt;&gt;"",_PENDIENTES!$B$1261,"")</f>
        <v/>
      </c>
      <c r="N1267" s="109" t="str">
        <f aca="false">IF(_PENDIENTES!$B$1261&lt;&gt;"",_PENDIENTES!$L$1261,"")</f>
        <v/>
      </c>
      <c r="O1267" s="89"/>
    </row>
    <row r="1268" customFormat="false" ht="15" hidden="false" customHeight="true" outlineLevel="0" collapsed="false">
      <c r="A1268" s="89"/>
      <c r="B1268" s="89"/>
      <c r="C1268" s="89"/>
      <c r="D1268" s="89"/>
      <c r="E1268" s="89"/>
      <c r="F1268" s="89"/>
      <c r="G1268" s="89"/>
      <c r="H1268" s="89"/>
      <c r="I1268" s="89"/>
      <c r="J1268" s="89"/>
      <c r="K1268" s="89"/>
      <c r="L1268" s="114"/>
      <c r="M1268" s="89"/>
      <c r="N1268" s="89"/>
      <c r="O1268" s="89"/>
    </row>
    <row r="1269" customFormat="false" ht="15" hidden="false" customHeight="true" outlineLevel="0" collapsed="false">
      <c r="A1269" s="89"/>
      <c r="B1269" s="89"/>
      <c r="C1269" s="89"/>
      <c r="D1269" s="89"/>
      <c r="E1269" s="89"/>
      <c r="F1269" s="89"/>
      <c r="G1269" s="89"/>
      <c r="H1269" s="89"/>
      <c r="I1269" s="89"/>
      <c r="J1269" s="89"/>
      <c r="K1269" s="89"/>
      <c r="L1269" s="114"/>
      <c r="M1269" s="89"/>
      <c r="N1269" s="89"/>
      <c r="O1269" s="89"/>
    </row>
    <row r="1270" customFormat="false" ht="15" hidden="false" customHeight="true" outlineLevel="0" collapsed="false">
      <c r="A1270" s="89"/>
      <c r="B1270" s="89"/>
      <c r="C1270" s="89"/>
      <c r="D1270" s="89"/>
      <c r="E1270" s="89"/>
      <c r="F1270" s="89"/>
      <c r="G1270" s="89"/>
      <c r="H1270" s="89"/>
      <c r="I1270" s="89"/>
      <c r="J1270" s="89"/>
      <c r="K1270" s="89"/>
      <c r="L1270" s="114"/>
      <c r="M1270" s="89"/>
      <c r="N1270" s="89"/>
      <c r="O1270" s="89"/>
    </row>
    <row r="1271" customFormat="false" ht="15" hidden="false" customHeight="true" outlineLevel="0" collapsed="false">
      <c r="A1271" s="89"/>
      <c r="B1271" s="89"/>
      <c r="C1271" s="89"/>
      <c r="D1271" s="89"/>
      <c r="E1271" s="89"/>
      <c r="F1271" s="89"/>
      <c r="G1271" s="89"/>
      <c r="H1271" s="89"/>
      <c r="I1271" s="89"/>
      <c r="J1271" s="89"/>
      <c r="K1271" s="89"/>
      <c r="L1271" s="114"/>
      <c r="M1271" s="89"/>
      <c r="N1271" s="89"/>
      <c r="O1271" s="89"/>
    </row>
    <row r="1272" customFormat="false" ht="15" hidden="false" customHeight="true" outlineLevel="0" collapsed="false">
      <c r="A1272" s="89"/>
      <c r="B1272" s="89"/>
      <c r="C1272" s="89"/>
      <c r="D1272" s="89"/>
      <c r="E1272" s="89"/>
      <c r="F1272" s="89"/>
      <c r="G1272" s="89"/>
      <c r="H1272" s="89"/>
      <c r="I1272" s="89"/>
      <c r="J1272" s="89"/>
      <c r="K1272" s="89"/>
      <c r="L1272" s="114"/>
      <c r="M1272" s="89"/>
      <c r="N1272" s="89"/>
      <c r="O1272" s="89"/>
    </row>
    <row r="1273" customFormat="false" ht="15" hidden="false" customHeight="true" outlineLevel="0" collapsed="false">
      <c r="A1273" s="89"/>
      <c r="B1273" s="89"/>
      <c r="C1273" s="89"/>
      <c r="D1273" s="89"/>
      <c r="E1273" s="89"/>
      <c r="F1273" s="89"/>
      <c r="G1273" s="89"/>
      <c r="H1273" s="89"/>
      <c r="I1273" s="89"/>
      <c r="J1273" s="89"/>
      <c r="K1273" s="89"/>
      <c r="L1273" s="114"/>
      <c r="M1273" s="89"/>
      <c r="N1273" s="89"/>
      <c r="O1273" s="89"/>
    </row>
    <row r="1274" customFormat="false" ht="15" hidden="false" customHeight="true" outlineLevel="0" collapsed="false">
      <c r="A1274" s="89"/>
      <c r="B1274" s="89"/>
      <c r="C1274" s="89"/>
      <c r="D1274" s="89"/>
      <c r="E1274" s="89"/>
      <c r="F1274" s="89"/>
      <c r="G1274" s="89"/>
      <c r="H1274" s="89"/>
      <c r="I1274" s="89"/>
      <c r="J1274" s="89"/>
      <c r="K1274" s="89"/>
      <c r="L1274" s="114"/>
      <c r="M1274" s="89"/>
      <c r="N1274" s="89"/>
      <c r="O1274" s="89"/>
    </row>
    <row r="1275" customFormat="false" ht="15" hidden="false" customHeight="true" outlineLevel="0" collapsed="false">
      <c r="A1275" s="89"/>
      <c r="B1275" s="89"/>
      <c r="C1275" s="89"/>
      <c r="D1275" s="89"/>
      <c r="E1275" s="89"/>
      <c r="F1275" s="89"/>
      <c r="G1275" s="89"/>
      <c r="H1275" s="89"/>
      <c r="I1275" s="89"/>
      <c r="J1275" s="89"/>
      <c r="K1275" s="89"/>
      <c r="L1275" s="114"/>
      <c r="M1275" s="89"/>
      <c r="N1275" s="89"/>
      <c r="O1275" s="89"/>
    </row>
    <row r="1276" customFormat="false" ht="15" hidden="false" customHeight="true" outlineLevel="0" collapsed="false">
      <c r="A1276" s="89"/>
      <c r="B1276" s="89"/>
      <c r="C1276" s="89"/>
      <c r="D1276" s="89"/>
      <c r="E1276" s="89"/>
      <c r="F1276" s="89"/>
      <c r="G1276" s="89"/>
      <c r="H1276" s="89"/>
      <c r="I1276" s="89"/>
      <c r="J1276" s="89"/>
      <c r="K1276" s="89"/>
      <c r="L1276" s="114"/>
      <c r="M1276" s="89"/>
      <c r="N1276" s="89"/>
      <c r="O1276" s="89"/>
    </row>
    <row r="1277" customFormat="false" ht="15" hidden="false" customHeight="true" outlineLevel="0" collapsed="false">
      <c r="A1277" s="89"/>
      <c r="B1277" s="89"/>
      <c r="C1277" s="89"/>
      <c r="D1277" s="89"/>
      <c r="E1277" s="89"/>
      <c r="F1277" s="89"/>
      <c r="G1277" s="89"/>
      <c r="H1277" s="89"/>
      <c r="I1277" s="89"/>
      <c r="J1277" s="89"/>
      <c r="K1277" s="89"/>
      <c r="L1277" s="114"/>
      <c r="M1277" s="89"/>
      <c r="N1277" s="89"/>
      <c r="O1277" s="89"/>
    </row>
    <row r="1278" customFormat="false" ht="15" hidden="false" customHeight="true" outlineLevel="0" collapsed="false">
      <c r="A1278" s="89"/>
      <c r="B1278" s="89"/>
      <c r="C1278" s="89"/>
      <c r="D1278" s="89"/>
      <c r="E1278" s="89"/>
      <c r="F1278" s="89"/>
      <c r="G1278" s="89"/>
      <c r="H1278" s="89"/>
      <c r="I1278" s="89"/>
      <c r="J1278" s="89"/>
      <c r="K1278" s="89"/>
      <c r="L1278" s="114"/>
      <c r="M1278" s="89"/>
      <c r="N1278" s="89"/>
      <c r="O1278" s="89"/>
    </row>
    <row r="1279" customFormat="false" ht="15" hidden="false" customHeight="true" outlineLevel="0" collapsed="false">
      <c r="A1279" s="89"/>
      <c r="B1279" s="89"/>
      <c r="C1279" s="89"/>
      <c r="D1279" s="89"/>
      <c r="E1279" s="89"/>
      <c r="F1279" s="89"/>
      <c r="G1279" s="89"/>
      <c r="H1279" s="89"/>
      <c r="I1279" s="89"/>
      <c r="J1279" s="89"/>
      <c r="K1279" s="89"/>
      <c r="L1279" s="114"/>
      <c r="M1279" s="89"/>
      <c r="N1279" s="89"/>
      <c r="O1279" s="89"/>
    </row>
    <row r="1280" customFormat="false" ht="15" hidden="false" customHeight="true" outlineLevel="0" collapsed="false">
      <c r="A1280" s="89"/>
      <c r="B1280" s="89"/>
      <c r="C1280" s="89"/>
      <c r="D1280" s="89"/>
      <c r="E1280" s="89"/>
      <c r="F1280" s="89"/>
      <c r="G1280" s="89"/>
      <c r="H1280" s="89"/>
      <c r="I1280" s="89"/>
      <c r="J1280" s="89"/>
      <c r="K1280" s="89"/>
      <c r="L1280" s="114"/>
      <c r="M1280" s="89"/>
      <c r="N1280" s="89"/>
      <c r="O1280" s="89"/>
    </row>
    <row r="1281" customFormat="false" ht="15" hidden="false" customHeight="true" outlineLevel="0" collapsed="false">
      <c r="A1281" s="89"/>
      <c r="B1281" s="89"/>
      <c r="C1281" s="89"/>
      <c r="D1281" s="89"/>
      <c r="E1281" s="89"/>
      <c r="F1281" s="89"/>
      <c r="G1281" s="89"/>
      <c r="H1281" s="89"/>
      <c r="I1281" s="89"/>
      <c r="J1281" s="89"/>
      <c r="K1281" s="89"/>
      <c r="L1281" s="114"/>
      <c r="M1281" s="89"/>
      <c r="N1281" s="89"/>
      <c r="O1281" s="89"/>
    </row>
    <row r="1282" customFormat="false" ht="15" hidden="false" customHeight="true" outlineLevel="0" collapsed="false">
      <c r="A1282" s="89"/>
      <c r="B1282" s="89"/>
      <c r="C1282" s="89"/>
      <c r="D1282" s="89"/>
      <c r="E1282" s="89"/>
      <c r="F1282" s="89"/>
      <c r="G1282" s="89"/>
      <c r="H1282" s="89"/>
      <c r="I1282" s="89"/>
      <c r="J1282" s="89"/>
      <c r="K1282" s="89"/>
      <c r="L1282" s="114"/>
      <c r="M1282" s="89"/>
      <c r="N1282" s="89"/>
      <c r="O1282" s="89"/>
    </row>
    <row r="1283" customFormat="false" ht="15" hidden="false" customHeight="true" outlineLevel="0" collapsed="false">
      <c r="A1283" s="89"/>
      <c r="B1283" s="89"/>
      <c r="C1283" s="89"/>
      <c r="D1283" s="89"/>
      <c r="E1283" s="89"/>
      <c r="F1283" s="89"/>
      <c r="G1283" s="89"/>
      <c r="H1283" s="89"/>
      <c r="I1283" s="89"/>
      <c r="J1283" s="89"/>
      <c r="K1283" s="89"/>
      <c r="L1283" s="114"/>
      <c r="M1283" s="89"/>
      <c r="N1283" s="89"/>
      <c r="O1283" s="89"/>
    </row>
    <row r="1284" customFormat="false" ht="15" hidden="false" customHeight="true" outlineLevel="0" collapsed="false">
      <c r="A1284" s="89"/>
      <c r="B1284" s="89"/>
      <c r="C1284" s="89"/>
      <c r="D1284" s="89"/>
      <c r="E1284" s="89"/>
      <c r="F1284" s="89"/>
      <c r="G1284" s="89"/>
      <c r="H1284" s="89"/>
      <c r="I1284" s="89"/>
      <c r="J1284" s="89"/>
      <c r="K1284" s="89"/>
      <c r="L1284" s="114"/>
      <c r="M1284" s="89"/>
      <c r="N1284" s="89"/>
      <c r="O1284" s="89"/>
    </row>
    <row r="1285" customFormat="false" ht="15" hidden="false" customHeight="true" outlineLevel="0" collapsed="false">
      <c r="A1285" s="89"/>
      <c r="B1285" s="89"/>
      <c r="C1285" s="89"/>
      <c r="D1285" s="89"/>
      <c r="E1285" s="89"/>
      <c r="F1285" s="89"/>
      <c r="G1285" s="89"/>
      <c r="H1285" s="89"/>
      <c r="I1285" s="89"/>
      <c r="J1285" s="89"/>
      <c r="K1285" s="89"/>
      <c r="L1285" s="114"/>
      <c r="M1285" s="89"/>
      <c r="N1285" s="89"/>
      <c r="O1285" s="89"/>
    </row>
    <row r="1286" customFormat="false" ht="15" hidden="false" customHeight="true" outlineLevel="0" collapsed="false">
      <c r="A1286" s="89"/>
      <c r="B1286" s="89"/>
      <c r="C1286" s="89"/>
      <c r="D1286" s="89"/>
      <c r="E1286" s="89"/>
      <c r="F1286" s="89"/>
      <c r="G1286" s="89"/>
      <c r="H1286" s="89"/>
      <c r="I1286" s="89"/>
      <c r="J1286" s="89"/>
      <c r="K1286" s="89"/>
      <c r="L1286" s="114"/>
      <c r="M1286" s="89"/>
      <c r="N1286" s="89"/>
      <c r="O1286" s="89"/>
    </row>
    <row r="1287" customFormat="false" ht="15" hidden="false" customHeight="true" outlineLevel="0" collapsed="false">
      <c r="A1287" s="89"/>
      <c r="B1287" s="89"/>
      <c r="C1287" s="89"/>
      <c r="D1287" s="89"/>
      <c r="E1287" s="89"/>
      <c r="F1287" s="89"/>
      <c r="G1287" s="89"/>
      <c r="H1287" s="89"/>
      <c r="I1287" s="89"/>
      <c r="J1287" s="89"/>
      <c r="K1287" s="89"/>
      <c r="L1287" s="114"/>
      <c r="M1287" s="89"/>
      <c r="N1287" s="89"/>
      <c r="O1287" s="89"/>
    </row>
    <row r="1288" customFormat="false" ht="15" hidden="false" customHeight="true" outlineLevel="0" collapsed="false">
      <c r="A1288" s="89"/>
      <c r="B1288" s="89"/>
      <c r="C1288" s="89"/>
      <c r="D1288" s="89"/>
      <c r="E1288" s="89"/>
      <c r="F1288" s="89"/>
      <c r="G1288" s="89"/>
      <c r="H1288" s="89"/>
      <c r="I1288" s="89"/>
      <c r="J1288" s="89"/>
      <c r="K1288" s="89"/>
      <c r="L1288" s="114"/>
      <c r="M1288" s="89"/>
      <c r="N1288" s="89"/>
      <c r="O1288" s="89"/>
    </row>
    <row r="1289" customFormat="false" ht="15" hidden="false" customHeight="true" outlineLevel="0" collapsed="false">
      <c r="A1289" s="89"/>
      <c r="B1289" s="89"/>
      <c r="C1289" s="89"/>
      <c r="D1289" s="89"/>
      <c r="E1289" s="89"/>
      <c r="F1289" s="89"/>
      <c r="G1289" s="89"/>
      <c r="H1289" s="89"/>
      <c r="I1289" s="89"/>
      <c r="J1289" s="89"/>
      <c r="K1289" s="89"/>
      <c r="L1289" s="114"/>
      <c r="M1289" s="89"/>
      <c r="N1289" s="89"/>
      <c r="O1289" s="89"/>
    </row>
    <row r="1290" customFormat="false" ht="15" hidden="false" customHeight="true" outlineLevel="0" collapsed="false">
      <c r="A1290" s="89"/>
      <c r="B1290" s="89"/>
      <c r="C1290" s="89"/>
      <c r="D1290" s="89"/>
      <c r="E1290" s="89"/>
      <c r="F1290" s="89"/>
      <c r="G1290" s="89"/>
      <c r="H1290" s="89"/>
      <c r="I1290" s="89"/>
      <c r="J1290" s="89"/>
      <c r="K1290" s="89"/>
      <c r="L1290" s="114"/>
      <c r="M1290" s="89"/>
      <c r="N1290" s="89"/>
      <c r="O1290" s="89"/>
    </row>
    <row r="1291" customFormat="false" ht="15" hidden="false" customHeight="true" outlineLevel="0" collapsed="false">
      <c r="A1291" s="89"/>
      <c r="B1291" s="89"/>
      <c r="C1291" s="89"/>
      <c r="D1291" s="89"/>
      <c r="E1291" s="89"/>
      <c r="F1291" s="89"/>
      <c r="G1291" s="89"/>
      <c r="H1291" s="89"/>
      <c r="I1291" s="89"/>
      <c r="J1291" s="89"/>
      <c r="K1291" s="89"/>
      <c r="L1291" s="114"/>
      <c r="M1291" s="89"/>
      <c r="N1291" s="89"/>
      <c r="O1291" s="89"/>
    </row>
    <row r="1292" customFormat="false" ht="15" hidden="false" customHeight="true" outlineLevel="0" collapsed="false">
      <c r="A1292" s="89"/>
      <c r="B1292" s="89"/>
      <c r="C1292" s="89"/>
      <c r="D1292" s="89"/>
      <c r="E1292" s="89"/>
      <c r="F1292" s="89"/>
      <c r="G1292" s="89"/>
      <c r="H1292" s="89"/>
      <c r="I1292" s="89"/>
      <c r="J1292" s="89"/>
      <c r="K1292" s="89"/>
      <c r="L1292" s="114"/>
      <c r="M1292" s="89"/>
      <c r="N1292" s="89"/>
      <c r="O1292" s="89"/>
    </row>
    <row r="1293" customFormat="false" ht="15" hidden="false" customHeight="true" outlineLevel="0" collapsed="false">
      <c r="A1293" s="89"/>
      <c r="B1293" s="89"/>
      <c r="C1293" s="89"/>
      <c r="D1293" s="89"/>
      <c r="E1293" s="89"/>
      <c r="F1293" s="89"/>
      <c r="G1293" s="89"/>
      <c r="H1293" s="89"/>
      <c r="I1293" s="89"/>
      <c r="J1293" s="89"/>
      <c r="K1293" s="89"/>
      <c r="L1293" s="114"/>
      <c r="M1293" s="89"/>
      <c r="N1293" s="89"/>
      <c r="O1293" s="89"/>
    </row>
    <row r="1294" customFormat="false" ht="15" hidden="false" customHeight="true" outlineLevel="0" collapsed="false">
      <c r="A1294" s="89"/>
      <c r="B1294" s="89"/>
      <c r="C1294" s="89"/>
      <c r="D1294" s="89"/>
      <c r="E1294" s="89"/>
      <c r="F1294" s="89"/>
      <c r="G1294" s="89"/>
      <c r="H1294" s="89"/>
      <c r="I1294" s="89"/>
      <c r="J1294" s="89"/>
      <c r="K1294" s="89"/>
      <c r="L1294" s="114"/>
      <c r="M1294" s="89"/>
      <c r="N1294" s="89"/>
      <c r="O1294" s="89"/>
    </row>
    <row r="1295" customFormat="false" ht="15" hidden="false" customHeight="true" outlineLevel="0" collapsed="false">
      <c r="A1295" s="89"/>
      <c r="B1295" s="89"/>
      <c r="C1295" s="89"/>
      <c r="D1295" s="89"/>
      <c r="E1295" s="89"/>
      <c r="F1295" s="89"/>
      <c r="G1295" s="89"/>
      <c r="H1295" s="89"/>
      <c r="I1295" s="89"/>
      <c r="J1295" s="89"/>
      <c r="K1295" s="89"/>
      <c r="L1295" s="114"/>
      <c r="M1295" s="89"/>
      <c r="N1295" s="89"/>
      <c r="O1295" s="89"/>
    </row>
    <row r="1296" customFormat="false" ht="15" hidden="false" customHeight="true" outlineLevel="0" collapsed="false">
      <c r="A1296" s="89"/>
      <c r="B1296" s="89"/>
      <c r="C1296" s="89"/>
      <c r="D1296" s="89"/>
      <c r="E1296" s="89"/>
      <c r="F1296" s="89"/>
      <c r="G1296" s="89"/>
      <c r="H1296" s="89"/>
      <c r="I1296" s="89"/>
      <c r="J1296" s="89"/>
      <c r="K1296" s="89"/>
      <c r="L1296" s="114"/>
      <c r="M1296" s="89"/>
      <c r="N1296" s="89"/>
      <c r="O1296" s="89"/>
    </row>
    <row r="1297" customFormat="false" ht="15" hidden="false" customHeight="true" outlineLevel="0" collapsed="false">
      <c r="A1297" s="89"/>
      <c r="B1297" s="89"/>
      <c r="C1297" s="89"/>
      <c r="D1297" s="89"/>
      <c r="E1297" s="89"/>
      <c r="F1297" s="89"/>
      <c r="G1297" s="89"/>
      <c r="H1297" s="89"/>
      <c r="I1297" s="89"/>
      <c r="J1297" s="89"/>
      <c r="K1297" s="89"/>
      <c r="L1297" s="114"/>
      <c r="M1297" s="89"/>
      <c r="N1297" s="89"/>
      <c r="O1297" s="89"/>
    </row>
    <row r="1298" customFormat="false" ht="15" hidden="false" customHeight="true" outlineLevel="0" collapsed="false">
      <c r="A1298" s="89"/>
      <c r="B1298" s="89"/>
      <c r="C1298" s="89"/>
      <c r="D1298" s="89"/>
      <c r="E1298" s="89"/>
      <c r="F1298" s="89"/>
      <c r="G1298" s="89"/>
      <c r="H1298" s="89"/>
      <c r="I1298" s="89"/>
      <c r="J1298" s="89"/>
      <c r="K1298" s="89"/>
      <c r="L1298" s="114"/>
      <c r="M1298" s="89"/>
      <c r="N1298" s="89"/>
      <c r="O1298" s="89"/>
    </row>
    <row r="1299" customFormat="false" ht="15" hidden="false" customHeight="true" outlineLevel="0" collapsed="false">
      <c r="A1299" s="89"/>
      <c r="B1299" s="89"/>
      <c r="C1299" s="89"/>
      <c r="D1299" s="89"/>
      <c r="E1299" s="89"/>
      <c r="F1299" s="89"/>
      <c r="G1299" s="89"/>
      <c r="H1299" s="89"/>
      <c r="I1299" s="89"/>
      <c r="J1299" s="89"/>
      <c r="K1299" s="89"/>
      <c r="L1299" s="114"/>
      <c r="M1299" s="89"/>
      <c r="N1299" s="89"/>
      <c r="O1299" s="89"/>
    </row>
    <row r="1300" customFormat="false" ht="15" hidden="false" customHeight="true" outlineLevel="0" collapsed="false">
      <c r="A1300" s="89"/>
      <c r="B1300" s="89"/>
      <c r="C1300" s="89"/>
      <c r="D1300" s="89"/>
      <c r="E1300" s="89"/>
      <c r="F1300" s="89"/>
      <c r="G1300" s="89"/>
      <c r="H1300" s="89"/>
      <c r="I1300" s="89"/>
      <c r="J1300" s="89"/>
      <c r="K1300" s="89"/>
      <c r="L1300" s="114"/>
      <c r="M1300" s="89"/>
      <c r="N1300" s="89"/>
      <c r="O1300" s="89"/>
    </row>
    <row r="1301" customFormat="false" ht="15" hidden="false" customHeight="true" outlineLevel="0" collapsed="false">
      <c r="A1301" s="89"/>
      <c r="B1301" s="89"/>
      <c r="C1301" s="89"/>
      <c r="D1301" s="89"/>
      <c r="E1301" s="89"/>
      <c r="F1301" s="89"/>
      <c r="G1301" s="89"/>
      <c r="H1301" s="89"/>
      <c r="I1301" s="89"/>
      <c r="J1301" s="89"/>
      <c r="K1301" s="89"/>
      <c r="L1301" s="114"/>
      <c r="M1301" s="89"/>
      <c r="N1301" s="89"/>
      <c r="O1301" s="89"/>
    </row>
    <row r="1302" customFormat="false" ht="15" hidden="false" customHeight="true" outlineLevel="0" collapsed="false">
      <c r="A1302" s="89"/>
      <c r="B1302" s="89"/>
      <c r="C1302" s="89"/>
      <c r="D1302" s="89"/>
      <c r="E1302" s="89"/>
      <c r="F1302" s="89"/>
      <c r="G1302" s="89"/>
      <c r="H1302" s="89"/>
      <c r="I1302" s="89"/>
      <c r="J1302" s="89"/>
      <c r="K1302" s="89"/>
      <c r="L1302" s="114"/>
      <c r="M1302" s="89"/>
      <c r="N1302" s="89"/>
      <c r="O1302" s="89"/>
    </row>
    <row r="1303" customFormat="false" ht="15" hidden="false" customHeight="true" outlineLevel="0" collapsed="false">
      <c r="A1303" s="89"/>
      <c r="B1303" s="89"/>
      <c r="C1303" s="89"/>
      <c r="D1303" s="89"/>
      <c r="E1303" s="89"/>
      <c r="F1303" s="89"/>
      <c r="G1303" s="89"/>
      <c r="H1303" s="89"/>
      <c r="I1303" s="89"/>
      <c r="J1303" s="89"/>
      <c r="K1303" s="89"/>
      <c r="L1303" s="114"/>
      <c r="M1303" s="89"/>
      <c r="N1303" s="89"/>
      <c r="O1303" s="89"/>
    </row>
    <row r="1304" customFormat="false" ht="15" hidden="false" customHeight="true" outlineLevel="0" collapsed="false">
      <c r="A1304" s="89"/>
      <c r="B1304" s="89"/>
      <c r="C1304" s="89"/>
      <c r="D1304" s="89"/>
      <c r="E1304" s="89"/>
      <c r="F1304" s="89"/>
      <c r="G1304" s="89"/>
      <c r="H1304" s="89"/>
      <c r="I1304" s="89"/>
      <c r="J1304" s="89"/>
      <c r="K1304" s="89"/>
      <c r="L1304" s="114"/>
      <c r="M1304" s="89"/>
      <c r="N1304" s="89"/>
      <c r="O1304" s="89"/>
    </row>
    <row r="1305" customFormat="false" ht="15" hidden="false" customHeight="true" outlineLevel="0" collapsed="false">
      <c r="A1305" s="89"/>
      <c r="B1305" s="89"/>
      <c r="C1305" s="89"/>
      <c r="D1305" s="89"/>
      <c r="E1305" s="89"/>
      <c r="F1305" s="89"/>
      <c r="G1305" s="89"/>
      <c r="H1305" s="89"/>
      <c r="I1305" s="89"/>
      <c r="J1305" s="89"/>
      <c r="K1305" s="89"/>
      <c r="L1305" s="114"/>
      <c r="M1305" s="89"/>
      <c r="N1305" s="89"/>
      <c r="O1305" s="89"/>
    </row>
    <row r="1306" customFormat="false" ht="15" hidden="false" customHeight="true" outlineLevel="0" collapsed="false">
      <c r="A1306" s="89"/>
      <c r="B1306" s="89"/>
      <c r="C1306" s="89"/>
      <c r="D1306" s="89"/>
      <c r="E1306" s="89"/>
      <c r="F1306" s="89"/>
      <c r="G1306" s="89"/>
      <c r="H1306" s="89"/>
      <c r="I1306" s="89"/>
      <c r="J1306" s="89"/>
      <c r="K1306" s="89"/>
      <c r="L1306" s="114"/>
      <c r="M1306" s="89"/>
      <c r="N1306" s="89"/>
      <c r="O1306" s="89"/>
    </row>
    <row r="1307" customFormat="false" ht="15" hidden="false" customHeight="true" outlineLevel="0" collapsed="false">
      <c r="A1307" s="89"/>
      <c r="B1307" s="89"/>
      <c r="C1307" s="89"/>
      <c r="D1307" s="89"/>
      <c r="E1307" s="89"/>
      <c r="F1307" s="89"/>
      <c r="G1307" s="89"/>
      <c r="H1307" s="89"/>
      <c r="I1307" s="89"/>
      <c r="J1307" s="89"/>
      <c r="K1307" s="89"/>
      <c r="L1307" s="114"/>
      <c r="M1307" s="89"/>
      <c r="N1307" s="89"/>
      <c r="O1307" s="89"/>
    </row>
    <row r="1308" customFormat="false" ht="15" hidden="false" customHeight="true" outlineLevel="0" collapsed="false">
      <c r="A1308" s="89"/>
      <c r="B1308" s="89"/>
      <c r="C1308" s="89"/>
      <c r="D1308" s="89"/>
      <c r="E1308" s="89"/>
      <c r="F1308" s="89"/>
      <c r="G1308" s="89"/>
      <c r="H1308" s="89"/>
      <c r="I1308" s="89"/>
      <c r="J1308" s="89"/>
      <c r="K1308" s="89"/>
      <c r="L1308" s="114"/>
      <c r="M1308" s="89"/>
      <c r="N1308" s="89"/>
      <c r="O1308" s="89"/>
    </row>
    <row r="1309" customFormat="false" ht="15" hidden="false" customHeight="true" outlineLevel="0" collapsed="false">
      <c r="A1309" s="89"/>
      <c r="B1309" s="89"/>
      <c r="C1309" s="89"/>
      <c r="D1309" s="89"/>
      <c r="E1309" s="89"/>
      <c r="F1309" s="89"/>
      <c r="G1309" s="89"/>
      <c r="H1309" s="89"/>
      <c r="I1309" s="89"/>
      <c r="J1309" s="89"/>
      <c r="K1309" s="89"/>
      <c r="L1309" s="114"/>
      <c r="M1309" s="89"/>
      <c r="N1309" s="89"/>
      <c r="O1309" s="89"/>
    </row>
    <row r="1310" customFormat="false" ht="15" hidden="false" customHeight="true" outlineLevel="0" collapsed="false">
      <c r="A1310" s="89"/>
      <c r="B1310" s="89"/>
      <c r="C1310" s="89"/>
      <c r="D1310" s="89"/>
      <c r="E1310" s="89"/>
      <c r="F1310" s="89"/>
      <c r="G1310" s="89"/>
      <c r="H1310" s="89"/>
      <c r="I1310" s="89"/>
      <c r="J1310" s="89"/>
      <c r="K1310" s="89"/>
      <c r="L1310" s="114"/>
      <c r="M1310" s="89"/>
      <c r="N1310" s="89"/>
      <c r="O1310" s="89"/>
    </row>
    <row r="1311" customFormat="false" ht="15" hidden="false" customHeight="true" outlineLevel="0" collapsed="false">
      <c r="A1311" s="89"/>
      <c r="B1311" s="89"/>
      <c r="C1311" s="89"/>
      <c r="D1311" s="89"/>
      <c r="E1311" s="89"/>
      <c r="F1311" s="89"/>
      <c r="G1311" s="89"/>
      <c r="H1311" s="89"/>
      <c r="I1311" s="89"/>
      <c r="J1311" s="89"/>
      <c r="K1311" s="89"/>
      <c r="L1311" s="114"/>
      <c r="M1311" s="89"/>
      <c r="N1311" s="89"/>
      <c r="O1311" s="89"/>
    </row>
    <row r="1312" customFormat="false" ht="15" hidden="false" customHeight="true" outlineLevel="0" collapsed="false">
      <c r="A1312" s="89"/>
      <c r="B1312" s="89"/>
      <c r="C1312" s="89"/>
      <c r="D1312" s="89"/>
      <c r="E1312" s="89"/>
      <c r="F1312" s="89"/>
      <c r="G1312" s="89"/>
      <c r="H1312" s="89"/>
      <c r="I1312" s="89"/>
      <c r="J1312" s="89"/>
      <c r="K1312" s="89"/>
      <c r="L1312" s="114"/>
      <c r="M1312" s="89"/>
      <c r="N1312" s="89"/>
      <c r="O1312" s="89"/>
    </row>
    <row r="1313" customFormat="false" ht="15" hidden="false" customHeight="true" outlineLevel="0" collapsed="false">
      <c r="A1313" s="89"/>
      <c r="B1313" s="89"/>
      <c r="C1313" s="89"/>
      <c r="D1313" s="89"/>
      <c r="E1313" s="89"/>
      <c r="F1313" s="89"/>
      <c r="G1313" s="89"/>
      <c r="H1313" s="89"/>
      <c r="I1313" s="89"/>
      <c r="J1313" s="89"/>
      <c r="K1313" s="89"/>
      <c r="L1313" s="114"/>
      <c r="M1313" s="89"/>
      <c r="N1313" s="89"/>
      <c r="O1313" s="89"/>
    </row>
    <row r="1314" customFormat="false" ht="15" hidden="false" customHeight="true" outlineLevel="0" collapsed="false">
      <c r="A1314" s="89"/>
      <c r="B1314" s="89"/>
      <c r="C1314" s="89"/>
      <c r="D1314" s="89"/>
      <c r="E1314" s="89"/>
      <c r="F1314" s="89"/>
      <c r="G1314" s="89"/>
      <c r="H1314" s="89"/>
      <c r="I1314" s="89"/>
      <c r="J1314" s="89"/>
      <c r="K1314" s="89"/>
      <c r="L1314" s="114"/>
      <c r="M1314" s="89"/>
      <c r="N1314" s="89"/>
      <c r="O1314" s="89"/>
    </row>
    <row r="1315" customFormat="false" ht="15" hidden="false" customHeight="true" outlineLevel="0" collapsed="false">
      <c r="A1315" s="89"/>
      <c r="B1315" s="89"/>
      <c r="C1315" s="89"/>
      <c r="D1315" s="89"/>
      <c r="E1315" s="89"/>
      <c r="F1315" s="89"/>
      <c r="G1315" s="89"/>
      <c r="H1315" s="89"/>
      <c r="I1315" s="89"/>
      <c r="J1315" s="89"/>
      <c r="K1315" s="89"/>
      <c r="L1315" s="114"/>
      <c r="M1315" s="89"/>
      <c r="N1315" s="89"/>
      <c r="O1315" s="89"/>
    </row>
    <row r="1316" customFormat="false" ht="15" hidden="false" customHeight="true" outlineLevel="0" collapsed="false">
      <c r="A1316" s="89"/>
      <c r="B1316" s="89"/>
      <c r="C1316" s="89"/>
      <c r="D1316" s="89"/>
      <c r="E1316" s="89"/>
      <c r="F1316" s="89"/>
      <c r="G1316" s="89"/>
      <c r="H1316" s="89"/>
      <c r="I1316" s="89"/>
      <c r="J1316" s="89"/>
      <c r="K1316" s="89"/>
      <c r="L1316" s="114"/>
      <c r="M1316" s="89"/>
      <c r="N1316" s="89"/>
      <c r="O1316" s="89"/>
    </row>
    <row r="1317" customFormat="false" ht="15" hidden="false" customHeight="true" outlineLevel="0" collapsed="false">
      <c r="A1317" s="89"/>
      <c r="B1317" s="89"/>
      <c r="C1317" s="89"/>
      <c r="D1317" s="89"/>
      <c r="E1317" s="89"/>
      <c r="F1317" s="89"/>
      <c r="G1317" s="89"/>
      <c r="H1317" s="89"/>
      <c r="I1317" s="89"/>
      <c r="J1317" s="89"/>
      <c r="K1317" s="89"/>
      <c r="L1317" s="114"/>
      <c r="M1317" s="89"/>
      <c r="N1317" s="89"/>
      <c r="O1317" s="89"/>
    </row>
    <row r="1318" customFormat="false" ht="15" hidden="false" customHeight="true" outlineLevel="0" collapsed="false">
      <c r="A1318" s="89"/>
      <c r="B1318" s="89"/>
      <c r="C1318" s="89"/>
      <c r="D1318" s="89"/>
      <c r="E1318" s="89"/>
      <c r="F1318" s="89"/>
      <c r="G1318" s="89"/>
      <c r="H1318" s="89"/>
      <c r="I1318" s="89"/>
      <c r="J1318" s="89"/>
      <c r="K1318" s="89"/>
      <c r="L1318" s="114"/>
      <c r="M1318" s="89"/>
      <c r="N1318" s="89"/>
      <c r="O1318" s="89"/>
    </row>
    <row r="1319" customFormat="false" ht="15" hidden="false" customHeight="true" outlineLevel="0" collapsed="false">
      <c r="A1319" s="89"/>
      <c r="B1319" s="89"/>
      <c r="C1319" s="89"/>
      <c r="D1319" s="89"/>
      <c r="E1319" s="89"/>
      <c r="F1319" s="89"/>
      <c r="G1319" s="89"/>
      <c r="H1319" s="89"/>
      <c r="I1319" s="89"/>
      <c r="J1319" s="89"/>
      <c r="K1319" s="89"/>
      <c r="L1319" s="114"/>
      <c r="M1319" s="89"/>
      <c r="N1319" s="89"/>
      <c r="O1319" s="89"/>
    </row>
    <row r="1320" customFormat="false" ht="15" hidden="false" customHeight="true" outlineLevel="0" collapsed="false">
      <c r="A1320" s="89"/>
      <c r="B1320" s="89"/>
      <c r="C1320" s="89"/>
      <c r="D1320" s="89"/>
      <c r="E1320" s="89"/>
      <c r="F1320" s="89"/>
      <c r="G1320" s="89"/>
      <c r="H1320" s="89"/>
      <c r="I1320" s="89"/>
      <c r="J1320" s="89"/>
      <c r="K1320" s="89"/>
      <c r="L1320" s="114"/>
      <c r="M1320" s="89"/>
      <c r="N1320" s="89"/>
      <c r="O1320" s="89"/>
    </row>
    <row r="1321" customFormat="false" ht="15" hidden="false" customHeight="true" outlineLevel="0" collapsed="false">
      <c r="A1321" s="89"/>
      <c r="B1321" s="89"/>
      <c r="C1321" s="89"/>
      <c r="D1321" s="89"/>
      <c r="E1321" s="89"/>
      <c r="F1321" s="89"/>
      <c r="G1321" s="89"/>
      <c r="H1321" s="89"/>
      <c r="I1321" s="89"/>
      <c r="J1321" s="89"/>
      <c r="K1321" s="89"/>
      <c r="L1321" s="114"/>
      <c r="M1321" s="89"/>
      <c r="N1321" s="89"/>
      <c r="O1321" s="89"/>
    </row>
    <row r="1322" customFormat="false" ht="24" hidden="false" customHeight="true" outlineLevel="0" collapsed="false">
      <c r="A1322" s="89"/>
      <c r="B1322" s="89"/>
      <c r="C1322" s="89"/>
      <c r="D1322" s="89"/>
      <c r="E1322" s="89"/>
      <c r="F1322" s="89"/>
      <c r="G1322" s="89"/>
      <c r="H1322" s="89"/>
      <c r="I1322" s="89"/>
      <c r="J1322" s="89"/>
      <c r="K1322" s="89"/>
      <c r="L1322" s="114"/>
      <c r="M1322" s="89"/>
      <c r="N1322" s="89"/>
      <c r="O1322" s="89"/>
    </row>
    <row r="1323" customFormat="false" ht="15" hidden="false" customHeight="true" outlineLevel="0" collapsed="false">
      <c r="A1323" s="89"/>
      <c r="B1323" s="89"/>
      <c r="C1323" s="89"/>
      <c r="D1323" s="89"/>
      <c r="E1323" s="89"/>
      <c r="F1323" s="89"/>
      <c r="G1323" s="89"/>
      <c r="H1323" s="89"/>
      <c r="I1323" s="89"/>
      <c r="J1323" s="89"/>
      <c r="K1323" s="89"/>
      <c r="L1323" s="114"/>
      <c r="M1323" s="89"/>
      <c r="N1323" s="89"/>
      <c r="O1323" s="89"/>
    </row>
    <row r="1324" customFormat="false" ht="15" hidden="false" customHeight="true" outlineLevel="0" collapsed="false">
      <c r="A1324" s="89"/>
      <c r="B1324" s="89"/>
      <c r="C1324" s="89"/>
      <c r="D1324" s="89"/>
      <c r="E1324" s="89"/>
      <c r="F1324" s="89"/>
      <c r="G1324" s="89"/>
      <c r="H1324" s="89"/>
      <c r="I1324" s="89"/>
      <c r="J1324" s="89"/>
      <c r="K1324" s="89"/>
      <c r="L1324" s="114"/>
      <c r="M1324" s="89"/>
      <c r="N1324" s="89"/>
      <c r="O1324" s="89"/>
    </row>
    <row r="1325" customFormat="false" ht="15" hidden="false" customHeight="true" outlineLevel="0" collapsed="false">
      <c r="A1325" s="89"/>
      <c r="B1325" s="89"/>
      <c r="C1325" s="89"/>
      <c r="D1325" s="89"/>
      <c r="E1325" s="89"/>
      <c r="F1325" s="89"/>
      <c r="G1325" s="89"/>
      <c r="H1325" s="89"/>
      <c r="I1325" s="89"/>
      <c r="J1325" s="89"/>
      <c r="K1325" s="89"/>
      <c r="L1325" s="114"/>
      <c r="M1325" s="89"/>
      <c r="N1325" s="89"/>
      <c r="O1325" s="89"/>
    </row>
    <row r="1326" customFormat="false" ht="15" hidden="false" customHeight="true" outlineLevel="0" collapsed="false">
      <c r="A1326" s="89"/>
      <c r="B1326" s="89"/>
      <c r="C1326" s="89"/>
      <c r="D1326" s="89"/>
      <c r="E1326" s="89"/>
      <c r="F1326" s="89"/>
      <c r="G1326" s="89"/>
      <c r="H1326" s="89"/>
      <c r="I1326" s="89"/>
      <c r="J1326" s="89"/>
      <c r="K1326" s="89"/>
      <c r="L1326" s="114"/>
      <c r="M1326" s="89"/>
      <c r="N1326" s="89"/>
      <c r="O1326" s="89"/>
    </row>
    <row r="1327" customFormat="false" ht="15" hidden="false" customHeight="true" outlineLevel="0" collapsed="false">
      <c r="A1327" s="89"/>
      <c r="B1327" s="89"/>
      <c r="C1327" s="89"/>
      <c r="D1327" s="89"/>
      <c r="E1327" s="89"/>
      <c r="F1327" s="89"/>
      <c r="G1327" s="89"/>
      <c r="H1327" s="89"/>
      <c r="I1327" s="89"/>
      <c r="J1327" s="89"/>
      <c r="K1327" s="89"/>
      <c r="L1327" s="114"/>
      <c r="M1327" s="89"/>
      <c r="N1327" s="89"/>
      <c r="O1327" s="89"/>
    </row>
    <row r="1328" customFormat="false" ht="15" hidden="false" customHeight="true" outlineLevel="0" collapsed="false">
      <c r="A1328" s="89"/>
      <c r="B1328" s="89"/>
      <c r="C1328" s="89"/>
      <c r="D1328" s="89"/>
      <c r="E1328" s="89"/>
      <c r="F1328" s="89"/>
      <c r="G1328" s="89"/>
      <c r="H1328" s="89"/>
      <c r="I1328" s="89"/>
      <c r="J1328" s="89"/>
      <c r="K1328" s="89"/>
      <c r="L1328" s="114"/>
      <c r="M1328" s="89"/>
      <c r="N1328" s="89"/>
      <c r="O1328" s="89"/>
    </row>
    <row r="1329" customFormat="false" ht="15" hidden="false" customHeight="true" outlineLevel="0" collapsed="false">
      <c r="A1329" s="89"/>
      <c r="B1329" s="89"/>
      <c r="C1329" s="89"/>
      <c r="D1329" s="89"/>
      <c r="E1329" s="89"/>
      <c r="F1329" s="89"/>
      <c r="G1329" s="89"/>
      <c r="H1329" s="89"/>
      <c r="I1329" s="89"/>
      <c r="J1329" s="89"/>
      <c r="K1329" s="89"/>
      <c r="L1329" s="114"/>
      <c r="M1329" s="89"/>
      <c r="N1329" s="89"/>
      <c r="O1329" s="89"/>
    </row>
    <row r="1330" customFormat="false" ht="15" hidden="false" customHeight="true" outlineLevel="0" collapsed="false">
      <c r="A1330" s="89"/>
      <c r="B1330" s="89"/>
      <c r="C1330" s="89"/>
      <c r="D1330" s="89"/>
      <c r="E1330" s="89"/>
      <c r="F1330" s="89"/>
      <c r="G1330" s="89"/>
      <c r="H1330" s="89"/>
      <c r="I1330" s="89"/>
      <c r="J1330" s="89"/>
      <c r="K1330" s="89"/>
      <c r="L1330" s="114"/>
      <c r="M1330" s="89"/>
      <c r="N1330" s="89"/>
      <c r="O1330" s="89"/>
    </row>
    <row r="1331" customFormat="false" ht="15" hidden="false" customHeight="true" outlineLevel="0" collapsed="false">
      <c r="A1331" s="89"/>
      <c r="B1331" s="89"/>
      <c r="C1331" s="89"/>
      <c r="D1331" s="89"/>
      <c r="E1331" s="89"/>
      <c r="F1331" s="89"/>
      <c r="G1331" s="89"/>
      <c r="H1331" s="89"/>
      <c r="I1331" s="89"/>
      <c r="J1331" s="89"/>
      <c r="K1331" s="89"/>
      <c r="L1331" s="114"/>
      <c r="M1331" s="89"/>
      <c r="N1331" s="89"/>
      <c r="O1331" s="89"/>
    </row>
    <row r="1332" customFormat="false" ht="15" hidden="false" customHeight="true" outlineLevel="0" collapsed="false">
      <c r="A1332" s="89"/>
      <c r="B1332" s="89"/>
      <c r="C1332" s="89"/>
      <c r="D1332" s="89"/>
      <c r="E1332" s="89"/>
      <c r="F1332" s="89"/>
      <c r="G1332" s="89"/>
      <c r="H1332" s="89"/>
      <c r="I1332" s="89"/>
      <c r="J1332" s="89"/>
      <c r="K1332" s="89"/>
      <c r="L1332" s="114"/>
      <c r="M1332" s="89"/>
      <c r="N1332" s="89"/>
      <c r="O1332" s="89"/>
    </row>
    <row r="1333" customFormat="false" ht="15" hidden="false" customHeight="true" outlineLevel="0" collapsed="false">
      <c r="A1333" s="89"/>
      <c r="B1333" s="89"/>
      <c r="C1333" s="89"/>
      <c r="D1333" s="89"/>
      <c r="E1333" s="89"/>
      <c r="F1333" s="89"/>
      <c r="G1333" s="89"/>
      <c r="H1333" s="89"/>
      <c r="I1333" s="89"/>
      <c r="J1333" s="89"/>
      <c r="K1333" s="89"/>
      <c r="L1333" s="114"/>
      <c r="M1333" s="89"/>
      <c r="N1333" s="89"/>
      <c r="O1333" s="89"/>
    </row>
    <row r="1334" customFormat="false" ht="15" hidden="false" customHeight="true" outlineLevel="0" collapsed="false">
      <c r="A1334" s="89"/>
      <c r="B1334" s="89"/>
      <c r="C1334" s="89"/>
      <c r="D1334" s="89"/>
      <c r="E1334" s="89"/>
      <c r="F1334" s="89"/>
      <c r="G1334" s="89"/>
      <c r="H1334" s="89"/>
      <c r="I1334" s="89"/>
      <c r="J1334" s="89"/>
      <c r="K1334" s="89"/>
      <c r="L1334" s="114"/>
      <c r="M1334" s="89"/>
      <c r="N1334" s="89"/>
      <c r="O1334" s="89"/>
    </row>
    <row r="1335" customFormat="false" ht="15" hidden="false" customHeight="true" outlineLevel="0" collapsed="false">
      <c r="A1335" s="89"/>
      <c r="B1335" s="89"/>
      <c r="C1335" s="89"/>
      <c r="D1335" s="89"/>
      <c r="E1335" s="89"/>
      <c r="F1335" s="89"/>
      <c r="G1335" s="89"/>
      <c r="H1335" s="89"/>
      <c r="I1335" s="89"/>
      <c r="J1335" s="89"/>
      <c r="K1335" s="89"/>
      <c r="L1335" s="114"/>
      <c r="M1335" s="89"/>
      <c r="N1335" s="89"/>
      <c r="O1335" s="89"/>
    </row>
    <row r="1336" customFormat="false" ht="15" hidden="false" customHeight="true" outlineLevel="0" collapsed="false">
      <c r="A1336" s="89"/>
      <c r="B1336" s="89"/>
      <c r="C1336" s="89"/>
      <c r="D1336" s="89"/>
      <c r="E1336" s="89"/>
      <c r="F1336" s="89"/>
      <c r="G1336" s="89"/>
      <c r="H1336" s="89"/>
      <c r="I1336" s="89"/>
      <c r="J1336" s="89"/>
      <c r="K1336" s="89"/>
      <c r="L1336" s="114"/>
      <c r="M1336" s="89"/>
      <c r="N1336" s="89"/>
      <c r="O1336" s="89"/>
    </row>
    <row r="1337" customFormat="false" ht="15" hidden="false" customHeight="true" outlineLevel="0" collapsed="false">
      <c r="A1337" s="89"/>
      <c r="B1337" s="89"/>
      <c r="C1337" s="89"/>
      <c r="D1337" s="89"/>
      <c r="E1337" s="89"/>
      <c r="F1337" s="89"/>
      <c r="G1337" s="89"/>
      <c r="H1337" s="89"/>
      <c r="I1337" s="89"/>
      <c r="J1337" s="89"/>
      <c r="K1337" s="89"/>
      <c r="L1337" s="114"/>
      <c r="M1337" s="89"/>
      <c r="N1337" s="89"/>
      <c r="O1337" s="89"/>
    </row>
    <row r="1338" customFormat="false" ht="15" hidden="false" customHeight="true" outlineLevel="0" collapsed="false">
      <c r="A1338" s="89"/>
      <c r="B1338" s="89"/>
      <c r="C1338" s="89"/>
      <c r="D1338" s="89"/>
      <c r="E1338" s="89"/>
      <c r="F1338" s="89"/>
      <c r="G1338" s="89"/>
      <c r="H1338" s="89"/>
      <c r="I1338" s="89"/>
      <c r="J1338" s="89"/>
      <c r="K1338" s="89"/>
      <c r="L1338" s="114"/>
      <c r="M1338" s="89"/>
      <c r="N1338" s="89"/>
      <c r="O1338" s="89"/>
    </row>
    <row r="1339" customFormat="false" ht="15" hidden="false" customHeight="true" outlineLevel="0" collapsed="false">
      <c r="A1339" s="89"/>
      <c r="B1339" s="89"/>
      <c r="C1339" s="89"/>
      <c r="D1339" s="89"/>
      <c r="E1339" s="89"/>
      <c r="F1339" s="89"/>
      <c r="G1339" s="89"/>
      <c r="H1339" s="89"/>
      <c r="I1339" s="89"/>
      <c r="J1339" s="89"/>
      <c r="K1339" s="89"/>
      <c r="L1339" s="114"/>
      <c r="M1339" s="89"/>
      <c r="N1339" s="89"/>
      <c r="O1339" s="89"/>
    </row>
    <row r="1340" customFormat="false" ht="15" hidden="false" customHeight="true" outlineLevel="0" collapsed="false">
      <c r="A1340" s="89"/>
      <c r="B1340" s="89"/>
      <c r="C1340" s="89"/>
      <c r="D1340" s="89"/>
      <c r="E1340" s="89"/>
      <c r="F1340" s="89"/>
      <c r="G1340" s="89"/>
      <c r="H1340" s="89"/>
      <c r="I1340" s="89"/>
      <c r="J1340" s="89"/>
      <c r="K1340" s="89"/>
      <c r="L1340" s="114"/>
      <c r="M1340" s="89"/>
      <c r="N1340" s="89"/>
      <c r="O1340" s="89"/>
    </row>
    <row r="1341" customFormat="false" ht="15" hidden="false" customHeight="true" outlineLevel="0" collapsed="false">
      <c r="A1341" s="89"/>
      <c r="B1341" s="89"/>
      <c r="C1341" s="89"/>
      <c r="D1341" s="89"/>
      <c r="E1341" s="89"/>
      <c r="F1341" s="89"/>
      <c r="G1341" s="89"/>
      <c r="H1341" s="89"/>
      <c r="I1341" s="89"/>
      <c r="J1341" s="89"/>
      <c r="K1341" s="89"/>
      <c r="L1341" s="114"/>
      <c r="M1341" s="89"/>
      <c r="N1341" s="89"/>
      <c r="O1341" s="89"/>
    </row>
    <row r="1342" customFormat="false" ht="15" hidden="false" customHeight="true" outlineLevel="0" collapsed="false">
      <c r="A1342" s="89"/>
      <c r="B1342" s="89"/>
      <c r="C1342" s="89"/>
      <c r="D1342" s="89"/>
      <c r="E1342" s="89"/>
      <c r="F1342" s="89"/>
      <c r="G1342" s="89"/>
      <c r="H1342" s="89"/>
      <c r="I1342" s="89"/>
      <c r="J1342" s="89"/>
      <c r="K1342" s="89"/>
      <c r="L1342" s="114"/>
      <c r="M1342" s="89"/>
      <c r="N1342" s="89"/>
      <c r="O1342" s="89"/>
    </row>
    <row r="1343" customFormat="false" ht="15" hidden="false" customHeight="true" outlineLevel="0" collapsed="false">
      <c r="A1343" s="89"/>
      <c r="B1343" s="89"/>
      <c r="C1343" s="89"/>
      <c r="D1343" s="89"/>
      <c r="E1343" s="89"/>
      <c r="F1343" s="89"/>
      <c r="G1343" s="89"/>
      <c r="H1343" s="89"/>
      <c r="I1343" s="89"/>
      <c r="J1343" s="89"/>
      <c r="K1343" s="89"/>
      <c r="L1343" s="114"/>
      <c r="M1343" s="89"/>
      <c r="N1343" s="89"/>
      <c r="O1343" s="89"/>
    </row>
    <row r="1344" customFormat="false" ht="15" hidden="false" customHeight="true" outlineLevel="0" collapsed="false">
      <c r="A1344" s="89"/>
      <c r="B1344" s="89"/>
      <c r="C1344" s="89"/>
      <c r="D1344" s="89"/>
      <c r="E1344" s="89"/>
      <c r="F1344" s="89"/>
      <c r="G1344" s="89"/>
      <c r="H1344" s="89"/>
      <c r="I1344" s="89"/>
      <c r="J1344" s="89"/>
      <c r="K1344" s="89"/>
      <c r="L1344" s="114"/>
      <c r="M1344" s="89"/>
      <c r="N1344" s="89"/>
      <c r="O1344" s="89"/>
    </row>
    <row r="1345" customFormat="false" ht="15" hidden="false" customHeight="true" outlineLevel="0" collapsed="false">
      <c r="A1345" s="89"/>
      <c r="B1345" s="89"/>
      <c r="C1345" s="89"/>
      <c r="D1345" s="89"/>
      <c r="E1345" s="89"/>
      <c r="F1345" s="89"/>
      <c r="G1345" s="89"/>
      <c r="H1345" s="89"/>
      <c r="I1345" s="89"/>
      <c r="J1345" s="89"/>
      <c r="K1345" s="89"/>
      <c r="L1345" s="114"/>
      <c r="M1345" s="89"/>
      <c r="N1345" s="89"/>
      <c r="O1345" s="89"/>
    </row>
    <row r="1346" customFormat="false" ht="15" hidden="false" customHeight="true" outlineLevel="0" collapsed="false">
      <c r="A1346" s="89"/>
      <c r="B1346" s="89"/>
      <c r="C1346" s="89"/>
      <c r="D1346" s="89"/>
      <c r="E1346" s="89"/>
      <c r="F1346" s="89"/>
      <c r="G1346" s="89"/>
      <c r="H1346" s="89"/>
      <c r="I1346" s="89"/>
      <c r="J1346" s="89"/>
      <c r="K1346" s="89"/>
      <c r="L1346" s="114"/>
      <c r="M1346" s="89"/>
      <c r="N1346" s="89"/>
      <c r="O1346" s="89"/>
    </row>
    <row r="1347" customFormat="false" ht="15" hidden="false" customHeight="true" outlineLevel="0" collapsed="false">
      <c r="A1347" s="89"/>
      <c r="B1347" s="89"/>
      <c r="C1347" s="89"/>
      <c r="D1347" s="89"/>
      <c r="E1347" s="89"/>
      <c r="F1347" s="89"/>
      <c r="G1347" s="89"/>
      <c r="H1347" s="89"/>
      <c r="I1347" s="89"/>
      <c r="J1347" s="89"/>
      <c r="K1347" s="89"/>
      <c r="L1347" s="114"/>
      <c r="M1347" s="89"/>
      <c r="N1347" s="89"/>
      <c r="O1347" s="89"/>
    </row>
    <row r="1348" customFormat="false" ht="15" hidden="false" customHeight="true" outlineLevel="0" collapsed="false">
      <c r="A1348" s="89"/>
      <c r="B1348" s="89"/>
      <c r="C1348" s="89"/>
      <c r="D1348" s="89"/>
      <c r="E1348" s="89"/>
      <c r="F1348" s="89"/>
      <c r="G1348" s="89"/>
      <c r="H1348" s="89"/>
      <c r="I1348" s="89"/>
      <c r="J1348" s="89"/>
      <c r="K1348" s="89"/>
      <c r="L1348" s="114"/>
      <c r="M1348" s="89"/>
      <c r="N1348" s="89"/>
      <c r="O1348" s="89"/>
    </row>
    <row r="1349" customFormat="false" ht="15" hidden="false" customHeight="true" outlineLevel="0" collapsed="false">
      <c r="A1349" s="89"/>
      <c r="B1349" s="89"/>
      <c r="C1349" s="89"/>
      <c r="D1349" s="89"/>
      <c r="E1349" s="89"/>
      <c r="F1349" s="89"/>
      <c r="G1349" s="89"/>
      <c r="H1349" s="89"/>
      <c r="I1349" s="89"/>
      <c r="J1349" s="89"/>
      <c r="K1349" s="89"/>
      <c r="L1349" s="114"/>
      <c r="M1349" s="89"/>
      <c r="N1349" s="89"/>
      <c r="O1349" s="89"/>
    </row>
    <row r="1350" customFormat="false" ht="15" hidden="false" customHeight="true" outlineLevel="0" collapsed="false">
      <c r="A1350" s="89"/>
      <c r="B1350" s="89"/>
      <c r="C1350" s="89"/>
      <c r="D1350" s="89"/>
      <c r="E1350" s="89"/>
      <c r="F1350" s="89"/>
      <c r="G1350" s="89"/>
      <c r="H1350" s="89"/>
      <c r="I1350" s="89"/>
      <c r="J1350" s="89"/>
      <c r="K1350" s="89"/>
      <c r="L1350" s="114"/>
      <c r="M1350" s="89"/>
      <c r="N1350" s="89"/>
      <c r="O1350" s="89"/>
    </row>
    <row r="1351" customFormat="false" ht="15" hidden="false" customHeight="true" outlineLevel="0" collapsed="false">
      <c r="A1351" s="89"/>
      <c r="B1351" s="89"/>
      <c r="C1351" s="89"/>
      <c r="D1351" s="89"/>
      <c r="E1351" s="89"/>
      <c r="F1351" s="89"/>
      <c r="G1351" s="89"/>
      <c r="H1351" s="89"/>
      <c r="I1351" s="89"/>
      <c r="J1351" s="89"/>
      <c r="K1351" s="89"/>
      <c r="L1351" s="114"/>
      <c r="M1351" s="89"/>
      <c r="N1351" s="89"/>
      <c r="O1351" s="89"/>
    </row>
    <row r="1352" customFormat="false" ht="15" hidden="false" customHeight="true" outlineLevel="0" collapsed="false">
      <c r="A1352" s="89"/>
      <c r="B1352" s="89"/>
      <c r="C1352" s="89"/>
      <c r="D1352" s="89"/>
      <c r="E1352" s="89"/>
      <c r="F1352" s="89"/>
      <c r="G1352" s="89"/>
      <c r="H1352" s="89"/>
      <c r="I1352" s="89"/>
      <c r="J1352" s="89"/>
      <c r="K1352" s="89"/>
      <c r="L1352" s="114"/>
      <c r="M1352" s="89"/>
      <c r="N1352" s="89"/>
      <c r="O1352" s="89"/>
    </row>
    <row r="1353" customFormat="false" ht="15" hidden="false" customHeight="true" outlineLevel="0" collapsed="false">
      <c r="A1353" s="89"/>
      <c r="B1353" s="89"/>
      <c r="C1353" s="89"/>
      <c r="D1353" s="89"/>
      <c r="E1353" s="89"/>
      <c r="F1353" s="89"/>
      <c r="G1353" s="89"/>
      <c r="H1353" s="89"/>
      <c r="I1353" s="89"/>
      <c r="J1353" s="89"/>
      <c r="K1353" s="89"/>
      <c r="L1353" s="114"/>
      <c r="M1353" s="89"/>
      <c r="N1353" s="89"/>
      <c r="O1353" s="89"/>
    </row>
    <row r="1354" customFormat="false" ht="15" hidden="false" customHeight="true" outlineLevel="0" collapsed="false">
      <c r="A1354" s="89"/>
      <c r="B1354" s="89"/>
      <c r="C1354" s="89"/>
      <c r="D1354" s="89"/>
      <c r="E1354" s="89"/>
      <c r="F1354" s="89"/>
      <c r="G1354" s="89"/>
      <c r="H1354" s="89"/>
      <c r="I1354" s="89"/>
      <c r="J1354" s="89"/>
      <c r="K1354" s="89"/>
      <c r="L1354" s="114"/>
      <c r="M1354" s="89"/>
      <c r="N1354" s="89"/>
      <c r="O1354" s="89"/>
    </row>
    <row r="1355" customFormat="false" ht="15" hidden="false" customHeight="true" outlineLevel="0" collapsed="false">
      <c r="A1355" s="89"/>
      <c r="B1355" s="89"/>
      <c r="C1355" s="89"/>
      <c r="D1355" s="89"/>
      <c r="E1355" s="89"/>
      <c r="F1355" s="89"/>
      <c r="G1355" s="89"/>
      <c r="H1355" s="89"/>
      <c r="I1355" s="89"/>
      <c r="J1355" s="89"/>
      <c r="K1355" s="89"/>
      <c r="L1355" s="114"/>
      <c r="M1355" s="89"/>
      <c r="N1355" s="89"/>
      <c r="O1355" s="89"/>
    </row>
    <row r="1356" customFormat="false" ht="15" hidden="false" customHeight="true" outlineLevel="0" collapsed="false">
      <c r="A1356" s="89"/>
      <c r="B1356" s="89"/>
      <c r="C1356" s="89"/>
      <c r="D1356" s="89"/>
      <c r="E1356" s="89"/>
      <c r="F1356" s="89"/>
      <c r="G1356" s="89"/>
      <c r="H1356" s="89"/>
      <c r="I1356" s="89"/>
      <c r="J1356" s="89"/>
      <c r="K1356" s="89"/>
      <c r="L1356" s="114"/>
      <c r="M1356" s="89"/>
      <c r="N1356" s="89"/>
      <c r="O1356" s="89"/>
    </row>
    <row r="1357" customFormat="false" ht="15" hidden="false" customHeight="true" outlineLevel="0" collapsed="false">
      <c r="A1357" s="89"/>
      <c r="B1357" s="89"/>
      <c r="C1357" s="89"/>
      <c r="D1357" s="89"/>
      <c r="E1357" s="89"/>
      <c r="F1357" s="89"/>
      <c r="G1357" s="89"/>
      <c r="H1357" s="89"/>
      <c r="I1357" s="89"/>
      <c r="J1357" s="89"/>
      <c r="K1357" s="89"/>
      <c r="L1357" s="114"/>
      <c r="M1357" s="89"/>
      <c r="N1357" s="89"/>
      <c r="O1357" s="89"/>
    </row>
    <row r="1358" customFormat="false" ht="15" hidden="false" customHeight="true" outlineLevel="0" collapsed="false">
      <c r="A1358" s="89"/>
      <c r="B1358" s="89"/>
      <c r="C1358" s="89"/>
      <c r="D1358" s="89"/>
      <c r="E1358" s="89"/>
      <c r="F1358" s="89"/>
      <c r="G1358" s="89"/>
      <c r="H1358" s="89"/>
      <c r="I1358" s="89"/>
      <c r="J1358" s="89"/>
      <c r="K1358" s="89"/>
      <c r="L1358" s="114"/>
      <c r="M1358" s="89"/>
      <c r="N1358" s="89"/>
      <c r="O1358" s="89"/>
    </row>
    <row r="1359" customFormat="false" ht="15" hidden="false" customHeight="true" outlineLevel="0" collapsed="false">
      <c r="A1359" s="89"/>
      <c r="B1359" s="89"/>
      <c r="C1359" s="89"/>
      <c r="D1359" s="89"/>
      <c r="E1359" s="89"/>
      <c r="F1359" s="89"/>
      <c r="G1359" s="89"/>
      <c r="H1359" s="89"/>
      <c r="I1359" s="89"/>
      <c r="J1359" s="89"/>
      <c r="K1359" s="89"/>
      <c r="L1359" s="114"/>
      <c r="M1359" s="89"/>
      <c r="N1359" s="89"/>
      <c r="O1359" s="89"/>
    </row>
    <row r="1360" customFormat="false" ht="15" hidden="false" customHeight="true" outlineLevel="0" collapsed="false">
      <c r="A1360" s="89"/>
      <c r="B1360" s="89"/>
      <c r="C1360" s="89"/>
      <c r="D1360" s="89"/>
      <c r="E1360" s="89"/>
      <c r="F1360" s="89"/>
      <c r="G1360" s="89"/>
      <c r="H1360" s="89"/>
      <c r="I1360" s="89"/>
      <c r="J1360" s="89"/>
      <c r="K1360" s="89"/>
      <c r="L1360" s="114"/>
      <c r="M1360" s="89"/>
      <c r="N1360" s="89"/>
      <c r="O1360" s="89"/>
    </row>
    <row r="1361" customFormat="false" ht="15" hidden="false" customHeight="true" outlineLevel="0" collapsed="false">
      <c r="A1361" s="89"/>
      <c r="B1361" s="89"/>
      <c r="C1361" s="89"/>
      <c r="D1361" s="89"/>
      <c r="E1361" s="89"/>
      <c r="F1361" s="89"/>
      <c r="G1361" s="89"/>
      <c r="H1361" s="89"/>
      <c r="I1361" s="89"/>
      <c r="J1361" s="89"/>
      <c r="K1361" s="89"/>
      <c r="L1361" s="114"/>
      <c r="M1361" s="89"/>
      <c r="N1361" s="89"/>
      <c r="O1361" s="89"/>
    </row>
    <row r="1362" customFormat="false" ht="15" hidden="false" customHeight="true" outlineLevel="0" collapsed="false">
      <c r="A1362" s="89"/>
      <c r="B1362" s="89"/>
      <c r="C1362" s="89"/>
      <c r="D1362" s="89"/>
      <c r="E1362" s="89"/>
      <c r="F1362" s="89"/>
      <c r="G1362" s="89"/>
      <c r="H1362" s="89"/>
      <c r="I1362" s="89"/>
      <c r="J1362" s="89"/>
      <c r="K1362" s="89"/>
      <c r="L1362" s="114"/>
      <c r="M1362" s="89"/>
      <c r="N1362" s="89"/>
      <c r="O1362" s="89"/>
    </row>
    <row r="1363" customFormat="false" ht="15" hidden="false" customHeight="true" outlineLevel="0" collapsed="false">
      <c r="A1363" s="89"/>
      <c r="B1363" s="89"/>
      <c r="C1363" s="89"/>
      <c r="D1363" s="89"/>
      <c r="E1363" s="89"/>
      <c r="F1363" s="89"/>
      <c r="G1363" s="89"/>
      <c r="H1363" s="89"/>
      <c r="I1363" s="89"/>
      <c r="J1363" s="89"/>
      <c r="K1363" s="89"/>
      <c r="L1363" s="114"/>
      <c r="M1363" s="89"/>
      <c r="N1363" s="89"/>
      <c r="O1363" s="89"/>
    </row>
    <row r="1364" customFormat="false" ht="15" hidden="false" customHeight="true" outlineLevel="0" collapsed="false">
      <c r="A1364" s="89"/>
      <c r="B1364" s="89"/>
      <c r="C1364" s="89"/>
      <c r="D1364" s="89"/>
      <c r="E1364" s="89"/>
      <c r="F1364" s="89"/>
      <c r="G1364" s="89"/>
      <c r="H1364" s="89"/>
      <c r="I1364" s="89"/>
      <c r="J1364" s="89"/>
      <c r="K1364" s="89"/>
      <c r="L1364" s="114"/>
      <c r="M1364" s="89"/>
      <c r="N1364" s="89"/>
      <c r="O1364" s="89"/>
    </row>
    <row r="1365" customFormat="false" ht="15" hidden="false" customHeight="true" outlineLevel="0" collapsed="false">
      <c r="A1365" s="89"/>
      <c r="B1365" s="89"/>
      <c r="C1365" s="89"/>
      <c r="D1365" s="89"/>
      <c r="E1365" s="89"/>
      <c r="F1365" s="89"/>
      <c r="G1365" s="89"/>
      <c r="H1365" s="89"/>
      <c r="I1365" s="89"/>
      <c r="J1365" s="89"/>
      <c r="K1365" s="89"/>
      <c r="L1365" s="114"/>
      <c r="M1365" s="89"/>
      <c r="N1365" s="89"/>
      <c r="O1365" s="89"/>
    </row>
    <row r="1366" customFormat="false" ht="15" hidden="false" customHeight="true" outlineLevel="0" collapsed="false">
      <c r="A1366" s="89"/>
      <c r="B1366" s="89"/>
      <c r="C1366" s="89"/>
      <c r="D1366" s="89"/>
      <c r="E1366" s="89"/>
      <c r="F1366" s="89"/>
      <c r="G1366" s="89"/>
      <c r="H1366" s="89"/>
      <c r="I1366" s="89"/>
      <c r="J1366" s="89"/>
      <c r="K1366" s="89"/>
      <c r="L1366" s="114"/>
      <c r="M1366" s="89"/>
      <c r="N1366" s="89"/>
      <c r="O1366" s="89"/>
    </row>
    <row r="1367" customFormat="false" ht="15" hidden="false" customHeight="true" outlineLevel="0" collapsed="false">
      <c r="A1367" s="89"/>
      <c r="B1367" s="89"/>
      <c r="C1367" s="89"/>
      <c r="D1367" s="89"/>
      <c r="E1367" s="89"/>
      <c r="F1367" s="89"/>
      <c r="G1367" s="89"/>
      <c r="H1367" s="89"/>
      <c r="I1367" s="89"/>
      <c r="J1367" s="89"/>
      <c r="K1367" s="89"/>
      <c r="L1367" s="114"/>
      <c r="M1367" s="89"/>
      <c r="N1367" s="89"/>
      <c r="O1367" s="89"/>
    </row>
    <row r="1368" customFormat="false" ht="15" hidden="false" customHeight="true" outlineLevel="0" collapsed="false">
      <c r="A1368" s="89"/>
      <c r="B1368" s="89"/>
      <c r="C1368" s="89"/>
      <c r="D1368" s="89"/>
      <c r="E1368" s="89"/>
      <c r="F1368" s="89"/>
      <c r="G1368" s="89"/>
      <c r="H1368" s="89"/>
      <c r="I1368" s="89"/>
      <c r="J1368" s="89"/>
      <c r="K1368" s="89"/>
      <c r="L1368" s="114"/>
      <c r="M1368" s="89"/>
      <c r="N1368" s="89"/>
      <c r="O1368" s="89"/>
    </row>
    <row r="1369" customFormat="false" ht="15" hidden="false" customHeight="true" outlineLevel="0" collapsed="false">
      <c r="A1369" s="89"/>
      <c r="B1369" s="89"/>
      <c r="C1369" s="89"/>
      <c r="D1369" s="89"/>
      <c r="E1369" s="89"/>
      <c r="F1369" s="89"/>
      <c r="G1369" s="89"/>
      <c r="H1369" s="89"/>
      <c r="I1369" s="89"/>
      <c r="J1369" s="89"/>
      <c r="K1369" s="89"/>
      <c r="L1369" s="114"/>
      <c r="M1369" s="89"/>
      <c r="N1369" s="89"/>
      <c r="O1369" s="89"/>
    </row>
    <row r="1370" customFormat="false" ht="15" hidden="false" customHeight="true" outlineLevel="0" collapsed="false">
      <c r="A1370" s="89"/>
      <c r="B1370" s="89"/>
      <c r="C1370" s="89"/>
      <c r="D1370" s="89"/>
      <c r="E1370" s="89"/>
      <c r="F1370" s="89"/>
      <c r="G1370" s="89"/>
      <c r="H1370" s="89"/>
      <c r="I1370" s="89"/>
      <c r="J1370" s="89"/>
      <c r="K1370" s="89"/>
      <c r="L1370" s="114"/>
      <c r="M1370" s="89"/>
      <c r="N1370" s="89"/>
      <c r="O1370" s="89"/>
    </row>
    <row r="1371" customFormat="false" ht="15" hidden="false" customHeight="true" outlineLevel="0" collapsed="false">
      <c r="A1371" s="89"/>
      <c r="B1371" s="89"/>
      <c r="C1371" s="89"/>
      <c r="D1371" s="89"/>
      <c r="E1371" s="89"/>
      <c r="F1371" s="89"/>
      <c r="G1371" s="89"/>
      <c r="H1371" s="89"/>
      <c r="I1371" s="89"/>
      <c r="J1371" s="89"/>
      <c r="K1371" s="89"/>
      <c r="L1371" s="114"/>
      <c r="M1371" s="89"/>
      <c r="N1371" s="89"/>
      <c r="O1371" s="89"/>
    </row>
    <row r="1372" customFormat="false" ht="15" hidden="false" customHeight="true" outlineLevel="0" collapsed="false">
      <c r="A1372" s="89"/>
      <c r="B1372" s="89"/>
      <c r="C1372" s="89"/>
      <c r="D1372" s="89"/>
      <c r="E1372" s="89"/>
      <c r="F1372" s="89"/>
      <c r="G1372" s="89"/>
      <c r="H1372" s="89"/>
      <c r="I1372" s="89"/>
      <c r="J1372" s="89"/>
      <c r="K1372" s="89"/>
      <c r="L1372" s="114"/>
      <c r="M1372" s="89"/>
      <c r="N1372" s="89"/>
      <c r="O1372" s="89"/>
    </row>
    <row r="1373" customFormat="false" ht="15" hidden="false" customHeight="true" outlineLevel="0" collapsed="false">
      <c r="A1373" s="89"/>
      <c r="B1373" s="89"/>
      <c r="C1373" s="89"/>
      <c r="D1373" s="89"/>
      <c r="E1373" s="89"/>
      <c r="F1373" s="89"/>
      <c r="G1373" s="89"/>
      <c r="H1373" s="89"/>
      <c r="I1373" s="89"/>
      <c r="J1373" s="89"/>
      <c r="K1373" s="89"/>
      <c r="L1373" s="114"/>
      <c r="M1373" s="89"/>
      <c r="N1373" s="89"/>
      <c r="O1373" s="89"/>
    </row>
    <row r="1374" customFormat="false" ht="15" hidden="false" customHeight="true" outlineLevel="0" collapsed="false">
      <c r="A1374" s="89"/>
      <c r="B1374" s="89"/>
      <c r="C1374" s="89"/>
      <c r="D1374" s="89"/>
      <c r="E1374" s="89"/>
      <c r="F1374" s="89"/>
      <c r="G1374" s="89"/>
      <c r="H1374" s="89"/>
      <c r="I1374" s="89"/>
      <c r="J1374" s="89"/>
      <c r="K1374" s="89"/>
      <c r="L1374" s="114"/>
      <c r="M1374" s="89"/>
      <c r="N1374" s="89"/>
      <c r="O1374" s="89"/>
    </row>
    <row r="1375" customFormat="false" ht="15" hidden="false" customHeight="true" outlineLevel="0" collapsed="false">
      <c r="A1375" s="89"/>
      <c r="B1375" s="89"/>
      <c r="C1375" s="89"/>
      <c r="D1375" s="89"/>
      <c r="E1375" s="89"/>
      <c r="F1375" s="89"/>
      <c r="G1375" s="89"/>
      <c r="H1375" s="89"/>
      <c r="I1375" s="89"/>
      <c r="J1375" s="89"/>
      <c r="K1375" s="89"/>
      <c r="L1375" s="114"/>
      <c r="M1375" s="89"/>
      <c r="N1375" s="89"/>
      <c r="O1375" s="89"/>
    </row>
    <row r="1376" customFormat="false" ht="15" hidden="false" customHeight="true" outlineLevel="0" collapsed="false">
      <c r="A1376" s="89"/>
      <c r="B1376" s="89"/>
      <c r="C1376" s="89"/>
      <c r="D1376" s="89"/>
      <c r="E1376" s="89"/>
      <c r="F1376" s="89"/>
      <c r="G1376" s="89"/>
      <c r="H1376" s="89"/>
      <c r="I1376" s="89"/>
      <c r="J1376" s="89"/>
      <c r="K1376" s="89"/>
      <c r="L1376" s="114"/>
      <c r="M1376" s="89"/>
      <c r="N1376" s="89"/>
      <c r="O1376" s="89"/>
    </row>
    <row r="1377" customFormat="false" ht="15" hidden="false" customHeight="true" outlineLevel="0" collapsed="false">
      <c r="A1377" s="89"/>
      <c r="B1377" s="89"/>
      <c r="C1377" s="89"/>
      <c r="D1377" s="89"/>
      <c r="E1377" s="89"/>
      <c r="F1377" s="89"/>
      <c r="G1377" s="89"/>
      <c r="H1377" s="89"/>
      <c r="I1377" s="89"/>
      <c r="J1377" s="89"/>
      <c r="K1377" s="89"/>
      <c r="L1377" s="114"/>
      <c r="M1377" s="89"/>
      <c r="N1377" s="89"/>
      <c r="O1377" s="89"/>
    </row>
    <row r="1378" customFormat="false" ht="15" hidden="false" customHeight="true" outlineLevel="0" collapsed="false">
      <c r="A1378" s="89"/>
      <c r="B1378" s="89"/>
      <c r="C1378" s="89"/>
      <c r="D1378" s="89"/>
      <c r="E1378" s="89"/>
      <c r="F1378" s="89"/>
      <c r="G1378" s="89"/>
      <c r="H1378" s="89"/>
      <c r="I1378" s="89"/>
      <c r="J1378" s="89"/>
      <c r="K1378" s="89"/>
      <c r="L1378" s="114"/>
      <c r="M1378" s="89"/>
      <c r="N1378" s="89"/>
      <c r="O1378" s="89"/>
    </row>
    <row r="1379" customFormat="false" ht="15" hidden="false" customHeight="true" outlineLevel="0" collapsed="false">
      <c r="A1379" s="89"/>
      <c r="B1379" s="89"/>
      <c r="C1379" s="89"/>
      <c r="D1379" s="89"/>
      <c r="E1379" s="89"/>
      <c r="F1379" s="89"/>
      <c r="G1379" s="89"/>
      <c r="H1379" s="89"/>
      <c r="I1379" s="89"/>
      <c r="J1379" s="89"/>
      <c r="K1379" s="89"/>
      <c r="L1379" s="114"/>
      <c r="M1379" s="89"/>
      <c r="N1379" s="89"/>
      <c r="O1379" s="89"/>
    </row>
    <row r="1380" customFormat="false" ht="15" hidden="false" customHeight="true" outlineLevel="0" collapsed="false">
      <c r="A1380" s="89"/>
      <c r="B1380" s="89"/>
      <c r="C1380" s="89"/>
      <c r="D1380" s="89"/>
      <c r="E1380" s="89"/>
      <c r="F1380" s="89"/>
      <c r="G1380" s="89"/>
      <c r="H1380" s="89"/>
      <c r="I1380" s="89"/>
      <c r="J1380" s="89"/>
      <c r="K1380" s="89"/>
      <c r="L1380" s="114"/>
      <c r="M1380" s="89"/>
      <c r="N1380" s="89"/>
      <c r="O1380" s="89"/>
    </row>
    <row r="1381" customFormat="false" ht="15" hidden="false" customHeight="true" outlineLevel="0" collapsed="false">
      <c r="A1381" s="89"/>
      <c r="B1381" s="89"/>
      <c r="C1381" s="89"/>
      <c r="D1381" s="89"/>
      <c r="E1381" s="89"/>
      <c r="F1381" s="89"/>
      <c r="G1381" s="89"/>
      <c r="H1381" s="89"/>
      <c r="I1381" s="89"/>
      <c r="J1381" s="89"/>
      <c r="K1381" s="89"/>
      <c r="L1381" s="114"/>
      <c r="M1381" s="89"/>
      <c r="N1381" s="89"/>
      <c r="O1381" s="89"/>
    </row>
    <row r="1382" customFormat="false" ht="15" hidden="false" customHeight="true" outlineLevel="0" collapsed="false">
      <c r="A1382" s="89"/>
      <c r="B1382" s="89"/>
      <c r="C1382" s="89"/>
      <c r="D1382" s="89"/>
      <c r="E1382" s="89"/>
      <c r="F1382" s="89"/>
      <c r="G1382" s="89"/>
      <c r="H1382" s="89"/>
      <c r="I1382" s="89"/>
      <c r="J1382" s="89"/>
      <c r="K1382" s="89"/>
      <c r="L1382" s="114"/>
      <c r="M1382" s="89"/>
      <c r="N1382" s="89"/>
      <c r="O1382" s="89"/>
    </row>
    <row r="1383" customFormat="false" ht="15" hidden="false" customHeight="true" outlineLevel="0" collapsed="false">
      <c r="A1383" s="89"/>
      <c r="B1383" s="89"/>
      <c r="C1383" s="89"/>
      <c r="D1383" s="89"/>
      <c r="E1383" s="89"/>
      <c r="F1383" s="89"/>
      <c r="G1383" s="89"/>
      <c r="H1383" s="89"/>
      <c r="I1383" s="89"/>
      <c r="J1383" s="89"/>
      <c r="K1383" s="89"/>
      <c r="L1383" s="114"/>
      <c r="M1383" s="89"/>
      <c r="N1383" s="89"/>
      <c r="O1383" s="89"/>
    </row>
    <row r="1384" customFormat="false" ht="15" hidden="false" customHeight="true" outlineLevel="0" collapsed="false">
      <c r="A1384" s="89"/>
      <c r="B1384" s="89"/>
      <c r="C1384" s="89"/>
      <c r="D1384" s="89"/>
      <c r="E1384" s="89"/>
      <c r="F1384" s="89"/>
      <c r="G1384" s="89"/>
      <c r="H1384" s="89"/>
      <c r="I1384" s="89"/>
      <c r="J1384" s="89"/>
      <c r="K1384" s="89"/>
      <c r="L1384" s="114"/>
      <c r="M1384" s="89"/>
      <c r="N1384" s="89"/>
      <c r="O1384" s="89"/>
    </row>
    <row r="1385" customFormat="false" ht="15" hidden="false" customHeight="true" outlineLevel="0" collapsed="false">
      <c r="A1385" s="89"/>
      <c r="B1385" s="89"/>
      <c r="C1385" s="89"/>
      <c r="D1385" s="89"/>
      <c r="E1385" s="89"/>
      <c r="F1385" s="89"/>
      <c r="G1385" s="89"/>
      <c r="H1385" s="89"/>
      <c r="I1385" s="89"/>
      <c r="J1385" s="89"/>
      <c r="K1385" s="89"/>
      <c r="L1385" s="114"/>
      <c r="M1385" s="89"/>
      <c r="N1385" s="89"/>
      <c r="O1385" s="89"/>
    </row>
    <row r="1386" customFormat="false" ht="15" hidden="false" customHeight="true" outlineLevel="0" collapsed="false">
      <c r="A1386" s="89"/>
      <c r="B1386" s="89"/>
      <c r="C1386" s="89"/>
      <c r="D1386" s="89"/>
      <c r="E1386" s="89"/>
      <c r="F1386" s="89"/>
      <c r="G1386" s="89"/>
      <c r="H1386" s="89"/>
      <c r="I1386" s="89"/>
      <c r="J1386" s="89"/>
      <c r="K1386" s="89"/>
      <c r="L1386" s="114"/>
      <c r="M1386" s="89"/>
      <c r="N1386" s="89"/>
      <c r="O1386" s="89"/>
    </row>
    <row r="1387" customFormat="false" ht="15" hidden="false" customHeight="true" outlineLevel="0" collapsed="false">
      <c r="A1387" s="89"/>
      <c r="B1387" s="89"/>
      <c r="C1387" s="89"/>
      <c r="D1387" s="89"/>
      <c r="E1387" s="89"/>
      <c r="F1387" s="89"/>
      <c r="G1387" s="89"/>
      <c r="H1387" s="89"/>
      <c r="I1387" s="89"/>
      <c r="J1387" s="89"/>
      <c r="K1387" s="89"/>
      <c r="L1387" s="114"/>
      <c r="M1387" s="89"/>
      <c r="N1387" s="89"/>
      <c r="O1387" s="89"/>
    </row>
    <row r="1388" customFormat="false" ht="15" hidden="false" customHeight="true" outlineLevel="0" collapsed="false">
      <c r="A1388" s="89"/>
      <c r="B1388" s="89"/>
      <c r="C1388" s="89"/>
      <c r="D1388" s="89"/>
      <c r="E1388" s="89"/>
      <c r="F1388" s="89"/>
      <c r="G1388" s="89"/>
      <c r="H1388" s="89"/>
      <c r="I1388" s="89"/>
      <c r="J1388" s="89"/>
      <c r="K1388" s="89"/>
      <c r="L1388" s="114"/>
      <c r="M1388" s="89"/>
      <c r="N1388" s="89"/>
      <c r="O1388" s="89"/>
    </row>
    <row r="1389" customFormat="false" ht="15" hidden="false" customHeight="true" outlineLevel="0" collapsed="false">
      <c r="A1389" s="89"/>
      <c r="B1389" s="89"/>
      <c r="C1389" s="89"/>
      <c r="D1389" s="89"/>
      <c r="E1389" s="89"/>
      <c r="F1389" s="89"/>
      <c r="G1389" s="89"/>
      <c r="H1389" s="89"/>
      <c r="I1389" s="89"/>
      <c r="J1389" s="89"/>
      <c r="K1389" s="89"/>
      <c r="L1389" s="114"/>
      <c r="M1389" s="89"/>
      <c r="N1389" s="89"/>
      <c r="O1389" s="89"/>
    </row>
    <row r="1390" customFormat="false" ht="15" hidden="false" customHeight="true" outlineLevel="0" collapsed="false">
      <c r="A1390" s="89"/>
      <c r="B1390" s="89"/>
      <c r="C1390" s="89"/>
      <c r="D1390" s="89"/>
      <c r="E1390" s="89"/>
      <c r="F1390" s="89"/>
      <c r="G1390" s="89"/>
      <c r="H1390" s="89"/>
      <c r="I1390" s="89"/>
      <c r="J1390" s="89"/>
      <c r="K1390" s="89"/>
      <c r="L1390" s="114"/>
      <c r="M1390" s="89"/>
      <c r="N1390" s="89"/>
      <c r="O1390" s="89"/>
    </row>
    <row r="1391" customFormat="false" ht="15" hidden="false" customHeight="true" outlineLevel="0" collapsed="false">
      <c r="A1391" s="89"/>
      <c r="B1391" s="89"/>
      <c r="C1391" s="89"/>
      <c r="D1391" s="89"/>
      <c r="E1391" s="89"/>
      <c r="F1391" s="89"/>
      <c r="G1391" s="89"/>
      <c r="H1391" s="89"/>
      <c r="I1391" s="89"/>
      <c r="J1391" s="89"/>
      <c r="K1391" s="89"/>
      <c r="L1391" s="114"/>
      <c r="M1391" s="89"/>
      <c r="N1391" s="89"/>
      <c r="O1391" s="89"/>
    </row>
    <row r="1392" customFormat="false" ht="15" hidden="false" customHeight="true" outlineLevel="0" collapsed="false">
      <c r="A1392" s="89"/>
      <c r="B1392" s="89"/>
      <c r="C1392" s="89"/>
      <c r="D1392" s="89"/>
      <c r="E1392" s="89"/>
      <c r="F1392" s="89"/>
      <c r="G1392" s="89"/>
      <c r="H1392" s="89"/>
      <c r="I1392" s="89"/>
      <c r="J1392" s="89"/>
      <c r="K1392" s="89"/>
      <c r="L1392" s="114"/>
      <c r="M1392" s="89"/>
      <c r="N1392" s="89"/>
      <c r="O1392" s="89"/>
    </row>
    <row r="1393" customFormat="false" ht="15" hidden="false" customHeight="true" outlineLevel="0" collapsed="false">
      <c r="A1393" s="89"/>
      <c r="B1393" s="89"/>
      <c r="C1393" s="89"/>
      <c r="D1393" s="89"/>
      <c r="E1393" s="89"/>
      <c r="F1393" s="89"/>
      <c r="G1393" s="89"/>
      <c r="H1393" s="89"/>
      <c r="I1393" s="89"/>
      <c r="J1393" s="89"/>
      <c r="K1393" s="89"/>
      <c r="L1393" s="114"/>
      <c r="M1393" s="89"/>
      <c r="N1393" s="89"/>
      <c r="O1393" s="89"/>
    </row>
    <row r="1394" customFormat="false" ht="15" hidden="false" customHeight="true" outlineLevel="0" collapsed="false">
      <c r="A1394" s="89"/>
      <c r="B1394" s="89"/>
      <c r="C1394" s="89"/>
      <c r="D1394" s="89"/>
      <c r="E1394" s="89"/>
      <c r="F1394" s="89"/>
      <c r="G1394" s="89"/>
      <c r="H1394" s="89"/>
      <c r="I1394" s="89"/>
      <c r="J1394" s="89"/>
      <c r="K1394" s="89"/>
      <c r="L1394" s="114"/>
      <c r="M1394" s="89"/>
      <c r="N1394" s="89"/>
      <c r="O1394" s="89"/>
    </row>
    <row r="1395" customFormat="false" ht="15" hidden="false" customHeight="true" outlineLevel="0" collapsed="false">
      <c r="A1395" s="89"/>
      <c r="B1395" s="89"/>
      <c r="C1395" s="89"/>
      <c r="D1395" s="89"/>
      <c r="E1395" s="89"/>
      <c r="F1395" s="89"/>
      <c r="G1395" s="89"/>
      <c r="H1395" s="89"/>
      <c r="I1395" s="89"/>
      <c r="J1395" s="89"/>
      <c r="K1395" s="89"/>
      <c r="L1395" s="114"/>
      <c r="M1395" s="89"/>
      <c r="N1395" s="89"/>
      <c r="O1395" s="89"/>
    </row>
    <row r="1396" customFormat="false" ht="15" hidden="false" customHeight="true" outlineLevel="0" collapsed="false">
      <c r="A1396" s="89"/>
      <c r="B1396" s="89"/>
      <c r="C1396" s="89"/>
      <c r="D1396" s="89"/>
      <c r="E1396" s="89"/>
      <c r="F1396" s="89"/>
      <c r="G1396" s="89"/>
      <c r="H1396" s="89"/>
      <c r="I1396" s="89"/>
      <c r="J1396" s="89"/>
      <c r="K1396" s="89"/>
      <c r="L1396" s="114"/>
      <c r="M1396" s="89"/>
      <c r="N1396" s="89"/>
      <c r="O1396" s="89"/>
    </row>
    <row r="1397" customFormat="false" ht="15" hidden="false" customHeight="true" outlineLevel="0" collapsed="false">
      <c r="A1397" s="89"/>
      <c r="B1397" s="89"/>
      <c r="C1397" s="89"/>
      <c r="D1397" s="89"/>
      <c r="E1397" s="89"/>
      <c r="F1397" s="89"/>
      <c r="G1397" s="89"/>
      <c r="H1397" s="89"/>
      <c r="I1397" s="89"/>
      <c r="J1397" s="89"/>
      <c r="K1397" s="89"/>
      <c r="L1397" s="114"/>
      <c r="M1397" s="89"/>
      <c r="N1397" s="89"/>
      <c r="O1397" s="89"/>
    </row>
    <row r="1398" customFormat="false" ht="15" hidden="false" customHeight="true" outlineLevel="0" collapsed="false">
      <c r="A1398" s="89"/>
      <c r="B1398" s="89"/>
      <c r="C1398" s="89"/>
      <c r="D1398" s="89"/>
      <c r="E1398" s="89"/>
      <c r="F1398" s="89"/>
      <c r="G1398" s="89"/>
      <c r="H1398" s="89"/>
      <c r="I1398" s="89"/>
      <c r="J1398" s="89"/>
      <c r="K1398" s="89"/>
      <c r="L1398" s="114"/>
      <c r="M1398" s="89"/>
      <c r="N1398" s="89"/>
      <c r="O1398" s="89"/>
    </row>
    <row r="1399" customFormat="false" ht="15" hidden="false" customHeight="true" outlineLevel="0" collapsed="false">
      <c r="A1399" s="89"/>
      <c r="B1399" s="89"/>
      <c r="C1399" s="89"/>
      <c r="D1399" s="89"/>
      <c r="E1399" s="89"/>
      <c r="F1399" s="89"/>
      <c r="G1399" s="89"/>
      <c r="H1399" s="89"/>
      <c r="I1399" s="89"/>
      <c r="J1399" s="89"/>
      <c r="K1399" s="89"/>
      <c r="L1399" s="114"/>
      <c r="M1399" s="89"/>
      <c r="N1399" s="89"/>
      <c r="O1399" s="89"/>
    </row>
  </sheetData>
  <autoFilter ref="A6:M245"/>
  <mergeCells count="10">
    <mergeCell ref="A1:L1"/>
    <mergeCell ref="A2:L2"/>
    <mergeCell ref="A3:D3"/>
    <mergeCell ref="E3:J3"/>
    <mergeCell ref="A5:B5"/>
    <mergeCell ref="C5:D5"/>
    <mergeCell ref="E5:F5"/>
    <mergeCell ref="G5:H5"/>
    <mergeCell ref="I5:J5"/>
    <mergeCell ref="K5:L5"/>
  </mergeCells>
  <dataValidations count="1">
    <dataValidation allowBlank="true" errorStyle="stop" operator="between" showDropDown="false" showErrorMessage="false" showInputMessage="false" sqref="E3" type="list">
      <formula1>_PENDIENTES!$O$1:$O$39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8"/>
    <col collapsed="false" customWidth="true" hidden="false" outlineLevel="0" max="3" min="3" style="1" width="24"/>
    <col collapsed="false" customWidth="true" hidden="false" outlineLevel="0" max="6" min="4" style="1" width="8.71"/>
  </cols>
  <sheetData>
    <row r="1" customFormat="false" ht="27.75" hidden="false" customHeight="true" outlineLevel="0" collapsed="false">
      <c r="A1" s="115" t="s">
        <v>329</v>
      </c>
      <c r="B1" s="115"/>
      <c r="C1" s="1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A2" s="116" t="s">
        <v>330</v>
      </c>
      <c r="B2" s="117" t="s">
        <v>331</v>
      </c>
      <c r="C2" s="118" t="s">
        <v>33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23" t="s">
        <v>332</v>
      </c>
      <c r="B3" s="70" t="s">
        <v>333</v>
      </c>
      <c r="C3" s="71" t="s">
        <v>42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16" t="s">
        <v>334</v>
      </c>
      <c r="B4" s="73" t="s">
        <v>335</v>
      </c>
      <c r="C4" s="74" t="s">
        <v>80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23" t="s">
        <v>336</v>
      </c>
      <c r="B5" s="70" t="s">
        <v>337</v>
      </c>
      <c r="C5" s="71" t="s">
        <v>75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6" t="s">
        <v>338</v>
      </c>
      <c r="B6" s="73" t="s">
        <v>339</v>
      </c>
      <c r="C6" s="74" t="s">
        <v>51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23" t="s">
        <v>340</v>
      </c>
      <c r="B7" s="70" t="s">
        <v>341</v>
      </c>
      <c r="C7" s="71" t="s">
        <v>39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6" t="s">
        <v>342</v>
      </c>
      <c r="B8" s="73" t="s">
        <v>343</v>
      </c>
      <c r="C8" s="74" t="s">
        <v>343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23" t="s">
        <v>344</v>
      </c>
      <c r="B9" s="70" t="s">
        <v>345</v>
      </c>
      <c r="C9" s="71" t="s">
        <v>58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6" t="s">
        <v>346</v>
      </c>
      <c r="B10" s="73" t="s">
        <v>347</v>
      </c>
      <c r="C10" s="74" t="s">
        <v>39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23" t="s">
        <v>348</v>
      </c>
      <c r="B11" s="70" t="s">
        <v>349</v>
      </c>
      <c r="C11" s="71" t="s">
        <v>58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6" t="s">
        <v>350</v>
      </c>
      <c r="B12" s="73" t="s">
        <v>305</v>
      </c>
      <c r="C12" s="74" t="s">
        <v>72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23" t="s">
        <v>351</v>
      </c>
      <c r="B13" s="70" t="s">
        <v>352</v>
      </c>
      <c r="C13" s="71" t="s">
        <v>46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6" t="s">
        <v>353</v>
      </c>
      <c r="B14" s="73" t="s">
        <v>354</v>
      </c>
      <c r="C14" s="74" t="s">
        <v>44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23" t="s">
        <v>355</v>
      </c>
      <c r="B15" s="70" t="s">
        <v>356</v>
      </c>
      <c r="C15" s="71" t="s">
        <v>56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6" t="s">
        <v>357</v>
      </c>
      <c r="B16" s="73" t="s">
        <v>37</v>
      </c>
      <c r="C16" s="74" t="s">
        <v>37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23" t="s">
        <v>358</v>
      </c>
      <c r="B17" s="70" t="s">
        <v>359</v>
      </c>
      <c r="C17" s="71" t="s">
        <v>85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6" t="s">
        <v>360</v>
      </c>
      <c r="B18" s="73" t="s">
        <v>361</v>
      </c>
      <c r="C18" s="74" t="s">
        <v>70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23" t="s">
        <v>362</v>
      </c>
      <c r="B19" s="70" t="s">
        <v>363</v>
      </c>
      <c r="C19" s="71" t="s">
        <v>93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6" t="s">
        <v>364</v>
      </c>
      <c r="B20" s="73" t="s">
        <v>365</v>
      </c>
      <c r="C20" s="74" t="s">
        <v>66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23" t="s">
        <v>366</v>
      </c>
      <c r="B21" s="70" t="s">
        <v>367</v>
      </c>
      <c r="C21" s="71" t="s">
        <v>72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16" t="s">
        <v>368</v>
      </c>
      <c r="B22" s="73" t="s">
        <v>369</v>
      </c>
      <c r="C22" s="74" t="s">
        <v>370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23" t="s">
        <v>371</v>
      </c>
      <c r="B23" s="70" t="s">
        <v>372</v>
      </c>
      <c r="C23" s="71" t="s">
        <v>39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16" t="s">
        <v>373</v>
      </c>
      <c r="B24" s="73" t="s">
        <v>374</v>
      </c>
      <c r="C24" s="74" t="s">
        <v>370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23" t="s">
        <v>375</v>
      </c>
      <c r="B25" s="70" t="s">
        <v>376</v>
      </c>
      <c r="C25" s="71" t="s">
        <v>80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16" t="s">
        <v>377</v>
      </c>
      <c r="B26" s="73" t="s">
        <v>378</v>
      </c>
      <c r="C26" s="74" t="s">
        <v>51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23" t="s">
        <v>379</v>
      </c>
      <c r="B27" s="70" t="s">
        <v>380</v>
      </c>
      <c r="C27" s="71" t="s">
        <v>56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16" t="s">
        <v>381</v>
      </c>
      <c r="B28" s="73" t="s">
        <v>382</v>
      </c>
      <c r="C28" s="74" t="s">
        <v>78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23" t="s">
        <v>383</v>
      </c>
      <c r="B29" s="70" t="s">
        <v>384</v>
      </c>
      <c r="C29" s="71" t="s">
        <v>68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A30" s="16" t="s">
        <v>385</v>
      </c>
      <c r="B30" s="73" t="s">
        <v>386</v>
      </c>
      <c r="C30" s="74" t="s">
        <v>48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true" outlineLevel="0" collapsed="false">
      <c r="A31" s="23" t="s">
        <v>387</v>
      </c>
      <c r="B31" s="70" t="s">
        <v>388</v>
      </c>
      <c r="C31" s="71" t="s">
        <v>370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true" outlineLevel="0" collapsed="false">
      <c r="A32" s="16" t="s">
        <v>389</v>
      </c>
      <c r="B32" s="73" t="s">
        <v>390</v>
      </c>
      <c r="C32" s="74" t="s">
        <v>70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true" outlineLevel="0" collapsed="false">
      <c r="A33" s="23" t="s">
        <v>391</v>
      </c>
      <c r="B33" s="70" t="s">
        <v>392</v>
      </c>
      <c r="C33" s="7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true" outlineLevel="0" collapsed="false">
      <c r="A34" s="16" t="s">
        <v>393</v>
      </c>
      <c r="B34" s="73" t="s">
        <v>394</v>
      </c>
      <c r="C34" s="74" t="s">
        <v>39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true" outlineLevel="0" collapsed="false">
      <c r="A35" s="23" t="s">
        <v>395</v>
      </c>
      <c r="B35" s="70" t="s">
        <v>132</v>
      </c>
      <c r="C35" s="71" t="s">
        <v>39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16" t="s">
        <v>396</v>
      </c>
      <c r="B36" s="73" t="s">
        <v>397</v>
      </c>
      <c r="C36" s="74" t="s">
        <v>70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true" outlineLevel="0" collapsed="false">
      <c r="A37" s="23" t="s">
        <v>398</v>
      </c>
      <c r="B37" s="70" t="s">
        <v>295</v>
      </c>
      <c r="C37" s="71" t="s">
        <v>58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true" outlineLevel="0" collapsed="false">
      <c r="A38" s="16" t="s">
        <v>399</v>
      </c>
      <c r="B38" s="73" t="s">
        <v>400</v>
      </c>
      <c r="C38" s="74" t="s">
        <v>70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true" outlineLevel="0" collapsed="false">
      <c r="A39" s="23" t="s">
        <v>401</v>
      </c>
      <c r="B39" s="70" t="s">
        <v>402</v>
      </c>
      <c r="C39" s="71" t="s">
        <v>42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true" outlineLevel="0" collapsed="false">
      <c r="A40" s="16" t="s">
        <v>403</v>
      </c>
      <c r="B40" s="73" t="s">
        <v>404</v>
      </c>
      <c r="C40" s="74" t="s">
        <v>39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23" t="s">
        <v>405</v>
      </c>
      <c r="B41" s="70" t="s">
        <v>406</v>
      </c>
      <c r="C41" s="71" t="s">
        <v>62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true" outlineLevel="0" collapsed="false">
      <c r="A42" s="16" t="s">
        <v>407</v>
      </c>
      <c r="B42" s="73" t="s">
        <v>311</v>
      </c>
      <c r="C42" s="74" t="s">
        <v>37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true" outlineLevel="0" collapsed="false">
      <c r="A43" s="23" t="s">
        <v>408</v>
      </c>
      <c r="B43" s="70" t="s">
        <v>119</v>
      </c>
      <c r="C43" s="71" t="s">
        <v>42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" hidden="false" customHeight="true" outlineLevel="0" collapsed="false">
      <c r="A44" s="16" t="s">
        <v>409</v>
      </c>
      <c r="B44" s="73" t="s">
        <v>44</v>
      </c>
      <c r="C44" s="74" t="s">
        <v>44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true" outlineLevel="0" collapsed="false">
      <c r="A45" s="23" t="s">
        <v>410</v>
      </c>
      <c r="B45" s="70" t="s">
        <v>411</v>
      </c>
      <c r="C45" s="71" t="s">
        <v>56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true" outlineLevel="0" collapsed="false">
      <c r="A46" s="16" t="s">
        <v>412</v>
      </c>
      <c r="B46" s="73" t="s">
        <v>413</v>
      </c>
      <c r="C46" s="74" t="s">
        <v>70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true" outlineLevel="0" collapsed="false">
      <c r="A47" s="23" t="s">
        <v>414</v>
      </c>
      <c r="B47" s="70" t="s">
        <v>415</v>
      </c>
      <c r="C47" s="71" t="s">
        <v>56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true" outlineLevel="0" collapsed="false">
      <c r="A48" s="16" t="s">
        <v>416</v>
      </c>
      <c r="B48" s="73" t="s">
        <v>417</v>
      </c>
      <c r="C48" s="74" t="s">
        <v>56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true" outlineLevel="0" collapsed="false">
      <c r="A49" s="23" t="s">
        <v>418</v>
      </c>
      <c r="B49" s="70" t="s">
        <v>419</v>
      </c>
      <c r="C49" s="71" t="s">
        <v>51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true" outlineLevel="0" collapsed="false">
      <c r="A50" s="16" t="s">
        <v>420</v>
      </c>
      <c r="B50" s="73" t="s">
        <v>421</v>
      </c>
      <c r="C50" s="74" t="s">
        <v>53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true" outlineLevel="0" collapsed="false">
      <c r="A51" s="23" t="s">
        <v>422</v>
      </c>
      <c r="B51" s="70" t="s">
        <v>423</v>
      </c>
      <c r="C51" s="71" t="s">
        <v>370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true" outlineLevel="0" collapsed="false">
      <c r="A52" s="16" t="s">
        <v>424</v>
      </c>
      <c r="B52" s="73" t="s">
        <v>425</v>
      </c>
      <c r="C52" s="74" t="s">
        <v>53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true" outlineLevel="0" collapsed="false">
      <c r="A53" s="23" t="s">
        <v>426</v>
      </c>
      <c r="B53" s="70" t="s">
        <v>427</v>
      </c>
      <c r="C53" s="71" t="s">
        <v>46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true" outlineLevel="0" collapsed="false">
      <c r="A54" s="16" t="s">
        <v>428</v>
      </c>
      <c r="B54" s="73" t="s">
        <v>429</v>
      </c>
      <c r="C54" s="74" t="s">
        <v>70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true" outlineLevel="0" collapsed="false">
      <c r="A55" s="23" t="s">
        <v>430</v>
      </c>
      <c r="B55" s="70" t="s">
        <v>431</v>
      </c>
      <c r="C55" s="71" t="s">
        <v>70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true" outlineLevel="0" collapsed="false">
      <c r="A56" s="16" t="s">
        <v>432</v>
      </c>
      <c r="B56" s="73" t="s">
        <v>433</v>
      </c>
      <c r="C56" s="74" t="s">
        <v>46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true" outlineLevel="0" collapsed="false">
      <c r="A57" s="23" t="s">
        <v>434</v>
      </c>
      <c r="B57" s="70" t="s">
        <v>435</v>
      </c>
      <c r="C57" s="71" t="s">
        <v>72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true" outlineLevel="0" collapsed="false">
      <c r="A58" s="16" t="s">
        <v>436</v>
      </c>
      <c r="B58" s="73" t="s">
        <v>437</v>
      </c>
      <c r="C58" s="74" t="s">
        <v>85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true" outlineLevel="0" collapsed="false">
      <c r="A59" s="23" t="s">
        <v>438</v>
      </c>
      <c r="B59" s="70" t="s">
        <v>439</v>
      </c>
      <c r="C59" s="71" t="s">
        <v>64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true" outlineLevel="0" collapsed="false">
      <c r="A60" s="16" t="s">
        <v>440</v>
      </c>
      <c r="B60" s="73" t="s">
        <v>441</v>
      </c>
      <c r="C60" s="74" t="s">
        <v>46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true" outlineLevel="0" collapsed="false">
      <c r="A61" s="23" t="s">
        <v>442</v>
      </c>
      <c r="B61" s="70" t="s">
        <v>443</v>
      </c>
      <c r="C61" s="71" t="s">
        <v>42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true" outlineLevel="0" collapsed="false">
      <c r="A62" s="16" t="s">
        <v>444</v>
      </c>
      <c r="B62" s="73" t="s">
        <v>445</v>
      </c>
      <c r="C62" s="74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true" outlineLevel="0" collapsed="false">
      <c r="A63" s="23" t="s">
        <v>446</v>
      </c>
      <c r="B63" s="70" t="s">
        <v>447</v>
      </c>
      <c r="C63" s="71" t="s">
        <v>46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true" outlineLevel="0" collapsed="false">
      <c r="A64" s="16" t="s">
        <v>448</v>
      </c>
      <c r="B64" s="73" t="s">
        <v>449</v>
      </c>
      <c r="C64" s="74" t="s">
        <v>78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true" outlineLevel="0" collapsed="false">
      <c r="A65" s="23" t="s">
        <v>450</v>
      </c>
      <c r="B65" s="70" t="s">
        <v>451</v>
      </c>
      <c r="C65" s="71" t="s">
        <v>80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true" outlineLevel="0" collapsed="false">
      <c r="A66" s="16" t="s">
        <v>452</v>
      </c>
      <c r="B66" s="73" t="s">
        <v>453</v>
      </c>
      <c r="C66" s="74" t="s">
        <v>70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true" outlineLevel="0" collapsed="false">
      <c r="A67" s="23" t="s">
        <v>454</v>
      </c>
      <c r="B67" s="70" t="s">
        <v>455</v>
      </c>
      <c r="C67" s="71" t="s">
        <v>72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true" outlineLevel="0" collapsed="false">
      <c r="A68" s="16" t="s">
        <v>456</v>
      </c>
      <c r="B68" s="73" t="s">
        <v>457</v>
      </c>
      <c r="C68" s="74" t="s">
        <v>39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true" outlineLevel="0" collapsed="false">
      <c r="A69" s="23" t="s">
        <v>458</v>
      </c>
      <c r="B69" s="70" t="s">
        <v>459</v>
      </c>
      <c r="C69" s="71" t="s">
        <v>93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true" outlineLevel="0" collapsed="false">
      <c r="A70" s="16" t="s">
        <v>460</v>
      </c>
      <c r="B70" s="73" t="s">
        <v>461</v>
      </c>
      <c r="C70" s="74" t="s">
        <v>37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true" outlineLevel="0" collapsed="false">
      <c r="A71" s="23" t="s">
        <v>462</v>
      </c>
      <c r="B71" s="70" t="s">
        <v>463</v>
      </c>
      <c r="C71" s="71" t="s">
        <v>72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true" outlineLevel="0" collapsed="false">
      <c r="A72" s="16" t="s">
        <v>464</v>
      </c>
      <c r="B72" s="73" t="s">
        <v>465</v>
      </c>
      <c r="C72" s="74" t="s">
        <v>42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true" outlineLevel="0" collapsed="false">
      <c r="A73" s="23" t="s">
        <v>466</v>
      </c>
      <c r="B73" s="70" t="s">
        <v>48</v>
      </c>
      <c r="C73" s="71" t="s">
        <v>48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true" outlineLevel="0" collapsed="false">
      <c r="A74" s="16" t="s">
        <v>467</v>
      </c>
      <c r="B74" s="73" t="s">
        <v>468</v>
      </c>
      <c r="C74" s="74" t="s">
        <v>42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true" outlineLevel="0" collapsed="false">
      <c r="A75" s="23" t="s">
        <v>469</v>
      </c>
      <c r="B75" s="70" t="s">
        <v>470</v>
      </c>
      <c r="C75" s="71" t="s">
        <v>44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" hidden="false" customHeight="true" outlineLevel="0" collapsed="false">
      <c r="A76" s="16" t="s">
        <v>471</v>
      </c>
      <c r="B76" s="73" t="s">
        <v>472</v>
      </c>
      <c r="C76" s="74" t="s">
        <v>70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" hidden="false" customHeight="true" outlineLevel="0" collapsed="false">
      <c r="A77" s="23" t="s">
        <v>473</v>
      </c>
      <c r="B77" s="70" t="s">
        <v>474</v>
      </c>
      <c r="C77" s="71" t="s">
        <v>56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" hidden="false" customHeight="true" outlineLevel="0" collapsed="false">
      <c r="A78" s="16" t="s">
        <v>475</v>
      </c>
      <c r="B78" s="73" t="s">
        <v>476</v>
      </c>
      <c r="C78" s="74" t="s">
        <v>477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" hidden="false" customHeight="true" outlineLevel="0" collapsed="false">
      <c r="A79" s="23" t="s">
        <v>478</v>
      </c>
      <c r="B79" s="70" t="s">
        <v>479</v>
      </c>
      <c r="C79" s="71" t="s">
        <v>62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" hidden="false" customHeight="true" outlineLevel="0" collapsed="false">
      <c r="A80" s="16" t="s">
        <v>480</v>
      </c>
      <c r="B80" s="73" t="s">
        <v>165</v>
      </c>
      <c r="C80" s="74" t="s">
        <v>46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" hidden="false" customHeight="true" outlineLevel="0" collapsed="false">
      <c r="A81" s="23" t="s">
        <v>481</v>
      </c>
      <c r="B81" s="70" t="s">
        <v>482</v>
      </c>
      <c r="C81" s="71" t="s">
        <v>64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" hidden="false" customHeight="true" outlineLevel="0" collapsed="false">
      <c r="A82" s="16" t="s">
        <v>483</v>
      </c>
      <c r="B82" s="73" t="s">
        <v>51</v>
      </c>
      <c r="C82" s="74" t="s">
        <v>51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" hidden="false" customHeight="true" outlineLevel="0" collapsed="false">
      <c r="A83" s="23" t="s">
        <v>484</v>
      </c>
      <c r="B83" s="70" t="s">
        <v>485</v>
      </c>
      <c r="C83" s="71" t="s">
        <v>78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" hidden="false" customHeight="true" outlineLevel="0" collapsed="false">
      <c r="A84" s="16" t="s">
        <v>486</v>
      </c>
      <c r="B84" s="73" t="s">
        <v>487</v>
      </c>
      <c r="C84" s="74" t="s">
        <v>70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" hidden="false" customHeight="true" outlineLevel="0" collapsed="false">
      <c r="A85" s="23" t="s">
        <v>488</v>
      </c>
      <c r="B85" s="70" t="s">
        <v>489</v>
      </c>
      <c r="C85" s="71" t="s">
        <v>72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" hidden="false" customHeight="true" outlineLevel="0" collapsed="false">
      <c r="A86" s="16" t="s">
        <v>490</v>
      </c>
      <c r="B86" s="73" t="s">
        <v>491</v>
      </c>
      <c r="C86" s="74" t="s">
        <v>70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" hidden="false" customHeight="true" outlineLevel="0" collapsed="false">
      <c r="A87" s="23" t="s">
        <v>492</v>
      </c>
      <c r="B87" s="70" t="s">
        <v>493</v>
      </c>
      <c r="C87" s="71" t="s">
        <v>72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" hidden="false" customHeight="true" outlineLevel="0" collapsed="false">
      <c r="A88" s="16" t="s">
        <v>494</v>
      </c>
      <c r="B88" s="73" t="s">
        <v>495</v>
      </c>
      <c r="C88" s="74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" hidden="false" customHeight="true" outlineLevel="0" collapsed="false">
      <c r="A89" s="23" t="s">
        <v>496</v>
      </c>
      <c r="B89" s="70" t="s">
        <v>497</v>
      </c>
      <c r="C89" s="71" t="s">
        <v>39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" hidden="false" customHeight="true" outlineLevel="0" collapsed="false">
      <c r="A90" s="16" t="s">
        <v>498</v>
      </c>
      <c r="B90" s="73" t="s">
        <v>499</v>
      </c>
      <c r="C90" s="74" t="s">
        <v>64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" hidden="false" customHeight="true" outlineLevel="0" collapsed="false">
      <c r="A91" s="23" t="s">
        <v>500</v>
      </c>
      <c r="B91" s="70" t="s">
        <v>53</v>
      </c>
      <c r="C91" s="71" t="s">
        <v>53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" hidden="false" customHeight="true" outlineLevel="0" collapsed="false">
      <c r="A92" s="16" t="s">
        <v>501</v>
      </c>
      <c r="B92" s="73" t="s">
        <v>502</v>
      </c>
      <c r="C92" s="74" t="s">
        <v>51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" hidden="false" customHeight="true" outlineLevel="0" collapsed="false">
      <c r="A93" s="23" t="s">
        <v>503</v>
      </c>
      <c r="B93" s="70" t="s">
        <v>504</v>
      </c>
      <c r="C93" s="71" t="s">
        <v>85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" hidden="false" customHeight="true" outlineLevel="0" collapsed="false">
      <c r="A94" s="16" t="s">
        <v>505</v>
      </c>
      <c r="B94" s="73" t="s">
        <v>506</v>
      </c>
      <c r="C94" s="74" t="s">
        <v>42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" hidden="false" customHeight="true" outlineLevel="0" collapsed="false">
      <c r="A95" s="23" t="s">
        <v>507</v>
      </c>
      <c r="B95" s="70" t="s">
        <v>186</v>
      </c>
      <c r="C95" s="71" t="s">
        <v>39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" hidden="false" customHeight="true" outlineLevel="0" collapsed="false">
      <c r="A96" s="16" t="s">
        <v>508</v>
      </c>
      <c r="B96" s="73" t="s">
        <v>509</v>
      </c>
      <c r="C96" s="74" t="s">
        <v>80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" hidden="false" customHeight="true" outlineLevel="0" collapsed="false">
      <c r="A97" s="23" t="s">
        <v>510</v>
      </c>
      <c r="B97" s="70" t="s">
        <v>511</v>
      </c>
      <c r="C97" s="71" t="s">
        <v>75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" hidden="false" customHeight="true" outlineLevel="0" collapsed="false">
      <c r="A98" s="16" t="s">
        <v>512</v>
      </c>
      <c r="B98" s="73" t="s">
        <v>62</v>
      </c>
      <c r="C98" s="74" t="s">
        <v>62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" hidden="false" customHeight="true" outlineLevel="0" collapsed="false">
      <c r="A99" s="23" t="s">
        <v>513</v>
      </c>
      <c r="B99" s="70" t="s">
        <v>514</v>
      </c>
      <c r="C99" s="71" t="s">
        <v>78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" hidden="false" customHeight="true" outlineLevel="0" collapsed="false">
      <c r="A100" s="16" t="s">
        <v>515</v>
      </c>
      <c r="B100" s="73" t="s">
        <v>516</v>
      </c>
      <c r="C100" s="74" t="s">
        <v>56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" hidden="false" customHeight="true" outlineLevel="0" collapsed="false">
      <c r="A101" s="23" t="s">
        <v>517</v>
      </c>
      <c r="B101" s="70" t="s">
        <v>56</v>
      </c>
      <c r="C101" s="71" t="s">
        <v>56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" hidden="false" customHeight="true" outlineLevel="0" collapsed="false">
      <c r="A102" s="16" t="s">
        <v>518</v>
      </c>
      <c r="B102" s="73" t="s">
        <v>519</v>
      </c>
      <c r="C102" s="74" t="s">
        <v>53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" hidden="false" customHeight="true" outlineLevel="0" collapsed="false">
      <c r="A103" s="23" t="s">
        <v>520</v>
      </c>
      <c r="B103" s="70" t="s">
        <v>521</v>
      </c>
      <c r="C103" s="71" t="s">
        <v>85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" hidden="false" customHeight="true" outlineLevel="0" collapsed="false">
      <c r="A104" s="16" t="s">
        <v>522</v>
      </c>
      <c r="B104" s="73" t="s">
        <v>523</v>
      </c>
      <c r="C104" s="74" t="s">
        <v>78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" hidden="false" customHeight="true" outlineLevel="0" collapsed="false">
      <c r="A105" s="23" t="s">
        <v>524</v>
      </c>
      <c r="B105" s="70" t="s">
        <v>525</v>
      </c>
      <c r="C105" s="71" t="s">
        <v>78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" hidden="false" customHeight="true" outlineLevel="0" collapsed="false">
      <c r="A106" s="16" t="s">
        <v>526</v>
      </c>
      <c r="B106" s="73" t="s">
        <v>527</v>
      </c>
      <c r="C106" s="74" t="s">
        <v>75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" hidden="false" customHeight="true" outlineLevel="0" collapsed="false">
      <c r="A107" s="23" t="s">
        <v>528</v>
      </c>
      <c r="B107" s="70" t="s">
        <v>58</v>
      </c>
      <c r="C107" s="71" t="s">
        <v>58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" hidden="false" customHeight="true" outlineLevel="0" collapsed="false">
      <c r="A108" s="16" t="s">
        <v>529</v>
      </c>
      <c r="B108" s="73" t="s">
        <v>138</v>
      </c>
      <c r="C108" s="74" t="s">
        <v>60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" hidden="false" customHeight="true" outlineLevel="0" collapsed="false">
      <c r="A109" s="23" t="s">
        <v>530</v>
      </c>
      <c r="B109" s="70" t="s">
        <v>531</v>
      </c>
      <c r="C109" s="71" t="s">
        <v>42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" hidden="false" customHeight="true" outlineLevel="0" collapsed="false">
      <c r="A110" s="16" t="s">
        <v>532</v>
      </c>
      <c r="B110" s="73" t="s">
        <v>213</v>
      </c>
      <c r="C110" s="74" t="s">
        <v>62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" hidden="false" customHeight="true" outlineLevel="0" collapsed="false">
      <c r="A111" s="23" t="s">
        <v>533</v>
      </c>
      <c r="B111" s="70" t="s">
        <v>534</v>
      </c>
      <c r="C111" s="71" t="s">
        <v>64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" hidden="false" customHeight="true" outlineLevel="0" collapsed="false">
      <c r="A112" s="16" t="s">
        <v>535</v>
      </c>
      <c r="B112" s="73" t="s">
        <v>536</v>
      </c>
      <c r="C112" s="74" t="s">
        <v>70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" hidden="false" customHeight="true" outlineLevel="0" collapsed="false">
      <c r="A113" s="23" t="s">
        <v>537</v>
      </c>
      <c r="B113" s="70" t="s">
        <v>538</v>
      </c>
      <c r="C113" s="71" t="s">
        <v>78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" hidden="false" customHeight="true" outlineLevel="0" collapsed="false">
      <c r="A114" s="16" t="s">
        <v>539</v>
      </c>
      <c r="B114" s="73" t="s">
        <v>540</v>
      </c>
      <c r="C114" s="74" t="s">
        <v>58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" hidden="false" customHeight="true" outlineLevel="0" collapsed="false">
      <c r="A115" s="23" t="s">
        <v>541</v>
      </c>
      <c r="B115" s="70" t="s">
        <v>542</v>
      </c>
      <c r="C115" s="71" t="s">
        <v>62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" hidden="false" customHeight="true" outlineLevel="0" collapsed="false">
      <c r="A116" s="16" t="s">
        <v>543</v>
      </c>
      <c r="B116" s="73" t="s">
        <v>544</v>
      </c>
      <c r="C116" s="74" t="s">
        <v>80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" hidden="false" customHeight="true" outlineLevel="0" collapsed="false">
      <c r="A117" s="23" t="s">
        <v>545</v>
      </c>
      <c r="B117" s="70" t="s">
        <v>546</v>
      </c>
      <c r="C117" s="71" t="s">
        <v>370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" hidden="false" customHeight="true" outlineLevel="0" collapsed="false">
      <c r="A118" s="16" t="s">
        <v>547</v>
      </c>
      <c r="B118" s="73" t="s">
        <v>93</v>
      </c>
      <c r="C118" s="74" t="s">
        <v>93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" hidden="false" customHeight="true" outlineLevel="0" collapsed="false">
      <c r="A119" s="23" t="s">
        <v>548</v>
      </c>
      <c r="B119" s="70" t="s">
        <v>549</v>
      </c>
      <c r="C119" s="71" t="s">
        <v>80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" hidden="false" customHeight="true" outlineLevel="0" collapsed="false">
      <c r="A120" s="16" t="s">
        <v>550</v>
      </c>
      <c r="B120" s="73" t="s">
        <v>551</v>
      </c>
      <c r="C120" s="74" t="s">
        <v>46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" hidden="false" customHeight="true" outlineLevel="0" collapsed="false">
      <c r="A121" s="23" t="s">
        <v>552</v>
      </c>
      <c r="B121" s="70" t="s">
        <v>553</v>
      </c>
      <c r="C121" s="71" t="s">
        <v>80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" hidden="false" customHeight="true" outlineLevel="0" collapsed="false">
      <c r="A122" s="16" t="s">
        <v>554</v>
      </c>
      <c r="B122" s="73" t="s">
        <v>555</v>
      </c>
      <c r="C122" s="74" t="s">
        <v>85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" hidden="false" customHeight="true" outlineLevel="0" collapsed="false">
      <c r="A123" s="23" t="s">
        <v>556</v>
      </c>
      <c r="B123" s="70" t="s">
        <v>64</v>
      </c>
      <c r="C123" s="71" t="s">
        <v>64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" hidden="false" customHeight="true" outlineLevel="0" collapsed="false">
      <c r="A124" s="16" t="s">
        <v>557</v>
      </c>
      <c r="B124" s="73" t="s">
        <v>558</v>
      </c>
      <c r="C124" s="74" t="s">
        <v>44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" hidden="false" customHeight="true" outlineLevel="0" collapsed="false">
      <c r="A125" s="23" t="s">
        <v>559</v>
      </c>
      <c r="B125" s="70" t="s">
        <v>560</v>
      </c>
      <c r="C125" s="71" t="s">
        <v>70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" hidden="false" customHeight="true" outlineLevel="0" collapsed="false">
      <c r="A126" s="16" t="s">
        <v>561</v>
      </c>
      <c r="B126" s="73" t="s">
        <v>562</v>
      </c>
      <c r="C126" s="74" t="s">
        <v>48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" hidden="false" customHeight="true" outlineLevel="0" collapsed="false">
      <c r="A127" s="23" t="s">
        <v>563</v>
      </c>
      <c r="B127" s="70" t="s">
        <v>564</v>
      </c>
      <c r="C127" s="71" t="s">
        <v>56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" hidden="false" customHeight="true" outlineLevel="0" collapsed="false">
      <c r="A128" s="16" t="s">
        <v>565</v>
      </c>
      <c r="B128" s="73" t="s">
        <v>566</v>
      </c>
      <c r="C128" s="74" t="s">
        <v>370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" hidden="false" customHeight="true" outlineLevel="0" collapsed="false">
      <c r="A129" s="23" t="s">
        <v>567</v>
      </c>
      <c r="B129" s="70" t="s">
        <v>568</v>
      </c>
      <c r="C129" s="71" t="s">
        <v>72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" hidden="false" customHeight="true" outlineLevel="0" collapsed="false">
      <c r="A130" s="16" t="s">
        <v>569</v>
      </c>
      <c r="B130" s="73" t="s">
        <v>66</v>
      </c>
      <c r="C130" s="74" t="s">
        <v>66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" hidden="false" customHeight="true" outlineLevel="0" collapsed="false">
      <c r="A131" s="23" t="s">
        <v>570</v>
      </c>
      <c r="B131" s="70" t="s">
        <v>571</v>
      </c>
      <c r="C131" s="71" t="s">
        <v>93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" hidden="false" customHeight="true" outlineLevel="0" collapsed="false">
      <c r="A132" s="16" t="s">
        <v>572</v>
      </c>
      <c r="B132" s="73" t="s">
        <v>68</v>
      </c>
      <c r="C132" s="74" t="s">
        <v>68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" hidden="false" customHeight="true" outlineLevel="0" collapsed="false">
      <c r="A133" s="23" t="s">
        <v>573</v>
      </c>
      <c r="B133" s="70" t="s">
        <v>574</v>
      </c>
      <c r="C133" s="71" t="s">
        <v>62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" hidden="false" customHeight="true" outlineLevel="0" collapsed="false">
      <c r="A134" s="16" t="s">
        <v>575</v>
      </c>
      <c r="B134" s="73" t="s">
        <v>576</v>
      </c>
      <c r="C134" s="74" t="s">
        <v>53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" hidden="false" customHeight="true" outlineLevel="0" collapsed="false">
      <c r="A135" s="23" t="s">
        <v>577</v>
      </c>
      <c r="B135" s="70" t="s">
        <v>578</v>
      </c>
      <c r="C135" s="71" t="s">
        <v>64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" hidden="false" customHeight="true" outlineLevel="0" collapsed="false">
      <c r="A136" s="16" t="s">
        <v>579</v>
      </c>
      <c r="B136" s="73" t="s">
        <v>580</v>
      </c>
      <c r="C136" s="74" t="s">
        <v>42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" hidden="false" customHeight="true" outlineLevel="0" collapsed="false">
      <c r="A137" s="23" t="s">
        <v>581</v>
      </c>
      <c r="B137" s="70" t="s">
        <v>70</v>
      </c>
      <c r="C137" s="71" t="s">
        <v>70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" hidden="false" customHeight="true" outlineLevel="0" collapsed="false">
      <c r="A138" s="16" t="s">
        <v>582</v>
      </c>
      <c r="B138" s="73" t="s">
        <v>583</v>
      </c>
      <c r="C138" s="74" t="s">
        <v>46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" hidden="false" customHeight="true" outlineLevel="0" collapsed="false">
      <c r="A139" s="23" t="s">
        <v>584</v>
      </c>
      <c r="B139" s="70" t="s">
        <v>585</v>
      </c>
      <c r="C139" s="71" t="s">
        <v>72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" hidden="false" customHeight="true" outlineLevel="0" collapsed="false">
      <c r="A140" s="16" t="s">
        <v>586</v>
      </c>
      <c r="B140" s="73" t="s">
        <v>370</v>
      </c>
      <c r="C140" s="74" t="s">
        <v>370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" hidden="false" customHeight="true" outlineLevel="0" collapsed="false">
      <c r="A141" s="23" t="s">
        <v>587</v>
      </c>
      <c r="B141" s="70" t="s">
        <v>588</v>
      </c>
      <c r="C141" s="71" t="s">
        <v>78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" hidden="false" customHeight="true" outlineLevel="0" collapsed="false">
      <c r="A142" s="16" t="s">
        <v>589</v>
      </c>
      <c r="B142" s="73" t="s">
        <v>590</v>
      </c>
      <c r="C142" s="74" t="s">
        <v>78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" hidden="false" customHeight="true" outlineLevel="0" collapsed="false">
      <c r="A143" s="23" t="s">
        <v>591</v>
      </c>
      <c r="B143" s="70" t="s">
        <v>592</v>
      </c>
      <c r="C143" s="71" t="s">
        <v>66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" hidden="false" customHeight="true" outlineLevel="0" collapsed="false">
      <c r="A144" s="16" t="s">
        <v>593</v>
      </c>
      <c r="B144" s="73" t="s">
        <v>594</v>
      </c>
      <c r="C144" s="74" t="s">
        <v>39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" hidden="false" customHeight="true" outlineLevel="0" collapsed="false">
      <c r="A145" s="23" t="s">
        <v>595</v>
      </c>
      <c r="B145" s="70" t="s">
        <v>72</v>
      </c>
      <c r="C145" s="71" t="s">
        <v>72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" hidden="false" customHeight="true" outlineLevel="0" collapsed="false">
      <c r="A146" s="16" t="s">
        <v>596</v>
      </c>
      <c r="B146" s="73" t="s">
        <v>597</v>
      </c>
      <c r="C146" s="74" t="s">
        <v>42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" hidden="false" customHeight="true" outlineLevel="0" collapsed="false">
      <c r="A147" s="23" t="s">
        <v>598</v>
      </c>
      <c r="B147" s="70" t="s">
        <v>599</v>
      </c>
      <c r="C147" s="71" t="s">
        <v>72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" hidden="false" customHeight="true" outlineLevel="0" collapsed="false">
      <c r="A148" s="16" t="s">
        <v>600</v>
      </c>
      <c r="B148" s="73" t="s">
        <v>601</v>
      </c>
      <c r="C148" s="74" t="s">
        <v>44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" hidden="false" customHeight="true" outlineLevel="0" collapsed="false">
      <c r="A149" s="23" t="s">
        <v>602</v>
      </c>
      <c r="B149" s="70" t="s">
        <v>603</v>
      </c>
      <c r="C149" s="71" t="s">
        <v>78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" hidden="false" customHeight="true" outlineLevel="0" collapsed="false">
      <c r="A150" s="16" t="s">
        <v>604</v>
      </c>
      <c r="B150" s="73" t="s">
        <v>605</v>
      </c>
      <c r="C150" s="74" t="s">
        <v>46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" hidden="false" customHeight="true" outlineLevel="0" collapsed="false">
      <c r="A151" s="23" t="s">
        <v>606</v>
      </c>
      <c r="B151" s="70" t="s">
        <v>607</v>
      </c>
      <c r="C151" s="71" t="s">
        <v>42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" hidden="false" customHeight="true" outlineLevel="0" collapsed="false">
      <c r="A152" s="16" t="s">
        <v>608</v>
      </c>
      <c r="B152" s="73" t="s">
        <v>609</v>
      </c>
      <c r="C152" s="74" t="s">
        <v>46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" hidden="false" customHeight="true" outlineLevel="0" collapsed="false">
      <c r="A153" s="23" t="s">
        <v>610</v>
      </c>
      <c r="B153" s="70" t="s">
        <v>611</v>
      </c>
      <c r="C153" s="71" t="s">
        <v>93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" hidden="false" customHeight="true" outlineLevel="0" collapsed="false">
      <c r="A154" s="16" t="s">
        <v>612</v>
      </c>
      <c r="B154" s="73" t="s">
        <v>613</v>
      </c>
      <c r="C154" s="74" t="s">
        <v>66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" hidden="false" customHeight="true" outlineLevel="0" collapsed="false">
      <c r="A155" s="23" t="s">
        <v>614</v>
      </c>
      <c r="B155" s="70" t="s">
        <v>615</v>
      </c>
      <c r="C155" s="71" t="s">
        <v>58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" hidden="false" customHeight="true" outlineLevel="0" collapsed="false">
      <c r="A156" s="16" t="s">
        <v>616</v>
      </c>
      <c r="B156" s="73" t="s">
        <v>617</v>
      </c>
      <c r="C156" s="74" t="s">
        <v>370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" hidden="false" customHeight="true" outlineLevel="0" collapsed="false">
      <c r="A157" s="23" t="s">
        <v>618</v>
      </c>
      <c r="B157" s="70" t="s">
        <v>619</v>
      </c>
      <c r="C157" s="71" t="s">
        <v>51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" hidden="false" customHeight="true" outlineLevel="0" collapsed="false">
      <c r="A158" s="16" t="s">
        <v>620</v>
      </c>
      <c r="B158" s="73" t="s">
        <v>621</v>
      </c>
      <c r="C158" s="74" t="s">
        <v>72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" hidden="false" customHeight="true" outlineLevel="0" collapsed="false">
      <c r="A159" s="23" t="s">
        <v>622</v>
      </c>
      <c r="B159" s="70" t="s">
        <v>262</v>
      </c>
      <c r="C159" s="71" t="s">
        <v>70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" hidden="false" customHeight="true" outlineLevel="0" collapsed="false">
      <c r="A160" s="16" t="s">
        <v>623</v>
      </c>
      <c r="B160" s="73" t="s">
        <v>624</v>
      </c>
      <c r="C160" s="74" t="s">
        <v>85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" hidden="false" customHeight="true" outlineLevel="0" collapsed="false">
      <c r="A161" s="23" t="s">
        <v>625</v>
      </c>
      <c r="B161" s="70" t="s">
        <v>626</v>
      </c>
      <c r="C161" s="71" t="s">
        <v>70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" hidden="false" customHeight="true" outlineLevel="0" collapsed="false">
      <c r="A162" s="16" t="s">
        <v>627</v>
      </c>
      <c r="B162" s="73" t="s">
        <v>628</v>
      </c>
      <c r="C162" s="74" t="s">
        <v>53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" hidden="false" customHeight="true" outlineLevel="0" collapsed="false">
      <c r="A163" s="23" t="s">
        <v>629</v>
      </c>
      <c r="B163" s="70" t="s">
        <v>630</v>
      </c>
      <c r="C163" s="71" t="s">
        <v>39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" hidden="false" customHeight="true" outlineLevel="0" collapsed="false">
      <c r="A164" s="16" t="s">
        <v>631</v>
      </c>
      <c r="B164" s="73" t="s">
        <v>632</v>
      </c>
      <c r="C164" s="74" t="s">
        <v>70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" hidden="false" customHeight="true" outlineLevel="0" collapsed="false">
      <c r="A165" s="23" t="s">
        <v>633</v>
      </c>
      <c r="B165" s="70" t="s">
        <v>634</v>
      </c>
      <c r="C165" s="71" t="s">
        <v>42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" hidden="false" customHeight="true" outlineLevel="0" collapsed="false">
      <c r="A166" s="16" t="s">
        <v>635</v>
      </c>
      <c r="B166" s="73" t="s">
        <v>636</v>
      </c>
      <c r="C166" s="74" t="s">
        <v>70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" hidden="false" customHeight="true" outlineLevel="0" collapsed="false">
      <c r="A167" s="23" t="s">
        <v>637</v>
      </c>
      <c r="B167" s="70" t="s">
        <v>638</v>
      </c>
      <c r="C167" s="71" t="s">
        <v>93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" hidden="false" customHeight="true" outlineLevel="0" collapsed="false">
      <c r="A168" s="16" t="s">
        <v>639</v>
      </c>
      <c r="B168" s="73" t="s">
        <v>640</v>
      </c>
      <c r="C168" s="74" t="s">
        <v>72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" hidden="false" customHeight="true" outlineLevel="0" collapsed="false">
      <c r="A169" s="23" t="s">
        <v>641</v>
      </c>
      <c r="B169" s="70" t="s">
        <v>642</v>
      </c>
      <c r="C169" s="71" t="s">
        <v>72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" hidden="false" customHeight="true" outlineLevel="0" collapsed="false">
      <c r="A170" s="16" t="s">
        <v>643</v>
      </c>
      <c r="B170" s="73" t="s">
        <v>644</v>
      </c>
      <c r="C170" s="74" t="s">
        <v>46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" hidden="false" customHeight="true" outlineLevel="0" collapsed="false">
      <c r="A171" s="23" t="s">
        <v>645</v>
      </c>
      <c r="B171" s="70" t="s">
        <v>646</v>
      </c>
      <c r="C171" s="71" t="s">
        <v>44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" hidden="false" customHeight="true" outlineLevel="0" collapsed="false">
      <c r="A172" s="16" t="s">
        <v>647</v>
      </c>
      <c r="B172" s="73" t="s">
        <v>648</v>
      </c>
      <c r="C172" s="74" t="s">
        <v>70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" hidden="false" customHeight="true" outlineLevel="0" collapsed="false">
      <c r="A173" s="23" t="s">
        <v>649</v>
      </c>
      <c r="B173" s="70" t="s">
        <v>650</v>
      </c>
      <c r="C173" s="71" t="s">
        <v>51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" hidden="false" customHeight="true" outlineLevel="0" collapsed="false">
      <c r="A174" s="16" t="s">
        <v>651</v>
      </c>
      <c r="B174" s="73" t="s">
        <v>652</v>
      </c>
      <c r="C174" s="74" t="s">
        <v>78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" hidden="false" customHeight="true" outlineLevel="0" collapsed="false">
      <c r="A175" s="23" t="s">
        <v>653</v>
      </c>
      <c r="B175" s="70" t="s">
        <v>654</v>
      </c>
      <c r="C175" s="71" t="s">
        <v>70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" hidden="false" customHeight="true" outlineLevel="0" collapsed="false">
      <c r="A176" s="16" t="s">
        <v>655</v>
      </c>
      <c r="B176" s="73" t="s">
        <v>656</v>
      </c>
      <c r="C176" s="74" t="s">
        <v>44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" hidden="false" customHeight="true" outlineLevel="0" collapsed="false">
      <c r="A177" s="23" t="s">
        <v>657</v>
      </c>
      <c r="B177" s="70" t="s">
        <v>658</v>
      </c>
      <c r="C177" s="71" t="s">
        <v>78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" hidden="false" customHeight="true" outlineLevel="0" collapsed="false">
      <c r="A178" s="16" t="s">
        <v>659</v>
      </c>
      <c r="B178" s="73" t="s">
        <v>660</v>
      </c>
      <c r="C178" s="74" t="s">
        <v>75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" hidden="false" customHeight="true" outlineLevel="0" collapsed="false">
      <c r="A179" s="23" t="s">
        <v>661</v>
      </c>
      <c r="B179" s="70" t="s">
        <v>662</v>
      </c>
      <c r="C179" s="71" t="s">
        <v>53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" hidden="false" customHeight="true" outlineLevel="0" collapsed="false">
      <c r="A180" s="16" t="s">
        <v>663</v>
      </c>
      <c r="B180" s="73" t="s">
        <v>664</v>
      </c>
      <c r="C180" s="74" t="s">
        <v>80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" hidden="false" customHeight="true" outlineLevel="0" collapsed="false">
      <c r="A181" s="23" t="s">
        <v>665</v>
      </c>
      <c r="B181" s="70" t="s">
        <v>75</v>
      </c>
      <c r="C181" s="71" t="s">
        <v>75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" hidden="false" customHeight="true" outlineLevel="0" collapsed="false">
      <c r="A182" s="16" t="s">
        <v>666</v>
      </c>
      <c r="B182" s="73" t="s">
        <v>667</v>
      </c>
      <c r="C182" s="74" t="s">
        <v>85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" hidden="false" customHeight="true" outlineLevel="0" collapsed="false">
      <c r="A183" s="23" t="s">
        <v>668</v>
      </c>
      <c r="B183" s="70" t="s">
        <v>669</v>
      </c>
      <c r="C183" s="71" t="s">
        <v>39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" hidden="false" customHeight="true" outlineLevel="0" collapsed="false">
      <c r="A184" s="16" t="s">
        <v>670</v>
      </c>
      <c r="B184" s="73" t="s">
        <v>671</v>
      </c>
      <c r="C184" s="74" t="s">
        <v>370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" hidden="false" customHeight="true" outlineLevel="0" collapsed="false">
      <c r="A185" s="23" t="s">
        <v>672</v>
      </c>
      <c r="B185" s="70" t="s">
        <v>673</v>
      </c>
      <c r="C185" s="71" t="s">
        <v>673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" hidden="false" customHeight="true" outlineLevel="0" collapsed="false">
      <c r="A186" s="16" t="s">
        <v>674</v>
      </c>
      <c r="B186" s="73" t="s">
        <v>675</v>
      </c>
      <c r="C186" s="74" t="s">
        <v>42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" hidden="false" customHeight="true" outlineLevel="0" collapsed="false">
      <c r="A187" s="23" t="s">
        <v>676</v>
      </c>
      <c r="B187" s="70" t="s">
        <v>677</v>
      </c>
      <c r="C187" s="71" t="s">
        <v>70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" hidden="false" customHeight="true" outlineLevel="0" collapsed="false">
      <c r="A188" s="16" t="s">
        <v>678</v>
      </c>
      <c r="B188" s="73" t="s">
        <v>679</v>
      </c>
      <c r="C188" s="74" t="s">
        <v>56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" hidden="false" customHeight="true" outlineLevel="0" collapsed="false">
      <c r="A189" s="23" t="s">
        <v>680</v>
      </c>
      <c r="B189" s="70" t="s">
        <v>681</v>
      </c>
      <c r="C189" s="71" t="s">
        <v>62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" hidden="false" customHeight="true" outlineLevel="0" collapsed="false">
      <c r="A190" s="16" t="s">
        <v>682</v>
      </c>
      <c r="B190" s="73" t="s">
        <v>683</v>
      </c>
      <c r="C190" s="74" t="s">
        <v>370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" hidden="false" customHeight="true" outlineLevel="0" collapsed="false">
      <c r="A191" s="23" t="s">
        <v>684</v>
      </c>
      <c r="B191" s="70" t="s">
        <v>685</v>
      </c>
      <c r="C191" s="71" t="s">
        <v>370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" hidden="false" customHeight="true" outlineLevel="0" collapsed="false">
      <c r="A192" s="16" t="s">
        <v>686</v>
      </c>
      <c r="B192" s="73" t="s">
        <v>687</v>
      </c>
      <c r="C192" s="74" t="s">
        <v>46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" hidden="false" customHeight="true" outlineLevel="0" collapsed="false">
      <c r="A193" s="23" t="s">
        <v>688</v>
      </c>
      <c r="B193" s="70" t="s">
        <v>689</v>
      </c>
      <c r="C193" s="71" t="s">
        <v>66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" hidden="false" customHeight="true" outlineLevel="0" collapsed="false">
      <c r="A194" s="16" t="s">
        <v>690</v>
      </c>
      <c r="B194" s="73" t="s">
        <v>691</v>
      </c>
      <c r="C194" s="74" t="s">
        <v>42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" hidden="false" customHeight="true" outlineLevel="0" collapsed="false">
      <c r="A195" s="23" t="s">
        <v>692</v>
      </c>
      <c r="B195" s="70" t="s">
        <v>78</v>
      </c>
      <c r="C195" s="71" t="s">
        <v>78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" hidden="false" customHeight="true" outlineLevel="0" collapsed="false">
      <c r="A196" s="16" t="s">
        <v>693</v>
      </c>
      <c r="B196" s="73" t="s">
        <v>694</v>
      </c>
      <c r="C196" s="74" t="s">
        <v>75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" hidden="false" customHeight="true" outlineLevel="0" collapsed="false">
      <c r="A197" s="23" t="s">
        <v>695</v>
      </c>
      <c r="B197" s="70" t="s">
        <v>696</v>
      </c>
      <c r="C197" s="71" t="s">
        <v>68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" hidden="false" customHeight="true" outlineLevel="0" collapsed="false">
      <c r="A198" s="16" t="s">
        <v>697</v>
      </c>
      <c r="B198" s="73" t="s">
        <v>80</v>
      </c>
      <c r="C198" s="74" t="s">
        <v>80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" hidden="false" customHeight="true" outlineLevel="0" collapsed="false">
      <c r="A199" s="23" t="s">
        <v>698</v>
      </c>
      <c r="B199" s="70" t="s">
        <v>699</v>
      </c>
      <c r="C199" s="71" t="s">
        <v>78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" hidden="false" customHeight="true" outlineLevel="0" collapsed="false">
      <c r="A200" s="16" t="s">
        <v>700</v>
      </c>
      <c r="B200" s="73" t="s">
        <v>701</v>
      </c>
      <c r="C200" s="74" t="s">
        <v>53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" hidden="false" customHeight="true" outlineLevel="0" collapsed="false">
      <c r="A201" s="23" t="s">
        <v>702</v>
      </c>
      <c r="B201" s="70" t="s">
        <v>703</v>
      </c>
      <c r="C201" s="71" t="s">
        <v>72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" hidden="false" customHeight="true" outlineLevel="0" collapsed="false">
      <c r="A202" s="16" t="s">
        <v>704</v>
      </c>
      <c r="B202" s="73" t="s">
        <v>705</v>
      </c>
      <c r="C202" s="74" t="s">
        <v>42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" hidden="false" customHeight="true" outlineLevel="0" collapsed="false">
      <c r="A203" s="23" t="s">
        <v>706</v>
      </c>
      <c r="B203" s="70" t="s">
        <v>707</v>
      </c>
      <c r="C203" s="71" t="s">
        <v>72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" hidden="false" customHeight="true" outlineLevel="0" collapsed="false">
      <c r="A204" s="16" t="s">
        <v>708</v>
      </c>
      <c r="B204" s="73" t="s">
        <v>709</v>
      </c>
      <c r="C204" s="74" t="s">
        <v>44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" hidden="false" customHeight="true" outlineLevel="0" collapsed="false">
      <c r="A205" s="23" t="s">
        <v>710</v>
      </c>
      <c r="B205" s="70" t="s">
        <v>711</v>
      </c>
      <c r="C205" s="71" t="s">
        <v>85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" hidden="false" customHeight="true" outlineLevel="0" collapsed="false">
      <c r="A206" s="16" t="s">
        <v>712</v>
      </c>
      <c r="B206" s="73" t="s">
        <v>713</v>
      </c>
      <c r="C206" s="74" t="s">
        <v>370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" hidden="false" customHeight="true" outlineLevel="0" collapsed="false">
      <c r="A207" s="23" t="s">
        <v>714</v>
      </c>
      <c r="B207" s="70" t="s">
        <v>279</v>
      </c>
      <c r="C207" s="71" t="s">
        <v>72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" hidden="false" customHeight="true" outlineLevel="0" collapsed="false">
      <c r="A208" s="16" t="s">
        <v>715</v>
      </c>
      <c r="B208" s="73" t="s">
        <v>716</v>
      </c>
      <c r="C208" s="74" t="s">
        <v>44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" hidden="false" customHeight="true" outlineLevel="0" collapsed="false">
      <c r="A209" s="23" t="s">
        <v>717</v>
      </c>
      <c r="B209" s="70" t="s">
        <v>46</v>
      </c>
      <c r="C209" s="71" t="s">
        <v>46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" hidden="false" customHeight="true" outlineLevel="0" collapsed="false">
      <c r="A210" s="16" t="s">
        <v>718</v>
      </c>
      <c r="B210" s="73" t="s">
        <v>719</v>
      </c>
      <c r="C210" s="74" t="s">
        <v>58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" hidden="false" customHeight="true" outlineLevel="0" collapsed="false">
      <c r="A211" s="23" t="s">
        <v>720</v>
      </c>
      <c r="B211" s="70" t="s">
        <v>721</v>
      </c>
      <c r="C211" s="71" t="s">
        <v>78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" hidden="false" customHeight="true" outlineLevel="0" collapsed="false">
      <c r="A212" s="119" t="s">
        <v>722</v>
      </c>
      <c r="B212" s="120" t="s">
        <v>85</v>
      </c>
      <c r="C212" s="121" t="s">
        <v>85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723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IFERROR(SUMPRODUCT((K4:K113="PETROLEO")*ISNUMBER(M4:M113)*M4:M113),0)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IFERROR(SUMPRODUCT((K4:K113="GASOLINA")*ISNUMBER(M4:M113)*M4:M113),0)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IFERROR(SUMPRODUCT(ISNUMBER(M4:M113)*L4:L113*M4:M113),0)</f>
        <v>0</v>
      </c>
      <c r="Q2" s="125"/>
      <c r="R2" s="125"/>
      <c r="S2" s="123" t="s">
        <v>727</v>
      </c>
      <c r="T2" s="123"/>
      <c r="U2" s="126" t="n">
        <f aca="false">SUBTOTAL(2,A4:A113)</f>
        <v>106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06" t="n">
        <v>1</v>
      </c>
      <c r="B6" s="107" t="s">
        <v>751</v>
      </c>
      <c r="C6" s="106" t="s">
        <v>752</v>
      </c>
      <c r="D6" s="107" t="s">
        <v>753</v>
      </c>
      <c r="E6" s="136" t="s">
        <v>99</v>
      </c>
      <c r="F6" s="106" t="s">
        <v>754</v>
      </c>
      <c r="G6" s="137" t="n">
        <v>45675</v>
      </c>
      <c r="H6" s="106" t="s">
        <v>722</v>
      </c>
      <c r="I6" s="138" t="str">
        <f aca="false">IFERROR(VLOOKUP(TEXT(H6,"0"),IPRESS!$A$3:$B$212,2,0),"")</f>
        <v>ZARUMILLA</v>
      </c>
      <c r="J6" s="106" t="s">
        <v>755</v>
      </c>
      <c r="K6" s="138" t="str">
        <f aca="false">IFERROR(VLOOKUP(TEXT(O6,"0"),CONDUCTORES!$A$3:$G$100,7,0),"")</f>
        <v/>
      </c>
      <c r="L6" s="50" t="n">
        <v>20.25</v>
      </c>
      <c r="M6" s="50" t="n">
        <v>6</v>
      </c>
      <c r="N6" s="139" t="n">
        <f aca="false">IFERROR(IF(L6*M6=0,"",L6*M6),"")</f>
        <v>121.5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40" t="s">
        <v>756</v>
      </c>
      <c r="S6" s="107" t="s">
        <v>757</v>
      </c>
      <c r="T6" s="141" t="s">
        <v>758</v>
      </c>
      <c r="U6" s="137" t="n">
        <v>45698</v>
      </c>
      <c r="V6" s="106" t="s">
        <v>759</v>
      </c>
      <c r="W6" s="106" t="s">
        <v>760</v>
      </c>
      <c r="X6" s="106" t="s">
        <v>761</v>
      </c>
      <c r="Y6" s="85"/>
    </row>
    <row r="7" customFormat="false" ht="15.75" hidden="false" customHeight="true" outlineLevel="0" collapsed="false">
      <c r="A7" s="46" t="n">
        <v>2</v>
      </c>
      <c r="B7" s="110" t="s">
        <v>762</v>
      </c>
      <c r="C7" s="46" t="s">
        <v>752</v>
      </c>
      <c r="D7" s="110" t="s">
        <v>763</v>
      </c>
      <c r="E7" s="46" t="s">
        <v>99</v>
      </c>
      <c r="F7" s="46" t="s">
        <v>764</v>
      </c>
      <c r="G7" s="142" t="n">
        <v>45680</v>
      </c>
      <c r="H7" s="46" t="s">
        <v>722</v>
      </c>
      <c r="I7" s="138" t="str">
        <f aca="false">IFERROR(VLOOKUP(TEXT(H7,"0"),IPRESS!$A$3:$B$212,2,0),"")</f>
        <v>ZARUMILLA</v>
      </c>
      <c r="J7" s="46" t="s">
        <v>529</v>
      </c>
      <c r="K7" s="138" t="str">
        <f aca="false">IFERROR(VLOOKUP(TEXT(O7,"0"),CONDUCTORES!$A$3:$G$100,7,0),"")</f>
        <v/>
      </c>
      <c r="L7" s="44" t="n">
        <v>20.25</v>
      </c>
      <c r="M7" s="44" t="n">
        <v>6</v>
      </c>
      <c r="N7" s="139" t="n">
        <f aca="false">IFERROR(IF(L7*M7=0,"",L7*M7),"")</f>
        <v>121.5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85" t="s">
        <v>756</v>
      </c>
      <c r="S7" s="110" t="s">
        <v>765</v>
      </c>
      <c r="T7" s="141" t="s">
        <v>758</v>
      </c>
      <c r="U7" s="142" t="n">
        <v>45698</v>
      </c>
      <c r="V7" s="46" t="s">
        <v>759</v>
      </c>
      <c r="W7" s="46" t="s">
        <v>760</v>
      </c>
      <c r="X7" s="46" t="s">
        <v>761</v>
      </c>
      <c r="Y7" s="85"/>
    </row>
    <row r="8" customFormat="false" ht="15.75" hidden="false" customHeight="true" outlineLevel="0" collapsed="false">
      <c r="A8" s="106" t="n">
        <v>3</v>
      </c>
      <c r="B8" s="107" t="s">
        <v>766</v>
      </c>
      <c r="C8" s="106" t="s">
        <v>752</v>
      </c>
      <c r="D8" s="107" t="s">
        <v>767</v>
      </c>
      <c r="E8" s="136" t="s">
        <v>99</v>
      </c>
      <c r="F8" s="106" t="s">
        <v>768</v>
      </c>
      <c r="G8" s="137" t="n">
        <v>45688</v>
      </c>
      <c r="H8" s="106" t="s">
        <v>722</v>
      </c>
      <c r="I8" s="138" t="str">
        <f aca="false">IFERROR(VLOOKUP(TEXT(H8,"0"),IPRESS!$A$3:$B$212,2,0),"")</f>
        <v>ZARUMILLA</v>
      </c>
      <c r="J8" s="106" t="s">
        <v>529</v>
      </c>
      <c r="K8" s="138" t="str">
        <f aca="false">IFERROR(VLOOKUP(TEXT(O8,"0"),CONDUCTORES!$A$3:$G$100,7,0),"")</f>
        <v/>
      </c>
      <c r="L8" s="50" t="n">
        <v>20.25</v>
      </c>
      <c r="M8" s="50" t="n">
        <v>6</v>
      </c>
      <c r="N8" s="139" t="n">
        <f aca="false">IFERROR(IF(L8*M8=0,"",L8*M8),"")</f>
        <v>121.5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40" t="s">
        <v>756</v>
      </c>
      <c r="S8" s="107" t="s">
        <v>769</v>
      </c>
      <c r="T8" s="136"/>
      <c r="U8" s="137" t="n">
        <v>45709</v>
      </c>
      <c r="V8" s="106" t="s">
        <v>759</v>
      </c>
      <c r="W8" s="106" t="s">
        <v>760</v>
      </c>
      <c r="X8" s="106" t="s">
        <v>761</v>
      </c>
      <c r="Y8" s="85"/>
    </row>
    <row r="9" customFormat="false" ht="15.75" hidden="false" customHeight="true" outlineLevel="0" collapsed="false">
      <c r="A9" s="46" t="n">
        <v>4</v>
      </c>
      <c r="B9" s="110" t="s">
        <v>770</v>
      </c>
      <c r="C9" s="46" t="s">
        <v>752</v>
      </c>
      <c r="D9" s="110" t="s">
        <v>771</v>
      </c>
      <c r="E9" s="46" t="s">
        <v>99</v>
      </c>
      <c r="F9" s="46" t="s">
        <v>772</v>
      </c>
      <c r="G9" s="142" t="n">
        <v>45685</v>
      </c>
      <c r="H9" s="46" t="s">
        <v>722</v>
      </c>
      <c r="I9" s="138" t="str">
        <f aca="false">IFERROR(VLOOKUP(TEXT(H9,"0"),IPRESS!$A$3:$B$212,2,0),"")</f>
        <v>ZARUMILLA</v>
      </c>
      <c r="J9" s="46" t="s">
        <v>529</v>
      </c>
      <c r="K9" s="138" t="str">
        <f aca="false">IFERROR(VLOOKUP(TEXT(O9,"0"),CONDUCTORES!$A$3:$G$100,7,0),"")</f>
        <v/>
      </c>
      <c r="L9" s="44" t="n">
        <v>20.25</v>
      </c>
      <c r="M9" s="44" t="n">
        <v>6</v>
      </c>
      <c r="N9" s="139" t="n">
        <f aca="false">IFERROR(IF(L9*M9=0,"",L9*M9),"")</f>
        <v>121.5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85" t="s">
        <v>756</v>
      </c>
      <c r="S9" s="110" t="s">
        <v>773</v>
      </c>
      <c r="T9" s="46"/>
      <c r="U9" s="142" t="n">
        <v>45721</v>
      </c>
      <c r="V9" s="46" t="s">
        <v>759</v>
      </c>
      <c r="W9" s="46" t="s">
        <v>760</v>
      </c>
      <c r="X9" s="46" t="s">
        <v>761</v>
      </c>
      <c r="Y9" s="85"/>
    </row>
    <row r="10" customFormat="false" ht="15.75" hidden="false" customHeight="true" outlineLevel="0" collapsed="false">
      <c r="A10" s="106" t="n">
        <v>5</v>
      </c>
      <c r="B10" s="107" t="s">
        <v>774</v>
      </c>
      <c r="C10" s="106" t="s">
        <v>752</v>
      </c>
      <c r="D10" s="107" t="s">
        <v>775</v>
      </c>
      <c r="E10" s="136" t="s">
        <v>99</v>
      </c>
      <c r="F10" s="106" t="s">
        <v>776</v>
      </c>
      <c r="G10" s="137" t="n">
        <v>45687</v>
      </c>
      <c r="H10" s="106" t="s">
        <v>659</v>
      </c>
      <c r="I10" s="138" t="str">
        <f aca="false">IFERROR(VLOOKUP(TEXT(H10,"0"),IPRESS!$A$3:$B$212,2,0),"")</f>
        <v>SAN SALVADOR</v>
      </c>
      <c r="J10" s="106" t="s">
        <v>755</v>
      </c>
      <c r="K10" s="138" t="str">
        <f aca="false">IFERROR(VLOOKUP(TEXT(O10,"0"),CONDUCTORES!$A$3:$G$100,7,0),"")</f>
        <v/>
      </c>
      <c r="L10" s="50" t="n">
        <v>18.18</v>
      </c>
      <c r="M10" s="50" t="n">
        <v>10</v>
      </c>
      <c r="N10" s="139" t="n">
        <f aca="false">IFERROR(IF(L10*M10=0,"",L10*M10),"")</f>
        <v>181.8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40" t="s">
        <v>777</v>
      </c>
      <c r="S10" s="107" t="s">
        <v>778</v>
      </c>
      <c r="T10" s="136"/>
      <c r="U10" s="137" t="n">
        <v>45721</v>
      </c>
      <c r="V10" s="106"/>
      <c r="W10" s="106"/>
      <c r="X10" s="106"/>
      <c r="Y10" s="85"/>
    </row>
    <row r="11" customFormat="false" ht="15.75" hidden="false" customHeight="true" outlineLevel="0" collapsed="false">
      <c r="A11" s="46" t="n">
        <v>6</v>
      </c>
      <c r="B11" s="110" t="s">
        <v>779</v>
      </c>
      <c r="C11" s="46" t="s">
        <v>752</v>
      </c>
      <c r="D11" s="110" t="s">
        <v>780</v>
      </c>
      <c r="E11" s="46" t="s">
        <v>99</v>
      </c>
      <c r="F11" s="46" t="s">
        <v>781</v>
      </c>
      <c r="G11" s="142" t="n">
        <v>45677</v>
      </c>
      <c r="H11" s="46" t="s">
        <v>408</v>
      </c>
      <c r="I11" s="138" t="str">
        <f aca="false">IFERROR(VLOOKUP(TEXT(H11,"0"),IPRESS!$A$3:$B$212,2,0),"")</f>
        <v>COLCAMAR</v>
      </c>
      <c r="J11" s="46" t="s">
        <v>755</v>
      </c>
      <c r="K11" s="138" t="str">
        <f aca="false">IFERROR(VLOOKUP(TEXT(O11,"0"),CONDUCTORES!$A$3:$G$100,7,0),"")</f>
        <v/>
      </c>
      <c r="L11" s="44" t="n">
        <v>18.18</v>
      </c>
      <c r="M11" s="44" t="n">
        <v>8</v>
      </c>
      <c r="N11" s="139" t="n">
        <f aca="false">IFERROR(IF(L11*M11=0,"",L11*M11),"")</f>
        <v>145.44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85" t="s">
        <v>782</v>
      </c>
      <c r="S11" s="110" t="s">
        <v>783</v>
      </c>
      <c r="T11" s="46"/>
      <c r="U11" s="142" t="n">
        <v>45721</v>
      </c>
      <c r="V11" s="46" t="s">
        <v>784</v>
      </c>
      <c r="W11" s="46" t="s">
        <v>785</v>
      </c>
      <c r="X11" s="46" t="s">
        <v>786</v>
      </c>
      <c r="Y11" s="85"/>
    </row>
    <row r="12" customFormat="false" ht="15.75" hidden="false" customHeight="true" outlineLevel="0" collapsed="false">
      <c r="A12" s="106" t="n">
        <v>7</v>
      </c>
      <c r="B12" s="107" t="s">
        <v>787</v>
      </c>
      <c r="C12" s="106" t="s">
        <v>752</v>
      </c>
      <c r="D12" s="107" t="s">
        <v>788</v>
      </c>
      <c r="E12" s="136" t="s">
        <v>99</v>
      </c>
      <c r="F12" s="106" t="s">
        <v>789</v>
      </c>
      <c r="G12" s="137" t="n">
        <v>45678</v>
      </c>
      <c r="H12" s="106" t="s">
        <v>357</v>
      </c>
      <c r="I12" s="138" t="str">
        <f aca="false">IFERROR(VLOOKUP(TEXT(H12,"0"),IPRESS!$A$3:$B$212,2,0),"")</f>
        <v>CAMPORREDONDO</v>
      </c>
      <c r="J12" s="106" t="s">
        <v>755</v>
      </c>
      <c r="K12" s="138" t="str">
        <f aca="false">IFERROR(VLOOKUP(TEXT(O12,"0"),CONDUCTORES!$A$3:$G$100,7,0),"")</f>
        <v/>
      </c>
      <c r="L12" s="50" t="n">
        <v>18.18</v>
      </c>
      <c r="M12" s="50" t="n">
        <v>20</v>
      </c>
      <c r="N12" s="139" t="n">
        <f aca="false">IFERROR(IF(L12*M12=0,"",L12*M12),"")</f>
        <v>363.6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40" t="s">
        <v>790</v>
      </c>
      <c r="S12" s="107" t="s">
        <v>791</v>
      </c>
      <c r="T12" s="136"/>
      <c r="U12" s="137" t="n">
        <v>45705</v>
      </c>
      <c r="V12" s="106" t="s">
        <v>792</v>
      </c>
      <c r="W12" s="106" t="s">
        <v>793</v>
      </c>
      <c r="X12" s="106" t="s">
        <v>794</v>
      </c>
      <c r="Y12" s="85"/>
    </row>
    <row r="13" customFormat="false" ht="15.75" hidden="false" customHeight="true" outlineLevel="0" collapsed="false">
      <c r="A13" s="46" t="n">
        <v>8</v>
      </c>
      <c r="B13" s="110" t="s">
        <v>795</v>
      </c>
      <c r="C13" s="46" t="s">
        <v>752</v>
      </c>
      <c r="D13" s="110" t="s">
        <v>796</v>
      </c>
      <c r="E13" s="46" t="s">
        <v>99</v>
      </c>
      <c r="F13" s="46" t="s">
        <v>797</v>
      </c>
      <c r="G13" s="142" t="n">
        <v>45672</v>
      </c>
      <c r="H13" s="46" t="s">
        <v>665</v>
      </c>
      <c r="I13" s="138" t="str">
        <f aca="false">IFERROR(VLOOKUP(TEXT(H13,"0"),IPRESS!$A$3:$B$212,2,0),"")</f>
        <v>SANTO TOMAS</v>
      </c>
      <c r="J13" s="46" t="s">
        <v>755</v>
      </c>
      <c r="K13" s="138" t="str">
        <f aca="false">IFERROR(VLOOKUP(TEXT(O13,"0"),CONDUCTORES!$A$3:$G$100,7,0),"")</f>
        <v/>
      </c>
      <c r="L13" s="44" t="n">
        <v>18.18</v>
      </c>
      <c r="M13" s="44" t="n">
        <v>10</v>
      </c>
      <c r="N13" s="139" t="n">
        <f aca="false">IFERROR(IF(L13*M13=0,"",L13*M13),"")</f>
        <v>181.8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85" t="s">
        <v>798</v>
      </c>
      <c r="S13" s="110" t="s">
        <v>799</v>
      </c>
      <c r="T13" s="141" t="s">
        <v>758</v>
      </c>
      <c r="U13" s="142" t="n">
        <v>45691</v>
      </c>
      <c r="V13" s="46" t="s">
        <v>800</v>
      </c>
      <c r="W13" s="46" t="s">
        <v>801</v>
      </c>
      <c r="X13" s="46" t="s">
        <v>794</v>
      </c>
      <c r="Y13" s="85"/>
    </row>
    <row r="14" customFormat="false" ht="15.75" hidden="false" customHeight="true" outlineLevel="0" collapsed="false">
      <c r="A14" s="106" t="n">
        <v>9</v>
      </c>
      <c r="B14" s="107" t="s">
        <v>802</v>
      </c>
      <c r="C14" s="106" t="s">
        <v>752</v>
      </c>
      <c r="D14" s="107" t="s">
        <v>803</v>
      </c>
      <c r="E14" s="136" t="s">
        <v>99</v>
      </c>
      <c r="F14" s="106" t="s">
        <v>804</v>
      </c>
      <c r="G14" s="137" t="n">
        <v>45675</v>
      </c>
      <c r="H14" s="106" t="s">
        <v>665</v>
      </c>
      <c r="I14" s="138" t="str">
        <f aca="false">IFERROR(VLOOKUP(TEXT(H14,"0"),IPRESS!$A$3:$B$212,2,0),"")</f>
        <v>SANTO TOMAS</v>
      </c>
      <c r="J14" s="106" t="s">
        <v>755</v>
      </c>
      <c r="K14" s="138" t="str">
        <f aca="false">IFERROR(VLOOKUP(TEXT(O14,"0"),CONDUCTORES!$A$3:$G$100,7,0),"")</f>
        <v/>
      </c>
      <c r="L14" s="50" t="n">
        <v>18.18</v>
      </c>
      <c r="M14" s="50" t="n">
        <v>10</v>
      </c>
      <c r="N14" s="139" t="n">
        <f aca="false">IFERROR(IF(L14*M14=0,"",L14*M14),"")</f>
        <v>181.8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40" t="s">
        <v>798</v>
      </c>
      <c r="S14" s="107" t="s">
        <v>805</v>
      </c>
      <c r="T14" s="141" t="s">
        <v>758</v>
      </c>
      <c r="U14" s="137" t="n">
        <v>45692</v>
      </c>
      <c r="V14" s="106" t="s">
        <v>800</v>
      </c>
      <c r="W14" s="106" t="s">
        <v>801</v>
      </c>
      <c r="X14" s="106" t="s">
        <v>794</v>
      </c>
      <c r="Y14" s="85"/>
    </row>
    <row r="15" customFormat="false" ht="15.75" hidden="false" customHeight="true" outlineLevel="0" collapsed="false">
      <c r="A15" s="46" t="n">
        <v>10</v>
      </c>
      <c r="B15" s="110" t="s">
        <v>770</v>
      </c>
      <c r="C15" s="46" t="s">
        <v>752</v>
      </c>
      <c r="D15" s="110" t="s">
        <v>806</v>
      </c>
      <c r="E15" s="46" t="s">
        <v>99</v>
      </c>
      <c r="F15" s="46" t="s">
        <v>807</v>
      </c>
      <c r="G15" s="142" t="n">
        <v>45684</v>
      </c>
      <c r="H15" s="46" t="s">
        <v>665</v>
      </c>
      <c r="I15" s="138" t="str">
        <f aca="false">IFERROR(VLOOKUP(TEXT(H15,"0"),IPRESS!$A$3:$B$212,2,0),"")</f>
        <v>SANTO TOMAS</v>
      </c>
      <c r="J15" s="46" t="s">
        <v>755</v>
      </c>
      <c r="K15" s="138" t="str">
        <f aca="false">IFERROR(VLOOKUP(TEXT(O15,"0"),CONDUCTORES!$A$3:$G$100,7,0),"")</f>
        <v/>
      </c>
      <c r="L15" s="44" t="n">
        <v>18.18</v>
      </c>
      <c r="M15" s="44" t="n">
        <v>10</v>
      </c>
      <c r="N15" s="139" t="n">
        <f aca="false">IFERROR(IF(L15*M15=0,"",L15*M15),"")</f>
        <v>181.8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85" t="s">
        <v>798</v>
      </c>
      <c r="S15" s="110" t="s">
        <v>808</v>
      </c>
      <c r="T15" s="141" t="s">
        <v>758</v>
      </c>
      <c r="U15" s="142" t="n">
        <v>45705</v>
      </c>
      <c r="V15" s="46" t="s">
        <v>800</v>
      </c>
      <c r="W15" s="46" t="s">
        <v>801</v>
      </c>
      <c r="X15" s="46" t="s">
        <v>794</v>
      </c>
      <c r="Y15" s="85"/>
    </row>
    <row r="16" customFormat="false" ht="15.75" hidden="false" customHeight="true" outlineLevel="0" collapsed="false">
      <c r="A16" s="106" t="n">
        <v>11</v>
      </c>
      <c r="B16" s="107" t="s">
        <v>787</v>
      </c>
      <c r="C16" s="106" t="s">
        <v>752</v>
      </c>
      <c r="D16" s="107" t="s">
        <v>809</v>
      </c>
      <c r="E16" s="136" t="s">
        <v>99</v>
      </c>
      <c r="F16" s="106" t="s">
        <v>810</v>
      </c>
      <c r="G16" s="137" t="n">
        <v>45680</v>
      </c>
      <c r="H16" s="106" t="s">
        <v>408</v>
      </c>
      <c r="I16" s="138" t="str">
        <f aca="false">IFERROR(VLOOKUP(TEXT(H16,"0"),IPRESS!$A$3:$B$212,2,0),"")</f>
        <v>COLCAMAR</v>
      </c>
      <c r="J16" s="106" t="s">
        <v>755</v>
      </c>
      <c r="K16" s="138" t="str">
        <f aca="false">IFERROR(VLOOKUP(TEXT(O16,"0"),CONDUCTORES!$A$3:$G$100,7,0),"")</f>
        <v/>
      </c>
      <c r="L16" s="50" t="n">
        <v>18.18</v>
      </c>
      <c r="M16" s="50" t="n">
        <v>8</v>
      </c>
      <c r="N16" s="139" t="n">
        <f aca="false">IFERROR(IF(L16*M16=0,"",L16*M16),"")</f>
        <v>145.44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40" t="s">
        <v>811</v>
      </c>
      <c r="S16" s="107" t="s">
        <v>812</v>
      </c>
      <c r="T16" s="141" t="s">
        <v>758</v>
      </c>
      <c r="U16" s="137" t="n">
        <v>45705</v>
      </c>
      <c r="V16" s="106"/>
      <c r="W16" s="106"/>
      <c r="X16" s="106"/>
      <c r="Y16" s="85"/>
    </row>
    <row r="17" customFormat="false" ht="15.75" hidden="false" customHeight="true" outlineLevel="0" collapsed="false">
      <c r="A17" s="143" t="n">
        <v>12</v>
      </c>
      <c r="B17" s="144" t="s">
        <v>774</v>
      </c>
      <c r="C17" s="143" t="s">
        <v>752</v>
      </c>
      <c r="D17" s="144" t="s">
        <v>813</v>
      </c>
      <c r="E17" s="143" t="s">
        <v>99</v>
      </c>
      <c r="F17" s="143" t="s">
        <v>814</v>
      </c>
      <c r="G17" s="145" t="n">
        <v>45674</v>
      </c>
      <c r="H17" s="143" t="s">
        <v>547</v>
      </c>
      <c r="I17" s="138" t="str">
        <f aca="false">IFERROR(VLOOKUP(TEXT(H17,"0"),IPRESS!$A$3:$B$212,2,0),"")</f>
        <v>MOLINOPAMPA</v>
      </c>
      <c r="J17" s="143" t="s">
        <v>755</v>
      </c>
      <c r="K17" s="138" t="str">
        <f aca="false">IFERROR(VLOOKUP(TEXT(O17,"0"),CONDUCTORES!$A$3:$G$100,7,0),"")</f>
        <v/>
      </c>
      <c r="L17" s="146" t="n">
        <v>17.95</v>
      </c>
      <c r="M17" s="146" t="n">
        <v>8</v>
      </c>
      <c r="N17" s="139" t="n">
        <f aca="false">IFERROR(IF(L17*M17=0,"",L17*M17),"")</f>
        <v>143.6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147" t="s">
        <v>811</v>
      </c>
      <c r="S17" s="144" t="s">
        <v>815</v>
      </c>
      <c r="T17" s="141" t="s">
        <v>758</v>
      </c>
      <c r="U17" s="145" t="n">
        <v>45691</v>
      </c>
      <c r="V17" s="143" t="s">
        <v>816</v>
      </c>
      <c r="W17" s="143" t="s">
        <v>801</v>
      </c>
      <c r="X17" s="143" t="s">
        <v>817</v>
      </c>
      <c r="Y17" s="85"/>
    </row>
    <row r="18" customFormat="false" ht="15.75" hidden="false" customHeight="true" outlineLevel="0" collapsed="false">
      <c r="A18" s="143" t="n">
        <v>13</v>
      </c>
      <c r="B18" s="144" t="s">
        <v>818</v>
      </c>
      <c r="C18" s="143" t="s">
        <v>752</v>
      </c>
      <c r="D18" s="144" t="s">
        <v>819</v>
      </c>
      <c r="E18" s="143" t="s">
        <v>99</v>
      </c>
      <c r="F18" s="143" t="s">
        <v>820</v>
      </c>
      <c r="G18" s="145" t="n">
        <v>45676</v>
      </c>
      <c r="H18" s="143" t="s">
        <v>547</v>
      </c>
      <c r="I18" s="138" t="str">
        <f aca="false">IFERROR(VLOOKUP(TEXT(H18,"0"),IPRESS!$A$3:$B$212,2,0),"")</f>
        <v>MOLINOPAMPA</v>
      </c>
      <c r="J18" s="143" t="s">
        <v>755</v>
      </c>
      <c r="K18" s="138" t="str">
        <f aca="false">IFERROR(VLOOKUP(TEXT(O18,"0"),CONDUCTORES!$A$3:$G$100,7,0),"")</f>
        <v/>
      </c>
      <c r="L18" s="146" t="n">
        <v>17.95</v>
      </c>
      <c r="M18" s="146" t="n">
        <v>8</v>
      </c>
      <c r="N18" s="139" t="n">
        <f aca="false">IFERROR(IF(L18*M18=0,"",L18*M18),"")</f>
        <v>143.6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47" t="s">
        <v>811</v>
      </c>
      <c r="S18" s="144" t="s">
        <v>821</v>
      </c>
      <c r="T18" s="141" t="s">
        <v>758</v>
      </c>
      <c r="U18" s="145" t="n">
        <v>45698</v>
      </c>
      <c r="V18" s="143" t="s">
        <v>816</v>
      </c>
      <c r="W18" s="143" t="s">
        <v>801</v>
      </c>
      <c r="X18" s="143" t="s">
        <v>817</v>
      </c>
      <c r="Y18" s="85"/>
    </row>
    <row r="19" customFormat="false" ht="15.75" hidden="false" customHeight="true" outlineLevel="0" collapsed="false">
      <c r="A19" s="143" t="n">
        <v>14</v>
      </c>
      <c r="B19" s="144" t="s">
        <v>822</v>
      </c>
      <c r="C19" s="143" t="s">
        <v>752</v>
      </c>
      <c r="D19" s="144" t="s">
        <v>823</v>
      </c>
      <c r="E19" s="143" t="s">
        <v>99</v>
      </c>
      <c r="F19" s="143" t="s">
        <v>824</v>
      </c>
      <c r="G19" s="145" t="n">
        <v>45684</v>
      </c>
      <c r="H19" s="143" t="s">
        <v>825</v>
      </c>
      <c r="I19" s="138" t="str">
        <f aca="false">IFERROR(VLOOKUP(TEXT(H19,"0"),IPRESS!$A$3:$B$212,2,0),"")</f>
        <v/>
      </c>
      <c r="J19" s="143" t="s">
        <v>755</v>
      </c>
      <c r="K19" s="138" t="str">
        <f aca="false">IFERROR(VLOOKUP(TEXT(O19,"0"),CONDUCTORES!$A$3:$G$100,7,0),"")</f>
        <v/>
      </c>
      <c r="L19" s="146" t="n">
        <v>17.95</v>
      </c>
      <c r="M19" s="146" t="n">
        <v>8</v>
      </c>
      <c r="N19" s="139" t="n">
        <f aca="false">IFERROR(IF(L19*M19=0,"",L19*M19),"")</f>
        <v>143.6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147" t="s">
        <v>811</v>
      </c>
      <c r="S19" s="144" t="s">
        <v>826</v>
      </c>
      <c r="T19" s="141" t="s">
        <v>758</v>
      </c>
      <c r="U19" s="145" t="n">
        <v>45705</v>
      </c>
      <c r="V19" s="143" t="s">
        <v>816</v>
      </c>
      <c r="W19" s="143" t="s">
        <v>801</v>
      </c>
      <c r="X19" s="143" t="s">
        <v>817</v>
      </c>
      <c r="Y19" s="85"/>
    </row>
    <row r="20" customFormat="false" ht="15.75" hidden="false" customHeight="true" outlineLevel="0" collapsed="false">
      <c r="A20" s="106" t="n">
        <v>15</v>
      </c>
      <c r="B20" s="107" t="s">
        <v>827</v>
      </c>
      <c r="C20" s="106" t="s">
        <v>752</v>
      </c>
      <c r="D20" s="107" t="s">
        <v>828</v>
      </c>
      <c r="E20" s="136" t="s">
        <v>99</v>
      </c>
      <c r="F20" s="106" t="s">
        <v>829</v>
      </c>
      <c r="G20" s="137" t="n">
        <v>45677</v>
      </c>
      <c r="H20" s="106" t="s">
        <v>595</v>
      </c>
      <c r="I20" s="138" t="str">
        <f aca="false">IFERROR(VLOOKUP(TEXT(H20,"0"),IPRESS!$A$3:$B$212,2,0),"")</f>
        <v>POMACOCHAS</v>
      </c>
      <c r="J20" s="106" t="s">
        <v>755</v>
      </c>
      <c r="K20" s="138" t="str">
        <f aca="false">IFERROR(VLOOKUP(TEXT(O20,"0"),CONDUCTORES!$A$3:$G$100,7,0),"")</f>
        <v/>
      </c>
      <c r="L20" s="50" t="n">
        <v>18.18</v>
      </c>
      <c r="M20" s="50" t="n">
        <v>8</v>
      </c>
      <c r="N20" s="139" t="n">
        <f aca="false">IFERROR(IF(L20*M20=0,"",L20*M20),"")</f>
        <v>145.44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40" t="s">
        <v>811</v>
      </c>
      <c r="S20" s="107" t="s">
        <v>830</v>
      </c>
      <c r="T20" s="141" t="s">
        <v>758</v>
      </c>
      <c r="U20" s="137" t="n">
        <v>45698</v>
      </c>
      <c r="V20" s="106" t="s">
        <v>831</v>
      </c>
      <c r="W20" s="106" t="s">
        <v>801</v>
      </c>
      <c r="X20" s="106" t="s">
        <v>794</v>
      </c>
      <c r="Y20" s="85"/>
    </row>
    <row r="21" customFormat="false" ht="15.75" hidden="false" customHeight="true" outlineLevel="0" collapsed="false">
      <c r="A21" s="46" t="n">
        <v>16</v>
      </c>
      <c r="B21" s="110" t="s">
        <v>832</v>
      </c>
      <c r="C21" s="46" t="s">
        <v>752</v>
      </c>
      <c r="D21" s="110" t="s">
        <v>833</v>
      </c>
      <c r="E21" s="46" t="s">
        <v>99</v>
      </c>
      <c r="F21" s="46" t="s">
        <v>834</v>
      </c>
      <c r="G21" s="142" t="n">
        <v>45679</v>
      </c>
      <c r="H21" s="46" t="s">
        <v>595</v>
      </c>
      <c r="I21" s="138" t="str">
        <f aca="false">IFERROR(VLOOKUP(TEXT(H21,"0"),IPRESS!$A$3:$B$212,2,0),"")</f>
        <v>POMACOCHAS</v>
      </c>
      <c r="J21" s="46" t="s">
        <v>755</v>
      </c>
      <c r="K21" s="138" t="str">
        <f aca="false">IFERROR(VLOOKUP(TEXT(O21,"0"),CONDUCTORES!$A$3:$G$100,7,0),"")</f>
        <v/>
      </c>
      <c r="L21" s="44" t="n">
        <v>18.18</v>
      </c>
      <c r="M21" s="44" t="n">
        <v>8</v>
      </c>
      <c r="N21" s="139" t="n">
        <f aca="false">IFERROR(IF(L21*M21=0,"",L21*M21),"")</f>
        <v>145.44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85" t="s">
        <v>811</v>
      </c>
      <c r="S21" s="110" t="s">
        <v>835</v>
      </c>
      <c r="T21" s="141" t="s">
        <v>758</v>
      </c>
      <c r="U21" s="142" t="n">
        <v>45698</v>
      </c>
      <c r="V21" s="46" t="s">
        <v>831</v>
      </c>
      <c r="W21" s="46" t="s">
        <v>801</v>
      </c>
      <c r="X21" s="46" t="s">
        <v>794</v>
      </c>
      <c r="Y21" s="85"/>
    </row>
    <row r="22" customFormat="false" ht="15.75" hidden="false" customHeight="true" outlineLevel="0" collapsed="false">
      <c r="A22" s="106" t="n">
        <v>17</v>
      </c>
      <c r="B22" s="107" t="s">
        <v>836</v>
      </c>
      <c r="C22" s="106" t="s">
        <v>752</v>
      </c>
      <c r="D22" s="107" t="s">
        <v>837</v>
      </c>
      <c r="E22" s="136" t="s">
        <v>99</v>
      </c>
      <c r="F22" s="106" t="s">
        <v>838</v>
      </c>
      <c r="G22" s="137" t="n">
        <v>45682</v>
      </c>
      <c r="H22" s="106" t="s">
        <v>595</v>
      </c>
      <c r="I22" s="138" t="str">
        <f aca="false">IFERROR(VLOOKUP(TEXT(H22,"0"),IPRESS!$A$3:$B$212,2,0),"")</f>
        <v>POMACOCHAS</v>
      </c>
      <c r="J22" s="106" t="s">
        <v>755</v>
      </c>
      <c r="K22" s="138" t="str">
        <f aca="false">IFERROR(VLOOKUP(TEXT(O22,"0"),CONDUCTORES!$A$3:$G$100,7,0),"")</f>
        <v/>
      </c>
      <c r="L22" s="50" t="n">
        <v>18.18</v>
      </c>
      <c r="M22" s="50" t="n">
        <v>8</v>
      </c>
      <c r="N22" s="139" t="n">
        <f aca="false">IFERROR(IF(L22*M22=0,"",L22*M22),"")</f>
        <v>145.44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40" t="s">
        <v>811</v>
      </c>
      <c r="S22" s="107" t="s">
        <v>839</v>
      </c>
      <c r="T22" s="141" t="s">
        <v>758</v>
      </c>
      <c r="U22" s="137" t="n">
        <v>45705</v>
      </c>
      <c r="V22" s="106" t="s">
        <v>831</v>
      </c>
      <c r="W22" s="106" t="s">
        <v>801</v>
      </c>
      <c r="X22" s="106" t="s">
        <v>794</v>
      </c>
      <c r="Y22" s="85"/>
    </row>
    <row r="23" customFormat="false" ht="15.75" hidden="false" customHeight="true" outlineLevel="0" collapsed="false">
      <c r="A23" s="46" t="n">
        <v>18</v>
      </c>
      <c r="B23" s="110" t="s">
        <v>840</v>
      </c>
      <c r="C23" s="46" t="s">
        <v>752</v>
      </c>
      <c r="D23" s="110" t="s">
        <v>841</v>
      </c>
      <c r="E23" s="46" t="s">
        <v>99</v>
      </c>
      <c r="F23" s="46" t="s">
        <v>842</v>
      </c>
      <c r="G23" s="142" t="n">
        <v>45669</v>
      </c>
      <c r="H23" s="46" t="s">
        <v>595</v>
      </c>
      <c r="I23" s="138" t="str">
        <f aca="false">IFERROR(VLOOKUP(TEXT(H23,"0"),IPRESS!$A$3:$B$212,2,0),"")</f>
        <v>POMACOCHAS</v>
      </c>
      <c r="J23" s="46" t="s">
        <v>755</v>
      </c>
      <c r="K23" s="138" t="str">
        <f aca="false">IFERROR(VLOOKUP(TEXT(O23,"0"),CONDUCTORES!$A$3:$G$100,7,0),"")</f>
        <v/>
      </c>
      <c r="L23" s="44" t="n">
        <v>18.18</v>
      </c>
      <c r="M23" s="44" t="n">
        <v>8</v>
      </c>
      <c r="N23" s="139" t="n">
        <f aca="false">IFERROR(IF(L23*M23=0,"",L23*M23),"")</f>
        <v>145.44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85" t="s">
        <v>811</v>
      </c>
      <c r="S23" s="110" t="s">
        <v>843</v>
      </c>
      <c r="T23" s="141" t="s">
        <v>758</v>
      </c>
      <c r="U23" s="142" t="n">
        <v>45705</v>
      </c>
      <c r="V23" s="46" t="s">
        <v>831</v>
      </c>
      <c r="W23" s="46" t="s">
        <v>801</v>
      </c>
      <c r="X23" s="46" t="s">
        <v>794</v>
      </c>
      <c r="Y23" s="85"/>
    </row>
    <row r="24" customFormat="false" ht="15.75" hidden="false" customHeight="true" outlineLevel="0" collapsed="false">
      <c r="A24" s="106" t="n">
        <v>19</v>
      </c>
      <c r="B24" s="107" t="s">
        <v>844</v>
      </c>
      <c r="C24" s="106" t="s">
        <v>752</v>
      </c>
      <c r="D24" s="107" t="s">
        <v>845</v>
      </c>
      <c r="E24" s="136" t="s">
        <v>99</v>
      </c>
      <c r="F24" s="106" t="s">
        <v>846</v>
      </c>
      <c r="G24" s="137" t="n">
        <v>45681</v>
      </c>
      <c r="H24" s="106" t="s">
        <v>595</v>
      </c>
      <c r="I24" s="138" t="str">
        <f aca="false">IFERROR(VLOOKUP(TEXT(H24,"0"),IPRESS!$A$3:$B$212,2,0),"")</f>
        <v>POMACOCHAS</v>
      </c>
      <c r="J24" s="106" t="s">
        <v>755</v>
      </c>
      <c r="K24" s="138" t="str">
        <f aca="false">IFERROR(VLOOKUP(TEXT(O24,"0"),CONDUCTORES!$A$3:$G$100,7,0),"")</f>
        <v/>
      </c>
      <c r="L24" s="50" t="n">
        <v>18.18</v>
      </c>
      <c r="M24" s="50" t="n">
        <v>8</v>
      </c>
      <c r="N24" s="139" t="n">
        <f aca="false">IFERROR(IF(L24*M24=0,"",L24*M24),"")</f>
        <v>145.44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40" t="s">
        <v>811</v>
      </c>
      <c r="S24" s="107" t="s">
        <v>847</v>
      </c>
      <c r="T24" s="141" t="s">
        <v>758</v>
      </c>
      <c r="U24" s="137" t="n">
        <v>45705</v>
      </c>
      <c r="V24" s="106" t="s">
        <v>831</v>
      </c>
      <c r="W24" s="106" t="s">
        <v>801</v>
      </c>
      <c r="X24" s="106" t="s">
        <v>794</v>
      </c>
      <c r="Y24" s="85"/>
    </row>
    <row r="25" customFormat="false" ht="15.75" hidden="false" customHeight="true" outlineLevel="0" collapsed="false">
      <c r="A25" s="46" t="n">
        <v>20</v>
      </c>
      <c r="B25" s="110" t="s">
        <v>766</v>
      </c>
      <c r="C25" s="46" t="s">
        <v>752</v>
      </c>
      <c r="D25" s="110" t="s">
        <v>848</v>
      </c>
      <c r="E25" s="46" t="s">
        <v>99</v>
      </c>
      <c r="F25" s="46" t="s">
        <v>849</v>
      </c>
      <c r="G25" s="142" t="n">
        <v>45687</v>
      </c>
      <c r="H25" s="46" t="s">
        <v>595</v>
      </c>
      <c r="I25" s="138" t="str">
        <f aca="false">IFERROR(VLOOKUP(TEXT(H25,"0"),IPRESS!$A$3:$B$212,2,0),"")</f>
        <v>POMACOCHAS</v>
      </c>
      <c r="J25" s="46" t="s">
        <v>755</v>
      </c>
      <c r="K25" s="138" t="str">
        <f aca="false">IFERROR(VLOOKUP(TEXT(O25,"0"),CONDUCTORES!$A$3:$G$100,7,0),"")</f>
        <v/>
      </c>
      <c r="L25" s="44" t="n">
        <v>18.18</v>
      </c>
      <c r="M25" s="44" t="n">
        <v>8</v>
      </c>
      <c r="N25" s="139" t="n">
        <f aca="false">IFERROR(IF(L25*M25=0,"",L25*M25),"")</f>
        <v>145.44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85" t="s">
        <v>811</v>
      </c>
      <c r="S25" s="110" t="s">
        <v>850</v>
      </c>
      <c r="T25" s="46"/>
      <c r="U25" s="142" t="n">
        <v>45721</v>
      </c>
      <c r="V25" s="46" t="s">
        <v>831</v>
      </c>
      <c r="W25" s="46" t="s">
        <v>801</v>
      </c>
      <c r="X25" s="46" t="s">
        <v>794</v>
      </c>
      <c r="Y25" s="85"/>
    </row>
    <row r="26" customFormat="false" ht="15.75" hidden="false" customHeight="true" outlineLevel="0" collapsed="false">
      <c r="A26" s="106" t="n">
        <v>21</v>
      </c>
      <c r="B26" s="107" t="s">
        <v>787</v>
      </c>
      <c r="C26" s="106" t="s">
        <v>752</v>
      </c>
      <c r="D26" s="107" t="s">
        <v>851</v>
      </c>
      <c r="E26" s="136" t="s">
        <v>99</v>
      </c>
      <c r="F26" s="106" t="s">
        <v>852</v>
      </c>
      <c r="G26" s="137" t="n">
        <v>45680</v>
      </c>
      <c r="H26" s="106" t="s">
        <v>692</v>
      </c>
      <c r="I26" s="138" t="str">
        <f aca="false">IFERROR(VLOOKUP(TEXT(H26,"0"),IPRESS!$A$3:$B$212,2,0),"")</f>
        <v>TINGO</v>
      </c>
      <c r="J26" s="106" t="s">
        <v>755</v>
      </c>
      <c r="K26" s="138" t="str">
        <f aca="false">IFERROR(VLOOKUP(TEXT(O26,"0"),CONDUCTORES!$A$3:$G$100,7,0),"")</f>
        <v/>
      </c>
      <c r="L26" s="50" t="n">
        <v>18.18</v>
      </c>
      <c r="M26" s="50" t="n">
        <v>5</v>
      </c>
      <c r="N26" s="139" t="n">
        <f aca="false">IFERROR(IF(L26*M26=0,"",L26*M26),"")</f>
        <v>90.9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40" t="s">
        <v>853</v>
      </c>
      <c r="S26" s="107" t="s">
        <v>854</v>
      </c>
      <c r="T26" s="141" t="s">
        <v>758</v>
      </c>
      <c r="U26" s="137" t="n">
        <v>45698</v>
      </c>
      <c r="V26" s="106"/>
      <c r="W26" s="106" t="s">
        <v>801</v>
      </c>
      <c r="X26" s="106" t="s">
        <v>794</v>
      </c>
      <c r="Y26" s="85"/>
    </row>
    <row r="27" customFormat="false" ht="15.75" hidden="false" customHeight="true" outlineLevel="0" collapsed="false">
      <c r="A27" s="46" t="n">
        <v>22</v>
      </c>
      <c r="B27" s="110" t="s">
        <v>774</v>
      </c>
      <c r="C27" s="46" t="s">
        <v>752</v>
      </c>
      <c r="D27" s="110" t="s">
        <v>855</v>
      </c>
      <c r="E27" s="46" t="s">
        <v>99</v>
      </c>
      <c r="F27" s="46" t="s">
        <v>856</v>
      </c>
      <c r="G27" s="142" t="n">
        <v>45667</v>
      </c>
      <c r="H27" s="46" t="s">
        <v>692</v>
      </c>
      <c r="I27" s="138" t="str">
        <f aca="false">IFERROR(VLOOKUP(TEXT(H27,"0"),IPRESS!$A$3:$B$212,2,0),"")</f>
        <v>TINGO</v>
      </c>
      <c r="J27" s="46" t="s">
        <v>755</v>
      </c>
      <c r="K27" s="138" t="str">
        <f aca="false">IFERROR(VLOOKUP(TEXT(O27,"0"),CONDUCTORES!$A$3:$G$100,7,0),"")</f>
        <v/>
      </c>
      <c r="L27" s="44" t="n">
        <v>18.18</v>
      </c>
      <c r="M27" s="44" t="n">
        <v>5</v>
      </c>
      <c r="N27" s="139" t="n">
        <f aca="false">IFERROR(IF(L27*M27=0,"",L27*M27),"")</f>
        <v>90.9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85" t="s">
        <v>853</v>
      </c>
      <c r="S27" s="110" t="s">
        <v>857</v>
      </c>
      <c r="T27" s="141" t="s">
        <v>758</v>
      </c>
      <c r="U27" s="142" t="n">
        <v>45705</v>
      </c>
      <c r="V27" s="46"/>
      <c r="W27" s="46" t="s">
        <v>801</v>
      </c>
      <c r="X27" s="46" t="s">
        <v>794</v>
      </c>
      <c r="Y27" s="85"/>
    </row>
    <row r="28" customFormat="false" ht="15.75" hidden="false" customHeight="true" outlineLevel="0" collapsed="false">
      <c r="A28" s="106" t="n">
        <v>23</v>
      </c>
      <c r="B28" s="107" t="s">
        <v>779</v>
      </c>
      <c r="C28" s="106" t="s">
        <v>752</v>
      </c>
      <c r="D28" s="107" t="s">
        <v>858</v>
      </c>
      <c r="E28" s="136" t="s">
        <v>99</v>
      </c>
      <c r="F28" s="106" t="s">
        <v>859</v>
      </c>
      <c r="G28" s="137" t="n">
        <v>45673</v>
      </c>
      <c r="H28" s="106" t="s">
        <v>692</v>
      </c>
      <c r="I28" s="138" t="str">
        <f aca="false">IFERROR(VLOOKUP(TEXT(H28,"0"),IPRESS!$A$3:$B$212,2,0),"")</f>
        <v>TINGO</v>
      </c>
      <c r="J28" s="106" t="s">
        <v>755</v>
      </c>
      <c r="K28" s="138" t="str">
        <f aca="false">IFERROR(VLOOKUP(TEXT(O28,"0"),CONDUCTORES!$A$3:$G$100,7,0),"")</f>
        <v/>
      </c>
      <c r="L28" s="50" t="n">
        <v>18.18</v>
      </c>
      <c r="M28" s="50" t="n">
        <v>5</v>
      </c>
      <c r="N28" s="139" t="n">
        <f aca="false">IFERROR(IF(L28*M28=0,"",L28*M28),"")</f>
        <v>90.9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40" t="s">
        <v>853</v>
      </c>
      <c r="S28" s="107" t="s">
        <v>860</v>
      </c>
      <c r="T28" s="136"/>
      <c r="U28" s="137" t="n">
        <v>45721</v>
      </c>
      <c r="V28" s="106"/>
      <c r="W28" s="106" t="s">
        <v>801</v>
      </c>
      <c r="X28" s="106" t="s">
        <v>794</v>
      </c>
      <c r="Y28" s="85"/>
    </row>
    <row r="29" customFormat="false" ht="15.75" hidden="false" customHeight="true" outlineLevel="0" collapsed="false">
      <c r="A29" s="46" t="n">
        <v>24</v>
      </c>
      <c r="B29" s="110" t="s">
        <v>861</v>
      </c>
      <c r="C29" s="46" t="s">
        <v>752</v>
      </c>
      <c r="D29" s="110" t="s">
        <v>862</v>
      </c>
      <c r="E29" s="46" t="s">
        <v>99</v>
      </c>
      <c r="F29" s="46" t="s">
        <v>863</v>
      </c>
      <c r="G29" s="142" t="n">
        <v>45662</v>
      </c>
      <c r="H29" s="46" t="s">
        <v>500</v>
      </c>
      <c r="I29" s="138" t="str">
        <f aca="false">IFERROR(VLOOKUP(TEXT(H29,"0"),IPRESS!$A$3:$B$212,2,0),"")</f>
        <v>LAMUD</v>
      </c>
      <c r="J29" s="46" t="s">
        <v>755</v>
      </c>
      <c r="K29" s="138" t="str">
        <f aca="false">IFERROR(VLOOKUP(TEXT(O29,"0"),CONDUCTORES!$A$3:$G$100,7,0),"")</f>
        <v/>
      </c>
      <c r="L29" s="44" t="n">
        <v>18.18</v>
      </c>
      <c r="M29" s="44" t="n">
        <v>4</v>
      </c>
      <c r="N29" s="139" t="n">
        <f aca="false">IFERROR(IF(L29*M29=0,"",L29*M29),"")</f>
        <v>72.72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85" t="s">
        <v>864</v>
      </c>
      <c r="S29" s="110" t="s">
        <v>865</v>
      </c>
      <c r="T29" s="141" t="s">
        <v>758</v>
      </c>
      <c r="U29" s="142" t="n">
        <v>45691</v>
      </c>
      <c r="V29" s="46"/>
      <c r="W29" s="46" t="s">
        <v>801</v>
      </c>
      <c r="X29" s="46" t="s">
        <v>794</v>
      </c>
      <c r="Y29" s="85"/>
    </row>
    <row r="30" customFormat="false" ht="15.75" hidden="false" customHeight="true" outlineLevel="0" collapsed="false">
      <c r="A30" s="106" t="n">
        <v>25</v>
      </c>
      <c r="B30" s="107" t="s">
        <v>866</v>
      </c>
      <c r="C30" s="106" t="s">
        <v>752</v>
      </c>
      <c r="D30" s="107" t="s">
        <v>867</v>
      </c>
      <c r="E30" s="136" t="s">
        <v>99</v>
      </c>
      <c r="F30" s="106" t="s">
        <v>868</v>
      </c>
      <c r="G30" s="137" t="n">
        <v>45683</v>
      </c>
      <c r="H30" s="106" t="s">
        <v>500</v>
      </c>
      <c r="I30" s="138" t="str">
        <f aca="false">IFERROR(VLOOKUP(TEXT(H30,"0"),IPRESS!$A$3:$B$212,2,0),"")</f>
        <v>LAMUD</v>
      </c>
      <c r="J30" s="106" t="s">
        <v>755</v>
      </c>
      <c r="K30" s="138" t="str">
        <f aca="false">IFERROR(VLOOKUP(TEXT(O30,"0"),CONDUCTORES!$A$3:$G$100,7,0),"")</f>
        <v/>
      </c>
      <c r="L30" s="50" t="n">
        <v>18.18</v>
      </c>
      <c r="M30" s="50" t="n">
        <v>4</v>
      </c>
      <c r="N30" s="139" t="n">
        <f aca="false">IFERROR(IF(L30*M30=0,"",L30*M30),"")</f>
        <v>72.72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40" t="s">
        <v>864</v>
      </c>
      <c r="S30" s="107" t="s">
        <v>869</v>
      </c>
      <c r="T30" s="141" t="s">
        <v>758</v>
      </c>
      <c r="U30" s="137" t="n">
        <v>45705</v>
      </c>
      <c r="V30" s="106"/>
      <c r="W30" s="106" t="s">
        <v>801</v>
      </c>
      <c r="X30" s="106" t="s">
        <v>794</v>
      </c>
      <c r="Y30" s="85"/>
    </row>
    <row r="31" customFormat="false" ht="15.75" hidden="false" customHeight="true" outlineLevel="0" collapsed="false">
      <c r="A31" s="46" t="n">
        <v>26</v>
      </c>
      <c r="B31" s="110" t="s">
        <v>840</v>
      </c>
      <c r="C31" s="46" t="s">
        <v>752</v>
      </c>
      <c r="D31" s="110" t="s">
        <v>870</v>
      </c>
      <c r="E31" s="46" t="s">
        <v>99</v>
      </c>
      <c r="F31" s="46" t="s">
        <v>871</v>
      </c>
      <c r="G31" s="142" t="n">
        <v>45669</v>
      </c>
      <c r="H31" s="46" t="s">
        <v>500</v>
      </c>
      <c r="I31" s="138" t="str">
        <f aca="false">IFERROR(VLOOKUP(TEXT(H31,"0"),IPRESS!$A$3:$B$212,2,0),"")</f>
        <v>LAMUD</v>
      </c>
      <c r="J31" s="46" t="s">
        <v>755</v>
      </c>
      <c r="K31" s="138" t="str">
        <f aca="false">IFERROR(VLOOKUP(TEXT(O31,"0"),CONDUCTORES!$A$3:$G$100,7,0),"")</f>
        <v/>
      </c>
      <c r="L31" s="44" t="n">
        <v>18.18</v>
      </c>
      <c r="M31" s="44" t="n">
        <v>4</v>
      </c>
      <c r="N31" s="139" t="n">
        <f aca="false">IFERROR(IF(L31*M31=0,"",L31*M31),"")</f>
        <v>72.72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85" t="s">
        <v>864</v>
      </c>
      <c r="S31" s="110" t="s">
        <v>872</v>
      </c>
      <c r="T31" s="141" t="s">
        <v>758</v>
      </c>
      <c r="U31" s="142" t="n">
        <v>45705</v>
      </c>
      <c r="V31" s="46"/>
      <c r="W31" s="46" t="s">
        <v>801</v>
      </c>
      <c r="X31" s="46" t="s">
        <v>794</v>
      </c>
      <c r="Y31" s="85"/>
    </row>
    <row r="32" customFormat="false" ht="15.75" hidden="false" customHeight="true" outlineLevel="0" collapsed="false">
      <c r="A32" s="106" t="n">
        <v>27</v>
      </c>
      <c r="B32" s="107" t="s">
        <v>873</v>
      </c>
      <c r="C32" s="106" t="s">
        <v>752</v>
      </c>
      <c r="D32" s="107" t="s">
        <v>874</v>
      </c>
      <c r="E32" s="136" t="s">
        <v>99</v>
      </c>
      <c r="F32" s="106" t="s">
        <v>875</v>
      </c>
      <c r="G32" s="137" t="n">
        <v>45681</v>
      </c>
      <c r="H32" s="106" t="s">
        <v>500</v>
      </c>
      <c r="I32" s="138" t="str">
        <f aca="false">IFERROR(VLOOKUP(TEXT(H32,"0"),IPRESS!$A$3:$B$212,2,0),"")</f>
        <v>LAMUD</v>
      </c>
      <c r="J32" s="106" t="s">
        <v>755</v>
      </c>
      <c r="K32" s="138" t="str">
        <f aca="false">IFERROR(VLOOKUP(TEXT(O32,"0"),CONDUCTORES!$A$3:$G$100,7,0),"")</f>
        <v/>
      </c>
      <c r="L32" s="50" t="n">
        <v>18.18</v>
      </c>
      <c r="M32" s="50" t="n">
        <v>4</v>
      </c>
      <c r="N32" s="139" t="n">
        <f aca="false">IFERROR(IF(L32*M32=0,"",L32*M32),"")</f>
        <v>72.72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40" t="s">
        <v>864</v>
      </c>
      <c r="S32" s="107" t="s">
        <v>876</v>
      </c>
      <c r="T32" s="141" t="s">
        <v>758</v>
      </c>
      <c r="U32" s="137" t="n">
        <v>45705</v>
      </c>
      <c r="V32" s="106"/>
      <c r="W32" s="106" t="s">
        <v>801</v>
      </c>
      <c r="X32" s="106" t="s">
        <v>794</v>
      </c>
      <c r="Y32" s="85"/>
    </row>
    <row r="33" customFormat="false" ht="15.75" hidden="false" customHeight="true" outlineLevel="0" collapsed="false">
      <c r="A33" s="46" t="n">
        <v>28</v>
      </c>
      <c r="B33" s="110" t="s">
        <v>844</v>
      </c>
      <c r="C33" s="46" t="s">
        <v>752</v>
      </c>
      <c r="D33" s="110" t="s">
        <v>877</v>
      </c>
      <c r="E33" s="46" t="s">
        <v>99</v>
      </c>
      <c r="F33" s="46" t="s">
        <v>878</v>
      </c>
      <c r="G33" s="142" t="n">
        <v>45670</v>
      </c>
      <c r="H33" s="46" t="s">
        <v>500</v>
      </c>
      <c r="I33" s="138" t="str">
        <f aca="false">IFERROR(VLOOKUP(TEXT(H33,"0"),IPRESS!$A$3:$B$212,2,0),"")</f>
        <v>LAMUD</v>
      </c>
      <c r="J33" s="46" t="s">
        <v>755</v>
      </c>
      <c r="K33" s="138" t="str">
        <f aca="false">IFERROR(VLOOKUP(TEXT(O33,"0"),CONDUCTORES!$A$3:$G$100,7,0),"")</f>
        <v/>
      </c>
      <c r="L33" s="44" t="n">
        <v>18.18</v>
      </c>
      <c r="M33" s="44" t="n">
        <v>4</v>
      </c>
      <c r="N33" s="139" t="n">
        <f aca="false">IFERROR(IF(L33*M33=0,"",L33*M33),"")</f>
        <v>72.72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85" t="s">
        <v>864</v>
      </c>
      <c r="S33" s="110" t="s">
        <v>879</v>
      </c>
      <c r="T33" s="141" t="s">
        <v>758</v>
      </c>
      <c r="U33" s="142" t="n">
        <v>45705</v>
      </c>
      <c r="V33" s="46"/>
      <c r="W33" s="46" t="s">
        <v>801</v>
      </c>
      <c r="X33" s="46" t="s">
        <v>794</v>
      </c>
      <c r="Y33" s="85"/>
    </row>
    <row r="34" customFormat="false" ht="15.75" hidden="false" customHeight="true" outlineLevel="0" collapsed="false">
      <c r="A34" s="106" t="n">
        <v>29</v>
      </c>
      <c r="B34" s="107" t="s">
        <v>836</v>
      </c>
      <c r="C34" s="106" t="s">
        <v>752</v>
      </c>
      <c r="D34" s="107" t="s">
        <v>880</v>
      </c>
      <c r="E34" s="136" t="s">
        <v>99</v>
      </c>
      <c r="F34" s="106" t="s">
        <v>881</v>
      </c>
      <c r="G34" s="137" t="n">
        <v>45675</v>
      </c>
      <c r="H34" s="106" t="s">
        <v>500</v>
      </c>
      <c r="I34" s="138" t="str">
        <f aca="false">IFERROR(VLOOKUP(TEXT(H34,"0"),IPRESS!$A$3:$B$212,2,0),"")</f>
        <v>LAMUD</v>
      </c>
      <c r="J34" s="106" t="s">
        <v>755</v>
      </c>
      <c r="K34" s="138" t="str">
        <f aca="false">IFERROR(VLOOKUP(TEXT(O34,"0"),CONDUCTORES!$A$3:$G$100,7,0),"")</f>
        <v/>
      </c>
      <c r="L34" s="50" t="n">
        <v>18.18</v>
      </c>
      <c r="M34" s="50" t="n">
        <v>4</v>
      </c>
      <c r="N34" s="139" t="n">
        <f aca="false">IFERROR(IF(L34*M34=0,"",L34*M34),"")</f>
        <v>72.72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40" t="s">
        <v>864</v>
      </c>
      <c r="S34" s="107" t="s">
        <v>882</v>
      </c>
      <c r="T34" s="141" t="s">
        <v>758</v>
      </c>
      <c r="U34" s="137" t="n">
        <v>45705</v>
      </c>
      <c r="V34" s="106"/>
      <c r="W34" s="106" t="s">
        <v>801</v>
      </c>
      <c r="X34" s="106" t="s">
        <v>794</v>
      </c>
      <c r="Y34" s="85"/>
    </row>
    <row r="35" customFormat="false" ht="15.75" hidden="false" customHeight="true" outlineLevel="0" collapsed="false">
      <c r="A35" s="46" t="n">
        <v>30</v>
      </c>
      <c r="B35" s="110" t="s">
        <v>883</v>
      </c>
      <c r="C35" s="46" t="s">
        <v>752</v>
      </c>
      <c r="D35" s="110" t="s">
        <v>884</v>
      </c>
      <c r="E35" s="46" t="s">
        <v>99</v>
      </c>
      <c r="F35" s="46" t="s">
        <v>885</v>
      </c>
      <c r="G35" s="142" t="n">
        <v>45678</v>
      </c>
      <c r="H35" s="46" t="s">
        <v>529</v>
      </c>
      <c r="I35" s="138" t="str">
        <f aca="false">IFERROR(VLOOKUP(TEXT(H35,"0"),IPRESS!$A$3:$B$212,2,0),"")</f>
        <v>MARIA AUXILIADORA</v>
      </c>
      <c r="J35" s="46" t="s">
        <v>755</v>
      </c>
      <c r="K35" s="138" t="str">
        <f aca="false">IFERROR(VLOOKUP(TEXT(O35,"0"),CONDUCTORES!$A$3:$G$100,7,0),"")</f>
        <v/>
      </c>
      <c r="L35" s="44" t="n">
        <v>20.25</v>
      </c>
      <c r="M35" s="44" t="n">
        <v>7</v>
      </c>
      <c r="N35" s="139" t="n">
        <f aca="false">IFERROR(IF(L35*M35=0,"",L35*M35),"")</f>
        <v>141.75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85" t="s">
        <v>886</v>
      </c>
      <c r="S35" s="110" t="s">
        <v>887</v>
      </c>
      <c r="T35" s="141" t="s">
        <v>758</v>
      </c>
      <c r="U35" s="142" t="n">
        <v>45698</v>
      </c>
      <c r="V35" s="46"/>
      <c r="W35" s="46" t="s">
        <v>801</v>
      </c>
      <c r="X35" s="46" t="s">
        <v>794</v>
      </c>
      <c r="Y35" s="85"/>
    </row>
    <row r="36" customFormat="false" ht="15.75" hidden="false" customHeight="true" outlineLevel="0" collapsed="false">
      <c r="A36" s="106" t="n">
        <v>31</v>
      </c>
      <c r="B36" s="107" t="s">
        <v>888</v>
      </c>
      <c r="C36" s="106" t="s">
        <v>752</v>
      </c>
      <c r="D36" s="107" t="s">
        <v>889</v>
      </c>
      <c r="E36" s="136" t="s">
        <v>99</v>
      </c>
      <c r="F36" s="106" t="s">
        <v>890</v>
      </c>
      <c r="G36" s="137" t="n">
        <v>45679</v>
      </c>
      <c r="H36" s="106" t="s">
        <v>529</v>
      </c>
      <c r="I36" s="138" t="str">
        <f aca="false">IFERROR(VLOOKUP(TEXT(H36,"0"),IPRESS!$A$3:$B$212,2,0),"")</f>
        <v>MARIA AUXILIADORA</v>
      </c>
      <c r="J36" s="106" t="s">
        <v>755</v>
      </c>
      <c r="K36" s="138" t="str">
        <f aca="false">IFERROR(VLOOKUP(TEXT(O36,"0"),CONDUCTORES!$A$3:$G$100,7,0),"")</f>
        <v/>
      </c>
      <c r="L36" s="50" t="n">
        <v>20.25</v>
      </c>
      <c r="M36" s="50" t="n">
        <v>7</v>
      </c>
      <c r="N36" s="139" t="n">
        <f aca="false">IFERROR(IF(L36*M36=0,"",L36*M36),"")</f>
        <v>141.75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40" t="s">
        <v>886</v>
      </c>
      <c r="S36" s="107" t="s">
        <v>891</v>
      </c>
      <c r="T36" s="141" t="s">
        <v>758</v>
      </c>
      <c r="U36" s="137" t="n">
        <v>45698</v>
      </c>
      <c r="V36" s="106"/>
      <c r="W36" s="106" t="s">
        <v>760</v>
      </c>
      <c r="X36" s="106" t="s">
        <v>761</v>
      </c>
      <c r="Y36" s="85"/>
    </row>
    <row r="37" customFormat="false" ht="15.75" hidden="false" customHeight="true" outlineLevel="0" collapsed="false">
      <c r="A37" s="46" t="n">
        <v>32</v>
      </c>
      <c r="B37" s="110" t="s">
        <v>892</v>
      </c>
      <c r="C37" s="46" t="s">
        <v>752</v>
      </c>
      <c r="D37" s="110" t="s">
        <v>893</v>
      </c>
      <c r="E37" s="46" t="s">
        <v>99</v>
      </c>
      <c r="F37" s="46" t="s">
        <v>894</v>
      </c>
      <c r="G37" s="142" t="n">
        <v>45680</v>
      </c>
      <c r="H37" s="46" t="s">
        <v>529</v>
      </c>
      <c r="I37" s="138" t="str">
        <f aca="false">IFERROR(VLOOKUP(TEXT(H37,"0"),IPRESS!$A$3:$B$212,2,0),"")</f>
        <v>MARIA AUXILIADORA</v>
      </c>
      <c r="J37" s="46" t="s">
        <v>755</v>
      </c>
      <c r="K37" s="138" t="str">
        <f aca="false">IFERROR(VLOOKUP(TEXT(O37,"0"),CONDUCTORES!$A$3:$G$100,7,0),"")</f>
        <v/>
      </c>
      <c r="L37" s="44" t="n">
        <v>20.25</v>
      </c>
      <c r="M37" s="44" t="n">
        <v>6</v>
      </c>
      <c r="N37" s="139" t="n">
        <f aca="false">IFERROR(IF(L37*M37=0,"",L37*M37),"")</f>
        <v>121.5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85" t="s">
        <v>886</v>
      </c>
      <c r="S37" s="110" t="s">
        <v>895</v>
      </c>
      <c r="T37" s="141" t="s">
        <v>758</v>
      </c>
      <c r="U37" s="142" t="n">
        <v>45698</v>
      </c>
      <c r="V37" s="46"/>
      <c r="W37" s="46" t="s">
        <v>760</v>
      </c>
      <c r="X37" s="46" t="s">
        <v>761</v>
      </c>
      <c r="Y37" s="85"/>
    </row>
    <row r="38" customFormat="false" ht="15.75" hidden="false" customHeight="true" outlineLevel="0" collapsed="false">
      <c r="A38" s="106" t="n">
        <v>33</v>
      </c>
      <c r="B38" s="107" t="s">
        <v>896</v>
      </c>
      <c r="C38" s="106" t="s">
        <v>752</v>
      </c>
      <c r="D38" s="107" t="s">
        <v>897</v>
      </c>
      <c r="E38" s="136" t="s">
        <v>99</v>
      </c>
      <c r="F38" s="106" t="s">
        <v>898</v>
      </c>
      <c r="G38" s="137" t="n">
        <v>45683</v>
      </c>
      <c r="H38" s="106" t="s">
        <v>529</v>
      </c>
      <c r="I38" s="138" t="str">
        <f aca="false">IFERROR(VLOOKUP(TEXT(H38,"0"),IPRESS!$A$3:$B$212,2,0),"")</f>
        <v>MARIA AUXILIADORA</v>
      </c>
      <c r="J38" s="106" t="s">
        <v>755</v>
      </c>
      <c r="K38" s="138" t="str">
        <f aca="false">IFERROR(VLOOKUP(TEXT(O38,"0"),CONDUCTORES!$A$3:$G$100,7,0),"")</f>
        <v/>
      </c>
      <c r="L38" s="50" t="n">
        <v>20.25</v>
      </c>
      <c r="M38" s="50" t="n">
        <v>7</v>
      </c>
      <c r="N38" s="139" t="n">
        <f aca="false">IFERROR(IF(L38*M38=0,"",L38*M38),"")</f>
        <v>141.75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40" t="s">
        <v>886</v>
      </c>
      <c r="S38" s="107" t="s">
        <v>899</v>
      </c>
      <c r="T38" s="141" t="s">
        <v>758</v>
      </c>
      <c r="U38" s="137" t="n">
        <v>45705</v>
      </c>
      <c r="V38" s="106"/>
      <c r="W38" s="106" t="s">
        <v>760</v>
      </c>
      <c r="X38" s="106" t="s">
        <v>761</v>
      </c>
      <c r="Y38" s="85"/>
    </row>
    <row r="39" customFormat="false" ht="15.75" hidden="false" customHeight="true" outlineLevel="0" collapsed="false">
      <c r="A39" s="46" t="n">
        <v>34</v>
      </c>
      <c r="B39" s="110" t="s">
        <v>900</v>
      </c>
      <c r="C39" s="46" t="s">
        <v>752</v>
      </c>
      <c r="D39" s="110" t="s">
        <v>901</v>
      </c>
      <c r="E39" s="46" t="s">
        <v>99</v>
      </c>
      <c r="F39" s="46" t="s">
        <v>902</v>
      </c>
      <c r="G39" s="142" t="n">
        <v>45682</v>
      </c>
      <c r="H39" s="46" t="s">
        <v>529</v>
      </c>
      <c r="I39" s="138" t="str">
        <f aca="false">IFERROR(VLOOKUP(TEXT(H39,"0"),IPRESS!$A$3:$B$212,2,0),"")</f>
        <v>MARIA AUXILIADORA</v>
      </c>
      <c r="J39" s="46" t="s">
        <v>755</v>
      </c>
      <c r="K39" s="138" t="str">
        <f aca="false">IFERROR(VLOOKUP(TEXT(O39,"0"),CONDUCTORES!$A$3:$G$100,7,0),"")</f>
        <v/>
      </c>
      <c r="L39" s="44" t="n">
        <v>20.25</v>
      </c>
      <c r="M39" s="44" t="n">
        <v>6</v>
      </c>
      <c r="N39" s="139" t="n">
        <f aca="false">IFERROR(IF(L39*M39=0,"",L39*M39),"")</f>
        <v>121.5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85" t="s">
        <v>886</v>
      </c>
      <c r="S39" s="110" t="s">
        <v>903</v>
      </c>
      <c r="T39" s="141" t="s">
        <v>758</v>
      </c>
      <c r="U39" s="142" t="n">
        <v>45705</v>
      </c>
      <c r="V39" s="46"/>
      <c r="W39" s="46" t="s">
        <v>760</v>
      </c>
      <c r="X39" s="46" t="s">
        <v>761</v>
      </c>
      <c r="Y39" s="85"/>
    </row>
    <row r="40" customFormat="false" ht="15.75" hidden="false" customHeight="true" outlineLevel="0" collapsed="false">
      <c r="A40" s="106" t="n">
        <v>35</v>
      </c>
      <c r="B40" s="107" t="s">
        <v>904</v>
      </c>
      <c r="C40" s="106" t="s">
        <v>752</v>
      </c>
      <c r="D40" s="107" t="s">
        <v>905</v>
      </c>
      <c r="E40" s="136" t="s">
        <v>99</v>
      </c>
      <c r="F40" s="106" t="s">
        <v>906</v>
      </c>
      <c r="G40" s="137" t="n">
        <v>45682</v>
      </c>
      <c r="H40" s="106" t="s">
        <v>529</v>
      </c>
      <c r="I40" s="138" t="str">
        <f aca="false">IFERROR(VLOOKUP(TEXT(H40,"0"),IPRESS!$A$3:$B$212,2,0),"")</f>
        <v>MARIA AUXILIADORA</v>
      </c>
      <c r="J40" s="106" t="s">
        <v>755</v>
      </c>
      <c r="K40" s="138" t="str">
        <f aca="false">IFERROR(VLOOKUP(TEXT(O40,"0"),CONDUCTORES!$A$3:$G$100,7,0),"")</f>
        <v/>
      </c>
      <c r="L40" s="50" t="n">
        <v>20.25</v>
      </c>
      <c r="M40" s="50" t="n">
        <v>7</v>
      </c>
      <c r="N40" s="139" t="n">
        <f aca="false">IFERROR(IF(L40*M40=0,"",L40*M40),"")</f>
        <v>141.75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40" t="s">
        <v>886</v>
      </c>
      <c r="S40" s="107" t="s">
        <v>907</v>
      </c>
      <c r="T40" s="141" t="s">
        <v>758</v>
      </c>
      <c r="U40" s="137" t="n">
        <v>45705</v>
      </c>
      <c r="V40" s="106"/>
      <c r="W40" s="106" t="s">
        <v>760</v>
      </c>
      <c r="X40" s="106" t="s">
        <v>761</v>
      </c>
      <c r="Y40" s="85"/>
    </row>
    <row r="41" customFormat="false" ht="15.75" hidden="false" customHeight="true" outlineLevel="0" collapsed="false">
      <c r="A41" s="46" t="n">
        <v>36</v>
      </c>
      <c r="B41" s="110" t="s">
        <v>908</v>
      </c>
      <c r="C41" s="46" t="s">
        <v>752</v>
      </c>
      <c r="D41" s="110" t="s">
        <v>909</v>
      </c>
      <c r="E41" s="46" t="s">
        <v>99</v>
      </c>
      <c r="F41" s="46" t="s">
        <v>910</v>
      </c>
      <c r="G41" s="142" t="n">
        <v>45687</v>
      </c>
      <c r="H41" s="46" t="s">
        <v>529</v>
      </c>
      <c r="I41" s="138" t="str">
        <f aca="false">IFERROR(VLOOKUP(TEXT(H41,"0"),IPRESS!$A$3:$B$212,2,0),"")</f>
        <v>MARIA AUXILIADORA</v>
      </c>
      <c r="J41" s="46" t="s">
        <v>755</v>
      </c>
      <c r="K41" s="138" t="str">
        <f aca="false">IFERROR(VLOOKUP(TEXT(O41,"0"),CONDUCTORES!$A$3:$G$100,7,0),"")</f>
        <v/>
      </c>
      <c r="L41" s="44" t="n">
        <v>20.25</v>
      </c>
      <c r="M41" s="44" t="n">
        <v>7</v>
      </c>
      <c r="N41" s="139" t="n">
        <f aca="false">IFERROR(IF(L41*M41=0,"",L41*M41),"")</f>
        <v>141.75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85" t="s">
        <v>886</v>
      </c>
      <c r="S41" s="110" t="s">
        <v>911</v>
      </c>
      <c r="T41" s="46"/>
      <c r="U41" s="142" t="n">
        <v>45721</v>
      </c>
      <c r="V41" s="46"/>
      <c r="W41" s="46" t="s">
        <v>760</v>
      </c>
      <c r="X41" s="46" t="s">
        <v>761</v>
      </c>
      <c r="Y41" s="85"/>
    </row>
    <row r="42" customFormat="false" ht="15.75" hidden="false" customHeight="true" outlineLevel="0" collapsed="false">
      <c r="A42" s="106" t="n">
        <v>37</v>
      </c>
      <c r="B42" s="107" t="s">
        <v>912</v>
      </c>
      <c r="C42" s="106" t="s">
        <v>752</v>
      </c>
      <c r="D42" s="107" t="s">
        <v>771</v>
      </c>
      <c r="E42" s="136" t="s">
        <v>99</v>
      </c>
      <c r="F42" s="106" t="s">
        <v>772</v>
      </c>
      <c r="G42" s="137" t="n">
        <v>45687</v>
      </c>
      <c r="H42" s="106" t="s">
        <v>529</v>
      </c>
      <c r="I42" s="138" t="str">
        <f aca="false">IFERROR(VLOOKUP(TEXT(H42,"0"),IPRESS!$A$3:$B$212,2,0),"")</f>
        <v>MARIA AUXILIADORA</v>
      </c>
      <c r="J42" s="106" t="s">
        <v>755</v>
      </c>
      <c r="K42" s="138" t="str">
        <f aca="false">IFERROR(VLOOKUP(TEXT(O42,"0"),CONDUCTORES!$A$3:$G$100,7,0),"")</f>
        <v/>
      </c>
      <c r="L42" s="50" t="n">
        <v>20.25</v>
      </c>
      <c r="M42" s="50" t="n">
        <v>7</v>
      </c>
      <c r="N42" s="139" t="n">
        <f aca="false">IFERROR(IF(L42*M42=0,"",L42*M42),"")</f>
        <v>141.75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40" t="s">
        <v>886</v>
      </c>
      <c r="S42" s="107" t="s">
        <v>913</v>
      </c>
      <c r="T42" s="136"/>
      <c r="U42" s="137" t="n">
        <v>45721</v>
      </c>
      <c r="V42" s="106"/>
      <c r="W42" s="106" t="s">
        <v>760</v>
      </c>
      <c r="X42" s="106" t="s">
        <v>761</v>
      </c>
      <c r="Y42" s="85"/>
    </row>
    <row r="43" customFormat="false" ht="15.75" hidden="false" customHeight="true" outlineLevel="0" collapsed="false">
      <c r="A43" s="46" t="n">
        <v>38</v>
      </c>
      <c r="B43" s="110" t="s">
        <v>914</v>
      </c>
      <c r="C43" s="46" t="s">
        <v>752</v>
      </c>
      <c r="D43" s="110" t="s">
        <v>915</v>
      </c>
      <c r="E43" s="46" t="s">
        <v>99</v>
      </c>
      <c r="F43" s="46" t="s">
        <v>916</v>
      </c>
      <c r="G43" s="142" t="n">
        <v>45672</v>
      </c>
      <c r="H43" s="46" t="s">
        <v>507</v>
      </c>
      <c r="I43" s="138" t="str">
        <f aca="false">IFERROR(VLOOKUP(TEXT(H43,"0"),IPRESS!$A$3:$B$212,2,0),"")</f>
        <v>LEYMEBAMBA</v>
      </c>
      <c r="J43" s="46" t="s">
        <v>755</v>
      </c>
      <c r="K43" s="138" t="str">
        <f aca="false">IFERROR(VLOOKUP(TEXT(O43,"0"),CONDUCTORES!$A$3:$G$100,7,0),"")</f>
        <v/>
      </c>
      <c r="L43" s="44" t="n">
        <v>18.18</v>
      </c>
      <c r="M43" s="44" t="n">
        <v>6</v>
      </c>
      <c r="N43" s="139" t="n">
        <f aca="false">IFERROR(IF(L43*M43=0,"",L43*M43),"")</f>
        <v>109.08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85" t="s">
        <v>886</v>
      </c>
      <c r="S43" s="110" t="s">
        <v>917</v>
      </c>
      <c r="T43" s="141" t="s">
        <v>758</v>
      </c>
      <c r="U43" s="142" t="n">
        <v>45698</v>
      </c>
      <c r="V43" s="46"/>
      <c r="W43" s="46" t="s">
        <v>785</v>
      </c>
      <c r="X43" s="46" t="s">
        <v>918</v>
      </c>
      <c r="Y43" s="85"/>
    </row>
    <row r="44" customFormat="false" ht="15.75" hidden="false" customHeight="true" outlineLevel="0" collapsed="false">
      <c r="A44" s="106" t="n">
        <v>39</v>
      </c>
      <c r="B44" s="107" t="s">
        <v>919</v>
      </c>
      <c r="C44" s="106" t="s">
        <v>752</v>
      </c>
      <c r="D44" s="107" t="s">
        <v>920</v>
      </c>
      <c r="E44" s="136" t="s">
        <v>99</v>
      </c>
      <c r="F44" s="106" t="s">
        <v>921</v>
      </c>
      <c r="G44" s="137" t="n">
        <v>45660</v>
      </c>
      <c r="H44" s="106" t="s">
        <v>507</v>
      </c>
      <c r="I44" s="138" t="str">
        <f aca="false">IFERROR(VLOOKUP(TEXT(H44,"0"),IPRESS!$A$3:$B$212,2,0),"")</f>
        <v>LEYMEBAMBA</v>
      </c>
      <c r="J44" s="106" t="s">
        <v>755</v>
      </c>
      <c r="K44" s="138" t="str">
        <f aca="false">IFERROR(VLOOKUP(TEXT(O44,"0"),CONDUCTORES!$A$3:$G$100,7,0),"")</f>
        <v/>
      </c>
      <c r="L44" s="50" t="n">
        <v>18.18</v>
      </c>
      <c r="M44" s="50" t="n">
        <v>6</v>
      </c>
      <c r="N44" s="139" t="n">
        <f aca="false">IFERROR(IF(L44*M44=0,"",L44*M44),"")</f>
        <v>109.08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40" t="s">
        <v>886</v>
      </c>
      <c r="S44" s="107" t="s">
        <v>922</v>
      </c>
      <c r="T44" s="141" t="s">
        <v>758</v>
      </c>
      <c r="U44" s="137" t="n">
        <v>45698</v>
      </c>
      <c r="V44" s="106"/>
      <c r="W44" s="106" t="s">
        <v>785</v>
      </c>
      <c r="X44" s="106" t="s">
        <v>918</v>
      </c>
      <c r="Y44" s="85"/>
    </row>
    <row r="45" customFormat="false" ht="15.75" hidden="false" customHeight="true" outlineLevel="0" collapsed="false">
      <c r="A45" s="46" t="n">
        <v>40</v>
      </c>
      <c r="B45" s="110" t="s">
        <v>818</v>
      </c>
      <c r="C45" s="46" t="s">
        <v>752</v>
      </c>
      <c r="D45" s="110" t="s">
        <v>923</v>
      </c>
      <c r="E45" s="46" t="s">
        <v>99</v>
      </c>
      <c r="F45" s="46" t="s">
        <v>924</v>
      </c>
      <c r="G45" s="142" t="n">
        <v>45680</v>
      </c>
      <c r="H45" s="46" t="s">
        <v>507</v>
      </c>
      <c r="I45" s="138" t="str">
        <f aca="false">IFERROR(VLOOKUP(TEXT(H45,"0"),IPRESS!$A$3:$B$212,2,0),"")</f>
        <v>LEYMEBAMBA</v>
      </c>
      <c r="J45" s="46" t="s">
        <v>755</v>
      </c>
      <c r="K45" s="138" t="str">
        <f aca="false">IFERROR(VLOOKUP(TEXT(O45,"0"),CONDUCTORES!$A$3:$G$100,7,0),"")</f>
        <v/>
      </c>
      <c r="L45" s="44" t="n">
        <v>18.18</v>
      </c>
      <c r="M45" s="44" t="n">
        <v>6</v>
      </c>
      <c r="N45" s="139" t="n">
        <f aca="false">IFERROR(IF(L45*M45=0,"",L45*M45),"")</f>
        <v>109.08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85" t="s">
        <v>886</v>
      </c>
      <c r="S45" s="110" t="s">
        <v>925</v>
      </c>
      <c r="T45" s="141" t="s">
        <v>758</v>
      </c>
      <c r="U45" s="142" t="n">
        <v>45698</v>
      </c>
      <c r="V45" s="46"/>
      <c r="W45" s="46" t="s">
        <v>785</v>
      </c>
      <c r="X45" s="46" t="s">
        <v>918</v>
      </c>
      <c r="Y45" s="85"/>
    </row>
    <row r="46" customFormat="false" ht="15.75" hidden="false" customHeight="true" outlineLevel="0" collapsed="false">
      <c r="A46" s="106" t="n">
        <v>41</v>
      </c>
      <c r="B46" s="107" t="s">
        <v>926</v>
      </c>
      <c r="C46" s="106" t="s">
        <v>752</v>
      </c>
      <c r="D46" s="107" t="s">
        <v>927</v>
      </c>
      <c r="E46" s="136" t="s">
        <v>99</v>
      </c>
      <c r="F46" s="106" t="s">
        <v>928</v>
      </c>
      <c r="G46" s="137" t="n">
        <v>45681</v>
      </c>
      <c r="H46" s="106" t="s">
        <v>507</v>
      </c>
      <c r="I46" s="138" t="str">
        <f aca="false">IFERROR(VLOOKUP(TEXT(H46,"0"),IPRESS!$A$3:$B$212,2,0),"")</f>
        <v>LEYMEBAMBA</v>
      </c>
      <c r="J46" s="106" t="s">
        <v>755</v>
      </c>
      <c r="K46" s="138" t="str">
        <f aca="false">IFERROR(VLOOKUP(TEXT(O46,"0"),CONDUCTORES!$A$3:$G$100,7,0),"")</f>
        <v/>
      </c>
      <c r="L46" s="50" t="n">
        <v>18.18</v>
      </c>
      <c r="M46" s="50" t="n">
        <v>6</v>
      </c>
      <c r="N46" s="139" t="n">
        <f aca="false">IFERROR(IF(L46*M46=0,"",L46*M46),"")</f>
        <v>109.08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40" t="s">
        <v>886</v>
      </c>
      <c r="S46" s="107" t="s">
        <v>929</v>
      </c>
      <c r="T46" s="141" t="s">
        <v>758</v>
      </c>
      <c r="U46" s="137" t="n">
        <v>45705</v>
      </c>
      <c r="V46" s="106"/>
      <c r="W46" s="106" t="s">
        <v>785</v>
      </c>
      <c r="X46" s="106" t="s">
        <v>918</v>
      </c>
      <c r="Y46" s="85"/>
    </row>
    <row r="47" customFormat="false" ht="15.75" hidden="false" customHeight="true" outlineLevel="0" collapsed="false">
      <c r="A47" s="46" t="n">
        <v>42</v>
      </c>
      <c r="B47" s="110" t="s">
        <v>930</v>
      </c>
      <c r="C47" s="46" t="s">
        <v>752</v>
      </c>
      <c r="D47" s="110" t="s">
        <v>931</v>
      </c>
      <c r="E47" s="46" t="s">
        <v>99</v>
      </c>
      <c r="F47" s="46" t="s">
        <v>932</v>
      </c>
      <c r="G47" s="142" t="n">
        <v>45688</v>
      </c>
      <c r="H47" s="46" t="s">
        <v>507</v>
      </c>
      <c r="I47" s="138" t="str">
        <f aca="false">IFERROR(VLOOKUP(TEXT(H47,"0"),IPRESS!$A$3:$B$212,2,0),"")</f>
        <v>LEYMEBAMBA</v>
      </c>
      <c r="J47" s="46" t="s">
        <v>755</v>
      </c>
      <c r="K47" s="138" t="str">
        <f aca="false">IFERROR(VLOOKUP(TEXT(O47,"0"),CONDUCTORES!$A$3:$G$100,7,0),"")</f>
        <v/>
      </c>
      <c r="L47" s="44" t="n">
        <v>18.18</v>
      </c>
      <c r="M47" s="44" t="n">
        <v>6</v>
      </c>
      <c r="N47" s="139" t="n">
        <f aca="false">IFERROR(IF(L47*M47=0,"",L47*M47),"")</f>
        <v>109.08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85" t="s">
        <v>886</v>
      </c>
      <c r="S47" s="110" t="s">
        <v>933</v>
      </c>
      <c r="T47" s="46"/>
      <c r="U47" s="142" t="n">
        <v>45721</v>
      </c>
      <c r="V47" s="46"/>
      <c r="W47" s="46" t="s">
        <v>785</v>
      </c>
      <c r="X47" s="46" t="s">
        <v>918</v>
      </c>
      <c r="Y47" s="85"/>
    </row>
    <row r="48" customFormat="false" ht="15.75" hidden="false" customHeight="true" outlineLevel="0" collapsed="false">
      <c r="A48" s="106" t="n">
        <v>43</v>
      </c>
      <c r="B48" s="107" t="s">
        <v>934</v>
      </c>
      <c r="C48" s="106" t="s">
        <v>752</v>
      </c>
      <c r="D48" s="107" t="s">
        <v>935</v>
      </c>
      <c r="E48" s="136" t="s">
        <v>99</v>
      </c>
      <c r="F48" s="106" t="s">
        <v>936</v>
      </c>
      <c r="G48" s="137" t="n">
        <v>45661</v>
      </c>
      <c r="H48" s="106" t="s">
        <v>715</v>
      </c>
      <c r="I48" s="138" t="str">
        <f aca="false">IFERROR(VLOOKUP(TEXT(H48,"0"),IPRESS!$A$3:$B$212,2,0),"")</f>
        <v>YAULICACHI</v>
      </c>
      <c r="J48" s="106" t="s">
        <v>755</v>
      </c>
      <c r="K48" s="138" t="str">
        <f aca="false">IFERROR(VLOOKUP(TEXT(O48,"0"),CONDUCTORES!$A$3:$G$100,7,0),"")</f>
        <v/>
      </c>
      <c r="L48" s="50" t="n">
        <v>18.18</v>
      </c>
      <c r="M48" s="50" t="n">
        <v>20</v>
      </c>
      <c r="N48" s="139" t="n">
        <f aca="false">IFERROR(IF(L48*M48=0,"",L48*M48),"")</f>
        <v>363.6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40" t="s">
        <v>937</v>
      </c>
      <c r="S48" s="107" t="s">
        <v>938</v>
      </c>
      <c r="T48" s="141" t="s">
        <v>758</v>
      </c>
      <c r="U48" s="137" t="n">
        <v>45671</v>
      </c>
      <c r="V48" s="106" t="s">
        <v>939</v>
      </c>
      <c r="W48" s="106" t="s">
        <v>940</v>
      </c>
      <c r="X48" s="106" t="s">
        <v>941</v>
      </c>
      <c r="Y48" s="85"/>
    </row>
    <row r="49" customFormat="false" ht="15.75" hidden="false" customHeight="true" outlineLevel="0" collapsed="false">
      <c r="A49" s="46" t="n">
        <v>44</v>
      </c>
      <c r="B49" s="110" t="s">
        <v>914</v>
      </c>
      <c r="C49" s="46" t="s">
        <v>752</v>
      </c>
      <c r="D49" s="110" t="s">
        <v>942</v>
      </c>
      <c r="E49" s="46" t="s">
        <v>99</v>
      </c>
      <c r="F49" s="46" t="s">
        <v>943</v>
      </c>
      <c r="G49" s="142" t="n">
        <v>45675</v>
      </c>
      <c r="H49" s="46" t="s">
        <v>715</v>
      </c>
      <c r="I49" s="138" t="str">
        <f aca="false">IFERROR(VLOOKUP(TEXT(H49,"0"),IPRESS!$A$3:$B$212,2,0),"")</f>
        <v>YAULICACHI</v>
      </c>
      <c r="J49" s="46" t="s">
        <v>755</v>
      </c>
      <c r="K49" s="138" t="str">
        <f aca="false">IFERROR(VLOOKUP(TEXT(O49,"0"),CONDUCTORES!$A$3:$G$100,7,0),"")</f>
        <v/>
      </c>
      <c r="L49" s="44" t="n">
        <v>18.18</v>
      </c>
      <c r="M49" s="44" t="n">
        <v>20</v>
      </c>
      <c r="N49" s="139" t="n">
        <f aca="false">IFERROR(IF(L49*M49=0,"",L49*M49),"")</f>
        <v>363.6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85" t="s">
        <v>937</v>
      </c>
      <c r="S49" s="110" t="s">
        <v>944</v>
      </c>
      <c r="T49" s="141" t="s">
        <v>758</v>
      </c>
      <c r="U49" s="142" t="n">
        <v>45684</v>
      </c>
      <c r="V49" s="46" t="s">
        <v>945</v>
      </c>
      <c r="W49" s="46" t="s">
        <v>940</v>
      </c>
      <c r="X49" s="46" t="s">
        <v>941</v>
      </c>
      <c r="Y49" s="85"/>
    </row>
    <row r="50" customFormat="false" ht="15.75" hidden="false" customHeight="true" outlineLevel="0" collapsed="false">
      <c r="A50" s="106" t="n">
        <v>45</v>
      </c>
      <c r="B50" s="107" t="s">
        <v>914</v>
      </c>
      <c r="C50" s="106" t="s">
        <v>752</v>
      </c>
      <c r="D50" s="107" t="s">
        <v>946</v>
      </c>
      <c r="E50" s="136" t="s">
        <v>99</v>
      </c>
      <c r="F50" s="106" t="s">
        <v>947</v>
      </c>
      <c r="G50" s="137" t="n">
        <v>45660</v>
      </c>
      <c r="H50" s="106" t="s">
        <v>715</v>
      </c>
      <c r="I50" s="138" t="str">
        <f aca="false">IFERROR(VLOOKUP(TEXT(H50,"0"),IPRESS!$A$3:$B$212,2,0),"")</f>
        <v>YAULICACHI</v>
      </c>
      <c r="J50" s="106" t="s">
        <v>755</v>
      </c>
      <c r="K50" s="138" t="str">
        <f aca="false">IFERROR(VLOOKUP(TEXT(O50,"0"),CONDUCTORES!$A$3:$G$100,7,0),"")</f>
        <v/>
      </c>
      <c r="L50" s="50" t="n">
        <v>18.18</v>
      </c>
      <c r="M50" s="50" t="n">
        <v>20</v>
      </c>
      <c r="N50" s="139" t="n">
        <f aca="false">IFERROR(IF(L50*M50=0,"",L50*M50),"")</f>
        <v>363.6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40" t="s">
        <v>937</v>
      </c>
      <c r="S50" s="107" t="s">
        <v>948</v>
      </c>
      <c r="T50" s="141" t="s">
        <v>758</v>
      </c>
      <c r="U50" s="137" t="n">
        <v>45684</v>
      </c>
      <c r="V50" s="106" t="s">
        <v>945</v>
      </c>
      <c r="W50" s="106" t="s">
        <v>940</v>
      </c>
      <c r="X50" s="106" t="s">
        <v>941</v>
      </c>
      <c r="Y50" s="85"/>
    </row>
    <row r="51" customFormat="false" ht="15.75" hidden="false" customHeight="true" outlineLevel="0" collapsed="false">
      <c r="A51" s="46" t="n">
        <v>46</v>
      </c>
      <c r="B51" s="110" t="s">
        <v>774</v>
      </c>
      <c r="C51" s="46" t="s">
        <v>752</v>
      </c>
      <c r="D51" s="110" t="s">
        <v>949</v>
      </c>
      <c r="E51" s="46" t="s">
        <v>99</v>
      </c>
      <c r="F51" s="46" t="s">
        <v>950</v>
      </c>
      <c r="G51" s="142" t="n">
        <v>45666</v>
      </c>
      <c r="H51" s="46" t="s">
        <v>715</v>
      </c>
      <c r="I51" s="138" t="str">
        <f aca="false">IFERROR(VLOOKUP(TEXT(H51,"0"),IPRESS!$A$3:$B$212,2,0),"")</f>
        <v>YAULICACHI</v>
      </c>
      <c r="J51" s="46" t="s">
        <v>755</v>
      </c>
      <c r="K51" s="138" t="str">
        <f aca="false">IFERROR(VLOOKUP(TEXT(O51,"0"),CONDUCTORES!$A$3:$G$100,7,0),"")</f>
        <v/>
      </c>
      <c r="L51" s="44" t="n">
        <v>18.18</v>
      </c>
      <c r="M51" s="44" t="n">
        <v>20</v>
      </c>
      <c r="N51" s="139" t="n">
        <f aca="false">IFERROR(IF(L51*M51=0,"",L51*M51),"")</f>
        <v>363.6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85" t="s">
        <v>937</v>
      </c>
      <c r="S51" s="110" t="s">
        <v>951</v>
      </c>
      <c r="T51" s="141" t="s">
        <v>758</v>
      </c>
      <c r="U51" s="142" t="n">
        <v>45684</v>
      </c>
      <c r="V51" s="46" t="s">
        <v>945</v>
      </c>
      <c r="W51" s="46" t="s">
        <v>940</v>
      </c>
      <c r="X51" s="46" t="s">
        <v>941</v>
      </c>
      <c r="Y51" s="85"/>
    </row>
    <row r="52" customFormat="false" ht="15.75" hidden="false" customHeight="true" outlineLevel="0" collapsed="false">
      <c r="A52" s="106" t="n">
        <v>47</v>
      </c>
      <c r="B52" s="107" t="s">
        <v>779</v>
      </c>
      <c r="C52" s="106" t="s">
        <v>752</v>
      </c>
      <c r="D52" s="107" t="s">
        <v>952</v>
      </c>
      <c r="E52" s="136" t="s">
        <v>99</v>
      </c>
      <c r="F52" s="106" t="s">
        <v>953</v>
      </c>
      <c r="G52" s="137" t="n">
        <v>45674</v>
      </c>
      <c r="H52" s="106" t="s">
        <v>409</v>
      </c>
      <c r="I52" s="138" t="str">
        <f aca="false">IFERROR(VLOOKUP(TEXT(H52,"0"),IPRESS!$A$3:$B$212,2,0),"")</f>
        <v>COLLONCE</v>
      </c>
      <c r="J52" s="106" t="s">
        <v>755</v>
      </c>
      <c r="K52" s="138" t="str">
        <f aca="false">IFERROR(VLOOKUP(TEXT(O52,"0"),CONDUCTORES!$A$3:$G$100,7,0),"")</f>
        <v/>
      </c>
      <c r="L52" s="50" t="n">
        <v>18.18</v>
      </c>
      <c r="M52" s="50" t="n">
        <v>20</v>
      </c>
      <c r="N52" s="139" t="n">
        <f aca="false">IFERROR(IF(L52*M52=0,"",L52*M52),"")</f>
        <v>363.6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40" t="s">
        <v>937</v>
      </c>
      <c r="S52" s="107" t="s">
        <v>954</v>
      </c>
      <c r="T52" s="141" t="s">
        <v>758</v>
      </c>
      <c r="U52" s="137" t="n">
        <v>45691</v>
      </c>
      <c r="V52" s="106" t="s">
        <v>945</v>
      </c>
      <c r="W52" s="106" t="s">
        <v>940</v>
      </c>
      <c r="X52" s="106" t="s">
        <v>941</v>
      </c>
      <c r="Y52" s="85"/>
    </row>
    <row r="53" customFormat="false" ht="15.75" hidden="false" customHeight="true" outlineLevel="0" collapsed="false">
      <c r="A53" s="46" t="n">
        <v>48</v>
      </c>
      <c r="B53" s="110" t="s">
        <v>818</v>
      </c>
      <c r="C53" s="46" t="s">
        <v>752</v>
      </c>
      <c r="D53" s="110" t="s">
        <v>955</v>
      </c>
      <c r="E53" s="46" t="s">
        <v>99</v>
      </c>
      <c r="F53" s="46" t="s">
        <v>956</v>
      </c>
      <c r="G53" s="142" t="n">
        <v>45679</v>
      </c>
      <c r="H53" s="46" t="s">
        <v>569</v>
      </c>
      <c r="I53" s="138" t="str">
        <f aca="false">IFERROR(VLOOKUP(TEXT(H53,"0"),IPRESS!$A$3:$B$212,2,0),"")</f>
        <v>OCALLI</v>
      </c>
      <c r="J53" s="46" t="s">
        <v>755</v>
      </c>
      <c r="K53" s="138" t="str">
        <f aca="false">IFERROR(VLOOKUP(TEXT(O53,"0"),CONDUCTORES!$A$3:$G$100,7,0),"")</f>
        <v/>
      </c>
      <c r="L53" s="44" t="n">
        <v>18.18</v>
      </c>
      <c r="M53" s="44" t="n">
        <v>30</v>
      </c>
      <c r="N53" s="139" t="n">
        <f aca="false">IFERROR(IF(L53*M53=0,"",L53*M53),"")</f>
        <v>545.4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85" t="s">
        <v>957</v>
      </c>
      <c r="S53" s="110" t="s">
        <v>958</v>
      </c>
      <c r="T53" s="141" t="s">
        <v>758</v>
      </c>
      <c r="U53" s="142" t="n">
        <v>45698</v>
      </c>
      <c r="V53" s="46"/>
      <c r="W53" s="46" t="s">
        <v>801</v>
      </c>
      <c r="X53" s="46" t="s">
        <v>794</v>
      </c>
      <c r="Y53" s="85"/>
    </row>
    <row r="54" customFormat="false" ht="15.75" hidden="false" customHeight="true" outlineLevel="0" collapsed="false">
      <c r="A54" s="106" t="n">
        <v>49</v>
      </c>
      <c r="B54" s="107" t="s">
        <v>822</v>
      </c>
      <c r="C54" s="106" t="s">
        <v>752</v>
      </c>
      <c r="D54" s="107" t="s">
        <v>959</v>
      </c>
      <c r="E54" s="136" t="s">
        <v>99</v>
      </c>
      <c r="F54" s="106" t="s">
        <v>960</v>
      </c>
      <c r="G54" s="137" t="n">
        <v>45677</v>
      </c>
      <c r="H54" s="106" t="s">
        <v>717</v>
      </c>
      <c r="I54" s="138" t="str">
        <f aca="false">IFERROR(VLOOKUP(TEXT(H54,"0"),IPRESS!$A$3:$B$212,2,0),"")</f>
        <v>YERBABUENA</v>
      </c>
      <c r="J54" s="106" t="s">
        <v>755</v>
      </c>
      <c r="K54" s="138" t="str">
        <f aca="false">IFERROR(VLOOKUP(TEXT(O54,"0"),CONDUCTORES!$A$3:$G$100,7,0),"")</f>
        <v/>
      </c>
      <c r="L54" s="50" t="n">
        <v>18.18</v>
      </c>
      <c r="M54" s="50" t="n">
        <v>8</v>
      </c>
      <c r="N54" s="139" t="n">
        <f aca="false">IFERROR(IF(L54*M54=0,"",L54*M54),"")</f>
        <v>145.44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40" t="s">
        <v>957</v>
      </c>
      <c r="S54" s="107" t="s">
        <v>917</v>
      </c>
      <c r="T54" s="141" t="s">
        <v>758</v>
      </c>
      <c r="U54" s="137" t="n">
        <v>45705</v>
      </c>
      <c r="V54" s="106"/>
      <c r="W54" s="106" t="s">
        <v>801</v>
      </c>
      <c r="X54" s="106" t="s">
        <v>794</v>
      </c>
      <c r="Y54" s="85"/>
    </row>
    <row r="55" customFormat="false" ht="15.75" hidden="false" customHeight="true" outlineLevel="0" collapsed="false">
      <c r="A55" s="46" t="n">
        <v>50</v>
      </c>
      <c r="B55" s="110" t="s">
        <v>914</v>
      </c>
      <c r="C55" s="46" t="s">
        <v>752</v>
      </c>
      <c r="D55" s="110" t="s">
        <v>961</v>
      </c>
      <c r="E55" s="46" t="s">
        <v>99</v>
      </c>
      <c r="F55" s="46" t="s">
        <v>962</v>
      </c>
      <c r="G55" s="142" t="n">
        <v>45666</v>
      </c>
      <c r="H55" s="46" t="s">
        <v>717</v>
      </c>
      <c r="I55" s="138" t="str">
        <f aca="false">IFERROR(VLOOKUP(TEXT(H55,"0"),IPRESS!$A$3:$B$212,2,0),"")</f>
        <v>YERBABUENA</v>
      </c>
      <c r="J55" s="46" t="s">
        <v>755</v>
      </c>
      <c r="K55" s="138" t="str">
        <f aca="false">IFERROR(VLOOKUP(TEXT(O55,"0"),CONDUCTORES!$A$3:$G$100,7,0),"")</f>
        <v/>
      </c>
      <c r="L55" s="44" t="n">
        <v>18.18</v>
      </c>
      <c r="M55" s="44" t="n">
        <v>8</v>
      </c>
      <c r="N55" s="139" t="n">
        <f aca="false">IFERROR(IF(L55*M55=0,"",L55*M55),"")</f>
        <v>145.44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85" t="s">
        <v>957</v>
      </c>
      <c r="S55" s="110" t="s">
        <v>963</v>
      </c>
      <c r="T55" s="141" t="s">
        <v>758</v>
      </c>
      <c r="U55" s="142" t="n">
        <v>45705</v>
      </c>
      <c r="V55" s="46"/>
      <c r="W55" s="46" t="s">
        <v>801</v>
      </c>
      <c r="X55" s="46" t="s">
        <v>794</v>
      </c>
      <c r="Y55" s="85"/>
    </row>
    <row r="56" customFormat="false" ht="15.75" hidden="false" customHeight="true" outlineLevel="0" collapsed="false">
      <c r="A56" s="106" t="n">
        <v>51</v>
      </c>
      <c r="B56" s="107" t="s">
        <v>774</v>
      </c>
      <c r="C56" s="106" t="s">
        <v>752</v>
      </c>
      <c r="D56" s="107" t="s">
        <v>964</v>
      </c>
      <c r="E56" s="136" t="s">
        <v>99</v>
      </c>
      <c r="F56" s="106" t="s">
        <v>965</v>
      </c>
      <c r="G56" s="137" t="n">
        <v>45670</v>
      </c>
      <c r="H56" s="106" t="s">
        <v>717</v>
      </c>
      <c r="I56" s="138" t="str">
        <f aca="false">IFERROR(VLOOKUP(TEXT(H56,"0"),IPRESS!$A$3:$B$212,2,0),"")</f>
        <v>YERBABUENA</v>
      </c>
      <c r="J56" s="106" t="s">
        <v>755</v>
      </c>
      <c r="K56" s="138" t="str">
        <f aca="false">IFERROR(VLOOKUP(TEXT(O56,"0"),CONDUCTORES!$A$3:$G$100,7,0),"")</f>
        <v/>
      </c>
      <c r="L56" s="50" t="n">
        <v>18.18</v>
      </c>
      <c r="M56" s="50" t="n">
        <v>8</v>
      </c>
      <c r="N56" s="139" t="n">
        <f aca="false">IFERROR(IF(L56*M56=0,"",L56*M56),"")</f>
        <v>145.44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40" t="s">
        <v>957</v>
      </c>
      <c r="S56" s="107" t="s">
        <v>966</v>
      </c>
      <c r="T56" s="141" t="s">
        <v>758</v>
      </c>
      <c r="U56" s="137" t="n">
        <v>45705</v>
      </c>
      <c r="V56" s="106"/>
      <c r="W56" s="106" t="s">
        <v>801</v>
      </c>
      <c r="X56" s="106" t="s">
        <v>794</v>
      </c>
      <c r="Y56" s="85"/>
    </row>
    <row r="57" customFormat="false" ht="15.75" hidden="false" customHeight="true" outlineLevel="0" collapsed="false">
      <c r="A57" s="46" t="n">
        <v>52</v>
      </c>
      <c r="B57" s="110" t="s">
        <v>779</v>
      </c>
      <c r="C57" s="46" t="s">
        <v>752</v>
      </c>
      <c r="D57" s="110" t="s">
        <v>967</v>
      </c>
      <c r="E57" s="46" t="s">
        <v>99</v>
      </c>
      <c r="F57" s="46" t="s">
        <v>968</v>
      </c>
      <c r="G57" s="142" t="n">
        <v>45672</v>
      </c>
      <c r="H57" s="46" t="s">
        <v>717</v>
      </c>
      <c r="I57" s="138" t="str">
        <f aca="false">IFERROR(VLOOKUP(TEXT(H57,"0"),IPRESS!$A$3:$B$212,2,0),"")</f>
        <v>YERBABUENA</v>
      </c>
      <c r="J57" s="46" t="s">
        <v>755</v>
      </c>
      <c r="K57" s="138" t="str">
        <f aca="false">IFERROR(VLOOKUP(TEXT(O57,"0"),CONDUCTORES!$A$3:$G$100,7,0),"")</f>
        <v/>
      </c>
      <c r="L57" s="44" t="n">
        <v>18.18</v>
      </c>
      <c r="M57" s="44" t="n">
        <v>8</v>
      </c>
      <c r="N57" s="139" t="n">
        <f aca="false">IFERROR(IF(L57*M57=0,"",L57*M57),"")</f>
        <v>145.44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85" t="s">
        <v>957</v>
      </c>
      <c r="S57" s="110" t="s">
        <v>969</v>
      </c>
      <c r="T57" s="141" t="s">
        <v>758</v>
      </c>
      <c r="U57" s="142" t="n">
        <v>45705</v>
      </c>
      <c r="V57" s="46"/>
      <c r="W57" s="46" t="s">
        <v>801</v>
      </c>
      <c r="X57" s="46" t="s">
        <v>794</v>
      </c>
      <c r="Y57" s="85"/>
    </row>
    <row r="58" customFormat="false" ht="15.75" hidden="false" customHeight="true" outlineLevel="0" collapsed="false">
      <c r="A58" s="106" t="n">
        <v>53</v>
      </c>
      <c r="B58" s="107" t="s">
        <v>779</v>
      </c>
      <c r="C58" s="106" t="s">
        <v>752</v>
      </c>
      <c r="D58" s="107" t="s">
        <v>970</v>
      </c>
      <c r="E58" s="136" t="s">
        <v>99</v>
      </c>
      <c r="F58" s="106" t="s">
        <v>971</v>
      </c>
      <c r="G58" s="137" t="n">
        <v>45672</v>
      </c>
      <c r="H58" s="106" t="s">
        <v>480</v>
      </c>
      <c r="I58" s="138" t="str">
        <f aca="false">IFERROR(VLOOKUP(TEXT(H58,"0"),IPRESS!$A$3:$B$212,2,0),"")</f>
        <v>JALCA GRANDE</v>
      </c>
      <c r="J58" s="106" t="s">
        <v>755</v>
      </c>
      <c r="K58" s="138" t="str">
        <f aca="false">IFERROR(VLOOKUP(TEXT(O58,"0"),CONDUCTORES!$A$3:$G$100,7,0),"")</f>
        <v/>
      </c>
      <c r="L58" s="50" t="n">
        <v>18.18</v>
      </c>
      <c r="M58" s="50" t="n">
        <v>8</v>
      </c>
      <c r="N58" s="139" t="n">
        <f aca="false">IFERROR(IF(L58*M58=0,"",L58*M58),"")</f>
        <v>145.44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40" t="s">
        <v>972</v>
      </c>
      <c r="S58" s="107" t="s">
        <v>973</v>
      </c>
      <c r="T58" s="141" t="s">
        <v>758</v>
      </c>
      <c r="U58" s="137" t="n">
        <v>45691</v>
      </c>
      <c r="V58" s="106"/>
      <c r="W58" s="106" t="s">
        <v>801</v>
      </c>
      <c r="X58" s="106" t="s">
        <v>794</v>
      </c>
      <c r="Y58" s="85"/>
    </row>
    <row r="59" customFormat="false" ht="15.75" hidden="false" customHeight="true" outlineLevel="0" collapsed="false">
      <c r="A59" s="46" t="n">
        <v>54</v>
      </c>
      <c r="B59" s="110" t="s">
        <v>822</v>
      </c>
      <c r="C59" s="46" t="s">
        <v>752</v>
      </c>
      <c r="D59" s="110" t="s">
        <v>974</v>
      </c>
      <c r="E59" s="46" t="s">
        <v>99</v>
      </c>
      <c r="F59" s="46" t="s">
        <v>975</v>
      </c>
      <c r="G59" s="142" t="n">
        <v>45674</v>
      </c>
      <c r="H59" s="46" t="s">
        <v>480</v>
      </c>
      <c r="I59" s="138" t="str">
        <f aca="false">IFERROR(VLOOKUP(TEXT(H59,"0"),IPRESS!$A$3:$B$212,2,0),"")</f>
        <v>JALCA GRANDE</v>
      </c>
      <c r="J59" s="46" t="s">
        <v>755</v>
      </c>
      <c r="K59" s="138" t="str">
        <f aca="false">IFERROR(VLOOKUP(TEXT(O59,"0"),CONDUCTORES!$A$3:$G$100,7,0),"")</f>
        <v/>
      </c>
      <c r="L59" s="44" t="n">
        <v>18.18</v>
      </c>
      <c r="M59" s="44" t="n">
        <v>8</v>
      </c>
      <c r="N59" s="139" t="n">
        <f aca="false">IFERROR(IF(L59*M59=0,"",L59*M59),"")</f>
        <v>145.44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85" t="s">
        <v>972</v>
      </c>
      <c r="S59" s="110" t="s">
        <v>976</v>
      </c>
      <c r="T59" s="141" t="s">
        <v>758</v>
      </c>
      <c r="U59" s="142" t="n">
        <v>45691</v>
      </c>
      <c r="V59" s="46"/>
      <c r="W59" s="46" t="s">
        <v>801</v>
      </c>
      <c r="X59" s="46" t="s">
        <v>794</v>
      </c>
      <c r="Y59" s="85"/>
    </row>
    <row r="60" customFormat="false" ht="15.75" hidden="false" customHeight="true" outlineLevel="0" collapsed="false">
      <c r="A60" s="106" t="n">
        <v>55</v>
      </c>
      <c r="B60" s="107" t="s">
        <v>930</v>
      </c>
      <c r="C60" s="106" t="s">
        <v>752</v>
      </c>
      <c r="D60" s="107" t="s">
        <v>977</v>
      </c>
      <c r="E60" s="136" t="s">
        <v>99</v>
      </c>
      <c r="F60" s="106" t="s">
        <v>978</v>
      </c>
      <c r="G60" s="137" t="n">
        <v>45684</v>
      </c>
      <c r="H60" s="106" t="s">
        <v>480</v>
      </c>
      <c r="I60" s="138" t="str">
        <f aca="false">IFERROR(VLOOKUP(TEXT(H60,"0"),IPRESS!$A$3:$B$212,2,0),"")</f>
        <v>JALCA GRANDE</v>
      </c>
      <c r="J60" s="106" t="s">
        <v>755</v>
      </c>
      <c r="K60" s="138" t="str">
        <f aca="false">IFERROR(VLOOKUP(TEXT(O60,"0"),CONDUCTORES!$A$3:$G$100,7,0),"")</f>
        <v/>
      </c>
      <c r="L60" s="50" t="n">
        <v>18.18</v>
      </c>
      <c r="M60" s="50" t="n">
        <v>8</v>
      </c>
      <c r="N60" s="139" t="n">
        <f aca="false">IFERROR(IF(L60*M60=0,"",L60*M60),"")</f>
        <v>145.44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40" t="s">
        <v>972</v>
      </c>
      <c r="S60" s="107" t="s">
        <v>979</v>
      </c>
      <c r="T60" s="136"/>
      <c r="U60" s="137" t="n">
        <v>45721</v>
      </c>
      <c r="V60" s="106"/>
      <c r="W60" s="106" t="s">
        <v>801</v>
      </c>
      <c r="X60" s="106" t="s">
        <v>794</v>
      </c>
      <c r="Y60" s="85"/>
    </row>
    <row r="61" customFormat="false" ht="15.75" hidden="false" customHeight="true" outlineLevel="0" collapsed="false">
      <c r="A61" s="46" t="n">
        <v>56</v>
      </c>
      <c r="B61" s="110" t="s">
        <v>914</v>
      </c>
      <c r="C61" s="46" t="s">
        <v>752</v>
      </c>
      <c r="D61" s="110" t="s">
        <v>980</v>
      </c>
      <c r="E61" s="46" t="s">
        <v>99</v>
      </c>
      <c r="F61" s="46" t="s">
        <v>981</v>
      </c>
      <c r="G61" s="142" t="n">
        <v>45688</v>
      </c>
      <c r="H61" s="46" t="s">
        <v>418</v>
      </c>
      <c r="I61" s="138" t="str">
        <f aca="false">IFERROR(VLOOKUP(TEXT(H61,"0"),IPRESS!$A$3:$B$212,2,0),"")</f>
        <v>COROSHA</v>
      </c>
      <c r="J61" s="46" t="s">
        <v>755</v>
      </c>
      <c r="K61" s="138" t="str">
        <f aca="false">IFERROR(VLOOKUP(TEXT(O61,"0"),CONDUCTORES!$A$3:$G$100,7,0),"")</f>
        <v/>
      </c>
      <c r="L61" s="44" t="n">
        <v>18.18</v>
      </c>
      <c r="M61" s="44" t="n">
        <v>15</v>
      </c>
      <c r="N61" s="139" t="n">
        <f aca="false">IFERROR(IF(L61*M61=0,"",L61*M61),"")</f>
        <v>272.7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85" t="s">
        <v>982</v>
      </c>
      <c r="S61" s="110" t="s">
        <v>983</v>
      </c>
      <c r="T61" s="46"/>
      <c r="U61" s="142" t="n">
        <v>45721</v>
      </c>
      <c r="V61" s="46"/>
      <c r="W61" s="46"/>
      <c r="X61" s="46"/>
      <c r="Y61" s="85"/>
    </row>
    <row r="62" customFormat="false" ht="15.75" hidden="false" customHeight="true" outlineLevel="0" collapsed="false">
      <c r="A62" s="106" t="n">
        <v>57</v>
      </c>
      <c r="B62" s="107" t="s">
        <v>787</v>
      </c>
      <c r="C62" s="106" t="s">
        <v>752</v>
      </c>
      <c r="D62" s="107" t="s">
        <v>984</v>
      </c>
      <c r="E62" s="136" t="s">
        <v>99</v>
      </c>
      <c r="F62" s="106" t="s">
        <v>985</v>
      </c>
      <c r="G62" s="137" t="n">
        <v>45688</v>
      </c>
      <c r="H62" s="106" t="s">
        <v>508</v>
      </c>
      <c r="I62" s="138" t="str">
        <f aca="false">IFERROR(VLOOKUP(TEXT(H62,"0"),IPRESS!$A$3:$B$212,2,0),"")</f>
        <v>LIMABAMBA</v>
      </c>
      <c r="J62" s="106" t="s">
        <v>529</v>
      </c>
      <c r="K62" s="138" t="str">
        <f aca="false">IFERROR(VLOOKUP(TEXT(O62,"0"),CONDUCTORES!$A$3:$G$100,7,0),"")</f>
        <v/>
      </c>
      <c r="L62" s="50" t="n">
        <v>20.25</v>
      </c>
      <c r="M62" s="50" t="n">
        <v>8</v>
      </c>
      <c r="N62" s="139" t="n">
        <f aca="false">IFERROR(IF(L62*M62=0,"",L62*M62),"")</f>
        <v>162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40" t="s">
        <v>982</v>
      </c>
      <c r="S62" s="107" t="s">
        <v>917</v>
      </c>
      <c r="T62" s="136"/>
      <c r="U62" s="137" t="n">
        <v>45729</v>
      </c>
      <c r="V62" s="106"/>
      <c r="W62" s="106"/>
      <c r="X62" s="106"/>
      <c r="Y62" s="85"/>
    </row>
    <row r="63" customFormat="false" ht="15.75" hidden="false" customHeight="true" outlineLevel="0" collapsed="false">
      <c r="A63" s="46" t="n">
        <v>58</v>
      </c>
      <c r="B63" s="110" t="s">
        <v>919</v>
      </c>
      <c r="C63" s="46" t="s">
        <v>752</v>
      </c>
      <c r="D63" s="110" t="s">
        <v>986</v>
      </c>
      <c r="E63" s="46" t="s">
        <v>99</v>
      </c>
      <c r="F63" s="46" t="s">
        <v>987</v>
      </c>
      <c r="G63" s="142" t="n">
        <v>45661</v>
      </c>
      <c r="H63" s="46" t="s">
        <v>407</v>
      </c>
      <c r="I63" s="138" t="str">
        <f aca="false">IFERROR(VLOOKUP(TEXT(H63,"0"),IPRESS!$A$3:$B$212,2,0),"")</f>
        <v>COCOCHO</v>
      </c>
      <c r="J63" s="46" t="s">
        <v>755</v>
      </c>
      <c r="K63" s="138" t="str">
        <f aca="false">IFERROR(VLOOKUP(TEXT(O63,"0"),CONDUCTORES!$A$3:$G$100,7,0),"")</f>
        <v/>
      </c>
      <c r="L63" s="44" t="n">
        <v>18.18</v>
      </c>
      <c r="M63" s="44" t="n">
        <v>25</v>
      </c>
      <c r="N63" s="139" t="n">
        <f aca="false">IFERROR(IF(L63*M63=0,"",L63*M63),"")</f>
        <v>454.5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85" t="s">
        <v>988</v>
      </c>
      <c r="S63" s="110" t="s">
        <v>989</v>
      </c>
      <c r="T63" s="141" t="s">
        <v>758</v>
      </c>
      <c r="U63" s="142" t="n">
        <v>45705</v>
      </c>
      <c r="V63" s="46" t="s">
        <v>990</v>
      </c>
      <c r="W63" s="46" t="s">
        <v>801</v>
      </c>
      <c r="X63" s="46" t="s">
        <v>794</v>
      </c>
      <c r="Y63" s="85"/>
    </row>
    <row r="64" customFormat="false" ht="15.75" hidden="false" customHeight="true" outlineLevel="0" collapsed="false">
      <c r="A64" s="106" t="n">
        <v>59</v>
      </c>
      <c r="B64" s="107" t="s">
        <v>844</v>
      </c>
      <c r="C64" s="106" t="s">
        <v>752</v>
      </c>
      <c r="D64" s="107" t="s">
        <v>991</v>
      </c>
      <c r="E64" s="136" t="s">
        <v>99</v>
      </c>
      <c r="F64" s="106" t="s">
        <v>992</v>
      </c>
      <c r="G64" s="137" t="n">
        <v>45671</v>
      </c>
      <c r="H64" s="106" t="s">
        <v>517</v>
      </c>
      <c r="I64" s="138" t="str">
        <f aca="false">IFERROR(VLOOKUP(TEXT(H64,"0"),IPRESS!$A$3:$B$212,2,0),"")</f>
        <v>LUYA</v>
      </c>
      <c r="J64" s="106" t="s">
        <v>755</v>
      </c>
      <c r="K64" s="138" t="str">
        <f aca="false">IFERROR(VLOOKUP(TEXT(O64,"0"),CONDUCTORES!$A$3:$G$100,7,0),"")</f>
        <v/>
      </c>
      <c r="L64" s="50" t="n">
        <v>18.18</v>
      </c>
      <c r="M64" s="50" t="n">
        <v>4</v>
      </c>
      <c r="N64" s="139" t="n">
        <f aca="false">IFERROR(IF(L64*M64=0,"",L64*M64),"")</f>
        <v>72.72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40" t="s">
        <v>993</v>
      </c>
      <c r="S64" s="107" t="s">
        <v>994</v>
      </c>
      <c r="T64" s="141" t="s">
        <v>758</v>
      </c>
      <c r="U64" s="137" t="n">
        <v>45698</v>
      </c>
      <c r="V64" s="106" t="s">
        <v>995</v>
      </c>
      <c r="W64" s="106" t="s">
        <v>801</v>
      </c>
      <c r="X64" s="106" t="s">
        <v>794</v>
      </c>
      <c r="Y64" s="85"/>
    </row>
    <row r="65" customFormat="false" ht="15.75" hidden="false" customHeight="true" outlineLevel="0" collapsed="false">
      <c r="A65" s="46" t="n">
        <v>60</v>
      </c>
      <c r="B65" s="110" t="s">
        <v>836</v>
      </c>
      <c r="C65" s="46" t="s">
        <v>752</v>
      </c>
      <c r="D65" s="110" t="s">
        <v>996</v>
      </c>
      <c r="E65" s="46" t="s">
        <v>99</v>
      </c>
      <c r="F65" s="46" t="s">
        <v>997</v>
      </c>
      <c r="G65" s="142" t="n">
        <v>45676</v>
      </c>
      <c r="H65" s="46" t="s">
        <v>517</v>
      </c>
      <c r="I65" s="138" t="str">
        <f aca="false">IFERROR(VLOOKUP(TEXT(H65,"0"),IPRESS!$A$3:$B$212,2,0),"")</f>
        <v>LUYA</v>
      </c>
      <c r="J65" s="46" t="s">
        <v>755</v>
      </c>
      <c r="K65" s="138" t="str">
        <f aca="false">IFERROR(VLOOKUP(TEXT(O65,"0"),CONDUCTORES!$A$3:$G$100,7,0),"")</f>
        <v/>
      </c>
      <c r="L65" s="44" t="n">
        <v>18.18</v>
      </c>
      <c r="M65" s="44" t="n">
        <v>4</v>
      </c>
      <c r="N65" s="139" t="n">
        <f aca="false">IFERROR(IF(L65*M65=0,"",L65*M65),"")</f>
        <v>72.72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85" t="s">
        <v>993</v>
      </c>
      <c r="S65" s="110" t="s">
        <v>998</v>
      </c>
      <c r="T65" s="141" t="s">
        <v>758</v>
      </c>
      <c r="U65" s="142" t="n">
        <v>45698</v>
      </c>
      <c r="V65" s="46" t="s">
        <v>995</v>
      </c>
      <c r="W65" s="46" t="s">
        <v>801</v>
      </c>
      <c r="X65" s="46" t="s">
        <v>794</v>
      </c>
      <c r="Y65" s="85"/>
    </row>
    <row r="66" customFormat="false" ht="15.75" hidden="false" customHeight="true" outlineLevel="0" collapsed="false">
      <c r="A66" s="106" t="n">
        <v>61</v>
      </c>
      <c r="B66" s="107" t="s">
        <v>873</v>
      </c>
      <c r="C66" s="106" t="s">
        <v>752</v>
      </c>
      <c r="D66" s="107" t="s">
        <v>999</v>
      </c>
      <c r="E66" s="136" t="s">
        <v>99</v>
      </c>
      <c r="F66" s="106" t="s">
        <v>1000</v>
      </c>
      <c r="G66" s="137" t="n">
        <v>45679</v>
      </c>
      <c r="H66" s="106" t="s">
        <v>517</v>
      </c>
      <c r="I66" s="138" t="str">
        <f aca="false">IFERROR(VLOOKUP(TEXT(H66,"0"),IPRESS!$A$3:$B$212,2,0),"")</f>
        <v>LUYA</v>
      </c>
      <c r="J66" s="106" t="s">
        <v>755</v>
      </c>
      <c r="K66" s="138" t="str">
        <f aca="false">IFERROR(VLOOKUP(TEXT(O66,"0"),CONDUCTORES!$A$3:$G$100,7,0),"")</f>
        <v/>
      </c>
      <c r="L66" s="50" t="n">
        <v>18.18</v>
      </c>
      <c r="M66" s="50" t="n">
        <v>4</v>
      </c>
      <c r="N66" s="139" t="n">
        <f aca="false">IFERROR(IF(L66*M66=0,"",L66*M66),"")</f>
        <v>72.72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40" t="s">
        <v>993</v>
      </c>
      <c r="S66" s="107" t="s">
        <v>1001</v>
      </c>
      <c r="T66" s="141" t="s">
        <v>758</v>
      </c>
      <c r="U66" s="137" t="n">
        <v>45698</v>
      </c>
      <c r="V66" s="106" t="s">
        <v>995</v>
      </c>
      <c r="W66" s="106" t="s">
        <v>801</v>
      </c>
      <c r="X66" s="106" t="s">
        <v>794</v>
      </c>
      <c r="Y66" s="85"/>
    </row>
    <row r="67" customFormat="false" ht="15.75" hidden="false" customHeight="true" outlineLevel="0" collapsed="false">
      <c r="A67" s="46" t="n">
        <v>62</v>
      </c>
      <c r="B67" s="110" t="s">
        <v>866</v>
      </c>
      <c r="C67" s="46" t="s">
        <v>752</v>
      </c>
      <c r="D67" s="110" t="s">
        <v>1002</v>
      </c>
      <c r="E67" s="46" t="s">
        <v>99</v>
      </c>
      <c r="F67" s="46" t="s">
        <v>1003</v>
      </c>
      <c r="G67" s="142" t="n">
        <v>45682</v>
      </c>
      <c r="H67" s="46" t="s">
        <v>517</v>
      </c>
      <c r="I67" s="138" t="str">
        <f aca="false">IFERROR(VLOOKUP(TEXT(H67,"0"),IPRESS!$A$3:$B$212,2,0),"")</f>
        <v>LUYA</v>
      </c>
      <c r="J67" s="46" t="s">
        <v>755</v>
      </c>
      <c r="K67" s="138" t="str">
        <f aca="false">IFERROR(VLOOKUP(TEXT(O67,"0"),CONDUCTORES!$A$3:$G$100,7,0),"")</f>
        <v/>
      </c>
      <c r="L67" s="44" t="n">
        <v>18.18</v>
      </c>
      <c r="M67" s="44" t="n">
        <v>4</v>
      </c>
      <c r="N67" s="139" t="n">
        <f aca="false">IFERROR(IF(L67*M67=0,"",L67*M67),"")</f>
        <v>72.72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85" t="s">
        <v>993</v>
      </c>
      <c r="S67" s="110" t="s">
        <v>1004</v>
      </c>
      <c r="T67" s="141" t="s">
        <v>758</v>
      </c>
      <c r="U67" s="142" t="n">
        <v>45705</v>
      </c>
      <c r="V67" s="46" t="s">
        <v>995</v>
      </c>
      <c r="W67" s="46" t="s">
        <v>801</v>
      </c>
      <c r="X67" s="46" t="s">
        <v>794</v>
      </c>
      <c r="Y67" s="85"/>
    </row>
    <row r="68" customFormat="false" ht="15.75" hidden="false" customHeight="true" outlineLevel="0" collapsed="false">
      <c r="A68" s="143" t="n">
        <v>63</v>
      </c>
      <c r="B68" s="144" t="s">
        <v>822</v>
      </c>
      <c r="C68" s="143" t="s">
        <v>752</v>
      </c>
      <c r="D68" s="144" t="s">
        <v>1005</v>
      </c>
      <c r="E68" s="143" t="s">
        <v>99</v>
      </c>
      <c r="F68" s="143" t="s">
        <v>1006</v>
      </c>
      <c r="G68" s="145" t="n">
        <v>45660</v>
      </c>
      <c r="H68" s="143" t="s">
        <v>581</v>
      </c>
      <c r="I68" s="138" t="str">
        <f aca="false">IFERROR(VLOOKUP(TEXT(H68,"0"),IPRESS!$A$3:$B$212,2,0),"")</f>
        <v>PEDRO RUIZ GALLO</v>
      </c>
      <c r="J68" s="143" t="s">
        <v>755</v>
      </c>
      <c r="K68" s="138" t="str">
        <f aca="false">IFERROR(VLOOKUP(TEXT(O68,"0"),CONDUCTORES!$A$3:$G$100,7,0),"")</f>
        <v/>
      </c>
      <c r="L68" s="146" t="n">
        <v>17.95</v>
      </c>
      <c r="M68" s="146" t="n">
        <v>6</v>
      </c>
      <c r="N68" s="139" t="n">
        <f aca="false">IFERROR(IF(L68*M68=0,"",L68*M68),"")</f>
        <v>107.7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47" t="s">
        <v>1007</v>
      </c>
      <c r="S68" s="144" t="s">
        <v>1008</v>
      </c>
      <c r="T68" s="141" t="s">
        <v>758</v>
      </c>
      <c r="U68" s="145" t="n">
        <v>45692</v>
      </c>
      <c r="V68" s="143" t="s">
        <v>1009</v>
      </c>
      <c r="W68" s="143" t="s">
        <v>1010</v>
      </c>
      <c r="X68" s="143" t="s">
        <v>1011</v>
      </c>
      <c r="Y68" s="85"/>
    </row>
    <row r="69" customFormat="false" ht="15.75" hidden="false" customHeight="true" outlineLevel="0" collapsed="false">
      <c r="A69" s="143" t="n">
        <v>64</v>
      </c>
      <c r="B69" s="144" t="s">
        <v>770</v>
      </c>
      <c r="C69" s="143" t="s">
        <v>752</v>
      </c>
      <c r="D69" s="144" t="s">
        <v>1012</v>
      </c>
      <c r="E69" s="143" t="s">
        <v>99</v>
      </c>
      <c r="F69" s="143" t="s">
        <v>1013</v>
      </c>
      <c r="G69" s="145" t="n">
        <v>45684</v>
      </c>
      <c r="H69" s="143" t="s">
        <v>581</v>
      </c>
      <c r="I69" s="138" t="str">
        <f aca="false">IFERROR(VLOOKUP(TEXT(H69,"0"),IPRESS!$A$3:$B$212,2,0),"")</f>
        <v>PEDRO RUIZ GALLO</v>
      </c>
      <c r="J69" s="143" t="s">
        <v>755</v>
      </c>
      <c r="K69" s="138" t="str">
        <f aca="false">IFERROR(VLOOKUP(TEXT(O69,"0"),CONDUCTORES!$A$3:$G$100,7,0),"")</f>
        <v/>
      </c>
      <c r="L69" s="146" t="n">
        <v>17.95</v>
      </c>
      <c r="M69" s="146" t="n">
        <v>6</v>
      </c>
      <c r="N69" s="139" t="n">
        <f aca="false">IFERROR(IF(L69*M69=0,"",L69*M69),"")</f>
        <v>107.7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147" t="s">
        <v>1007</v>
      </c>
      <c r="S69" s="144" t="s">
        <v>1014</v>
      </c>
      <c r="T69" s="141" t="s">
        <v>758</v>
      </c>
      <c r="U69" s="145" t="n">
        <v>45705</v>
      </c>
      <c r="V69" s="143" t="s">
        <v>1009</v>
      </c>
      <c r="W69" s="143" t="s">
        <v>1010</v>
      </c>
      <c r="X69" s="143" t="s">
        <v>1011</v>
      </c>
      <c r="Y69" s="85"/>
    </row>
    <row r="70" customFormat="false" ht="15.75" hidden="false" customHeight="true" outlineLevel="0" collapsed="false">
      <c r="A70" s="106" t="n">
        <v>65</v>
      </c>
      <c r="B70" s="107" t="s">
        <v>795</v>
      </c>
      <c r="C70" s="106" t="s">
        <v>752</v>
      </c>
      <c r="D70" s="107" t="s">
        <v>1015</v>
      </c>
      <c r="E70" s="136" t="s">
        <v>99</v>
      </c>
      <c r="F70" s="106" t="s">
        <v>1016</v>
      </c>
      <c r="G70" s="137" t="n">
        <v>45684</v>
      </c>
      <c r="H70" s="106" t="s">
        <v>581</v>
      </c>
      <c r="I70" s="138" t="str">
        <f aca="false">IFERROR(VLOOKUP(TEXT(H70,"0"),IPRESS!$A$3:$B$212,2,0),"")</f>
        <v>PEDRO RUIZ GALLO</v>
      </c>
      <c r="J70" s="106" t="s">
        <v>755</v>
      </c>
      <c r="K70" s="138" t="str">
        <f aca="false">IFERROR(VLOOKUP(TEXT(O70,"0"),CONDUCTORES!$A$3:$G$100,7,0),"")</f>
        <v/>
      </c>
      <c r="L70" s="50" t="n">
        <v>18.18</v>
      </c>
      <c r="M70" s="50" t="n">
        <v>6</v>
      </c>
      <c r="N70" s="139" t="n">
        <f aca="false">IFERROR(IF(L70*M70=0,"",L70*M70),"")</f>
        <v>109.08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40" t="s">
        <v>1007</v>
      </c>
      <c r="S70" s="107" t="s">
        <v>1017</v>
      </c>
      <c r="T70" s="141" t="s">
        <v>758</v>
      </c>
      <c r="U70" s="137" t="n">
        <v>45705</v>
      </c>
      <c r="V70" s="106" t="s">
        <v>792</v>
      </c>
      <c r="W70" s="106" t="s">
        <v>793</v>
      </c>
      <c r="X70" s="106" t="s">
        <v>794</v>
      </c>
      <c r="Y70" s="85"/>
    </row>
    <row r="71" customFormat="false" ht="15.75" hidden="false" customHeight="true" outlineLevel="0" collapsed="false">
      <c r="A71" s="46" t="n">
        <v>66</v>
      </c>
      <c r="B71" s="110" t="s">
        <v>774</v>
      </c>
      <c r="C71" s="46" t="s">
        <v>752</v>
      </c>
      <c r="D71" s="110" t="s">
        <v>1018</v>
      </c>
      <c r="E71" s="46" t="s">
        <v>99</v>
      </c>
      <c r="F71" s="46" t="s">
        <v>1019</v>
      </c>
      <c r="G71" s="142" t="n">
        <v>45661</v>
      </c>
      <c r="H71" s="46" t="s">
        <v>665</v>
      </c>
      <c r="I71" s="138" t="str">
        <f aca="false">IFERROR(VLOOKUP(TEXT(H71,"0"),IPRESS!$A$3:$B$212,2,0),"")</f>
        <v>SANTO TOMAS</v>
      </c>
      <c r="J71" s="46" t="s">
        <v>755</v>
      </c>
      <c r="K71" s="138" t="str">
        <f aca="false">IFERROR(VLOOKUP(TEXT(O71,"0"),CONDUCTORES!$A$3:$G$100,7,0),"")</f>
        <v/>
      </c>
      <c r="L71" s="44" t="n">
        <v>18.18</v>
      </c>
      <c r="M71" s="44" t="n">
        <v>10</v>
      </c>
      <c r="N71" s="139" t="n">
        <f aca="false">IFERROR(IF(L71*M71=0,"",L71*M71),"")</f>
        <v>181.8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85" t="s">
        <v>1020</v>
      </c>
      <c r="S71" s="110" t="s">
        <v>1021</v>
      </c>
      <c r="T71" s="141" t="s">
        <v>758</v>
      </c>
      <c r="U71" s="142" t="n">
        <v>45671</v>
      </c>
      <c r="V71" s="46" t="s">
        <v>1022</v>
      </c>
      <c r="W71" s="46" t="s">
        <v>940</v>
      </c>
      <c r="X71" s="46" t="s">
        <v>941</v>
      </c>
      <c r="Y71" s="85"/>
    </row>
    <row r="72" customFormat="false" ht="15.75" hidden="false" customHeight="true" outlineLevel="0" collapsed="false">
      <c r="A72" s="106" t="n">
        <v>67</v>
      </c>
      <c r="B72" s="107" t="s">
        <v>779</v>
      </c>
      <c r="C72" s="106" t="s">
        <v>752</v>
      </c>
      <c r="D72" s="107" t="s">
        <v>1023</v>
      </c>
      <c r="E72" s="136" t="s">
        <v>99</v>
      </c>
      <c r="F72" s="106" t="s">
        <v>1024</v>
      </c>
      <c r="G72" s="137" t="n">
        <v>45663</v>
      </c>
      <c r="H72" s="106" t="s">
        <v>665</v>
      </c>
      <c r="I72" s="138" t="str">
        <f aca="false">IFERROR(VLOOKUP(TEXT(H72,"0"),IPRESS!$A$3:$B$212,2,0),"")</f>
        <v>SANTO TOMAS</v>
      </c>
      <c r="J72" s="106" t="s">
        <v>755</v>
      </c>
      <c r="K72" s="138" t="str">
        <f aca="false">IFERROR(VLOOKUP(TEXT(O72,"0"),CONDUCTORES!$A$3:$G$100,7,0),"")</f>
        <v/>
      </c>
      <c r="L72" s="50" t="n">
        <v>18.18</v>
      </c>
      <c r="M72" s="50" t="n">
        <v>10</v>
      </c>
      <c r="N72" s="139" t="n">
        <f aca="false">IFERROR(IF(L72*M72=0,"",L72*M72),"")</f>
        <v>181.8</v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40" t="s">
        <v>1020</v>
      </c>
      <c r="S72" s="107" t="s">
        <v>815</v>
      </c>
      <c r="T72" s="141" t="s">
        <v>758</v>
      </c>
      <c r="U72" s="137" t="n">
        <v>45671</v>
      </c>
      <c r="V72" s="106" t="s">
        <v>1022</v>
      </c>
      <c r="W72" s="106" t="s">
        <v>940</v>
      </c>
      <c r="X72" s="106" t="s">
        <v>941</v>
      </c>
      <c r="Y72" s="85"/>
    </row>
    <row r="73" customFormat="false" ht="15.75" hidden="false" customHeight="true" outlineLevel="0" collapsed="false">
      <c r="A73" s="46" t="n">
        <v>68</v>
      </c>
      <c r="B73" s="110" t="s">
        <v>1025</v>
      </c>
      <c r="C73" s="46" t="s">
        <v>752</v>
      </c>
      <c r="D73" s="110" t="s">
        <v>1026</v>
      </c>
      <c r="E73" s="46" t="s">
        <v>99</v>
      </c>
      <c r="F73" s="46" t="s">
        <v>1027</v>
      </c>
      <c r="G73" s="142" t="n">
        <v>45661</v>
      </c>
      <c r="H73" s="46" t="s">
        <v>692</v>
      </c>
      <c r="I73" s="138" t="str">
        <f aca="false">IFERROR(VLOOKUP(TEXT(H73,"0"),IPRESS!$A$3:$B$212,2,0),"")</f>
        <v>TINGO</v>
      </c>
      <c r="J73" s="46" t="s">
        <v>755</v>
      </c>
      <c r="K73" s="138" t="str">
        <f aca="false">IFERROR(VLOOKUP(TEXT(O73,"0"),CONDUCTORES!$A$3:$G$100,7,0),"")</f>
        <v/>
      </c>
      <c r="L73" s="44" t="n">
        <v>18.18</v>
      </c>
      <c r="M73" s="44" t="n">
        <v>5</v>
      </c>
      <c r="N73" s="139" t="n">
        <f aca="false">IFERROR(IF(L73*M73=0,"",L73*M73),"")</f>
        <v>90.9</v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85" t="s">
        <v>1020</v>
      </c>
      <c r="S73" s="110" t="s">
        <v>1028</v>
      </c>
      <c r="T73" s="141" t="s">
        <v>758</v>
      </c>
      <c r="U73" s="142" t="n">
        <v>45671</v>
      </c>
      <c r="V73" s="46" t="s">
        <v>1029</v>
      </c>
      <c r="W73" s="46" t="s">
        <v>940</v>
      </c>
      <c r="X73" s="46" t="s">
        <v>941</v>
      </c>
      <c r="Y73" s="85"/>
    </row>
    <row r="74" customFormat="false" ht="15.75" hidden="false" customHeight="true" outlineLevel="0" collapsed="false">
      <c r="A74" s="106" t="n">
        <v>69</v>
      </c>
      <c r="B74" s="107" t="s">
        <v>1030</v>
      </c>
      <c r="C74" s="106" t="s">
        <v>752</v>
      </c>
      <c r="D74" s="107" t="s">
        <v>1031</v>
      </c>
      <c r="E74" s="136" t="s">
        <v>99</v>
      </c>
      <c r="F74" s="106" t="s">
        <v>1032</v>
      </c>
      <c r="G74" s="137" t="n">
        <v>45663</v>
      </c>
      <c r="H74" s="106" t="s">
        <v>692</v>
      </c>
      <c r="I74" s="138" t="str">
        <f aca="false">IFERROR(VLOOKUP(TEXT(H74,"0"),IPRESS!$A$3:$B$212,2,0),"")</f>
        <v>TINGO</v>
      </c>
      <c r="J74" s="106" t="s">
        <v>755</v>
      </c>
      <c r="K74" s="138" t="str">
        <f aca="false">IFERROR(VLOOKUP(TEXT(O74,"0"),CONDUCTORES!$A$3:$G$100,7,0),"")</f>
        <v/>
      </c>
      <c r="L74" s="50" t="n">
        <v>18.18</v>
      </c>
      <c r="M74" s="50" t="n">
        <v>5</v>
      </c>
      <c r="N74" s="139" t="n">
        <f aca="false">IFERROR(IF(L74*M74=0,"",L74*M74),"")</f>
        <v>90.9</v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40" t="s">
        <v>1020</v>
      </c>
      <c r="S74" s="107" t="s">
        <v>1033</v>
      </c>
      <c r="T74" s="141" t="s">
        <v>758</v>
      </c>
      <c r="U74" s="137" t="n">
        <v>45671</v>
      </c>
      <c r="V74" s="106" t="s">
        <v>1029</v>
      </c>
      <c r="W74" s="106" t="s">
        <v>940</v>
      </c>
      <c r="X74" s="106" t="s">
        <v>941</v>
      </c>
      <c r="Y74" s="85"/>
    </row>
    <row r="75" customFormat="false" ht="15.75" hidden="false" customHeight="true" outlineLevel="0" collapsed="false">
      <c r="A75" s="143" t="n">
        <v>70</v>
      </c>
      <c r="B75" s="144" t="s">
        <v>1034</v>
      </c>
      <c r="C75" s="143" t="s">
        <v>752</v>
      </c>
      <c r="D75" s="144" t="s">
        <v>1035</v>
      </c>
      <c r="E75" s="143" t="s">
        <v>99</v>
      </c>
      <c r="F75" s="143" t="s">
        <v>1036</v>
      </c>
      <c r="G75" s="145" t="n">
        <v>45660</v>
      </c>
      <c r="H75" s="143" t="s">
        <v>581</v>
      </c>
      <c r="I75" s="138" t="str">
        <f aca="false">IFERROR(VLOOKUP(TEXT(H75,"0"),IPRESS!$A$3:$B$212,2,0),"")</f>
        <v>PEDRO RUIZ GALLO</v>
      </c>
      <c r="J75" s="143" t="s">
        <v>755</v>
      </c>
      <c r="K75" s="138" t="str">
        <f aca="false">IFERROR(VLOOKUP(TEXT(O75,"0"),CONDUCTORES!$A$3:$G$100,7,0),"")</f>
        <v/>
      </c>
      <c r="L75" s="146" t="n">
        <v>17.95</v>
      </c>
      <c r="M75" s="146" t="n">
        <v>6</v>
      </c>
      <c r="N75" s="139" t="n">
        <f aca="false">IFERROR(IF(L75*M75=0,"",L75*M75),"")</f>
        <v>107.7</v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147" t="s">
        <v>1037</v>
      </c>
      <c r="S75" s="144" t="s">
        <v>1038</v>
      </c>
      <c r="T75" s="141" t="s">
        <v>758</v>
      </c>
      <c r="U75" s="145" t="n">
        <v>45677</v>
      </c>
      <c r="V75" s="143" t="s">
        <v>1039</v>
      </c>
      <c r="W75" s="143" t="s">
        <v>940</v>
      </c>
      <c r="X75" s="143" t="s">
        <v>1040</v>
      </c>
      <c r="Y75" s="85"/>
    </row>
    <row r="76" customFormat="false" ht="15.75" hidden="false" customHeight="true" outlineLevel="0" collapsed="false">
      <c r="A76" s="143" t="n">
        <v>71</v>
      </c>
      <c r="B76" s="144" t="s">
        <v>1041</v>
      </c>
      <c r="C76" s="143" t="s">
        <v>752</v>
      </c>
      <c r="D76" s="144" t="s">
        <v>1042</v>
      </c>
      <c r="E76" s="143" t="s">
        <v>99</v>
      </c>
      <c r="F76" s="143" t="s">
        <v>1043</v>
      </c>
      <c r="G76" s="145" t="n">
        <v>45667</v>
      </c>
      <c r="H76" s="143" t="s">
        <v>581</v>
      </c>
      <c r="I76" s="138" t="str">
        <f aca="false">IFERROR(VLOOKUP(TEXT(H76,"0"),IPRESS!$A$3:$B$212,2,0),"")</f>
        <v>PEDRO RUIZ GALLO</v>
      </c>
      <c r="J76" s="143" t="s">
        <v>755</v>
      </c>
      <c r="K76" s="138" t="str">
        <f aca="false">IFERROR(VLOOKUP(TEXT(O76,"0"),CONDUCTORES!$A$3:$G$100,7,0),"")</f>
        <v/>
      </c>
      <c r="L76" s="146" t="n">
        <v>17.95</v>
      </c>
      <c r="M76" s="146" t="n">
        <v>6</v>
      </c>
      <c r="N76" s="139" t="n">
        <f aca="false">IFERROR(IF(L76*M76=0,"",L76*M76),"")</f>
        <v>107.7</v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47" t="s">
        <v>1037</v>
      </c>
      <c r="S76" s="144" t="s">
        <v>1044</v>
      </c>
      <c r="T76" s="141" t="s">
        <v>758</v>
      </c>
      <c r="U76" s="145" t="n">
        <v>45677</v>
      </c>
      <c r="V76" s="143" t="s">
        <v>1039</v>
      </c>
      <c r="W76" s="143" t="s">
        <v>940</v>
      </c>
      <c r="X76" s="143" t="s">
        <v>1040</v>
      </c>
      <c r="Y76" s="85"/>
    </row>
    <row r="77" customFormat="false" ht="15.75" hidden="false" customHeight="true" outlineLevel="0" collapsed="false">
      <c r="A77" s="143" t="n">
        <v>72</v>
      </c>
      <c r="B77" s="144" t="s">
        <v>1045</v>
      </c>
      <c r="C77" s="143" t="s">
        <v>752</v>
      </c>
      <c r="D77" s="144" t="s">
        <v>1046</v>
      </c>
      <c r="E77" s="143" t="s">
        <v>99</v>
      </c>
      <c r="F77" s="143" t="s">
        <v>1047</v>
      </c>
      <c r="G77" s="145" t="n">
        <v>45667</v>
      </c>
      <c r="H77" s="143" t="s">
        <v>581</v>
      </c>
      <c r="I77" s="138" t="str">
        <f aca="false">IFERROR(VLOOKUP(TEXT(H77,"0"),IPRESS!$A$3:$B$212,2,0),"")</f>
        <v>PEDRO RUIZ GALLO</v>
      </c>
      <c r="J77" s="143" t="s">
        <v>755</v>
      </c>
      <c r="K77" s="138" t="str">
        <f aca="false">IFERROR(VLOOKUP(TEXT(O77,"0"),CONDUCTORES!$A$3:$G$100,7,0),"")</f>
        <v/>
      </c>
      <c r="L77" s="146" t="n">
        <v>17.95</v>
      </c>
      <c r="M77" s="146" t="n">
        <v>6</v>
      </c>
      <c r="N77" s="139" t="n">
        <f aca="false">IFERROR(IF(L77*M77=0,"",L77*M77),"")</f>
        <v>107.7</v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147" t="s">
        <v>1037</v>
      </c>
      <c r="S77" s="144" t="s">
        <v>1048</v>
      </c>
      <c r="T77" s="141" t="s">
        <v>758</v>
      </c>
      <c r="U77" s="145" t="n">
        <v>45677</v>
      </c>
      <c r="V77" s="143" t="s">
        <v>1039</v>
      </c>
      <c r="W77" s="143" t="s">
        <v>940</v>
      </c>
      <c r="X77" s="143" t="s">
        <v>1040</v>
      </c>
      <c r="Y77" s="85"/>
    </row>
    <row r="78" customFormat="false" ht="15.75" hidden="false" customHeight="true" outlineLevel="0" collapsed="false">
      <c r="A78" s="143" t="n">
        <v>73</v>
      </c>
      <c r="B78" s="144" t="s">
        <v>1049</v>
      </c>
      <c r="C78" s="143" t="s">
        <v>752</v>
      </c>
      <c r="D78" s="144" t="s">
        <v>1050</v>
      </c>
      <c r="E78" s="143" t="s">
        <v>99</v>
      </c>
      <c r="F78" s="143" t="s">
        <v>1051</v>
      </c>
      <c r="G78" s="145" t="n">
        <v>45668</v>
      </c>
      <c r="H78" s="143" t="s">
        <v>581</v>
      </c>
      <c r="I78" s="138" t="str">
        <f aca="false">IFERROR(VLOOKUP(TEXT(H78,"0"),IPRESS!$A$3:$B$212,2,0),"")</f>
        <v>PEDRO RUIZ GALLO</v>
      </c>
      <c r="J78" s="143" t="s">
        <v>755</v>
      </c>
      <c r="K78" s="138" t="str">
        <f aca="false">IFERROR(VLOOKUP(TEXT(O78,"0"),CONDUCTORES!$A$3:$G$100,7,0),"")</f>
        <v/>
      </c>
      <c r="L78" s="146" t="n">
        <v>17.95</v>
      </c>
      <c r="M78" s="146" t="n">
        <v>6</v>
      </c>
      <c r="N78" s="139" t="n">
        <f aca="false">IFERROR(IF(L78*M78=0,"",L78*M78),"")</f>
        <v>107.7</v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47" t="s">
        <v>1037</v>
      </c>
      <c r="S78" s="144" t="s">
        <v>1052</v>
      </c>
      <c r="T78" s="141" t="s">
        <v>758</v>
      </c>
      <c r="U78" s="145" t="n">
        <v>45677</v>
      </c>
      <c r="V78" s="143" t="s">
        <v>1039</v>
      </c>
      <c r="W78" s="143" t="s">
        <v>940</v>
      </c>
      <c r="X78" s="143" t="s">
        <v>1040</v>
      </c>
      <c r="Y78" s="85"/>
    </row>
    <row r="79" customFormat="false" ht="15.75" hidden="false" customHeight="true" outlineLevel="0" collapsed="false">
      <c r="A79" s="143" t="n">
        <v>74</v>
      </c>
      <c r="B79" s="144" t="s">
        <v>914</v>
      </c>
      <c r="C79" s="143" t="s">
        <v>752</v>
      </c>
      <c r="D79" s="144" t="s">
        <v>1053</v>
      </c>
      <c r="E79" s="143" t="s">
        <v>99</v>
      </c>
      <c r="F79" s="143" t="s">
        <v>1054</v>
      </c>
      <c r="G79" s="145" t="n">
        <v>45671</v>
      </c>
      <c r="H79" s="143" t="s">
        <v>581</v>
      </c>
      <c r="I79" s="138" t="str">
        <f aca="false">IFERROR(VLOOKUP(TEXT(H79,"0"),IPRESS!$A$3:$B$212,2,0),"")</f>
        <v>PEDRO RUIZ GALLO</v>
      </c>
      <c r="J79" s="143" t="s">
        <v>755</v>
      </c>
      <c r="K79" s="138" t="str">
        <f aca="false">IFERROR(VLOOKUP(TEXT(O79,"0"),CONDUCTORES!$A$3:$G$100,7,0),"")</f>
        <v/>
      </c>
      <c r="L79" s="146" t="n">
        <v>17.95</v>
      </c>
      <c r="M79" s="146" t="n">
        <v>6</v>
      </c>
      <c r="N79" s="139" t="n">
        <f aca="false">IFERROR(IF(L79*M79=0,"",L79*M79),"")</f>
        <v>107.7</v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147" t="s">
        <v>1037</v>
      </c>
      <c r="S79" s="144" t="s">
        <v>1055</v>
      </c>
      <c r="T79" s="141" t="s">
        <v>758</v>
      </c>
      <c r="U79" s="145" t="n">
        <v>45677</v>
      </c>
      <c r="V79" s="143" t="s">
        <v>1039</v>
      </c>
      <c r="W79" s="143" t="s">
        <v>940</v>
      </c>
      <c r="X79" s="143" t="s">
        <v>1040</v>
      </c>
      <c r="Y79" s="85"/>
    </row>
    <row r="80" customFormat="false" ht="15.75" hidden="false" customHeight="true" outlineLevel="0" collapsed="false">
      <c r="A80" s="106" t="n">
        <v>75</v>
      </c>
      <c r="B80" s="107" t="s">
        <v>770</v>
      </c>
      <c r="C80" s="106" t="s">
        <v>752</v>
      </c>
      <c r="D80" s="107" t="s">
        <v>1056</v>
      </c>
      <c r="E80" s="136" t="s">
        <v>99</v>
      </c>
      <c r="F80" s="106" t="s">
        <v>1057</v>
      </c>
      <c r="G80" s="137" t="n">
        <v>45664</v>
      </c>
      <c r="H80" s="106" t="s">
        <v>659</v>
      </c>
      <c r="I80" s="138" t="str">
        <f aca="false">IFERROR(VLOOKUP(TEXT(H80,"0"),IPRESS!$A$3:$B$212,2,0),"")</f>
        <v>SAN SALVADOR</v>
      </c>
      <c r="J80" s="106" t="s">
        <v>755</v>
      </c>
      <c r="K80" s="138" t="str">
        <f aca="false">IFERROR(VLOOKUP(TEXT(O80,"0"),CONDUCTORES!$A$3:$G$100,7,0),"")</f>
        <v/>
      </c>
      <c r="L80" s="50" t="n">
        <v>18.18</v>
      </c>
      <c r="M80" s="50" t="n">
        <v>10</v>
      </c>
      <c r="N80" s="139" t="n">
        <f aca="false">IFERROR(IF(L80*M80=0,"",L80*M80),"")</f>
        <v>181.8</v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40" t="s">
        <v>1037</v>
      </c>
      <c r="S80" s="107" t="s">
        <v>1058</v>
      </c>
      <c r="T80" s="141" t="s">
        <v>758</v>
      </c>
      <c r="U80" s="137" t="n">
        <v>45677</v>
      </c>
      <c r="V80" s="106" t="s">
        <v>1059</v>
      </c>
      <c r="W80" s="106" t="s">
        <v>940</v>
      </c>
      <c r="X80" s="106" t="s">
        <v>941</v>
      </c>
      <c r="Y80" s="85"/>
    </row>
    <row r="81" customFormat="false" ht="15.75" hidden="false" customHeight="true" outlineLevel="0" collapsed="false">
      <c r="A81" s="46" t="n">
        <v>76</v>
      </c>
      <c r="B81" s="110" t="s">
        <v>1060</v>
      </c>
      <c r="C81" s="46" t="s">
        <v>752</v>
      </c>
      <c r="D81" s="110" t="s">
        <v>1061</v>
      </c>
      <c r="E81" s="46" t="s">
        <v>99</v>
      </c>
      <c r="F81" s="46" t="s">
        <v>1062</v>
      </c>
      <c r="G81" s="142" t="n">
        <v>45663</v>
      </c>
      <c r="H81" s="46" t="s">
        <v>692</v>
      </c>
      <c r="I81" s="138" t="str">
        <f aca="false">IFERROR(VLOOKUP(TEXT(H81,"0"),IPRESS!$A$3:$B$212,2,0),"")</f>
        <v>TINGO</v>
      </c>
      <c r="J81" s="46" t="s">
        <v>755</v>
      </c>
      <c r="K81" s="138" t="str">
        <f aca="false">IFERROR(VLOOKUP(TEXT(O81,"0"),CONDUCTORES!$A$3:$G$100,7,0),"")</f>
        <v/>
      </c>
      <c r="L81" s="44" t="n">
        <v>18.18</v>
      </c>
      <c r="M81" s="44" t="n">
        <v>5</v>
      </c>
      <c r="N81" s="139" t="n">
        <f aca="false">IFERROR(IF(L81*M81=0,"",L81*M81),"")</f>
        <v>90.9</v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85" t="s">
        <v>1037</v>
      </c>
      <c r="S81" s="110" t="s">
        <v>1033</v>
      </c>
      <c r="T81" s="141" t="s">
        <v>758</v>
      </c>
      <c r="U81" s="142" t="n">
        <v>45677</v>
      </c>
      <c r="V81" s="46" t="s">
        <v>1063</v>
      </c>
      <c r="W81" s="46" t="s">
        <v>940</v>
      </c>
      <c r="X81" s="46" t="s">
        <v>941</v>
      </c>
      <c r="Y81" s="85"/>
    </row>
    <row r="82" customFormat="false" ht="15.75" hidden="false" customHeight="true" outlineLevel="0" collapsed="false">
      <c r="A82" s="106" t="n">
        <v>77</v>
      </c>
      <c r="B82" s="107" t="s">
        <v>1064</v>
      </c>
      <c r="C82" s="106" t="s">
        <v>752</v>
      </c>
      <c r="D82" s="107" t="s">
        <v>1065</v>
      </c>
      <c r="E82" s="136" t="s">
        <v>99</v>
      </c>
      <c r="F82" s="106" t="s">
        <v>1066</v>
      </c>
      <c r="G82" s="137" t="n">
        <v>45673</v>
      </c>
      <c r="H82" s="106" t="s">
        <v>529</v>
      </c>
      <c r="I82" s="138" t="str">
        <f aca="false">IFERROR(VLOOKUP(TEXT(H82,"0"),IPRESS!$A$3:$B$212,2,0),"")</f>
        <v>MARIA AUXILIADORA</v>
      </c>
      <c r="J82" s="106" t="s">
        <v>755</v>
      </c>
      <c r="K82" s="138" t="str">
        <f aca="false">IFERROR(VLOOKUP(TEXT(O82,"0"),CONDUCTORES!$A$3:$G$100,7,0),"")</f>
        <v/>
      </c>
      <c r="L82" s="50" t="n">
        <v>20.25</v>
      </c>
      <c r="M82" s="50" t="n">
        <v>7</v>
      </c>
      <c r="N82" s="139" t="n">
        <f aca="false">IFERROR(IF(L82*M82=0,"",L82*M82),"")</f>
        <v>141.75</v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40" t="s">
        <v>1067</v>
      </c>
      <c r="S82" s="107" t="s">
        <v>1044</v>
      </c>
      <c r="T82" s="141" t="s">
        <v>758</v>
      </c>
      <c r="U82" s="137" t="n">
        <v>45680</v>
      </c>
      <c r="V82" s="106" t="s">
        <v>1068</v>
      </c>
      <c r="W82" s="106" t="s">
        <v>1069</v>
      </c>
      <c r="X82" s="106" t="s">
        <v>1070</v>
      </c>
      <c r="Y82" s="85"/>
    </row>
    <row r="83" customFormat="false" ht="15.75" hidden="false" customHeight="true" outlineLevel="0" collapsed="false">
      <c r="A83" s="46" t="n">
        <v>78</v>
      </c>
      <c r="B83" s="110" t="s">
        <v>934</v>
      </c>
      <c r="C83" s="46" t="s">
        <v>752</v>
      </c>
      <c r="D83" s="110" t="s">
        <v>1071</v>
      </c>
      <c r="E83" s="46" t="s">
        <v>99</v>
      </c>
      <c r="F83" s="46" t="s">
        <v>1072</v>
      </c>
      <c r="G83" s="142" t="n">
        <v>45667</v>
      </c>
      <c r="H83" s="46" t="s">
        <v>529</v>
      </c>
      <c r="I83" s="138" t="str">
        <f aca="false">IFERROR(VLOOKUP(TEXT(H83,"0"),IPRESS!$A$3:$B$212,2,0),"")</f>
        <v>MARIA AUXILIADORA</v>
      </c>
      <c r="J83" s="46" t="s">
        <v>755</v>
      </c>
      <c r="K83" s="138" t="str">
        <f aca="false">IFERROR(VLOOKUP(TEXT(O83,"0"),CONDUCTORES!$A$3:$G$100,7,0),"")</f>
        <v/>
      </c>
      <c r="L83" s="44" t="n">
        <v>20.25</v>
      </c>
      <c r="M83" s="44" t="n">
        <v>7</v>
      </c>
      <c r="N83" s="139" t="n">
        <f aca="false">IFERROR(IF(L83*M83=0,"",L83*M83),"")</f>
        <v>141.75</v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85" t="s">
        <v>1067</v>
      </c>
      <c r="S83" s="110" t="s">
        <v>1073</v>
      </c>
      <c r="T83" s="141" t="s">
        <v>758</v>
      </c>
      <c r="U83" s="142" t="n">
        <v>45680</v>
      </c>
      <c r="V83" s="46" t="s">
        <v>1068</v>
      </c>
      <c r="W83" s="46" t="s">
        <v>1069</v>
      </c>
      <c r="X83" s="46" t="s">
        <v>1070</v>
      </c>
      <c r="Y83" s="85"/>
    </row>
    <row r="84" customFormat="false" ht="15.75" hidden="false" customHeight="true" outlineLevel="0" collapsed="false">
      <c r="A84" s="106" t="n">
        <v>79</v>
      </c>
      <c r="B84" s="107" t="s">
        <v>1074</v>
      </c>
      <c r="C84" s="106" t="s">
        <v>752</v>
      </c>
      <c r="D84" s="107" t="s">
        <v>1075</v>
      </c>
      <c r="E84" s="136" t="s">
        <v>99</v>
      </c>
      <c r="F84" s="106" t="s">
        <v>1076</v>
      </c>
      <c r="G84" s="137" t="n">
        <v>45666</v>
      </c>
      <c r="H84" s="106" t="s">
        <v>529</v>
      </c>
      <c r="I84" s="138" t="str">
        <f aca="false">IFERROR(VLOOKUP(TEXT(H84,"0"),IPRESS!$A$3:$B$212,2,0),"")</f>
        <v>MARIA AUXILIADORA</v>
      </c>
      <c r="J84" s="106" t="s">
        <v>755</v>
      </c>
      <c r="K84" s="138" t="str">
        <f aca="false">IFERROR(VLOOKUP(TEXT(O84,"0"),CONDUCTORES!$A$3:$G$100,7,0),"")</f>
        <v/>
      </c>
      <c r="L84" s="50" t="n">
        <v>20.25</v>
      </c>
      <c r="M84" s="50" t="n">
        <v>7</v>
      </c>
      <c r="N84" s="139" t="n">
        <f aca="false">IFERROR(IF(L84*M84=0,"",L84*M84),"")</f>
        <v>141.75</v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40" t="s">
        <v>1067</v>
      </c>
      <c r="S84" s="107" t="s">
        <v>1077</v>
      </c>
      <c r="T84" s="141" t="s">
        <v>758</v>
      </c>
      <c r="U84" s="137" t="n">
        <v>45680</v>
      </c>
      <c r="V84" s="106" t="s">
        <v>1068</v>
      </c>
      <c r="W84" s="106" t="s">
        <v>1069</v>
      </c>
      <c r="X84" s="106" t="s">
        <v>1070</v>
      </c>
      <c r="Y84" s="85"/>
    </row>
    <row r="85" customFormat="false" ht="15.75" hidden="false" customHeight="true" outlineLevel="0" collapsed="false">
      <c r="A85" s="46" t="n">
        <v>80</v>
      </c>
      <c r="B85" s="110" t="s">
        <v>1078</v>
      </c>
      <c r="C85" s="46" t="s">
        <v>752</v>
      </c>
      <c r="D85" s="110" t="s">
        <v>1079</v>
      </c>
      <c r="E85" s="46" t="s">
        <v>99</v>
      </c>
      <c r="F85" s="46" t="s">
        <v>1080</v>
      </c>
      <c r="G85" s="142" t="n">
        <v>45669</v>
      </c>
      <c r="H85" s="46" t="s">
        <v>529</v>
      </c>
      <c r="I85" s="138" t="str">
        <f aca="false">IFERROR(VLOOKUP(TEXT(H85,"0"),IPRESS!$A$3:$B$212,2,0),"")</f>
        <v>MARIA AUXILIADORA</v>
      </c>
      <c r="J85" s="46" t="s">
        <v>755</v>
      </c>
      <c r="K85" s="138" t="str">
        <f aca="false">IFERROR(VLOOKUP(TEXT(O85,"0"),CONDUCTORES!$A$3:$G$100,7,0),"")</f>
        <v/>
      </c>
      <c r="L85" s="44" t="n">
        <v>20.25</v>
      </c>
      <c r="M85" s="44" t="n">
        <v>7</v>
      </c>
      <c r="N85" s="139" t="n">
        <f aca="false">IFERROR(IF(L85*M85=0,"",L85*M85),"")</f>
        <v>141.75</v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85" t="s">
        <v>1067</v>
      </c>
      <c r="S85" s="110" t="s">
        <v>1081</v>
      </c>
      <c r="T85" s="141" t="s">
        <v>758</v>
      </c>
      <c r="U85" s="142" t="n">
        <v>45680</v>
      </c>
      <c r="V85" s="46" t="s">
        <v>1068</v>
      </c>
      <c r="W85" s="46" t="s">
        <v>1069</v>
      </c>
      <c r="X85" s="46" t="s">
        <v>1070</v>
      </c>
      <c r="Y85" s="85"/>
    </row>
    <row r="86" customFormat="false" ht="15.75" hidden="false" customHeight="true" outlineLevel="0" collapsed="false">
      <c r="A86" s="106" t="n">
        <v>81</v>
      </c>
      <c r="B86" s="107" t="s">
        <v>1082</v>
      </c>
      <c r="C86" s="106" t="s">
        <v>752</v>
      </c>
      <c r="D86" s="107" t="s">
        <v>1083</v>
      </c>
      <c r="E86" s="136" t="s">
        <v>99</v>
      </c>
      <c r="F86" s="106" t="s">
        <v>1084</v>
      </c>
      <c r="G86" s="137" t="n">
        <v>45663</v>
      </c>
      <c r="H86" s="106" t="s">
        <v>529</v>
      </c>
      <c r="I86" s="138" t="str">
        <f aca="false">IFERROR(VLOOKUP(TEXT(H86,"0"),IPRESS!$A$3:$B$212,2,0),"")</f>
        <v>MARIA AUXILIADORA</v>
      </c>
      <c r="J86" s="106" t="s">
        <v>755</v>
      </c>
      <c r="K86" s="138" t="str">
        <f aca="false">IFERROR(VLOOKUP(TEXT(O86,"0"),CONDUCTORES!$A$3:$G$100,7,0),"")</f>
        <v/>
      </c>
      <c r="L86" s="50" t="n">
        <v>20.25</v>
      </c>
      <c r="M86" s="50" t="n">
        <v>7</v>
      </c>
      <c r="N86" s="139" t="n">
        <f aca="false">IFERROR(IF(L86*M86=0,"",L86*M86),"")</f>
        <v>141.75</v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40" t="s">
        <v>1067</v>
      </c>
      <c r="S86" s="107" t="s">
        <v>1085</v>
      </c>
      <c r="T86" s="141" t="s">
        <v>758</v>
      </c>
      <c r="U86" s="137" t="n">
        <v>45680</v>
      </c>
      <c r="V86" s="106" t="s">
        <v>1068</v>
      </c>
      <c r="W86" s="106" t="s">
        <v>1069</v>
      </c>
      <c r="X86" s="106" t="s">
        <v>1070</v>
      </c>
      <c r="Y86" s="85"/>
    </row>
    <row r="87" customFormat="false" ht="15.75" hidden="false" customHeight="true" outlineLevel="0" collapsed="false">
      <c r="A87" s="46" t="n">
        <v>82</v>
      </c>
      <c r="B87" s="110" t="s">
        <v>1086</v>
      </c>
      <c r="C87" s="46" t="s">
        <v>752</v>
      </c>
      <c r="D87" s="110" t="s">
        <v>1087</v>
      </c>
      <c r="E87" s="46" t="s">
        <v>99</v>
      </c>
      <c r="F87" s="46" t="s">
        <v>1088</v>
      </c>
      <c r="G87" s="142" t="n">
        <v>45663</v>
      </c>
      <c r="H87" s="46" t="s">
        <v>529</v>
      </c>
      <c r="I87" s="138" t="str">
        <f aca="false">IFERROR(VLOOKUP(TEXT(H87,"0"),IPRESS!$A$3:$B$212,2,0),"")</f>
        <v>MARIA AUXILIADORA</v>
      </c>
      <c r="J87" s="46" t="s">
        <v>755</v>
      </c>
      <c r="K87" s="138" t="str">
        <f aca="false">IFERROR(VLOOKUP(TEXT(O87,"0"),CONDUCTORES!$A$3:$G$100,7,0),"")</f>
        <v/>
      </c>
      <c r="L87" s="44" t="n">
        <v>20.25</v>
      </c>
      <c r="M87" s="44" t="n">
        <v>7</v>
      </c>
      <c r="N87" s="139" t="n">
        <f aca="false">IFERROR(IF(L87*M87=0,"",L87*M87),"")</f>
        <v>141.75</v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85" t="s">
        <v>1067</v>
      </c>
      <c r="S87" s="110" t="s">
        <v>1089</v>
      </c>
      <c r="T87" s="141" t="s">
        <v>758</v>
      </c>
      <c r="U87" s="142" t="n">
        <v>45680</v>
      </c>
      <c r="V87" s="46" t="s">
        <v>1068</v>
      </c>
      <c r="W87" s="46" t="s">
        <v>1069</v>
      </c>
      <c r="X87" s="46" t="s">
        <v>1070</v>
      </c>
      <c r="Y87" s="85"/>
    </row>
    <row r="88" customFormat="false" ht="15.75" hidden="false" customHeight="true" outlineLevel="0" collapsed="false">
      <c r="A88" s="106" t="n">
        <v>83</v>
      </c>
      <c r="B88" s="107" t="s">
        <v>1090</v>
      </c>
      <c r="C88" s="106" t="s">
        <v>752</v>
      </c>
      <c r="D88" s="107" t="s">
        <v>1091</v>
      </c>
      <c r="E88" s="136" t="s">
        <v>99</v>
      </c>
      <c r="F88" s="106" t="s">
        <v>1092</v>
      </c>
      <c r="G88" s="137" t="n">
        <v>45662</v>
      </c>
      <c r="H88" s="106" t="s">
        <v>529</v>
      </c>
      <c r="I88" s="138" t="str">
        <f aca="false">IFERROR(VLOOKUP(TEXT(H88,"0"),IPRESS!$A$3:$B$212,2,0),"")</f>
        <v>MARIA AUXILIADORA</v>
      </c>
      <c r="J88" s="106" t="s">
        <v>755</v>
      </c>
      <c r="K88" s="138" t="str">
        <f aca="false">IFERROR(VLOOKUP(TEXT(O88,"0"),CONDUCTORES!$A$3:$G$100,7,0),"")</f>
        <v/>
      </c>
      <c r="L88" s="50" t="n">
        <v>20.25</v>
      </c>
      <c r="M88" s="50" t="n">
        <v>7</v>
      </c>
      <c r="N88" s="139" t="n">
        <f aca="false">IFERROR(IF(L88*M88=0,"",L88*M88),"")</f>
        <v>141.75</v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40" t="s">
        <v>1067</v>
      </c>
      <c r="S88" s="107" t="s">
        <v>1093</v>
      </c>
      <c r="T88" s="141" t="s">
        <v>758</v>
      </c>
      <c r="U88" s="137" t="n">
        <v>45680</v>
      </c>
      <c r="V88" s="106" t="s">
        <v>1068</v>
      </c>
      <c r="W88" s="106" t="s">
        <v>1069</v>
      </c>
      <c r="X88" s="106" t="s">
        <v>1070</v>
      </c>
      <c r="Y88" s="85"/>
    </row>
    <row r="89" customFormat="false" ht="15.75" hidden="false" customHeight="true" outlineLevel="0" collapsed="false">
      <c r="A89" s="46" t="n">
        <v>84</v>
      </c>
      <c r="B89" s="110" t="s">
        <v>1094</v>
      </c>
      <c r="C89" s="46" t="s">
        <v>752</v>
      </c>
      <c r="D89" s="110" t="s">
        <v>1095</v>
      </c>
      <c r="E89" s="46" t="s">
        <v>99</v>
      </c>
      <c r="F89" s="46" t="s">
        <v>1096</v>
      </c>
      <c r="G89" s="142" t="n">
        <v>45661</v>
      </c>
      <c r="H89" s="46" t="s">
        <v>529</v>
      </c>
      <c r="I89" s="138" t="str">
        <f aca="false">IFERROR(VLOOKUP(TEXT(H89,"0"),IPRESS!$A$3:$B$212,2,0),"")</f>
        <v>MARIA AUXILIADORA</v>
      </c>
      <c r="J89" s="46" t="s">
        <v>755</v>
      </c>
      <c r="K89" s="138" t="str">
        <f aca="false">IFERROR(VLOOKUP(TEXT(O89,"0"),CONDUCTORES!$A$3:$G$100,7,0),"")</f>
        <v/>
      </c>
      <c r="L89" s="44" t="n">
        <v>20.25</v>
      </c>
      <c r="M89" s="44" t="n">
        <v>7</v>
      </c>
      <c r="N89" s="139" t="n">
        <f aca="false">IFERROR(IF(L89*M89=0,"",L89*M89),"")</f>
        <v>141.75</v>
      </c>
      <c r="O89" s="140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85" t="s">
        <v>1067</v>
      </c>
      <c r="S89" s="110" t="s">
        <v>1073</v>
      </c>
      <c r="T89" s="141" t="s">
        <v>758</v>
      </c>
      <c r="U89" s="142" t="n">
        <v>45680</v>
      </c>
      <c r="V89" s="46" t="s">
        <v>1068</v>
      </c>
      <c r="W89" s="46" t="s">
        <v>1069</v>
      </c>
      <c r="X89" s="46" t="s">
        <v>1070</v>
      </c>
      <c r="Y89" s="85"/>
    </row>
    <row r="90" customFormat="false" ht="15.75" hidden="false" customHeight="true" outlineLevel="0" collapsed="false">
      <c r="A90" s="106" t="n">
        <v>85</v>
      </c>
      <c r="B90" s="107" t="s">
        <v>1097</v>
      </c>
      <c r="C90" s="106" t="s">
        <v>752</v>
      </c>
      <c r="D90" s="107" t="s">
        <v>1098</v>
      </c>
      <c r="E90" s="136" t="s">
        <v>99</v>
      </c>
      <c r="F90" s="106" t="s">
        <v>1099</v>
      </c>
      <c r="G90" s="137" t="n">
        <v>45660</v>
      </c>
      <c r="H90" s="106" t="s">
        <v>529</v>
      </c>
      <c r="I90" s="138" t="str">
        <f aca="false">IFERROR(VLOOKUP(TEXT(H90,"0"),IPRESS!$A$3:$B$212,2,0),"")</f>
        <v>MARIA AUXILIADORA</v>
      </c>
      <c r="J90" s="106" t="s">
        <v>755</v>
      </c>
      <c r="K90" s="138" t="str">
        <f aca="false">IFERROR(VLOOKUP(TEXT(O90,"0"),CONDUCTORES!$A$3:$G$100,7,0),"")</f>
        <v/>
      </c>
      <c r="L90" s="50" t="n">
        <v>20.25</v>
      </c>
      <c r="M90" s="50" t="n">
        <v>7</v>
      </c>
      <c r="N90" s="139" t="n">
        <f aca="false">IFERROR(IF(L90*M90=0,"",L90*M90),"")</f>
        <v>141.75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40" t="s">
        <v>1067</v>
      </c>
      <c r="S90" s="107" t="s">
        <v>1100</v>
      </c>
      <c r="T90" s="141" t="s">
        <v>758</v>
      </c>
      <c r="U90" s="137" t="n">
        <v>45680</v>
      </c>
      <c r="V90" s="106" t="s">
        <v>1068</v>
      </c>
      <c r="W90" s="106" t="s">
        <v>1069</v>
      </c>
      <c r="X90" s="106" t="s">
        <v>1070</v>
      </c>
      <c r="Y90" s="85"/>
    </row>
    <row r="91" customFormat="false" ht="15.75" hidden="false" customHeight="true" outlineLevel="0" collapsed="false">
      <c r="A91" s="46" t="n">
        <v>86</v>
      </c>
      <c r="B91" s="110" t="s">
        <v>1101</v>
      </c>
      <c r="C91" s="46" t="s">
        <v>752</v>
      </c>
      <c r="D91" s="110" t="s">
        <v>1102</v>
      </c>
      <c r="E91" s="46" t="s">
        <v>99</v>
      </c>
      <c r="F91" s="46" t="s">
        <v>1103</v>
      </c>
      <c r="G91" s="142" t="n">
        <v>45664</v>
      </c>
      <c r="H91" s="46" t="s">
        <v>529</v>
      </c>
      <c r="I91" s="138" t="str">
        <f aca="false">IFERROR(VLOOKUP(TEXT(H91,"0"),IPRESS!$A$3:$B$212,2,0),"")</f>
        <v>MARIA AUXILIADORA</v>
      </c>
      <c r="J91" s="46" t="s">
        <v>755</v>
      </c>
      <c r="K91" s="138" t="str">
        <f aca="false">IFERROR(VLOOKUP(TEXT(O91,"0"),CONDUCTORES!$A$3:$G$100,7,0),"")</f>
        <v/>
      </c>
      <c r="L91" s="44" t="n">
        <v>20.25</v>
      </c>
      <c r="M91" s="44" t="n">
        <v>7</v>
      </c>
      <c r="N91" s="139" t="n">
        <f aca="false">IFERROR(IF(L91*M91=0,"",L91*M91),"")</f>
        <v>141.75</v>
      </c>
      <c r="O91" s="140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85" t="s">
        <v>1067</v>
      </c>
      <c r="S91" s="110" t="s">
        <v>1104</v>
      </c>
      <c r="T91" s="141" t="s">
        <v>758</v>
      </c>
      <c r="U91" s="142" t="n">
        <v>45680</v>
      </c>
      <c r="V91" s="46" t="s">
        <v>1068</v>
      </c>
      <c r="W91" s="46" t="s">
        <v>1069</v>
      </c>
      <c r="X91" s="46" t="s">
        <v>1070</v>
      </c>
      <c r="Y91" s="85"/>
    </row>
    <row r="92" customFormat="false" ht="15.75" hidden="false" customHeight="true" outlineLevel="0" collapsed="false">
      <c r="A92" s="143" t="n">
        <v>87</v>
      </c>
      <c r="B92" s="144" t="s">
        <v>930</v>
      </c>
      <c r="C92" s="143" t="s">
        <v>752</v>
      </c>
      <c r="D92" s="144" t="s">
        <v>1105</v>
      </c>
      <c r="E92" s="143" t="s">
        <v>99</v>
      </c>
      <c r="F92" s="143" t="s">
        <v>1106</v>
      </c>
      <c r="G92" s="145" t="n">
        <v>45675</v>
      </c>
      <c r="H92" s="143" t="s">
        <v>581</v>
      </c>
      <c r="I92" s="138" t="str">
        <f aca="false">IFERROR(VLOOKUP(TEXT(H92,"0"),IPRESS!$A$3:$B$212,2,0),"")</f>
        <v>PEDRO RUIZ GALLO</v>
      </c>
      <c r="J92" s="143" t="s">
        <v>755</v>
      </c>
      <c r="K92" s="138" t="str">
        <f aca="false">IFERROR(VLOOKUP(TEXT(O92,"0"),CONDUCTORES!$A$3:$G$100,7,0),"")</f>
        <v/>
      </c>
      <c r="L92" s="146" t="n">
        <v>17.95</v>
      </c>
      <c r="M92" s="146" t="n">
        <v>6</v>
      </c>
      <c r="N92" s="139" t="n">
        <f aca="false">IFERROR(IF(L92*M92=0,"",L92*M92),"")</f>
        <v>107.7</v>
      </c>
      <c r="O92" s="85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47" t="s">
        <v>1107</v>
      </c>
      <c r="S92" s="144" t="s">
        <v>1108</v>
      </c>
      <c r="T92" s="141" t="s">
        <v>758</v>
      </c>
      <c r="U92" s="145" t="n">
        <v>45684</v>
      </c>
      <c r="V92" s="143" t="s">
        <v>1109</v>
      </c>
      <c r="W92" s="143" t="s">
        <v>940</v>
      </c>
      <c r="X92" s="143" t="s">
        <v>1040</v>
      </c>
      <c r="Y92" s="85"/>
    </row>
    <row r="93" customFormat="false" ht="15.75" hidden="false" customHeight="true" outlineLevel="0" collapsed="false">
      <c r="A93" s="143" t="n">
        <v>88</v>
      </c>
      <c r="B93" s="144" t="s">
        <v>802</v>
      </c>
      <c r="C93" s="143" t="s">
        <v>752</v>
      </c>
      <c r="D93" s="144" t="s">
        <v>1110</v>
      </c>
      <c r="E93" s="143" t="s">
        <v>99</v>
      </c>
      <c r="F93" s="143" t="s">
        <v>1111</v>
      </c>
      <c r="G93" s="145" t="n">
        <v>45676</v>
      </c>
      <c r="H93" s="143" t="s">
        <v>581</v>
      </c>
      <c r="I93" s="138" t="str">
        <f aca="false">IFERROR(VLOOKUP(TEXT(H93,"0"),IPRESS!$A$3:$B$212,2,0),"")</f>
        <v>PEDRO RUIZ GALLO</v>
      </c>
      <c r="J93" s="143" t="s">
        <v>755</v>
      </c>
      <c r="K93" s="138" t="str">
        <f aca="false">IFERROR(VLOOKUP(TEXT(O93,"0"),CONDUCTORES!$A$3:$G$100,7,0),"")</f>
        <v/>
      </c>
      <c r="L93" s="146" t="n">
        <v>17.95</v>
      </c>
      <c r="M93" s="146" t="n">
        <v>6</v>
      </c>
      <c r="N93" s="139" t="n">
        <f aca="false">IFERROR(IF(L93*M93=0,"",L93*M93),"")</f>
        <v>107.7</v>
      </c>
      <c r="O93" s="140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147" t="s">
        <v>1107</v>
      </c>
      <c r="S93" s="144" t="s">
        <v>1112</v>
      </c>
      <c r="T93" s="141" t="s">
        <v>758</v>
      </c>
      <c r="U93" s="145" t="n">
        <v>45684</v>
      </c>
      <c r="V93" s="143" t="s">
        <v>1109</v>
      </c>
      <c r="W93" s="143" t="s">
        <v>940</v>
      </c>
      <c r="X93" s="143" t="s">
        <v>1040</v>
      </c>
      <c r="Y93" s="85"/>
    </row>
    <row r="94" customFormat="false" ht="15.75" hidden="false" customHeight="true" outlineLevel="0" collapsed="false">
      <c r="A94" s="143" t="n">
        <v>89</v>
      </c>
      <c r="B94" s="144" t="s">
        <v>779</v>
      </c>
      <c r="C94" s="143" t="s">
        <v>752</v>
      </c>
      <c r="D94" s="144" t="s">
        <v>1113</v>
      </c>
      <c r="E94" s="143" t="s">
        <v>99</v>
      </c>
      <c r="F94" s="143" t="s">
        <v>1114</v>
      </c>
      <c r="G94" s="145" t="n">
        <v>45674</v>
      </c>
      <c r="H94" s="143" t="s">
        <v>581</v>
      </c>
      <c r="I94" s="138" t="str">
        <f aca="false">IFERROR(VLOOKUP(TEXT(H94,"0"),IPRESS!$A$3:$B$212,2,0),"")</f>
        <v>PEDRO RUIZ GALLO</v>
      </c>
      <c r="J94" s="143" t="s">
        <v>755</v>
      </c>
      <c r="K94" s="138" t="str">
        <f aca="false">IFERROR(VLOOKUP(TEXT(O94,"0"),CONDUCTORES!$A$3:$G$100,7,0),"")</f>
        <v/>
      </c>
      <c r="L94" s="146" t="n">
        <v>17.95</v>
      </c>
      <c r="M94" s="146" t="n">
        <v>6</v>
      </c>
      <c r="N94" s="139" t="n">
        <f aca="false">IFERROR(IF(L94*M94=0,"",L94*M94),"")</f>
        <v>107.7</v>
      </c>
      <c r="O94" s="85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47" t="s">
        <v>1107</v>
      </c>
      <c r="S94" s="144" t="s">
        <v>1115</v>
      </c>
      <c r="T94" s="141" t="s">
        <v>758</v>
      </c>
      <c r="U94" s="145" t="n">
        <v>45684</v>
      </c>
      <c r="V94" s="143" t="s">
        <v>1109</v>
      </c>
      <c r="W94" s="143" t="s">
        <v>940</v>
      </c>
      <c r="X94" s="143" t="s">
        <v>1040</v>
      </c>
      <c r="Y94" s="85"/>
    </row>
    <row r="95" customFormat="false" ht="15.75" hidden="false" customHeight="true" outlineLevel="0" collapsed="false">
      <c r="A95" s="46" t="n">
        <v>90</v>
      </c>
      <c r="B95" s="110" t="s">
        <v>779</v>
      </c>
      <c r="C95" s="46" t="s">
        <v>752</v>
      </c>
      <c r="D95" s="110" t="s">
        <v>1116</v>
      </c>
      <c r="E95" s="46" t="s">
        <v>99</v>
      </c>
      <c r="F95" s="46" t="s">
        <v>1117</v>
      </c>
      <c r="G95" s="142" t="n">
        <v>45673</v>
      </c>
      <c r="H95" s="46" t="s">
        <v>595</v>
      </c>
      <c r="I95" s="138" t="str">
        <f aca="false">IFERROR(VLOOKUP(TEXT(H95,"0"),IPRESS!$A$3:$B$212,2,0),"")</f>
        <v>POMACOCHAS</v>
      </c>
      <c r="J95" s="46" t="s">
        <v>755</v>
      </c>
      <c r="K95" s="138" t="str">
        <f aca="false">IFERROR(VLOOKUP(TEXT(O95,"0"),CONDUCTORES!$A$3:$G$100,7,0),"")</f>
        <v/>
      </c>
      <c r="L95" s="44" t="n">
        <v>18.18</v>
      </c>
      <c r="M95" s="44" t="n">
        <v>8</v>
      </c>
      <c r="N95" s="139" t="n">
        <f aca="false">IFERROR(IF(L95*M95=0,"",L95*M95),"")</f>
        <v>145.44</v>
      </c>
      <c r="O95" s="140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85" t="s">
        <v>1107</v>
      </c>
      <c r="S95" s="110" t="s">
        <v>1118</v>
      </c>
      <c r="T95" s="141" t="s">
        <v>758</v>
      </c>
      <c r="U95" s="142" t="n">
        <v>45684</v>
      </c>
      <c r="V95" s="46" t="s">
        <v>1119</v>
      </c>
      <c r="W95" s="46" t="s">
        <v>940</v>
      </c>
      <c r="X95" s="46" t="s">
        <v>941</v>
      </c>
      <c r="Y95" s="85"/>
    </row>
    <row r="96" customFormat="false" ht="15.75" hidden="false" customHeight="true" outlineLevel="0" collapsed="false">
      <c r="A96" s="106" t="n">
        <v>91</v>
      </c>
      <c r="B96" s="107" t="s">
        <v>822</v>
      </c>
      <c r="C96" s="106" t="s">
        <v>752</v>
      </c>
      <c r="D96" s="107" t="s">
        <v>1120</v>
      </c>
      <c r="E96" s="136" t="s">
        <v>99</v>
      </c>
      <c r="F96" s="106" t="s">
        <v>1121</v>
      </c>
      <c r="G96" s="137" t="n">
        <v>45676</v>
      </c>
      <c r="H96" s="106" t="s">
        <v>595</v>
      </c>
      <c r="I96" s="138" t="str">
        <f aca="false">IFERROR(VLOOKUP(TEXT(H96,"0"),IPRESS!$A$3:$B$212,2,0),"")</f>
        <v>POMACOCHAS</v>
      </c>
      <c r="J96" s="106" t="s">
        <v>755</v>
      </c>
      <c r="K96" s="138" t="str">
        <f aca="false">IFERROR(VLOOKUP(TEXT(O96,"0"),CONDUCTORES!$A$3:$G$100,7,0),"")</f>
        <v/>
      </c>
      <c r="L96" s="50" t="n">
        <v>18.18</v>
      </c>
      <c r="M96" s="50" t="n">
        <v>8</v>
      </c>
      <c r="N96" s="139" t="n">
        <f aca="false">IFERROR(IF(L96*M96=0,"",L96*M96),"")</f>
        <v>145.44</v>
      </c>
      <c r="O96" s="85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40" t="s">
        <v>1107</v>
      </c>
      <c r="S96" s="107" t="s">
        <v>1122</v>
      </c>
      <c r="T96" s="141" t="s">
        <v>758</v>
      </c>
      <c r="U96" s="137" t="n">
        <v>45684</v>
      </c>
      <c r="V96" s="106" t="s">
        <v>1119</v>
      </c>
      <c r="W96" s="106" t="s">
        <v>940</v>
      </c>
      <c r="X96" s="106" t="s">
        <v>941</v>
      </c>
      <c r="Y96" s="85"/>
    </row>
    <row r="97" customFormat="false" ht="15.75" hidden="false" customHeight="true" outlineLevel="0" collapsed="false">
      <c r="A97" s="46" t="n">
        <v>92</v>
      </c>
      <c r="B97" s="110" t="s">
        <v>914</v>
      </c>
      <c r="C97" s="46" t="s">
        <v>752</v>
      </c>
      <c r="D97" s="110" t="s">
        <v>1123</v>
      </c>
      <c r="E97" s="46" t="s">
        <v>99</v>
      </c>
      <c r="F97" s="46" t="s">
        <v>1124</v>
      </c>
      <c r="G97" s="142" t="n">
        <v>45672</v>
      </c>
      <c r="H97" s="46" t="s">
        <v>659</v>
      </c>
      <c r="I97" s="138" t="str">
        <f aca="false">IFERROR(VLOOKUP(TEXT(H97,"0"),IPRESS!$A$3:$B$212,2,0),"")</f>
        <v>SAN SALVADOR</v>
      </c>
      <c r="J97" s="46" t="s">
        <v>755</v>
      </c>
      <c r="K97" s="138" t="str">
        <f aca="false">IFERROR(VLOOKUP(TEXT(O97,"0"),CONDUCTORES!$A$3:$G$100,7,0),"")</f>
        <v/>
      </c>
      <c r="L97" s="44" t="n">
        <v>18.18</v>
      </c>
      <c r="M97" s="44" t="n">
        <v>10</v>
      </c>
      <c r="N97" s="139" t="n">
        <f aca="false">IFERROR(IF(L97*M97=0,"",L97*M97),"")</f>
        <v>181.8</v>
      </c>
      <c r="O97" s="140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85" t="s">
        <v>1107</v>
      </c>
      <c r="S97" s="110"/>
      <c r="T97" s="141" t="s">
        <v>758</v>
      </c>
      <c r="U97" s="142" t="n">
        <v>45684</v>
      </c>
      <c r="V97" s="46" t="s">
        <v>1125</v>
      </c>
      <c r="W97" s="46" t="s">
        <v>940</v>
      </c>
      <c r="X97" s="46" t="s">
        <v>941</v>
      </c>
      <c r="Y97" s="85"/>
    </row>
    <row r="98" customFormat="false" ht="15.75" hidden="false" customHeight="true" outlineLevel="0" collapsed="false">
      <c r="A98" s="106" t="n">
        <v>93</v>
      </c>
      <c r="B98" s="107" t="s">
        <v>930</v>
      </c>
      <c r="C98" s="106" t="s">
        <v>752</v>
      </c>
      <c r="D98" s="107" t="s">
        <v>1126</v>
      </c>
      <c r="E98" s="136" t="s">
        <v>99</v>
      </c>
      <c r="F98" s="106" t="s">
        <v>1127</v>
      </c>
      <c r="G98" s="137" t="n">
        <v>45666</v>
      </c>
      <c r="H98" s="106" t="s">
        <v>665</v>
      </c>
      <c r="I98" s="138" t="str">
        <f aca="false">IFERROR(VLOOKUP(TEXT(H98,"0"),IPRESS!$A$3:$B$212,2,0),"")</f>
        <v>SANTO TOMAS</v>
      </c>
      <c r="J98" s="106" t="s">
        <v>755</v>
      </c>
      <c r="K98" s="138" t="str">
        <f aca="false">IFERROR(VLOOKUP(TEXT(O98,"0"),CONDUCTORES!$A$3:$G$100,7,0),"")</f>
        <v/>
      </c>
      <c r="L98" s="50" t="n">
        <v>18.18</v>
      </c>
      <c r="M98" s="50" t="n">
        <v>10</v>
      </c>
      <c r="N98" s="139" t="n">
        <f aca="false">IFERROR(IF(L98*M98=0,"",L98*M98),"")</f>
        <v>181.8</v>
      </c>
      <c r="O98" s="85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40" t="s">
        <v>1107</v>
      </c>
      <c r="S98" s="107"/>
      <c r="T98" s="141" t="s">
        <v>758</v>
      </c>
      <c r="U98" s="137" t="n">
        <v>45684</v>
      </c>
      <c r="V98" s="106" t="s">
        <v>1125</v>
      </c>
      <c r="W98" s="106" t="s">
        <v>940</v>
      </c>
      <c r="X98" s="106" t="s">
        <v>941</v>
      </c>
      <c r="Y98" s="85"/>
    </row>
    <row r="99" customFormat="false" ht="15.75" hidden="false" customHeight="true" outlineLevel="0" collapsed="false">
      <c r="A99" s="46" t="n">
        <v>94</v>
      </c>
      <c r="B99" s="110" t="s">
        <v>1128</v>
      </c>
      <c r="C99" s="46" t="s">
        <v>752</v>
      </c>
      <c r="D99" s="110" t="s">
        <v>1129</v>
      </c>
      <c r="E99" s="46" t="s">
        <v>99</v>
      </c>
      <c r="F99" s="46" t="s">
        <v>1130</v>
      </c>
      <c r="G99" s="142" t="n">
        <v>45673</v>
      </c>
      <c r="H99" s="46" t="s">
        <v>529</v>
      </c>
      <c r="I99" s="138" t="str">
        <f aca="false">IFERROR(VLOOKUP(TEXT(H99,"0"),IPRESS!$A$3:$B$212,2,0),"")</f>
        <v>MARIA AUXILIADORA</v>
      </c>
      <c r="J99" s="46" t="s">
        <v>755</v>
      </c>
      <c r="K99" s="138" t="str">
        <f aca="false">IFERROR(VLOOKUP(TEXT(O99,"0"),CONDUCTORES!$A$3:$G$100,7,0),"")</f>
        <v/>
      </c>
      <c r="L99" s="44" t="n">
        <v>20.25</v>
      </c>
      <c r="M99" s="44" t="n">
        <v>7</v>
      </c>
      <c r="N99" s="139" t="n">
        <f aca="false">IFERROR(IF(L99*M99=0,"",L99*M99),"")</f>
        <v>141.75</v>
      </c>
      <c r="O99" s="140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85" t="s">
        <v>1131</v>
      </c>
      <c r="S99" s="110" t="s">
        <v>1132</v>
      </c>
      <c r="T99" s="141" t="s">
        <v>758</v>
      </c>
      <c r="U99" s="142" t="n">
        <v>45698</v>
      </c>
      <c r="V99" s="46" t="s">
        <v>1133</v>
      </c>
      <c r="W99" s="46" t="s">
        <v>1069</v>
      </c>
      <c r="X99" s="46" t="s">
        <v>1070</v>
      </c>
      <c r="Y99" s="85"/>
    </row>
    <row r="100" customFormat="false" ht="15.75" hidden="false" customHeight="true" outlineLevel="0" collapsed="false">
      <c r="A100" s="106" t="n">
        <v>95</v>
      </c>
      <c r="B100" s="107" t="s">
        <v>1134</v>
      </c>
      <c r="C100" s="106" t="s">
        <v>752</v>
      </c>
      <c r="D100" s="107" t="s">
        <v>1135</v>
      </c>
      <c r="E100" s="136" t="s">
        <v>99</v>
      </c>
      <c r="F100" s="106" t="s">
        <v>1136</v>
      </c>
      <c r="G100" s="137" t="n">
        <v>45676</v>
      </c>
      <c r="H100" s="106" t="s">
        <v>529</v>
      </c>
      <c r="I100" s="138" t="str">
        <f aca="false">IFERROR(VLOOKUP(TEXT(H100,"0"),IPRESS!$A$3:$B$212,2,0),"")</f>
        <v>MARIA AUXILIADORA</v>
      </c>
      <c r="J100" s="106" t="s">
        <v>755</v>
      </c>
      <c r="K100" s="138" t="str">
        <f aca="false">IFERROR(VLOOKUP(TEXT(O100,"0"),CONDUCTORES!$A$3:$G$100,7,0),"")</f>
        <v/>
      </c>
      <c r="L100" s="50" t="n">
        <v>20.25</v>
      </c>
      <c r="M100" s="50" t="n">
        <v>7</v>
      </c>
      <c r="N100" s="139" t="n">
        <f aca="false">IFERROR(IF(L100*M100=0,"",L100*M100),"")</f>
        <v>141.75</v>
      </c>
      <c r="O100" s="85"/>
      <c r="P100" s="138" t="str">
        <f aca="false">IFERROR(VLOOKUP(TEXT(O100,"0"),CONDUCTORES!$A$3:$G$100,2,0),"")</f>
        <v/>
      </c>
      <c r="Q100" s="138" t="str">
        <f aca="false">IFERROR(VLOOKUP(TEXT(O100,"0"),CONDUCTORES!$A$3:$H$100,6,0),"")</f>
        <v/>
      </c>
      <c r="R100" s="140" t="s">
        <v>1131</v>
      </c>
      <c r="S100" s="107" t="s">
        <v>1137</v>
      </c>
      <c r="T100" s="141" t="s">
        <v>758</v>
      </c>
      <c r="U100" s="137" t="n">
        <v>45698</v>
      </c>
      <c r="V100" s="106" t="s">
        <v>1133</v>
      </c>
      <c r="W100" s="106" t="s">
        <v>1069</v>
      </c>
      <c r="X100" s="106" t="s">
        <v>1070</v>
      </c>
      <c r="Y100" s="85"/>
    </row>
    <row r="101" customFormat="false" ht="15.75" hidden="false" customHeight="true" outlineLevel="0" collapsed="false">
      <c r="A101" s="46" t="n">
        <v>96</v>
      </c>
      <c r="B101" s="110" t="s">
        <v>914</v>
      </c>
      <c r="C101" s="46" t="s">
        <v>752</v>
      </c>
      <c r="D101" s="110" t="s">
        <v>1138</v>
      </c>
      <c r="E101" s="46" t="s">
        <v>99</v>
      </c>
      <c r="F101" s="46" t="s">
        <v>1139</v>
      </c>
      <c r="G101" s="142" t="n">
        <v>45667</v>
      </c>
      <c r="H101" s="46" t="s">
        <v>480</v>
      </c>
      <c r="I101" s="138" t="str">
        <f aca="false">IFERROR(VLOOKUP(TEXT(H101,"0"),IPRESS!$A$3:$B$212,2,0),"")</f>
        <v>JALCA GRANDE</v>
      </c>
      <c r="J101" s="46" t="s">
        <v>755</v>
      </c>
      <c r="K101" s="138" t="str">
        <f aca="false">IFERROR(VLOOKUP(TEXT(O101,"0"),CONDUCTORES!$A$3:$G$100,7,0),"")</f>
        <v/>
      </c>
      <c r="L101" s="44" t="n">
        <v>18.18</v>
      </c>
      <c r="M101" s="44" t="n">
        <v>8</v>
      </c>
      <c r="N101" s="139" t="n">
        <f aca="false">IFERROR(IF(L101*M101=0,"",L101*M101),"")</f>
        <v>145.44</v>
      </c>
      <c r="O101" s="140"/>
      <c r="P101" s="138" t="str">
        <f aca="false">IFERROR(VLOOKUP(TEXT(O101,"0"),CONDUCTORES!$A$3:$G$100,2,0),"")</f>
        <v/>
      </c>
      <c r="Q101" s="138" t="str">
        <f aca="false">IFERROR(VLOOKUP(TEXT(O101,"0"),CONDUCTORES!$A$3:$H$100,6,0),"")</f>
        <v/>
      </c>
      <c r="R101" s="85" t="s">
        <v>1131</v>
      </c>
      <c r="S101" s="110" t="s">
        <v>1140</v>
      </c>
      <c r="T101" s="141" t="s">
        <v>758</v>
      </c>
      <c r="U101" s="85" t="s">
        <v>1131</v>
      </c>
      <c r="V101" s="46" t="s">
        <v>1141</v>
      </c>
      <c r="W101" s="46" t="s">
        <v>940</v>
      </c>
      <c r="X101" s="46" t="s">
        <v>941</v>
      </c>
      <c r="Y101" s="85"/>
    </row>
    <row r="102" customFormat="false" ht="15.75" hidden="false" customHeight="true" outlineLevel="0" collapsed="false">
      <c r="A102" s="106" t="n">
        <v>97</v>
      </c>
      <c r="B102" s="107" t="s">
        <v>774</v>
      </c>
      <c r="C102" s="106" t="s">
        <v>752</v>
      </c>
      <c r="D102" s="107" t="s">
        <v>1142</v>
      </c>
      <c r="E102" s="136" t="s">
        <v>99</v>
      </c>
      <c r="F102" s="106" t="s">
        <v>1143</v>
      </c>
      <c r="G102" s="137" t="n">
        <v>45668</v>
      </c>
      <c r="H102" s="106" t="s">
        <v>480</v>
      </c>
      <c r="I102" s="138" t="str">
        <f aca="false">IFERROR(VLOOKUP(TEXT(H102,"0"),IPRESS!$A$3:$B$212,2,0),"")</f>
        <v>JALCA GRANDE</v>
      </c>
      <c r="J102" s="106" t="s">
        <v>755</v>
      </c>
      <c r="K102" s="138" t="str">
        <f aca="false">IFERROR(VLOOKUP(TEXT(O102,"0"),CONDUCTORES!$A$3:$G$100,7,0),"")</f>
        <v/>
      </c>
      <c r="L102" s="50" t="n">
        <v>18.18</v>
      </c>
      <c r="M102" s="50" t="n">
        <v>8</v>
      </c>
      <c r="N102" s="139" t="n">
        <f aca="false">IFERROR(IF(L102*M102=0,"",L102*M102),"")</f>
        <v>145.44</v>
      </c>
      <c r="O102" s="85"/>
      <c r="P102" s="138" t="str">
        <f aca="false">IFERROR(VLOOKUP(TEXT(O102,"0"),CONDUCTORES!$A$3:$G$100,2,0),"")</f>
        <v/>
      </c>
      <c r="Q102" s="138" t="str">
        <f aca="false">IFERROR(VLOOKUP(TEXT(O102,"0"),CONDUCTORES!$A$3:$H$100,6,0),"")</f>
        <v/>
      </c>
      <c r="R102" s="140" t="s">
        <v>1131</v>
      </c>
      <c r="S102" s="107" t="s">
        <v>1144</v>
      </c>
      <c r="T102" s="141" t="s">
        <v>758</v>
      </c>
      <c r="U102" s="140" t="s">
        <v>1131</v>
      </c>
      <c r="V102" s="106" t="s">
        <v>1141</v>
      </c>
      <c r="W102" s="106" t="s">
        <v>940</v>
      </c>
      <c r="X102" s="106" t="s">
        <v>941</v>
      </c>
      <c r="Y102" s="85"/>
    </row>
    <row r="103" customFormat="false" ht="15.75" hidden="false" customHeight="true" outlineLevel="0" collapsed="false">
      <c r="A103" s="46" t="n">
        <v>98</v>
      </c>
      <c r="B103" s="110" t="s">
        <v>861</v>
      </c>
      <c r="C103" s="46" t="s">
        <v>752</v>
      </c>
      <c r="D103" s="110" t="s">
        <v>1145</v>
      </c>
      <c r="E103" s="46" t="s">
        <v>99</v>
      </c>
      <c r="F103" s="46" t="s">
        <v>1146</v>
      </c>
      <c r="G103" s="142" t="n">
        <v>45663</v>
      </c>
      <c r="H103" s="46" t="s">
        <v>517</v>
      </c>
      <c r="I103" s="138" t="str">
        <f aca="false">IFERROR(VLOOKUP(TEXT(H103,"0"),IPRESS!$A$3:$B$212,2,0),"")</f>
        <v>LUYA</v>
      </c>
      <c r="J103" s="46" t="s">
        <v>755</v>
      </c>
      <c r="K103" s="138" t="str">
        <f aca="false">IFERROR(VLOOKUP(TEXT(O103,"0"),CONDUCTORES!$A$3:$G$100,7,0),"")</f>
        <v/>
      </c>
      <c r="L103" s="44" t="n">
        <v>18.18</v>
      </c>
      <c r="M103" s="44" t="n">
        <v>4</v>
      </c>
      <c r="N103" s="139" t="n">
        <f aca="false">IFERROR(IF(L103*M103=0,"",L103*M103),"")</f>
        <v>72.72</v>
      </c>
      <c r="O103" s="140"/>
      <c r="P103" s="138" t="str">
        <f aca="false">IFERROR(VLOOKUP(TEXT(O103,"0"),CONDUCTORES!$A$3:$G$100,2,0),"")</f>
        <v/>
      </c>
      <c r="Q103" s="138" t="str">
        <f aca="false">IFERROR(VLOOKUP(TEXT(O103,"0"),CONDUCTORES!$A$3:$H$100,6,0),"")</f>
        <v/>
      </c>
      <c r="R103" s="85" t="s">
        <v>1131</v>
      </c>
      <c r="S103" s="110" t="s">
        <v>1147</v>
      </c>
      <c r="T103" s="141" t="s">
        <v>758</v>
      </c>
      <c r="U103" s="85" t="s">
        <v>1131</v>
      </c>
      <c r="V103" s="46" t="s">
        <v>1148</v>
      </c>
      <c r="W103" s="46" t="s">
        <v>940</v>
      </c>
      <c r="X103" s="46" t="s">
        <v>941</v>
      </c>
      <c r="Y103" s="85"/>
    </row>
    <row r="104" customFormat="false" ht="15.75" hidden="false" customHeight="true" outlineLevel="0" collapsed="false">
      <c r="A104" s="106" t="n">
        <v>99</v>
      </c>
      <c r="B104" s="107" t="s">
        <v>930</v>
      </c>
      <c r="C104" s="106" t="s">
        <v>752</v>
      </c>
      <c r="D104" s="107" t="s">
        <v>1149</v>
      </c>
      <c r="E104" s="136" t="s">
        <v>99</v>
      </c>
      <c r="F104" s="106" t="s">
        <v>1150</v>
      </c>
      <c r="G104" s="137" t="n">
        <v>45659</v>
      </c>
      <c r="H104" s="106" t="s">
        <v>517</v>
      </c>
      <c r="I104" s="138" t="str">
        <f aca="false">IFERROR(VLOOKUP(TEXT(H104,"0"),IPRESS!$A$3:$B$212,2,0),"")</f>
        <v>LUYA</v>
      </c>
      <c r="J104" s="106" t="s">
        <v>755</v>
      </c>
      <c r="K104" s="138" t="str">
        <f aca="false">IFERROR(VLOOKUP(TEXT(O104,"0"),CONDUCTORES!$A$3:$G$100,7,0),"")</f>
        <v/>
      </c>
      <c r="L104" s="50" t="n">
        <v>18.18</v>
      </c>
      <c r="M104" s="50" t="n">
        <v>4</v>
      </c>
      <c r="N104" s="139" t="n">
        <f aca="false">IFERROR(IF(L104*M104=0,"",L104*M104),"")</f>
        <v>72.72</v>
      </c>
      <c r="O104" s="85"/>
      <c r="P104" s="138" t="str">
        <f aca="false">IFERROR(VLOOKUP(TEXT(O104,"0"),CONDUCTORES!$A$3:$G$100,2,0),"")</f>
        <v/>
      </c>
      <c r="Q104" s="138" t="str">
        <f aca="false">IFERROR(VLOOKUP(TEXT(O104,"0"),CONDUCTORES!$A$3:$H$100,6,0),"")</f>
        <v/>
      </c>
      <c r="R104" s="140" t="s">
        <v>1131</v>
      </c>
      <c r="S104" s="107" t="s">
        <v>1151</v>
      </c>
      <c r="T104" s="141" t="s">
        <v>758</v>
      </c>
      <c r="U104" s="140" t="s">
        <v>1131</v>
      </c>
      <c r="V104" s="106" t="s">
        <v>1148</v>
      </c>
      <c r="W104" s="106" t="s">
        <v>940</v>
      </c>
      <c r="X104" s="106" t="s">
        <v>941</v>
      </c>
      <c r="Y104" s="85"/>
    </row>
    <row r="105" customFormat="false" ht="15.75" hidden="false" customHeight="true" outlineLevel="0" collapsed="false">
      <c r="A105" s="46" t="n">
        <v>100</v>
      </c>
      <c r="B105" s="110" t="s">
        <v>802</v>
      </c>
      <c r="C105" s="46" t="s">
        <v>752</v>
      </c>
      <c r="D105" s="110" t="s">
        <v>1152</v>
      </c>
      <c r="E105" s="46" t="s">
        <v>99</v>
      </c>
      <c r="F105" s="46" t="s">
        <v>1153</v>
      </c>
      <c r="G105" s="142" t="n">
        <v>45672</v>
      </c>
      <c r="H105" s="46" t="s">
        <v>517</v>
      </c>
      <c r="I105" s="138" t="str">
        <f aca="false">IFERROR(VLOOKUP(TEXT(H105,"0"),IPRESS!$A$3:$B$212,2,0),"")</f>
        <v>LUYA</v>
      </c>
      <c r="J105" s="46" t="s">
        <v>755</v>
      </c>
      <c r="K105" s="138" t="str">
        <f aca="false">IFERROR(VLOOKUP(TEXT(O105,"0"),CONDUCTORES!$A$3:$G$100,7,0),"")</f>
        <v/>
      </c>
      <c r="L105" s="44" t="n">
        <v>18.18</v>
      </c>
      <c r="M105" s="44" t="n">
        <v>4</v>
      </c>
      <c r="N105" s="139" t="n">
        <f aca="false">IFERROR(IF(L105*M105=0,"",L105*M105),"")</f>
        <v>72.72</v>
      </c>
      <c r="O105" s="140"/>
      <c r="P105" s="138" t="str">
        <f aca="false">IFERROR(VLOOKUP(TEXT(O105,"0"),CONDUCTORES!$A$3:$G$100,2,0),"")</f>
        <v/>
      </c>
      <c r="Q105" s="138" t="str">
        <f aca="false">IFERROR(VLOOKUP(TEXT(O105,"0"),CONDUCTORES!$A$3:$H$100,6,0),"")</f>
        <v/>
      </c>
      <c r="R105" s="85" t="s">
        <v>1131</v>
      </c>
      <c r="S105" s="110" t="s">
        <v>1154</v>
      </c>
      <c r="T105" s="141" t="s">
        <v>758</v>
      </c>
      <c r="U105" s="85" t="s">
        <v>1131</v>
      </c>
      <c r="V105" s="46" t="s">
        <v>1148</v>
      </c>
      <c r="W105" s="46" t="s">
        <v>940</v>
      </c>
      <c r="X105" s="46" t="s">
        <v>941</v>
      </c>
      <c r="Y105" s="85"/>
    </row>
    <row r="106" customFormat="false" ht="15.75" hidden="false" customHeight="true" outlineLevel="0" collapsed="false">
      <c r="A106" s="143" t="n">
        <v>101</v>
      </c>
      <c r="B106" s="144" t="s">
        <v>914</v>
      </c>
      <c r="C106" s="143" t="s">
        <v>752</v>
      </c>
      <c r="D106" s="144" t="s">
        <v>1155</v>
      </c>
      <c r="E106" s="143" t="s">
        <v>99</v>
      </c>
      <c r="F106" s="143" t="s">
        <v>1156</v>
      </c>
      <c r="G106" s="145" t="n">
        <v>45664</v>
      </c>
      <c r="H106" s="143" t="s">
        <v>547</v>
      </c>
      <c r="I106" s="138" t="str">
        <f aca="false">IFERROR(VLOOKUP(TEXT(H106,"0"),IPRESS!$A$3:$B$212,2,0),"")</f>
        <v>MOLINOPAMPA</v>
      </c>
      <c r="J106" s="143" t="s">
        <v>755</v>
      </c>
      <c r="K106" s="138" t="str">
        <f aca="false">IFERROR(VLOOKUP(TEXT(O106,"0"),CONDUCTORES!$A$3:$G$100,7,0),"")</f>
        <v/>
      </c>
      <c r="L106" s="146" t="n">
        <v>18.18</v>
      </c>
      <c r="M106" s="146" t="n">
        <v>8</v>
      </c>
      <c r="N106" s="139" t="n">
        <f aca="false">IFERROR(IF(L106*M106=0,"",L106*M106),"")</f>
        <v>145.44</v>
      </c>
      <c r="O106" s="85"/>
      <c r="P106" s="138" t="str">
        <f aca="false">IFERROR(VLOOKUP(TEXT(O106,"0"),CONDUCTORES!$A$3:$G$100,2,0),"")</f>
        <v/>
      </c>
      <c r="Q106" s="138" t="str">
        <f aca="false">IFERROR(VLOOKUP(TEXT(O106,"0"),CONDUCTORES!$A$3:$H$100,6,0),"")</f>
        <v/>
      </c>
      <c r="R106" s="147" t="s">
        <v>1131</v>
      </c>
      <c r="S106" s="144" t="s">
        <v>1157</v>
      </c>
      <c r="T106" s="141" t="s">
        <v>758</v>
      </c>
      <c r="U106" s="147" t="s">
        <v>1131</v>
      </c>
      <c r="V106" s="143" t="s">
        <v>1158</v>
      </c>
      <c r="W106" s="143" t="s">
        <v>940</v>
      </c>
      <c r="X106" s="143" t="s">
        <v>1040</v>
      </c>
      <c r="Y106" s="85"/>
    </row>
    <row r="107" customFormat="false" ht="15.75" hidden="false" customHeight="true" outlineLevel="0" collapsed="false">
      <c r="A107" s="143" t="n">
        <v>102</v>
      </c>
      <c r="B107" s="144" t="s">
        <v>774</v>
      </c>
      <c r="C107" s="143" t="s">
        <v>752</v>
      </c>
      <c r="D107" s="144" t="s">
        <v>1159</v>
      </c>
      <c r="E107" s="143" t="s">
        <v>99</v>
      </c>
      <c r="F107" s="143" t="s">
        <v>1160</v>
      </c>
      <c r="G107" s="145" t="n">
        <v>45671</v>
      </c>
      <c r="H107" s="143" t="s">
        <v>581</v>
      </c>
      <c r="I107" s="138" t="str">
        <f aca="false">IFERROR(VLOOKUP(TEXT(H107,"0"),IPRESS!$A$3:$B$212,2,0),"")</f>
        <v>PEDRO RUIZ GALLO</v>
      </c>
      <c r="J107" s="143" t="s">
        <v>755</v>
      </c>
      <c r="K107" s="138" t="str">
        <f aca="false">IFERROR(VLOOKUP(TEXT(O107,"0"),CONDUCTORES!$A$3:$G$100,7,0),"")</f>
        <v/>
      </c>
      <c r="L107" s="146" t="n">
        <v>17.95</v>
      </c>
      <c r="M107" s="146" t="n">
        <v>6</v>
      </c>
      <c r="N107" s="139" t="n">
        <f aca="false">IFERROR(IF(L107*M107=0,"",L107*M107),"")</f>
        <v>107.7</v>
      </c>
      <c r="O107" s="140"/>
      <c r="P107" s="138" t="str">
        <f aca="false">IFERROR(VLOOKUP(TEXT(O107,"0"),CONDUCTORES!$A$3:$G$100,2,0),"")</f>
        <v/>
      </c>
      <c r="Q107" s="138" t="str">
        <f aca="false">IFERROR(VLOOKUP(TEXT(O107,"0"),CONDUCTORES!$A$3:$H$100,6,0),"")</f>
        <v/>
      </c>
      <c r="R107" s="147" t="s">
        <v>1131</v>
      </c>
      <c r="S107" s="144" t="s">
        <v>1161</v>
      </c>
      <c r="T107" s="141" t="s">
        <v>758</v>
      </c>
      <c r="U107" s="147" t="s">
        <v>1131</v>
      </c>
      <c r="V107" s="143" t="s">
        <v>1162</v>
      </c>
      <c r="W107" s="143" t="s">
        <v>940</v>
      </c>
      <c r="X107" s="143" t="s">
        <v>1040</v>
      </c>
      <c r="Y107" s="85"/>
    </row>
    <row r="108" customFormat="false" ht="15.75" hidden="false" customHeight="true" outlineLevel="0" collapsed="false">
      <c r="A108" s="106" t="n">
        <v>103</v>
      </c>
      <c r="B108" s="107" t="s">
        <v>914</v>
      </c>
      <c r="C108" s="106" t="s">
        <v>752</v>
      </c>
      <c r="D108" s="107" t="s">
        <v>1163</v>
      </c>
      <c r="E108" s="136" t="s">
        <v>99</v>
      </c>
      <c r="F108" s="106" t="s">
        <v>1164</v>
      </c>
      <c r="G108" s="137" t="n">
        <v>45662</v>
      </c>
      <c r="H108" s="106" t="s">
        <v>595</v>
      </c>
      <c r="I108" s="138" t="str">
        <f aca="false">IFERROR(VLOOKUP(TEXT(H108,"0"),IPRESS!$A$3:$B$212,2,0),"")</f>
        <v>POMACOCHAS</v>
      </c>
      <c r="J108" s="106" t="s">
        <v>755</v>
      </c>
      <c r="K108" s="138" t="str">
        <f aca="false">IFERROR(VLOOKUP(TEXT(O108,"0"),CONDUCTORES!$A$3:$G$100,7,0),"")</f>
        <v/>
      </c>
      <c r="L108" s="50" t="n">
        <v>18.18</v>
      </c>
      <c r="M108" s="50" t="n">
        <v>8</v>
      </c>
      <c r="N108" s="139" t="n">
        <f aca="false">IFERROR(IF(L108*M108=0,"",L108*M108),"")</f>
        <v>145.44</v>
      </c>
      <c r="O108" s="85"/>
      <c r="P108" s="138" t="str">
        <f aca="false">IFERROR(VLOOKUP(TEXT(O108,"0"),CONDUCTORES!$A$3:$G$100,2,0),"")</f>
        <v/>
      </c>
      <c r="Q108" s="138" t="str">
        <f aca="false">IFERROR(VLOOKUP(TEXT(O108,"0"),CONDUCTORES!$A$3:$H$100,6,0),"")</f>
        <v/>
      </c>
      <c r="R108" s="140" t="s">
        <v>1131</v>
      </c>
      <c r="S108" s="107" t="s">
        <v>1165</v>
      </c>
      <c r="T108" s="141" t="s">
        <v>758</v>
      </c>
      <c r="U108" s="140" t="s">
        <v>1131</v>
      </c>
      <c r="V108" s="106" t="s">
        <v>1166</v>
      </c>
      <c r="W108" s="106" t="s">
        <v>940</v>
      </c>
      <c r="X108" s="106" t="s">
        <v>941</v>
      </c>
      <c r="Y108" s="85"/>
    </row>
    <row r="109" customFormat="false" ht="15.75" hidden="false" customHeight="true" outlineLevel="0" collapsed="false">
      <c r="A109" s="46" t="n">
        <v>104</v>
      </c>
      <c r="B109" s="110" t="s">
        <v>774</v>
      </c>
      <c r="C109" s="46" t="s">
        <v>752</v>
      </c>
      <c r="D109" s="110" t="s">
        <v>1167</v>
      </c>
      <c r="E109" s="46" t="s">
        <v>99</v>
      </c>
      <c r="F109" s="46" t="s">
        <v>1168</v>
      </c>
      <c r="G109" s="142" t="n">
        <v>45667</v>
      </c>
      <c r="H109" s="46" t="s">
        <v>595</v>
      </c>
      <c r="I109" s="138" t="str">
        <f aca="false">IFERROR(VLOOKUP(TEXT(H109,"0"),IPRESS!$A$3:$B$212,2,0),"")</f>
        <v>POMACOCHAS</v>
      </c>
      <c r="J109" s="46" t="s">
        <v>755</v>
      </c>
      <c r="K109" s="138" t="str">
        <f aca="false">IFERROR(VLOOKUP(TEXT(O109,"0"),CONDUCTORES!$A$3:$G$100,7,0),"")</f>
        <v/>
      </c>
      <c r="L109" s="44" t="n">
        <v>18.18</v>
      </c>
      <c r="M109" s="44" t="n">
        <v>8</v>
      </c>
      <c r="N109" s="139" t="n">
        <f aca="false">IFERROR(IF(L109*M109=0,"",L109*M109),"")</f>
        <v>145.44</v>
      </c>
      <c r="O109" s="140"/>
      <c r="P109" s="138" t="str">
        <f aca="false">IFERROR(VLOOKUP(TEXT(O109,"0"),CONDUCTORES!$A$3:$G$100,2,0),"")</f>
        <v/>
      </c>
      <c r="Q109" s="138" t="str">
        <f aca="false">IFERROR(VLOOKUP(TEXT(O109,"0"),CONDUCTORES!$A$3:$H$100,6,0),"")</f>
        <v/>
      </c>
      <c r="R109" s="85" t="s">
        <v>1131</v>
      </c>
      <c r="S109" s="110" t="s">
        <v>1169</v>
      </c>
      <c r="T109" s="141" t="s">
        <v>758</v>
      </c>
      <c r="U109" s="85" t="s">
        <v>1131</v>
      </c>
      <c r="V109" s="46" t="s">
        <v>1166</v>
      </c>
      <c r="W109" s="46" t="s">
        <v>940</v>
      </c>
      <c r="X109" s="46" t="s">
        <v>941</v>
      </c>
      <c r="Y109" s="85"/>
    </row>
    <row r="110" customFormat="false" ht="15.75" hidden="false" customHeight="true" outlineLevel="0" collapsed="false">
      <c r="A110" s="106" t="n">
        <v>105</v>
      </c>
      <c r="B110" s="107" t="s">
        <v>822</v>
      </c>
      <c r="C110" s="106" t="s">
        <v>752</v>
      </c>
      <c r="D110" s="107" t="s">
        <v>1170</v>
      </c>
      <c r="E110" s="136" t="s">
        <v>99</v>
      </c>
      <c r="F110" s="106" t="s">
        <v>1171</v>
      </c>
      <c r="G110" s="137" t="n">
        <v>45671</v>
      </c>
      <c r="H110" s="106" t="s">
        <v>665</v>
      </c>
      <c r="I110" s="138" t="str">
        <f aca="false">IFERROR(VLOOKUP(TEXT(H110,"0"),IPRESS!$A$3:$B$212,2,0),"")</f>
        <v>SANTO TOMAS</v>
      </c>
      <c r="J110" s="106" t="s">
        <v>755</v>
      </c>
      <c r="K110" s="138" t="str">
        <f aca="false">IFERROR(VLOOKUP(TEXT(O110,"0"),CONDUCTORES!$A$3:$G$100,7,0),"")</f>
        <v/>
      </c>
      <c r="L110" s="50" t="n">
        <v>18.18</v>
      </c>
      <c r="M110" s="50" t="n">
        <v>10</v>
      </c>
      <c r="N110" s="139" t="n">
        <f aca="false">IFERROR(IF(L110*M110=0,"",L110*M110),"")</f>
        <v>181.8</v>
      </c>
      <c r="O110" s="85"/>
      <c r="P110" s="138" t="str">
        <f aca="false">IFERROR(VLOOKUP(TEXT(O110,"0"),CONDUCTORES!$A$3:$G$100,2,0),"")</f>
        <v/>
      </c>
      <c r="Q110" s="138" t="str">
        <f aca="false">IFERROR(VLOOKUP(TEXT(O110,"0"),CONDUCTORES!$A$3:$H$100,6,0),"")</f>
        <v/>
      </c>
      <c r="R110" s="140" t="s">
        <v>1131</v>
      </c>
      <c r="S110" s="107" t="s">
        <v>1172</v>
      </c>
      <c r="T110" s="141" t="s">
        <v>758</v>
      </c>
      <c r="U110" s="140" t="s">
        <v>1131</v>
      </c>
      <c r="V110" s="106" t="s">
        <v>1173</v>
      </c>
      <c r="W110" s="106" t="s">
        <v>940</v>
      </c>
      <c r="X110" s="106" t="s">
        <v>941</v>
      </c>
      <c r="Y110" s="85"/>
    </row>
    <row r="111" customFormat="false" ht="15.75" hidden="false" customHeight="true" outlineLevel="0" collapsed="false">
      <c r="A111" s="46" t="n">
        <v>106</v>
      </c>
      <c r="B111" s="110" t="s">
        <v>1174</v>
      </c>
      <c r="C111" s="46" t="s">
        <v>752</v>
      </c>
      <c r="D111" s="110" t="s">
        <v>1129</v>
      </c>
      <c r="E111" s="46" t="s">
        <v>99</v>
      </c>
      <c r="F111" s="46" t="s">
        <v>1130</v>
      </c>
      <c r="G111" s="142" t="n">
        <v>45668</v>
      </c>
      <c r="H111" s="46" t="s">
        <v>722</v>
      </c>
      <c r="I111" s="138" t="str">
        <f aca="false">IFERROR(VLOOKUP(TEXT(H111,"0"),IPRESS!$A$3:$B$212,2,0),"")</f>
        <v>ZARUMILLA</v>
      </c>
      <c r="J111" s="46" t="s">
        <v>529</v>
      </c>
      <c r="K111" s="138" t="str">
        <f aca="false">IFERROR(VLOOKUP(TEXT(O111,"0"),CONDUCTORES!$A$3:$G$100,7,0),"")</f>
        <v/>
      </c>
      <c r="L111" s="44" t="n">
        <v>18.18</v>
      </c>
      <c r="M111" s="44" t="n">
        <v>6</v>
      </c>
      <c r="N111" s="139" t="n">
        <f aca="false">IFERROR(IF(L111*M111=0,"",L111*M111),"")</f>
        <v>109.08</v>
      </c>
      <c r="O111" s="140"/>
      <c r="P111" s="138" t="str">
        <f aca="false">IFERROR(VLOOKUP(TEXT(O111,"0"),CONDUCTORES!$A$3:$G$100,2,0),"")</f>
        <v/>
      </c>
      <c r="Q111" s="138" t="str">
        <f aca="false">IFERROR(VLOOKUP(TEXT(O111,"0"),CONDUCTORES!$A$3:$H$100,6,0),"")</f>
        <v/>
      </c>
      <c r="R111" s="85" t="s">
        <v>1131</v>
      </c>
      <c r="S111" s="110" t="s">
        <v>1175</v>
      </c>
      <c r="T111" s="141" t="s">
        <v>758</v>
      </c>
      <c r="U111" s="85" t="s">
        <v>1131</v>
      </c>
      <c r="V111" s="46" t="s">
        <v>1176</v>
      </c>
      <c r="W111" s="46" t="s">
        <v>1069</v>
      </c>
      <c r="X111" s="46" t="s">
        <v>1070</v>
      </c>
      <c r="Y111" s="85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38" t="str">
        <f aca="false">IFERROR(VLOOKUP(TEXT(H112,"0"),IPRESS!$A$3:$B$212,2,0),"")</f>
        <v/>
      </c>
      <c r="J112" s="85"/>
      <c r="K112" s="138" t="str">
        <f aca="false">IFERROR(VLOOKUP(TEXT(O112,"0"),CONDUCTORES!$A$3:$G$54,7,0),"")</f>
        <v/>
      </c>
      <c r="L112" s="85"/>
      <c r="M112" s="85"/>
      <c r="N112" s="139" t="str">
        <f aca="false">IFERROR(IF(L112*M112=0,"",L112*M112),"")</f>
        <v/>
      </c>
      <c r="O112" s="85"/>
      <c r="P112" s="138" t="str">
        <f aca="false">IFERROR(VLOOKUP(TEXT(O112,"0"),CONDUCTORES!$A$3:$G$54,2,0),"")</f>
        <v/>
      </c>
      <c r="Q112" s="138" t="str">
        <f aca="false">IFERROR(VLOOKUP(TEXT(O112,"0"),CONDUCTORES!$A$3:$H$54,6,0),"")</f>
        <v/>
      </c>
      <c r="R112" s="85"/>
      <c r="S112" s="85"/>
      <c r="T112" s="85"/>
      <c r="U112" s="85"/>
      <c r="V112" s="85"/>
      <c r="W112" s="85"/>
      <c r="X112" s="85"/>
      <c r="Y112" s="85"/>
    </row>
    <row r="113" customFormat="false" ht="24" hidden="false" customHeight="true" outlineLevel="0" collapsed="false">
      <c r="A113" s="148" t="s">
        <v>1177</v>
      </c>
      <c r="B113" s="148"/>
      <c r="C113" s="148"/>
      <c r="D113" s="148"/>
      <c r="E113" s="148"/>
      <c r="F113" s="148"/>
      <c r="G113" s="148"/>
      <c r="H113" s="148"/>
      <c r="I113" s="148"/>
      <c r="J113" s="148"/>
      <c r="K113" s="149"/>
      <c r="L113" s="85"/>
      <c r="M113" s="150" t="n">
        <f aca="false">SUBTOTAL(9,M4:M111)</f>
        <v>850</v>
      </c>
      <c r="N113" s="150" t="n">
        <f aca="false">SUBTOTAL(9,N4:N111)</f>
        <v>15784.2</v>
      </c>
      <c r="O113" s="85"/>
      <c r="P113" s="138" t="str">
        <f aca="false">IFERROR(VLOOKUP(TEXT(O113,"0"),CONDUCTORES!$A$3:$G$100,2,0),"")</f>
        <v/>
      </c>
      <c r="Q113" s="138" t="str">
        <f aca="false">IFERROR(VLOOKUP(TEXT(O113,"0"),CONDUCTORES!$A$3:$H$100,6,0),"")</f>
        <v/>
      </c>
      <c r="R113" s="85"/>
      <c r="S113" s="85"/>
      <c r="T113" s="85"/>
      <c r="U113" s="85"/>
      <c r="V113" s="85"/>
      <c r="W113" s="85"/>
      <c r="X113" s="85"/>
      <c r="Y113" s="85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49"/>
      <c r="J114" s="85"/>
      <c r="K114" s="149"/>
      <c r="L114" s="85"/>
      <c r="M114" s="85"/>
      <c r="N114" s="151"/>
      <c r="O114" s="85"/>
      <c r="P114" s="149"/>
      <c r="Q114" s="149"/>
      <c r="R114" s="85"/>
      <c r="S114" s="85"/>
      <c r="T114" s="85"/>
      <c r="U114" s="85"/>
      <c r="V114" s="85"/>
      <c r="W114" s="85"/>
      <c r="X114" s="85"/>
      <c r="Y114" s="85"/>
    </row>
    <row r="115" customFormat="false" ht="15" hidden="false" customHeight="true" outlineLevel="0" collapsed="false">
      <c r="A115" s="140"/>
      <c r="B115" s="140"/>
      <c r="C115" s="140"/>
      <c r="D115" s="140"/>
      <c r="E115" s="140"/>
      <c r="F115" s="140"/>
      <c r="G115" s="140"/>
      <c r="H115" s="140"/>
      <c r="I115" s="149"/>
      <c r="J115" s="140"/>
      <c r="K115" s="149"/>
      <c r="L115" s="140"/>
      <c r="M115" s="140"/>
      <c r="N115" s="151"/>
      <c r="O115" s="140"/>
      <c r="P115" s="149"/>
      <c r="Q115" s="149"/>
      <c r="R115" s="140"/>
      <c r="S115" s="140"/>
      <c r="T115" s="140"/>
      <c r="U115" s="140"/>
      <c r="V115" s="140"/>
      <c r="W115" s="140"/>
      <c r="X115" s="140"/>
      <c r="Y115" s="140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49"/>
      <c r="J116" s="85"/>
      <c r="K116" s="149"/>
      <c r="L116" s="85"/>
      <c r="M116" s="85"/>
      <c r="N116" s="151"/>
      <c r="O116" s="85"/>
      <c r="P116" s="149"/>
      <c r="Q116" s="149"/>
      <c r="R116" s="85"/>
      <c r="S116" s="85"/>
      <c r="T116" s="85"/>
      <c r="U116" s="85"/>
      <c r="V116" s="85"/>
      <c r="W116" s="85"/>
      <c r="X116" s="85"/>
      <c r="Y116" s="85"/>
    </row>
    <row r="117" customFormat="false" ht="15" hidden="false" customHeight="true" outlineLevel="0" collapsed="false">
      <c r="A117" s="140"/>
      <c r="B117" s="140"/>
      <c r="C117" s="140"/>
      <c r="D117" s="140"/>
      <c r="E117" s="140"/>
      <c r="F117" s="140"/>
      <c r="G117" s="140"/>
      <c r="H117" s="140"/>
      <c r="I117" s="149"/>
      <c r="J117" s="140"/>
      <c r="K117" s="149"/>
      <c r="L117" s="140"/>
      <c r="M117" s="140"/>
      <c r="N117" s="151"/>
      <c r="O117" s="140"/>
      <c r="P117" s="149"/>
      <c r="Q117" s="149"/>
      <c r="R117" s="140"/>
      <c r="S117" s="140"/>
      <c r="T117" s="140"/>
      <c r="U117" s="140"/>
      <c r="V117" s="140"/>
      <c r="W117" s="140"/>
      <c r="X117" s="140"/>
      <c r="Y117" s="140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38" t="str">
        <f aca="false">IFERROR(VLOOKUP(TEXT(O118,"0"),CONDUCTORES!$A$3:$G$54,7,0),"")</f>
        <v/>
      </c>
      <c r="L118" s="85"/>
      <c r="M118" s="85"/>
      <c r="N118" s="139" t="str">
        <f aca="false">IFERROR(IF(L118*M118=0,"",L118*M118),"")</f>
        <v/>
      </c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</row>
    <row r="119" customFormat="false" ht="15" hidden="false" customHeight="tru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38" t="str">
        <f aca="false">IFERROR(VLOOKUP(TEXT(H119,"0"),IPRESS!$A$3:$B$212,2,0),"")</f>
        <v/>
      </c>
      <c r="J119" s="140"/>
      <c r="K119" s="138" t="str">
        <f aca="false">IFERROR(VLOOKUP(TEXT(O119,"0"),CONDUCTORES!$A$3:$G$54,7,0),"")</f>
        <v/>
      </c>
      <c r="L119" s="140"/>
      <c r="M119" s="140"/>
      <c r="N119" s="139" t="str">
        <f aca="false">IFERROR(IF(L119*M119=0,"",L119*M119),"")</f>
        <v/>
      </c>
      <c r="O119" s="140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140"/>
      <c r="S119" s="140"/>
      <c r="T119" s="140"/>
      <c r="U119" s="140"/>
      <c r="V119" s="140"/>
      <c r="W119" s="140"/>
      <c r="X119" s="140"/>
      <c r="Y119" s="140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1700</v>
      </c>
      <c r="N506" s="153" t="n">
        <f aca="false">SUM(N6:N505)</f>
        <v>31568.4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13:J113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12 E114:E505" type="list">
      <formula1>"DNI,CE,PASAPORTE"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1179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IFERROR(SUMPRODUCT((K4:K102="PETROLEO")*ISNUMBER(M4:M102)*M4:M102),0)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IFERROR(SUMPRODUCT((K4:K102="GASOLINA")*ISNUMBER(M4:M102)*M4:M102),0)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IFERROR(SUMPRODUCT(ISNUMBER(M4:M102)*L4:L102*M4:M102),0)</f>
        <v>0</v>
      </c>
      <c r="Q2" s="125"/>
      <c r="R2" s="125"/>
      <c r="S2" s="123" t="s">
        <v>727</v>
      </c>
      <c r="T2" s="123"/>
      <c r="U2" s="126" t="n">
        <f aca="false">SUBTOTAL(2,A4:A102)</f>
        <v>95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43" t="n">
        <v>1</v>
      </c>
      <c r="B6" s="144" t="s">
        <v>787</v>
      </c>
      <c r="C6" s="143" t="s">
        <v>752</v>
      </c>
      <c r="D6" s="144" t="s">
        <v>1180</v>
      </c>
      <c r="E6" s="143" t="s">
        <v>99</v>
      </c>
      <c r="F6" s="143" t="s">
        <v>1181</v>
      </c>
      <c r="G6" s="145" t="n">
        <v>45696</v>
      </c>
      <c r="H6" s="143" t="s">
        <v>350</v>
      </c>
      <c r="I6" s="138" t="str">
        <f aca="false">IFERROR(VLOOKUP(TEXT(H6,"0"),IPRESS!$A$3:$B$212,2,0),"")</f>
        <v>BUENOS AIRES</v>
      </c>
      <c r="J6" s="143" t="s">
        <v>595</v>
      </c>
      <c r="K6" s="138" t="str">
        <f aca="false">IFERROR(VLOOKUP(TEXT(O6,"0"),CONDUCTORES!$A$3:$G$100,7,0),"")</f>
        <v/>
      </c>
      <c r="L6" s="146" t="n">
        <v>17.95</v>
      </c>
      <c r="M6" s="146" t="n">
        <v>5</v>
      </c>
      <c r="N6" s="139" t="n">
        <f aca="false">IFERROR(IF(L6*M6=0,"",L6*M6),"")</f>
        <v>89.75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47" t="s">
        <v>1182</v>
      </c>
      <c r="S6" s="144" t="s">
        <v>1183</v>
      </c>
      <c r="T6" s="143"/>
      <c r="U6" s="145" t="n">
        <v>45728</v>
      </c>
      <c r="V6" s="143" t="s">
        <v>1184</v>
      </c>
      <c r="W6" s="143" t="s">
        <v>801</v>
      </c>
      <c r="X6" s="143" t="s">
        <v>1185</v>
      </c>
      <c r="Y6" s="85"/>
    </row>
    <row r="7" customFormat="false" ht="15.75" hidden="false" customHeight="true" outlineLevel="0" collapsed="false">
      <c r="A7" s="143" t="n">
        <v>2</v>
      </c>
      <c r="B7" s="144" t="s">
        <v>919</v>
      </c>
      <c r="C7" s="143" t="s">
        <v>752</v>
      </c>
      <c r="D7" s="144" t="s">
        <v>1186</v>
      </c>
      <c r="E7" s="143" t="s">
        <v>99</v>
      </c>
      <c r="F7" s="143" t="s">
        <v>1187</v>
      </c>
      <c r="G7" s="145" t="n">
        <v>45707</v>
      </c>
      <c r="H7" s="143" t="s">
        <v>350</v>
      </c>
      <c r="I7" s="138" t="str">
        <f aca="false">IFERROR(VLOOKUP(TEXT(H7,"0"),IPRESS!$A$3:$B$212,2,0),"")</f>
        <v>BUENOS AIRES</v>
      </c>
      <c r="J7" s="143" t="s">
        <v>595</v>
      </c>
      <c r="K7" s="138" t="str">
        <f aca="false">IFERROR(VLOOKUP(TEXT(O7,"0"),CONDUCTORES!$A$3:$G$100,7,0),"")</f>
        <v/>
      </c>
      <c r="L7" s="146" t="n">
        <v>17.95</v>
      </c>
      <c r="M7" s="146" t="n">
        <v>5</v>
      </c>
      <c r="N7" s="139" t="n">
        <f aca="false">IFERROR(IF(L7*M7=0,"",L7*M7),"")</f>
        <v>89.75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147" t="s">
        <v>1182</v>
      </c>
      <c r="S7" s="144" t="s">
        <v>1188</v>
      </c>
      <c r="T7" s="143"/>
      <c r="U7" s="145" t="n">
        <v>45727</v>
      </c>
      <c r="V7" s="143" t="s">
        <v>1184</v>
      </c>
      <c r="W7" s="143" t="s">
        <v>801</v>
      </c>
      <c r="X7" s="143" t="s">
        <v>1185</v>
      </c>
      <c r="Y7" s="85"/>
    </row>
    <row r="8" customFormat="false" ht="15.75" hidden="false" customHeight="true" outlineLevel="0" collapsed="false">
      <c r="A8" s="143" t="n">
        <v>3</v>
      </c>
      <c r="B8" s="144" t="s">
        <v>836</v>
      </c>
      <c r="C8" s="143" t="s">
        <v>752</v>
      </c>
      <c r="D8" s="144" t="s">
        <v>1189</v>
      </c>
      <c r="E8" s="143" t="s">
        <v>99</v>
      </c>
      <c r="F8" s="143" t="s">
        <v>1190</v>
      </c>
      <c r="G8" s="145" t="n">
        <v>45715</v>
      </c>
      <c r="H8" s="143" t="s">
        <v>350</v>
      </c>
      <c r="I8" s="138" t="str">
        <f aca="false">IFERROR(VLOOKUP(TEXT(H8,"0"),IPRESS!$A$3:$B$212,2,0),"")</f>
        <v>BUENOS AIRES</v>
      </c>
      <c r="J8" s="143" t="s">
        <v>595</v>
      </c>
      <c r="K8" s="138" t="str">
        <f aca="false">IFERROR(VLOOKUP(TEXT(O8,"0"),CONDUCTORES!$A$3:$G$100,7,0),"")</f>
        <v/>
      </c>
      <c r="L8" s="146" t="n">
        <v>17.95</v>
      </c>
      <c r="M8" s="146" t="n">
        <v>5</v>
      </c>
      <c r="N8" s="139" t="n">
        <f aca="false">IFERROR(IF(L8*M8=0,"",L8*M8),"")</f>
        <v>89.75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47" t="s">
        <v>1182</v>
      </c>
      <c r="S8" s="144" t="s">
        <v>1191</v>
      </c>
      <c r="T8" s="143"/>
      <c r="U8" s="145" t="n">
        <v>45737</v>
      </c>
      <c r="V8" s="143" t="s">
        <v>1184</v>
      </c>
      <c r="W8" s="143" t="s">
        <v>801</v>
      </c>
      <c r="X8" s="143" t="s">
        <v>1185</v>
      </c>
      <c r="Y8" s="85"/>
    </row>
    <row r="9" customFormat="false" ht="15.75" hidden="false" customHeight="true" outlineLevel="0" collapsed="false">
      <c r="A9" s="143" t="n">
        <v>4</v>
      </c>
      <c r="B9" s="144" t="s">
        <v>873</v>
      </c>
      <c r="C9" s="143" t="s">
        <v>752</v>
      </c>
      <c r="D9" s="144" t="s">
        <v>1192</v>
      </c>
      <c r="E9" s="143" t="s">
        <v>99</v>
      </c>
      <c r="F9" s="143" t="s">
        <v>1193</v>
      </c>
      <c r="G9" s="145" t="n">
        <v>45716</v>
      </c>
      <c r="H9" s="143" t="s">
        <v>350</v>
      </c>
      <c r="I9" s="138" t="str">
        <f aca="false">IFERROR(VLOOKUP(TEXT(H9,"0"),IPRESS!$A$3:$B$212,2,0),"")</f>
        <v>BUENOS AIRES</v>
      </c>
      <c r="J9" s="143" t="s">
        <v>595</v>
      </c>
      <c r="K9" s="138" t="str">
        <f aca="false">IFERROR(VLOOKUP(TEXT(O9,"0"),CONDUCTORES!$A$3:$G$100,7,0),"")</f>
        <v/>
      </c>
      <c r="L9" s="146" t="n">
        <v>17.95</v>
      </c>
      <c r="M9" s="146" t="n">
        <v>5</v>
      </c>
      <c r="N9" s="139" t="n">
        <f aca="false">IFERROR(IF(L9*M9=0,"",L9*M9),"")</f>
        <v>89.75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147" t="s">
        <v>1182</v>
      </c>
      <c r="S9" s="144" t="s">
        <v>1194</v>
      </c>
      <c r="T9" s="143"/>
      <c r="U9" s="145" t="n">
        <v>45737</v>
      </c>
      <c r="V9" s="143" t="s">
        <v>1184</v>
      </c>
      <c r="W9" s="143" t="s">
        <v>801</v>
      </c>
      <c r="X9" s="143" t="s">
        <v>1185</v>
      </c>
      <c r="Y9" s="85"/>
    </row>
    <row r="10" customFormat="false" ht="15.75" hidden="false" customHeight="true" outlineLevel="0" collapsed="false">
      <c r="A10" s="143" t="n">
        <v>5</v>
      </c>
      <c r="B10" s="144" t="s">
        <v>866</v>
      </c>
      <c r="C10" s="143" t="s">
        <v>752</v>
      </c>
      <c r="D10" s="144" t="s">
        <v>1195</v>
      </c>
      <c r="E10" s="143" t="s">
        <v>99</v>
      </c>
      <c r="F10" s="143" t="s">
        <v>1196</v>
      </c>
      <c r="G10" s="145" t="n">
        <v>45716</v>
      </c>
      <c r="H10" s="143" t="s">
        <v>350</v>
      </c>
      <c r="I10" s="138" t="str">
        <f aca="false">IFERROR(VLOOKUP(TEXT(H10,"0"),IPRESS!$A$3:$B$212,2,0),"")</f>
        <v>BUENOS AIRES</v>
      </c>
      <c r="J10" s="143" t="s">
        <v>595</v>
      </c>
      <c r="K10" s="138" t="str">
        <f aca="false">IFERROR(VLOOKUP(TEXT(O10,"0"),CONDUCTORES!$A$3:$G$100,7,0),"")</f>
        <v/>
      </c>
      <c r="L10" s="146" t="n">
        <v>17.95</v>
      </c>
      <c r="M10" s="146" t="n">
        <v>5</v>
      </c>
      <c r="N10" s="139" t="n">
        <f aca="false">IFERROR(IF(L10*M10=0,"",L10*M10),"")</f>
        <v>89.75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47" t="s">
        <v>1182</v>
      </c>
      <c r="S10" s="144" t="s">
        <v>891</v>
      </c>
      <c r="T10" s="143"/>
      <c r="U10" s="145" t="n">
        <v>45737</v>
      </c>
      <c r="V10" s="143" t="s">
        <v>1184</v>
      </c>
      <c r="W10" s="143" t="s">
        <v>801</v>
      </c>
      <c r="X10" s="143" t="s">
        <v>1185</v>
      </c>
      <c r="Y10" s="85"/>
    </row>
    <row r="11" customFormat="false" ht="15.75" hidden="false" customHeight="true" outlineLevel="0" collapsed="false">
      <c r="A11" s="46" t="n">
        <v>6</v>
      </c>
      <c r="B11" s="110" t="s">
        <v>1197</v>
      </c>
      <c r="C11" s="46" t="s">
        <v>752</v>
      </c>
      <c r="D11" s="110" t="s">
        <v>1198</v>
      </c>
      <c r="E11" s="46" t="s">
        <v>99</v>
      </c>
      <c r="F11" s="46" t="s">
        <v>1199</v>
      </c>
      <c r="G11" s="142" t="n">
        <v>45715</v>
      </c>
      <c r="H11" s="46" t="s">
        <v>357</v>
      </c>
      <c r="I11" s="138" t="str">
        <f aca="false">IFERROR(VLOOKUP(TEXT(H11,"0"),IPRESS!$A$3:$B$212,2,0),"")</f>
        <v>CAMPORREDONDO</v>
      </c>
      <c r="J11" s="46" t="s">
        <v>755</v>
      </c>
      <c r="K11" s="138" t="str">
        <f aca="false">IFERROR(VLOOKUP(TEXT(O11,"0"),CONDUCTORES!$A$3:$G$100,7,0),"")</f>
        <v/>
      </c>
      <c r="L11" s="44" t="n">
        <v>18.18</v>
      </c>
      <c r="M11" s="44" t="n">
        <v>20</v>
      </c>
      <c r="N11" s="139" t="n">
        <f aca="false">IFERROR(IF(L11*M11=0,"",L11*M11),"")</f>
        <v>363.6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85" t="s">
        <v>1200</v>
      </c>
      <c r="S11" s="110" t="s">
        <v>1201</v>
      </c>
      <c r="T11" s="46"/>
      <c r="U11" s="142" t="n">
        <v>45749</v>
      </c>
      <c r="V11" s="46"/>
      <c r="W11" s="46"/>
      <c r="X11" s="46"/>
      <c r="Y11" s="85"/>
    </row>
    <row r="12" customFormat="false" ht="15.75" hidden="false" customHeight="true" outlineLevel="0" collapsed="false">
      <c r="A12" s="106" t="n">
        <v>7</v>
      </c>
      <c r="B12" s="107" t="s">
        <v>1202</v>
      </c>
      <c r="C12" s="106" t="s">
        <v>752</v>
      </c>
      <c r="D12" s="107" t="s">
        <v>1203</v>
      </c>
      <c r="E12" s="136" t="s">
        <v>99</v>
      </c>
      <c r="F12" s="106" t="s">
        <v>1204</v>
      </c>
      <c r="G12" s="137" t="n">
        <v>45712</v>
      </c>
      <c r="H12" s="106" t="s">
        <v>357</v>
      </c>
      <c r="I12" s="138" t="str">
        <f aca="false">IFERROR(VLOOKUP(TEXT(H12,"0"),IPRESS!$A$3:$B$212,2,0),"")</f>
        <v>CAMPORREDONDO</v>
      </c>
      <c r="J12" s="106" t="s">
        <v>755</v>
      </c>
      <c r="K12" s="138" t="str">
        <f aca="false">IFERROR(VLOOKUP(TEXT(O12,"0"),CONDUCTORES!$A$3:$G$100,7,0),"")</f>
        <v/>
      </c>
      <c r="L12" s="50" t="n">
        <v>18.18</v>
      </c>
      <c r="M12" s="50" t="n">
        <v>20</v>
      </c>
      <c r="N12" s="139" t="n">
        <f aca="false">IFERROR(IF(L12*M12=0,"",L12*M12),"")</f>
        <v>363.6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40" t="s">
        <v>1205</v>
      </c>
      <c r="S12" s="107" t="s">
        <v>1206</v>
      </c>
      <c r="T12" s="136"/>
      <c r="U12" s="137" t="n">
        <v>45744</v>
      </c>
      <c r="V12" s="106" t="s">
        <v>792</v>
      </c>
      <c r="W12" s="106" t="s">
        <v>801</v>
      </c>
      <c r="X12" s="106" t="s">
        <v>794</v>
      </c>
      <c r="Y12" s="85"/>
    </row>
    <row r="13" customFormat="false" ht="15.75" hidden="false" customHeight="true" outlineLevel="0" collapsed="false">
      <c r="A13" s="46" t="n">
        <v>8</v>
      </c>
      <c r="B13" s="110" t="s">
        <v>1207</v>
      </c>
      <c r="C13" s="46" t="s">
        <v>752</v>
      </c>
      <c r="D13" s="110" t="s">
        <v>1208</v>
      </c>
      <c r="E13" s="46" t="s">
        <v>99</v>
      </c>
      <c r="F13" s="46" t="s">
        <v>1209</v>
      </c>
      <c r="G13" s="142" t="n">
        <v>45709</v>
      </c>
      <c r="H13" s="46" t="s">
        <v>357</v>
      </c>
      <c r="I13" s="138" t="str">
        <f aca="false">IFERROR(VLOOKUP(TEXT(H13,"0"),IPRESS!$A$3:$B$212,2,0),"")</f>
        <v>CAMPORREDONDO</v>
      </c>
      <c r="J13" s="46" t="s">
        <v>755</v>
      </c>
      <c r="K13" s="138" t="str">
        <f aca="false">IFERROR(VLOOKUP(TEXT(O13,"0"),CONDUCTORES!$A$3:$G$100,7,0),"")</f>
        <v/>
      </c>
      <c r="L13" s="44" t="n">
        <v>18.18</v>
      </c>
      <c r="M13" s="44" t="n">
        <v>25</v>
      </c>
      <c r="N13" s="139" t="n">
        <f aca="false">IFERROR(IF(L13*M13=0,"",L13*M13),"")</f>
        <v>454.5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85" t="s">
        <v>1205</v>
      </c>
      <c r="S13" s="110" t="s">
        <v>1210</v>
      </c>
      <c r="T13" s="46"/>
      <c r="U13" s="142" t="n">
        <v>45744</v>
      </c>
      <c r="V13" s="46" t="s">
        <v>792</v>
      </c>
      <c r="W13" s="46" t="s">
        <v>801</v>
      </c>
      <c r="X13" s="46" t="s">
        <v>794</v>
      </c>
      <c r="Y13" s="85"/>
    </row>
    <row r="14" customFormat="false" ht="15.75" hidden="false" customHeight="true" outlineLevel="0" collapsed="false">
      <c r="A14" s="106" t="n">
        <v>9</v>
      </c>
      <c r="B14" s="107" t="s">
        <v>818</v>
      </c>
      <c r="C14" s="106" t="s">
        <v>752</v>
      </c>
      <c r="D14" s="107" t="s">
        <v>1211</v>
      </c>
      <c r="E14" s="136" t="s">
        <v>99</v>
      </c>
      <c r="F14" s="106" t="s">
        <v>1212</v>
      </c>
      <c r="G14" s="137" t="n">
        <v>45696</v>
      </c>
      <c r="H14" s="106" t="s">
        <v>407</v>
      </c>
      <c r="I14" s="138" t="str">
        <f aca="false">IFERROR(VLOOKUP(TEXT(H14,"0"),IPRESS!$A$3:$B$212,2,0),"")</f>
        <v>COCOCHO</v>
      </c>
      <c r="J14" s="106" t="s">
        <v>755</v>
      </c>
      <c r="K14" s="138" t="str">
        <f aca="false">IFERROR(VLOOKUP(TEXT(O14,"0"),CONDUCTORES!$A$3:$G$100,7,0),"")</f>
        <v/>
      </c>
      <c r="L14" s="50" t="n">
        <v>18.18</v>
      </c>
      <c r="M14" s="50" t="n">
        <v>30</v>
      </c>
      <c r="N14" s="139" t="n">
        <f aca="false">IFERROR(IF(L14*M14=0,"",L14*M14),"")</f>
        <v>545.4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40" t="s">
        <v>988</v>
      </c>
      <c r="S14" s="107" t="s">
        <v>1213</v>
      </c>
      <c r="T14" s="136"/>
      <c r="U14" s="137" t="n">
        <v>45721</v>
      </c>
      <c r="V14" s="106" t="s">
        <v>990</v>
      </c>
      <c r="W14" s="106" t="s">
        <v>801</v>
      </c>
      <c r="X14" s="106" t="s">
        <v>794</v>
      </c>
      <c r="Y14" s="85"/>
    </row>
    <row r="15" customFormat="false" ht="15.75" hidden="false" customHeight="true" outlineLevel="0" collapsed="false">
      <c r="A15" s="46" t="n">
        <v>10</v>
      </c>
      <c r="B15" s="110" t="s">
        <v>926</v>
      </c>
      <c r="C15" s="46" t="s">
        <v>752</v>
      </c>
      <c r="D15" s="110" t="s">
        <v>1214</v>
      </c>
      <c r="E15" s="46" t="s">
        <v>99</v>
      </c>
      <c r="F15" s="46" t="s">
        <v>1215</v>
      </c>
      <c r="G15" s="142" t="n">
        <v>45700</v>
      </c>
      <c r="H15" s="46" t="s">
        <v>407</v>
      </c>
      <c r="I15" s="138" t="str">
        <f aca="false">IFERROR(VLOOKUP(TEXT(H15,"0"),IPRESS!$A$3:$B$212,2,0),"")</f>
        <v>COCOCHO</v>
      </c>
      <c r="J15" s="46" t="s">
        <v>1216</v>
      </c>
      <c r="K15" s="138" t="str">
        <f aca="false">IFERROR(VLOOKUP(TEXT(O15,"0"),CONDUCTORES!$A$3:$G$100,7,0),"")</f>
        <v/>
      </c>
      <c r="L15" s="44" t="n">
        <v>18.18</v>
      </c>
      <c r="M15" s="44" t="n">
        <v>22</v>
      </c>
      <c r="N15" s="139" t="n">
        <f aca="false">IFERROR(IF(L15*M15=0,"",L15*M15),"")</f>
        <v>399.96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85" t="s">
        <v>988</v>
      </c>
      <c r="S15" s="110" t="s">
        <v>1217</v>
      </c>
      <c r="T15" s="46"/>
      <c r="U15" s="142" t="n">
        <v>45744</v>
      </c>
      <c r="V15" s="46" t="s">
        <v>1218</v>
      </c>
      <c r="W15" s="46" t="s">
        <v>801</v>
      </c>
      <c r="X15" s="46" t="s">
        <v>794</v>
      </c>
      <c r="Y15" s="85"/>
    </row>
    <row r="16" customFormat="false" ht="15.75" hidden="false" customHeight="true" outlineLevel="0" collapsed="false">
      <c r="A16" s="106" t="n">
        <v>11</v>
      </c>
      <c r="B16" s="107" t="s">
        <v>827</v>
      </c>
      <c r="C16" s="106" t="s">
        <v>752</v>
      </c>
      <c r="D16" s="107" t="s">
        <v>1219</v>
      </c>
      <c r="E16" s="136" t="s">
        <v>99</v>
      </c>
      <c r="F16" s="106" t="s">
        <v>1220</v>
      </c>
      <c r="G16" s="137" t="n">
        <v>45703</v>
      </c>
      <c r="H16" s="106" t="s">
        <v>407</v>
      </c>
      <c r="I16" s="138" t="str">
        <f aca="false">IFERROR(VLOOKUP(TEXT(H16,"0"),IPRESS!$A$3:$B$212,2,0),"")</f>
        <v>COCOCHO</v>
      </c>
      <c r="J16" s="106" t="s">
        <v>755</v>
      </c>
      <c r="K16" s="138" t="str">
        <f aca="false">IFERROR(VLOOKUP(TEXT(O16,"0"),CONDUCTORES!$A$3:$G$100,7,0),"")</f>
        <v/>
      </c>
      <c r="L16" s="50" t="n">
        <v>18.18</v>
      </c>
      <c r="M16" s="50" t="n">
        <v>25</v>
      </c>
      <c r="N16" s="139" t="n">
        <f aca="false">IFERROR(IF(L16*M16=0,"",L16*M16),"")</f>
        <v>454.5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40" t="s">
        <v>988</v>
      </c>
      <c r="S16" s="107" t="s">
        <v>1221</v>
      </c>
      <c r="T16" s="136"/>
      <c r="U16" s="137" t="n">
        <v>45727</v>
      </c>
      <c r="V16" s="106" t="s">
        <v>1222</v>
      </c>
      <c r="W16" s="106" t="s">
        <v>801</v>
      </c>
      <c r="X16" s="106" t="s">
        <v>794</v>
      </c>
      <c r="Y16" s="85"/>
    </row>
    <row r="17" customFormat="false" ht="15.75" hidden="false" customHeight="true" outlineLevel="0" collapsed="false">
      <c r="A17" s="46" t="n">
        <v>12</v>
      </c>
      <c r="B17" s="110" t="s">
        <v>832</v>
      </c>
      <c r="C17" s="46" t="s">
        <v>752</v>
      </c>
      <c r="D17" s="110" t="s">
        <v>1223</v>
      </c>
      <c r="E17" s="46" t="s">
        <v>99</v>
      </c>
      <c r="F17" s="46" t="s">
        <v>1224</v>
      </c>
      <c r="G17" s="142" t="n">
        <v>45704</v>
      </c>
      <c r="H17" s="46" t="s">
        <v>407</v>
      </c>
      <c r="I17" s="138" t="str">
        <f aca="false">IFERROR(VLOOKUP(TEXT(H17,"0"),IPRESS!$A$3:$B$212,2,0),"")</f>
        <v>COCOCHO</v>
      </c>
      <c r="J17" s="46" t="s">
        <v>755</v>
      </c>
      <c r="K17" s="138" t="str">
        <f aca="false">IFERROR(VLOOKUP(TEXT(O17,"0"),CONDUCTORES!$A$3:$G$100,7,0),"")</f>
        <v/>
      </c>
      <c r="L17" s="44" t="n">
        <v>18.18</v>
      </c>
      <c r="M17" s="44" t="n">
        <v>25</v>
      </c>
      <c r="N17" s="139" t="n">
        <f aca="false">IFERROR(IF(L17*M17=0,"",L17*M17),"")</f>
        <v>454.5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85" t="s">
        <v>988</v>
      </c>
      <c r="S17" s="110" t="s">
        <v>1225</v>
      </c>
      <c r="T17" s="46"/>
      <c r="U17" s="142" t="n">
        <v>45707</v>
      </c>
      <c r="V17" s="46" t="s">
        <v>1226</v>
      </c>
      <c r="W17" s="46" t="s">
        <v>801</v>
      </c>
      <c r="X17" s="46" t="s">
        <v>794</v>
      </c>
      <c r="Y17" s="85"/>
    </row>
    <row r="18" customFormat="false" ht="15.75" hidden="false" customHeight="true" outlineLevel="0" collapsed="false">
      <c r="A18" s="106" t="n">
        <v>13</v>
      </c>
      <c r="B18" s="107" t="s">
        <v>1227</v>
      </c>
      <c r="C18" s="106" t="s">
        <v>752</v>
      </c>
      <c r="D18" s="107" t="s">
        <v>1228</v>
      </c>
      <c r="E18" s="136" t="s">
        <v>99</v>
      </c>
      <c r="F18" s="106" t="s">
        <v>1229</v>
      </c>
      <c r="G18" s="137" t="n">
        <v>45715</v>
      </c>
      <c r="H18" s="106" t="s">
        <v>407</v>
      </c>
      <c r="I18" s="138" t="str">
        <f aca="false">IFERROR(VLOOKUP(TEXT(H18,"0"),IPRESS!$A$3:$B$212,2,0),"")</f>
        <v>COCOCHO</v>
      </c>
      <c r="J18" s="106" t="s">
        <v>755</v>
      </c>
      <c r="K18" s="138" t="str">
        <f aca="false">IFERROR(VLOOKUP(TEXT(O18,"0"),CONDUCTORES!$A$3:$G$100,7,0),"")</f>
        <v/>
      </c>
      <c r="L18" s="50" t="n">
        <v>18.18</v>
      </c>
      <c r="M18" s="50" t="n">
        <v>28</v>
      </c>
      <c r="N18" s="139" t="n">
        <f aca="false">IFERROR(IF(L18*M18=0,"",L18*M18),"")</f>
        <v>509.04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40" t="s">
        <v>886</v>
      </c>
      <c r="S18" s="107" t="s">
        <v>1230</v>
      </c>
      <c r="T18" s="136"/>
      <c r="U18" s="137" t="n">
        <v>45744</v>
      </c>
      <c r="V18" s="106"/>
      <c r="W18" s="106"/>
      <c r="X18" s="106"/>
      <c r="Y18" s="85"/>
    </row>
    <row r="19" customFormat="false" ht="15.75" hidden="false" customHeight="true" outlineLevel="0" collapsed="false">
      <c r="A19" s="46" t="n">
        <v>14</v>
      </c>
      <c r="B19" s="110" t="s">
        <v>926</v>
      </c>
      <c r="C19" s="46" t="s">
        <v>752</v>
      </c>
      <c r="D19" s="110" t="s">
        <v>1231</v>
      </c>
      <c r="E19" s="46" t="s">
        <v>99</v>
      </c>
      <c r="F19" s="46" t="s">
        <v>1232</v>
      </c>
      <c r="G19" s="142" t="n">
        <v>45705</v>
      </c>
      <c r="H19" s="46" t="s">
        <v>408</v>
      </c>
      <c r="I19" s="138" t="str">
        <f aca="false">IFERROR(VLOOKUP(TEXT(H19,"0"),IPRESS!$A$3:$B$212,2,0),"")</f>
        <v>COLCAMAR</v>
      </c>
      <c r="J19" s="46" t="s">
        <v>755</v>
      </c>
      <c r="K19" s="138" t="str">
        <f aca="false">IFERROR(VLOOKUP(TEXT(O19,"0"),CONDUCTORES!$A$3:$G$100,7,0),"")</f>
        <v/>
      </c>
      <c r="L19" s="44" t="n">
        <v>18.18</v>
      </c>
      <c r="M19" s="44" t="n">
        <v>8</v>
      </c>
      <c r="N19" s="139" t="n">
        <f aca="false">IFERROR(IF(L19*M19=0,"",L19*M19),"")</f>
        <v>145.44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85" t="s">
        <v>982</v>
      </c>
      <c r="S19" s="110" t="s">
        <v>1233</v>
      </c>
      <c r="T19" s="46"/>
      <c r="U19" s="142" t="n">
        <v>45716</v>
      </c>
      <c r="V19" s="46"/>
      <c r="W19" s="46"/>
      <c r="X19" s="46"/>
      <c r="Y19" s="85"/>
    </row>
    <row r="20" customFormat="false" ht="15.75" hidden="false" customHeight="true" outlineLevel="0" collapsed="false">
      <c r="A20" s="106" t="n">
        <v>15</v>
      </c>
      <c r="B20" s="107" t="s">
        <v>827</v>
      </c>
      <c r="C20" s="106" t="s">
        <v>752</v>
      </c>
      <c r="D20" s="107" t="s">
        <v>1234</v>
      </c>
      <c r="E20" s="136" t="s">
        <v>99</v>
      </c>
      <c r="F20" s="106" t="s">
        <v>1235</v>
      </c>
      <c r="G20" s="137" t="n">
        <v>45708</v>
      </c>
      <c r="H20" s="106" t="s">
        <v>408</v>
      </c>
      <c r="I20" s="138" t="str">
        <f aca="false">IFERROR(VLOOKUP(TEXT(H20,"0"),IPRESS!$A$3:$B$212,2,0),"")</f>
        <v>COLCAMAR</v>
      </c>
      <c r="J20" s="106" t="s">
        <v>755</v>
      </c>
      <c r="K20" s="138" t="str">
        <f aca="false">IFERROR(VLOOKUP(TEXT(O20,"0"),CONDUCTORES!$A$3:$G$100,7,0),"")</f>
        <v/>
      </c>
      <c r="L20" s="50" t="n">
        <v>18.18</v>
      </c>
      <c r="M20" s="50" t="n">
        <v>8</v>
      </c>
      <c r="N20" s="139" t="n">
        <f aca="false">IFERROR(IF(L20*M20=0,"",L20*M20),"")</f>
        <v>145.44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40" t="s">
        <v>982</v>
      </c>
      <c r="S20" s="107" t="s">
        <v>1236</v>
      </c>
      <c r="T20" s="136"/>
      <c r="U20" s="137" t="n">
        <v>45716</v>
      </c>
      <c r="V20" s="106"/>
      <c r="W20" s="106"/>
      <c r="X20" s="106"/>
      <c r="Y20" s="85"/>
    </row>
    <row r="21" customFormat="false" ht="15.75" hidden="false" customHeight="true" outlineLevel="0" collapsed="false">
      <c r="A21" s="46" t="n">
        <v>16</v>
      </c>
      <c r="B21" s="110" t="s">
        <v>1128</v>
      </c>
      <c r="C21" s="46" t="s">
        <v>752</v>
      </c>
      <c r="D21" s="110" t="s">
        <v>1237</v>
      </c>
      <c r="E21" s="46" t="s">
        <v>99</v>
      </c>
      <c r="F21" s="46" t="s">
        <v>1238</v>
      </c>
      <c r="G21" s="142" t="n">
        <v>45715</v>
      </c>
      <c r="H21" s="46" t="s">
        <v>408</v>
      </c>
      <c r="I21" s="138" t="str">
        <f aca="false">IFERROR(VLOOKUP(TEXT(H21,"0"),IPRESS!$A$3:$B$212,2,0),"")</f>
        <v>COLCAMAR</v>
      </c>
      <c r="J21" s="46" t="s">
        <v>755</v>
      </c>
      <c r="K21" s="138" t="str">
        <f aca="false">IFERROR(VLOOKUP(TEXT(O21,"0"),CONDUCTORES!$A$3:$G$100,7,0),"")</f>
        <v/>
      </c>
      <c r="L21" s="44" t="n">
        <v>18.18</v>
      </c>
      <c r="M21" s="44" t="n">
        <v>7</v>
      </c>
      <c r="N21" s="139" t="n">
        <f aca="false">IFERROR(IF(L21*M21=0,"",L21*M21),"")</f>
        <v>127.26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85" t="s">
        <v>982</v>
      </c>
      <c r="S21" s="110" t="s">
        <v>1236</v>
      </c>
      <c r="T21" s="46"/>
      <c r="U21" s="142" t="n">
        <v>45737</v>
      </c>
      <c r="V21" s="46"/>
      <c r="W21" s="46"/>
      <c r="X21" s="46"/>
      <c r="Y21" s="85"/>
    </row>
    <row r="22" customFormat="false" ht="15.75" hidden="false" customHeight="true" outlineLevel="0" collapsed="false">
      <c r="A22" s="106" t="n">
        <v>17</v>
      </c>
      <c r="B22" s="107" t="s">
        <v>926</v>
      </c>
      <c r="C22" s="106" t="s">
        <v>752</v>
      </c>
      <c r="D22" s="107" t="s">
        <v>1239</v>
      </c>
      <c r="E22" s="136" t="s">
        <v>99</v>
      </c>
      <c r="F22" s="106" t="s">
        <v>1240</v>
      </c>
      <c r="G22" s="137" t="n">
        <v>45693</v>
      </c>
      <c r="H22" s="106" t="s">
        <v>409</v>
      </c>
      <c r="I22" s="138" t="str">
        <f aca="false">IFERROR(VLOOKUP(TEXT(H22,"0"),IPRESS!$A$3:$B$212,2,0),"")</f>
        <v>COLLONCE</v>
      </c>
      <c r="J22" s="106" t="s">
        <v>755</v>
      </c>
      <c r="K22" s="138" t="str">
        <f aca="false">IFERROR(VLOOKUP(TEXT(O22,"0"),CONDUCTORES!$A$3:$G$100,7,0),"")</f>
        <v/>
      </c>
      <c r="L22" s="50" t="n">
        <v>18.18</v>
      </c>
      <c r="M22" s="50" t="n">
        <v>20</v>
      </c>
      <c r="N22" s="139" t="n">
        <f aca="false">IFERROR(IF(L22*M22=0,"",L22*M22),"")</f>
        <v>363.6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40" t="s">
        <v>937</v>
      </c>
      <c r="S22" s="107" t="s">
        <v>891</v>
      </c>
      <c r="T22" s="136"/>
      <c r="U22" s="137" t="n">
        <v>45722</v>
      </c>
      <c r="V22" s="106"/>
      <c r="W22" s="106"/>
      <c r="X22" s="106"/>
      <c r="Y22" s="85"/>
    </row>
    <row r="23" customFormat="false" ht="15.75" hidden="false" customHeight="true" outlineLevel="0" collapsed="false">
      <c r="A23" s="46" t="n">
        <v>18</v>
      </c>
      <c r="B23" s="110" t="s">
        <v>827</v>
      </c>
      <c r="C23" s="46" t="s">
        <v>752</v>
      </c>
      <c r="D23" s="110" t="s">
        <v>949</v>
      </c>
      <c r="E23" s="46" t="s">
        <v>99</v>
      </c>
      <c r="F23" s="46" t="s">
        <v>950</v>
      </c>
      <c r="G23" s="142" t="n">
        <v>45709</v>
      </c>
      <c r="H23" s="46" t="s">
        <v>409</v>
      </c>
      <c r="I23" s="138" t="str">
        <f aca="false">IFERROR(VLOOKUP(TEXT(H23,"0"),IPRESS!$A$3:$B$212,2,0),"")</f>
        <v>COLLONCE</v>
      </c>
      <c r="J23" s="46" t="s">
        <v>755</v>
      </c>
      <c r="K23" s="138" t="str">
        <f aca="false">IFERROR(VLOOKUP(TEXT(O23,"0"),CONDUCTORES!$A$3:$G$100,7,0),"")</f>
        <v/>
      </c>
      <c r="L23" s="44" t="n">
        <v>18.18</v>
      </c>
      <c r="M23" s="44" t="n">
        <v>20</v>
      </c>
      <c r="N23" s="139" t="n">
        <f aca="false">IFERROR(IF(L23*M23=0,"",L23*M23),"")</f>
        <v>363.6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85" t="s">
        <v>937</v>
      </c>
      <c r="S23" s="110" t="s">
        <v>951</v>
      </c>
      <c r="T23" s="46"/>
      <c r="U23" s="142" t="n">
        <v>45736</v>
      </c>
      <c r="V23" s="46"/>
      <c r="W23" s="46"/>
      <c r="X23" s="46"/>
      <c r="Y23" s="85"/>
    </row>
    <row r="24" customFormat="false" ht="15.75" hidden="false" customHeight="true" outlineLevel="0" collapsed="false">
      <c r="A24" s="106" t="n">
        <v>19</v>
      </c>
      <c r="B24" s="107" t="s">
        <v>919</v>
      </c>
      <c r="C24" s="106" t="s">
        <v>752</v>
      </c>
      <c r="D24" s="107" t="s">
        <v>1241</v>
      </c>
      <c r="E24" s="136" t="s">
        <v>99</v>
      </c>
      <c r="F24" s="106" t="s">
        <v>1242</v>
      </c>
      <c r="G24" s="137" t="n">
        <v>45714</v>
      </c>
      <c r="H24" s="106" t="s">
        <v>418</v>
      </c>
      <c r="I24" s="138" t="str">
        <f aca="false">IFERROR(VLOOKUP(TEXT(H24,"0"),IPRESS!$A$3:$B$212,2,0),"")</f>
        <v>COROSHA</v>
      </c>
      <c r="J24" s="106" t="s">
        <v>755</v>
      </c>
      <c r="K24" s="138" t="str">
        <f aca="false">IFERROR(VLOOKUP(TEXT(O24,"0"),CONDUCTORES!$A$3:$G$100,7,0),"")</f>
        <v/>
      </c>
      <c r="L24" s="50" t="n">
        <v>18.18</v>
      </c>
      <c r="M24" s="50" t="n">
        <v>15</v>
      </c>
      <c r="N24" s="139" t="n">
        <f aca="false">IFERROR(IF(L24*M24=0,"",L24*M24),"")</f>
        <v>272.7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40" t="s">
        <v>982</v>
      </c>
      <c r="S24" s="107" t="s">
        <v>1243</v>
      </c>
      <c r="T24" s="136"/>
      <c r="U24" s="137" t="n">
        <v>45730</v>
      </c>
      <c r="V24" s="106"/>
      <c r="W24" s="106"/>
      <c r="X24" s="106"/>
      <c r="Y24" s="85"/>
    </row>
    <row r="25" customFormat="false" ht="15.75" hidden="false" customHeight="true" outlineLevel="0" collapsed="false">
      <c r="A25" s="46" t="n">
        <v>20</v>
      </c>
      <c r="B25" s="110" t="s">
        <v>787</v>
      </c>
      <c r="C25" s="46" t="s">
        <v>752</v>
      </c>
      <c r="D25" s="110" t="s">
        <v>1244</v>
      </c>
      <c r="E25" s="46" t="s">
        <v>99</v>
      </c>
      <c r="F25" s="46" t="s">
        <v>1245</v>
      </c>
      <c r="G25" s="142" t="n">
        <v>45702</v>
      </c>
      <c r="H25" s="46" t="s">
        <v>460</v>
      </c>
      <c r="I25" s="138" t="str">
        <f aca="false">IFERROR(VLOOKUP(TEXT(H25,"0"),IPRESS!$A$3:$B$212,2,0),"")</f>
        <v>GUADALUPE</v>
      </c>
      <c r="J25" s="46" t="s">
        <v>755</v>
      </c>
      <c r="K25" s="138" t="str">
        <f aca="false">IFERROR(VLOOKUP(TEXT(O25,"0"),CONDUCTORES!$A$3:$G$100,7,0),"")</f>
        <v/>
      </c>
      <c r="L25" s="44" t="n">
        <v>18.18</v>
      </c>
      <c r="M25" s="44" t="n">
        <v>25</v>
      </c>
      <c r="N25" s="139" t="n">
        <f aca="false">IFERROR(IF(L25*M25=0,"",L25*M25),"")</f>
        <v>454.5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85" t="s">
        <v>1205</v>
      </c>
      <c r="S25" s="110" t="s">
        <v>1246</v>
      </c>
      <c r="T25" s="46"/>
      <c r="U25" s="142" t="n">
        <v>45737</v>
      </c>
      <c r="V25" s="46" t="s">
        <v>792</v>
      </c>
      <c r="W25" s="46" t="s">
        <v>801</v>
      </c>
      <c r="X25" s="46" t="s">
        <v>794</v>
      </c>
      <c r="Y25" s="85"/>
    </row>
    <row r="26" customFormat="false" ht="15.75" hidden="false" customHeight="true" outlineLevel="0" collapsed="false">
      <c r="A26" s="106" t="n">
        <v>21</v>
      </c>
      <c r="B26" s="107" t="s">
        <v>787</v>
      </c>
      <c r="C26" s="106" t="s">
        <v>752</v>
      </c>
      <c r="D26" s="107" t="s">
        <v>1247</v>
      </c>
      <c r="E26" s="136" t="s">
        <v>99</v>
      </c>
      <c r="F26" s="106" t="s">
        <v>1248</v>
      </c>
      <c r="G26" s="137" t="n">
        <v>45693</v>
      </c>
      <c r="H26" s="106" t="s">
        <v>466</v>
      </c>
      <c r="I26" s="138" t="str">
        <f aca="false">IFERROR(VLOOKUP(TEXT(H26,"0"),IPRESS!$A$3:$B$212,2,0),"")</f>
        <v>HUAMBO</v>
      </c>
      <c r="J26" s="106" t="s">
        <v>529</v>
      </c>
      <c r="K26" s="138" t="str">
        <f aca="false">IFERROR(VLOOKUP(TEXT(O26,"0"),CONDUCTORES!$A$3:$G$100,7,0),"")</f>
        <v/>
      </c>
      <c r="L26" s="50" t="n">
        <v>20.25</v>
      </c>
      <c r="M26" s="50" t="n">
        <v>3</v>
      </c>
      <c r="N26" s="139" t="n">
        <f aca="false">IFERROR(IF(L26*M26=0,"",L26*M26),"")</f>
        <v>60.75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40" t="s">
        <v>1249</v>
      </c>
      <c r="S26" s="107" t="s">
        <v>1250</v>
      </c>
      <c r="T26" s="136"/>
      <c r="U26" s="137" t="n">
        <v>45737</v>
      </c>
      <c r="V26" s="106"/>
      <c r="W26" s="106"/>
      <c r="X26" s="106"/>
      <c r="Y26" s="85"/>
    </row>
    <row r="27" customFormat="false" ht="15.75" hidden="false" customHeight="true" outlineLevel="0" collapsed="false">
      <c r="A27" s="46" t="n">
        <v>22</v>
      </c>
      <c r="B27" s="110" t="s">
        <v>832</v>
      </c>
      <c r="C27" s="46" t="s">
        <v>752</v>
      </c>
      <c r="D27" s="110" t="s">
        <v>1251</v>
      </c>
      <c r="E27" s="46" t="s">
        <v>99</v>
      </c>
      <c r="F27" s="46" t="s">
        <v>1252</v>
      </c>
      <c r="G27" s="142" t="n">
        <v>45689</v>
      </c>
      <c r="H27" s="46" t="s">
        <v>480</v>
      </c>
      <c r="I27" s="138" t="str">
        <f aca="false">IFERROR(VLOOKUP(TEXT(H27,"0"),IPRESS!$A$3:$B$212,2,0),"")</f>
        <v>JALCA GRANDE</v>
      </c>
      <c r="J27" s="46" t="s">
        <v>755</v>
      </c>
      <c r="K27" s="138" t="str">
        <f aca="false">IFERROR(VLOOKUP(TEXT(O27,"0"),CONDUCTORES!$A$3:$G$100,7,0),"")</f>
        <v/>
      </c>
      <c r="L27" s="44" t="n">
        <v>18.18</v>
      </c>
      <c r="M27" s="44" t="n">
        <v>8</v>
      </c>
      <c r="N27" s="139" t="n">
        <f aca="false">IFERROR(IF(L27*M27=0,"",L27*M27),"")</f>
        <v>145.44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85" t="s">
        <v>972</v>
      </c>
      <c r="S27" s="110" t="s">
        <v>1253</v>
      </c>
      <c r="T27" s="46"/>
      <c r="U27" s="142" t="n">
        <v>45737</v>
      </c>
      <c r="V27" s="46"/>
      <c r="W27" s="46"/>
      <c r="X27" s="46"/>
      <c r="Y27" s="85"/>
    </row>
    <row r="28" customFormat="false" ht="15.75" hidden="false" customHeight="true" outlineLevel="0" collapsed="false">
      <c r="A28" s="106" t="n">
        <v>23</v>
      </c>
      <c r="B28" s="107" t="s">
        <v>787</v>
      </c>
      <c r="C28" s="106" t="s">
        <v>752</v>
      </c>
      <c r="D28" s="107" t="s">
        <v>1254</v>
      </c>
      <c r="E28" s="136" t="s">
        <v>99</v>
      </c>
      <c r="F28" s="106" t="s">
        <v>1255</v>
      </c>
      <c r="G28" s="137" t="n">
        <v>45694</v>
      </c>
      <c r="H28" s="106" t="s">
        <v>483</v>
      </c>
      <c r="I28" s="138" t="str">
        <f aca="false">IFERROR(VLOOKUP(TEXT(H28,"0"),IPRESS!$A$3:$B$212,2,0),"")</f>
        <v>JUMBILLA</v>
      </c>
      <c r="J28" s="106" t="s">
        <v>1256</v>
      </c>
      <c r="K28" s="138" t="str">
        <f aca="false">IFERROR(VLOOKUP(TEXT(O28,"0"),CONDUCTORES!$A$3:$G$100,7,0),"")</f>
        <v/>
      </c>
      <c r="L28" s="50" t="n">
        <v>18.18</v>
      </c>
      <c r="M28" s="50" t="n">
        <v>15</v>
      </c>
      <c r="N28" s="139" t="n">
        <f aca="false">IFERROR(IF(L28*M28=0,"",L28*M28),"")</f>
        <v>272.7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40" t="s">
        <v>1257</v>
      </c>
      <c r="S28" s="107" t="s">
        <v>1258</v>
      </c>
      <c r="T28" s="136"/>
      <c r="U28" s="137" t="n">
        <v>45721</v>
      </c>
      <c r="V28" s="106"/>
      <c r="W28" s="106"/>
      <c r="X28" s="106"/>
      <c r="Y28" s="85"/>
    </row>
    <row r="29" customFormat="false" ht="15.75" hidden="false" customHeight="true" outlineLevel="0" collapsed="false">
      <c r="A29" s="46" t="n">
        <v>24</v>
      </c>
      <c r="B29" s="110" t="s">
        <v>919</v>
      </c>
      <c r="C29" s="46" t="s">
        <v>752</v>
      </c>
      <c r="D29" s="110" t="s">
        <v>1259</v>
      </c>
      <c r="E29" s="46" t="s">
        <v>99</v>
      </c>
      <c r="F29" s="46" t="s">
        <v>1260</v>
      </c>
      <c r="G29" s="142" t="n">
        <v>45702</v>
      </c>
      <c r="H29" s="46" t="s">
        <v>483</v>
      </c>
      <c r="I29" s="138" t="str">
        <f aca="false">IFERROR(VLOOKUP(TEXT(H29,"0"),IPRESS!$A$3:$B$212,2,0),"")</f>
        <v>JUMBILLA</v>
      </c>
      <c r="J29" s="46" t="s">
        <v>755</v>
      </c>
      <c r="K29" s="138" t="str">
        <f aca="false">IFERROR(VLOOKUP(TEXT(O29,"0"),CONDUCTORES!$A$3:$G$100,7,0),"")</f>
        <v/>
      </c>
      <c r="L29" s="44" t="n">
        <v>18.18</v>
      </c>
      <c r="M29" s="44" t="n">
        <v>15</v>
      </c>
      <c r="N29" s="139" t="n">
        <f aca="false">IFERROR(IF(L29*M29=0,"",L29*M29),"")</f>
        <v>272.7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85" t="s">
        <v>1257</v>
      </c>
      <c r="S29" s="110" t="s">
        <v>1261</v>
      </c>
      <c r="T29" s="46"/>
      <c r="U29" s="142" t="n">
        <v>45737</v>
      </c>
      <c r="V29" s="46"/>
      <c r="W29" s="46"/>
      <c r="X29" s="46"/>
      <c r="Y29" s="85"/>
    </row>
    <row r="30" customFormat="false" ht="15.75" hidden="false" customHeight="true" outlineLevel="0" collapsed="false">
      <c r="A30" s="106" t="n">
        <v>25</v>
      </c>
      <c r="B30" s="107" t="s">
        <v>1262</v>
      </c>
      <c r="C30" s="106" t="s">
        <v>752</v>
      </c>
      <c r="D30" s="107" t="s">
        <v>1263</v>
      </c>
      <c r="E30" s="136" t="s">
        <v>99</v>
      </c>
      <c r="F30" s="106" t="s">
        <v>1264</v>
      </c>
      <c r="G30" s="137" t="n">
        <v>45692</v>
      </c>
      <c r="H30" s="106" t="s">
        <v>500</v>
      </c>
      <c r="I30" s="138" t="str">
        <f aca="false">IFERROR(VLOOKUP(TEXT(H30,"0"),IPRESS!$A$3:$B$212,2,0),"")</f>
        <v>LAMUD</v>
      </c>
      <c r="J30" s="106" t="s">
        <v>755</v>
      </c>
      <c r="K30" s="138" t="str">
        <f aca="false">IFERROR(VLOOKUP(TEXT(O30,"0"),CONDUCTORES!$A$3:$G$100,7,0),"")</f>
        <v/>
      </c>
      <c r="L30" s="50" t="n">
        <v>18.18</v>
      </c>
      <c r="M30" s="50" t="n">
        <v>4</v>
      </c>
      <c r="N30" s="139" t="n">
        <f aca="false">IFERROR(IF(L30*M30=0,"",L30*M30),"")</f>
        <v>72.72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40" t="s">
        <v>864</v>
      </c>
      <c r="S30" s="107" t="s">
        <v>1265</v>
      </c>
      <c r="T30" s="136"/>
      <c r="U30" s="137" t="n">
        <v>45737</v>
      </c>
      <c r="V30" s="106"/>
      <c r="W30" s="106"/>
      <c r="X30" s="106"/>
      <c r="Y30" s="85"/>
    </row>
    <row r="31" customFormat="false" ht="15.75" hidden="false" customHeight="true" outlineLevel="0" collapsed="false">
      <c r="A31" s="46" t="n">
        <v>26</v>
      </c>
      <c r="B31" s="110" t="s">
        <v>1202</v>
      </c>
      <c r="C31" s="46" t="s">
        <v>752</v>
      </c>
      <c r="D31" s="110" t="s">
        <v>1266</v>
      </c>
      <c r="E31" s="46" t="s">
        <v>99</v>
      </c>
      <c r="F31" s="46" t="s">
        <v>1267</v>
      </c>
      <c r="G31" s="142" t="n">
        <v>45692</v>
      </c>
      <c r="H31" s="46" t="s">
        <v>500</v>
      </c>
      <c r="I31" s="138" t="str">
        <f aca="false">IFERROR(VLOOKUP(TEXT(H31,"0"),IPRESS!$A$3:$B$212,2,0),"")</f>
        <v>LAMUD</v>
      </c>
      <c r="J31" s="46" t="s">
        <v>755</v>
      </c>
      <c r="K31" s="138" t="str">
        <f aca="false">IFERROR(VLOOKUP(TEXT(O31,"0"),CONDUCTORES!$A$3:$G$100,7,0),"")</f>
        <v/>
      </c>
      <c r="L31" s="44" t="n">
        <v>18.18</v>
      </c>
      <c r="M31" s="44" t="n">
        <v>4</v>
      </c>
      <c r="N31" s="139" t="n">
        <f aca="false">IFERROR(IF(L31*M31=0,"",L31*M31),"")</f>
        <v>72.72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85" t="s">
        <v>864</v>
      </c>
      <c r="S31" s="110" t="s">
        <v>1268</v>
      </c>
      <c r="T31" s="46"/>
      <c r="U31" s="142" t="n">
        <v>45727</v>
      </c>
      <c r="V31" s="46"/>
      <c r="W31" s="46"/>
      <c r="X31" s="46"/>
      <c r="Y31" s="85"/>
    </row>
    <row r="32" customFormat="false" ht="15.75" hidden="false" customHeight="true" outlineLevel="0" collapsed="false">
      <c r="A32" s="106" t="n">
        <v>27</v>
      </c>
      <c r="B32" s="107" t="s">
        <v>1227</v>
      </c>
      <c r="C32" s="106" t="s">
        <v>752</v>
      </c>
      <c r="D32" s="107" t="s">
        <v>867</v>
      </c>
      <c r="E32" s="136" t="s">
        <v>99</v>
      </c>
      <c r="F32" s="106" t="s">
        <v>868</v>
      </c>
      <c r="G32" s="137" t="n">
        <v>45707</v>
      </c>
      <c r="H32" s="106" t="s">
        <v>500</v>
      </c>
      <c r="I32" s="138" t="str">
        <f aca="false">IFERROR(VLOOKUP(TEXT(H32,"0"),IPRESS!$A$3:$B$212,2,0),"")</f>
        <v>LAMUD</v>
      </c>
      <c r="J32" s="106" t="s">
        <v>755</v>
      </c>
      <c r="K32" s="138" t="str">
        <f aca="false">IFERROR(VLOOKUP(TEXT(O32,"0"),CONDUCTORES!$A$3:$G$100,7,0),"")</f>
        <v/>
      </c>
      <c r="L32" s="50" t="n">
        <v>18.18</v>
      </c>
      <c r="M32" s="50" t="n">
        <v>4</v>
      </c>
      <c r="N32" s="139" t="n">
        <f aca="false">IFERROR(IF(L32*M32=0,"",L32*M32),"")</f>
        <v>72.72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40" t="s">
        <v>864</v>
      </c>
      <c r="S32" s="107" t="s">
        <v>1269</v>
      </c>
      <c r="T32" s="136"/>
      <c r="U32" s="137" t="n">
        <v>45727</v>
      </c>
      <c r="V32" s="106"/>
      <c r="W32" s="106"/>
      <c r="X32" s="106"/>
      <c r="Y32" s="85"/>
    </row>
    <row r="33" customFormat="false" ht="15.75" hidden="false" customHeight="true" outlineLevel="0" collapsed="false">
      <c r="A33" s="46" t="n">
        <v>28</v>
      </c>
      <c r="B33" s="110" t="s">
        <v>873</v>
      </c>
      <c r="C33" s="46" t="s">
        <v>752</v>
      </c>
      <c r="D33" s="110" t="s">
        <v>1270</v>
      </c>
      <c r="E33" s="46" t="s">
        <v>99</v>
      </c>
      <c r="F33" s="46" t="s">
        <v>1271</v>
      </c>
      <c r="G33" s="142" t="n">
        <v>45699</v>
      </c>
      <c r="H33" s="46" t="s">
        <v>507</v>
      </c>
      <c r="I33" s="138" t="str">
        <f aca="false">IFERROR(VLOOKUP(TEXT(H33,"0"),IPRESS!$A$3:$B$212,2,0),"")</f>
        <v>LEYMEBAMBA</v>
      </c>
      <c r="J33" s="46" t="s">
        <v>755</v>
      </c>
      <c r="K33" s="138" t="str">
        <f aca="false">IFERROR(VLOOKUP(TEXT(O33,"0"),CONDUCTORES!$A$3:$G$100,7,0),"")</f>
        <v/>
      </c>
      <c r="L33" s="44" t="n">
        <v>18.18</v>
      </c>
      <c r="M33" s="44" t="n">
        <v>6</v>
      </c>
      <c r="N33" s="139" t="n">
        <f aca="false">IFERROR(IF(L33*M33=0,"",L33*M33),"")</f>
        <v>109.08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85" t="s">
        <v>1272</v>
      </c>
      <c r="S33" s="110" t="s">
        <v>1273</v>
      </c>
      <c r="T33" s="46"/>
      <c r="U33" s="142" t="n">
        <v>45709</v>
      </c>
      <c r="V33" s="46"/>
      <c r="W33" s="46" t="s">
        <v>785</v>
      </c>
      <c r="X33" s="46" t="s">
        <v>918</v>
      </c>
      <c r="Y33" s="85"/>
    </row>
    <row r="34" customFormat="false" ht="15.75" hidden="false" customHeight="true" outlineLevel="0" collapsed="false">
      <c r="A34" s="106" t="n">
        <v>29</v>
      </c>
      <c r="B34" s="107" t="s">
        <v>844</v>
      </c>
      <c r="C34" s="106" t="s">
        <v>752</v>
      </c>
      <c r="D34" s="107" t="s">
        <v>1274</v>
      </c>
      <c r="E34" s="136" t="s">
        <v>99</v>
      </c>
      <c r="F34" s="106" t="s">
        <v>1275</v>
      </c>
      <c r="G34" s="137" t="n">
        <v>45694</v>
      </c>
      <c r="H34" s="106" t="s">
        <v>507</v>
      </c>
      <c r="I34" s="138" t="str">
        <f aca="false">IFERROR(VLOOKUP(TEXT(H34,"0"),IPRESS!$A$3:$B$212,2,0),"")</f>
        <v>LEYMEBAMBA</v>
      </c>
      <c r="J34" s="106" t="s">
        <v>755</v>
      </c>
      <c r="K34" s="138" t="str">
        <f aca="false">IFERROR(VLOOKUP(TEXT(O34,"0"),CONDUCTORES!$A$3:$G$100,7,0),"")</f>
        <v/>
      </c>
      <c r="L34" s="50" t="n">
        <v>18.18</v>
      </c>
      <c r="M34" s="50" t="n">
        <v>6</v>
      </c>
      <c r="N34" s="139" t="n">
        <f aca="false">IFERROR(IF(L34*M34=0,"",L34*M34),"")</f>
        <v>109.08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40" t="s">
        <v>1272</v>
      </c>
      <c r="S34" s="107" t="s">
        <v>1276</v>
      </c>
      <c r="T34" s="136"/>
      <c r="U34" s="137" t="n">
        <v>45721</v>
      </c>
      <c r="V34" s="106"/>
      <c r="W34" s="106" t="s">
        <v>785</v>
      </c>
      <c r="X34" s="106" t="s">
        <v>918</v>
      </c>
      <c r="Y34" s="85"/>
    </row>
    <row r="35" customFormat="false" ht="15.75" hidden="false" customHeight="true" outlineLevel="0" collapsed="false">
      <c r="A35" s="46" t="n">
        <v>30</v>
      </c>
      <c r="B35" s="110" t="s">
        <v>836</v>
      </c>
      <c r="C35" s="46" t="s">
        <v>752</v>
      </c>
      <c r="D35" s="110" t="s">
        <v>1277</v>
      </c>
      <c r="E35" s="46" t="s">
        <v>99</v>
      </c>
      <c r="F35" s="46" t="s">
        <v>1278</v>
      </c>
      <c r="G35" s="142" t="n">
        <v>45696</v>
      </c>
      <c r="H35" s="46" t="s">
        <v>507</v>
      </c>
      <c r="I35" s="138" t="str">
        <f aca="false">IFERROR(VLOOKUP(TEXT(H35,"0"),IPRESS!$A$3:$B$212,2,0),"")</f>
        <v>LEYMEBAMBA</v>
      </c>
      <c r="J35" s="46" t="s">
        <v>755</v>
      </c>
      <c r="K35" s="138" t="str">
        <f aca="false">IFERROR(VLOOKUP(TEXT(O35,"0"),CONDUCTORES!$A$3:$G$100,7,0),"")</f>
        <v/>
      </c>
      <c r="L35" s="44" t="n">
        <v>18.18</v>
      </c>
      <c r="M35" s="44" t="n">
        <v>6</v>
      </c>
      <c r="N35" s="139" t="n">
        <f aca="false">IFERROR(IF(L35*M35=0,"",L35*M35),"")</f>
        <v>109.08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85" t="s">
        <v>1272</v>
      </c>
      <c r="S35" s="110" t="s">
        <v>1279</v>
      </c>
      <c r="T35" s="46"/>
      <c r="U35" s="142" t="n">
        <v>45721</v>
      </c>
      <c r="V35" s="46"/>
      <c r="W35" s="46" t="s">
        <v>785</v>
      </c>
      <c r="X35" s="46" t="s">
        <v>918</v>
      </c>
      <c r="Y35" s="85"/>
    </row>
    <row r="36" customFormat="false" ht="15.75" hidden="false" customHeight="true" outlineLevel="0" collapsed="false">
      <c r="A36" s="106" t="n">
        <v>31</v>
      </c>
      <c r="B36" s="107" t="s">
        <v>840</v>
      </c>
      <c r="C36" s="106" t="s">
        <v>752</v>
      </c>
      <c r="D36" s="107" t="s">
        <v>1280</v>
      </c>
      <c r="E36" s="136" t="s">
        <v>99</v>
      </c>
      <c r="F36" s="106" t="s">
        <v>1281</v>
      </c>
      <c r="G36" s="137" t="n">
        <v>45693</v>
      </c>
      <c r="H36" s="106" t="s">
        <v>507</v>
      </c>
      <c r="I36" s="138" t="str">
        <f aca="false">IFERROR(VLOOKUP(TEXT(H36,"0"),IPRESS!$A$3:$B$212,2,0),"")</f>
        <v>LEYMEBAMBA</v>
      </c>
      <c r="J36" s="106" t="s">
        <v>755</v>
      </c>
      <c r="K36" s="138" t="str">
        <f aca="false">IFERROR(VLOOKUP(TEXT(O36,"0"),CONDUCTORES!$A$3:$G$100,7,0),"")</f>
        <v/>
      </c>
      <c r="L36" s="50" t="n">
        <v>18.18</v>
      </c>
      <c r="M36" s="50" t="n">
        <v>6</v>
      </c>
      <c r="N36" s="139" t="n">
        <f aca="false">IFERROR(IF(L36*M36=0,"",L36*M36),"")</f>
        <v>109.08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40" t="s">
        <v>1272</v>
      </c>
      <c r="S36" s="107" t="s">
        <v>1276</v>
      </c>
      <c r="T36" s="136"/>
      <c r="U36" s="137" t="n">
        <v>45737</v>
      </c>
      <c r="V36" s="106"/>
      <c r="W36" s="106" t="s">
        <v>785</v>
      </c>
      <c r="X36" s="106" t="s">
        <v>918</v>
      </c>
      <c r="Y36" s="85"/>
    </row>
    <row r="37" customFormat="false" ht="15.75" hidden="false" customHeight="true" outlineLevel="0" collapsed="false">
      <c r="A37" s="46" t="n">
        <v>32</v>
      </c>
      <c r="B37" s="110" t="s">
        <v>832</v>
      </c>
      <c r="C37" s="46" t="s">
        <v>752</v>
      </c>
      <c r="D37" s="110" t="s">
        <v>1282</v>
      </c>
      <c r="E37" s="46" t="s">
        <v>99</v>
      </c>
      <c r="F37" s="46" t="s">
        <v>1283</v>
      </c>
      <c r="G37" s="142" t="n">
        <v>45690</v>
      </c>
      <c r="H37" s="46" t="s">
        <v>507</v>
      </c>
      <c r="I37" s="138" t="str">
        <f aca="false">IFERROR(VLOOKUP(TEXT(H37,"0"),IPRESS!$A$3:$B$212,2,0),"")</f>
        <v>LEYMEBAMBA</v>
      </c>
      <c r="J37" s="46" t="s">
        <v>755</v>
      </c>
      <c r="K37" s="138" t="str">
        <f aca="false">IFERROR(VLOOKUP(TEXT(O37,"0"),CONDUCTORES!$A$3:$G$100,7,0),"")</f>
        <v/>
      </c>
      <c r="L37" s="44" t="n">
        <v>18.18</v>
      </c>
      <c r="M37" s="44" t="n">
        <v>6</v>
      </c>
      <c r="N37" s="139" t="n">
        <f aca="false">IFERROR(IF(L37*M37=0,"",L37*M37),"")</f>
        <v>109.08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85" t="s">
        <v>1272</v>
      </c>
      <c r="S37" s="110" t="s">
        <v>1284</v>
      </c>
      <c r="T37" s="46"/>
      <c r="U37" s="142" t="n">
        <v>45737</v>
      </c>
      <c r="V37" s="46"/>
      <c r="W37" s="46" t="s">
        <v>785</v>
      </c>
      <c r="X37" s="46" t="s">
        <v>918</v>
      </c>
      <c r="Y37" s="85"/>
    </row>
    <row r="38" customFormat="false" ht="15.75" hidden="false" customHeight="true" outlineLevel="0" collapsed="false">
      <c r="A38" s="106" t="n">
        <v>33</v>
      </c>
      <c r="B38" s="107" t="s">
        <v>919</v>
      </c>
      <c r="C38" s="106" t="s">
        <v>752</v>
      </c>
      <c r="D38" s="107" t="s">
        <v>1285</v>
      </c>
      <c r="E38" s="136" t="s">
        <v>99</v>
      </c>
      <c r="F38" s="106" t="s">
        <v>1286</v>
      </c>
      <c r="G38" s="137" t="n">
        <v>45708</v>
      </c>
      <c r="H38" s="106" t="s">
        <v>508</v>
      </c>
      <c r="I38" s="138" t="str">
        <f aca="false">IFERROR(VLOOKUP(TEXT(H38,"0"),IPRESS!$A$3:$B$212,2,0),"")</f>
        <v>LIMABAMBA</v>
      </c>
      <c r="J38" s="106" t="s">
        <v>529</v>
      </c>
      <c r="K38" s="138" t="str">
        <f aca="false">IFERROR(VLOOKUP(TEXT(O38,"0"),CONDUCTORES!$A$3:$G$100,7,0),"")</f>
        <v/>
      </c>
      <c r="L38" s="50" t="n">
        <v>20.25</v>
      </c>
      <c r="M38" s="50" t="n">
        <v>8</v>
      </c>
      <c r="N38" s="139" t="n">
        <f aca="false">IFERROR(IF(L38*M38=0,"",L38*M38),"")</f>
        <v>162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40" t="s">
        <v>982</v>
      </c>
      <c r="S38" s="107" t="s">
        <v>1287</v>
      </c>
      <c r="T38" s="136"/>
      <c r="U38" s="137" t="n">
        <v>45729</v>
      </c>
      <c r="V38" s="106"/>
      <c r="W38" s="106"/>
      <c r="X38" s="106"/>
      <c r="Y38" s="85"/>
    </row>
    <row r="39" customFormat="false" ht="15.75" hidden="false" customHeight="true" outlineLevel="0" collapsed="false">
      <c r="A39" s="46" t="n">
        <v>34</v>
      </c>
      <c r="B39" s="110" t="s">
        <v>1262</v>
      </c>
      <c r="C39" s="46" t="s">
        <v>752</v>
      </c>
      <c r="D39" s="110" t="s">
        <v>991</v>
      </c>
      <c r="E39" s="46" t="s">
        <v>99</v>
      </c>
      <c r="F39" s="46" t="s">
        <v>992</v>
      </c>
      <c r="G39" s="142" t="n">
        <v>45700</v>
      </c>
      <c r="H39" s="46" t="s">
        <v>517</v>
      </c>
      <c r="I39" s="138" t="str">
        <f aca="false">IFERROR(VLOOKUP(TEXT(H39,"0"),IPRESS!$A$3:$B$212,2,0),"")</f>
        <v>LUYA</v>
      </c>
      <c r="J39" s="46" t="s">
        <v>755</v>
      </c>
      <c r="K39" s="138" t="str">
        <f aca="false">IFERROR(VLOOKUP(TEXT(O39,"0"),CONDUCTORES!$A$3:$G$100,7,0),"")</f>
        <v/>
      </c>
      <c r="L39" s="44" t="n">
        <v>18.18</v>
      </c>
      <c r="M39" s="44" t="n">
        <v>4</v>
      </c>
      <c r="N39" s="139" t="n">
        <f aca="false">IFERROR(IF(L39*M39=0,"",L39*M39),"")</f>
        <v>72.72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85" t="s">
        <v>1288</v>
      </c>
      <c r="S39" s="110" t="s">
        <v>1289</v>
      </c>
      <c r="T39" s="46"/>
      <c r="U39" s="142" t="n">
        <v>45720</v>
      </c>
      <c r="V39" s="46" t="s">
        <v>995</v>
      </c>
      <c r="W39" s="46" t="s">
        <v>801</v>
      </c>
      <c r="X39" s="46" t="s">
        <v>794</v>
      </c>
      <c r="Y39" s="85"/>
    </row>
    <row r="40" customFormat="false" ht="15.75" hidden="false" customHeight="true" outlineLevel="0" collapsed="false">
      <c r="A40" s="106" t="n">
        <v>35</v>
      </c>
      <c r="B40" s="107" t="s">
        <v>1202</v>
      </c>
      <c r="C40" s="106" t="s">
        <v>752</v>
      </c>
      <c r="D40" s="107" t="s">
        <v>1290</v>
      </c>
      <c r="E40" s="136" t="s">
        <v>99</v>
      </c>
      <c r="F40" s="106" t="s">
        <v>1291</v>
      </c>
      <c r="G40" s="137" t="n">
        <v>45696</v>
      </c>
      <c r="H40" s="106" t="s">
        <v>517</v>
      </c>
      <c r="I40" s="138" t="str">
        <f aca="false">IFERROR(VLOOKUP(TEXT(H40,"0"),IPRESS!$A$3:$B$212,2,0),"")</f>
        <v>LUYA</v>
      </c>
      <c r="J40" s="106" t="s">
        <v>755</v>
      </c>
      <c r="K40" s="138" t="str">
        <f aca="false">IFERROR(VLOOKUP(TEXT(O40,"0"),CONDUCTORES!$A$3:$G$100,7,0),"")</f>
        <v/>
      </c>
      <c r="L40" s="50" t="n">
        <v>18.18</v>
      </c>
      <c r="M40" s="50" t="n">
        <v>4</v>
      </c>
      <c r="N40" s="139" t="n">
        <f aca="false">IFERROR(IF(L40*M40=0,"",L40*M40),"")</f>
        <v>72.72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40" t="s">
        <v>1288</v>
      </c>
      <c r="S40" s="107" t="s">
        <v>1292</v>
      </c>
      <c r="T40" s="136"/>
      <c r="U40" s="137" t="n">
        <v>45721</v>
      </c>
      <c r="V40" s="106" t="s">
        <v>995</v>
      </c>
      <c r="W40" s="106" t="s">
        <v>801</v>
      </c>
      <c r="X40" s="106" t="s">
        <v>794</v>
      </c>
      <c r="Y40" s="85"/>
    </row>
    <row r="41" customFormat="false" ht="15.75" hidden="false" customHeight="true" outlineLevel="0" collapsed="false">
      <c r="A41" s="46" t="n">
        <v>36</v>
      </c>
      <c r="B41" s="110" t="s">
        <v>1227</v>
      </c>
      <c r="C41" s="46" t="s">
        <v>752</v>
      </c>
      <c r="D41" s="110" t="s">
        <v>1293</v>
      </c>
      <c r="E41" s="46" t="s">
        <v>99</v>
      </c>
      <c r="F41" s="46" t="s">
        <v>1294</v>
      </c>
      <c r="G41" s="142" t="n">
        <v>45702</v>
      </c>
      <c r="H41" s="46" t="s">
        <v>517</v>
      </c>
      <c r="I41" s="138" t="str">
        <f aca="false">IFERROR(VLOOKUP(TEXT(H41,"0"),IPRESS!$A$3:$B$212,2,0),"")</f>
        <v>LUYA</v>
      </c>
      <c r="J41" s="46" t="s">
        <v>755</v>
      </c>
      <c r="K41" s="138" t="str">
        <f aca="false">IFERROR(VLOOKUP(TEXT(O41,"0"),CONDUCTORES!$A$3:$G$100,7,0),"")</f>
        <v/>
      </c>
      <c r="L41" s="44" t="n">
        <v>18.18</v>
      </c>
      <c r="M41" s="44" t="n">
        <v>4</v>
      </c>
      <c r="N41" s="139" t="n">
        <f aca="false">IFERROR(IF(L41*M41=0,"",L41*M41),"")</f>
        <v>72.72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85" t="s">
        <v>1288</v>
      </c>
      <c r="S41" s="110" t="s">
        <v>1295</v>
      </c>
      <c r="T41" s="46"/>
      <c r="U41" s="142" t="n">
        <v>45737</v>
      </c>
      <c r="V41" s="46" t="s">
        <v>995</v>
      </c>
      <c r="W41" s="46" t="s">
        <v>801</v>
      </c>
      <c r="X41" s="46" t="s">
        <v>794</v>
      </c>
      <c r="Y41" s="85"/>
    </row>
    <row r="42" customFormat="false" ht="15.75" hidden="false" customHeight="true" outlineLevel="0" collapsed="false">
      <c r="A42" s="106" t="n">
        <v>37</v>
      </c>
      <c r="B42" s="107" t="s">
        <v>1207</v>
      </c>
      <c r="C42" s="106" t="s">
        <v>752</v>
      </c>
      <c r="D42" s="107" t="s">
        <v>1296</v>
      </c>
      <c r="E42" s="136" t="s">
        <v>99</v>
      </c>
      <c r="F42" s="106" t="s">
        <v>1297</v>
      </c>
      <c r="G42" s="137" t="n">
        <v>45702</v>
      </c>
      <c r="H42" s="106" t="s">
        <v>517</v>
      </c>
      <c r="I42" s="138" t="str">
        <f aca="false">IFERROR(VLOOKUP(TEXT(H42,"0"),IPRESS!$A$3:$B$212,2,0),"")</f>
        <v>LUYA</v>
      </c>
      <c r="J42" s="106" t="s">
        <v>755</v>
      </c>
      <c r="K42" s="138" t="str">
        <f aca="false">IFERROR(VLOOKUP(TEXT(O42,"0"),CONDUCTORES!$A$3:$G$100,7,0),"")</f>
        <v/>
      </c>
      <c r="L42" s="50" t="n">
        <v>18.18</v>
      </c>
      <c r="M42" s="50" t="n">
        <v>4</v>
      </c>
      <c r="N42" s="139" t="n">
        <f aca="false">IFERROR(IF(L42*M42=0,"",L42*M42),"")</f>
        <v>72.72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40" t="s">
        <v>1288</v>
      </c>
      <c r="S42" s="107" t="s">
        <v>1298</v>
      </c>
      <c r="T42" s="136"/>
      <c r="U42" s="137" t="n">
        <v>45737</v>
      </c>
      <c r="V42" s="106" t="s">
        <v>995</v>
      </c>
      <c r="W42" s="106" t="s">
        <v>801</v>
      </c>
      <c r="X42" s="106" t="s">
        <v>794</v>
      </c>
      <c r="Y42" s="85"/>
    </row>
    <row r="43" customFormat="false" ht="15.75" hidden="false" customHeight="true" outlineLevel="0" collapsed="false">
      <c r="A43" s="46" t="n">
        <v>38</v>
      </c>
      <c r="B43" s="110" t="s">
        <v>1197</v>
      </c>
      <c r="C43" s="46" t="s">
        <v>752</v>
      </c>
      <c r="D43" s="110" t="s">
        <v>1299</v>
      </c>
      <c r="E43" s="46" t="s">
        <v>99</v>
      </c>
      <c r="F43" s="46" t="s">
        <v>1300</v>
      </c>
      <c r="G43" s="142" t="n">
        <v>45706</v>
      </c>
      <c r="H43" s="46" t="s">
        <v>517</v>
      </c>
      <c r="I43" s="138" t="str">
        <f aca="false">IFERROR(VLOOKUP(TEXT(H43,"0"),IPRESS!$A$3:$B$212,2,0),"")</f>
        <v>LUYA</v>
      </c>
      <c r="J43" s="46" t="s">
        <v>755</v>
      </c>
      <c r="K43" s="138" t="str">
        <f aca="false">IFERROR(VLOOKUP(TEXT(O43,"0"),CONDUCTORES!$A$3:$G$100,7,0),"")</f>
        <v/>
      </c>
      <c r="L43" s="44" t="n">
        <v>18.18</v>
      </c>
      <c r="M43" s="44" t="n">
        <v>4</v>
      </c>
      <c r="N43" s="139" t="n">
        <f aca="false">IFERROR(IF(L43*M43=0,"",L43*M43),"")</f>
        <v>72.72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85" t="s">
        <v>1288</v>
      </c>
      <c r="S43" s="110" t="s">
        <v>1301</v>
      </c>
      <c r="T43" s="46"/>
      <c r="U43" s="142" t="n">
        <v>45720</v>
      </c>
      <c r="V43" s="46" t="s">
        <v>995</v>
      </c>
      <c r="W43" s="46" t="s">
        <v>801</v>
      </c>
      <c r="X43" s="46" t="s">
        <v>794</v>
      </c>
      <c r="Y43" s="85"/>
    </row>
    <row r="44" customFormat="false" ht="15.75" hidden="false" customHeight="true" outlineLevel="0" collapsed="false">
      <c r="A44" s="106" t="n">
        <v>39</v>
      </c>
      <c r="B44" s="107" t="s">
        <v>1302</v>
      </c>
      <c r="C44" s="106" t="s">
        <v>752</v>
      </c>
      <c r="D44" s="107" t="s">
        <v>1303</v>
      </c>
      <c r="E44" s="136" t="s">
        <v>99</v>
      </c>
      <c r="F44" s="106" t="s">
        <v>1304</v>
      </c>
      <c r="G44" s="137" t="n">
        <v>45707</v>
      </c>
      <c r="H44" s="106" t="s">
        <v>517</v>
      </c>
      <c r="I44" s="138" t="str">
        <f aca="false">IFERROR(VLOOKUP(TEXT(H44,"0"),IPRESS!$A$3:$B$212,2,0),"")</f>
        <v>LUYA</v>
      </c>
      <c r="J44" s="106" t="s">
        <v>755</v>
      </c>
      <c r="K44" s="138" t="str">
        <f aca="false">IFERROR(VLOOKUP(TEXT(O44,"0"),CONDUCTORES!$A$3:$G$100,7,0),"")</f>
        <v/>
      </c>
      <c r="L44" s="50" t="n">
        <v>18.18</v>
      </c>
      <c r="M44" s="50" t="n">
        <v>4</v>
      </c>
      <c r="N44" s="139" t="n">
        <f aca="false">IFERROR(IF(L44*M44=0,"",L44*M44),"")</f>
        <v>72.72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40" t="s">
        <v>1288</v>
      </c>
      <c r="S44" s="107" t="s">
        <v>1305</v>
      </c>
      <c r="T44" s="136"/>
      <c r="U44" s="137" t="n">
        <v>45720</v>
      </c>
      <c r="V44" s="106" t="s">
        <v>995</v>
      </c>
      <c r="W44" s="106" t="s">
        <v>801</v>
      </c>
      <c r="X44" s="106" t="s">
        <v>794</v>
      </c>
      <c r="Y44" s="85"/>
    </row>
    <row r="45" customFormat="false" ht="15.75" hidden="false" customHeight="true" outlineLevel="0" collapsed="false">
      <c r="A45" s="46" t="n">
        <v>40</v>
      </c>
      <c r="B45" s="110" t="s">
        <v>1306</v>
      </c>
      <c r="C45" s="46" t="s">
        <v>752</v>
      </c>
      <c r="D45" s="110" t="s">
        <v>1307</v>
      </c>
      <c r="E45" s="46" t="s">
        <v>99</v>
      </c>
      <c r="F45" s="46" t="s">
        <v>1308</v>
      </c>
      <c r="G45" s="142" t="n">
        <v>45712</v>
      </c>
      <c r="H45" s="46" t="s">
        <v>517</v>
      </c>
      <c r="I45" s="138" t="str">
        <f aca="false">IFERROR(VLOOKUP(TEXT(H45,"0"),IPRESS!$A$3:$B$212,2,0),"")</f>
        <v>LUYA</v>
      </c>
      <c r="J45" s="46" t="s">
        <v>755</v>
      </c>
      <c r="K45" s="138" t="str">
        <f aca="false">IFERROR(VLOOKUP(TEXT(O45,"0"),CONDUCTORES!$A$3:$G$100,7,0),"")</f>
        <v/>
      </c>
      <c r="L45" s="44" t="n">
        <v>18.18</v>
      </c>
      <c r="M45" s="44" t="n">
        <v>4</v>
      </c>
      <c r="N45" s="139" t="n">
        <f aca="false">IFERROR(IF(L45*M45=0,"",L45*M45),"")</f>
        <v>72.72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85" t="s">
        <v>1288</v>
      </c>
      <c r="S45" s="110" t="s">
        <v>1309</v>
      </c>
      <c r="T45" s="46"/>
      <c r="U45" s="142" t="n">
        <v>45722</v>
      </c>
      <c r="V45" s="46" t="s">
        <v>995</v>
      </c>
      <c r="W45" s="46" t="s">
        <v>801</v>
      </c>
      <c r="X45" s="46" t="s">
        <v>794</v>
      </c>
      <c r="Y45" s="85"/>
    </row>
    <row r="46" customFormat="false" ht="15.75" hidden="false" customHeight="true" outlineLevel="0" collapsed="false">
      <c r="A46" s="106" t="n">
        <v>41</v>
      </c>
      <c r="B46" s="107" t="s">
        <v>1310</v>
      </c>
      <c r="C46" s="106" t="s">
        <v>752</v>
      </c>
      <c r="D46" s="107" t="s">
        <v>1311</v>
      </c>
      <c r="E46" s="136" t="s">
        <v>99</v>
      </c>
      <c r="F46" s="106" t="s">
        <v>1312</v>
      </c>
      <c r="G46" s="137" t="n">
        <v>45715</v>
      </c>
      <c r="H46" s="106" t="s">
        <v>517</v>
      </c>
      <c r="I46" s="138" t="str">
        <f aca="false">IFERROR(VLOOKUP(TEXT(H46,"0"),IPRESS!$A$3:$B$212,2,0),"")</f>
        <v>LUYA</v>
      </c>
      <c r="J46" s="106" t="s">
        <v>755</v>
      </c>
      <c r="K46" s="138" t="str">
        <f aca="false">IFERROR(VLOOKUP(TEXT(O46,"0"),CONDUCTORES!$A$3:$G$100,7,0),"")</f>
        <v/>
      </c>
      <c r="L46" s="50" t="n">
        <v>18.18</v>
      </c>
      <c r="M46" s="50" t="n">
        <v>4</v>
      </c>
      <c r="N46" s="139" t="n">
        <f aca="false">IFERROR(IF(L46*M46=0,"",L46*M46),"")</f>
        <v>72.72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40" t="s">
        <v>1288</v>
      </c>
      <c r="S46" s="107" t="s">
        <v>1313</v>
      </c>
      <c r="T46" s="136"/>
      <c r="U46" s="137" t="n">
        <v>45736</v>
      </c>
      <c r="V46" s="106" t="s">
        <v>995</v>
      </c>
      <c r="W46" s="106" t="s">
        <v>801</v>
      </c>
      <c r="X46" s="106" t="s">
        <v>794</v>
      </c>
      <c r="Y46" s="85"/>
    </row>
    <row r="47" customFormat="false" ht="15.75" hidden="false" customHeight="true" outlineLevel="0" collapsed="false">
      <c r="A47" s="46" t="n">
        <v>42</v>
      </c>
      <c r="B47" s="110" t="s">
        <v>1314</v>
      </c>
      <c r="C47" s="46" t="s">
        <v>752</v>
      </c>
      <c r="D47" s="110" t="s">
        <v>1315</v>
      </c>
      <c r="E47" s="46" t="s">
        <v>99</v>
      </c>
      <c r="F47" s="46" t="s">
        <v>1316</v>
      </c>
      <c r="G47" s="142" t="n">
        <v>45699</v>
      </c>
      <c r="H47" s="46" t="s">
        <v>529</v>
      </c>
      <c r="I47" s="138" t="str">
        <f aca="false">IFERROR(VLOOKUP(TEXT(H47,"0"),IPRESS!$A$3:$B$212,2,0),"")</f>
        <v>MARIA AUXILIADORA</v>
      </c>
      <c r="J47" s="46" t="s">
        <v>755</v>
      </c>
      <c r="K47" s="138" t="str">
        <f aca="false">IFERROR(VLOOKUP(TEXT(O47,"0"),CONDUCTORES!$A$3:$G$100,7,0),"")</f>
        <v/>
      </c>
      <c r="L47" s="44" t="n">
        <v>20.25</v>
      </c>
      <c r="M47" s="44" t="n">
        <v>7</v>
      </c>
      <c r="N47" s="139" t="n">
        <f aca="false">IFERROR(IF(L47*M47=0,"",L47*M47),"")</f>
        <v>141.75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85" t="s">
        <v>1317</v>
      </c>
      <c r="S47" s="110" t="s">
        <v>1318</v>
      </c>
      <c r="T47" s="46"/>
      <c r="U47" s="142" t="n">
        <v>45707</v>
      </c>
      <c r="V47" s="46"/>
      <c r="W47" s="46" t="s">
        <v>760</v>
      </c>
      <c r="X47" s="46" t="s">
        <v>761</v>
      </c>
      <c r="Y47" s="85"/>
    </row>
    <row r="48" customFormat="false" ht="15.75" hidden="false" customHeight="true" outlineLevel="0" collapsed="false">
      <c r="A48" s="106" t="n">
        <v>43</v>
      </c>
      <c r="B48" s="107" t="s">
        <v>1319</v>
      </c>
      <c r="C48" s="106" t="s">
        <v>752</v>
      </c>
      <c r="D48" s="107" t="s">
        <v>1247</v>
      </c>
      <c r="E48" s="136" t="s">
        <v>99</v>
      </c>
      <c r="F48" s="106" t="s">
        <v>1248</v>
      </c>
      <c r="G48" s="137" t="n">
        <v>45694</v>
      </c>
      <c r="H48" s="106" t="s">
        <v>529</v>
      </c>
      <c r="I48" s="138" t="str">
        <f aca="false">IFERROR(VLOOKUP(TEXT(H48,"0"),IPRESS!$A$3:$B$212,2,0),"")</f>
        <v>MARIA AUXILIADORA</v>
      </c>
      <c r="J48" s="106" t="s">
        <v>755</v>
      </c>
      <c r="K48" s="138" t="str">
        <f aca="false">IFERROR(VLOOKUP(TEXT(O48,"0"),CONDUCTORES!$A$3:$G$100,7,0),"")</f>
        <v/>
      </c>
      <c r="L48" s="50" t="n">
        <v>20.25</v>
      </c>
      <c r="M48" s="50" t="n">
        <v>10</v>
      </c>
      <c r="N48" s="139" t="n">
        <f aca="false">IFERROR(IF(L48*M48=0,"",L48*M48),"")</f>
        <v>202.5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40" t="s">
        <v>1317</v>
      </c>
      <c r="S48" s="107" t="s">
        <v>1320</v>
      </c>
      <c r="T48" s="136"/>
      <c r="U48" s="137" t="n">
        <v>45721</v>
      </c>
      <c r="V48" s="106"/>
      <c r="W48" s="106" t="s">
        <v>760</v>
      </c>
      <c r="X48" s="106" t="s">
        <v>761</v>
      </c>
      <c r="Y48" s="85"/>
    </row>
    <row r="49" customFormat="false" ht="15.75" hidden="false" customHeight="true" outlineLevel="0" collapsed="false">
      <c r="A49" s="46" t="n">
        <v>44</v>
      </c>
      <c r="B49" s="110" t="s">
        <v>1321</v>
      </c>
      <c r="C49" s="46" t="s">
        <v>752</v>
      </c>
      <c r="D49" s="110" t="s">
        <v>1322</v>
      </c>
      <c r="E49" s="46" t="s">
        <v>99</v>
      </c>
      <c r="F49" s="46" t="s">
        <v>1323</v>
      </c>
      <c r="G49" s="142" t="n">
        <v>45696</v>
      </c>
      <c r="H49" s="46" t="s">
        <v>529</v>
      </c>
      <c r="I49" s="138" t="str">
        <f aca="false">IFERROR(VLOOKUP(TEXT(H49,"0"),IPRESS!$A$3:$B$212,2,0),"")</f>
        <v>MARIA AUXILIADORA</v>
      </c>
      <c r="J49" s="46" t="s">
        <v>755</v>
      </c>
      <c r="K49" s="138" t="str">
        <f aca="false">IFERROR(VLOOKUP(TEXT(O49,"0"),CONDUCTORES!$A$3:$G$100,7,0),"")</f>
        <v/>
      </c>
      <c r="L49" s="44" t="n">
        <v>20.25</v>
      </c>
      <c r="M49" s="44" t="n">
        <v>7</v>
      </c>
      <c r="N49" s="139" t="n">
        <f aca="false">IFERROR(IF(L49*M49=0,"",L49*M49),"")</f>
        <v>141.75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85" t="s">
        <v>1317</v>
      </c>
      <c r="S49" s="110" t="s">
        <v>1324</v>
      </c>
      <c r="T49" s="46"/>
      <c r="U49" s="142" t="n">
        <v>45728</v>
      </c>
      <c r="V49" s="46"/>
      <c r="W49" s="46" t="s">
        <v>760</v>
      </c>
      <c r="X49" s="46" t="s">
        <v>761</v>
      </c>
      <c r="Y49" s="85"/>
    </row>
    <row r="50" customFormat="false" ht="15.75" hidden="false" customHeight="true" outlineLevel="0" collapsed="false">
      <c r="A50" s="106" t="n">
        <v>45</v>
      </c>
      <c r="B50" s="107" t="s">
        <v>1325</v>
      </c>
      <c r="C50" s="106" t="s">
        <v>752</v>
      </c>
      <c r="D50" s="107" t="s">
        <v>1326</v>
      </c>
      <c r="E50" s="136" t="s">
        <v>99</v>
      </c>
      <c r="F50" s="106" t="s">
        <v>1327</v>
      </c>
      <c r="G50" s="137" t="n">
        <v>45698</v>
      </c>
      <c r="H50" s="106" t="s">
        <v>529</v>
      </c>
      <c r="I50" s="138" t="str">
        <f aca="false">IFERROR(VLOOKUP(TEXT(H50,"0"),IPRESS!$A$3:$B$212,2,0),"")</f>
        <v>MARIA AUXILIADORA</v>
      </c>
      <c r="J50" s="106" t="s">
        <v>755</v>
      </c>
      <c r="K50" s="138" t="str">
        <f aca="false">IFERROR(VLOOKUP(TEXT(O50,"0"),CONDUCTORES!$A$3:$G$100,7,0),"")</f>
        <v/>
      </c>
      <c r="L50" s="50" t="n">
        <v>20.25</v>
      </c>
      <c r="M50" s="50" t="n">
        <v>7</v>
      </c>
      <c r="N50" s="139" t="n">
        <f aca="false">IFERROR(IF(L50*M50=0,"",L50*M50),"")</f>
        <v>141.75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40" t="s">
        <v>1317</v>
      </c>
      <c r="S50" s="107" t="s">
        <v>1328</v>
      </c>
      <c r="T50" s="136"/>
      <c r="U50" s="137" t="n">
        <v>45737</v>
      </c>
      <c r="V50" s="106"/>
      <c r="W50" s="106" t="s">
        <v>760</v>
      </c>
      <c r="X50" s="106" t="s">
        <v>761</v>
      </c>
      <c r="Y50" s="85"/>
    </row>
    <row r="51" customFormat="false" ht="15.75" hidden="false" customHeight="true" outlineLevel="0" collapsed="false">
      <c r="A51" s="46" t="n">
        <v>46</v>
      </c>
      <c r="B51" s="110" t="s">
        <v>1329</v>
      </c>
      <c r="C51" s="46" t="s">
        <v>752</v>
      </c>
      <c r="D51" s="110" t="s">
        <v>767</v>
      </c>
      <c r="E51" s="46" t="s">
        <v>99</v>
      </c>
      <c r="F51" s="46" t="s">
        <v>768</v>
      </c>
      <c r="G51" s="142" t="n">
        <v>45689</v>
      </c>
      <c r="H51" s="46" t="s">
        <v>529</v>
      </c>
      <c r="I51" s="138" t="str">
        <f aca="false">IFERROR(VLOOKUP(TEXT(H51,"0"),IPRESS!$A$3:$B$212,2,0),"")</f>
        <v>MARIA AUXILIADORA</v>
      </c>
      <c r="J51" s="46" t="s">
        <v>755</v>
      </c>
      <c r="K51" s="138" t="str">
        <f aca="false">IFERROR(VLOOKUP(TEXT(O51,"0"),CONDUCTORES!$A$3:$G$100,7,0),"")</f>
        <v/>
      </c>
      <c r="L51" s="44" t="n">
        <v>20.25</v>
      </c>
      <c r="M51" s="44" t="n">
        <v>7</v>
      </c>
      <c r="N51" s="139" t="n">
        <f aca="false">IFERROR(IF(L51*M51=0,"",L51*M51),"")</f>
        <v>141.75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85" t="s">
        <v>1317</v>
      </c>
      <c r="S51" s="110" t="s">
        <v>1330</v>
      </c>
      <c r="T51" s="46"/>
      <c r="U51" s="142" t="n">
        <v>45737</v>
      </c>
      <c r="V51" s="46"/>
      <c r="W51" s="46" t="s">
        <v>760</v>
      </c>
      <c r="X51" s="46" t="s">
        <v>761</v>
      </c>
      <c r="Y51" s="85"/>
    </row>
    <row r="52" customFormat="false" ht="15.75" hidden="false" customHeight="true" outlineLevel="0" collapsed="false">
      <c r="A52" s="106" t="n">
        <v>47</v>
      </c>
      <c r="B52" s="107" t="s">
        <v>1331</v>
      </c>
      <c r="C52" s="106" t="s">
        <v>752</v>
      </c>
      <c r="D52" s="107" t="s">
        <v>1332</v>
      </c>
      <c r="E52" s="136" t="s">
        <v>99</v>
      </c>
      <c r="F52" s="106" t="s">
        <v>1333</v>
      </c>
      <c r="G52" s="137" t="n">
        <v>45700</v>
      </c>
      <c r="H52" s="106" t="s">
        <v>529</v>
      </c>
      <c r="I52" s="138" t="str">
        <f aca="false">IFERROR(VLOOKUP(TEXT(H52,"0"),IPRESS!$A$3:$B$212,2,0),"")</f>
        <v>MARIA AUXILIADORA</v>
      </c>
      <c r="J52" s="106" t="s">
        <v>755</v>
      </c>
      <c r="K52" s="138" t="str">
        <f aca="false">IFERROR(VLOOKUP(TEXT(O52,"0"),CONDUCTORES!$A$3:$G$100,7,0),"")</f>
        <v/>
      </c>
      <c r="L52" s="50" t="n">
        <v>20.25</v>
      </c>
      <c r="M52" s="50" t="n">
        <v>7</v>
      </c>
      <c r="N52" s="139" t="n">
        <f aca="false">IFERROR(IF(L52*M52=0,"",L52*M52),"")</f>
        <v>141.75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40" t="s">
        <v>1317</v>
      </c>
      <c r="S52" s="107" t="s">
        <v>1334</v>
      </c>
      <c r="T52" s="136"/>
      <c r="U52" s="137" t="n">
        <v>45744</v>
      </c>
      <c r="V52" s="106"/>
      <c r="W52" s="106" t="s">
        <v>760</v>
      </c>
      <c r="X52" s="106" t="s">
        <v>761</v>
      </c>
      <c r="Y52" s="85"/>
    </row>
    <row r="53" customFormat="false" ht="15.75" hidden="false" customHeight="true" outlineLevel="0" collapsed="false">
      <c r="A53" s="46" t="n">
        <v>48</v>
      </c>
      <c r="B53" s="110" t="s">
        <v>1335</v>
      </c>
      <c r="C53" s="46" t="s">
        <v>752</v>
      </c>
      <c r="D53" s="110" t="s">
        <v>1336</v>
      </c>
      <c r="E53" s="46" t="s">
        <v>99</v>
      </c>
      <c r="F53" s="46" t="s">
        <v>1337</v>
      </c>
      <c r="G53" s="142" t="n">
        <v>45702</v>
      </c>
      <c r="H53" s="46" t="s">
        <v>529</v>
      </c>
      <c r="I53" s="138" t="str">
        <f aca="false">IFERROR(VLOOKUP(TEXT(H53,"0"),IPRESS!$A$3:$B$212,2,0),"")</f>
        <v>MARIA AUXILIADORA</v>
      </c>
      <c r="J53" s="46" t="s">
        <v>755</v>
      </c>
      <c r="K53" s="138" t="str">
        <f aca="false">IFERROR(VLOOKUP(TEXT(O53,"0"),CONDUCTORES!$A$3:$G$100,7,0),"")</f>
        <v/>
      </c>
      <c r="L53" s="44" t="n">
        <v>20.25</v>
      </c>
      <c r="M53" s="44" t="n">
        <v>7</v>
      </c>
      <c r="N53" s="139" t="n">
        <f aca="false">IFERROR(IF(L53*M53=0,"",L53*M53),"")</f>
        <v>141.75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85" t="s">
        <v>1317</v>
      </c>
      <c r="S53" s="110" t="s">
        <v>1250</v>
      </c>
      <c r="T53" s="46"/>
      <c r="U53" s="142" t="n">
        <v>45737</v>
      </c>
      <c r="V53" s="46"/>
      <c r="W53" s="46" t="s">
        <v>760</v>
      </c>
      <c r="X53" s="46" t="s">
        <v>761</v>
      </c>
      <c r="Y53" s="85"/>
    </row>
    <row r="54" customFormat="false" ht="15.75" hidden="false" customHeight="true" outlineLevel="0" collapsed="false">
      <c r="A54" s="106" t="n">
        <v>49</v>
      </c>
      <c r="B54" s="107" t="s">
        <v>1338</v>
      </c>
      <c r="C54" s="106" t="s">
        <v>752</v>
      </c>
      <c r="D54" s="107" t="s">
        <v>1339</v>
      </c>
      <c r="E54" s="136" t="s">
        <v>99</v>
      </c>
      <c r="F54" s="106" t="s">
        <v>1340</v>
      </c>
      <c r="G54" s="137" t="n">
        <v>45703</v>
      </c>
      <c r="H54" s="106" t="s">
        <v>529</v>
      </c>
      <c r="I54" s="138" t="str">
        <f aca="false">IFERROR(VLOOKUP(TEXT(H54,"0"),IPRESS!$A$3:$B$212,2,0),"")</f>
        <v>MARIA AUXILIADORA</v>
      </c>
      <c r="J54" s="106" t="s">
        <v>755</v>
      </c>
      <c r="K54" s="138" t="str">
        <f aca="false">IFERROR(VLOOKUP(TEXT(O54,"0"),CONDUCTORES!$A$3:$G$100,7,0),"")</f>
        <v/>
      </c>
      <c r="L54" s="50" t="n">
        <v>20.25</v>
      </c>
      <c r="M54" s="50" t="n">
        <v>7</v>
      </c>
      <c r="N54" s="139" t="n">
        <f aca="false">IFERROR(IF(L54*M54=0,"",L54*M54),"")</f>
        <v>141.75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40" t="s">
        <v>1317</v>
      </c>
      <c r="S54" s="107" t="s">
        <v>1341</v>
      </c>
      <c r="T54" s="136"/>
      <c r="U54" s="137" t="n">
        <v>45707</v>
      </c>
      <c r="V54" s="106"/>
      <c r="W54" s="106" t="s">
        <v>760</v>
      </c>
      <c r="X54" s="106" t="s">
        <v>761</v>
      </c>
      <c r="Y54" s="85"/>
    </row>
    <row r="55" customFormat="false" ht="15.75" hidden="false" customHeight="true" outlineLevel="0" collapsed="false">
      <c r="A55" s="46" t="n">
        <v>50</v>
      </c>
      <c r="B55" s="110" t="s">
        <v>1342</v>
      </c>
      <c r="C55" s="46" t="s">
        <v>752</v>
      </c>
      <c r="D55" s="110" t="s">
        <v>1343</v>
      </c>
      <c r="E55" s="46" t="s">
        <v>99</v>
      </c>
      <c r="F55" s="46" t="s">
        <v>1344</v>
      </c>
      <c r="G55" s="142" t="n">
        <v>45703</v>
      </c>
      <c r="H55" s="46" t="s">
        <v>529</v>
      </c>
      <c r="I55" s="138" t="str">
        <f aca="false">IFERROR(VLOOKUP(TEXT(H55,"0"),IPRESS!$A$3:$B$212,2,0),"")</f>
        <v>MARIA AUXILIADORA</v>
      </c>
      <c r="J55" s="46" t="s">
        <v>755</v>
      </c>
      <c r="K55" s="138" t="str">
        <f aca="false">IFERROR(VLOOKUP(TEXT(O55,"0"),CONDUCTORES!$A$3:$G$100,7,0),"")</f>
        <v/>
      </c>
      <c r="L55" s="44" t="n">
        <v>20.25</v>
      </c>
      <c r="M55" s="44" t="n">
        <v>7</v>
      </c>
      <c r="N55" s="139" t="n">
        <f aca="false">IFERROR(IF(L55*M55=0,"",L55*M55),"")</f>
        <v>141.75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85" t="s">
        <v>1317</v>
      </c>
      <c r="S55" s="110" t="s">
        <v>1345</v>
      </c>
      <c r="T55" s="46"/>
      <c r="U55" s="142" t="n">
        <v>45707</v>
      </c>
      <c r="V55" s="46"/>
      <c r="W55" s="46" t="s">
        <v>760</v>
      </c>
      <c r="X55" s="46" t="s">
        <v>761</v>
      </c>
      <c r="Y55" s="85"/>
    </row>
    <row r="56" customFormat="false" ht="15.75" hidden="false" customHeight="true" outlineLevel="0" collapsed="false">
      <c r="A56" s="106" t="n">
        <v>51</v>
      </c>
      <c r="B56" s="107" t="s">
        <v>1346</v>
      </c>
      <c r="C56" s="106" t="s">
        <v>752</v>
      </c>
      <c r="D56" s="107" t="s">
        <v>1347</v>
      </c>
      <c r="E56" s="136" t="s">
        <v>99</v>
      </c>
      <c r="F56" s="106" t="s">
        <v>1348</v>
      </c>
      <c r="G56" s="137" t="n">
        <v>45706</v>
      </c>
      <c r="H56" s="106" t="s">
        <v>529</v>
      </c>
      <c r="I56" s="138" t="str">
        <f aca="false">IFERROR(VLOOKUP(TEXT(H56,"0"),IPRESS!$A$3:$B$212,2,0),"")</f>
        <v>MARIA AUXILIADORA</v>
      </c>
      <c r="J56" s="106" t="s">
        <v>755</v>
      </c>
      <c r="K56" s="138" t="str">
        <f aca="false">IFERROR(VLOOKUP(TEXT(O56,"0"),CONDUCTORES!$A$3:$G$100,7,0),"")</f>
        <v/>
      </c>
      <c r="L56" s="50" t="n">
        <v>20.25</v>
      </c>
      <c r="M56" s="50" t="n">
        <v>7</v>
      </c>
      <c r="N56" s="139" t="n">
        <f aca="false">IFERROR(IF(L56*M56=0,"",L56*M56),"")</f>
        <v>141.75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40" t="s">
        <v>1317</v>
      </c>
      <c r="S56" s="107" t="s">
        <v>1349</v>
      </c>
      <c r="T56" s="136"/>
      <c r="U56" s="137" t="n">
        <v>45715</v>
      </c>
      <c r="V56" s="106"/>
      <c r="W56" s="106" t="s">
        <v>760</v>
      </c>
      <c r="X56" s="106" t="s">
        <v>761</v>
      </c>
      <c r="Y56" s="85"/>
    </row>
    <row r="57" customFormat="false" ht="15.75" hidden="false" customHeight="true" outlineLevel="0" collapsed="false">
      <c r="A57" s="46" t="n">
        <v>52</v>
      </c>
      <c r="B57" s="110" t="s">
        <v>1350</v>
      </c>
      <c r="C57" s="46" t="s">
        <v>752</v>
      </c>
      <c r="D57" s="110" t="s">
        <v>1351</v>
      </c>
      <c r="E57" s="46" t="s">
        <v>99</v>
      </c>
      <c r="F57" s="46" t="s">
        <v>1352</v>
      </c>
      <c r="G57" s="142" t="n">
        <v>45707</v>
      </c>
      <c r="H57" s="46" t="s">
        <v>529</v>
      </c>
      <c r="I57" s="138" t="str">
        <f aca="false">IFERROR(VLOOKUP(TEXT(H57,"0"),IPRESS!$A$3:$B$212,2,0),"")</f>
        <v>MARIA AUXILIADORA</v>
      </c>
      <c r="J57" s="46" t="s">
        <v>755</v>
      </c>
      <c r="K57" s="138" t="str">
        <f aca="false">IFERROR(VLOOKUP(TEXT(O57,"0"),CONDUCTORES!$A$3:$G$100,7,0),"")</f>
        <v/>
      </c>
      <c r="L57" s="44" t="n">
        <v>20.25</v>
      </c>
      <c r="M57" s="44" t="n">
        <v>7</v>
      </c>
      <c r="N57" s="139" t="n">
        <f aca="false">IFERROR(IF(L57*M57=0,"",L57*M57),"")</f>
        <v>141.75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85" t="s">
        <v>1317</v>
      </c>
      <c r="S57" s="110" t="s">
        <v>1353</v>
      </c>
      <c r="T57" s="46"/>
      <c r="U57" s="142" t="n">
        <v>45715</v>
      </c>
      <c r="V57" s="46"/>
      <c r="W57" s="46" t="s">
        <v>760</v>
      </c>
      <c r="X57" s="46" t="s">
        <v>761</v>
      </c>
      <c r="Y57" s="85"/>
    </row>
    <row r="58" customFormat="false" ht="15.75" hidden="false" customHeight="true" outlineLevel="0" collapsed="false">
      <c r="A58" s="106" t="n">
        <v>53</v>
      </c>
      <c r="B58" s="107" t="s">
        <v>1310</v>
      </c>
      <c r="C58" s="106" t="s">
        <v>752</v>
      </c>
      <c r="D58" s="107" t="s">
        <v>1354</v>
      </c>
      <c r="E58" s="136" t="s">
        <v>99</v>
      </c>
      <c r="F58" s="106" t="s">
        <v>1355</v>
      </c>
      <c r="G58" s="137" t="n">
        <v>45707</v>
      </c>
      <c r="H58" s="106" t="s">
        <v>529</v>
      </c>
      <c r="I58" s="138" t="str">
        <f aca="false">IFERROR(VLOOKUP(TEXT(H58,"0"),IPRESS!$A$3:$B$212,2,0),"")</f>
        <v>MARIA AUXILIADORA</v>
      </c>
      <c r="J58" s="106" t="s">
        <v>755</v>
      </c>
      <c r="K58" s="138" t="str">
        <f aca="false">IFERROR(VLOOKUP(TEXT(O58,"0"),CONDUCTORES!$A$3:$G$100,7,0),"")</f>
        <v/>
      </c>
      <c r="L58" s="50" t="n">
        <v>20.25</v>
      </c>
      <c r="M58" s="50" t="n">
        <v>7</v>
      </c>
      <c r="N58" s="139" t="n">
        <f aca="false">IFERROR(IF(L58*M58=0,"",L58*M58),"")</f>
        <v>141.75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40" t="s">
        <v>1317</v>
      </c>
      <c r="S58" s="107" t="s">
        <v>1356</v>
      </c>
      <c r="T58" s="136"/>
      <c r="U58" s="137" t="n">
        <v>45715</v>
      </c>
      <c r="V58" s="106"/>
      <c r="W58" s="106" t="s">
        <v>760</v>
      </c>
      <c r="X58" s="106" t="s">
        <v>761</v>
      </c>
      <c r="Y58" s="85"/>
    </row>
    <row r="59" customFormat="false" ht="15.75" hidden="false" customHeight="true" outlineLevel="0" collapsed="false">
      <c r="A59" s="46" t="n">
        <v>54</v>
      </c>
      <c r="B59" s="110" t="s">
        <v>1357</v>
      </c>
      <c r="C59" s="46" t="s">
        <v>752</v>
      </c>
      <c r="D59" s="110" t="s">
        <v>1358</v>
      </c>
      <c r="E59" s="46" t="s">
        <v>99</v>
      </c>
      <c r="F59" s="46" t="s">
        <v>1359</v>
      </c>
      <c r="G59" s="142" t="n">
        <v>45709</v>
      </c>
      <c r="H59" s="46" t="s">
        <v>529</v>
      </c>
      <c r="I59" s="138" t="str">
        <f aca="false">IFERROR(VLOOKUP(TEXT(H59,"0"),IPRESS!$A$3:$B$212,2,0),"")</f>
        <v>MARIA AUXILIADORA</v>
      </c>
      <c r="J59" s="46" t="s">
        <v>755</v>
      </c>
      <c r="K59" s="138" t="str">
        <f aca="false">IFERROR(VLOOKUP(TEXT(O59,"0"),CONDUCTORES!$A$3:$G$100,7,0),"")</f>
        <v/>
      </c>
      <c r="L59" s="44" t="n">
        <v>20.25</v>
      </c>
      <c r="M59" s="44" t="n">
        <v>7</v>
      </c>
      <c r="N59" s="139" t="n">
        <f aca="false">IFERROR(IF(L59*M59=0,"",L59*M59),"")</f>
        <v>141.75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85" t="s">
        <v>1317</v>
      </c>
      <c r="S59" s="110" t="s">
        <v>891</v>
      </c>
      <c r="T59" s="46"/>
      <c r="U59" s="142" t="n">
        <v>45715</v>
      </c>
      <c r="V59" s="46"/>
      <c r="W59" s="46" t="s">
        <v>760</v>
      </c>
      <c r="X59" s="46" t="s">
        <v>761</v>
      </c>
      <c r="Y59" s="85"/>
    </row>
    <row r="60" customFormat="false" ht="15.75" hidden="false" customHeight="true" outlineLevel="0" collapsed="false">
      <c r="A60" s="106" t="n">
        <v>55</v>
      </c>
      <c r="B60" s="107" t="s">
        <v>1360</v>
      </c>
      <c r="C60" s="106" t="s">
        <v>752</v>
      </c>
      <c r="D60" s="107" t="s">
        <v>1361</v>
      </c>
      <c r="E60" s="136" t="s">
        <v>99</v>
      </c>
      <c r="F60" s="106" t="s">
        <v>1362</v>
      </c>
      <c r="G60" s="137" t="n">
        <v>45710</v>
      </c>
      <c r="H60" s="106" t="s">
        <v>529</v>
      </c>
      <c r="I60" s="138" t="str">
        <f aca="false">IFERROR(VLOOKUP(TEXT(H60,"0"),IPRESS!$A$3:$B$212,2,0),"")</f>
        <v>MARIA AUXILIADORA</v>
      </c>
      <c r="J60" s="106" t="s">
        <v>755</v>
      </c>
      <c r="K60" s="138" t="str">
        <f aca="false">IFERROR(VLOOKUP(TEXT(O60,"0"),CONDUCTORES!$A$3:$G$100,7,0),"")</f>
        <v/>
      </c>
      <c r="L60" s="50" t="n">
        <v>20.25</v>
      </c>
      <c r="M60" s="50" t="n">
        <v>7</v>
      </c>
      <c r="N60" s="139" t="n">
        <f aca="false">IFERROR(IF(L60*M60=0,"",L60*M60),"")</f>
        <v>141.75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40" t="s">
        <v>1317</v>
      </c>
      <c r="S60" s="107" t="s">
        <v>1363</v>
      </c>
      <c r="T60" s="136"/>
      <c r="U60" s="137" t="n">
        <v>45715</v>
      </c>
      <c r="V60" s="106"/>
      <c r="W60" s="106" t="s">
        <v>760</v>
      </c>
      <c r="X60" s="106" t="s">
        <v>761</v>
      </c>
      <c r="Y60" s="85"/>
    </row>
    <row r="61" customFormat="false" ht="15.75" hidden="false" customHeight="true" outlineLevel="0" collapsed="false">
      <c r="A61" s="46" t="n">
        <v>56</v>
      </c>
      <c r="B61" s="110" t="s">
        <v>1364</v>
      </c>
      <c r="C61" s="46" t="s">
        <v>752</v>
      </c>
      <c r="D61" s="110" t="s">
        <v>1365</v>
      </c>
      <c r="E61" s="46" t="s">
        <v>99</v>
      </c>
      <c r="F61" s="46" t="s">
        <v>1366</v>
      </c>
      <c r="G61" s="142" t="n">
        <v>45712</v>
      </c>
      <c r="H61" s="46" t="s">
        <v>529</v>
      </c>
      <c r="I61" s="138" t="str">
        <f aca="false">IFERROR(VLOOKUP(TEXT(H61,"0"),IPRESS!$A$3:$B$212,2,0),"")</f>
        <v>MARIA AUXILIADORA</v>
      </c>
      <c r="J61" s="46" t="s">
        <v>755</v>
      </c>
      <c r="K61" s="138" t="str">
        <f aca="false">IFERROR(VLOOKUP(TEXT(O61,"0"),CONDUCTORES!$A$3:$G$100,7,0),"")</f>
        <v/>
      </c>
      <c r="L61" s="44" t="n">
        <v>20.25</v>
      </c>
      <c r="M61" s="44" t="n">
        <v>7</v>
      </c>
      <c r="N61" s="139" t="n">
        <f aca="false">IFERROR(IF(L61*M61=0,"",L61*M61),"")</f>
        <v>141.75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85" t="s">
        <v>1317</v>
      </c>
      <c r="S61" s="110" t="s">
        <v>1367</v>
      </c>
      <c r="T61" s="46"/>
      <c r="U61" s="142" t="n">
        <v>45730</v>
      </c>
      <c r="V61" s="46"/>
      <c r="W61" s="46" t="s">
        <v>760</v>
      </c>
      <c r="X61" s="46" t="s">
        <v>761</v>
      </c>
      <c r="Y61" s="85"/>
    </row>
    <row r="62" customFormat="false" ht="15.75" hidden="false" customHeight="true" outlineLevel="0" collapsed="false">
      <c r="A62" s="106" t="n">
        <v>57</v>
      </c>
      <c r="B62" s="107" t="s">
        <v>1368</v>
      </c>
      <c r="C62" s="106" t="s">
        <v>752</v>
      </c>
      <c r="D62" s="107" t="s">
        <v>1369</v>
      </c>
      <c r="E62" s="136" t="s">
        <v>99</v>
      </c>
      <c r="F62" s="106" t="s">
        <v>1370</v>
      </c>
      <c r="G62" s="137" t="n">
        <v>45714</v>
      </c>
      <c r="H62" s="106" t="s">
        <v>529</v>
      </c>
      <c r="I62" s="138" t="str">
        <f aca="false">IFERROR(VLOOKUP(TEXT(H62,"0"),IPRESS!$A$3:$B$212,2,0),"")</f>
        <v>MARIA AUXILIADORA</v>
      </c>
      <c r="J62" s="106" t="s">
        <v>755</v>
      </c>
      <c r="K62" s="138" t="str">
        <f aca="false">IFERROR(VLOOKUP(TEXT(O62,"0"),CONDUCTORES!$A$3:$G$100,7,0),"")</f>
        <v/>
      </c>
      <c r="L62" s="50" t="n">
        <v>20.25</v>
      </c>
      <c r="M62" s="50" t="n">
        <v>7</v>
      </c>
      <c r="N62" s="139" t="n">
        <f aca="false">IFERROR(IF(L62*M62=0,"",L62*M62),"")</f>
        <v>141.75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40" t="s">
        <v>1317</v>
      </c>
      <c r="S62" s="107" t="s">
        <v>1371</v>
      </c>
      <c r="T62" s="136"/>
      <c r="U62" s="137" t="n">
        <v>45730</v>
      </c>
      <c r="V62" s="106"/>
      <c r="W62" s="106" t="s">
        <v>760</v>
      </c>
      <c r="X62" s="106" t="s">
        <v>761</v>
      </c>
      <c r="Y62" s="85"/>
    </row>
    <row r="63" customFormat="false" ht="15.75" hidden="false" customHeight="true" outlineLevel="0" collapsed="false">
      <c r="A63" s="46" t="n">
        <v>58</v>
      </c>
      <c r="B63" s="110" t="s">
        <v>1372</v>
      </c>
      <c r="C63" s="46" t="s">
        <v>752</v>
      </c>
      <c r="D63" s="110" t="s">
        <v>1373</v>
      </c>
      <c r="E63" s="46" t="s">
        <v>99</v>
      </c>
      <c r="F63" s="46" t="s">
        <v>1374</v>
      </c>
      <c r="G63" s="142" t="n">
        <v>45715</v>
      </c>
      <c r="H63" s="46" t="s">
        <v>529</v>
      </c>
      <c r="I63" s="138" t="str">
        <f aca="false">IFERROR(VLOOKUP(TEXT(H63,"0"),IPRESS!$A$3:$B$212,2,0),"")</f>
        <v>MARIA AUXILIADORA</v>
      </c>
      <c r="J63" s="46" t="s">
        <v>755</v>
      </c>
      <c r="K63" s="138" t="str">
        <f aca="false">IFERROR(VLOOKUP(TEXT(O63,"0"),CONDUCTORES!$A$3:$G$100,7,0),"")</f>
        <v/>
      </c>
      <c r="L63" s="44" t="n">
        <v>20.25</v>
      </c>
      <c r="M63" s="44" t="n">
        <v>6</v>
      </c>
      <c r="N63" s="139" t="n">
        <f aca="false">IFERROR(IF(L63*M63=0,"",L63*M63),"")</f>
        <v>121.5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85" t="s">
        <v>1317</v>
      </c>
      <c r="S63" s="110" t="s">
        <v>1375</v>
      </c>
      <c r="T63" s="46"/>
      <c r="U63" s="142" t="n">
        <v>45730</v>
      </c>
      <c r="V63" s="46"/>
      <c r="W63" s="46" t="s">
        <v>760</v>
      </c>
      <c r="X63" s="46" t="s">
        <v>761</v>
      </c>
      <c r="Y63" s="85"/>
    </row>
    <row r="64" customFormat="false" ht="15.75" hidden="false" customHeight="true" outlineLevel="0" collapsed="false">
      <c r="A64" s="106" t="n">
        <v>59</v>
      </c>
      <c r="B64" s="107" t="s">
        <v>1376</v>
      </c>
      <c r="C64" s="106" t="s">
        <v>752</v>
      </c>
      <c r="D64" s="107" t="s">
        <v>1377</v>
      </c>
      <c r="E64" s="136" t="s">
        <v>99</v>
      </c>
      <c r="F64" s="106" t="s">
        <v>1378</v>
      </c>
      <c r="G64" s="137" t="n">
        <v>45716</v>
      </c>
      <c r="H64" s="106" t="s">
        <v>529</v>
      </c>
      <c r="I64" s="138" t="str">
        <f aca="false">IFERROR(VLOOKUP(TEXT(H64,"0"),IPRESS!$A$3:$B$212,2,0),"")</f>
        <v>MARIA AUXILIADORA</v>
      </c>
      <c r="J64" s="106" t="s">
        <v>755</v>
      </c>
      <c r="K64" s="138" t="str">
        <f aca="false">IFERROR(VLOOKUP(TEXT(O64,"0"),CONDUCTORES!$A$3:$G$100,7,0),"")</f>
        <v/>
      </c>
      <c r="L64" s="50" t="n">
        <v>20.25</v>
      </c>
      <c r="M64" s="50" t="n">
        <v>7</v>
      </c>
      <c r="N64" s="139" t="n">
        <f aca="false">IFERROR(IF(L64*M64=0,"",L64*M64),"")</f>
        <v>141.75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40" t="s">
        <v>1317</v>
      </c>
      <c r="S64" s="107" t="s">
        <v>1379</v>
      </c>
      <c r="T64" s="136"/>
      <c r="U64" s="137" t="n">
        <v>45737</v>
      </c>
      <c r="V64" s="106"/>
      <c r="W64" s="106" t="s">
        <v>760</v>
      </c>
      <c r="X64" s="106" t="s">
        <v>761</v>
      </c>
      <c r="Y64" s="85"/>
    </row>
    <row r="65" customFormat="false" ht="15.75" hidden="false" customHeight="true" outlineLevel="0" collapsed="false">
      <c r="A65" s="46" t="n">
        <v>60</v>
      </c>
      <c r="B65" s="110" t="s">
        <v>1380</v>
      </c>
      <c r="C65" s="46" t="s">
        <v>752</v>
      </c>
      <c r="D65" s="110" t="s">
        <v>1381</v>
      </c>
      <c r="E65" s="46" t="s">
        <v>99</v>
      </c>
      <c r="F65" s="46" t="s">
        <v>1382</v>
      </c>
      <c r="G65" s="142" t="n">
        <v>45716</v>
      </c>
      <c r="H65" s="46" t="s">
        <v>529</v>
      </c>
      <c r="I65" s="138" t="str">
        <f aca="false">IFERROR(VLOOKUP(TEXT(H65,"0"),IPRESS!$A$3:$B$212,2,0),"")</f>
        <v>MARIA AUXILIADORA</v>
      </c>
      <c r="J65" s="46" t="s">
        <v>755</v>
      </c>
      <c r="K65" s="138" t="str">
        <f aca="false">IFERROR(VLOOKUP(TEXT(O65,"0"),CONDUCTORES!$A$3:$G$100,7,0),"")</f>
        <v/>
      </c>
      <c r="L65" s="44" t="n">
        <v>20.25</v>
      </c>
      <c r="M65" s="44" t="n">
        <v>7</v>
      </c>
      <c r="N65" s="139" t="n">
        <f aca="false">IFERROR(IF(L65*M65=0,"",L65*M65),"")</f>
        <v>141.75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85" t="s">
        <v>1317</v>
      </c>
      <c r="S65" s="110" t="s">
        <v>1383</v>
      </c>
      <c r="T65" s="46"/>
      <c r="U65" s="142" t="n">
        <v>45744</v>
      </c>
      <c r="V65" s="46"/>
      <c r="W65" s="46" t="s">
        <v>760</v>
      </c>
      <c r="X65" s="46" t="s">
        <v>761</v>
      </c>
      <c r="Y65" s="85"/>
    </row>
    <row r="66" customFormat="false" ht="15.75" hidden="false" customHeight="true" outlineLevel="0" collapsed="false">
      <c r="A66" s="143" t="n">
        <v>61</v>
      </c>
      <c r="B66" s="144" t="s">
        <v>1197</v>
      </c>
      <c r="C66" s="143" t="s">
        <v>752</v>
      </c>
      <c r="D66" s="144" t="s">
        <v>1384</v>
      </c>
      <c r="E66" s="143" t="s">
        <v>99</v>
      </c>
      <c r="F66" s="143" t="s">
        <v>1385</v>
      </c>
      <c r="G66" s="145" t="n">
        <v>45715</v>
      </c>
      <c r="H66" s="143" t="s">
        <v>547</v>
      </c>
      <c r="I66" s="138" t="str">
        <f aca="false">IFERROR(VLOOKUP(TEXT(H66,"0"),IPRESS!$A$3:$B$212,2,0),"")</f>
        <v>MOLINOPAMPA</v>
      </c>
      <c r="J66" s="143" t="s">
        <v>755</v>
      </c>
      <c r="K66" s="138" t="str">
        <f aca="false">IFERROR(VLOOKUP(TEXT(O66,"0"),CONDUCTORES!$A$3:$G$100,7,0),"")</f>
        <v/>
      </c>
      <c r="L66" s="146" t="n">
        <v>17.95</v>
      </c>
      <c r="M66" s="146" t="n">
        <v>8</v>
      </c>
      <c r="N66" s="139" t="n">
        <f aca="false">IFERROR(IF(L66*M66=0,"",L66*M66),"")</f>
        <v>143.6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45" t="n">
        <v>45790</v>
      </c>
      <c r="S66" s="144" t="s">
        <v>860</v>
      </c>
      <c r="T66" s="143"/>
      <c r="U66" s="145" t="n">
        <v>45744</v>
      </c>
      <c r="V66" s="143" t="s">
        <v>816</v>
      </c>
      <c r="W66" s="143" t="s">
        <v>801</v>
      </c>
      <c r="X66" s="143" t="s">
        <v>817</v>
      </c>
      <c r="Y66" s="85"/>
    </row>
    <row r="67" customFormat="false" ht="15.75" hidden="false" customHeight="true" outlineLevel="0" collapsed="false">
      <c r="A67" s="46" t="n">
        <v>62</v>
      </c>
      <c r="B67" s="110" t="s">
        <v>827</v>
      </c>
      <c r="C67" s="46" t="s">
        <v>752</v>
      </c>
      <c r="D67" s="110" t="s">
        <v>1386</v>
      </c>
      <c r="E67" s="46" t="s">
        <v>99</v>
      </c>
      <c r="F67" s="46" t="s">
        <v>1387</v>
      </c>
      <c r="G67" s="142" t="n">
        <v>45690</v>
      </c>
      <c r="H67" s="46" t="s">
        <v>569</v>
      </c>
      <c r="I67" s="138" t="str">
        <f aca="false">IFERROR(VLOOKUP(TEXT(H67,"0"),IPRESS!$A$3:$B$212,2,0),"")</f>
        <v>OCALLI</v>
      </c>
      <c r="J67" s="46" t="s">
        <v>755</v>
      </c>
      <c r="K67" s="138" t="str">
        <f aca="false">IFERROR(VLOOKUP(TEXT(O67,"0"),CONDUCTORES!$A$3:$G$100,7,0),"")</f>
        <v/>
      </c>
      <c r="L67" s="44" t="n">
        <v>18.18</v>
      </c>
      <c r="M67" s="44" t="n">
        <v>20</v>
      </c>
      <c r="N67" s="139" t="n">
        <f aca="false">IFERROR(IF(L67*M67=0,"",L67*M67),"")</f>
        <v>363.6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142" t="n">
        <v>45825</v>
      </c>
      <c r="S67" s="110" t="s">
        <v>1388</v>
      </c>
      <c r="T67" s="46"/>
      <c r="U67" s="142" t="n">
        <v>45721</v>
      </c>
      <c r="V67" s="46"/>
      <c r="W67" s="46"/>
      <c r="X67" s="46"/>
      <c r="Y67" s="85"/>
    </row>
    <row r="68" customFormat="false" ht="15.75" hidden="false" customHeight="true" outlineLevel="0" collapsed="false">
      <c r="A68" s="106" t="n">
        <v>63</v>
      </c>
      <c r="B68" s="107" t="s">
        <v>844</v>
      </c>
      <c r="C68" s="106" t="s">
        <v>752</v>
      </c>
      <c r="D68" s="107" t="s">
        <v>1389</v>
      </c>
      <c r="E68" s="136" t="s">
        <v>99</v>
      </c>
      <c r="F68" s="106" t="s">
        <v>1390</v>
      </c>
      <c r="G68" s="137" t="n">
        <v>45704</v>
      </c>
      <c r="H68" s="106" t="s">
        <v>569</v>
      </c>
      <c r="I68" s="138" t="str">
        <f aca="false">IFERROR(VLOOKUP(TEXT(H68,"0"),IPRESS!$A$3:$B$212,2,0),"")</f>
        <v>OCALLI</v>
      </c>
      <c r="J68" s="106" t="s">
        <v>755</v>
      </c>
      <c r="K68" s="138" t="str">
        <f aca="false">IFERROR(VLOOKUP(TEXT(O68,"0"),CONDUCTORES!$A$3:$G$100,7,0),"")</f>
        <v/>
      </c>
      <c r="L68" s="50" t="n">
        <v>18.18</v>
      </c>
      <c r="M68" s="50" t="n">
        <v>20</v>
      </c>
      <c r="N68" s="139" t="n">
        <f aca="false">IFERROR(IF(L68*M68=0,"",L68*M68),"")</f>
        <v>363.6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37" t="n">
        <v>45825</v>
      </c>
      <c r="S68" s="107" t="s">
        <v>1292</v>
      </c>
      <c r="T68" s="136"/>
      <c r="U68" s="137" t="n">
        <v>45737</v>
      </c>
      <c r="V68" s="106"/>
      <c r="W68" s="106"/>
      <c r="X68" s="106"/>
      <c r="Y68" s="85"/>
    </row>
    <row r="69" customFormat="false" ht="15.75" hidden="false" customHeight="true" outlineLevel="0" collapsed="false">
      <c r="A69" s="46" t="n">
        <v>64</v>
      </c>
      <c r="B69" s="110" t="s">
        <v>1391</v>
      </c>
      <c r="C69" s="46" t="s">
        <v>752</v>
      </c>
      <c r="D69" s="110" t="s">
        <v>1392</v>
      </c>
      <c r="E69" s="46" t="s">
        <v>99</v>
      </c>
      <c r="F69" s="46" t="s">
        <v>1362</v>
      </c>
      <c r="G69" s="142" t="n">
        <v>45710</v>
      </c>
      <c r="H69" s="46" t="s">
        <v>572</v>
      </c>
      <c r="I69" s="138" t="str">
        <f aca="false">IFERROR(VLOOKUP(TEXT(H69,"0"),IPRESS!$A$3:$B$212,2,0),"")</f>
        <v>OMIA</v>
      </c>
      <c r="J69" s="46" t="s">
        <v>529</v>
      </c>
      <c r="K69" s="138" t="str">
        <f aca="false">IFERROR(VLOOKUP(TEXT(O69,"0"),CONDUCTORES!$A$3:$G$100,7,0),"")</f>
        <v/>
      </c>
      <c r="L69" s="44" t="n">
        <v>20.25</v>
      </c>
      <c r="M69" s="44" t="n">
        <v>3</v>
      </c>
      <c r="N69" s="139" t="n">
        <f aca="false">IFERROR(IF(L69*M69=0,"",L69*M69),"")</f>
        <v>60.75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142" t="n">
        <v>45839</v>
      </c>
      <c r="S69" s="110" t="s">
        <v>1393</v>
      </c>
      <c r="T69" s="46"/>
      <c r="U69" s="142" t="n">
        <v>45749</v>
      </c>
      <c r="V69" s="46"/>
      <c r="W69" s="46"/>
      <c r="X69" s="46"/>
      <c r="Y69" s="85"/>
    </row>
    <row r="70" customFormat="false" ht="15.75" hidden="false" customHeight="true" outlineLevel="0" collapsed="false">
      <c r="A70" s="143" t="n">
        <v>65</v>
      </c>
      <c r="B70" s="144" t="s">
        <v>866</v>
      </c>
      <c r="C70" s="143" t="s">
        <v>752</v>
      </c>
      <c r="D70" s="144" t="s">
        <v>1394</v>
      </c>
      <c r="E70" s="143" t="s">
        <v>99</v>
      </c>
      <c r="F70" s="143" t="s">
        <v>1395</v>
      </c>
      <c r="G70" s="145" t="n">
        <v>45695</v>
      </c>
      <c r="H70" s="143" t="s">
        <v>581</v>
      </c>
      <c r="I70" s="138" t="str">
        <f aca="false">IFERROR(VLOOKUP(TEXT(H70,"0"),IPRESS!$A$3:$B$212,2,0),"")</f>
        <v>PEDRO RUIZ GALLO</v>
      </c>
      <c r="J70" s="143" t="s">
        <v>755</v>
      </c>
      <c r="K70" s="138" t="str">
        <f aca="false">IFERROR(VLOOKUP(TEXT(O70,"0"),CONDUCTORES!$A$3:$G$100,7,0),"")</f>
        <v/>
      </c>
      <c r="L70" s="146" t="n">
        <v>17.95</v>
      </c>
      <c r="M70" s="146" t="n">
        <v>6</v>
      </c>
      <c r="N70" s="139" t="n">
        <f aca="false">IFERROR(IF(L70*M70=0,"",L70*M70),"")</f>
        <v>107.7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47" t="s">
        <v>1396</v>
      </c>
      <c r="S70" s="144" t="s">
        <v>1397</v>
      </c>
      <c r="T70" s="143"/>
      <c r="U70" s="145" t="n">
        <v>45721</v>
      </c>
      <c r="V70" s="143" t="s">
        <v>1009</v>
      </c>
      <c r="W70" s="143" t="s">
        <v>1010</v>
      </c>
      <c r="X70" s="143" t="s">
        <v>1011</v>
      </c>
      <c r="Y70" s="85"/>
    </row>
    <row r="71" customFormat="false" ht="15.75" hidden="false" customHeight="true" outlineLevel="0" collapsed="false">
      <c r="A71" s="143" t="n">
        <v>66</v>
      </c>
      <c r="B71" s="144" t="s">
        <v>1202</v>
      </c>
      <c r="C71" s="143" t="s">
        <v>752</v>
      </c>
      <c r="D71" s="144" t="s">
        <v>1398</v>
      </c>
      <c r="E71" s="143" t="s">
        <v>99</v>
      </c>
      <c r="F71" s="143" t="s">
        <v>1399</v>
      </c>
      <c r="G71" s="145" t="n">
        <v>45698</v>
      </c>
      <c r="H71" s="143" t="s">
        <v>581</v>
      </c>
      <c r="I71" s="138" t="str">
        <f aca="false">IFERROR(VLOOKUP(TEXT(H71,"0"),IPRESS!$A$3:$B$212,2,0),"")</f>
        <v>PEDRO RUIZ GALLO</v>
      </c>
      <c r="J71" s="143" t="s">
        <v>755</v>
      </c>
      <c r="K71" s="138" t="str">
        <f aca="false">IFERROR(VLOOKUP(TEXT(O71,"0"),CONDUCTORES!$A$3:$G$100,7,0),"")</f>
        <v/>
      </c>
      <c r="L71" s="146" t="n">
        <v>17.95</v>
      </c>
      <c r="M71" s="146" t="n">
        <v>6</v>
      </c>
      <c r="N71" s="139" t="n">
        <f aca="false">IFERROR(IF(L71*M71=0,"",L71*M71),"")</f>
        <v>107.7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147" t="s">
        <v>1396</v>
      </c>
      <c r="S71" s="144" t="s">
        <v>1140</v>
      </c>
      <c r="T71" s="143"/>
      <c r="U71" s="145" t="n">
        <v>45737</v>
      </c>
      <c r="V71" s="143" t="s">
        <v>1009</v>
      </c>
      <c r="W71" s="143" t="s">
        <v>1010</v>
      </c>
      <c r="X71" s="143" t="s">
        <v>1011</v>
      </c>
      <c r="Y71" s="85"/>
    </row>
    <row r="72" customFormat="false" ht="15.75" hidden="false" customHeight="true" outlineLevel="0" collapsed="false">
      <c r="A72" s="143" t="n">
        <v>67</v>
      </c>
      <c r="B72" s="144" t="s">
        <v>873</v>
      </c>
      <c r="C72" s="143" t="s">
        <v>752</v>
      </c>
      <c r="D72" s="144" t="s">
        <v>1400</v>
      </c>
      <c r="E72" s="143" t="s">
        <v>99</v>
      </c>
      <c r="F72" s="143" t="s">
        <v>1401</v>
      </c>
      <c r="G72" s="145" t="n">
        <v>45693</v>
      </c>
      <c r="H72" s="143" t="s">
        <v>581</v>
      </c>
      <c r="I72" s="138" t="str">
        <f aca="false">IFERROR(VLOOKUP(TEXT(H72,"0"),IPRESS!$A$3:$B$212,2,0),"")</f>
        <v>PEDRO RUIZ GALLO</v>
      </c>
      <c r="J72" s="143" t="s">
        <v>755</v>
      </c>
      <c r="K72" s="138" t="str">
        <f aca="false">IFERROR(VLOOKUP(TEXT(O72,"0"),CONDUCTORES!$A$3:$G$100,7,0),"")</f>
        <v/>
      </c>
      <c r="L72" s="146" t="n">
        <v>17.95</v>
      </c>
      <c r="M72" s="146" t="n">
        <v>6</v>
      </c>
      <c r="N72" s="139" t="n">
        <f aca="false">IFERROR(IF(L72*M72=0,"",L72*M72),"")</f>
        <v>107.7</v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47" t="s">
        <v>1396</v>
      </c>
      <c r="S72" s="144" t="s">
        <v>1402</v>
      </c>
      <c r="T72" s="143"/>
      <c r="U72" s="145" t="n">
        <v>45737</v>
      </c>
      <c r="V72" s="143" t="s">
        <v>1009</v>
      </c>
      <c r="W72" s="143" t="s">
        <v>1010</v>
      </c>
      <c r="X72" s="143" t="s">
        <v>1011</v>
      </c>
      <c r="Y72" s="85"/>
    </row>
    <row r="73" customFormat="false" ht="15.75" hidden="false" customHeight="true" outlineLevel="0" collapsed="false">
      <c r="A73" s="143" t="n">
        <v>68</v>
      </c>
      <c r="B73" s="144" t="s">
        <v>1207</v>
      </c>
      <c r="C73" s="143" t="s">
        <v>752</v>
      </c>
      <c r="D73" s="144" t="s">
        <v>1403</v>
      </c>
      <c r="E73" s="143" t="s">
        <v>99</v>
      </c>
      <c r="F73" s="143" t="s">
        <v>1404</v>
      </c>
      <c r="G73" s="145" t="n">
        <v>45703</v>
      </c>
      <c r="H73" s="143" t="s">
        <v>581</v>
      </c>
      <c r="I73" s="138" t="str">
        <f aca="false">IFERROR(VLOOKUP(TEXT(H73,"0"),IPRESS!$A$3:$B$212,2,0),"")</f>
        <v>PEDRO RUIZ GALLO</v>
      </c>
      <c r="J73" s="143" t="s">
        <v>755</v>
      </c>
      <c r="K73" s="138" t="str">
        <f aca="false">IFERROR(VLOOKUP(TEXT(O73,"0"),CONDUCTORES!$A$3:$G$100,7,0),"")</f>
        <v/>
      </c>
      <c r="L73" s="146" t="n">
        <v>17.95</v>
      </c>
      <c r="M73" s="146" t="n">
        <v>6</v>
      </c>
      <c r="N73" s="139" t="n">
        <f aca="false">IFERROR(IF(L73*M73=0,"",L73*M73),"")</f>
        <v>107.7</v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147" t="s">
        <v>1396</v>
      </c>
      <c r="S73" s="144" t="s">
        <v>1405</v>
      </c>
      <c r="T73" s="143"/>
      <c r="U73" s="145" t="n">
        <v>45714</v>
      </c>
      <c r="V73" s="143" t="s">
        <v>1009</v>
      </c>
      <c r="W73" s="143" t="s">
        <v>1010</v>
      </c>
      <c r="X73" s="143" t="s">
        <v>1011</v>
      </c>
      <c r="Y73" s="85"/>
    </row>
    <row r="74" customFormat="false" ht="15.75" hidden="false" customHeight="true" outlineLevel="0" collapsed="false">
      <c r="A74" s="143" t="n">
        <v>69</v>
      </c>
      <c r="B74" s="144" t="s">
        <v>1197</v>
      </c>
      <c r="C74" s="143" t="s">
        <v>752</v>
      </c>
      <c r="D74" s="144" t="s">
        <v>1406</v>
      </c>
      <c r="E74" s="143" t="s">
        <v>99</v>
      </c>
      <c r="F74" s="143" t="s">
        <v>1407</v>
      </c>
      <c r="G74" s="145" t="n">
        <v>45704</v>
      </c>
      <c r="H74" s="143" t="s">
        <v>581</v>
      </c>
      <c r="I74" s="138" t="str">
        <f aca="false">IFERROR(VLOOKUP(TEXT(H74,"0"),IPRESS!$A$3:$B$212,2,0),"")</f>
        <v>PEDRO RUIZ GALLO</v>
      </c>
      <c r="J74" s="143" t="s">
        <v>755</v>
      </c>
      <c r="K74" s="138" t="str">
        <f aca="false">IFERROR(VLOOKUP(TEXT(O74,"0"),CONDUCTORES!$A$3:$G$100,7,0),"")</f>
        <v/>
      </c>
      <c r="L74" s="146" t="n">
        <v>17.95</v>
      </c>
      <c r="M74" s="146" t="n">
        <v>6</v>
      </c>
      <c r="N74" s="139" t="n">
        <f aca="false">IFERROR(IF(L74*M74=0,"",L74*M74),"")</f>
        <v>107.7</v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47" t="s">
        <v>1396</v>
      </c>
      <c r="S74" s="144" t="s">
        <v>1408</v>
      </c>
      <c r="T74" s="143"/>
      <c r="U74" s="145" t="n">
        <v>45707</v>
      </c>
      <c r="V74" s="143" t="s">
        <v>1009</v>
      </c>
      <c r="W74" s="143" t="s">
        <v>1010</v>
      </c>
      <c r="X74" s="143" t="s">
        <v>1011</v>
      </c>
      <c r="Y74" s="85"/>
    </row>
    <row r="75" customFormat="false" ht="15.75" hidden="false" customHeight="true" outlineLevel="0" collapsed="false">
      <c r="A75" s="143" t="n">
        <v>70</v>
      </c>
      <c r="B75" s="144" t="s">
        <v>1302</v>
      </c>
      <c r="C75" s="143" t="s">
        <v>752</v>
      </c>
      <c r="D75" s="144" t="s">
        <v>1409</v>
      </c>
      <c r="E75" s="143" t="s">
        <v>99</v>
      </c>
      <c r="F75" s="143" t="s">
        <v>1410</v>
      </c>
      <c r="G75" s="145" t="n">
        <v>45708</v>
      </c>
      <c r="H75" s="143" t="s">
        <v>581</v>
      </c>
      <c r="I75" s="138" t="str">
        <f aca="false">IFERROR(VLOOKUP(TEXT(H75,"0"),IPRESS!$A$3:$B$212,2,0),"")</f>
        <v>PEDRO RUIZ GALLO</v>
      </c>
      <c r="J75" s="143" t="s">
        <v>755</v>
      </c>
      <c r="K75" s="138" t="str">
        <f aca="false">IFERROR(VLOOKUP(TEXT(O75,"0"),CONDUCTORES!$A$3:$G$100,7,0),"")</f>
        <v/>
      </c>
      <c r="L75" s="146" t="n">
        <v>17.95</v>
      </c>
      <c r="M75" s="146" t="n">
        <v>6</v>
      </c>
      <c r="N75" s="139" t="n">
        <f aca="false">IFERROR(IF(L75*M75=0,"",L75*M75),"")</f>
        <v>107.7</v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147" t="s">
        <v>1396</v>
      </c>
      <c r="S75" s="144" t="s">
        <v>1411</v>
      </c>
      <c r="T75" s="143"/>
      <c r="U75" s="145" t="n">
        <v>45730</v>
      </c>
      <c r="V75" s="143" t="s">
        <v>1009</v>
      </c>
      <c r="W75" s="143" t="s">
        <v>1010</v>
      </c>
      <c r="X75" s="143" t="s">
        <v>1011</v>
      </c>
      <c r="Y75" s="85"/>
    </row>
    <row r="76" customFormat="false" ht="15.75" hidden="false" customHeight="true" outlineLevel="0" collapsed="false">
      <c r="A76" s="143" t="n">
        <v>71</v>
      </c>
      <c r="B76" s="144" t="s">
        <v>1412</v>
      </c>
      <c r="C76" s="143" t="s">
        <v>752</v>
      </c>
      <c r="D76" s="144" t="s">
        <v>1413</v>
      </c>
      <c r="E76" s="143" t="s">
        <v>99</v>
      </c>
      <c r="F76" s="143" t="s">
        <v>1414</v>
      </c>
      <c r="G76" s="145" t="n">
        <v>45712</v>
      </c>
      <c r="H76" s="143" t="s">
        <v>581</v>
      </c>
      <c r="I76" s="138" t="str">
        <f aca="false">IFERROR(VLOOKUP(TEXT(H76,"0"),IPRESS!$A$3:$B$212,2,0),"")</f>
        <v>PEDRO RUIZ GALLO</v>
      </c>
      <c r="J76" s="143" t="s">
        <v>755</v>
      </c>
      <c r="K76" s="138" t="str">
        <f aca="false">IFERROR(VLOOKUP(TEXT(O76,"0"),CONDUCTORES!$A$3:$G$100,7,0),"")</f>
        <v/>
      </c>
      <c r="L76" s="146" t="n">
        <v>17.95</v>
      </c>
      <c r="M76" s="146" t="n">
        <v>6</v>
      </c>
      <c r="N76" s="139" t="n">
        <f aca="false">IFERROR(IF(L76*M76=0,"",L76*M76),"")</f>
        <v>107.7</v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47" t="s">
        <v>1396</v>
      </c>
      <c r="S76" s="144" t="s">
        <v>1415</v>
      </c>
      <c r="T76" s="143"/>
      <c r="U76" s="145" t="n">
        <v>45730</v>
      </c>
      <c r="V76" s="143" t="s">
        <v>1009</v>
      </c>
      <c r="W76" s="143" t="s">
        <v>1010</v>
      </c>
      <c r="X76" s="143" t="s">
        <v>1011</v>
      </c>
      <c r="Y76" s="85"/>
    </row>
    <row r="77" customFormat="false" ht="15.75" hidden="false" customHeight="true" outlineLevel="0" collapsed="false">
      <c r="A77" s="46" t="n">
        <v>72</v>
      </c>
      <c r="B77" s="110" t="s">
        <v>1262</v>
      </c>
      <c r="C77" s="46" t="s">
        <v>752</v>
      </c>
      <c r="D77" s="110" t="s">
        <v>1416</v>
      </c>
      <c r="E77" s="46" t="s">
        <v>99</v>
      </c>
      <c r="F77" s="46" t="s">
        <v>1417</v>
      </c>
      <c r="G77" s="142" t="n">
        <v>45696</v>
      </c>
      <c r="H77" s="46" t="s">
        <v>581</v>
      </c>
      <c r="I77" s="138" t="str">
        <f aca="false">IFERROR(VLOOKUP(TEXT(H77,"0"),IPRESS!$A$3:$B$212,2,0),"")</f>
        <v>PEDRO RUIZ GALLO</v>
      </c>
      <c r="J77" s="46" t="s">
        <v>755</v>
      </c>
      <c r="K77" s="138" t="str">
        <f aca="false">IFERROR(VLOOKUP(TEXT(O77,"0"),CONDUCTORES!$A$3:$G$100,7,0),"")</f>
        <v/>
      </c>
      <c r="L77" s="44" t="n">
        <v>18.18</v>
      </c>
      <c r="M77" s="44" t="n">
        <v>6</v>
      </c>
      <c r="N77" s="139" t="n">
        <f aca="false">IFERROR(IF(L77*M77=0,"",L77*M77),"")</f>
        <v>109.08</v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85" t="s">
        <v>1396</v>
      </c>
      <c r="S77" s="110" t="s">
        <v>1418</v>
      </c>
      <c r="T77" s="46"/>
      <c r="U77" s="142" t="n">
        <v>45728</v>
      </c>
      <c r="V77" s="46" t="s">
        <v>792</v>
      </c>
      <c r="W77" s="46" t="s">
        <v>801</v>
      </c>
      <c r="X77" s="46" t="s">
        <v>794</v>
      </c>
      <c r="Y77" s="85"/>
    </row>
    <row r="78" customFormat="false" ht="15.75" hidden="false" customHeight="true" outlineLevel="0" collapsed="false">
      <c r="A78" s="106" t="n">
        <v>73</v>
      </c>
      <c r="B78" s="107" t="s">
        <v>1227</v>
      </c>
      <c r="C78" s="106" t="s">
        <v>752</v>
      </c>
      <c r="D78" s="107" t="s">
        <v>1419</v>
      </c>
      <c r="E78" s="136" t="s">
        <v>99</v>
      </c>
      <c r="F78" s="106" t="s">
        <v>1420</v>
      </c>
      <c r="G78" s="137" t="n">
        <v>45699</v>
      </c>
      <c r="H78" s="106" t="s">
        <v>581</v>
      </c>
      <c r="I78" s="138" t="str">
        <f aca="false">IFERROR(VLOOKUP(TEXT(H78,"0"),IPRESS!$A$3:$B$212,2,0),"")</f>
        <v>PEDRO RUIZ GALLO</v>
      </c>
      <c r="J78" s="106" t="s">
        <v>755</v>
      </c>
      <c r="K78" s="138" t="str">
        <f aca="false">IFERROR(VLOOKUP(TEXT(O78,"0"),CONDUCTORES!$A$3:$G$100,7,0),"")</f>
        <v/>
      </c>
      <c r="L78" s="50" t="n">
        <v>18.18</v>
      </c>
      <c r="M78" s="50" t="n">
        <v>6</v>
      </c>
      <c r="N78" s="139" t="n">
        <f aca="false">IFERROR(IF(L78*M78=0,"",L78*M78),"")</f>
        <v>109.08</v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40" t="s">
        <v>1396</v>
      </c>
      <c r="S78" s="107" t="s">
        <v>1421</v>
      </c>
      <c r="T78" s="136"/>
      <c r="U78" s="137" t="n">
        <v>45737</v>
      </c>
      <c r="V78" s="106" t="s">
        <v>792</v>
      </c>
      <c r="W78" s="106" t="s">
        <v>801</v>
      </c>
      <c r="X78" s="106" t="s">
        <v>794</v>
      </c>
      <c r="Y78" s="85"/>
    </row>
    <row r="79" customFormat="false" ht="15.75" hidden="false" customHeight="true" outlineLevel="0" collapsed="false">
      <c r="A79" s="46" t="n">
        <v>74</v>
      </c>
      <c r="B79" s="110" t="s">
        <v>1306</v>
      </c>
      <c r="C79" s="46" t="s">
        <v>752</v>
      </c>
      <c r="D79" s="110" t="s">
        <v>1422</v>
      </c>
      <c r="E79" s="46" t="s">
        <v>99</v>
      </c>
      <c r="F79" s="46" t="s">
        <v>1423</v>
      </c>
      <c r="G79" s="142" t="n">
        <v>45711</v>
      </c>
      <c r="H79" s="46" t="s">
        <v>581</v>
      </c>
      <c r="I79" s="138" t="str">
        <f aca="false">IFERROR(VLOOKUP(TEXT(H79,"0"),IPRESS!$A$3:$B$212,2,0),"")</f>
        <v>PEDRO RUIZ GALLO</v>
      </c>
      <c r="J79" s="46" t="s">
        <v>755</v>
      </c>
      <c r="K79" s="138" t="str">
        <f aca="false">IFERROR(VLOOKUP(TEXT(O79,"0"),CONDUCTORES!$A$3:$G$100,7,0),"")</f>
        <v/>
      </c>
      <c r="L79" s="44" t="n">
        <v>18.18</v>
      </c>
      <c r="M79" s="44" t="n">
        <v>6</v>
      </c>
      <c r="N79" s="139" t="n">
        <f aca="false">IFERROR(IF(L79*M79=0,"",L79*M79),"")</f>
        <v>109.08</v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85" t="s">
        <v>1396</v>
      </c>
      <c r="S79" s="110" t="s">
        <v>1424</v>
      </c>
      <c r="T79" s="46"/>
      <c r="U79" s="142" t="n">
        <v>45730</v>
      </c>
      <c r="V79" s="46" t="s">
        <v>792</v>
      </c>
      <c r="W79" s="46" t="s">
        <v>801</v>
      </c>
      <c r="X79" s="46" t="s">
        <v>794</v>
      </c>
      <c r="Y79" s="85"/>
    </row>
    <row r="80" customFormat="false" ht="15.75" hidden="false" customHeight="true" outlineLevel="0" collapsed="false">
      <c r="A80" s="106" t="n">
        <v>75</v>
      </c>
      <c r="B80" s="107" t="s">
        <v>1425</v>
      </c>
      <c r="C80" s="106" t="s">
        <v>752</v>
      </c>
      <c r="D80" s="107" t="s">
        <v>1426</v>
      </c>
      <c r="E80" s="136" t="s">
        <v>99</v>
      </c>
      <c r="F80" s="106" t="s">
        <v>1427</v>
      </c>
      <c r="G80" s="137" t="n">
        <v>45714</v>
      </c>
      <c r="H80" s="106" t="s">
        <v>581</v>
      </c>
      <c r="I80" s="138" t="str">
        <f aca="false">IFERROR(VLOOKUP(TEXT(H80,"0"),IPRESS!$A$3:$B$212,2,0),"")</f>
        <v>PEDRO RUIZ GALLO</v>
      </c>
      <c r="J80" s="106" t="s">
        <v>755</v>
      </c>
      <c r="K80" s="138" t="str">
        <f aca="false">IFERROR(VLOOKUP(TEXT(O80,"0"),CONDUCTORES!$A$3:$G$100,7,0),"")</f>
        <v/>
      </c>
      <c r="L80" s="50" t="n">
        <v>18.18</v>
      </c>
      <c r="M80" s="50" t="n">
        <v>6</v>
      </c>
      <c r="N80" s="139" t="n">
        <f aca="false">IFERROR(IF(L80*M80=0,"",L80*M80),"")</f>
        <v>109.08</v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40" t="s">
        <v>1396</v>
      </c>
      <c r="S80" s="107" t="s">
        <v>1428</v>
      </c>
      <c r="T80" s="136"/>
      <c r="U80" s="137" t="n">
        <v>45730</v>
      </c>
      <c r="V80" s="106" t="s">
        <v>792</v>
      </c>
      <c r="W80" s="106" t="s">
        <v>801</v>
      </c>
      <c r="X80" s="106" t="s">
        <v>794</v>
      </c>
      <c r="Y80" s="85"/>
    </row>
    <row r="81" customFormat="false" ht="15.75" hidden="false" customHeight="true" outlineLevel="0" collapsed="false">
      <c r="A81" s="46" t="n">
        <v>76</v>
      </c>
      <c r="B81" s="110" t="s">
        <v>1429</v>
      </c>
      <c r="C81" s="46" t="s">
        <v>752</v>
      </c>
      <c r="D81" s="110" t="s">
        <v>1430</v>
      </c>
      <c r="E81" s="46" t="s">
        <v>99</v>
      </c>
      <c r="F81" s="46" t="s">
        <v>1431</v>
      </c>
      <c r="G81" s="142" t="n">
        <v>45715</v>
      </c>
      <c r="H81" s="46" t="s">
        <v>595</v>
      </c>
      <c r="I81" s="138" t="str">
        <f aca="false">IFERROR(VLOOKUP(TEXT(H81,"0"),IPRESS!$A$3:$B$212,2,0),"")</f>
        <v>POMACOCHAS</v>
      </c>
      <c r="J81" s="46" t="s">
        <v>755</v>
      </c>
      <c r="K81" s="138" t="str">
        <f aca="false">IFERROR(VLOOKUP(TEXT(O81,"0"),CONDUCTORES!$A$3:$G$100,7,0),"")</f>
        <v/>
      </c>
      <c r="L81" s="44" t="n">
        <v>18.18</v>
      </c>
      <c r="M81" s="44" t="n">
        <v>8</v>
      </c>
      <c r="N81" s="139" t="n">
        <f aca="false">IFERROR(IF(L81*M81=0,"",L81*M81),"")</f>
        <v>145.44</v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142" t="n">
        <v>45790</v>
      </c>
      <c r="S81" s="110" t="s">
        <v>1432</v>
      </c>
      <c r="T81" s="46"/>
      <c r="U81" s="142" t="n">
        <v>45737</v>
      </c>
      <c r="V81" s="46" t="s">
        <v>831</v>
      </c>
      <c r="W81" s="46" t="s">
        <v>801</v>
      </c>
      <c r="X81" s="46" t="s">
        <v>794</v>
      </c>
      <c r="Y81" s="85"/>
    </row>
    <row r="82" customFormat="false" ht="15.75" hidden="false" customHeight="true" outlineLevel="0" collapsed="false">
      <c r="A82" s="106" t="n">
        <v>77</v>
      </c>
      <c r="B82" s="107" t="s">
        <v>873</v>
      </c>
      <c r="C82" s="106" t="s">
        <v>752</v>
      </c>
      <c r="D82" s="107" t="s">
        <v>1433</v>
      </c>
      <c r="E82" s="136" t="s">
        <v>99</v>
      </c>
      <c r="F82" s="106" t="s">
        <v>1434</v>
      </c>
      <c r="G82" s="137" t="n">
        <v>45694</v>
      </c>
      <c r="H82" s="106" t="s">
        <v>665</v>
      </c>
      <c r="I82" s="138" t="str">
        <f aca="false">IFERROR(VLOOKUP(TEXT(H82,"0"),IPRESS!$A$3:$B$212,2,0),"")</f>
        <v>SANTO TOMAS</v>
      </c>
      <c r="J82" s="106" t="s">
        <v>755</v>
      </c>
      <c r="K82" s="138" t="str">
        <f aca="false">IFERROR(VLOOKUP(TEXT(O82,"0"),CONDUCTORES!$A$3:$G$100,7,0),"")</f>
        <v/>
      </c>
      <c r="L82" s="50" t="n">
        <v>18.18</v>
      </c>
      <c r="M82" s="50" t="n">
        <v>10</v>
      </c>
      <c r="N82" s="139" t="n">
        <f aca="false">IFERROR(IF(L82*M82=0,"",L82*M82),"")</f>
        <v>181.8</v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37" t="n">
        <v>45789</v>
      </c>
      <c r="S82" s="107" t="s">
        <v>1435</v>
      </c>
      <c r="T82" s="136"/>
      <c r="U82" s="137" t="n">
        <v>45721</v>
      </c>
      <c r="V82" s="106" t="s">
        <v>800</v>
      </c>
      <c r="W82" s="106" t="s">
        <v>801</v>
      </c>
      <c r="X82" s="106" t="s">
        <v>794</v>
      </c>
      <c r="Y82" s="85"/>
    </row>
    <row r="83" customFormat="false" ht="15.75" hidden="false" customHeight="true" outlineLevel="0" collapsed="false">
      <c r="A83" s="46" t="n">
        <v>78</v>
      </c>
      <c r="B83" s="110" t="s">
        <v>866</v>
      </c>
      <c r="C83" s="46" t="s">
        <v>752</v>
      </c>
      <c r="D83" s="110" t="s">
        <v>1436</v>
      </c>
      <c r="E83" s="46" t="s">
        <v>99</v>
      </c>
      <c r="F83" s="46" t="s">
        <v>1437</v>
      </c>
      <c r="G83" s="142" t="n">
        <v>45697</v>
      </c>
      <c r="H83" s="46" t="s">
        <v>665</v>
      </c>
      <c r="I83" s="138" t="str">
        <f aca="false">IFERROR(VLOOKUP(TEXT(H83,"0"),IPRESS!$A$3:$B$212,2,0),"")</f>
        <v>SANTO TOMAS</v>
      </c>
      <c r="J83" s="46" t="s">
        <v>755</v>
      </c>
      <c r="K83" s="138" t="str">
        <f aca="false">IFERROR(VLOOKUP(TEXT(O83,"0"),CONDUCTORES!$A$3:$G$100,7,0),"")</f>
        <v/>
      </c>
      <c r="L83" s="44" t="n">
        <v>18.18</v>
      </c>
      <c r="M83" s="44" t="n">
        <v>10</v>
      </c>
      <c r="N83" s="139" t="n">
        <f aca="false">IFERROR(IF(L83*M83=0,"",L83*M83),"")</f>
        <v>181.8</v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142" t="n">
        <v>45789</v>
      </c>
      <c r="S83" s="110" t="s">
        <v>1438</v>
      </c>
      <c r="T83" s="46"/>
      <c r="U83" s="142" t="n">
        <v>45728</v>
      </c>
      <c r="V83" s="46" t="s">
        <v>800</v>
      </c>
      <c r="W83" s="46" t="s">
        <v>801</v>
      </c>
      <c r="X83" s="46" t="s">
        <v>794</v>
      </c>
      <c r="Y83" s="85"/>
    </row>
    <row r="84" customFormat="false" ht="15.75" hidden="false" customHeight="true" outlineLevel="0" collapsed="false">
      <c r="A84" s="106" t="n">
        <v>79</v>
      </c>
      <c r="B84" s="107" t="s">
        <v>1262</v>
      </c>
      <c r="C84" s="106" t="s">
        <v>752</v>
      </c>
      <c r="D84" s="107" t="s">
        <v>1439</v>
      </c>
      <c r="E84" s="136" t="s">
        <v>99</v>
      </c>
      <c r="F84" s="106" t="s">
        <v>1440</v>
      </c>
      <c r="G84" s="137" t="n">
        <v>45708</v>
      </c>
      <c r="H84" s="106" t="s">
        <v>665</v>
      </c>
      <c r="I84" s="138" t="str">
        <f aca="false">IFERROR(VLOOKUP(TEXT(H84,"0"),IPRESS!$A$3:$B$212,2,0),"")</f>
        <v>SANTO TOMAS</v>
      </c>
      <c r="J84" s="106" t="s">
        <v>755</v>
      </c>
      <c r="K84" s="138" t="str">
        <f aca="false">IFERROR(VLOOKUP(TEXT(O84,"0"),CONDUCTORES!$A$3:$G$100,7,0),"")</f>
        <v/>
      </c>
      <c r="L84" s="50" t="n">
        <v>18.18</v>
      </c>
      <c r="M84" s="50" t="n">
        <v>10</v>
      </c>
      <c r="N84" s="139" t="n">
        <f aca="false">IFERROR(IF(L84*M84=0,"",L84*M84),"")</f>
        <v>181.8</v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37" t="n">
        <v>45789</v>
      </c>
      <c r="S84" s="107" t="s">
        <v>1441</v>
      </c>
      <c r="T84" s="136"/>
      <c r="U84" s="137" t="n">
        <v>45726</v>
      </c>
      <c r="V84" s="106" t="s">
        <v>800</v>
      </c>
      <c r="W84" s="106" t="s">
        <v>801</v>
      </c>
      <c r="X84" s="106" t="s">
        <v>794</v>
      </c>
      <c r="Y84" s="85"/>
    </row>
    <row r="85" customFormat="false" ht="15.75" hidden="false" customHeight="true" outlineLevel="0" collapsed="false">
      <c r="A85" s="46" t="n">
        <v>80</v>
      </c>
      <c r="B85" s="110" t="s">
        <v>1202</v>
      </c>
      <c r="C85" s="46" t="s">
        <v>752</v>
      </c>
      <c r="D85" s="110" t="s">
        <v>1442</v>
      </c>
      <c r="E85" s="46" t="s">
        <v>99</v>
      </c>
      <c r="F85" s="46" t="s">
        <v>1443</v>
      </c>
      <c r="G85" s="142" t="n">
        <v>45711</v>
      </c>
      <c r="H85" s="46" t="s">
        <v>665</v>
      </c>
      <c r="I85" s="138" t="str">
        <f aca="false">IFERROR(VLOOKUP(TEXT(H85,"0"),IPRESS!$A$3:$B$212,2,0),"")</f>
        <v>SANTO TOMAS</v>
      </c>
      <c r="J85" s="46" t="s">
        <v>755</v>
      </c>
      <c r="K85" s="138" t="str">
        <f aca="false">IFERROR(VLOOKUP(TEXT(O85,"0"),CONDUCTORES!$A$3:$G$100,7,0),"")</f>
        <v/>
      </c>
      <c r="L85" s="44" t="n">
        <v>18.18</v>
      </c>
      <c r="M85" s="44" t="n">
        <v>10</v>
      </c>
      <c r="N85" s="139" t="n">
        <f aca="false">IFERROR(IF(L85*M85=0,"",L85*M85),"")</f>
        <v>181.8</v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142" t="n">
        <v>45789</v>
      </c>
      <c r="S85" s="110" t="s">
        <v>1444</v>
      </c>
      <c r="T85" s="46"/>
      <c r="U85" s="142" t="n">
        <v>45726</v>
      </c>
      <c r="V85" s="46" t="s">
        <v>800</v>
      </c>
      <c r="W85" s="46" t="s">
        <v>801</v>
      </c>
      <c r="X85" s="46" t="s">
        <v>794</v>
      </c>
      <c r="Y85" s="85"/>
    </row>
    <row r="86" customFormat="false" ht="15.75" hidden="false" customHeight="true" outlineLevel="0" collapsed="false">
      <c r="A86" s="106" t="n">
        <v>81</v>
      </c>
      <c r="B86" s="107" t="s">
        <v>926</v>
      </c>
      <c r="C86" s="106" t="s">
        <v>752</v>
      </c>
      <c r="D86" s="107" t="s">
        <v>1445</v>
      </c>
      <c r="E86" s="136" t="s">
        <v>99</v>
      </c>
      <c r="F86" s="106" t="s">
        <v>1446</v>
      </c>
      <c r="G86" s="137" t="n">
        <v>45694</v>
      </c>
      <c r="H86" s="106" t="s">
        <v>692</v>
      </c>
      <c r="I86" s="138" t="str">
        <f aca="false">IFERROR(VLOOKUP(TEXT(H86,"0"),IPRESS!$A$3:$B$212,2,0),"")</f>
        <v>TINGO</v>
      </c>
      <c r="J86" s="106" t="s">
        <v>755</v>
      </c>
      <c r="K86" s="138" t="str">
        <f aca="false">IFERROR(VLOOKUP(TEXT(O86,"0"),CONDUCTORES!$A$3:$G$100,7,0),"")</f>
        <v/>
      </c>
      <c r="L86" s="50" t="n">
        <v>18.18</v>
      </c>
      <c r="M86" s="50" t="n">
        <v>5</v>
      </c>
      <c r="N86" s="139" t="n">
        <f aca="false">IFERROR(IF(L86*M86=0,"",L86*M86),"")</f>
        <v>90.9</v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37" t="n">
        <v>45791</v>
      </c>
      <c r="S86" s="107" t="s">
        <v>1447</v>
      </c>
      <c r="T86" s="136"/>
      <c r="U86" s="137" t="n">
        <v>45721</v>
      </c>
      <c r="V86" s="106" t="s">
        <v>1448</v>
      </c>
      <c r="W86" s="106" t="s">
        <v>801</v>
      </c>
      <c r="X86" s="106" t="s">
        <v>794</v>
      </c>
      <c r="Y86" s="85"/>
    </row>
    <row r="87" customFormat="false" ht="15.75" hidden="false" customHeight="true" outlineLevel="0" collapsed="false">
      <c r="A87" s="46" t="n">
        <v>82</v>
      </c>
      <c r="B87" s="110" t="s">
        <v>827</v>
      </c>
      <c r="C87" s="46" t="s">
        <v>752</v>
      </c>
      <c r="D87" s="110" t="s">
        <v>1449</v>
      </c>
      <c r="E87" s="46" t="s">
        <v>99</v>
      </c>
      <c r="F87" s="46" t="s">
        <v>1450</v>
      </c>
      <c r="G87" s="142" t="n">
        <v>45694</v>
      </c>
      <c r="H87" s="46" t="s">
        <v>692</v>
      </c>
      <c r="I87" s="138" t="str">
        <f aca="false">IFERROR(VLOOKUP(TEXT(H87,"0"),IPRESS!$A$3:$B$212,2,0),"")</f>
        <v>TINGO</v>
      </c>
      <c r="J87" s="46" t="s">
        <v>755</v>
      </c>
      <c r="K87" s="138" t="str">
        <f aca="false">IFERROR(VLOOKUP(TEXT(O87,"0"),CONDUCTORES!$A$3:$G$100,7,0),"")</f>
        <v/>
      </c>
      <c r="L87" s="44" t="n">
        <v>18.18</v>
      </c>
      <c r="M87" s="44" t="n">
        <v>5</v>
      </c>
      <c r="N87" s="139" t="n">
        <f aca="false">IFERROR(IF(L87*M87=0,"",L87*M87),"")</f>
        <v>90.9</v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142" t="n">
        <v>45791</v>
      </c>
      <c r="S87" s="110" t="s">
        <v>1451</v>
      </c>
      <c r="T87" s="46"/>
      <c r="U87" s="142" t="n">
        <v>45721</v>
      </c>
      <c r="V87" s="46" t="s">
        <v>1448</v>
      </c>
      <c r="W87" s="46" t="s">
        <v>801</v>
      </c>
      <c r="X87" s="46" t="s">
        <v>794</v>
      </c>
      <c r="Y87" s="85"/>
    </row>
    <row r="88" customFormat="false" ht="15.75" hidden="false" customHeight="true" outlineLevel="0" collapsed="false">
      <c r="A88" s="106" t="n">
        <v>83</v>
      </c>
      <c r="B88" s="107" t="s">
        <v>832</v>
      </c>
      <c r="C88" s="106" t="s">
        <v>752</v>
      </c>
      <c r="D88" s="107" t="s">
        <v>1452</v>
      </c>
      <c r="E88" s="136" t="s">
        <v>99</v>
      </c>
      <c r="F88" s="106" t="s">
        <v>1453</v>
      </c>
      <c r="G88" s="137" t="n">
        <v>45706</v>
      </c>
      <c r="H88" s="106" t="s">
        <v>692</v>
      </c>
      <c r="I88" s="138" t="str">
        <f aca="false">IFERROR(VLOOKUP(TEXT(H88,"0"),IPRESS!$A$3:$B$212,2,0),"")</f>
        <v>TINGO</v>
      </c>
      <c r="J88" s="106" t="s">
        <v>755</v>
      </c>
      <c r="K88" s="138" t="str">
        <f aca="false">IFERROR(VLOOKUP(TEXT(O88,"0"),CONDUCTORES!$A$3:$G$100,7,0),"")</f>
        <v/>
      </c>
      <c r="L88" s="50" t="n">
        <v>18.18</v>
      </c>
      <c r="M88" s="50" t="n">
        <v>5</v>
      </c>
      <c r="N88" s="139" t="n">
        <f aca="false">IFERROR(IF(L88*M88=0,"",L88*M88),"")</f>
        <v>90.9</v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37" t="n">
        <v>45791</v>
      </c>
      <c r="S88" s="107" t="s">
        <v>854</v>
      </c>
      <c r="T88" s="136"/>
      <c r="U88" s="137" t="n">
        <v>45714</v>
      </c>
      <c r="V88" s="106" t="s">
        <v>1448</v>
      </c>
      <c r="W88" s="106" t="s">
        <v>801</v>
      </c>
      <c r="X88" s="106" t="s">
        <v>794</v>
      </c>
      <c r="Y88" s="85"/>
    </row>
    <row r="89" customFormat="false" ht="15.75" hidden="false" customHeight="true" outlineLevel="0" collapsed="false">
      <c r="A89" s="46" t="n">
        <v>84</v>
      </c>
      <c r="B89" s="110" t="s">
        <v>840</v>
      </c>
      <c r="C89" s="46" t="s">
        <v>752</v>
      </c>
      <c r="D89" s="110" t="s">
        <v>1454</v>
      </c>
      <c r="E89" s="46" t="s">
        <v>99</v>
      </c>
      <c r="F89" s="46" t="s">
        <v>1455</v>
      </c>
      <c r="G89" s="142" t="n">
        <v>45709</v>
      </c>
      <c r="H89" s="46" t="s">
        <v>692</v>
      </c>
      <c r="I89" s="138" t="str">
        <f aca="false">IFERROR(VLOOKUP(TEXT(H89,"0"),IPRESS!$A$3:$B$212,2,0),"")</f>
        <v>TINGO</v>
      </c>
      <c r="J89" s="46" t="s">
        <v>755</v>
      </c>
      <c r="K89" s="138" t="str">
        <f aca="false">IFERROR(VLOOKUP(TEXT(O89,"0"),CONDUCTORES!$A$3:$G$100,7,0),"")</f>
        <v/>
      </c>
      <c r="L89" s="44" t="n">
        <v>18.18</v>
      </c>
      <c r="M89" s="44" t="n">
        <v>5</v>
      </c>
      <c r="N89" s="139" t="n">
        <f aca="false">IFERROR(IF(L89*M89=0,"",L89*M89),"")</f>
        <v>90.9</v>
      </c>
      <c r="O89" s="140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142" t="n">
        <v>45791</v>
      </c>
      <c r="S89" s="110" t="s">
        <v>1328</v>
      </c>
      <c r="T89" s="46"/>
      <c r="U89" s="142" t="n">
        <v>45736</v>
      </c>
      <c r="V89" s="46" t="s">
        <v>1448</v>
      </c>
      <c r="W89" s="46" t="s">
        <v>801</v>
      </c>
      <c r="X89" s="46" t="s">
        <v>794</v>
      </c>
      <c r="Y89" s="85"/>
    </row>
    <row r="90" customFormat="false" ht="15.75" hidden="false" customHeight="true" outlineLevel="0" collapsed="false">
      <c r="A90" s="106" t="n">
        <v>85</v>
      </c>
      <c r="B90" s="107" t="s">
        <v>787</v>
      </c>
      <c r="C90" s="106" t="s">
        <v>752</v>
      </c>
      <c r="D90" s="107" t="s">
        <v>1456</v>
      </c>
      <c r="E90" s="136" t="s">
        <v>99</v>
      </c>
      <c r="F90" s="106" t="s">
        <v>1457</v>
      </c>
      <c r="G90" s="137" t="n">
        <v>45692</v>
      </c>
      <c r="H90" s="106" t="s">
        <v>708</v>
      </c>
      <c r="I90" s="138" t="str">
        <f aca="false">IFERROR(VLOOKUP(TEXT(H90,"0"),IPRESS!$A$3:$B$212,2,0),"")</f>
        <v>VISTA HERMOSA</v>
      </c>
      <c r="J90" s="106" t="s">
        <v>755</v>
      </c>
      <c r="K90" s="138" t="str">
        <f aca="false">IFERROR(VLOOKUP(TEXT(O90,"0"),CONDUCTORES!$A$3:$G$100,7,0),"")</f>
        <v/>
      </c>
      <c r="L90" s="50" t="n">
        <v>18.18</v>
      </c>
      <c r="M90" s="50" t="n">
        <v>20</v>
      </c>
      <c r="N90" s="139" t="n">
        <f aca="false">IFERROR(IF(L90*M90=0,"",L90*M90),"")</f>
        <v>363.6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40" t="s">
        <v>937</v>
      </c>
      <c r="S90" s="107" t="s">
        <v>1458</v>
      </c>
      <c r="T90" s="136"/>
      <c r="U90" s="137" t="n">
        <v>45721</v>
      </c>
      <c r="V90" s="106"/>
      <c r="W90" s="106"/>
      <c r="X90" s="106"/>
      <c r="Y90" s="85"/>
    </row>
    <row r="91" customFormat="false" ht="15.75" hidden="false" customHeight="true" outlineLevel="0" collapsed="false">
      <c r="A91" s="46" t="n">
        <v>86</v>
      </c>
      <c r="B91" s="110" t="s">
        <v>787</v>
      </c>
      <c r="C91" s="46" t="s">
        <v>752</v>
      </c>
      <c r="D91" s="110" t="s">
        <v>1459</v>
      </c>
      <c r="E91" s="46" t="s">
        <v>99</v>
      </c>
      <c r="F91" s="46" t="s">
        <v>1460</v>
      </c>
      <c r="G91" s="142" t="n">
        <v>45696</v>
      </c>
      <c r="H91" s="46" t="s">
        <v>714</v>
      </c>
      <c r="I91" s="138" t="str">
        <f aca="false">IFERROR(VLOOKUP(TEXT(H91,"0"),IPRESS!$A$3:$B$212,2,0),"")</f>
        <v>YAMBRASBAMBA</v>
      </c>
      <c r="J91" s="46" t="s">
        <v>595</v>
      </c>
      <c r="K91" s="138" t="str">
        <f aca="false">IFERROR(VLOOKUP(TEXT(O91,"0"),CONDUCTORES!$A$3:$G$100,7,0),"")</f>
        <v/>
      </c>
      <c r="L91" s="44" t="n">
        <v>18.18</v>
      </c>
      <c r="M91" s="44" t="n">
        <v>4</v>
      </c>
      <c r="N91" s="139" t="n">
        <f aca="false">IFERROR(IF(L91*M91=0,"",L91*M91),"")</f>
        <v>72.72</v>
      </c>
      <c r="O91" s="140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142" t="n">
        <v>45826</v>
      </c>
      <c r="S91" s="110" t="s">
        <v>1461</v>
      </c>
      <c r="T91" s="46"/>
      <c r="U91" s="142" t="n">
        <v>45721</v>
      </c>
      <c r="V91" s="46"/>
      <c r="W91" s="46"/>
      <c r="X91" s="46"/>
      <c r="Y91" s="85"/>
    </row>
    <row r="92" customFormat="false" ht="15.75" hidden="false" customHeight="true" outlineLevel="0" collapsed="false">
      <c r="A92" s="106" t="n">
        <v>87</v>
      </c>
      <c r="B92" s="107" t="s">
        <v>919</v>
      </c>
      <c r="C92" s="106" t="s">
        <v>752</v>
      </c>
      <c r="D92" s="107" t="s">
        <v>1462</v>
      </c>
      <c r="E92" s="136" t="s">
        <v>99</v>
      </c>
      <c r="F92" s="106" t="s">
        <v>1463</v>
      </c>
      <c r="G92" s="137" t="n">
        <v>45698</v>
      </c>
      <c r="H92" s="106" t="s">
        <v>714</v>
      </c>
      <c r="I92" s="138" t="str">
        <f aca="false">IFERROR(VLOOKUP(TEXT(H92,"0"),IPRESS!$A$3:$B$212,2,0),"")</f>
        <v>YAMBRASBAMBA</v>
      </c>
      <c r="J92" s="106" t="s">
        <v>595</v>
      </c>
      <c r="K92" s="138" t="str">
        <f aca="false">IFERROR(VLOOKUP(TEXT(O92,"0"),CONDUCTORES!$A$3:$G$100,7,0),"")</f>
        <v/>
      </c>
      <c r="L92" s="50" t="n">
        <v>18.18</v>
      </c>
      <c r="M92" s="50" t="n">
        <v>4</v>
      </c>
      <c r="N92" s="139" t="n">
        <f aca="false">IFERROR(IF(L92*M92=0,"",L92*M92),"")</f>
        <v>72.72</v>
      </c>
      <c r="O92" s="85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37" t="n">
        <v>45826</v>
      </c>
      <c r="S92" s="107" t="s">
        <v>1464</v>
      </c>
      <c r="T92" s="136"/>
      <c r="U92" s="137" t="n">
        <v>45721</v>
      </c>
      <c r="V92" s="106"/>
      <c r="W92" s="106"/>
      <c r="X92" s="106"/>
      <c r="Y92" s="85"/>
    </row>
    <row r="93" customFormat="false" ht="15.75" hidden="false" customHeight="true" outlineLevel="0" collapsed="false">
      <c r="A93" s="46" t="n">
        <v>88</v>
      </c>
      <c r="B93" s="110" t="s">
        <v>844</v>
      </c>
      <c r="C93" s="46" t="s">
        <v>752</v>
      </c>
      <c r="D93" s="110" t="s">
        <v>1465</v>
      </c>
      <c r="E93" s="46" t="s">
        <v>99</v>
      </c>
      <c r="F93" s="46" t="s">
        <v>1466</v>
      </c>
      <c r="G93" s="142" t="n">
        <v>45698</v>
      </c>
      <c r="H93" s="46" t="s">
        <v>717</v>
      </c>
      <c r="I93" s="138" t="str">
        <f aca="false">IFERROR(VLOOKUP(TEXT(H93,"0"),IPRESS!$A$3:$B$212,2,0),"")</f>
        <v>YERBABUENA</v>
      </c>
      <c r="J93" s="46" t="s">
        <v>755</v>
      </c>
      <c r="K93" s="138" t="str">
        <f aca="false">IFERROR(VLOOKUP(TEXT(O93,"0"),CONDUCTORES!$A$3:$G$100,7,0),"")</f>
        <v/>
      </c>
      <c r="L93" s="44" t="n">
        <v>18.18</v>
      </c>
      <c r="M93" s="44" t="n">
        <v>8</v>
      </c>
      <c r="N93" s="139" t="n">
        <f aca="false">IFERROR(IF(L93*M93=0,"",L93*M93),"")</f>
        <v>145.44</v>
      </c>
      <c r="O93" s="140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142" t="n">
        <v>45796</v>
      </c>
      <c r="S93" s="110" t="s">
        <v>917</v>
      </c>
      <c r="T93" s="46"/>
      <c r="U93" s="142" t="n">
        <v>45709</v>
      </c>
      <c r="V93" s="46"/>
      <c r="W93" s="46"/>
      <c r="X93" s="46"/>
      <c r="Y93" s="85"/>
    </row>
    <row r="94" customFormat="false" ht="15.75" hidden="false" customHeight="true" outlineLevel="0" collapsed="false">
      <c r="A94" s="106" t="n">
        <v>89</v>
      </c>
      <c r="B94" s="107" t="s">
        <v>836</v>
      </c>
      <c r="C94" s="106" t="s">
        <v>752</v>
      </c>
      <c r="D94" s="107" t="s">
        <v>1467</v>
      </c>
      <c r="E94" s="136" t="s">
        <v>99</v>
      </c>
      <c r="F94" s="106" t="s">
        <v>1468</v>
      </c>
      <c r="G94" s="137" t="n">
        <v>45700</v>
      </c>
      <c r="H94" s="106" t="s">
        <v>1469</v>
      </c>
      <c r="I94" s="138" t="str">
        <f aca="false">IFERROR(VLOOKUP(TEXT(H94,"0"),IPRESS!$A$3:$B$212,2,0),"")</f>
        <v/>
      </c>
      <c r="J94" s="106" t="s">
        <v>755</v>
      </c>
      <c r="K94" s="138" t="str">
        <f aca="false">IFERROR(VLOOKUP(TEXT(O94,"0"),CONDUCTORES!$A$3:$G$100,7,0),"")</f>
        <v/>
      </c>
      <c r="L94" s="50" t="n">
        <v>18.18</v>
      </c>
      <c r="M94" s="50" t="n">
        <v>8</v>
      </c>
      <c r="N94" s="139" t="n">
        <f aca="false">IFERROR(IF(L94*M94=0,"",L94*M94),"")</f>
        <v>145.44</v>
      </c>
      <c r="O94" s="85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37" t="n">
        <v>45796</v>
      </c>
      <c r="S94" s="107" t="s">
        <v>1470</v>
      </c>
      <c r="T94" s="136"/>
      <c r="U94" s="137" t="n">
        <v>45721</v>
      </c>
      <c r="V94" s="106"/>
      <c r="W94" s="106"/>
      <c r="X94" s="106"/>
      <c r="Y94" s="85"/>
    </row>
    <row r="95" customFormat="false" ht="15.75" hidden="false" customHeight="true" outlineLevel="0" collapsed="false">
      <c r="A95" s="46" t="n">
        <v>90</v>
      </c>
      <c r="B95" s="110" t="s">
        <v>840</v>
      </c>
      <c r="C95" s="46" t="s">
        <v>752</v>
      </c>
      <c r="D95" s="110" t="s">
        <v>1471</v>
      </c>
      <c r="E95" s="46" t="s">
        <v>99</v>
      </c>
      <c r="F95" s="46" t="s">
        <v>1472</v>
      </c>
      <c r="G95" s="142" t="n">
        <v>45689</v>
      </c>
      <c r="H95" s="46" t="s">
        <v>717</v>
      </c>
      <c r="I95" s="138" t="str">
        <f aca="false">IFERROR(VLOOKUP(TEXT(H95,"0"),IPRESS!$A$3:$B$212,2,0),"")</f>
        <v>YERBABUENA</v>
      </c>
      <c r="J95" s="46" t="s">
        <v>755</v>
      </c>
      <c r="K95" s="138" t="str">
        <f aca="false">IFERROR(VLOOKUP(TEXT(O95,"0"),CONDUCTORES!$A$3:$G$100,7,0),"")</f>
        <v/>
      </c>
      <c r="L95" s="44" t="n">
        <v>18.18</v>
      </c>
      <c r="M95" s="44" t="n">
        <v>8</v>
      </c>
      <c r="N95" s="139" t="n">
        <f aca="false">IFERROR(IF(L95*M95=0,"",L95*M95),"")</f>
        <v>145.44</v>
      </c>
      <c r="O95" s="140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142" t="n">
        <v>45796</v>
      </c>
      <c r="S95" s="110" t="s">
        <v>1473</v>
      </c>
      <c r="T95" s="46"/>
      <c r="U95" s="142" t="n">
        <v>45737</v>
      </c>
      <c r="V95" s="46"/>
      <c r="W95" s="46"/>
      <c r="X95" s="46"/>
      <c r="Y95" s="85"/>
    </row>
    <row r="96" customFormat="false" ht="15.75" hidden="false" customHeight="true" outlineLevel="0" collapsed="false">
      <c r="A96" s="106" t="n">
        <v>91</v>
      </c>
      <c r="B96" s="107" t="s">
        <v>873</v>
      </c>
      <c r="C96" s="106" t="s">
        <v>752</v>
      </c>
      <c r="D96" s="107" t="s">
        <v>1474</v>
      </c>
      <c r="E96" s="136" t="s">
        <v>99</v>
      </c>
      <c r="F96" s="106" t="s">
        <v>1475</v>
      </c>
      <c r="G96" s="137" t="n">
        <v>45702</v>
      </c>
      <c r="H96" s="106" t="s">
        <v>717</v>
      </c>
      <c r="I96" s="138" t="str">
        <f aca="false">IFERROR(VLOOKUP(TEXT(H96,"0"),IPRESS!$A$3:$B$212,2,0),"")</f>
        <v>YERBABUENA</v>
      </c>
      <c r="J96" s="106" t="s">
        <v>755</v>
      </c>
      <c r="K96" s="138" t="str">
        <f aca="false">IFERROR(VLOOKUP(TEXT(O96,"0"),CONDUCTORES!$A$3:$G$100,7,0),"")</f>
        <v/>
      </c>
      <c r="L96" s="50" t="n">
        <v>18.18</v>
      </c>
      <c r="M96" s="50" t="n">
        <v>8</v>
      </c>
      <c r="N96" s="139" t="n">
        <f aca="false">IFERROR(IF(L96*M96=0,"",L96*M96),"")</f>
        <v>145.44</v>
      </c>
      <c r="O96" s="85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37" t="n">
        <v>45796</v>
      </c>
      <c r="S96" s="107" t="s">
        <v>765</v>
      </c>
      <c r="T96" s="136"/>
      <c r="U96" s="137" t="n">
        <v>45744</v>
      </c>
      <c r="V96" s="106"/>
      <c r="W96" s="106"/>
      <c r="X96" s="106"/>
      <c r="Y96" s="85"/>
    </row>
    <row r="97" customFormat="false" ht="15.75" hidden="false" customHeight="true" outlineLevel="0" collapsed="false">
      <c r="A97" s="46" t="n">
        <v>92</v>
      </c>
      <c r="B97" s="110" t="s">
        <v>866</v>
      </c>
      <c r="C97" s="46" t="s">
        <v>752</v>
      </c>
      <c r="D97" s="110" t="s">
        <v>1476</v>
      </c>
      <c r="E97" s="46" t="s">
        <v>99</v>
      </c>
      <c r="F97" s="46" t="s">
        <v>1477</v>
      </c>
      <c r="G97" s="142" t="n">
        <v>45701</v>
      </c>
      <c r="H97" s="46" t="s">
        <v>717</v>
      </c>
      <c r="I97" s="138" t="str">
        <f aca="false">IFERROR(VLOOKUP(TEXT(H97,"0"),IPRESS!$A$3:$B$212,2,0),"")</f>
        <v>YERBABUENA</v>
      </c>
      <c r="J97" s="46" t="s">
        <v>755</v>
      </c>
      <c r="K97" s="138" t="str">
        <f aca="false">IFERROR(VLOOKUP(TEXT(O97,"0"),CONDUCTORES!$A$3:$G$100,7,0),"")</f>
        <v/>
      </c>
      <c r="L97" s="44" t="n">
        <v>18.18</v>
      </c>
      <c r="M97" s="44" t="n">
        <v>8</v>
      </c>
      <c r="N97" s="139" t="n">
        <f aca="false">IFERROR(IF(L97*M97=0,"",L97*M97),"")</f>
        <v>145.44</v>
      </c>
      <c r="O97" s="140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142" t="n">
        <v>45796</v>
      </c>
      <c r="S97" s="110" t="s">
        <v>1478</v>
      </c>
      <c r="T97" s="46"/>
      <c r="U97" s="142" t="n">
        <v>45730</v>
      </c>
      <c r="V97" s="46"/>
      <c r="W97" s="46"/>
      <c r="X97" s="46"/>
      <c r="Y97" s="85"/>
    </row>
    <row r="98" customFormat="false" ht="15.75" hidden="false" customHeight="true" outlineLevel="0" collapsed="false">
      <c r="A98" s="106" t="n">
        <v>93</v>
      </c>
      <c r="B98" s="107" t="s">
        <v>866</v>
      </c>
      <c r="C98" s="106" t="s">
        <v>752</v>
      </c>
      <c r="D98" s="107" t="s">
        <v>1479</v>
      </c>
      <c r="E98" s="136" t="s">
        <v>99</v>
      </c>
      <c r="F98" s="106" t="s">
        <v>1480</v>
      </c>
      <c r="G98" s="137" t="n">
        <v>45699</v>
      </c>
      <c r="H98" s="106" t="s">
        <v>722</v>
      </c>
      <c r="I98" s="138" t="str">
        <f aca="false">IFERROR(VLOOKUP(TEXT(H98,"0"),IPRESS!$A$3:$B$212,2,0),"")</f>
        <v>ZARUMILLA</v>
      </c>
      <c r="J98" s="106" t="s">
        <v>529</v>
      </c>
      <c r="K98" s="138" t="str">
        <f aca="false">IFERROR(VLOOKUP(TEXT(O98,"0"),CONDUCTORES!$A$3:$G$100,7,0),"")</f>
        <v/>
      </c>
      <c r="L98" s="50" t="n">
        <v>20.25</v>
      </c>
      <c r="M98" s="50" t="n">
        <v>6</v>
      </c>
      <c r="N98" s="139" t="n">
        <f aca="false">IFERROR(IF(L98*M98=0,"",L98*M98),"")</f>
        <v>121.5</v>
      </c>
      <c r="O98" s="85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37" t="n">
        <v>45839</v>
      </c>
      <c r="S98" s="107" t="s">
        <v>1481</v>
      </c>
      <c r="T98" s="136"/>
      <c r="U98" s="137" t="n">
        <v>45709</v>
      </c>
      <c r="V98" s="106"/>
      <c r="W98" s="106"/>
      <c r="X98" s="106"/>
      <c r="Y98" s="85"/>
    </row>
    <row r="99" customFormat="false" ht="15.75" hidden="false" customHeight="true" outlineLevel="0" collapsed="false">
      <c r="A99" s="46" t="n">
        <v>94</v>
      </c>
      <c r="B99" s="110" t="s">
        <v>836</v>
      </c>
      <c r="C99" s="46" t="s">
        <v>752</v>
      </c>
      <c r="D99" s="110" t="s">
        <v>1482</v>
      </c>
      <c r="E99" s="46" t="s">
        <v>99</v>
      </c>
      <c r="F99" s="46" t="s">
        <v>1483</v>
      </c>
      <c r="G99" s="142" t="n">
        <v>45692</v>
      </c>
      <c r="H99" s="46" t="s">
        <v>722</v>
      </c>
      <c r="I99" s="138" t="str">
        <f aca="false">IFERROR(VLOOKUP(TEXT(H99,"0"),IPRESS!$A$3:$B$212,2,0),"")</f>
        <v>ZARUMILLA</v>
      </c>
      <c r="J99" s="46" t="s">
        <v>529</v>
      </c>
      <c r="K99" s="138" t="str">
        <f aca="false">IFERROR(VLOOKUP(TEXT(O99,"0"),CONDUCTORES!$A$3:$G$100,7,0),"")</f>
        <v/>
      </c>
      <c r="L99" s="44" t="n">
        <v>20.25</v>
      </c>
      <c r="M99" s="44" t="n">
        <v>6</v>
      </c>
      <c r="N99" s="139" t="n">
        <f aca="false">IFERROR(IF(L99*M99=0,"",L99*M99),"")</f>
        <v>121.5</v>
      </c>
      <c r="O99" s="140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142" t="n">
        <v>45839</v>
      </c>
      <c r="S99" s="110" t="s">
        <v>1484</v>
      </c>
      <c r="T99" s="46"/>
      <c r="U99" s="142" t="n">
        <v>45737</v>
      </c>
      <c r="V99" s="46"/>
      <c r="W99" s="46"/>
      <c r="X99" s="46"/>
      <c r="Y99" s="85"/>
    </row>
    <row r="100" customFormat="false" ht="15.75" hidden="false" customHeight="true" outlineLevel="0" collapsed="false">
      <c r="A100" s="106" t="n">
        <v>95</v>
      </c>
      <c r="B100" s="107" t="s">
        <v>1262</v>
      </c>
      <c r="C100" s="106" t="s">
        <v>752</v>
      </c>
      <c r="D100" s="107" t="s">
        <v>1485</v>
      </c>
      <c r="E100" s="136" t="s">
        <v>99</v>
      </c>
      <c r="F100" s="106" t="s">
        <v>1486</v>
      </c>
      <c r="G100" s="137" t="n">
        <v>45703</v>
      </c>
      <c r="H100" s="106" t="s">
        <v>722</v>
      </c>
      <c r="I100" s="138" t="str">
        <f aca="false">IFERROR(VLOOKUP(TEXT(H100,"0"),IPRESS!$A$3:$B$212,2,0),"")</f>
        <v>ZARUMILLA</v>
      </c>
      <c r="J100" s="106" t="s">
        <v>529</v>
      </c>
      <c r="K100" s="138" t="str">
        <f aca="false">IFERROR(VLOOKUP(TEXT(O100,"0"),CONDUCTORES!$A$3:$G$100,7,0),"")</f>
        <v/>
      </c>
      <c r="L100" s="50" t="n">
        <v>20.25</v>
      </c>
      <c r="M100" s="50" t="n">
        <v>6</v>
      </c>
      <c r="N100" s="139" t="n">
        <f aca="false">IFERROR(IF(L100*M100=0,"",L100*M100),"")</f>
        <v>121.5</v>
      </c>
      <c r="O100" s="85"/>
      <c r="P100" s="138" t="str">
        <f aca="false">IFERROR(VLOOKUP(TEXT(O100,"0"),CONDUCTORES!$A$3:$G$100,2,0),"")</f>
        <v/>
      </c>
      <c r="Q100" s="138" t="str">
        <f aca="false">IFERROR(VLOOKUP(TEXT(O100,"0"),CONDUCTORES!$A$3:$H$100,6,0),"")</f>
        <v/>
      </c>
      <c r="R100" s="137" t="n">
        <v>45839</v>
      </c>
      <c r="S100" s="107" t="s">
        <v>1487</v>
      </c>
      <c r="T100" s="136"/>
      <c r="U100" s="137" t="n">
        <v>45720</v>
      </c>
      <c r="V100" s="106"/>
      <c r="W100" s="106"/>
      <c r="X100" s="106"/>
      <c r="Y100" s="85"/>
    </row>
    <row r="101" customFormat="false" ht="15" hidden="false" customHeight="true" outlineLevel="0" collapsed="false">
      <c r="A101" s="140"/>
      <c r="B101" s="140"/>
      <c r="C101" s="140"/>
      <c r="D101" s="140"/>
      <c r="E101" s="140"/>
      <c r="F101" s="140"/>
      <c r="G101" s="140"/>
      <c r="H101" s="140"/>
      <c r="I101" s="138" t="str">
        <f aca="false">IFERROR(VLOOKUP(TEXT(H101,"0"),IPRESS!$A$3:$B$212,2,0),"")</f>
        <v/>
      </c>
      <c r="J101" s="140"/>
      <c r="K101" s="138" t="str">
        <f aca="false">IFERROR(VLOOKUP(TEXT(O101,"0"),CONDUCTORES!$A$3:$G$54,7,0),"")</f>
        <v/>
      </c>
      <c r="L101" s="140"/>
      <c r="M101" s="140"/>
      <c r="N101" s="139" t="str">
        <f aca="false">IFERROR(IF(L101*M101=0,"",L101*M101),"")</f>
        <v/>
      </c>
      <c r="O101" s="140"/>
      <c r="P101" s="138" t="str">
        <f aca="false">IFERROR(VLOOKUP(TEXT(O101,"0"),CONDUCTORES!$A$3:$G$54,2,0),"")</f>
        <v/>
      </c>
      <c r="Q101" s="138" t="str">
        <f aca="false">IFERROR(VLOOKUP(TEXT(O101,"0"),CONDUCTORES!$A$3:$H$54,6,0),"")</f>
        <v/>
      </c>
      <c r="R101" s="140"/>
      <c r="S101" s="140"/>
      <c r="T101" s="140"/>
      <c r="U101" s="140"/>
      <c r="V101" s="140"/>
      <c r="W101" s="140"/>
      <c r="X101" s="140"/>
      <c r="Y101" s="140"/>
    </row>
    <row r="102" customFormat="false" ht="24" hidden="false" customHeight="true" outlineLevel="0" collapsed="false">
      <c r="A102" s="148" t="s">
        <v>1177</v>
      </c>
      <c r="B102" s="148"/>
      <c r="C102" s="148"/>
      <c r="D102" s="148"/>
      <c r="E102" s="148"/>
      <c r="F102" s="148"/>
      <c r="G102" s="148"/>
      <c r="H102" s="148"/>
      <c r="I102" s="148"/>
      <c r="J102" s="148"/>
      <c r="K102" s="149"/>
      <c r="L102" s="85"/>
      <c r="M102" s="150" t="n">
        <f aca="false">SUBTOTAL(9,M4:M100)</f>
        <v>852</v>
      </c>
      <c r="N102" s="150" t="n">
        <f aca="false">SUBTOTAL(9,N4:N100)</f>
        <v>15817.8</v>
      </c>
      <c r="O102" s="85"/>
      <c r="P102" s="138" t="str">
        <f aca="false">IFERROR(VLOOKUP(TEXT(O102,"0"),CONDUCTORES!$A$3:$G$100,2,0),"")</f>
        <v/>
      </c>
      <c r="Q102" s="138" t="str">
        <f aca="false">IFERROR(VLOOKUP(TEXT(O102,"0"),CONDUCTORES!$A$3:$H$100,6,0),"")</f>
        <v/>
      </c>
      <c r="R102" s="85"/>
      <c r="S102" s="85"/>
      <c r="T102" s="85"/>
      <c r="U102" s="85"/>
      <c r="V102" s="85"/>
      <c r="W102" s="85"/>
      <c r="X102" s="85"/>
      <c r="Y102" s="85"/>
    </row>
    <row r="103" customFormat="false" ht="15" hidden="false" customHeight="true" outlineLevel="0" collapsed="false">
      <c r="A103" s="140"/>
      <c r="B103" s="140"/>
      <c r="C103" s="140"/>
      <c r="D103" s="140"/>
      <c r="E103" s="140"/>
      <c r="F103" s="140"/>
      <c r="G103" s="140"/>
      <c r="H103" s="140"/>
      <c r="I103" s="149"/>
      <c r="J103" s="140"/>
      <c r="K103" s="149"/>
      <c r="L103" s="140"/>
      <c r="M103" s="140"/>
      <c r="N103" s="151"/>
      <c r="O103" s="140"/>
      <c r="P103" s="149"/>
      <c r="Q103" s="149"/>
      <c r="R103" s="140"/>
      <c r="S103" s="140"/>
      <c r="T103" s="140"/>
      <c r="U103" s="140"/>
      <c r="V103" s="140"/>
      <c r="W103" s="140"/>
      <c r="X103" s="140"/>
      <c r="Y103" s="140"/>
    </row>
    <row r="104" customFormat="false" ht="15" hidden="false" customHeight="true" outlineLevel="0" collapsed="false">
      <c r="A104" s="85"/>
      <c r="B104" s="85"/>
      <c r="C104" s="85"/>
      <c r="D104" s="85"/>
      <c r="E104" s="85"/>
      <c r="F104" s="85"/>
      <c r="G104" s="85"/>
      <c r="H104" s="85"/>
      <c r="I104" s="149"/>
      <c r="J104" s="85"/>
      <c r="K104" s="149"/>
      <c r="L104" s="85"/>
      <c r="M104" s="85"/>
      <c r="N104" s="151"/>
      <c r="O104" s="85"/>
      <c r="P104" s="149"/>
      <c r="Q104" s="149"/>
      <c r="R104" s="85"/>
      <c r="S104" s="85"/>
      <c r="T104" s="85"/>
      <c r="U104" s="85"/>
      <c r="V104" s="85"/>
      <c r="W104" s="85"/>
      <c r="X104" s="85"/>
      <c r="Y104" s="85"/>
    </row>
    <row r="105" customFormat="false" ht="15" hidden="false" customHeight="true" outlineLevel="0" collapsed="false">
      <c r="A105" s="140"/>
      <c r="B105" s="140"/>
      <c r="C105" s="140"/>
      <c r="D105" s="140"/>
      <c r="E105" s="140"/>
      <c r="F105" s="140"/>
      <c r="G105" s="140"/>
      <c r="H105" s="140"/>
      <c r="I105" s="149"/>
      <c r="J105" s="140"/>
      <c r="K105" s="149"/>
      <c r="L105" s="140"/>
      <c r="M105" s="140"/>
      <c r="N105" s="151"/>
      <c r="O105" s="140"/>
      <c r="P105" s="149"/>
      <c r="Q105" s="149"/>
      <c r="R105" s="140"/>
      <c r="S105" s="140"/>
      <c r="T105" s="140"/>
      <c r="U105" s="140"/>
      <c r="V105" s="140"/>
      <c r="W105" s="140"/>
      <c r="X105" s="140"/>
      <c r="Y105" s="140"/>
    </row>
    <row r="106" customFormat="false" ht="15" hidden="false" customHeight="true" outlineLevel="0" collapsed="false">
      <c r="A106" s="85"/>
      <c r="B106" s="85"/>
      <c r="C106" s="85"/>
      <c r="D106" s="85"/>
      <c r="E106" s="85"/>
      <c r="F106" s="85"/>
      <c r="G106" s="85"/>
      <c r="H106" s="85"/>
      <c r="I106" s="149"/>
      <c r="J106" s="85"/>
      <c r="K106" s="149"/>
      <c r="L106" s="85"/>
      <c r="M106" s="85"/>
      <c r="N106" s="151"/>
      <c r="O106" s="85"/>
      <c r="P106" s="149"/>
      <c r="Q106" s="149"/>
      <c r="R106" s="85"/>
      <c r="S106" s="85"/>
      <c r="T106" s="85"/>
      <c r="U106" s="85"/>
      <c r="V106" s="85"/>
      <c r="W106" s="85"/>
      <c r="X106" s="85"/>
      <c r="Y106" s="85"/>
    </row>
    <row r="107" customFormat="false" ht="15" hidden="false" customHeight="true" outlineLevel="0" collapsed="false">
      <c r="A107" s="140"/>
      <c r="B107" s="140"/>
      <c r="C107" s="140"/>
      <c r="D107" s="140"/>
      <c r="E107" s="140"/>
      <c r="F107" s="140"/>
      <c r="G107" s="140"/>
      <c r="H107" s="140"/>
      <c r="I107" s="138" t="str">
        <f aca="false">IFERROR(VLOOKUP(TEXT(H107,"0"),IPRESS!$A$3:$B$212,2,0),"")</f>
        <v/>
      </c>
      <c r="J107" s="140"/>
      <c r="K107" s="138" t="str">
        <f aca="false">IFERROR(VLOOKUP(TEXT(O107,"0"),CONDUCTORES!$A$3:$G$54,7,0),"")</f>
        <v/>
      </c>
      <c r="L107" s="140"/>
      <c r="M107" s="140"/>
      <c r="N107" s="139" t="str">
        <f aca="false">IFERROR(IF(L107*M107=0,"",L107*M107),"")</f>
        <v/>
      </c>
      <c r="O107" s="140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140"/>
      <c r="S107" s="140"/>
      <c r="T107" s="140"/>
      <c r="U107" s="140"/>
      <c r="V107" s="140"/>
      <c r="W107" s="140"/>
      <c r="X107" s="140"/>
      <c r="Y107" s="140"/>
    </row>
    <row r="108" customFormat="false" ht="15" hidden="false" customHeight="true" outlineLevel="0" collapsed="false">
      <c r="A108" s="85"/>
      <c r="B108" s="85"/>
      <c r="C108" s="85"/>
      <c r="D108" s="85"/>
      <c r="E108" s="85"/>
      <c r="F108" s="85"/>
      <c r="G108" s="85"/>
      <c r="H108" s="85"/>
      <c r="I108" s="138" t="str">
        <f aca="false">IFERROR(VLOOKUP(TEXT(H108,"0"),IPRESS!$A$3:$B$212,2,0),"")</f>
        <v/>
      </c>
      <c r="J108" s="85"/>
      <c r="K108" s="138" t="str">
        <f aca="false">IFERROR(VLOOKUP(TEXT(O108,"0"),CONDUCTORES!$A$3:$G$54,7,0),"")</f>
        <v/>
      </c>
      <c r="L108" s="85"/>
      <c r="M108" s="85"/>
      <c r="N108" s="139" t="str">
        <f aca="false">IFERROR(IF(L108*M108=0,"",L108*M108),"")</f>
        <v/>
      </c>
      <c r="O108" s="85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85"/>
      <c r="S108" s="85"/>
      <c r="T108" s="85"/>
      <c r="U108" s="85"/>
      <c r="V108" s="85"/>
      <c r="W108" s="85"/>
      <c r="X108" s="85"/>
      <c r="Y108" s="85"/>
    </row>
    <row r="109" customFormat="false" ht="15" hidden="false" customHeight="true" outlineLevel="0" collapsed="false">
      <c r="A109" s="140"/>
      <c r="B109" s="140"/>
      <c r="C109" s="140"/>
      <c r="D109" s="140"/>
      <c r="E109" s="140"/>
      <c r="F109" s="140"/>
      <c r="G109" s="140"/>
      <c r="H109" s="140"/>
      <c r="I109" s="138" t="str">
        <f aca="false">IFERROR(VLOOKUP(TEXT(H109,"0"),IPRESS!$A$3:$B$212,2,0),"")</f>
        <v/>
      </c>
      <c r="J109" s="140"/>
      <c r="K109" s="138" t="str">
        <f aca="false">IFERROR(VLOOKUP(TEXT(O109,"0"),CONDUCTORES!$A$3:$G$54,7,0),"")</f>
        <v/>
      </c>
      <c r="L109" s="140"/>
      <c r="M109" s="140"/>
      <c r="N109" s="139" t="str">
        <f aca="false">IFERROR(IF(L109*M109=0,"",L109*M109),"")</f>
        <v/>
      </c>
      <c r="O109" s="140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140"/>
      <c r="S109" s="140"/>
      <c r="T109" s="140"/>
      <c r="U109" s="140"/>
      <c r="V109" s="140"/>
      <c r="W109" s="140"/>
      <c r="X109" s="140"/>
      <c r="Y109" s="140"/>
    </row>
    <row r="110" customFormat="false" ht="15" hidden="false" customHeight="true" outlineLevel="0" collapsed="false">
      <c r="A110" s="85"/>
      <c r="B110" s="85"/>
      <c r="C110" s="85"/>
      <c r="D110" s="85"/>
      <c r="E110" s="85"/>
      <c r="F110" s="85"/>
      <c r="G110" s="85"/>
      <c r="H110" s="85"/>
      <c r="I110" s="138" t="str">
        <f aca="false">IFERROR(VLOOKUP(TEXT(H110,"0"),IPRESS!$A$3:$B$212,2,0),"")</f>
        <v/>
      </c>
      <c r="J110" s="85"/>
      <c r="K110" s="138" t="str">
        <f aca="false">IFERROR(VLOOKUP(TEXT(O110,"0"),CONDUCTORES!$A$3:$G$54,7,0),"")</f>
        <v/>
      </c>
      <c r="L110" s="85"/>
      <c r="M110" s="85"/>
      <c r="N110" s="139" t="str">
        <f aca="false">IFERROR(IF(L110*M110=0,"",L110*M110),"")</f>
        <v/>
      </c>
      <c r="O110" s="85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85"/>
      <c r="S110" s="85"/>
      <c r="T110" s="85"/>
      <c r="U110" s="85"/>
      <c r="V110" s="85"/>
      <c r="W110" s="85"/>
      <c r="X110" s="85"/>
      <c r="Y110" s="85"/>
    </row>
    <row r="111" customFormat="false" ht="15" hidden="false" customHeight="true" outlineLevel="0" collapsed="false">
      <c r="A111" s="140"/>
      <c r="B111" s="140"/>
      <c r="C111" s="140"/>
      <c r="D111" s="140"/>
      <c r="E111" s="140"/>
      <c r="F111" s="140"/>
      <c r="G111" s="140"/>
      <c r="H111" s="140"/>
      <c r="I111" s="138" t="str">
        <f aca="false">IFERROR(VLOOKUP(TEXT(H111,"0"),IPRESS!$A$3:$B$212,2,0),"")</f>
        <v/>
      </c>
      <c r="J111" s="140"/>
      <c r="K111" s="138" t="str">
        <f aca="false">IFERROR(VLOOKUP(TEXT(O111,"0"),CONDUCTORES!$A$3:$G$54,7,0),"")</f>
        <v/>
      </c>
      <c r="L111" s="140"/>
      <c r="M111" s="140"/>
      <c r="N111" s="139" t="str">
        <f aca="false">IFERROR(IF(L111*M111=0,"",L111*M111),"")</f>
        <v/>
      </c>
      <c r="O111" s="140"/>
      <c r="P111" s="138" t="str">
        <f aca="false">IFERROR(VLOOKUP(TEXT(O111,"0"),CONDUCTORES!$A$3:$G$54,2,0),"")</f>
        <v/>
      </c>
      <c r="Q111" s="138" t="str">
        <f aca="false">IFERROR(VLOOKUP(TEXT(O111,"0"),CONDUCTORES!$A$3:$H$54,6,0),"")</f>
        <v/>
      </c>
      <c r="R111" s="140"/>
      <c r="S111" s="140"/>
      <c r="T111" s="140"/>
      <c r="U111" s="140"/>
      <c r="V111" s="140"/>
      <c r="W111" s="140"/>
      <c r="X111" s="140"/>
      <c r="Y111" s="140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38" t="str">
        <f aca="false">IFERROR(VLOOKUP(TEXT(H112,"0"),IPRESS!$A$3:$B$212,2,0),"")</f>
        <v/>
      </c>
      <c r="J112" s="85"/>
      <c r="K112" s="138" t="str">
        <f aca="false">IFERROR(VLOOKUP(TEXT(O112,"0"),CONDUCTORES!$A$3:$G$54,7,0),"")</f>
        <v/>
      </c>
      <c r="L112" s="85"/>
      <c r="M112" s="85"/>
      <c r="N112" s="139" t="str">
        <f aca="false">IFERROR(IF(L112*M112=0,"",L112*M112),"")</f>
        <v/>
      </c>
      <c r="O112" s="85"/>
      <c r="P112" s="138" t="str">
        <f aca="false">IFERROR(VLOOKUP(TEXT(O112,"0"),CONDUCTORES!$A$3:$G$54,2,0),"")</f>
        <v/>
      </c>
      <c r="Q112" s="138" t="str">
        <f aca="false">IFERROR(VLOOKUP(TEXT(O112,"0"),CONDUCTORES!$A$3:$H$54,6,0),"")</f>
        <v/>
      </c>
      <c r="R112" s="85"/>
      <c r="S112" s="85"/>
      <c r="T112" s="85"/>
      <c r="U112" s="85"/>
      <c r="V112" s="85"/>
      <c r="W112" s="85"/>
      <c r="X112" s="85"/>
      <c r="Y112" s="85"/>
    </row>
    <row r="113" customFormat="false" ht="15" hidden="false" customHeight="true" outlineLevel="0" collapsed="false">
      <c r="A113" s="140"/>
      <c r="B113" s="140"/>
      <c r="C113" s="140"/>
      <c r="D113" s="140"/>
      <c r="E113" s="140"/>
      <c r="F113" s="140"/>
      <c r="G113" s="140"/>
      <c r="H113" s="140"/>
      <c r="I113" s="138" t="str">
        <f aca="false">IFERROR(VLOOKUP(TEXT(H113,"0"),IPRESS!$A$3:$B$212,2,0),"")</f>
        <v/>
      </c>
      <c r="J113" s="140"/>
      <c r="K113" s="138" t="str">
        <f aca="false">IFERROR(VLOOKUP(TEXT(O113,"0"),CONDUCTORES!$A$3:$G$54,7,0),"")</f>
        <v/>
      </c>
      <c r="L113" s="140"/>
      <c r="M113" s="140"/>
      <c r="N113" s="139" t="str">
        <f aca="false">IFERROR(IF(L113*M113=0,"",L113*M113),"")</f>
        <v/>
      </c>
      <c r="O113" s="140"/>
      <c r="P113" s="138" t="str">
        <f aca="false">IFERROR(VLOOKUP(TEXT(O113,"0"),CONDUCTORES!$A$3:$G$54,2,0),"")</f>
        <v/>
      </c>
      <c r="Q113" s="138" t="str">
        <f aca="false">IFERROR(VLOOKUP(TEXT(O113,"0"),CONDUCTORES!$A$3:$H$54,6,0),"")</f>
        <v/>
      </c>
      <c r="R113" s="140"/>
      <c r="S113" s="140"/>
      <c r="T113" s="140"/>
      <c r="U113" s="140"/>
      <c r="V113" s="140"/>
      <c r="W113" s="140"/>
      <c r="X113" s="140"/>
      <c r="Y113" s="140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38" t="str">
        <f aca="false">IFERROR(VLOOKUP(TEXT(H114,"0"),IPRESS!$A$3:$B$212,2,0),"")</f>
        <v/>
      </c>
      <c r="J114" s="85"/>
      <c r="K114" s="138" t="str">
        <f aca="false">IFERROR(VLOOKUP(TEXT(O114,"0"),CONDUCTORES!$A$3:$G$54,7,0),"")</f>
        <v/>
      </c>
      <c r="L114" s="85"/>
      <c r="M114" s="85"/>
      <c r="N114" s="139" t="str">
        <f aca="false">IFERROR(IF(L114*M114=0,"",L114*M114),"")</f>
        <v/>
      </c>
      <c r="O114" s="85"/>
      <c r="P114" s="138" t="str">
        <f aca="false">IFERROR(VLOOKUP(TEXT(O114,"0"),CONDUCTORES!$A$3:$G$54,2,0),"")</f>
        <v/>
      </c>
      <c r="Q114" s="138" t="str">
        <f aca="false">IFERROR(VLOOKUP(TEXT(O114,"0"),CONDUCTORES!$A$3:$H$54,6,0),"")</f>
        <v/>
      </c>
      <c r="R114" s="85"/>
      <c r="S114" s="85"/>
      <c r="T114" s="85"/>
      <c r="U114" s="85"/>
      <c r="V114" s="85"/>
      <c r="W114" s="85"/>
      <c r="X114" s="85"/>
      <c r="Y114" s="85"/>
    </row>
    <row r="115" customFormat="false" ht="15" hidden="false" customHeight="true" outlineLevel="0" collapsed="false">
      <c r="A115" s="140"/>
      <c r="B115" s="140"/>
      <c r="C115" s="140"/>
      <c r="D115" s="140"/>
      <c r="E115" s="140"/>
      <c r="F115" s="140"/>
      <c r="G115" s="140"/>
      <c r="H115" s="140"/>
      <c r="I115" s="138" t="str">
        <f aca="false">IFERROR(VLOOKUP(TEXT(H115,"0"),IPRESS!$A$3:$B$212,2,0),"")</f>
        <v/>
      </c>
      <c r="J115" s="140"/>
      <c r="K115" s="138" t="str">
        <f aca="false">IFERROR(VLOOKUP(TEXT(O115,"0"),CONDUCTORES!$A$3:$G$54,7,0),"")</f>
        <v/>
      </c>
      <c r="L115" s="140"/>
      <c r="M115" s="140"/>
      <c r="N115" s="139" t="str">
        <f aca="false">IFERROR(IF(L115*M115=0,"",L115*M115),"")</f>
        <v/>
      </c>
      <c r="O115" s="140"/>
      <c r="P115" s="138" t="str">
        <f aca="false">IFERROR(VLOOKUP(TEXT(O115,"0"),CONDUCTORES!$A$3:$G$54,2,0),"")</f>
        <v/>
      </c>
      <c r="Q115" s="138" t="str">
        <f aca="false">IFERROR(VLOOKUP(TEXT(O115,"0"),CONDUCTORES!$A$3:$H$54,6,0),"")</f>
        <v/>
      </c>
      <c r="R115" s="140"/>
      <c r="S115" s="140"/>
      <c r="T115" s="140"/>
      <c r="U115" s="140"/>
      <c r="V115" s="140"/>
      <c r="W115" s="140"/>
      <c r="X115" s="140"/>
      <c r="Y115" s="140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38" t="str">
        <f aca="false">IFERROR(VLOOKUP(TEXT(H116,"0"),IPRESS!$A$3:$B$212,2,0),"")</f>
        <v/>
      </c>
      <c r="J116" s="85"/>
      <c r="K116" s="138" t="str">
        <f aca="false">IFERROR(VLOOKUP(TEXT(O116,"0"),CONDUCTORES!$A$3:$G$54,7,0),"")</f>
        <v/>
      </c>
      <c r="L116" s="85"/>
      <c r="M116" s="85"/>
      <c r="N116" s="139" t="str">
        <f aca="false">IFERROR(IF(L116*M116=0,"",L116*M116),"")</f>
        <v/>
      </c>
      <c r="O116" s="85"/>
      <c r="P116" s="138" t="str">
        <f aca="false">IFERROR(VLOOKUP(TEXT(O116,"0"),CONDUCTORES!$A$3:$G$54,2,0),"")</f>
        <v/>
      </c>
      <c r="Q116" s="138" t="str">
        <f aca="false">IFERROR(VLOOKUP(TEXT(O116,"0"),CONDUCTORES!$A$3:$H$54,6,0),"")</f>
        <v/>
      </c>
      <c r="R116" s="85"/>
      <c r="S116" s="85"/>
      <c r="T116" s="85"/>
      <c r="U116" s="85"/>
      <c r="V116" s="85"/>
      <c r="W116" s="85"/>
      <c r="X116" s="85"/>
      <c r="Y116" s="85"/>
    </row>
    <row r="117" customFormat="false" ht="15" hidden="false" customHeight="true" outlineLevel="0" collapsed="false">
      <c r="A117" s="140"/>
      <c r="B117" s="140"/>
      <c r="C117" s="140"/>
      <c r="D117" s="140"/>
      <c r="E117" s="140"/>
      <c r="F117" s="140"/>
      <c r="G117" s="140"/>
      <c r="H117" s="140"/>
      <c r="I117" s="138" t="str">
        <f aca="false">IFERROR(VLOOKUP(TEXT(H117,"0"),IPRESS!$A$3:$B$212,2,0),"")</f>
        <v/>
      </c>
      <c r="J117" s="140"/>
      <c r="K117" s="138" t="str">
        <f aca="false">IFERROR(VLOOKUP(TEXT(O117,"0"),CONDUCTORES!$A$3:$G$54,7,0),"")</f>
        <v/>
      </c>
      <c r="L117" s="140"/>
      <c r="M117" s="140"/>
      <c r="N117" s="139" t="str">
        <f aca="false">IFERROR(IF(L117*M117=0,"",L117*M117),"")</f>
        <v/>
      </c>
      <c r="O117" s="140"/>
      <c r="P117" s="138" t="str">
        <f aca="false">IFERROR(VLOOKUP(TEXT(O117,"0"),CONDUCTORES!$A$3:$G$54,2,0),"")</f>
        <v/>
      </c>
      <c r="Q117" s="138" t="str">
        <f aca="false">IFERROR(VLOOKUP(TEXT(O117,"0"),CONDUCTORES!$A$3:$H$54,6,0),"")</f>
        <v/>
      </c>
      <c r="R117" s="140"/>
      <c r="S117" s="140"/>
      <c r="T117" s="140"/>
      <c r="U117" s="140"/>
      <c r="V117" s="140"/>
      <c r="W117" s="140"/>
      <c r="X117" s="140"/>
      <c r="Y117" s="140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38" t="str">
        <f aca="false">IFERROR(VLOOKUP(TEXT(O118,"0"),CONDUCTORES!$A$3:$G$54,7,0),"")</f>
        <v/>
      </c>
      <c r="L118" s="85"/>
      <c r="M118" s="85"/>
      <c r="N118" s="139" t="str">
        <f aca="false">IFERROR(IF(L118*M118=0,"",L118*M118),"")</f>
        <v/>
      </c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</row>
    <row r="119" customFormat="false" ht="15" hidden="false" customHeight="tru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38" t="str">
        <f aca="false">IFERROR(VLOOKUP(TEXT(H119,"0"),IPRESS!$A$3:$B$212,2,0),"")</f>
        <v/>
      </c>
      <c r="J119" s="140"/>
      <c r="K119" s="138" t="str">
        <f aca="false">IFERROR(VLOOKUP(TEXT(O119,"0"),CONDUCTORES!$A$3:$G$54,7,0),"")</f>
        <v/>
      </c>
      <c r="L119" s="140"/>
      <c r="M119" s="140"/>
      <c r="N119" s="139" t="str">
        <f aca="false">IFERROR(IF(L119*M119=0,"",L119*M119),"")</f>
        <v/>
      </c>
      <c r="O119" s="140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140"/>
      <c r="S119" s="140"/>
      <c r="T119" s="140"/>
      <c r="U119" s="140"/>
      <c r="V119" s="140"/>
      <c r="W119" s="140"/>
      <c r="X119" s="140"/>
      <c r="Y119" s="140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1704</v>
      </c>
      <c r="N506" s="153" t="n">
        <f aca="false">SUM(N6:N505)</f>
        <v>31635.6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02:J102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01 E103:E505" type="list">
      <formula1>"DNI,CE,PASAPORTE"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1488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IFERROR(SUMPRODUCT((K4:K125="PETROLEO")*ISNUMBER(M4:M125)*M4:M125),0)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IFERROR(SUMPRODUCT((K4:K125="GASOLINA")*ISNUMBER(M4:M125)*M4:M125),0)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IFERROR(SUMPRODUCT(ISNUMBER(M4:M125)*L4:L125*M4:M125),0)</f>
        <v>0</v>
      </c>
      <c r="Q2" s="125"/>
      <c r="R2" s="125"/>
      <c r="S2" s="123" t="s">
        <v>727</v>
      </c>
      <c r="T2" s="123"/>
      <c r="U2" s="126" t="n">
        <f aca="false">SUBTOTAL(2,A4:A125)</f>
        <v>118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06" t="n">
        <v>1</v>
      </c>
      <c r="B6" s="107" t="s">
        <v>1489</v>
      </c>
      <c r="C6" s="106" t="s">
        <v>752</v>
      </c>
      <c r="D6" s="107" t="s">
        <v>1490</v>
      </c>
      <c r="E6" s="136" t="s">
        <v>99</v>
      </c>
      <c r="F6" s="106" t="s">
        <v>1491</v>
      </c>
      <c r="G6" s="137" t="n">
        <v>45732</v>
      </c>
      <c r="H6" s="106" t="s">
        <v>336</v>
      </c>
      <c r="I6" s="138" t="str">
        <f aca="false">IFERROR(VLOOKUP(TEXT(H6,"0"),IPRESS!$A$3:$B$212,2,0),"")</f>
        <v>AGUA SANTA</v>
      </c>
      <c r="J6" s="106" t="s">
        <v>755</v>
      </c>
      <c r="K6" s="138" t="str">
        <f aca="false">IFERROR(VLOOKUP(TEXT(O6,"0"),CONDUCTORES!$A$3:$G$100,7,0),"")</f>
        <v/>
      </c>
      <c r="L6" s="50" t="n">
        <v>18.18</v>
      </c>
      <c r="M6" s="50" t="n">
        <v>10</v>
      </c>
      <c r="N6" s="139" t="n">
        <f aca="false">IFERROR(IF(L6*M6=0,"",L6*M6),"")</f>
        <v>181.8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37" t="n">
        <v>45789</v>
      </c>
      <c r="S6" s="107" t="s">
        <v>1492</v>
      </c>
      <c r="T6" s="136"/>
      <c r="U6" s="137" t="n">
        <v>45768</v>
      </c>
      <c r="V6" s="106" t="s">
        <v>800</v>
      </c>
      <c r="W6" s="106" t="s">
        <v>801</v>
      </c>
      <c r="X6" s="106" t="s">
        <v>794</v>
      </c>
      <c r="Y6" s="85"/>
    </row>
    <row r="7" customFormat="false" ht="15.75" hidden="false" customHeight="true" outlineLevel="0" collapsed="false">
      <c r="A7" s="143" t="n">
        <v>2</v>
      </c>
      <c r="B7" s="144" t="s">
        <v>1493</v>
      </c>
      <c r="C7" s="143" t="s">
        <v>752</v>
      </c>
      <c r="D7" s="144" t="s">
        <v>1494</v>
      </c>
      <c r="E7" s="143" t="s">
        <v>99</v>
      </c>
      <c r="F7" s="143" t="s">
        <v>1495</v>
      </c>
      <c r="G7" s="145" t="n">
        <v>45725</v>
      </c>
      <c r="H7" s="143" t="s">
        <v>350</v>
      </c>
      <c r="I7" s="138" t="str">
        <f aca="false">IFERROR(VLOOKUP(TEXT(H7,"0"),IPRESS!$A$3:$B$212,2,0),"")</f>
        <v>BUENOS AIRES</v>
      </c>
      <c r="J7" s="143" t="s">
        <v>595</v>
      </c>
      <c r="K7" s="138" t="str">
        <f aca="false">IFERROR(VLOOKUP(TEXT(O7,"0"),CONDUCTORES!$A$3:$G$100,7,0),"")</f>
        <v/>
      </c>
      <c r="L7" s="146" t="n">
        <v>17.95</v>
      </c>
      <c r="M7" s="146" t="n">
        <v>5</v>
      </c>
      <c r="N7" s="139" t="n">
        <f aca="false">IFERROR(IF(L7*M7=0,"",L7*M7),"")</f>
        <v>89.75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147" t="s">
        <v>1182</v>
      </c>
      <c r="S7" s="144" t="s">
        <v>1496</v>
      </c>
      <c r="T7" s="143"/>
      <c r="U7" s="145" t="n">
        <v>45749</v>
      </c>
      <c r="V7" s="143" t="s">
        <v>1184</v>
      </c>
      <c r="W7" s="143" t="s">
        <v>1497</v>
      </c>
      <c r="X7" s="143" t="s">
        <v>1185</v>
      </c>
      <c r="Y7" s="85"/>
    </row>
    <row r="8" customFormat="false" ht="15.75" hidden="false" customHeight="true" outlineLevel="0" collapsed="false">
      <c r="A8" s="143" t="n">
        <v>3</v>
      </c>
      <c r="B8" s="144" t="s">
        <v>1498</v>
      </c>
      <c r="C8" s="143" t="s">
        <v>752</v>
      </c>
      <c r="D8" s="144" t="s">
        <v>1499</v>
      </c>
      <c r="E8" s="143" t="s">
        <v>99</v>
      </c>
      <c r="F8" s="143" t="s">
        <v>1500</v>
      </c>
      <c r="G8" s="145" t="n">
        <v>45725</v>
      </c>
      <c r="H8" s="143" t="s">
        <v>350</v>
      </c>
      <c r="I8" s="138" t="str">
        <f aca="false">IFERROR(VLOOKUP(TEXT(H8,"0"),IPRESS!$A$3:$B$212,2,0),"")</f>
        <v>BUENOS AIRES</v>
      </c>
      <c r="J8" s="143" t="s">
        <v>350</v>
      </c>
      <c r="K8" s="138" t="str">
        <f aca="false">IFERROR(VLOOKUP(TEXT(O8,"0"),CONDUCTORES!$A$3:$G$100,7,0),"")</f>
        <v/>
      </c>
      <c r="L8" s="146" t="n">
        <v>17.95</v>
      </c>
      <c r="M8" s="146" t="n">
        <v>5</v>
      </c>
      <c r="N8" s="139" t="n">
        <f aca="false">IFERROR(IF(L8*M8=0,"",L8*M8),"")</f>
        <v>89.75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47" t="s">
        <v>1182</v>
      </c>
      <c r="S8" s="144" t="s">
        <v>1496</v>
      </c>
      <c r="T8" s="143"/>
      <c r="U8" s="145" t="n">
        <v>45749</v>
      </c>
      <c r="V8" s="143" t="s">
        <v>1184</v>
      </c>
      <c r="W8" s="143" t="s">
        <v>1497</v>
      </c>
      <c r="X8" s="143" t="s">
        <v>1185</v>
      </c>
      <c r="Y8" s="85"/>
    </row>
    <row r="9" customFormat="false" ht="15.75" hidden="false" customHeight="true" outlineLevel="0" collapsed="false">
      <c r="A9" s="143" t="n">
        <v>4</v>
      </c>
      <c r="B9" s="144" t="s">
        <v>1501</v>
      </c>
      <c r="C9" s="143" t="s">
        <v>752</v>
      </c>
      <c r="D9" s="144" t="s">
        <v>1502</v>
      </c>
      <c r="E9" s="143" t="s">
        <v>99</v>
      </c>
      <c r="F9" s="143" t="s">
        <v>1503</v>
      </c>
      <c r="G9" s="145" t="n">
        <v>45738</v>
      </c>
      <c r="H9" s="143" t="s">
        <v>350</v>
      </c>
      <c r="I9" s="138" t="str">
        <f aca="false">IFERROR(VLOOKUP(TEXT(H9,"0"),IPRESS!$A$3:$B$212,2,0),"")</f>
        <v>BUENOS AIRES</v>
      </c>
      <c r="J9" s="143" t="s">
        <v>755</v>
      </c>
      <c r="K9" s="138" t="str">
        <f aca="false">IFERROR(VLOOKUP(TEXT(O9,"0"),CONDUCTORES!$A$3:$G$100,7,0),"")</f>
        <v/>
      </c>
      <c r="L9" s="146" t="n">
        <v>17.95</v>
      </c>
      <c r="M9" s="146" t="n">
        <v>15</v>
      </c>
      <c r="N9" s="139" t="n">
        <f aca="false">IFERROR(IF(L9*M9=0,"",L9*M9),"")</f>
        <v>269.25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147" t="s">
        <v>1504</v>
      </c>
      <c r="S9" s="144" t="s">
        <v>1505</v>
      </c>
      <c r="T9" s="143"/>
      <c r="U9" s="145" t="n">
        <v>45768</v>
      </c>
      <c r="V9" s="143" t="s">
        <v>1506</v>
      </c>
      <c r="W9" s="143" t="s">
        <v>1497</v>
      </c>
      <c r="X9" s="143" t="s">
        <v>1185</v>
      </c>
      <c r="Y9" s="85"/>
    </row>
    <row r="10" customFormat="false" ht="15.75" hidden="false" customHeight="true" outlineLevel="0" collapsed="false">
      <c r="A10" s="143" t="n">
        <v>5</v>
      </c>
      <c r="B10" s="144" t="s">
        <v>1507</v>
      </c>
      <c r="C10" s="143" t="s">
        <v>752</v>
      </c>
      <c r="D10" s="144" t="s">
        <v>1508</v>
      </c>
      <c r="E10" s="143" t="s">
        <v>99</v>
      </c>
      <c r="F10" s="143" t="s">
        <v>1509</v>
      </c>
      <c r="G10" s="145" t="n">
        <v>45740</v>
      </c>
      <c r="H10" s="143" t="s">
        <v>350</v>
      </c>
      <c r="I10" s="138" t="str">
        <f aca="false">IFERROR(VLOOKUP(TEXT(H10,"0"),IPRESS!$A$3:$B$212,2,0),"")</f>
        <v>BUENOS AIRES</v>
      </c>
      <c r="J10" s="143" t="s">
        <v>595</v>
      </c>
      <c r="K10" s="138" t="str">
        <f aca="false">IFERROR(VLOOKUP(TEXT(O10,"0"),CONDUCTORES!$A$3:$G$100,7,0),"")</f>
        <v/>
      </c>
      <c r="L10" s="146" t="n">
        <v>17.95</v>
      </c>
      <c r="M10" s="146" t="n">
        <v>5</v>
      </c>
      <c r="N10" s="139" t="n">
        <f aca="false">IFERROR(IF(L10*M10=0,"",L10*M10),"")</f>
        <v>89.75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47" t="s">
        <v>1510</v>
      </c>
      <c r="S10" s="144" t="s">
        <v>1511</v>
      </c>
      <c r="T10" s="143"/>
      <c r="U10" s="145" t="n">
        <v>45772</v>
      </c>
      <c r="V10" s="143" t="s">
        <v>1512</v>
      </c>
      <c r="W10" s="143" t="s">
        <v>1497</v>
      </c>
      <c r="X10" s="143" t="s">
        <v>1185</v>
      </c>
      <c r="Y10" s="85"/>
    </row>
    <row r="11" customFormat="false" ht="15.75" hidden="false" customHeight="true" outlineLevel="0" collapsed="false">
      <c r="A11" s="143" t="n">
        <v>6</v>
      </c>
      <c r="B11" s="144" t="s">
        <v>1513</v>
      </c>
      <c r="C11" s="143" t="s">
        <v>752</v>
      </c>
      <c r="D11" s="144" t="s">
        <v>1514</v>
      </c>
      <c r="E11" s="143" t="s">
        <v>99</v>
      </c>
      <c r="F11" s="143" t="s">
        <v>1515</v>
      </c>
      <c r="G11" s="145" t="n">
        <v>45742</v>
      </c>
      <c r="H11" s="143" t="s">
        <v>350</v>
      </c>
      <c r="I11" s="138" t="str">
        <f aca="false">IFERROR(VLOOKUP(TEXT(H11,"0"),IPRESS!$A$3:$B$212,2,0),"")</f>
        <v>BUENOS AIRES</v>
      </c>
      <c r="J11" s="143" t="s">
        <v>595</v>
      </c>
      <c r="K11" s="138" t="str">
        <f aca="false">IFERROR(VLOOKUP(TEXT(O11,"0"),CONDUCTORES!$A$3:$G$100,7,0),"")</f>
        <v/>
      </c>
      <c r="L11" s="146" t="n">
        <v>17.95</v>
      </c>
      <c r="M11" s="146" t="n">
        <v>5</v>
      </c>
      <c r="N11" s="139" t="n">
        <f aca="false">IFERROR(IF(L11*M11=0,"",L11*M11),"")</f>
        <v>89.75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147" t="s">
        <v>1516</v>
      </c>
      <c r="S11" s="144" t="s">
        <v>891</v>
      </c>
      <c r="T11" s="143"/>
      <c r="U11" s="145" t="n">
        <v>45776</v>
      </c>
      <c r="V11" s="143" t="s">
        <v>1512</v>
      </c>
      <c r="W11" s="143" t="s">
        <v>1497</v>
      </c>
      <c r="X11" s="143" t="s">
        <v>1185</v>
      </c>
      <c r="Y11" s="85"/>
    </row>
    <row r="12" customFormat="false" ht="15.75" hidden="false" customHeight="true" outlineLevel="0" collapsed="false">
      <c r="A12" s="143" t="n">
        <v>7</v>
      </c>
      <c r="B12" s="144" t="s">
        <v>1517</v>
      </c>
      <c r="C12" s="143" t="s">
        <v>752</v>
      </c>
      <c r="D12" s="144" t="s">
        <v>1518</v>
      </c>
      <c r="E12" s="143" t="s">
        <v>99</v>
      </c>
      <c r="F12" s="143" t="s">
        <v>1519</v>
      </c>
      <c r="G12" s="145" t="n">
        <v>45742</v>
      </c>
      <c r="H12" s="143" t="s">
        <v>350</v>
      </c>
      <c r="I12" s="138" t="str">
        <f aca="false">IFERROR(VLOOKUP(TEXT(H12,"0"),IPRESS!$A$3:$B$212,2,0),"")</f>
        <v>BUENOS AIRES</v>
      </c>
      <c r="J12" s="143" t="s">
        <v>755</v>
      </c>
      <c r="K12" s="138" t="str">
        <f aca="false">IFERROR(VLOOKUP(TEXT(O12,"0"),CONDUCTORES!$A$3:$G$100,7,0),"")</f>
        <v/>
      </c>
      <c r="L12" s="146" t="n">
        <v>17.95</v>
      </c>
      <c r="M12" s="146" t="n">
        <v>15</v>
      </c>
      <c r="N12" s="139" t="n">
        <f aca="false">IFERROR(IF(L12*M12=0,"",L12*M12),"")</f>
        <v>269.25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47" t="s">
        <v>1520</v>
      </c>
      <c r="S12" s="144" t="s">
        <v>1521</v>
      </c>
      <c r="T12" s="143"/>
      <c r="U12" s="145" t="n">
        <v>45776</v>
      </c>
      <c r="V12" s="143" t="s">
        <v>1512</v>
      </c>
      <c r="W12" s="143" t="s">
        <v>1497</v>
      </c>
      <c r="X12" s="143" t="s">
        <v>1185</v>
      </c>
      <c r="Y12" s="85"/>
    </row>
    <row r="13" customFormat="false" ht="15.75" hidden="false" customHeight="true" outlineLevel="0" collapsed="false">
      <c r="A13" s="46" t="n">
        <v>5</v>
      </c>
      <c r="B13" s="110" t="s">
        <v>1501</v>
      </c>
      <c r="C13" s="46" t="s">
        <v>752</v>
      </c>
      <c r="D13" s="110" t="s">
        <v>1522</v>
      </c>
      <c r="E13" s="46" t="s">
        <v>99</v>
      </c>
      <c r="F13" s="46" t="s">
        <v>1523</v>
      </c>
      <c r="G13" s="142" t="n">
        <v>45723</v>
      </c>
      <c r="H13" s="46" t="s">
        <v>357</v>
      </c>
      <c r="I13" s="138" t="str">
        <f aca="false">IFERROR(VLOOKUP(TEXT(H13,"0"),IPRESS!$A$3:$B$212,2,0),"")</f>
        <v>CAMPORREDONDO</v>
      </c>
      <c r="J13" s="46" t="s">
        <v>755</v>
      </c>
      <c r="K13" s="138" t="str">
        <f aca="false">IFERROR(VLOOKUP(TEXT(O13,"0"),CONDUCTORES!$A$3:$G$100,7,0),"")</f>
        <v/>
      </c>
      <c r="L13" s="44" t="n">
        <v>18.18</v>
      </c>
      <c r="M13" s="44" t="n">
        <v>20</v>
      </c>
      <c r="N13" s="139" t="n">
        <f aca="false">IFERROR(IF(L13*M13=0,"",L13*M13),"")</f>
        <v>363.6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85" t="s">
        <v>1200</v>
      </c>
      <c r="S13" s="110" t="s">
        <v>1524</v>
      </c>
      <c r="T13" s="46"/>
      <c r="U13" s="142" t="n">
        <v>45747</v>
      </c>
      <c r="V13" s="46"/>
      <c r="W13" s="46"/>
      <c r="X13" s="46"/>
      <c r="Y13" s="85"/>
    </row>
    <row r="14" customFormat="false" ht="15.75" hidden="false" customHeight="true" outlineLevel="0" collapsed="false">
      <c r="A14" s="106" t="n">
        <v>6</v>
      </c>
      <c r="B14" s="107" t="s">
        <v>1525</v>
      </c>
      <c r="C14" s="106" t="s">
        <v>752</v>
      </c>
      <c r="D14" s="107" t="s">
        <v>1526</v>
      </c>
      <c r="E14" s="136" t="s">
        <v>99</v>
      </c>
      <c r="F14" s="106" t="s">
        <v>1527</v>
      </c>
      <c r="G14" s="137" t="n">
        <v>45735</v>
      </c>
      <c r="H14" s="106" t="s">
        <v>357</v>
      </c>
      <c r="I14" s="138" t="str">
        <f aca="false">IFERROR(VLOOKUP(TEXT(H14,"0"),IPRESS!$A$3:$B$212,2,0),"")</f>
        <v>CAMPORREDONDO</v>
      </c>
      <c r="J14" s="106" t="s">
        <v>755</v>
      </c>
      <c r="K14" s="138" t="str">
        <f aca="false">IFERROR(VLOOKUP(TEXT(O14,"0"),CONDUCTORES!$A$3:$G$100,7,0),"")</f>
        <v/>
      </c>
      <c r="L14" s="50" t="n">
        <v>18.18</v>
      </c>
      <c r="M14" s="50" t="n">
        <v>20</v>
      </c>
      <c r="N14" s="139" t="n">
        <f aca="false">IFERROR(IF(L14*M14=0,"",L14*M14),"")</f>
        <v>363.6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40" t="s">
        <v>1200</v>
      </c>
      <c r="S14" s="107" t="s">
        <v>1528</v>
      </c>
      <c r="T14" s="136"/>
      <c r="U14" s="137" t="n">
        <v>45768</v>
      </c>
      <c r="V14" s="106"/>
      <c r="W14" s="106"/>
      <c r="X14" s="106"/>
      <c r="Y14" s="85"/>
    </row>
    <row r="15" customFormat="false" ht="15.75" hidden="false" customHeight="true" outlineLevel="0" collapsed="false">
      <c r="A15" s="46" t="n">
        <v>7</v>
      </c>
      <c r="B15" s="110" t="s">
        <v>1507</v>
      </c>
      <c r="C15" s="46" t="s">
        <v>752</v>
      </c>
      <c r="D15" s="110" t="s">
        <v>1529</v>
      </c>
      <c r="E15" s="46" t="s">
        <v>99</v>
      </c>
      <c r="F15" s="46" t="s">
        <v>1530</v>
      </c>
      <c r="G15" s="142" t="n">
        <v>45721</v>
      </c>
      <c r="H15" s="46" t="s">
        <v>407</v>
      </c>
      <c r="I15" s="138" t="str">
        <f aca="false">IFERROR(VLOOKUP(TEXT(H15,"0"),IPRESS!$A$3:$B$212,2,0),"")</f>
        <v>COCOCHO</v>
      </c>
      <c r="J15" s="46" t="s">
        <v>755</v>
      </c>
      <c r="K15" s="138" t="str">
        <f aca="false">IFERROR(VLOOKUP(TEXT(O15,"0"),CONDUCTORES!$A$3:$G$100,7,0),"")</f>
        <v/>
      </c>
      <c r="L15" s="44" t="n">
        <v>18.18</v>
      </c>
      <c r="M15" s="44" t="n">
        <v>25</v>
      </c>
      <c r="N15" s="139" t="n">
        <f aca="false">IFERROR(IF(L15*M15=0,"",L15*M15),"")</f>
        <v>454.5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142" t="n">
        <v>45792</v>
      </c>
      <c r="S15" s="110" t="s">
        <v>1531</v>
      </c>
      <c r="T15" s="46"/>
      <c r="U15" s="142" t="n">
        <v>45749</v>
      </c>
      <c r="V15" s="46" t="s">
        <v>1532</v>
      </c>
      <c r="W15" s="46" t="s">
        <v>801</v>
      </c>
      <c r="X15" s="46" t="s">
        <v>794</v>
      </c>
      <c r="Y15" s="85"/>
    </row>
    <row r="16" customFormat="false" ht="15.75" hidden="false" customHeight="true" outlineLevel="0" collapsed="false">
      <c r="A16" s="106" t="n">
        <v>8</v>
      </c>
      <c r="B16" s="107" t="s">
        <v>1197</v>
      </c>
      <c r="C16" s="106" t="s">
        <v>752</v>
      </c>
      <c r="D16" s="107" t="s">
        <v>1533</v>
      </c>
      <c r="E16" s="136" t="s">
        <v>99</v>
      </c>
      <c r="F16" s="106" t="s">
        <v>1534</v>
      </c>
      <c r="G16" s="137" t="n">
        <v>45745</v>
      </c>
      <c r="H16" s="106" t="s">
        <v>407</v>
      </c>
      <c r="I16" s="138" t="str">
        <f aca="false">IFERROR(VLOOKUP(TEXT(H16,"0"),IPRESS!$A$3:$B$212,2,0),"")</f>
        <v>COCOCHO</v>
      </c>
      <c r="J16" s="106" t="s">
        <v>755</v>
      </c>
      <c r="K16" s="138" t="str">
        <f aca="false">IFERROR(VLOOKUP(TEXT(O16,"0"),CONDUCTORES!$A$3:$G$100,7,0),"")</f>
        <v/>
      </c>
      <c r="L16" s="50" t="n">
        <v>18.18</v>
      </c>
      <c r="M16" s="50" t="n">
        <v>22</v>
      </c>
      <c r="N16" s="139" t="n">
        <f aca="false">IFERROR(IF(L16*M16=0,"",L16*M16),"")</f>
        <v>399.96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37" t="n">
        <v>45792</v>
      </c>
      <c r="S16" s="107" t="s">
        <v>1535</v>
      </c>
      <c r="T16" s="136"/>
      <c r="U16" s="137" t="n">
        <v>45776</v>
      </c>
      <c r="V16" s="106" t="s">
        <v>1536</v>
      </c>
      <c r="W16" s="106" t="s">
        <v>801</v>
      </c>
      <c r="X16" s="106" t="s">
        <v>794</v>
      </c>
      <c r="Y16" s="85"/>
    </row>
    <row r="17" customFormat="false" ht="15.75" hidden="false" customHeight="true" outlineLevel="0" collapsed="false">
      <c r="A17" s="46" t="n">
        <v>9</v>
      </c>
      <c r="B17" s="110" t="s">
        <v>1537</v>
      </c>
      <c r="C17" s="46" t="s">
        <v>752</v>
      </c>
      <c r="D17" s="110" t="s">
        <v>1538</v>
      </c>
      <c r="E17" s="46" t="s">
        <v>99</v>
      </c>
      <c r="F17" s="46" t="s">
        <v>1539</v>
      </c>
      <c r="G17" s="142" t="n">
        <v>45722</v>
      </c>
      <c r="H17" s="46" t="s">
        <v>408</v>
      </c>
      <c r="I17" s="138" t="str">
        <f aca="false">IFERROR(VLOOKUP(TEXT(H17,"0"),IPRESS!$A$3:$B$212,2,0),"")</f>
        <v>COLCAMAR</v>
      </c>
      <c r="J17" s="46" t="s">
        <v>755</v>
      </c>
      <c r="K17" s="138" t="str">
        <f aca="false">IFERROR(VLOOKUP(TEXT(O17,"0"),CONDUCTORES!$A$3:$G$100,7,0),"")</f>
        <v/>
      </c>
      <c r="L17" s="44" t="n">
        <v>18.18</v>
      </c>
      <c r="M17" s="44" t="n">
        <v>7</v>
      </c>
      <c r="N17" s="139" t="n">
        <f aca="false">IFERROR(IF(L17*M17=0,"",L17*M17),"")</f>
        <v>127.26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142" t="n">
        <v>45828</v>
      </c>
      <c r="S17" s="110" t="s">
        <v>860</v>
      </c>
      <c r="T17" s="46"/>
      <c r="U17" s="142" t="n">
        <v>45747</v>
      </c>
      <c r="V17" s="46"/>
      <c r="W17" s="46"/>
      <c r="X17" s="46"/>
      <c r="Y17" s="85"/>
    </row>
    <row r="18" customFormat="false" ht="15.75" hidden="false" customHeight="true" outlineLevel="0" collapsed="false">
      <c r="A18" s="106" t="n">
        <v>10</v>
      </c>
      <c r="B18" s="107" t="s">
        <v>1540</v>
      </c>
      <c r="C18" s="106" t="s">
        <v>752</v>
      </c>
      <c r="D18" s="107" t="s">
        <v>1541</v>
      </c>
      <c r="E18" s="136" t="s">
        <v>99</v>
      </c>
      <c r="F18" s="106" t="s">
        <v>1542</v>
      </c>
      <c r="G18" s="137" t="n">
        <v>45727</v>
      </c>
      <c r="H18" s="106" t="s">
        <v>409</v>
      </c>
      <c r="I18" s="138" t="str">
        <f aca="false">IFERROR(VLOOKUP(TEXT(H18,"0"),IPRESS!$A$3:$B$212,2,0),"")</f>
        <v>COLLONCE</v>
      </c>
      <c r="J18" s="106" t="s">
        <v>755</v>
      </c>
      <c r="K18" s="138" t="str">
        <f aca="false">IFERROR(VLOOKUP(TEXT(O18,"0"),CONDUCTORES!$A$3:$G$100,7,0),"")</f>
        <v/>
      </c>
      <c r="L18" s="50" t="n">
        <v>18.18</v>
      </c>
      <c r="M18" s="50" t="n">
        <v>20</v>
      </c>
      <c r="N18" s="139" t="n">
        <f aca="false">IFERROR(IF(L18*M18=0,"",L18*M18),"")</f>
        <v>363.6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40" t="s">
        <v>937</v>
      </c>
      <c r="S18" s="107" t="s">
        <v>1543</v>
      </c>
      <c r="T18" s="136"/>
      <c r="U18" s="137" t="n">
        <v>45758</v>
      </c>
      <c r="V18" s="106"/>
      <c r="W18" s="106"/>
      <c r="X18" s="106"/>
      <c r="Y18" s="85"/>
    </row>
    <row r="19" customFormat="false" ht="15.75" hidden="false" customHeight="true" outlineLevel="0" collapsed="false">
      <c r="A19" s="46" t="n">
        <v>11</v>
      </c>
      <c r="B19" s="110" t="s">
        <v>1544</v>
      </c>
      <c r="C19" s="46" t="s">
        <v>752</v>
      </c>
      <c r="D19" s="110" t="s">
        <v>1545</v>
      </c>
      <c r="E19" s="46" t="s">
        <v>99</v>
      </c>
      <c r="F19" s="46" t="s">
        <v>1546</v>
      </c>
      <c r="G19" s="142" t="n">
        <v>45740</v>
      </c>
      <c r="H19" s="46" t="s">
        <v>409</v>
      </c>
      <c r="I19" s="138" t="str">
        <f aca="false">IFERROR(VLOOKUP(TEXT(H19,"0"),IPRESS!$A$3:$B$212,2,0),"")</f>
        <v>COLLONCE</v>
      </c>
      <c r="J19" s="46" t="s">
        <v>755</v>
      </c>
      <c r="K19" s="138" t="str">
        <f aca="false">IFERROR(VLOOKUP(TEXT(O19,"0"),CONDUCTORES!$A$3:$G$100,7,0),"")</f>
        <v/>
      </c>
      <c r="L19" s="44" t="n">
        <v>18.18</v>
      </c>
      <c r="M19" s="44" t="n">
        <v>20</v>
      </c>
      <c r="N19" s="139" t="n">
        <f aca="false">IFERROR(IF(L19*M19=0,"",L19*M19),"")</f>
        <v>363.6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85" t="s">
        <v>937</v>
      </c>
      <c r="S19" s="110" t="s">
        <v>1547</v>
      </c>
      <c r="T19" s="46"/>
      <c r="U19" s="142" t="n">
        <v>45772</v>
      </c>
      <c r="V19" s="46"/>
      <c r="W19" s="46"/>
      <c r="X19" s="46"/>
      <c r="Y19" s="85"/>
    </row>
    <row r="20" customFormat="false" ht="15.75" hidden="false" customHeight="true" outlineLevel="0" collapsed="false">
      <c r="A20" s="106" t="n">
        <v>9</v>
      </c>
      <c r="B20" s="107" t="s">
        <v>1134</v>
      </c>
      <c r="C20" s="106" t="s">
        <v>752</v>
      </c>
      <c r="D20" s="107" t="s">
        <v>1548</v>
      </c>
      <c r="E20" s="136" t="s">
        <v>99</v>
      </c>
      <c r="F20" s="106" t="s">
        <v>1549</v>
      </c>
      <c r="G20" s="137" t="n">
        <v>45747</v>
      </c>
      <c r="H20" s="106" t="s">
        <v>409</v>
      </c>
      <c r="I20" s="138" t="str">
        <f aca="false">IFERROR(VLOOKUP(TEXT(H20,"0"),IPRESS!$A$3:$B$212,2,0),"")</f>
        <v>COLLONCE</v>
      </c>
      <c r="J20" s="106" t="s">
        <v>755</v>
      </c>
      <c r="K20" s="138" t="str">
        <f aca="false">IFERROR(VLOOKUP(TEXT(O20,"0"),CONDUCTORES!$A$3:$G$100,7,0),"")</f>
        <v/>
      </c>
      <c r="L20" s="50" t="n">
        <v>18.18</v>
      </c>
      <c r="M20" s="50" t="n">
        <v>20</v>
      </c>
      <c r="N20" s="139" t="n">
        <f aca="false">IFERROR(IF(L20*M20=0,"",L20*M20),"")</f>
        <v>363.6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40" t="s">
        <v>937</v>
      </c>
      <c r="S20" s="107" t="s">
        <v>1550</v>
      </c>
      <c r="T20" s="136"/>
      <c r="U20" s="137" t="n">
        <v>45776</v>
      </c>
      <c r="V20" s="106"/>
      <c r="W20" s="106"/>
      <c r="X20" s="106"/>
      <c r="Y20" s="85"/>
    </row>
    <row r="21" customFormat="false" ht="15.75" hidden="false" customHeight="true" outlineLevel="0" collapsed="false">
      <c r="A21" s="46" t="n">
        <v>10</v>
      </c>
      <c r="B21" s="110" t="s">
        <v>1551</v>
      </c>
      <c r="C21" s="46" t="s">
        <v>752</v>
      </c>
      <c r="D21" s="110" t="s">
        <v>1552</v>
      </c>
      <c r="E21" s="46" t="s">
        <v>99</v>
      </c>
      <c r="F21" s="46" t="s">
        <v>1553</v>
      </c>
      <c r="G21" s="142" t="n">
        <v>45737</v>
      </c>
      <c r="H21" s="46" t="s">
        <v>460</v>
      </c>
      <c r="I21" s="138" t="str">
        <f aca="false">IFERROR(VLOOKUP(TEXT(H21,"0"),IPRESS!$A$3:$B$212,2,0),"")</f>
        <v>GUADALUPE</v>
      </c>
      <c r="J21" s="46" t="s">
        <v>755</v>
      </c>
      <c r="K21" s="138" t="str">
        <f aca="false">IFERROR(VLOOKUP(TEXT(O21,"0"),CONDUCTORES!$A$3:$G$100,7,0),"")</f>
        <v/>
      </c>
      <c r="L21" s="44" t="n">
        <v>18.18</v>
      </c>
      <c r="M21" s="44" t="n">
        <v>25</v>
      </c>
      <c r="N21" s="139" t="n">
        <f aca="false">IFERROR(IF(L21*M21=0,"",L21*M21),"")</f>
        <v>454.5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142" t="n">
        <v>45841</v>
      </c>
      <c r="S21" s="110" t="s">
        <v>1554</v>
      </c>
      <c r="T21" s="46"/>
      <c r="U21" s="142" t="n">
        <v>45772</v>
      </c>
      <c r="V21" s="46"/>
      <c r="W21" s="46"/>
      <c r="X21" s="46"/>
      <c r="Y21" s="85"/>
    </row>
    <row r="22" customFormat="false" ht="15.75" hidden="false" customHeight="true" outlineLevel="0" collapsed="false">
      <c r="A22" s="106" t="n">
        <v>11</v>
      </c>
      <c r="B22" s="107" t="s">
        <v>1555</v>
      </c>
      <c r="C22" s="106" t="s">
        <v>752</v>
      </c>
      <c r="D22" s="107" t="s">
        <v>1556</v>
      </c>
      <c r="E22" s="136" t="s">
        <v>99</v>
      </c>
      <c r="F22" s="106" t="s">
        <v>1557</v>
      </c>
      <c r="G22" s="137" t="n">
        <v>45723</v>
      </c>
      <c r="H22" s="106" t="s">
        <v>466</v>
      </c>
      <c r="I22" s="138" t="str">
        <f aca="false">IFERROR(VLOOKUP(TEXT(H22,"0"),IPRESS!$A$3:$B$212,2,0),"")</f>
        <v>HUAMBO</v>
      </c>
      <c r="J22" s="106" t="s">
        <v>529</v>
      </c>
      <c r="K22" s="138" t="str">
        <f aca="false">IFERROR(VLOOKUP(TEXT(O22,"0"),CONDUCTORES!$A$3:$G$100,7,0),"")</f>
        <v/>
      </c>
      <c r="L22" s="50" t="n">
        <v>20.25</v>
      </c>
      <c r="M22" s="50" t="n">
        <v>3</v>
      </c>
      <c r="N22" s="139" t="n">
        <f aca="false">IFERROR(IF(L22*M22=0,"",L22*M22),"")</f>
        <v>60.75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37" t="n">
        <v>45833</v>
      </c>
      <c r="S22" s="107" t="s">
        <v>1558</v>
      </c>
      <c r="T22" s="136"/>
      <c r="U22" s="137" t="n">
        <v>45749</v>
      </c>
      <c r="V22" s="106"/>
      <c r="W22" s="106"/>
      <c r="X22" s="106"/>
      <c r="Y22" s="85"/>
    </row>
    <row r="23" customFormat="false" ht="15.75" hidden="false" customHeight="true" outlineLevel="0" collapsed="false">
      <c r="A23" s="46" t="n">
        <v>12</v>
      </c>
      <c r="B23" s="110" t="s">
        <v>1559</v>
      </c>
      <c r="C23" s="46" t="s">
        <v>752</v>
      </c>
      <c r="D23" s="110" t="s">
        <v>1560</v>
      </c>
      <c r="E23" s="46" t="s">
        <v>99</v>
      </c>
      <c r="F23" s="46" t="s">
        <v>1561</v>
      </c>
      <c r="G23" s="142" t="n">
        <v>45736</v>
      </c>
      <c r="H23" s="46" t="s">
        <v>466</v>
      </c>
      <c r="I23" s="138" t="str">
        <f aca="false">IFERROR(VLOOKUP(TEXT(H23,"0"),IPRESS!$A$3:$B$212,2,0),"")</f>
        <v>HUAMBO</v>
      </c>
      <c r="J23" s="46" t="s">
        <v>529</v>
      </c>
      <c r="K23" s="138" t="str">
        <f aca="false">IFERROR(VLOOKUP(TEXT(O23,"0"),CONDUCTORES!$A$3:$G$100,7,0),"")</f>
        <v/>
      </c>
      <c r="L23" s="44" t="n">
        <v>20.25</v>
      </c>
      <c r="M23" s="44" t="n">
        <v>3</v>
      </c>
      <c r="N23" s="139" t="n">
        <f aca="false">IFERROR(IF(L23*M23=0,"",L23*M23),"")</f>
        <v>60.75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142" t="n">
        <v>45833</v>
      </c>
      <c r="S23" s="110" t="s">
        <v>1562</v>
      </c>
      <c r="T23" s="46"/>
      <c r="U23" s="142" t="n">
        <v>45768</v>
      </c>
      <c r="V23" s="46"/>
      <c r="W23" s="46"/>
      <c r="X23" s="46"/>
      <c r="Y23" s="85"/>
    </row>
    <row r="24" customFormat="false" ht="15.75" hidden="false" customHeight="true" outlineLevel="0" collapsed="false">
      <c r="A24" s="106" t="n">
        <v>13</v>
      </c>
      <c r="B24" s="107" t="s">
        <v>1493</v>
      </c>
      <c r="C24" s="106" t="s">
        <v>752</v>
      </c>
      <c r="D24" s="107" t="s">
        <v>1563</v>
      </c>
      <c r="E24" s="136" t="s">
        <v>99</v>
      </c>
      <c r="F24" s="106" t="s">
        <v>1564</v>
      </c>
      <c r="G24" s="137" t="n">
        <v>45737</v>
      </c>
      <c r="H24" s="106" t="s">
        <v>466</v>
      </c>
      <c r="I24" s="138" t="str">
        <f aca="false">IFERROR(VLOOKUP(TEXT(H24,"0"),IPRESS!$A$3:$B$212,2,0),"")</f>
        <v>HUAMBO</v>
      </c>
      <c r="J24" s="106" t="s">
        <v>529</v>
      </c>
      <c r="K24" s="138" t="str">
        <f aca="false">IFERROR(VLOOKUP(TEXT(O24,"0"),CONDUCTORES!$A$3:$G$100,7,0),"")</f>
        <v/>
      </c>
      <c r="L24" s="50" t="n">
        <v>20.25</v>
      </c>
      <c r="M24" s="50" t="n">
        <v>3</v>
      </c>
      <c r="N24" s="139" t="n">
        <f aca="false">IFERROR(IF(L24*M24=0,"",L24*M24),"")</f>
        <v>60.75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37" t="n">
        <v>45833</v>
      </c>
      <c r="S24" s="107" t="s">
        <v>1562</v>
      </c>
      <c r="T24" s="136"/>
      <c r="U24" s="137" t="n">
        <v>45768</v>
      </c>
      <c r="V24" s="106"/>
      <c r="W24" s="106"/>
      <c r="X24" s="106"/>
      <c r="Y24" s="85"/>
    </row>
    <row r="25" customFormat="false" ht="15.75" hidden="false" customHeight="true" outlineLevel="0" collapsed="false">
      <c r="A25" s="46" t="n">
        <v>14</v>
      </c>
      <c r="B25" s="110" t="s">
        <v>1498</v>
      </c>
      <c r="C25" s="46" t="s">
        <v>752</v>
      </c>
      <c r="D25" s="110" t="s">
        <v>1565</v>
      </c>
      <c r="E25" s="46" t="s">
        <v>99</v>
      </c>
      <c r="F25" s="46" t="s">
        <v>1566</v>
      </c>
      <c r="G25" s="142" t="n">
        <v>45738</v>
      </c>
      <c r="H25" s="46" t="s">
        <v>466</v>
      </c>
      <c r="I25" s="138" t="str">
        <f aca="false">IFERROR(VLOOKUP(TEXT(H25,"0"),IPRESS!$A$3:$B$212,2,0),"")</f>
        <v>HUAMBO</v>
      </c>
      <c r="J25" s="46" t="s">
        <v>529</v>
      </c>
      <c r="K25" s="138" t="str">
        <f aca="false">IFERROR(VLOOKUP(TEXT(O25,"0"),CONDUCTORES!$A$3:$G$100,7,0),"")</f>
        <v/>
      </c>
      <c r="L25" s="44" t="n">
        <v>20.25</v>
      </c>
      <c r="M25" s="44" t="n">
        <v>3</v>
      </c>
      <c r="N25" s="139" t="n">
        <f aca="false">IFERROR(IF(L25*M25=0,"",L25*M25),"")</f>
        <v>60.75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142" t="n">
        <v>45833</v>
      </c>
      <c r="S25" s="110" t="s">
        <v>1567</v>
      </c>
      <c r="T25" s="46"/>
      <c r="U25" s="142" t="n">
        <v>45768</v>
      </c>
      <c r="V25" s="46"/>
      <c r="W25" s="46"/>
      <c r="X25" s="46"/>
      <c r="Y25" s="85"/>
    </row>
    <row r="26" customFormat="false" ht="15.75" hidden="false" customHeight="true" outlineLevel="0" collapsed="false">
      <c r="A26" s="106" t="n">
        <v>15</v>
      </c>
      <c r="B26" s="107" t="s">
        <v>1568</v>
      </c>
      <c r="C26" s="106" t="s">
        <v>752</v>
      </c>
      <c r="D26" s="107" t="s">
        <v>1569</v>
      </c>
      <c r="E26" s="136" t="s">
        <v>99</v>
      </c>
      <c r="F26" s="106" t="s">
        <v>1570</v>
      </c>
      <c r="G26" s="137" t="n">
        <v>45734</v>
      </c>
      <c r="H26" s="106" t="s">
        <v>466</v>
      </c>
      <c r="I26" s="138" t="str">
        <f aca="false">IFERROR(VLOOKUP(TEXT(H26,"0"),IPRESS!$A$3:$B$212,2,0),"")</f>
        <v>HUAMBO</v>
      </c>
      <c r="J26" s="106" t="s">
        <v>529</v>
      </c>
      <c r="K26" s="138" t="str">
        <f aca="false">IFERROR(VLOOKUP(TEXT(O26,"0"),CONDUCTORES!$A$3:$G$100,7,0),"")</f>
        <v/>
      </c>
      <c r="L26" s="50" t="n">
        <v>20.25</v>
      </c>
      <c r="M26" s="50" t="n">
        <v>3</v>
      </c>
      <c r="N26" s="139" t="n">
        <f aca="false">IFERROR(IF(L26*M26=0,"",L26*M26),"")</f>
        <v>60.75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37" t="n">
        <v>45833</v>
      </c>
      <c r="S26" s="107" t="s">
        <v>1571</v>
      </c>
      <c r="T26" s="136"/>
      <c r="U26" s="137" t="n">
        <v>45768</v>
      </c>
      <c r="V26" s="106"/>
      <c r="W26" s="106"/>
      <c r="X26" s="106"/>
      <c r="Y26" s="85"/>
    </row>
    <row r="27" customFormat="false" ht="15.75" hidden="false" customHeight="true" outlineLevel="0" collapsed="false">
      <c r="A27" s="46" t="n">
        <v>13</v>
      </c>
      <c r="B27" s="110" t="s">
        <v>1513</v>
      </c>
      <c r="C27" s="46" t="s">
        <v>752</v>
      </c>
      <c r="D27" s="110" t="s">
        <v>1572</v>
      </c>
      <c r="E27" s="46" t="s">
        <v>99</v>
      </c>
      <c r="F27" s="46" t="s">
        <v>1573</v>
      </c>
      <c r="G27" s="142" t="n">
        <v>45726</v>
      </c>
      <c r="H27" s="46" t="s">
        <v>483</v>
      </c>
      <c r="I27" s="138" t="str">
        <f aca="false">IFERROR(VLOOKUP(TEXT(H27,"0"),IPRESS!$A$3:$B$212,2,0),"")</f>
        <v>JUMBILLA</v>
      </c>
      <c r="J27" s="46" t="s">
        <v>755</v>
      </c>
      <c r="K27" s="138" t="str">
        <f aca="false">IFERROR(VLOOKUP(TEXT(O27,"0"),CONDUCTORES!$A$3:$G$100,7,0),"")</f>
        <v/>
      </c>
      <c r="L27" s="44" t="n">
        <v>18.18</v>
      </c>
      <c r="M27" s="44" t="n">
        <v>12</v>
      </c>
      <c r="N27" s="139" t="n">
        <f aca="false">IFERROR(IF(L27*M27=0,"",L27*M27),"")</f>
        <v>218.16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85" t="s">
        <v>1257</v>
      </c>
      <c r="S27" s="110" t="s">
        <v>1574</v>
      </c>
      <c r="T27" s="46"/>
      <c r="U27" s="142" t="n">
        <v>45749</v>
      </c>
      <c r="V27" s="46"/>
      <c r="W27" s="46"/>
      <c r="X27" s="46"/>
      <c r="Y27" s="85"/>
    </row>
    <row r="28" customFormat="false" ht="15.75" hidden="false" customHeight="true" outlineLevel="0" collapsed="false">
      <c r="A28" s="106" t="n">
        <v>14</v>
      </c>
      <c r="B28" s="107" t="s">
        <v>1517</v>
      </c>
      <c r="C28" s="106" t="s">
        <v>752</v>
      </c>
      <c r="D28" s="107" t="s">
        <v>1575</v>
      </c>
      <c r="E28" s="136" t="s">
        <v>99</v>
      </c>
      <c r="F28" s="106" t="s">
        <v>1576</v>
      </c>
      <c r="G28" s="137" t="n">
        <v>45735</v>
      </c>
      <c r="H28" s="106" t="s">
        <v>483</v>
      </c>
      <c r="I28" s="138" t="str">
        <f aca="false">IFERROR(VLOOKUP(TEXT(H28,"0"),IPRESS!$A$3:$B$212,2,0),"")</f>
        <v>JUMBILLA</v>
      </c>
      <c r="J28" s="106" t="s">
        <v>755</v>
      </c>
      <c r="K28" s="138" t="str">
        <f aca="false">IFERROR(VLOOKUP(TEXT(O28,"0"),CONDUCTORES!$A$3:$G$100,7,0),"")</f>
        <v/>
      </c>
      <c r="L28" s="50" t="n">
        <v>18.18</v>
      </c>
      <c r="M28" s="50" t="n">
        <v>12</v>
      </c>
      <c r="N28" s="139" t="n">
        <f aca="false">IFERROR(IF(L28*M28=0,"",L28*M28),"")</f>
        <v>218.16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40" t="s">
        <v>1577</v>
      </c>
      <c r="S28" s="107" t="s">
        <v>1578</v>
      </c>
      <c r="T28" s="136"/>
      <c r="U28" s="137" t="n">
        <v>45768</v>
      </c>
      <c r="V28" s="106"/>
      <c r="W28" s="106"/>
      <c r="X28" s="106"/>
      <c r="Y28" s="85"/>
    </row>
    <row r="29" customFormat="false" ht="15.75" hidden="false" customHeight="true" outlineLevel="0" collapsed="false">
      <c r="A29" s="46" t="n">
        <v>15</v>
      </c>
      <c r="B29" s="110" t="s">
        <v>1525</v>
      </c>
      <c r="C29" s="46" t="s">
        <v>752</v>
      </c>
      <c r="D29" s="110" t="s">
        <v>1579</v>
      </c>
      <c r="E29" s="46" t="s">
        <v>99</v>
      </c>
      <c r="F29" s="46" t="s">
        <v>1580</v>
      </c>
      <c r="G29" s="142" t="n">
        <v>45732</v>
      </c>
      <c r="H29" s="46" t="s">
        <v>483</v>
      </c>
      <c r="I29" s="138" t="str">
        <f aca="false">IFERROR(VLOOKUP(TEXT(H29,"0"),IPRESS!$A$3:$B$212,2,0),"")</f>
        <v>JUMBILLA</v>
      </c>
      <c r="J29" s="46" t="s">
        <v>755</v>
      </c>
      <c r="K29" s="138" t="str">
        <f aca="false">IFERROR(VLOOKUP(TEXT(O29,"0"),CONDUCTORES!$A$3:$G$100,7,0),"")</f>
        <v/>
      </c>
      <c r="L29" s="44" t="n">
        <v>18.18</v>
      </c>
      <c r="M29" s="44" t="n">
        <v>12</v>
      </c>
      <c r="N29" s="139" t="n">
        <f aca="false">IFERROR(IF(L29*M29=0,"",L29*M29),"")</f>
        <v>218.16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85" t="s">
        <v>1581</v>
      </c>
      <c r="S29" s="110" t="s">
        <v>1582</v>
      </c>
      <c r="T29" s="46"/>
      <c r="U29" s="142" t="n">
        <v>45768</v>
      </c>
      <c r="V29" s="46"/>
      <c r="W29" s="46"/>
      <c r="X29" s="46"/>
      <c r="Y29" s="85"/>
    </row>
    <row r="30" customFormat="false" ht="15.75" hidden="false" customHeight="true" outlineLevel="0" collapsed="false">
      <c r="A30" s="106" t="n">
        <v>16</v>
      </c>
      <c r="B30" s="107" t="s">
        <v>1551</v>
      </c>
      <c r="C30" s="106" t="s">
        <v>752</v>
      </c>
      <c r="D30" s="107" t="s">
        <v>1583</v>
      </c>
      <c r="E30" s="136" t="s">
        <v>99</v>
      </c>
      <c r="F30" s="106" t="s">
        <v>1584</v>
      </c>
      <c r="G30" s="137" t="n">
        <v>45742</v>
      </c>
      <c r="H30" s="106" t="s">
        <v>483</v>
      </c>
      <c r="I30" s="138" t="str">
        <f aca="false">IFERROR(VLOOKUP(TEXT(H30,"0"),IPRESS!$A$3:$B$212,2,0),"")</f>
        <v>JUMBILLA</v>
      </c>
      <c r="J30" s="106" t="s">
        <v>755</v>
      </c>
      <c r="K30" s="138" t="str">
        <f aca="false">IFERROR(VLOOKUP(TEXT(O30,"0"),CONDUCTORES!$A$3:$G$100,7,0),"")</f>
        <v/>
      </c>
      <c r="L30" s="50" t="n">
        <v>18.18</v>
      </c>
      <c r="M30" s="50" t="n">
        <v>12</v>
      </c>
      <c r="N30" s="139" t="n">
        <f aca="false">IFERROR(IF(L30*M30=0,"",L30*M30),"")</f>
        <v>218.16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37" t="n">
        <v>45828</v>
      </c>
      <c r="S30" s="107" t="s">
        <v>1585</v>
      </c>
      <c r="T30" s="136"/>
      <c r="U30" s="137" t="n">
        <v>45776</v>
      </c>
      <c r="V30" s="106"/>
      <c r="W30" s="106"/>
      <c r="X30" s="106"/>
      <c r="Y30" s="85"/>
    </row>
    <row r="31" customFormat="false" ht="15.75" hidden="false" customHeight="true" outlineLevel="0" collapsed="false">
      <c r="A31" s="46" t="n">
        <v>17</v>
      </c>
      <c r="B31" s="110" t="s">
        <v>1391</v>
      </c>
      <c r="C31" s="46" t="s">
        <v>752</v>
      </c>
      <c r="D31" s="110" t="s">
        <v>1586</v>
      </c>
      <c r="E31" s="46" t="s">
        <v>99</v>
      </c>
      <c r="F31" s="46" t="s">
        <v>1587</v>
      </c>
      <c r="G31" s="142" t="n">
        <v>45742</v>
      </c>
      <c r="H31" s="46" t="s">
        <v>483</v>
      </c>
      <c r="I31" s="138" t="str">
        <f aca="false">IFERROR(VLOOKUP(TEXT(H31,"0"),IPRESS!$A$3:$B$212,2,0),"")</f>
        <v>JUMBILLA</v>
      </c>
      <c r="J31" s="46" t="s">
        <v>755</v>
      </c>
      <c r="K31" s="138" t="str">
        <f aca="false">IFERROR(VLOOKUP(TEXT(O31,"0"),CONDUCTORES!$A$3:$G$100,7,0),"")</f>
        <v/>
      </c>
      <c r="L31" s="44" t="n">
        <v>18.18</v>
      </c>
      <c r="M31" s="44" t="n">
        <v>12</v>
      </c>
      <c r="N31" s="139" t="n">
        <f aca="false">IFERROR(IF(L31*M31=0,"",L31*M31),"")</f>
        <v>218.16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142" t="n">
        <v>45828</v>
      </c>
      <c r="S31" s="110" t="s">
        <v>1588</v>
      </c>
      <c r="T31" s="46"/>
      <c r="U31" s="142" t="n">
        <v>45776</v>
      </c>
      <c r="V31" s="46"/>
      <c r="W31" s="46"/>
      <c r="X31" s="46"/>
      <c r="Y31" s="85"/>
    </row>
    <row r="32" customFormat="false" ht="15.75" hidden="false" customHeight="true" outlineLevel="0" collapsed="false">
      <c r="A32" s="106" t="n">
        <v>18</v>
      </c>
      <c r="B32" s="107" t="s">
        <v>926</v>
      </c>
      <c r="C32" s="106" t="s">
        <v>752</v>
      </c>
      <c r="D32" s="107" t="s">
        <v>1589</v>
      </c>
      <c r="E32" s="136" t="s">
        <v>99</v>
      </c>
      <c r="F32" s="106" t="s">
        <v>1590</v>
      </c>
      <c r="G32" s="137" t="n">
        <v>45745</v>
      </c>
      <c r="H32" s="106" t="s">
        <v>483</v>
      </c>
      <c r="I32" s="138" t="str">
        <f aca="false">IFERROR(VLOOKUP(TEXT(H32,"0"),IPRESS!$A$3:$B$212,2,0),"")</f>
        <v>JUMBILLA</v>
      </c>
      <c r="J32" s="106" t="s">
        <v>755</v>
      </c>
      <c r="K32" s="138" t="str">
        <f aca="false">IFERROR(VLOOKUP(TEXT(O32,"0"),CONDUCTORES!$A$3:$G$100,7,0),"")</f>
        <v/>
      </c>
      <c r="L32" s="50" t="n">
        <v>18.18</v>
      </c>
      <c r="M32" s="50" t="n">
        <v>12</v>
      </c>
      <c r="N32" s="139" t="n">
        <f aca="false">IFERROR(IF(L32*M32=0,"",L32*M32),"")</f>
        <v>218.16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37" t="n">
        <v>45828</v>
      </c>
      <c r="S32" s="107" t="s">
        <v>1154</v>
      </c>
      <c r="T32" s="136"/>
      <c r="U32" s="137" t="n">
        <v>45776</v>
      </c>
      <c r="V32" s="106"/>
      <c r="W32" s="106"/>
      <c r="X32" s="106"/>
      <c r="Y32" s="85"/>
    </row>
    <row r="33" customFormat="false" ht="15.75" hidden="false" customHeight="true" outlineLevel="0" collapsed="false">
      <c r="A33" s="46" t="n">
        <v>19</v>
      </c>
      <c r="B33" s="110" t="s">
        <v>1507</v>
      </c>
      <c r="C33" s="46" t="s">
        <v>752</v>
      </c>
      <c r="D33" s="110" t="s">
        <v>1591</v>
      </c>
      <c r="E33" s="46" t="s">
        <v>99</v>
      </c>
      <c r="F33" s="46" t="s">
        <v>1592</v>
      </c>
      <c r="G33" s="142" t="n">
        <v>45737</v>
      </c>
      <c r="H33" s="46" t="s">
        <v>500</v>
      </c>
      <c r="I33" s="138" t="str">
        <f aca="false">IFERROR(VLOOKUP(TEXT(H33,"0"),IPRESS!$A$3:$B$212,2,0),"")</f>
        <v>LAMUD</v>
      </c>
      <c r="J33" s="46" t="s">
        <v>755</v>
      </c>
      <c r="K33" s="138" t="str">
        <f aca="false">IFERROR(VLOOKUP(TEXT(O33,"0"),CONDUCTORES!$A$3:$G$100,7,0),"")</f>
        <v/>
      </c>
      <c r="L33" s="44" t="n">
        <v>18.18</v>
      </c>
      <c r="M33" s="44" t="n">
        <v>4</v>
      </c>
      <c r="N33" s="139" t="n">
        <f aca="false">IFERROR(IF(L33*M33=0,"",L33*M33),"")</f>
        <v>72.72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142" t="n">
        <v>45793</v>
      </c>
      <c r="S33" s="110" t="s">
        <v>1593</v>
      </c>
      <c r="T33" s="46"/>
      <c r="U33" s="142" t="n">
        <v>45772</v>
      </c>
      <c r="V33" s="46"/>
      <c r="W33" s="46"/>
      <c r="X33" s="46"/>
      <c r="Y33" s="85"/>
    </row>
    <row r="34" customFormat="false" ht="15.75" hidden="false" customHeight="true" outlineLevel="0" collapsed="false">
      <c r="A34" s="106" t="n">
        <v>17</v>
      </c>
      <c r="B34" s="107" t="s">
        <v>1513</v>
      </c>
      <c r="C34" s="106" t="s">
        <v>752</v>
      </c>
      <c r="D34" s="107" t="s">
        <v>1594</v>
      </c>
      <c r="E34" s="136" t="s">
        <v>99</v>
      </c>
      <c r="F34" s="106" t="s">
        <v>1595</v>
      </c>
      <c r="G34" s="137" t="n">
        <v>45740</v>
      </c>
      <c r="H34" s="106" t="s">
        <v>500</v>
      </c>
      <c r="I34" s="138" t="str">
        <f aca="false">IFERROR(VLOOKUP(TEXT(H34,"0"),IPRESS!$A$3:$B$212,2,0),"")</f>
        <v>LAMUD</v>
      </c>
      <c r="J34" s="106" t="s">
        <v>755</v>
      </c>
      <c r="K34" s="138" t="str">
        <f aca="false">IFERROR(VLOOKUP(TEXT(O34,"0"),CONDUCTORES!$A$3:$G$100,7,0),"")</f>
        <v/>
      </c>
      <c r="L34" s="50" t="n">
        <v>18.18</v>
      </c>
      <c r="M34" s="50" t="n">
        <v>4</v>
      </c>
      <c r="N34" s="139" t="n">
        <f aca="false">IFERROR(IF(L34*M34=0,"",L34*M34),"")</f>
        <v>72.72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37" t="n">
        <v>45793</v>
      </c>
      <c r="S34" s="107" t="s">
        <v>998</v>
      </c>
      <c r="T34" s="136"/>
      <c r="U34" s="137" t="n">
        <v>45772</v>
      </c>
      <c r="V34" s="106"/>
      <c r="W34" s="106"/>
      <c r="X34" s="106"/>
      <c r="Y34" s="85"/>
    </row>
    <row r="35" customFormat="false" ht="15.75" hidden="false" customHeight="true" outlineLevel="0" collapsed="false">
      <c r="A35" s="46" t="n">
        <v>18</v>
      </c>
      <c r="B35" s="110" t="s">
        <v>1525</v>
      </c>
      <c r="C35" s="46" t="s">
        <v>752</v>
      </c>
      <c r="D35" s="110" t="s">
        <v>1596</v>
      </c>
      <c r="E35" s="46" t="s">
        <v>99</v>
      </c>
      <c r="F35" s="46" t="s">
        <v>1597</v>
      </c>
      <c r="G35" s="142" t="n">
        <v>45741</v>
      </c>
      <c r="H35" s="46" t="s">
        <v>500</v>
      </c>
      <c r="I35" s="138" t="str">
        <f aca="false">IFERROR(VLOOKUP(TEXT(H35,"0"),IPRESS!$A$3:$B$212,2,0),"")</f>
        <v>LAMUD</v>
      </c>
      <c r="J35" s="46" t="s">
        <v>755</v>
      </c>
      <c r="K35" s="138" t="str">
        <f aca="false">IFERROR(VLOOKUP(TEXT(O35,"0"),CONDUCTORES!$A$3:$G$100,7,0),"")</f>
        <v/>
      </c>
      <c r="L35" s="44" t="n">
        <v>18.18</v>
      </c>
      <c r="M35" s="44" t="n">
        <v>4</v>
      </c>
      <c r="N35" s="139" t="n">
        <f aca="false">IFERROR(IF(L35*M35=0,"",L35*M35),"")</f>
        <v>72.72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142" t="n">
        <v>45793</v>
      </c>
      <c r="S35" s="110" t="s">
        <v>1598</v>
      </c>
      <c r="T35" s="46"/>
      <c r="U35" s="142" t="n">
        <v>45772</v>
      </c>
      <c r="V35" s="46"/>
      <c r="W35" s="46"/>
      <c r="X35" s="46"/>
      <c r="Y35" s="85"/>
    </row>
    <row r="36" customFormat="false" ht="15.75" hidden="false" customHeight="true" outlineLevel="0" collapsed="false">
      <c r="A36" s="106" t="n">
        <v>19</v>
      </c>
      <c r="B36" s="107" t="s">
        <v>1599</v>
      </c>
      <c r="C36" s="106" t="s">
        <v>752</v>
      </c>
      <c r="D36" s="107" t="s">
        <v>1600</v>
      </c>
      <c r="E36" s="136" t="s">
        <v>99</v>
      </c>
      <c r="F36" s="106" t="s">
        <v>1601</v>
      </c>
      <c r="G36" s="137" t="n">
        <v>45723</v>
      </c>
      <c r="H36" s="106" t="s">
        <v>507</v>
      </c>
      <c r="I36" s="138" t="str">
        <f aca="false">IFERROR(VLOOKUP(TEXT(H36,"0"),IPRESS!$A$3:$B$212,2,0),"")</f>
        <v>LEYMEBAMBA</v>
      </c>
      <c r="J36" s="106" t="s">
        <v>755</v>
      </c>
      <c r="K36" s="138" t="str">
        <f aca="false">IFERROR(VLOOKUP(TEXT(O36,"0"),CONDUCTORES!$A$3:$G$100,7,0),"")</f>
        <v/>
      </c>
      <c r="L36" s="50" t="n">
        <v>18.18</v>
      </c>
      <c r="M36" s="50" t="n">
        <v>7</v>
      </c>
      <c r="N36" s="139" t="n">
        <f aca="false">IFERROR(IF(L36*M36=0,"",L36*M36),"")</f>
        <v>127.26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40" t="s">
        <v>1317</v>
      </c>
      <c r="S36" s="107" t="s">
        <v>1602</v>
      </c>
      <c r="T36" s="136"/>
      <c r="U36" s="137" t="n">
        <v>45749</v>
      </c>
      <c r="V36" s="106"/>
      <c r="W36" s="106" t="s">
        <v>785</v>
      </c>
      <c r="X36" s="106" t="s">
        <v>918</v>
      </c>
      <c r="Y36" s="85"/>
    </row>
    <row r="37" customFormat="false" ht="15.75" hidden="false" customHeight="true" outlineLevel="0" collapsed="false">
      <c r="A37" s="46" t="n">
        <v>20</v>
      </c>
      <c r="B37" s="110" t="s">
        <v>1603</v>
      </c>
      <c r="C37" s="46" t="s">
        <v>752</v>
      </c>
      <c r="D37" s="110" t="s">
        <v>1604</v>
      </c>
      <c r="E37" s="46" t="s">
        <v>99</v>
      </c>
      <c r="F37" s="46" t="s">
        <v>1605</v>
      </c>
      <c r="G37" s="142" t="n">
        <v>45735</v>
      </c>
      <c r="H37" s="46" t="s">
        <v>507</v>
      </c>
      <c r="I37" s="138" t="str">
        <f aca="false">IFERROR(VLOOKUP(TEXT(H37,"0"),IPRESS!$A$3:$B$212,2,0),"")</f>
        <v>LEYMEBAMBA</v>
      </c>
      <c r="J37" s="46" t="s">
        <v>755</v>
      </c>
      <c r="K37" s="138" t="str">
        <f aca="false">IFERROR(VLOOKUP(TEXT(O37,"0"),CONDUCTORES!$A$3:$G$100,7,0),"")</f>
        <v/>
      </c>
      <c r="L37" s="44" t="n">
        <v>18.18</v>
      </c>
      <c r="M37" s="44" t="n">
        <v>7</v>
      </c>
      <c r="N37" s="139" t="n">
        <f aca="false">IFERROR(IF(L37*M37=0,"",L37*M37),"")</f>
        <v>127.26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85" t="s">
        <v>1606</v>
      </c>
      <c r="S37" s="110" t="s">
        <v>1607</v>
      </c>
      <c r="T37" s="46"/>
      <c r="U37" s="142" t="n">
        <v>45768</v>
      </c>
      <c r="V37" s="46"/>
      <c r="W37" s="46" t="s">
        <v>785</v>
      </c>
      <c r="X37" s="46" t="s">
        <v>918</v>
      </c>
      <c r="Y37" s="85"/>
    </row>
    <row r="38" customFormat="false" ht="15.75" hidden="false" customHeight="true" outlineLevel="0" collapsed="false">
      <c r="A38" s="106" t="n">
        <v>21</v>
      </c>
      <c r="B38" s="107" t="s">
        <v>1608</v>
      </c>
      <c r="C38" s="106" t="s">
        <v>752</v>
      </c>
      <c r="D38" s="107" t="s">
        <v>1609</v>
      </c>
      <c r="E38" s="136" t="s">
        <v>99</v>
      </c>
      <c r="F38" s="106" t="s">
        <v>1610</v>
      </c>
      <c r="G38" s="137" t="n">
        <v>45736</v>
      </c>
      <c r="H38" s="106" t="s">
        <v>507</v>
      </c>
      <c r="I38" s="138" t="str">
        <f aca="false">IFERROR(VLOOKUP(TEXT(H38,"0"),IPRESS!$A$3:$B$212,2,0),"")</f>
        <v>LEYMEBAMBA</v>
      </c>
      <c r="J38" s="106" t="s">
        <v>755</v>
      </c>
      <c r="K38" s="138" t="str">
        <f aca="false">IFERROR(VLOOKUP(TEXT(O38,"0"),CONDUCTORES!$A$3:$G$100,7,0),"")</f>
        <v/>
      </c>
      <c r="L38" s="50" t="n">
        <v>18.18</v>
      </c>
      <c r="M38" s="50" t="n">
        <v>7</v>
      </c>
      <c r="N38" s="139" t="n">
        <f aca="false">IFERROR(IF(L38*M38=0,"",L38*M38),"")</f>
        <v>127.26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40" t="s">
        <v>1611</v>
      </c>
      <c r="S38" s="107" t="s">
        <v>1612</v>
      </c>
      <c r="T38" s="136"/>
      <c r="U38" s="137" t="n">
        <v>45768</v>
      </c>
      <c r="V38" s="106"/>
      <c r="W38" s="106" t="s">
        <v>785</v>
      </c>
      <c r="X38" s="106" t="s">
        <v>918</v>
      </c>
      <c r="Y38" s="85"/>
    </row>
    <row r="39" customFormat="false" ht="15.75" hidden="false" customHeight="true" outlineLevel="0" collapsed="false">
      <c r="A39" s="46" t="n">
        <v>22</v>
      </c>
      <c r="B39" s="110" t="s">
        <v>1613</v>
      </c>
      <c r="C39" s="46" t="s">
        <v>752</v>
      </c>
      <c r="D39" s="110" t="s">
        <v>1614</v>
      </c>
      <c r="E39" s="46" t="s">
        <v>99</v>
      </c>
      <c r="F39" s="46" t="s">
        <v>1615</v>
      </c>
      <c r="G39" s="142" t="n">
        <v>45723</v>
      </c>
      <c r="H39" s="46" t="s">
        <v>507</v>
      </c>
      <c r="I39" s="138" t="str">
        <f aca="false">IFERROR(VLOOKUP(TEXT(H39,"0"),IPRESS!$A$3:$B$212,2,0),"")</f>
        <v>LEYMEBAMBA</v>
      </c>
      <c r="J39" s="46" t="s">
        <v>755</v>
      </c>
      <c r="K39" s="138" t="str">
        <f aca="false">IFERROR(VLOOKUP(TEXT(O39,"0"),CONDUCTORES!$A$3:$G$100,7,0),"")</f>
        <v/>
      </c>
      <c r="L39" s="44" t="n">
        <v>18.18</v>
      </c>
      <c r="M39" s="44" t="n">
        <v>7</v>
      </c>
      <c r="N39" s="139" t="n">
        <f aca="false">IFERROR(IF(L39*M39=0,"",L39*M39),"")</f>
        <v>127.26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85" t="s">
        <v>1616</v>
      </c>
      <c r="S39" s="110" t="s">
        <v>1276</v>
      </c>
      <c r="T39" s="46"/>
      <c r="U39" s="142" t="n">
        <v>45768</v>
      </c>
      <c r="V39" s="46"/>
      <c r="W39" s="46" t="s">
        <v>785</v>
      </c>
      <c r="X39" s="46" t="s">
        <v>918</v>
      </c>
      <c r="Y39" s="85"/>
    </row>
    <row r="40" customFormat="false" ht="15.75" hidden="false" customHeight="true" outlineLevel="0" collapsed="false">
      <c r="A40" s="106" t="n">
        <v>23</v>
      </c>
      <c r="B40" s="107" t="s">
        <v>1617</v>
      </c>
      <c r="C40" s="106" t="s">
        <v>752</v>
      </c>
      <c r="D40" s="107" t="s">
        <v>1618</v>
      </c>
      <c r="E40" s="136" t="s">
        <v>99</v>
      </c>
      <c r="F40" s="106" t="s">
        <v>1619</v>
      </c>
      <c r="G40" s="137" t="n">
        <v>45731</v>
      </c>
      <c r="H40" s="106" t="s">
        <v>507</v>
      </c>
      <c r="I40" s="138" t="str">
        <f aca="false">IFERROR(VLOOKUP(TEXT(H40,"0"),IPRESS!$A$3:$B$212,2,0),"")</f>
        <v>LEYMEBAMBA</v>
      </c>
      <c r="J40" s="106" t="s">
        <v>755</v>
      </c>
      <c r="K40" s="138" t="str">
        <f aca="false">IFERROR(VLOOKUP(TEXT(O40,"0"),CONDUCTORES!$A$3:$G$100,7,0),"")</f>
        <v/>
      </c>
      <c r="L40" s="50" t="n">
        <v>18.18</v>
      </c>
      <c r="M40" s="50" t="n">
        <v>7</v>
      </c>
      <c r="N40" s="139" t="n">
        <f aca="false">IFERROR(IF(L40*M40=0,"",L40*M40),"")</f>
        <v>127.26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40" t="s">
        <v>1620</v>
      </c>
      <c r="S40" s="107" t="s">
        <v>1621</v>
      </c>
      <c r="T40" s="136"/>
      <c r="U40" s="137" t="n">
        <v>45768</v>
      </c>
      <c r="V40" s="106"/>
      <c r="W40" s="106" t="s">
        <v>785</v>
      </c>
      <c r="X40" s="106" t="s">
        <v>918</v>
      </c>
      <c r="Y40" s="85"/>
    </row>
    <row r="41" customFormat="false" ht="15.75" hidden="false" customHeight="true" outlineLevel="0" collapsed="false">
      <c r="A41" s="46" t="n">
        <v>21</v>
      </c>
      <c r="B41" s="110" t="s">
        <v>1622</v>
      </c>
      <c r="C41" s="46" t="s">
        <v>752</v>
      </c>
      <c r="D41" s="110" t="s">
        <v>1623</v>
      </c>
      <c r="E41" s="46" t="s">
        <v>99</v>
      </c>
      <c r="F41" s="46" t="s">
        <v>1624</v>
      </c>
      <c r="G41" s="142" t="n">
        <v>45734</v>
      </c>
      <c r="H41" s="46" t="s">
        <v>507</v>
      </c>
      <c r="I41" s="138" t="str">
        <f aca="false">IFERROR(VLOOKUP(TEXT(H41,"0"),IPRESS!$A$3:$B$212,2,0),"")</f>
        <v>LEYMEBAMBA</v>
      </c>
      <c r="J41" s="46" t="s">
        <v>755</v>
      </c>
      <c r="K41" s="138" t="str">
        <f aca="false">IFERROR(VLOOKUP(TEXT(O41,"0"),CONDUCTORES!$A$3:$G$100,7,0),"")</f>
        <v/>
      </c>
      <c r="L41" s="44" t="n">
        <v>18.18</v>
      </c>
      <c r="M41" s="44" t="n">
        <v>7</v>
      </c>
      <c r="N41" s="139" t="n">
        <f aca="false">IFERROR(IF(L41*M41=0,"",L41*M41),"")</f>
        <v>127.26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85" t="s">
        <v>1625</v>
      </c>
      <c r="S41" s="110" t="s">
        <v>1626</v>
      </c>
      <c r="T41" s="46"/>
      <c r="U41" s="142" t="n">
        <v>45768</v>
      </c>
      <c r="V41" s="46"/>
      <c r="W41" s="46" t="s">
        <v>785</v>
      </c>
      <c r="X41" s="46" t="s">
        <v>918</v>
      </c>
      <c r="Y41" s="85"/>
    </row>
    <row r="42" customFormat="false" ht="15.75" hidden="false" customHeight="true" outlineLevel="0" collapsed="false">
      <c r="A42" s="106" t="n">
        <v>22</v>
      </c>
      <c r="B42" s="107" t="s">
        <v>1627</v>
      </c>
      <c r="C42" s="106" t="s">
        <v>752</v>
      </c>
      <c r="D42" s="107" t="s">
        <v>1628</v>
      </c>
      <c r="E42" s="136" t="s">
        <v>99</v>
      </c>
      <c r="F42" s="106" t="s">
        <v>1629</v>
      </c>
      <c r="G42" s="137" t="n">
        <v>45741</v>
      </c>
      <c r="H42" s="106" t="s">
        <v>507</v>
      </c>
      <c r="I42" s="138" t="str">
        <f aca="false">IFERROR(VLOOKUP(TEXT(H42,"0"),IPRESS!$A$3:$B$212,2,0),"")</f>
        <v>LEYMEBAMBA</v>
      </c>
      <c r="J42" s="106" t="s">
        <v>755</v>
      </c>
      <c r="K42" s="138" t="str">
        <f aca="false">IFERROR(VLOOKUP(TEXT(O42,"0"),CONDUCTORES!$A$3:$G$100,7,0),"")</f>
        <v/>
      </c>
      <c r="L42" s="50" t="n">
        <v>18.18</v>
      </c>
      <c r="M42" s="50" t="n">
        <v>7</v>
      </c>
      <c r="N42" s="139" t="n">
        <f aca="false">IFERROR(IF(L42*M42=0,"",L42*M42),"")</f>
        <v>127.26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40" t="s">
        <v>1630</v>
      </c>
      <c r="S42" s="107" t="s">
        <v>1631</v>
      </c>
      <c r="T42" s="136"/>
      <c r="U42" s="137" t="n">
        <v>45772</v>
      </c>
      <c r="V42" s="106"/>
      <c r="W42" s="106" t="s">
        <v>785</v>
      </c>
      <c r="X42" s="106" t="s">
        <v>918</v>
      </c>
      <c r="Y42" s="85"/>
    </row>
    <row r="43" customFormat="false" ht="15.75" hidden="false" customHeight="true" outlineLevel="0" collapsed="false">
      <c r="A43" s="46" t="n">
        <v>23</v>
      </c>
      <c r="B43" s="110" t="s">
        <v>1364</v>
      </c>
      <c r="C43" s="46" t="s">
        <v>752</v>
      </c>
      <c r="D43" s="110" t="s">
        <v>1632</v>
      </c>
      <c r="E43" s="46" t="s">
        <v>99</v>
      </c>
      <c r="F43" s="46" t="s">
        <v>1633</v>
      </c>
      <c r="G43" s="142" t="n">
        <v>45745</v>
      </c>
      <c r="H43" s="46" t="s">
        <v>507</v>
      </c>
      <c r="I43" s="138" t="str">
        <f aca="false">IFERROR(VLOOKUP(TEXT(H43,"0"),IPRESS!$A$3:$B$212,2,0),"")</f>
        <v>LEYMEBAMBA</v>
      </c>
      <c r="J43" s="46" t="s">
        <v>755</v>
      </c>
      <c r="K43" s="138" t="str">
        <f aca="false">IFERROR(VLOOKUP(TEXT(O43,"0"),CONDUCTORES!$A$3:$G$100,7,0),"")</f>
        <v/>
      </c>
      <c r="L43" s="44" t="n">
        <v>18.18</v>
      </c>
      <c r="M43" s="44" t="n">
        <v>7</v>
      </c>
      <c r="N43" s="139" t="n">
        <f aca="false">IFERROR(IF(L43*M43=0,"",L43*M43),"")</f>
        <v>127.26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85" t="s">
        <v>1634</v>
      </c>
      <c r="S43" s="110" t="s">
        <v>1635</v>
      </c>
      <c r="T43" s="46"/>
      <c r="U43" s="142" t="n">
        <v>45784</v>
      </c>
      <c r="V43" s="46"/>
      <c r="W43" s="46" t="s">
        <v>785</v>
      </c>
      <c r="X43" s="46" t="s">
        <v>918</v>
      </c>
      <c r="Y43" s="85"/>
    </row>
    <row r="44" customFormat="false" ht="15.75" hidden="false" customHeight="true" outlineLevel="0" collapsed="false">
      <c r="A44" s="106" t="n">
        <v>24</v>
      </c>
      <c r="B44" s="107" t="s">
        <v>1636</v>
      </c>
      <c r="C44" s="106" t="s">
        <v>752</v>
      </c>
      <c r="D44" s="107" t="s">
        <v>1637</v>
      </c>
      <c r="E44" s="136" t="s">
        <v>99</v>
      </c>
      <c r="F44" s="106" t="s">
        <v>1638</v>
      </c>
      <c r="G44" s="137" t="n">
        <v>45743</v>
      </c>
      <c r="H44" s="106" t="s">
        <v>508</v>
      </c>
      <c r="I44" s="138" t="str">
        <f aca="false">IFERROR(VLOOKUP(TEXT(H44,"0"),IPRESS!$A$3:$B$212,2,0),"")</f>
        <v>LIMABAMBA</v>
      </c>
      <c r="J44" s="106" t="s">
        <v>529</v>
      </c>
      <c r="K44" s="138" t="str">
        <f aca="false">IFERROR(VLOOKUP(TEXT(O44,"0"),CONDUCTORES!$A$3:$G$100,7,0),"")</f>
        <v/>
      </c>
      <c r="L44" s="50" t="n">
        <v>20.25</v>
      </c>
      <c r="M44" s="50" t="n">
        <v>8</v>
      </c>
      <c r="N44" s="139" t="n">
        <f aca="false">IFERROR(IF(L44*M44=0,"",L44*M44),"")</f>
        <v>162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37" t="n">
        <v>45828</v>
      </c>
      <c r="S44" s="107" t="s">
        <v>1484</v>
      </c>
      <c r="T44" s="136"/>
      <c r="U44" s="137" t="n">
        <v>45776</v>
      </c>
      <c r="V44" s="106" t="s">
        <v>1639</v>
      </c>
      <c r="W44" s="106"/>
      <c r="X44" s="106"/>
      <c r="Y44" s="85"/>
    </row>
    <row r="45" customFormat="false" ht="15.75" hidden="false" customHeight="true" outlineLevel="0" collapsed="false">
      <c r="A45" s="46" t="n">
        <v>25</v>
      </c>
      <c r="B45" s="110" t="s">
        <v>818</v>
      </c>
      <c r="C45" s="46" t="s">
        <v>752</v>
      </c>
      <c r="D45" s="110" t="s">
        <v>1640</v>
      </c>
      <c r="E45" s="46" t="s">
        <v>99</v>
      </c>
      <c r="F45" s="46" t="s">
        <v>1641</v>
      </c>
      <c r="G45" s="142" t="n">
        <v>45743</v>
      </c>
      <c r="H45" s="46" t="s">
        <v>508</v>
      </c>
      <c r="I45" s="138" t="str">
        <f aca="false">IFERROR(VLOOKUP(TEXT(H45,"0"),IPRESS!$A$3:$B$212,2,0),"")</f>
        <v>LIMABAMBA</v>
      </c>
      <c r="J45" s="46" t="s">
        <v>529</v>
      </c>
      <c r="K45" s="138" t="str">
        <f aca="false">IFERROR(VLOOKUP(TEXT(O45,"0"),CONDUCTORES!$A$3:$G$100,7,0),"")</f>
        <v/>
      </c>
      <c r="L45" s="44" t="n">
        <v>20.25</v>
      </c>
      <c r="M45" s="44" t="n">
        <v>8</v>
      </c>
      <c r="N45" s="139" t="n">
        <f aca="false">IFERROR(IF(L45*M45=0,"",L45*M45),"")</f>
        <v>162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142" t="n">
        <v>45828</v>
      </c>
      <c r="S45" s="110" t="s">
        <v>1642</v>
      </c>
      <c r="T45" s="46"/>
      <c r="U45" s="142" t="n">
        <v>45776</v>
      </c>
      <c r="V45" s="46" t="s">
        <v>1643</v>
      </c>
      <c r="W45" s="46"/>
      <c r="X45" s="46"/>
      <c r="Y45" s="85"/>
    </row>
    <row r="46" customFormat="false" ht="15.75" hidden="false" customHeight="true" outlineLevel="0" collapsed="false">
      <c r="A46" s="106" t="n">
        <v>26</v>
      </c>
      <c r="B46" s="107" t="s">
        <v>1391</v>
      </c>
      <c r="C46" s="106" t="s">
        <v>752</v>
      </c>
      <c r="D46" s="107" t="s">
        <v>1644</v>
      </c>
      <c r="E46" s="136" t="s">
        <v>99</v>
      </c>
      <c r="F46" s="106" t="s">
        <v>1645</v>
      </c>
      <c r="G46" s="137" t="n">
        <v>45719</v>
      </c>
      <c r="H46" s="106" t="s">
        <v>517</v>
      </c>
      <c r="I46" s="138" t="str">
        <f aca="false">IFERROR(VLOOKUP(TEXT(H46,"0"),IPRESS!$A$3:$B$212,2,0),"")</f>
        <v>LUYA</v>
      </c>
      <c r="J46" s="106" t="s">
        <v>755</v>
      </c>
      <c r="K46" s="138" t="str">
        <f aca="false">IFERROR(VLOOKUP(TEXT(O46,"0"),CONDUCTORES!$A$3:$G$100,7,0),"")</f>
        <v/>
      </c>
      <c r="L46" s="50" t="n">
        <v>18.18</v>
      </c>
      <c r="M46" s="50" t="n">
        <v>4</v>
      </c>
      <c r="N46" s="139" t="n">
        <f aca="false">IFERROR(IF(L46*M46=0,"",L46*M46),"")</f>
        <v>72.72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40" t="s">
        <v>1646</v>
      </c>
      <c r="S46" s="107" t="s">
        <v>1295</v>
      </c>
      <c r="T46" s="136"/>
      <c r="U46" s="137" t="n">
        <v>45744</v>
      </c>
      <c r="V46" s="106" t="s">
        <v>1647</v>
      </c>
      <c r="W46" s="106" t="s">
        <v>801</v>
      </c>
      <c r="X46" s="106" t="s">
        <v>794</v>
      </c>
      <c r="Y46" s="85"/>
    </row>
    <row r="47" customFormat="false" ht="15.75" hidden="false" customHeight="true" outlineLevel="0" collapsed="false">
      <c r="A47" s="46" t="n">
        <v>27</v>
      </c>
      <c r="B47" s="110" t="s">
        <v>1540</v>
      </c>
      <c r="C47" s="46" t="s">
        <v>752</v>
      </c>
      <c r="D47" s="110" t="s">
        <v>1648</v>
      </c>
      <c r="E47" s="46" t="s">
        <v>99</v>
      </c>
      <c r="F47" s="46" t="s">
        <v>1649</v>
      </c>
      <c r="G47" s="142" t="n">
        <v>45722</v>
      </c>
      <c r="H47" s="46" t="s">
        <v>517</v>
      </c>
      <c r="I47" s="138" t="str">
        <f aca="false">IFERROR(VLOOKUP(TEXT(H47,"0"),IPRESS!$A$3:$B$212,2,0),"")</f>
        <v>LUYA</v>
      </c>
      <c r="J47" s="46" t="s">
        <v>755</v>
      </c>
      <c r="K47" s="138" t="str">
        <f aca="false">IFERROR(VLOOKUP(TEXT(O47,"0"),CONDUCTORES!$A$3:$G$100,7,0),"")</f>
        <v/>
      </c>
      <c r="L47" s="44" t="n">
        <v>18.18</v>
      </c>
      <c r="M47" s="44" t="n">
        <v>4</v>
      </c>
      <c r="N47" s="139" t="n">
        <f aca="false">IFERROR(IF(L47*M47=0,"",L47*M47),"")</f>
        <v>72.72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85" t="s">
        <v>1650</v>
      </c>
      <c r="S47" s="110" t="s">
        <v>1651</v>
      </c>
      <c r="T47" s="46"/>
      <c r="U47" s="142" t="n">
        <v>45747</v>
      </c>
      <c r="V47" s="46" t="s">
        <v>1647</v>
      </c>
      <c r="W47" s="46" t="s">
        <v>801</v>
      </c>
      <c r="X47" s="46" t="s">
        <v>794</v>
      </c>
      <c r="Y47" s="85"/>
    </row>
    <row r="48" customFormat="false" ht="15.75" hidden="false" customHeight="true" outlineLevel="0" collapsed="false">
      <c r="A48" s="106" t="n">
        <v>25</v>
      </c>
      <c r="B48" s="107" t="s">
        <v>1652</v>
      </c>
      <c r="C48" s="106" t="s">
        <v>752</v>
      </c>
      <c r="D48" s="107" t="s">
        <v>1653</v>
      </c>
      <c r="E48" s="136" t="s">
        <v>99</v>
      </c>
      <c r="F48" s="106" t="s">
        <v>1654</v>
      </c>
      <c r="G48" s="137" t="n">
        <v>45727</v>
      </c>
      <c r="H48" s="106" t="s">
        <v>517</v>
      </c>
      <c r="I48" s="138" t="str">
        <f aca="false">IFERROR(VLOOKUP(TEXT(H48,"0"),IPRESS!$A$3:$B$212,2,0),"")</f>
        <v>LUYA</v>
      </c>
      <c r="J48" s="106" t="s">
        <v>755</v>
      </c>
      <c r="K48" s="138" t="str">
        <f aca="false">IFERROR(VLOOKUP(TEXT(O48,"0"),CONDUCTORES!$A$3:$G$100,7,0),"")</f>
        <v/>
      </c>
      <c r="L48" s="50" t="n">
        <v>18.18</v>
      </c>
      <c r="M48" s="50" t="n">
        <v>4</v>
      </c>
      <c r="N48" s="139" t="n">
        <f aca="false">IFERROR(IF(L48*M48=0,"",L48*M48),"")</f>
        <v>72.72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40" t="s">
        <v>1655</v>
      </c>
      <c r="S48" s="107" t="s">
        <v>1656</v>
      </c>
      <c r="T48" s="136"/>
      <c r="U48" s="137" t="n">
        <v>45756</v>
      </c>
      <c r="V48" s="106" t="s">
        <v>1647</v>
      </c>
      <c r="W48" s="106" t="s">
        <v>801</v>
      </c>
      <c r="X48" s="106" t="s">
        <v>794</v>
      </c>
      <c r="Y48" s="85"/>
    </row>
    <row r="49" customFormat="false" ht="15.75" hidden="false" customHeight="true" outlineLevel="0" collapsed="false">
      <c r="A49" s="46" t="n">
        <v>26</v>
      </c>
      <c r="B49" s="110" t="s">
        <v>1544</v>
      </c>
      <c r="C49" s="46" t="s">
        <v>752</v>
      </c>
      <c r="D49" s="110" t="s">
        <v>1657</v>
      </c>
      <c r="E49" s="46" t="s">
        <v>99</v>
      </c>
      <c r="F49" s="46" t="s">
        <v>1658</v>
      </c>
      <c r="G49" s="142" t="n">
        <v>45728</v>
      </c>
      <c r="H49" s="46" t="s">
        <v>517</v>
      </c>
      <c r="I49" s="138" t="str">
        <f aca="false">IFERROR(VLOOKUP(TEXT(H49,"0"),IPRESS!$A$3:$B$212,2,0),"")</f>
        <v>LUYA</v>
      </c>
      <c r="J49" s="46" t="s">
        <v>755</v>
      </c>
      <c r="K49" s="138" t="str">
        <f aca="false">IFERROR(VLOOKUP(TEXT(O49,"0"),CONDUCTORES!$A$3:$G$100,7,0),"")</f>
        <v/>
      </c>
      <c r="L49" s="44" t="n">
        <v>18.18</v>
      </c>
      <c r="M49" s="44" t="n">
        <v>4</v>
      </c>
      <c r="N49" s="139" t="n">
        <f aca="false">IFERROR(IF(L49*M49=0,"",L49*M49),"")</f>
        <v>72.72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85" t="s">
        <v>1659</v>
      </c>
      <c r="S49" s="110" t="s">
        <v>1295</v>
      </c>
      <c r="T49" s="46"/>
      <c r="U49" s="142" t="n">
        <v>45758</v>
      </c>
      <c r="V49" s="46" t="s">
        <v>1647</v>
      </c>
      <c r="W49" s="46" t="s">
        <v>801</v>
      </c>
      <c r="X49" s="46" t="s">
        <v>794</v>
      </c>
      <c r="Y49" s="85"/>
    </row>
    <row r="50" customFormat="false" ht="15.75" hidden="false" customHeight="true" outlineLevel="0" collapsed="false">
      <c r="A50" s="106" t="n">
        <v>27</v>
      </c>
      <c r="B50" s="107" t="s">
        <v>1660</v>
      </c>
      <c r="C50" s="106" t="s">
        <v>752</v>
      </c>
      <c r="D50" s="107" t="s">
        <v>1661</v>
      </c>
      <c r="E50" s="136" t="s">
        <v>99</v>
      </c>
      <c r="F50" s="106" t="s">
        <v>1662</v>
      </c>
      <c r="G50" s="137" t="n">
        <v>45738</v>
      </c>
      <c r="H50" s="106" t="s">
        <v>517</v>
      </c>
      <c r="I50" s="138" t="str">
        <f aca="false">IFERROR(VLOOKUP(TEXT(H50,"0"),IPRESS!$A$3:$B$212,2,0),"")</f>
        <v>LUYA</v>
      </c>
      <c r="J50" s="106" t="s">
        <v>755</v>
      </c>
      <c r="K50" s="138" t="str">
        <f aca="false">IFERROR(VLOOKUP(TEXT(O50,"0"),CONDUCTORES!$A$3:$G$100,7,0),"")</f>
        <v/>
      </c>
      <c r="L50" s="50" t="n">
        <v>18.18</v>
      </c>
      <c r="M50" s="50" t="n">
        <v>4</v>
      </c>
      <c r="N50" s="139" t="n">
        <f aca="false">IFERROR(IF(L50*M50=0,"",L50*M50),"")</f>
        <v>72.72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40" t="s">
        <v>1663</v>
      </c>
      <c r="S50" s="107" t="s">
        <v>1664</v>
      </c>
      <c r="T50" s="136"/>
      <c r="U50" s="137" t="n">
        <v>45768</v>
      </c>
      <c r="V50" s="106" t="s">
        <v>1647</v>
      </c>
      <c r="W50" s="106" t="s">
        <v>801</v>
      </c>
      <c r="X50" s="106" t="s">
        <v>794</v>
      </c>
      <c r="Y50" s="85"/>
    </row>
    <row r="51" customFormat="false" ht="15.75" hidden="false" customHeight="true" outlineLevel="0" collapsed="false">
      <c r="A51" s="46" t="n">
        <v>28</v>
      </c>
      <c r="B51" s="110" t="s">
        <v>1665</v>
      </c>
      <c r="C51" s="46" t="s">
        <v>752</v>
      </c>
      <c r="D51" s="110" t="s">
        <v>1666</v>
      </c>
      <c r="E51" s="46" t="s">
        <v>99</v>
      </c>
      <c r="F51" s="46" t="s">
        <v>1667</v>
      </c>
      <c r="G51" s="142" t="n">
        <v>45738</v>
      </c>
      <c r="H51" s="46" t="s">
        <v>517</v>
      </c>
      <c r="I51" s="138" t="str">
        <f aca="false">IFERROR(VLOOKUP(TEXT(H51,"0"),IPRESS!$A$3:$B$212,2,0),"")</f>
        <v>LUYA</v>
      </c>
      <c r="J51" s="46" t="s">
        <v>755</v>
      </c>
      <c r="K51" s="138" t="str">
        <f aca="false">IFERROR(VLOOKUP(TEXT(O51,"0"),CONDUCTORES!$A$3:$G$100,7,0),"")</f>
        <v/>
      </c>
      <c r="L51" s="44" t="n">
        <v>18.18</v>
      </c>
      <c r="M51" s="44" t="n">
        <v>4</v>
      </c>
      <c r="N51" s="139" t="n">
        <f aca="false">IFERROR(IF(L51*M51=0,"",L51*M51),"")</f>
        <v>72.72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85" t="s">
        <v>1668</v>
      </c>
      <c r="S51" s="110" t="s">
        <v>1669</v>
      </c>
      <c r="T51" s="46"/>
      <c r="U51" s="142" t="n">
        <v>45768</v>
      </c>
      <c r="V51" s="46" t="s">
        <v>1647</v>
      </c>
      <c r="W51" s="46" t="s">
        <v>801</v>
      </c>
      <c r="X51" s="46" t="s">
        <v>794</v>
      </c>
      <c r="Y51" s="85"/>
    </row>
    <row r="52" customFormat="false" ht="15.75" hidden="false" customHeight="true" outlineLevel="0" collapsed="false">
      <c r="A52" s="106" t="n">
        <v>29</v>
      </c>
      <c r="B52" s="107" t="s">
        <v>1537</v>
      </c>
      <c r="C52" s="106" t="s">
        <v>752</v>
      </c>
      <c r="D52" s="107" t="s">
        <v>1670</v>
      </c>
      <c r="E52" s="136" t="s">
        <v>99</v>
      </c>
      <c r="F52" s="106" t="s">
        <v>1671</v>
      </c>
      <c r="G52" s="137" t="n">
        <v>45735</v>
      </c>
      <c r="H52" s="106" t="s">
        <v>517</v>
      </c>
      <c r="I52" s="138" t="str">
        <f aca="false">IFERROR(VLOOKUP(TEXT(H52,"0"),IPRESS!$A$3:$B$212,2,0),"")</f>
        <v>LUYA</v>
      </c>
      <c r="J52" s="106" t="s">
        <v>755</v>
      </c>
      <c r="K52" s="138" t="str">
        <f aca="false">IFERROR(VLOOKUP(TEXT(O52,"0"),CONDUCTORES!$A$3:$G$100,7,0),"")</f>
        <v/>
      </c>
      <c r="L52" s="50" t="n">
        <v>18.18</v>
      </c>
      <c r="M52" s="50" t="n">
        <v>4</v>
      </c>
      <c r="N52" s="139" t="n">
        <f aca="false">IFERROR(IF(L52*M52=0,"",L52*M52),"")</f>
        <v>72.72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40" t="s">
        <v>1672</v>
      </c>
      <c r="S52" s="107" t="s">
        <v>1673</v>
      </c>
      <c r="T52" s="136"/>
      <c r="U52" s="137" t="n">
        <v>45768</v>
      </c>
      <c r="V52" s="106" t="s">
        <v>1647</v>
      </c>
      <c r="W52" s="106" t="s">
        <v>801</v>
      </c>
      <c r="X52" s="106" t="s">
        <v>794</v>
      </c>
      <c r="Y52" s="85"/>
    </row>
    <row r="53" customFormat="false" ht="15.75" hidden="false" customHeight="true" outlineLevel="0" collapsed="false">
      <c r="A53" s="46" t="n">
        <v>30</v>
      </c>
      <c r="B53" s="110" t="s">
        <v>1674</v>
      </c>
      <c r="C53" s="46" t="s">
        <v>752</v>
      </c>
      <c r="D53" s="110" t="s">
        <v>1675</v>
      </c>
      <c r="E53" s="46" t="s">
        <v>99</v>
      </c>
      <c r="F53" s="46" t="s">
        <v>1676</v>
      </c>
      <c r="G53" s="142" t="n">
        <v>45743</v>
      </c>
      <c r="H53" s="46" t="s">
        <v>517</v>
      </c>
      <c r="I53" s="138" t="str">
        <f aca="false">IFERROR(VLOOKUP(TEXT(H53,"0"),IPRESS!$A$3:$B$212,2,0),"")</f>
        <v>LUYA</v>
      </c>
      <c r="J53" s="46" t="s">
        <v>755</v>
      </c>
      <c r="K53" s="138" t="str">
        <f aca="false">IFERROR(VLOOKUP(TEXT(O53,"0"),CONDUCTORES!$A$3:$G$100,7,0),"")</f>
        <v/>
      </c>
      <c r="L53" s="44" t="n">
        <v>18.18</v>
      </c>
      <c r="M53" s="44" t="n">
        <v>4</v>
      </c>
      <c r="N53" s="139" t="n">
        <f aca="false">IFERROR(IF(L53*M53=0,"",L53*M53),"")</f>
        <v>72.72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85" t="s">
        <v>1677</v>
      </c>
      <c r="S53" s="110" t="s">
        <v>1678</v>
      </c>
      <c r="T53" s="46"/>
      <c r="U53" s="142" t="n">
        <v>45776</v>
      </c>
      <c r="V53" s="46" t="s">
        <v>1647</v>
      </c>
      <c r="W53" s="46" t="s">
        <v>801</v>
      </c>
      <c r="X53" s="46" t="s">
        <v>794</v>
      </c>
      <c r="Y53" s="85"/>
    </row>
    <row r="54" customFormat="false" ht="15.75" hidden="false" customHeight="true" outlineLevel="0" collapsed="false">
      <c r="A54" s="106" t="n">
        <v>31</v>
      </c>
      <c r="B54" s="107" t="s">
        <v>1679</v>
      </c>
      <c r="C54" s="106" t="s">
        <v>752</v>
      </c>
      <c r="D54" s="107" t="s">
        <v>1680</v>
      </c>
      <c r="E54" s="136" t="s">
        <v>99</v>
      </c>
      <c r="F54" s="106" t="s">
        <v>1681</v>
      </c>
      <c r="G54" s="137" t="n">
        <v>45746</v>
      </c>
      <c r="H54" s="106" t="s">
        <v>517</v>
      </c>
      <c r="I54" s="138" t="str">
        <f aca="false">IFERROR(VLOOKUP(TEXT(H54,"0"),IPRESS!$A$3:$B$212,2,0),"")</f>
        <v>LUYA</v>
      </c>
      <c r="J54" s="106" t="s">
        <v>755</v>
      </c>
      <c r="K54" s="138" t="str">
        <f aca="false">IFERROR(VLOOKUP(TEXT(O54,"0"),CONDUCTORES!$A$3:$G$100,7,0),"")</f>
        <v/>
      </c>
      <c r="L54" s="50" t="n">
        <v>18.18</v>
      </c>
      <c r="M54" s="50" t="n">
        <v>4</v>
      </c>
      <c r="N54" s="139" t="n">
        <f aca="false">IFERROR(IF(L54*M54=0,"",L54*M54),"")</f>
        <v>72.72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40" t="s">
        <v>1682</v>
      </c>
      <c r="S54" s="107" t="s">
        <v>1683</v>
      </c>
      <c r="T54" s="136"/>
      <c r="U54" s="137" t="n">
        <v>45776</v>
      </c>
      <c r="V54" s="106" t="s">
        <v>1647</v>
      </c>
      <c r="W54" s="106" t="s">
        <v>801</v>
      </c>
      <c r="X54" s="106" t="s">
        <v>794</v>
      </c>
      <c r="Y54" s="85"/>
    </row>
    <row r="55" customFormat="false" ht="15.75" hidden="false" customHeight="true" outlineLevel="0" collapsed="false">
      <c r="A55" s="46" t="n">
        <v>29</v>
      </c>
      <c r="B55" s="110" t="s">
        <v>1684</v>
      </c>
      <c r="C55" s="46" t="s">
        <v>752</v>
      </c>
      <c r="D55" s="110" t="s">
        <v>1685</v>
      </c>
      <c r="E55" s="46" t="s">
        <v>99</v>
      </c>
      <c r="F55" s="46" t="s">
        <v>1686</v>
      </c>
      <c r="G55" s="142" t="n">
        <v>45746</v>
      </c>
      <c r="H55" s="46" t="s">
        <v>517</v>
      </c>
      <c r="I55" s="138" t="str">
        <f aca="false">IFERROR(VLOOKUP(TEXT(H55,"0"),IPRESS!$A$3:$B$212,2,0),"")</f>
        <v>LUYA</v>
      </c>
      <c r="J55" s="46" t="s">
        <v>755</v>
      </c>
      <c r="K55" s="138" t="str">
        <f aca="false">IFERROR(VLOOKUP(TEXT(O55,"0"),CONDUCTORES!$A$3:$G$100,7,0),"")</f>
        <v/>
      </c>
      <c r="L55" s="44" t="n">
        <v>18.18</v>
      </c>
      <c r="M55" s="44" t="n">
        <v>4</v>
      </c>
      <c r="N55" s="139" t="n">
        <f aca="false">IFERROR(IF(L55*M55=0,"",L55*M55),"")</f>
        <v>72.72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85" t="s">
        <v>1687</v>
      </c>
      <c r="S55" s="110" t="s">
        <v>1688</v>
      </c>
      <c r="T55" s="46"/>
      <c r="U55" s="142" t="n">
        <v>45776</v>
      </c>
      <c r="V55" s="46" t="s">
        <v>1647</v>
      </c>
      <c r="W55" s="46" t="s">
        <v>801</v>
      </c>
      <c r="X55" s="46" t="s">
        <v>794</v>
      </c>
      <c r="Y55" s="85"/>
    </row>
    <row r="56" customFormat="false" ht="15.75" hidden="false" customHeight="true" outlineLevel="0" collapsed="false">
      <c r="A56" s="106" t="n">
        <v>30</v>
      </c>
      <c r="B56" s="107" t="s">
        <v>1525</v>
      </c>
      <c r="C56" s="106" t="s">
        <v>752</v>
      </c>
      <c r="D56" s="107" t="s">
        <v>1689</v>
      </c>
      <c r="E56" s="136" t="s">
        <v>99</v>
      </c>
      <c r="F56" s="106" t="s">
        <v>1690</v>
      </c>
      <c r="G56" s="137" t="n">
        <v>45729</v>
      </c>
      <c r="H56" s="106" t="s">
        <v>528</v>
      </c>
      <c r="I56" s="138" t="str">
        <f aca="false">IFERROR(VLOOKUP(TEXT(H56,"0"),IPRESS!$A$3:$B$212,2,0),"")</f>
        <v>MARIA</v>
      </c>
      <c r="J56" s="106" t="s">
        <v>755</v>
      </c>
      <c r="K56" s="138" t="str">
        <f aca="false">IFERROR(VLOOKUP(TEXT(O56,"0"),CONDUCTORES!$A$3:$G$100,7,0),"")</f>
        <v/>
      </c>
      <c r="L56" s="50" t="n">
        <v>18.18</v>
      </c>
      <c r="M56" s="50" t="n">
        <v>20</v>
      </c>
      <c r="N56" s="139" t="n">
        <f aca="false">IFERROR(IF(L56*M56=0,"",L56*M56),"")</f>
        <v>363.6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40" t="s">
        <v>1288</v>
      </c>
      <c r="S56" s="107" t="s">
        <v>1691</v>
      </c>
      <c r="T56" s="136"/>
      <c r="U56" s="137" t="n">
        <v>45758</v>
      </c>
      <c r="V56" s="106"/>
      <c r="W56" s="106" t="s">
        <v>801</v>
      </c>
      <c r="X56" s="106" t="s">
        <v>794</v>
      </c>
      <c r="Y56" s="85"/>
    </row>
    <row r="57" customFormat="false" ht="15.75" hidden="false" customHeight="true" outlineLevel="0" collapsed="false">
      <c r="A57" s="46" t="n">
        <v>31</v>
      </c>
      <c r="B57" s="110" t="s">
        <v>1692</v>
      </c>
      <c r="C57" s="46" t="s">
        <v>752</v>
      </c>
      <c r="D57" s="110" t="s">
        <v>1693</v>
      </c>
      <c r="E57" s="46" t="s">
        <v>99</v>
      </c>
      <c r="F57" s="46" t="s">
        <v>1694</v>
      </c>
      <c r="G57" s="142" t="n">
        <v>45718</v>
      </c>
      <c r="H57" s="46" t="s">
        <v>529</v>
      </c>
      <c r="I57" s="138" t="str">
        <f aca="false">IFERROR(VLOOKUP(TEXT(H57,"0"),IPRESS!$A$3:$B$212,2,0),"")</f>
        <v>MARIA AUXILIADORA</v>
      </c>
      <c r="J57" s="46" t="s">
        <v>755</v>
      </c>
      <c r="K57" s="138" t="str">
        <f aca="false">IFERROR(VLOOKUP(TEXT(O57,"0"),CONDUCTORES!$A$3:$G$100,7,0),"")</f>
        <v/>
      </c>
      <c r="L57" s="44" t="n">
        <v>20.25</v>
      </c>
      <c r="M57" s="44" t="n">
        <v>7</v>
      </c>
      <c r="N57" s="139" t="n">
        <f aca="false">IFERROR(IF(L57*M57=0,"",L57*M57),"")</f>
        <v>141.75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85" t="s">
        <v>1317</v>
      </c>
      <c r="S57" s="110" t="s">
        <v>815</v>
      </c>
      <c r="T57" s="46"/>
      <c r="U57" s="142" t="n">
        <v>45744</v>
      </c>
      <c r="V57" s="46"/>
      <c r="W57" s="46" t="s">
        <v>760</v>
      </c>
      <c r="X57" s="46" t="s">
        <v>761</v>
      </c>
      <c r="Y57" s="85"/>
    </row>
    <row r="58" customFormat="false" ht="15.75" hidden="false" customHeight="true" outlineLevel="0" collapsed="false">
      <c r="A58" s="106" t="n">
        <v>32</v>
      </c>
      <c r="B58" s="107" t="s">
        <v>1695</v>
      </c>
      <c r="C58" s="106" t="s">
        <v>752</v>
      </c>
      <c r="D58" s="107" t="s">
        <v>1696</v>
      </c>
      <c r="E58" s="136" t="s">
        <v>99</v>
      </c>
      <c r="F58" s="106" t="s">
        <v>1697</v>
      </c>
      <c r="G58" s="137" t="n">
        <v>45717</v>
      </c>
      <c r="H58" s="106" t="s">
        <v>529</v>
      </c>
      <c r="I58" s="138" t="str">
        <f aca="false">IFERROR(VLOOKUP(TEXT(H58,"0"),IPRESS!$A$3:$B$212,2,0),"")</f>
        <v>MARIA AUXILIADORA</v>
      </c>
      <c r="J58" s="106" t="s">
        <v>755</v>
      </c>
      <c r="K58" s="138" t="str">
        <f aca="false">IFERROR(VLOOKUP(TEXT(O58,"0"),CONDUCTORES!$A$3:$G$100,7,0),"")</f>
        <v/>
      </c>
      <c r="L58" s="50" t="n">
        <v>20.25</v>
      </c>
      <c r="M58" s="50" t="n">
        <v>7</v>
      </c>
      <c r="N58" s="139" t="n">
        <f aca="false">IFERROR(IF(L58*M58=0,"",L58*M58),"")</f>
        <v>141.75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40" t="s">
        <v>1317</v>
      </c>
      <c r="S58" s="107" t="s">
        <v>1521</v>
      </c>
      <c r="T58" s="136"/>
      <c r="U58" s="137" t="n">
        <v>45744</v>
      </c>
      <c r="V58" s="106"/>
      <c r="W58" s="106" t="s">
        <v>760</v>
      </c>
      <c r="X58" s="106" t="s">
        <v>761</v>
      </c>
      <c r="Y58" s="85"/>
    </row>
    <row r="59" customFormat="false" ht="15.75" hidden="false" customHeight="true" outlineLevel="0" collapsed="false">
      <c r="A59" s="46" t="n">
        <v>33</v>
      </c>
      <c r="B59" s="110" t="s">
        <v>1698</v>
      </c>
      <c r="C59" s="46" t="s">
        <v>752</v>
      </c>
      <c r="D59" s="110" t="s">
        <v>1699</v>
      </c>
      <c r="E59" s="46" t="s">
        <v>99</v>
      </c>
      <c r="F59" s="46" t="s">
        <v>1700</v>
      </c>
      <c r="G59" s="142" t="n">
        <v>45720</v>
      </c>
      <c r="H59" s="46" t="s">
        <v>529</v>
      </c>
      <c r="I59" s="138" t="str">
        <f aca="false">IFERROR(VLOOKUP(TEXT(H59,"0"),IPRESS!$A$3:$B$212,2,0),"")</f>
        <v>MARIA AUXILIADORA</v>
      </c>
      <c r="J59" s="46" t="s">
        <v>755</v>
      </c>
      <c r="K59" s="138" t="str">
        <f aca="false">IFERROR(VLOOKUP(TEXT(O59,"0"),CONDUCTORES!$A$3:$G$100,7,0),"")</f>
        <v/>
      </c>
      <c r="L59" s="44" t="n">
        <v>20.25</v>
      </c>
      <c r="M59" s="44" t="n">
        <v>7</v>
      </c>
      <c r="N59" s="139" t="n">
        <f aca="false">IFERROR(IF(L59*M59=0,"",L59*M59),"")</f>
        <v>141.75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85" t="s">
        <v>1317</v>
      </c>
      <c r="S59" s="110" t="s">
        <v>891</v>
      </c>
      <c r="T59" s="46"/>
      <c r="U59" s="142" t="n">
        <v>45744</v>
      </c>
      <c r="V59" s="46"/>
      <c r="W59" s="46" t="s">
        <v>760</v>
      </c>
      <c r="X59" s="46" t="s">
        <v>761</v>
      </c>
      <c r="Y59" s="85"/>
    </row>
    <row r="60" customFormat="false" ht="15.75" hidden="false" customHeight="true" outlineLevel="0" collapsed="false">
      <c r="A60" s="106" t="n">
        <v>34</v>
      </c>
      <c r="B60" s="107" t="s">
        <v>1701</v>
      </c>
      <c r="C60" s="106" t="s">
        <v>752</v>
      </c>
      <c r="D60" s="107" t="s">
        <v>1702</v>
      </c>
      <c r="E60" s="136" t="s">
        <v>99</v>
      </c>
      <c r="F60" s="106" t="s">
        <v>1703</v>
      </c>
      <c r="G60" s="137" t="n">
        <v>45721</v>
      </c>
      <c r="H60" s="106" t="s">
        <v>529</v>
      </c>
      <c r="I60" s="138" t="str">
        <f aca="false">IFERROR(VLOOKUP(TEXT(H60,"0"),IPRESS!$A$3:$B$212,2,0),"")</f>
        <v>MARIA AUXILIADORA</v>
      </c>
      <c r="J60" s="106" t="s">
        <v>755</v>
      </c>
      <c r="K60" s="138" t="str">
        <f aca="false">IFERROR(VLOOKUP(TEXT(O60,"0"),CONDUCTORES!$A$3:$G$100,7,0),"")</f>
        <v/>
      </c>
      <c r="L60" s="50" t="n">
        <v>20.25</v>
      </c>
      <c r="M60" s="50" t="n">
        <v>7</v>
      </c>
      <c r="N60" s="139" t="n">
        <f aca="false">IFERROR(IF(L60*M60=0,"",L60*M60),"")</f>
        <v>141.75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40" t="s">
        <v>1317</v>
      </c>
      <c r="S60" s="107" t="s">
        <v>1704</v>
      </c>
      <c r="T60" s="136"/>
      <c r="U60" s="137" t="n">
        <v>45747</v>
      </c>
      <c r="V60" s="106"/>
      <c r="W60" s="106" t="s">
        <v>760</v>
      </c>
      <c r="X60" s="106" t="s">
        <v>761</v>
      </c>
      <c r="Y60" s="85"/>
    </row>
    <row r="61" customFormat="false" ht="15.75" hidden="false" customHeight="true" outlineLevel="0" collapsed="false">
      <c r="A61" s="46" t="n">
        <v>35</v>
      </c>
      <c r="B61" s="110" t="s">
        <v>1705</v>
      </c>
      <c r="C61" s="46" t="s">
        <v>752</v>
      </c>
      <c r="D61" s="110" t="s">
        <v>1706</v>
      </c>
      <c r="E61" s="46" t="s">
        <v>99</v>
      </c>
      <c r="F61" s="46" t="s">
        <v>1707</v>
      </c>
      <c r="G61" s="142" t="n">
        <v>45724</v>
      </c>
      <c r="H61" s="46" t="s">
        <v>529</v>
      </c>
      <c r="I61" s="138" t="str">
        <f aca="false">IFERROR(VLOOKUP(TEXT(H61,"0"),IPRESS!$A$3:$B$212,2,0),"")</f>
        <v>MARIA AUXILIADORA</v>
      </c>
      <c r="J61" s="46" t="s">
        <v>755</v>
      </c>
      <c r="K61" s="138" t="str">
        <f aca="false">IFERROR(VLOOKUP(TEXT(O61,"0"),CONDUCTORES!$A$3:$G$100,7,0),"")</f>
        <v/>
      </c>
      <c r="L61" s="44" t="n">
        <v>20.25</v>
      </c>
      <c r="M61" s="44" t="n">
        <v>7</v>
      </c>
      <c r="N61" s="139" t="n">
        <f aca="false">IFERROR(IF(L61*M61=0,"",L61*M61),"")</f>
        <v>141.75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85" t="s">
        <v>1317</v>
      </c>
      <c r="S61" s="110" t="s">
        <v>1708</v>
      </c>
      <c r="T61" s="46"/>
      <c r="U61" s="142" t="n">
        <v>45747</v>
      </c>
      <c r="V61" s="46"/>
      <c r="W61" s="46" t="s">
        <v>760</v>
      </c>
      <c r="X61" s="46" t="s">
        <v>761</v>
      </c>
      <c r="Y61" s="85"/>
    </row>
    <row r="62" customFormat="false" ht="15.75" hidden="false" customHeight="true" outlineLevel="0" collapsed="false">
      <c r="A62" s="106" t="n">
        <v>33</v>
      </c>
      <c r="B62" s="107" t="s">
        <v>1709</v>
      </c>
      <c r="C62" s="106" t="s">
        <v>752</v>
      </c>
      <c r="D62" s="107" t="s">
        <v>1710</v>
      </c>
      <c r="E62" s="136" t="s">
        <v>99</v>
      </c>
      <c r="F62" s="106" t="s">
        <v>1711</v>
      </c>
      <c r="G62" s="137" t="n">
        <v>45723</v>
      </c>
      <c r="H62" s="106" t="s">
        <v>529</v>
      </c>
      <c r="I62" s="138" t="str">
        <f aca="false">IFERROR(VLOOKUP(TEXT(H62,"0"),IPRESS!$A$3:$B$212,2,0),"")</f>
        <v>MARIA AUXILIADORA</v>
      </c>
      <c r="J62" s="106" t="s">
        <v>755</v>
      </c>
      <c r="K62" s="138" t="str">
        <f aca="false">IFERROR(VLOOKUP(TEXT(O62,"0"),CONDUCTORES!$A$3:$G$100,7,0),"")</f>
        <v/>
      </c>
      <c r="L62" s="50" t="n">
        <v>20.25</v>
      </c>
      <c r="M62" s="50" t="n">
        <v>7</v>
      </c>
      <c r="N62" s="139" t="n">
        <f aca="false">IFERROR(IF(L62*M62=0,"",L62*M62),"")</f>
        <v>141.75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40" t="s">
        <v>1317</v>
      </c>
      <c r="S62" s="107" t="s">
        <v>1712</v>
      </c>
      <c r="T62" s="136"/>
      <c r="U62" s="137" t="n">
        <v>45749</v>
      </c>
      <c r="V62" s="106"/>
      <c r="W62" s="106" t="s">
        <v>760</v>
      </c>
      <c r="X62" s="106" t="s">
        <v>761</v>
      </c>
      <c r="Y62" s="85"/>
    </row>
    <row r="63" customFormat="false" ht="15.75" hidden="false" customHeight="true" outlineLevel="0" collapsed="false">
      <c r="A63" s="46" t="n">
        <v>34</v>
      </c>
      <c r="B63" s="110" t="s">
        <v>1713</v>
      </c>
      <c r="C63" s="46" t="s">
        <v>752</v>
      </c>
      <c r="D63" s="110" t="s">
        <v>1714</v>
      </c>
      <c r="E63" s="46" t="s">
        <v>99</v>
      </c>
      <c r="F63" s="46" t="s">
        <v>1715</v>
      </c>
      <c r="G63" s="142" t="n">
        <v>45727</v>
      </c>
      <c r="H63" s="46" t="s">
        <v>529</v>
      </c>
      <c r="I63" s="138" t="str">
        <f aca="false">IFERROR(VLOOKUP(TEXT(H63,"0"),IPRESS!$A$3:$B$212,2,0),"")</f>
        <v>MARIA AUXILIADORA</v>
      </c>
      <c r="J63" s="46" t="s">
        <v>755</v>
      </c>
      <c r="K63" s="138" t="str">
        <f aca="false">IFERROR(VLOOKUP(TEXT(O63,"0"),CONDUCTORES!$A$3:$G$100,7,0),"")</f>
        <v/>
      </c>
      <c r="L63" s="44" t="n">
        <v>20.25</v>
      </c>
      <c r="M63" s="44" t="n">
        <v>7</v>
      </c>
      <c r="N63" s="139" t="n">
        <f aca="false">IFERROR(IF(L63*M63=0,"",L63*M63),"")</f>
        <v>141.75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85" t="s">
        <v>1317</v>
      </c>
      <c r="S63" s="110" t="s">
        <v>1716</v>
      </c>
      <c r="T63" s="46"/>
      <c r="U63" s="142" t="n">
        <v>45756</v>
      </c>
      <c r="V63" s="46"/>
      <c r="W63" s="46" t="s">
        <v>760</v>
      </c>
      <c r="X63" s="46" t="s">
        <v>761</v>
      </c>
      <c r="Y63" s="85"/>
    </row>
    <row r="64" customFormat="false" ht="15.75" hidden="false" customHeight="true" outlineLevel="0" collapsed="false">
      <c r="A64" s="106" t="n">
        <v>35</v>
      </c>
      <c r="B64" s="107" t="s">
        <v>1717</v>
      </c>
      <c r="C64" s="106" t="s">
        <v>752</v>
      </c>
      <c r="D64" s="107" t="s">
        <v>1718</v>
      </c>
      <c r="E64" s="136" t="s">
        <v>99</v>
      </c>
      <c r="F64" s="106" t="s">
        <v>1719</v>
      </c>
      <c r="G64" s="137" t="n">
        <v>45729</v>
      </c>
      <c r="H64" s="106" t="s">
        <v>529</v>
      </c>
      <c r="I64" s="138" t="str">
        <f aca="false">IFERROR(VLOOKUP(TEXT(H64,"0"),IPRESS!$A$3:$B$212,2,0),"")</f>
        <v>MARIA AUXILIADORA</v>
      </c>
      <c r="J64" s="106" t="s">
        <v>755</v>
      </c>
      <c r="K64" s="138" t="str">
        <f aca="false">IFERROR(VLOOKUP(TEXT(O64,"0"),CONDUCTORES!$A$3:$G$100,7,0),"")</f>
        <v/>
      </c>
      <c r="L64" s="50" t="n">
        <v>20.25</v>
      </c>
      <c r="M64" s="50" t="n">
        <v>7</v>
      </c>
      <c r="N64" s="139" t="n">
        <f aca="false">IFERROR(IF(L64*M64=0,"",L64*M64),"")</f>
        <v>141.75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40" t="s">
        <v>1317</v>
      </c>
      <c r="S64" s="107" t="s">
        <v>891</v>
      </c>
      <c r="T64" s="136"/>
      <c r="U64" s="137" t="n">
        <v>45758</v>
      </c>
      <c r="V64" s="106"/>
      <c r="W64" s="106" t="s">
        <v>760</v>
      </c>
      <c r="X64" s="106" t="s">
        <v>761</v>
      </c>
      <c r="Y64" s="85"/>
    </row>
    <row r="65" customFormat="false" ht="15.75" hidden="false" customHeight="true" outlineLevel="0" collapsed="false">
      <c r="A65" s="46" t="n">
        <v>36</v>
      </c>
      <c r="B65" s="110" t="s">
        <v>1720</v>
      </c>
      <c r="C65" s="46" t="s">
        <v>752</v>
      </c>
      <c r="D65" s="110" t="s">
        <v>1721</v>
      </c>
      <c r="E65" s="46" t="s">
        <v>99</v>
      </c>
      <c r="F65" s="46" t="s">
        <v>1722</v>
      </c>
      <c r="G65" s="142" t="n">
        <v>45730</v>
      </c>
      <c r="H65" s="46" t="s">
        <v>529</v>
      </c>
      <c r="I65" s="138" t="str">
        <f aca="false">IFERROR(VLOOKUP(TEXT(H65,"0"),IPRESS!$A$3:$B$212,2,0),"")</f>
        <v>MARIA AUXILIADORA</v>
      </c>
      <c r="J65" s="46" t="s">
        <v>755</v>
      </c>
      <c r="K65" s="138" t="str">
        <f aca="false">IFERROR(VLOOKUP(TEXT(O65,"0"),CONDUCTORES!$A$3:$G$100,7,0),"")</f>
        <v/>
      </c>
      <c r="L65" s="44" t="n">
        <v>20.25</v>
      </c>
      <c r="M65" s="44" t="n">
        <v>7</v>
      </c>
      <c r="N65" s="139" t="n">
        <f aca="false">IFERROR(IF(L65*M65=0,"",L65*M65),"")</f>
        <v>141.75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85" t="s">
        <v>1317</v>
      </c>
      <c r="S65" s="110" t="s">
        <v>1723</v>
      </c>
      <c r="T65" s="46"/>
      <c r="U65" s="142" t="n">
        <v>45758</v>
      </c>
      <c r="V65" s="46"/>
      <c r="W65" s="46" t="s">
        <v>760</v>
      </c>
      <c r="X65" s="46" t="s">
        <v>761</v>
      </c>
      <c r="Y65" s="85"/>
    </row>
    <row r="66" customFormat="false" ht="15.75" hidden="false" customHeight="true" outlineLevel="0" collapsed="false">
      <c r="A66" s="106" t="n">
        <v>37</v>
      </c>
      <c r="B66" s="107" t="s">
        <v>1724</v>
      </c>
      <c r="C66" s="106" t="s">
        <v>752</v>
      </c>
      <c r="D66" s="107" t="s">
        <v>1725</v>
      </c>
      <c r="E66" s="136" t="s">
        <v>99</v>
      </c>
      <c r="F66" s="106" t="s">
        <v>1726</v>
      </c>
      <c r="G66" s="137" t="n">
        <v>45736</v>
      </c>
      <c r="H66" s="106" t="s">
        <v>529</v>
      </c>
      <c r="I66" s="138" t="str">
        <f aca="false">IFERROR(VLOOKUP(TEXT(H66,"0"),IPRESS!$A$3:$B$212,2,0),"")</f>
        <v>MARIA AUXILIADORA</v>
      </c>
      <c r="J66" s="106" t="s">
        <v>755</v>
      </c>
      <c r="K66" s="138" t="str">
        <f aca="false">IFERROR(VLOOKUP(TEXT(O66,"0"),CONDUCTORES!$A$3:$G$100,7,0),"")</f>
        <v/>
      </c>
      <c r="L66" s="50" t="n">
        <v>20.25</v>
      </c>
      <c r="M66" s="50" t="n">
        <v>7</v>
      </c>
      <c r="N66" s="139" t="n">
        <f aca="false">IFERROR(IF(L66*M66=0,"",L66*M66),"")</f>
        <v>141.75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40" t="s">
        <v>1317</v>
      </c>
      <c r="S66" s="107" t="s">
        <v>1727</v>
      </c>
      <c r="T66" s="136"/>
      <c r="U66" s="137" t="n">
        <v>45768</v>
      </c>
      <c r="V66" s="106"/>
      <c r="W66" s="106" t="s">
        <v>760</v>
      </c>
      <c r="X66" s="106" t="s">
        <v>761</v>
      </c>
      <c r="Y66" s="85"/>
    </row>
    <row r="67" customFormat="false" ht="15.75" hidden="false" customHeight="true" outlineLevel="0" collapsed="false">
      <c r="A67" s="46" t="n">
        <v>38</v>
      </c>
      <c r="B67" s="110" t="s">
        <v>1728</v>
      </c>
      <c r="C67" s="46" t="s">
        <v>752</v>
      </c>
      <c r="D67" s="110" t="s">
        <v>1729</v>
      </c>
      <c r="E67" s="46" t="s">
        <v>99</v>
      </c>
      <c r="F67" s="46" t="s">
        <v>1730</v>
      </c>
      <c r="G67" s="142" t="n">
        <v>45739</v>
      </c>
      <c r="H67" s="46" t="s">
        <v>529</v>
      </c>
      <c r="I67" s="138" t="str">
        <f aca="false">IFERROR(VLOOKUP(TEXT(H67,"0"),IPRESS!$A$3:$B$212,2,0),"")</f>
        <v>MARIA AUXILIADORA</v>
      </c>
      <c r="J67" s="46" t="s">
        <v>755</v>
      </c>
      <c r="K67" s="138" t="str">
        <f aca="false">IFERROR(VLOOKUP(TEXT(O67,"0"),CONDUCTORES!$A$3:$G$100,7,0),"")</f>
        <v/>
      </c>
      <c r="L67" s="44" t="n">
        <v>20.25</v>
      </c>
      <c r="M67" s="44" t="n">
        <v>7</v>
      </c>
      <c r="N67" s="139" t="n">
        <f aca="false">IFERROR(IF(L67*M67=0,"",L67*M67),"")</f>
        <v>141.75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85" t="s">
        <v>1317</v>
      </c>
      <c r="S67" s="110" t="s">
        <v>891</v>
      </c>
      <c r="T67" s="46"/>
      <c r="U67" s="142" t="n">
        <v>45768</v>
      </c>
      <c r="V67" s="46"/>
      <c r="W67" s="46" t="s">
        <v>760</v>
      </c>
      <c r="X67" s="46" t="s">
        <v>761</v>
      </c>
      <c r="Y67" s="85"/>
    </row>
    <row r="68" customFormat="false" ht="15.75" hidden="false" customHeight="true" outlineLevel="0" collapsed="false">
      <c r="A68" s="106" t="n">
        <v>39</v>
      </c>
      <c r="B68" s="107" t="s">
        <v>1731</v>
      </c>
      <c r="C68" s="106" t="s">
        <v>752</v>
      </c>
      <c r="D68" s="107" t="s">
        <v>1732</v>
      </c>
      <c r="E68" s="136" t="s">
        <v>99</v>
      </c>
      <c r="F68" s="106" t="s">
        <v>1733</v>
      </c>
      <c r="G68" s="137" t="n">
        <v>45731</v>
      </c>
      <c r="H68" s="106" t="s">
        <v>529</v>
      </c>
      <c r="I68" s="138" t="str">
        <f aca="false">IFERROR(VLOOKUP(TEXT(H68,"0"),IPRESS!$A$3:$B$212,2,0),"")</f>
        <v>MARIA AUXILIADORA</v>
      </c>
      <c r="J68" s="106" t="s">
        <v>755</v>
      </c>
      <c r="K68" s="138" t="str">
        <f aca="false">IFERROR(VLOOKUP(TEXT(O68,"0"),CONDUCTORES!$A$3:$G$100,7,0),"")</f>
        <v/>
      </c>
      <c r="L68" s="50" t="n">
        <v>20.25</v>
      </c>
      <c r="M68" s="50" t="n">
        <v>7</v>
      </c>
      <c r="N68" s="139" t="n">
        <f aca="false">IFERROR(IF(L68*M68=0,"",L68*M68),"")</f>
        <v>141.75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40" t="s">
        <v>1317</v>
      </c>
      <c r="S68" s="107" t="s">
        <v>1081</v>
      </c>
      <c r="T68" s="136"/>
      <c r="U68" s="137" t="n">
        <v>45768</v>
      </c>
      <c r="V68" s="106"/>
      <c r="W68" s="106" t="s">
        <v>760</v>
      </c>
      <c r="X68" s="106" t="s">
        <v>761</v>
      </c>
      <c r="Y68" s="85"/>
    </row>
    <row r="69" customFormat="false" ht="15.75" hidden="false" customHeight="true" outlineLevel="0" collapsed="false">
      <c r="A69" s="46" t="n">
        <v>37</v>
      </c>
      <c r="B69" s="110" t="s">
        <v>1734</v>
      </c>
      <c r="C69" s="46" t="s">
        <v>752</v>
      </c>
      <c r="D69" s="110" t="s">
        <v>1735</v>
      </c>
      <c r="E69" s="46" t="s">
        <v>99</v>
      </c>
      <c r="F69" s="46" t="s">
        <v>1736</v>
      </c>
      <c r="G69" s="142" t="n">
        <v>45733</v>
      </c>
      <c r="H69" s="46" t="s">
        <v>529</v>
      </c>
      <c r="I69" s="138" t="str">
        <f aca="false">IFERROR(VLOOKUP(TEXT(H69,"0"),IPRESS!$A$3:$B$212,2,0),"")</f>
        <v>MARIA AUXILIADORA</v>
      </c>
      <c r="J69" s="46" t="s">
        <v>755</v>
      </c>
      <c r="K69" s="138" t="str">
        <f aca="false">IFERROR(VLOOKUP(TEXT(O69,"0"),CONDUCTORES!$A$3:$G$100,7,0),"")</f>
        <v/>
      </c>
      <c r="L69" s="44" t="n">
        <v>20.25</v>
      </c>
      <c r="M69" s="44" t="n">
        <v>10</v>
      </c>
      <c r="N69" s="139" t="n">
        <f aca="false">IFERROR(IF(L69*M69=0,"",L69*M69),"")</f>
        <v>202.5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85" t="s">
        <v>1317</v>
      </c>
      <c r="S69" s="110" t="s">
        <v>1737</v>
      </c>
      <c r="T69" s="46"/>
      <c r="U69" s="142" t="n">
        <v>45768</v>
      </c>
      <c r="V69" s="46"/>
      <c r="W69" s="46" t="s">
        <v>760</v>
      </c>
      <c r="X69" s="46" t="s">
        <v>761</v>
      </c>
      <c r="Y69" s="85"/>
    </row>
    <row r="70" customFormat="false" ht="15.75" hidden="false" customHeight="true" outlineLevel="0" collapsed="false">
      <c r="A70" s="106" t="n">
        <v>38</v>
      </c>
      <c r="B70" s="107" t="s">
        <v>1738</v>
      </c>
      <c r="C70" s="106" t="s">
        <v>752</v>
      </c>
      <c r="D70" s="107" t="s">
        <v>1373</v>
      </c>
      <c r="E70" s="136" t="s">
        <v>99</v>
      </c>
      <c r="F70" s="106" t="s">
        <v>1374</v>
      </c>
      <c r="G70" s="137" t="n">
        <v>45734</v>
      </c>
      <c r="H70" s="106" t="s">
        <v>529</v>
      </c>
      <c r="I70" s="138" t="str">
        <f aca="false">IFERROR(VLOOKUP(TEXT(H70,"0"),IPRESS!$A$3:$B$212,2,0),"")</f>
        <v>MARIA AUXILIADORA</v>
      </c>
      <c r="J70" s="106" t="s">
        <v>755</v>
      </c>
      <c r="K70" s="138" t="str">
        <f aca="false">IFERROR(VLOOKUP(TEXT(O70,"0"),CONDUCTORES!$A$3:$G$100,7,0),"")</f>
        <v/>
      </c>
      <c r="L70" s="50" t="n">
        <v>20.25</v>
      </c>
      <c r="M70" s="50" t="n">
        <v>7</v>
      </c>
      <c r="N70" s="139" t="n">
        <f aca="false">IFERROR(IF(L70*M70=0,"",L70*M70),"")</f>
        <v>141.75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40" t="s">
        <v>1317</v>
      </c>
      <c r="S70" s="107" t="s">
        <v>1528</v>
      </c>
      <c r="T70" s="136"/>
      <c r="U70" s="137" t="n">
        <v>45768</v>
      </c>
      <c r="V70" s="106"/>
      <c r="W70" s="106" t="s">
        <v>760</v>
      </c>
      <c r="X70" s="106" t="s">
        <v>761</v>
      </c>
      <c r="Y70" s="85"/>
    </row>
    <row r="71" customFormat="false" ht="15.75" hidden="false" customHeight="true" outlineLevel="0" collapsed="false">
      <c r="A71" s="46" t="n">
        <v>39</v>
      </c>
      <c r="B71" s="110" t="s">
        <v>1739</v>
      </c>
      <c r="C71" s="46" t="s">
        <v>752</v>
      </c>
      <c r="D71" s="110" t="s">
        <v>1740</v>
      </c>
      <c r="E71" s="46" t="s">
        <v>99</v>
      </c>
      <c r="F71" s="46" t="s">
        <v>1741</v>
      </c>
      <c r="G71" s="142" t="n">
        <v>45741</v>
      </c>
      <c r="H71" s="46" t="s">
        <v>529</v>
      </c>
      <c r="I71" s="138" t="str">
        <f aca="false">IFERROR(VLOOKUP(TEXT(H71,"0"),IPRESS!$A$3:$B$212,2,0),"")</f>
        <v>MARIA AUXILIADORA</v>
      </c>
      <c r="J71" s="46" t="s">
        <v>755</v>
      </c>
      <c r="K71" s="138" t="str">
        <f aca="false">IFERROR(VLOOKUP(TEXT(O71,"0"),CONDUCTORES!$A$3:$G$100,7,0),"")</f>
        <v/>
      </c>
      <c r="L71" s="44" t="n">
        <v>20.25</v>
      </c>
      <c r="M71" s="44" t="n">
        <v>13</v>
      </c>
      <c r="N71" s="139" t="n">
        <f aca="false">IFERROR(IF(L71*M71=0,"",L71*M71),"")</f>
        <v>263.25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85" t="s">
        <v>1317</v>
      </c>
      <c r="S71" s="110" t="s">
        <v>1742</v>
      </c>
      <c r="T71" s="46"/>
      <c r="U71" s="142" t="n">
        <v>45772</v>
      </c>
      <c r="V71" s="46"/>
      <c r="W71" s="46" t="s">
        <v>760</v>
      </c>
      <c r="X71" s="46" t="s">
        <v>761</v>
      </c>
      <c r="Y71" s="85"/>
    </row>
    <row r="72" customFormat="false" ht="15.75" hidden="false" customHeight="true" outlineLevel="0" collapsed="false">
      <c r="A72" s="106" t="n">
        <v>40</v>
      </c>
      <c r="B72" s="107" t="s">
        <v>1743</v>
      </c>
      <c r="C72" s="106" t="s">
        <v>752</v>
      </c>
      <c r="D72" s="107" t="s">
        <v>1565</v>
      </c>
      <c r="E72" s="136" t="s">
        <v>99</v>
      </c>
      <c r="F72" s="106" t="s">
        <v>1566</v>
      </c>
      <c r="G72" s="137" t="n">
        <v>45741</v>
      </c>
      <c r="H72" s="106" t="s">
        <v>529</v>
      </c>
      <c r="I72" s="138" t="str">
        <f aca="false">IFERROR(VLOOKUP(TEXT(H72,"0"),IPRESS!$A$3:$B$212,2,0),"")</f>
        <v>MARIA AUXILIADORA</v>
      </c>
      <c r="J72" s="106" t="s">
        <v>755</v>
      </c>
      <c r="K72" s="138" t="str">
        <f aca="false">IFERROR(VLOOKUP(TEXT(O72,"0"),CONDUCTORES!$A$3:$G$100,7,0),"")</f>
        <v/>
      </c>
      <c r="L72" s="50" t="n">
        <v>20.25</v>
      </c>
      <c r="M72" s="50" t="n">
        <v>7</v>
      </c>
      <c r="N72" s="139" t="n">
        <f aca="false">IFERROR(IF(L72*M72=0,"",L72*M72),"")</f>
        <v>141.75</v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40" t="s">
        <v>1317</v>
      </c>
      <c r="S72" s="107" t="s">
        <v>1744</v>
      </c>
      <c r="T72" s="136"/>
      <c r="U72" s="137" t="n">
        <v>45772</v>
      </c>
      <c r="V72" s="106"/>
      <c r="W72" s="106" t="s">
        <v>760</v>
      </c>
      <c r="X72" s="106" t="s">
        <v>761</v>
      </c>
      <c r="Y72" s="85"/>
    </row>
    <row r="73" customFormat="false" ht="15.75" hidden="false" customHeight="true" outlineLevel="0" collapsed="false">
      <c r="A73" s="46" t="n">
        <v>41</v>
      </c>
      <c r="B73" s="110" t="s">
        <v>1745</v>
      </c>
      <c r="C73" s="46" t="s">
        <v>752</v>
      </c>
      <c r="D73" s="110" t="s">
        <v>1640</v>
      </c>
      <c r="E73" s="46" t="s">
        <v>99</v>
      </c>
      <c r="F73" s="46" t="s">
        <v>1641</v>
      </c>
      <c r="G73" s="142" t="n">
        <v>45743</v>
      </c>
      <c r="H73" s="46" t="s">
        <v>529</v>
      </c>
      <c r="I73" s="138" t="str">
        <f aca="false">IFERROR(VLOOKUP(TEXT(H73,"0"),IPRESS!$A$3:$B$212,2,0),"")</f>
        <v>MARIA AUXILIADORA</v>
      </c>
      <c r="J73" s="46" t="s">
        <v>755</v>
      </c>
      <c r="K73" s="138" t="str">
        <f aca="false">IFERROR(VLOOKUP(TEXT(O73,"0"),CONDUCTORES!$A$3:$G$100,7,0),"")</f>
        <v/>
      </c>
      <c r="L73" s="44" t="n">
        <v>20.25</v>
      </c>
      <c r="M73" s="44" t="n">
        <v>7</v>
      </c>
      <c r="N73" s="139" t="n">
        <f aca="false">IFERROR(IF(L73*M73=0,"",L73*M73),"")</f>
        <v>141.75</v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85" t="s">
        <v>1317</v>
      </c>
      <c r="S73" s="110" t="s">
        <v>1746</v>
      </c>
      <c r="T73" s="46"/>
      <c r="U73" s="142" t="n">
        <v>45776</v>
      </c>
      <c r="V73" s="46"/>
      <c r="W73" s="46" t="s">
        <v>760</v>
      </c>
      <c r="X73" s="46" t="s">
        <v>761</v>
      </c>
      <c r="Y73" s="85"/>
    </row>
    <row r="74" customFormat="false" ht="15.75" hidden="false" customHeight="true" outlineLevel="0" collapsed="false">
      <c r="A74" s="106" t="n">
        <v>42</v>
      </c>
      <c r="B74" s="107" t="s">
        <v>1747</v>
      </c>
      <c r="C74" s="106" t="s">
        <v>752</v>
      </c>
      <c r="D74" s="107" t="s">
        <v>1637</v>
      </c>
      <c r="E74" s="136" t="s">
        <v>99</v>
      </c>
      <c r="F74" s="106" t="s">
        <v>1638</v>
      </c>
      <c r="G74" s="137" t="n">
        <v>45743</v>
      </c>
      <c r="H74" s="106" t="s">
        <v>529</v>
      </c>
      <c r="I74" s="138" t="str">
        <f aca="false">IFERROR(VLOOKUP(TEXT(H74,"0"),IPRESS!$A$3:$B$212,2,0),"")</f>
        <v>MARIA AUXILIADORA</v>
      </c>
      <c r="J74" s="106" t="s">
        <v>755</v>
      </c>
      <c r="K74" s="138" t="str">
        <f aca="false">IFERROR(VLOOKUP(TEXT(O74,"0"),CONDUCTORES!$A$3:$G$100,7,0),"")</f>
        <v/>
      </c>
      <c r="L74" s="50" t="n">
        <v>20.25</v>
      </c>
      <c r="M74" s="50" t="n">
        <v>7</v>
      </c>
      <c r="N74" s="139" t="n">
        <f aca="false">IFERROR(IF(L74*M74=0,"",L74*M74),"")</f>
        <v>141.75</v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40" t="s">
        <v>1317</v>
      </c>
      <c r="S74" s="107" t="s">
        <v>1748</v>
      </c>
      <c r="T74" s="136"/>
      <c r="U74" s="137" t="n">
        <v>45776</v>
      </c>
      <c r="V74" s="106"/>
      <c r="W74" s="106" t="s">
        <v>760</v>
      </c>
      <c r="X74" s="106" t="s">
        <v>761</v>
      </c>
      <c r="Y74" s="85"/>
    </row>
    <row r="75" customFormat="false" ht="15.75" hidden="false" customHeight="true" outlineLevel="0" collapsed="false">
      <c r="A75" s="46" t="n">
        <v>43</v>
      </c>
      <c r="B75" s="110" t="s">
        <v>1749</v>
      </c>
      <c r="C75" s="46" t="s">
        <v>752</v>
      </c>
      <c r="D75" s="110" t="s">
        <v>1750</v>
      </c>
      <c r="E75" s="46" t="s">
        <v>99</v>
      </c>
      <c r="F75" s="46" t="s">
        <v>1751</v>
      </c>
      <c r="G75" s="142" t="n">
        <v>45747</v>
      </c>
      <c r="H75" s="46" t="s">
        <v>755</v>
      </c>
      <c r="I75" s="138" t="str">
        <f aca="false">IFERROR(VLOOKUP(TEXT(H75,"0"),IPRESS!$A$3:$B$212,2,0),"")</f>
        <v/>
      </c>
      <c r="J75" s="46" t="s">
        <v>755</v>
      </c>
      <c r="K75" s="138" t="str">
        <f aca="false">IFERROR(VLOOKUP(TEXT(O75,"0"),CONDUCTORES!$A$3:$G$100,7,0),"")</f>
        <v/>
      </c>
      <c r="L75" s="44" t="n">
        <v>20.25</v>
      </c>
      <c r="M75" s="44" t="n">
        <v>7</v>
      </c>
      <c r="N75" s="139" t="n">
        <f aca="false">IFERROR(IF(L75*M75=0,"",L75*M75),"")</f>
        <v>141.75</v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85" t="s">
        <v>1317</v>
      </c>
      <c r="S75" s="110" t="s">
        <v>1752</v>
      </c>
      <c r="T75" s="46"/>
      <c r="U75" s="142" t="n">
        <v>45776</v>
      </c>
      <c r="V75" s="46"/>
      <c r="W75" s="46" t="s">
        <v>760</v>
      </c>
      <c r="X75" s="46" t="s">
        <v>761</v>
      </c>
      <c r="Y75" s="85"/>
    </row>
    <row r="76" customFormat="false" ht="15.75" hidden="false" customHeight="true" outlineLevel="0" collapsed="false">
      <c r="A76" s="106" t="n">
        <v>41</v>
      </c>
      <c r="B76" s="107" t="s">
        <v>1753</v>
      </c>
      <c r="C76" s="106" t="s">
        <v>752</v>
      </c>
      <c r="D76" s="107" t="s">
        <v>1754</v>
      </c>
      <c r="E76" s="136" t="s">
        <v>99</v>
      </c>
      <c r="F76" s="106" t="s">
        <v>1755</v>
      </c>
      <c r="G76" s="137" t="n">
        <v>45737</v>
      </c>
      <c r="H76" s="106" t="s">
        <v>529</v>
      </c>
      <c r="I76" s="138" t="str">
        <f aca="false">IFERROR(VLOOKUP(TEXT(H76,"0"),IPRESS!$A$3:$B$212,2,0),"")</f>
        <v>MARIA AUXILIADORA</v>
      </c>
      <c r="J76" s="106" t="s">
        <v>755</v>
      </c>
      <c r="K76" s="138" t="str">
        <f aca="false">IFERROR(VLOOKUP(TEXT(O76,"0"),CONDUCTORES!$A$3:$G$100,7,0),"")</f>
        <v/>
      </c>
      <c r="L76" s="50" t="n">
        <v>20.25</v>
      </c>
      <c r="M76" s="50" t="n">
        <v>7</v>
      </c>
      <c r="N76" s="139" t="n">
        <f aca="false">IFERROR(IF(L76*M76=0,"",L76*M76),"")</f>
        <v>141.75</v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40" t="s">
        <v>1317</v>
      </c>
      <c r="S76" s="107" t="s">
        <v>1756</v>
      </c>
      <c r="T76" s="136"/>
      <c r="U76" s="140"/>
      <c r="V76" s="106"/>
      <c r="W76" s="106" t="s">
        <v>760</v>
      </c>
      <c r="X76" s="106" t="s">
        <v>761</v>
      </c>
      <c r="Y76" s="85"/>
    </row>
    <row r="77" customFormat="false" ht="15.75" hidden="false" customHeight="true" outlineLevel="0" collapsed="false">
      <c r="A77" s="143" t="n">
        <v>42</v>
      </c>
      <c r="B77" s="144" t="s">
        <v>1652</v>
      </c>
      <c r="C77" s="143" t="s">
        <v>752</v>
      </c>
      <c r="D77" s="144" t="s">
        <v>1757</v>
      </c>
      <c r="E77" s="143" t="s">
        <v>99</v>
      </c>
      <c r="F77" s="143" t="s">
        <v>1758</v>
      </c>
      <c r="G77" s="145" t="n">
        <v>45723</v>
      </c>
      <c r="H77" s="143" t="s">
        <v>547</v>
      </c>
      <c r="I77" s="138" t="str">
        <f aca="false">IFERROR(VLOOKUP(TEXT(H77,"0"),IPRESS!$A$3:$B$212,2,0),"")</f>
        <v>MOLINOPAMPA</v>
      </c>
      <c r="J77" s="143" t="s">
        <v>755</v>
      </c>
      <c r="K77" s="138" t="str">
        <f aca="false">IFERROR(VLOOKUP(TEXT(O77,"0"),CONDUCTORES!$A$3:$G$100,7,0),"")</f>
        <v/>
      </c>
      <c r="L77" s="146" t="n">
        <v>17.95</v>
      </c>
      <c r="M77" s="146" t="n">
        <v>8</v>
      </c>
      <c r="N77" s="139" t="n">
        <f aca="false">IFERROR(IF(L77*M77=0,"",L77*M77),"")</f>
        <v>143.6</v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145" t="n">
        <v>45790</v>
      </c>
      <c r="S77" s="144" t="s">
        <v>1759</v>
      </c>
      <c r="T77" s="143"/>
      <c r="U77" s="145" t="n">
        <v>45747</v>
      </c>
      <c r="V77" s="143" t="s">
        <v>1760</v>
      </c>
      <c r="W77" s="143" t="s">
        <v>801</v>
      </c>
      <c r="X77" s="143" t="s">
        <v>817</v>
      </c>
      <c r="Y77" s="85"/>
    </row>
    <row r="78" customFormat="false" ht="15.75" hidden="false" customHeight="true" outlineLevel="0" collapsed="false">
      <c r="A78" s="143" t="n">
        <v>43</v>
      </c>
      <c r="B78" s="144" t="s">
        <v>1525</v>
      </c>
      <c r="C78" s="143" t="s">
        <v>752</v>
      </c>
      <c r="D78" s="144" t="s">
        <v>1761</v>
      </c>
      <c r="E78" s="143" t="s">
        <v>99</v>
      </c>
      <c r="F78" s="143" t="s">
        <v>1762</v>
      </c>
      <c r="G78" s="145" t="n">
        <v>45722</v>
      </c>
      <c r="H78" s="143" t="s">
        <v>547</v>
      </c>
      <c r="I78" s="138" t="str">
        <f aca="false">IFERROR(VLOOKUP(TEXT(H78,"0"),IPRESS!$A$3:$B$212,2,0),"")</f>
        <v>MOLINOPAMPA</v>
      </c>
      <c r="J78" s="143" t="s">
        <v>755</v>
      </c>
      <c r="K78" s="138" t="str">
        <f aca="false">IFERROR(VLOOKUP(TEXT(O78,"0"),CONDUCTORES!$A$3:$G$100,7,0),"")</f>
        <v/>
      </c>
      <c r="L78" s="146" t="n">
        <v>17.95</v>
      </c>
      <c r="M78" s="146" t="n">
        <v>8</v>
      </c>
      <c r="N78" s="139" t="n">
        <f aca="false">IFERROR(IF(L78*M78=0,"",L78*M78),"")</f>
        <v>143.6</v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45" t="n">
        <v>45790</v>
      </c>
      <c r="S78" s="144" t="s">
        <v>1763</v>
      </c>
      <c r="T78" s="143"/>
      <c r="U78" s="145" t="n">
        <v>45756</v>
      </c>
      <c r="V78" s="143" t="s">
        <v>1764</v>
      </c>
      <c r="W78" s="143" t="s">
        <v>801</v>
      </c>
      <c r="X78" s="143" t="s">
        <v>817</v>
      </c>
      <c r="Y78" s="85"/>
    </row>
    <row r="79" customFormat="false" ht="15.75" hidden="false" customHeight="true" outlineLevel="0" collapsed="false">
      <c r="A79" s="46" t="n">
        <v>44</v>
      </c>
      <c r="B79" s="110" t="s">
        <v>832</v>
      </c>
      <c r="C79" s="46" t="s">
        <v>752</v>
      </c>
      <c r="D79" s="110" t="s">
        <v>1765</v>
      </c>
      <c r="E79" s="46" t="s">
        <v>99</v>
      </c>
      <c r="F79" s="46" t="s">
        <v>1766</v>
      </c>
      <c r="G79" s="142" t="n">
        <v>45740</v>
      </c>
      <c r="H79" s="46" t="s">
        <v>556</v>
      </c>
      <c r="I79" s="138" t="str">
        <f aca="false">IFERROR(VLOOKUP(TEXT(H79,"0"),IPRESS!$A$3:$B$212,2,0),"")</f>
        <v>NUEVO CHIRIMOTO</v>
      </c>
      <c r="J79" s="46" t="s">
        <v>529</v>
      </c>
      <c r="K79" s="138" t="str">
        <f aca="false">IFERROR(VLOOKUP(TEXT(O79,"0"),CONDUCTORES!$A$3:$G$100,7,0),"")</f>
        <v/>
      </c>
      <c r="L79" s="44" t="n">
        <v>20.25</v>
      </c>
      <c r="M79" s="44" t="n">
        <v>10</v>
      </c>
      <c r="N79" s="139" t="n">
        <f aca="false">IFERROR(IF(L79*M79=0,"",L79*M79),"")</f>
        <v>202.5</v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142" t="n">
        <v>45828</v>
      </c>
      <c r="S79" s="110" t="s">
        <v>891</v>
      </c>
      <c r="T79" s="46"/>
      <c r="U79" s="85"/>
      <c r="V79" s="46"/>
      <c r="W79" s="46"/>
      <c r="X79" s="46"/>
      <c r="Y79" s="85"/>
    </row>
    <row r="80" customFormat="false" ht="15.75" hidden="false" customHeight="true" outlineLevel="0" collapsed="false">
      <c r="A80" s="106" t="n">
        <v>45</v>
      </c>
      <c r="B80" s="107" t="s">
        <v>840</v>
      </c>
      <c r="C80" s="106" t="s">
        <v>752</v>
      </c>
      <c r="D80" s="107" t="s">
        <v>1767</v>
      </c>
      <c r="E80" s="136" t="s">
        <v>99</v>
      </c>
      <c r="F80" s="106" t="s">
        <v>1768</v>
      </c>
      <c r="G80" s="137" t="n">
        <v>45741</v>
      </c>
      <c r="H80" s="106" t="s">
        <v>556</v>
      </c>
      <c r="I80" s="138" t="str">
        <f aca="false">IFERROR(VLOOKUP(TEXT(H80,"0"),IPRESS!$A$3:$B$212,2,0),"")</f>
        <v>NUEVO CHIRIMOTO</v>
      </c>
      <c r="J80" s="106" t="s">
        <v>529</v>
      </c>
      <c r="K80" s="138" t="str">
        <f aca="false">IFERROR(VLOOKUP(TEXT(O80,"0"),CONDUCTORES!$A$3:$G$100,7,0),"")</f>
        <v/>
      </c>
      <c r="L80" s="50" t="n">
        <v>20.25</v>
      </c>
      <c r="M80" s="50" t="n">
        <v>10</v>
      </c>
      <c r="N80" s="139" t="n">
        <f aca="false">IFERROR(IF(L80*M80=0,"",L80*M80),"")</f>
        <v>202.5</v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37" t="n">
        <v>45828</v>
      </c>
      <c r="S80" s="107" t="s">
        <v>1769</v>
      </c>
      <c r="T80" s="136"/>
      <c r="U80" s="140"/>
      <c r="V80" s="106"/>
      <c r="W80" s="106"/>
      <c r="X80" s="106"/>
      <c r="Y80" s="85"/>
    </row>
    <row r="81" customFormat="false" ht="15.75" hidden="false" customHeight="true" outlineLevel="0" collapsed="false">
      <c r="A81" s="46" t="n">
        <v>46</v>
      </c>
      <c r="B81" s="110" t="s">
        <v>1770</v>
      </c>
      <c r="C81" s="46" t="s">
        <v>752</v>
      </c>
      <c r="D81" s="110" t="s">
        <v>1721</v>
      </c>
      <c r="E81" s="46" t="s">
        <v>99</v>
      </c>
      <c r="F81" s="46" t="s">
        <v>1722</v>
      </c>
      <c r="G81" s="142" t="n">
        <v>45729</v>
      </c>
      <c r="H81" s="46" t="s">
        <v>556</v>
      </c>
      <c r="I81" s="138" t="str">
        <f aca="false">IFERROR(VLOOKUP(TEXT(H81,"0"),IPRESS!$A$3:$B$212,2,0),"")</f>
        <v>NUEVO CHIRIMOTO</v>
      </c>
      <c r="J81" s="46" t="s">
        <v>529</v>
      </c>
      <c r="K81" s="138" t="str">
        <f aca="false">IFERROR(VLOOKUP(TEXT(O81,"0"),CONDUCTORES!$A$3:$G$100,7,0),"")</f>
        <v/>
      </c>
      <c r="L81" s="44" t="n">
        <v>20.25</v>
      </c>
      <c r="M81" s="44" t="n">
        <v>4</v>
      </c>
      <c r="N81" s="139" t="n">
        <f aca="false">IFERROR(IF(L81*M81=0,"",L81*M81),"")</f>
        <v>81</v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142" t="n">
        <v>45839</v>
      </c>
      <c r="S81" s="110" t="s">
        <v>1771</v>
      </c>
      <c r="T81" s="46"/>
      <c r="U81" s="142" t="n">
        <v>45772</v>
      </c>
      <c r="V81" s="46"/>
      <c r="W81" s="46" t="s">
        <v>1772</v>
      </c>
      <c r="X81" s="46"/>
      <c r="Y81" s="85"/>
    </row>
    <row r="82" customFormat="false" ht="15.75" hidden="false" customHeight="true" outlineLevel="0" collapsed="false">
      <c r="A82" s="106" t="n">
        <v>47</v>
      </c>
      <c r="B82" s="107" t="s">
        <v>1357</v>
      </c>
      <c r="C82" s="106" t="s">
        <v>752</v>
      </c>
      <c r="D82" s="107" t="s">
        <v>1773</v>
      </c>
      <c r="E82" s="136" t="s">
        <v>99</v>
      </c>
      <c r="F82" s="106" t="s">
        <v>1774</v>
      </c>
      <c r="G82" s="137" t="n">
        <v>45744</v>
      </c>
      <c r="H82" s="106" t="s">
        <v>569</v>
      </c>
      <c r="I82" s="138" t="str">
        <f aca="false">IFERROR(VLOOKUP(TEXT(H82,"0"),IPRESS!$A$3:$B$212,2,0),"")</f>
        <v>OCALLI</v>
      </c>
      <c r="J82" s="106" t="s">
        <v>755</v>
      </c>
      <c r="K82" s="138" t="str">
        <f aca="false">IFERROR(VLOOKUP(TEXT(O82,"0"),CONDUCTORES!$A$3:$G$100,7,0),"")</f>
        <v/>
      </c>
      <c r="L82" s="50" t="n">
        <v>18.18</v>
      </c>
      <c r="M82" s="50" t="n">
        <v>30</v>
      </c>
      <c r="N82" s="139" t="n">
        <f aca="false">IFERROR(IF(L82*M82=0,"",L82*M82),"")</f>
        <v>545.4</v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37" t="n">
        <v>45825</v>
      </c>
      <c r="S82" s="107" t="s">
        <v>1775</v>
      </c>
      <c r="T82" s="136"/>
      <c r="U82" s="140"/>
      <c r="V82" s="106"/>
      <c r="W82" s="106"/>
      <c r="X82" s="106"/>
      <c r="Y82" s="85"/>
    </row>
    <row r="83" customFormat="false" ht="15.75" hidden="false" customHeight="true" outlineLevel="0" collapsed="false">
      <c r="A83" s="46" t="n">
        <v>45</v>
      </c>
      <c r="B83" s="110" t="s">
        <v>1652</v>
      </c>
      <c r="C83" s="46" t="s">
        <v>752</v>
      </c>
      <c r="D83" s="110" t="s">
        <v>1776</v>
      </c>
      <c r="E83" s="46" t="s">
        <v>99</v>
      </c>
      <c r="F83" s="46" t="s">
        <v>1777</v>
      </c>
      <c r="G83" s="142" t="n">
        <v>45719</v>
      </c>
      <c r="H83" s="46" t="s">
        <v>581</v>
      </c>
      <c r="I83" s="138" t="str">
        <f aca="false">IFERROR(VLOOKUP(TEXT(H83,"0"),IPRESS!$A$3:$B$212,2,0),"")</f>
        <v>PEDRO RUIZ GALLO</v>
      </c>
      <c r="J83" s="46" t="s">
        <v>755</v>
      </c>
      <c r="K83" s="138" t="str">
        <f aca="false">IFERROR(VLOOKUP(TEXT(O83,"0"),CONDUCTORES!$A$3:$G$100,7,0),"")</f>
        <v/>
      </c>
      <c r="L83" s="44" t="n">
        <v>18.18</v>
      </c>
      <c r="M83" s="44" t="n">
        <v>6</v>
      </c>
      <c r="N83" s="139" t="n">
        <f aca="false">IFERROR(IF(L83*M83=0,"",L83*M83),"")</f>
        <v>109.08</v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85" t="s">
        <v>1778</v>
      </c>
      <c r="S83" s="110" t="s">
        <v>1779</v>
      </c>
      <c r="T83" s="46"/>
      <c r="U83" s="142" t="n">
        <v>45744</v>
      </c>
      <c r="V83" s="46" t="s">
        <v>792</v>
      </c>
      <c r="W83" s="46" t="s">
        <v>793</v>
      </c>
      <c r="X83" s="46" t="s">
        <v>794</v>
      </c>
      <c r="Y83" s="85"/>
    </row>
    <row r="84" customFormat="false" ht="15.75" hidden="false" customHeight="true" outlineLevel="0" collapsed="false">
      <c r="A84" s="143" t="n">
        <v>46</v>
      </c>
      <c r="B84" s="144" t="s">
        <v>1544</v>
      </c>
      <c r="C84" s="143" t="s">
        <v>752</v>
      </c>
      <c r="D84" s="144" t="s">
        <v>1780</v>
      </c>
      <c r="E84" s="143" t="s">
        <v>99</v>
      </c>
      <c r="F84" s="143" t="s">
        <v>1781</v>
      </c>
      <c r="G84" s="145" t="n">
        <v>45720</v>
      </c>
      <c r="H84" s="143" t="s">
        <v>581</v>
      </c>
      <c r="I84" s="138" t="str">
        <f aca="false">IFERROR(VLOOKUP(TEXT(H84,"0"),IPRESS!$A$3:$B$212,2,0),"")</f>
        <v>PEDRO RUIZ GALLO</v>
      </c>
      <c r="J84" s="143" t="s">
        <v>755</v>
      </c>
      <c r="K84" s="138" t="str">
        <f aca="false">IFERROR(VLOOKUP(TEXT(O84,"0"),CONDUCTORES!$A$3:$G$100,7,0),"")</f>
        <v/>
      </c>
      <c r="L84" s="146" t="n">
        <v>17.95</v>
      </c>
      <c r="M84" s="146" t="n">
        <v>69</v>
      </c>
      <c r="N84" s="139" t="n">
        <f aca="false">IFERROR(IF(L84*M84=0,"",L84*M84),"")</f>
        <v>1238.55</v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47" t="s">
        <v>1778</v>
      </c>
      <c r="S84" s="144" t="s">
        <v>1250</v>
      </c>
      <c r="T84" s="143"/>
      <c r="U84" s="145" t="n">
        <v>45744</v>
      </c>
      <c r="V84" s="143" t="s">
        <v>1009</v>
      </c>
      <c r="W84" s="143" t="s">
        <v>1010</v>
      </c>
      <c r="X84" s="143" t="s">
        <v>1011</v>
      </c>
      <c r="Y84" s="85"/>
    </row>
    <row r="85" customFormat="false" ht="15.75" hidden="false" customHeight="true" outlineLevel="0" collapsed="false">
      <c r="A85" s="143" t="n">
        <v>47</v>
      </c>
      <c r="B85" s="144" t="s">
        <v>1537</v>
      </c>
      <c r="C85" s="143" t="s">
        <v>752</v>
      </c>
      <c r="D85" s="144" t="s">
        <v>1782</v>
      </c>
      <c r="E85" s="143" t="s">
        <v>99</v>
      </c>
      <c r="F85" s="143" t="s">
        <v>1783</v>
      </c>
      <c r="G85" s="145" t="n">
        <v>45724</v>
      </c>
      <c r="H85" s="143" t="s">
        <v>581</v>
      </c>
      <c r="I85" s="138" t="str">
        <f aca="false">IFERROR(VLOOKUP(TEXT(H85,"0"),IPRESS!$A$3:$B$212,2,0),"")</f>
        <v>PEDRO RUIZ GALLO</v>
      </c>
      <c r="J85" s="143" t="s">
        <v>755</v>
      </c>
      <c r="K85" s="138" t="str">
        <f aca="false">IFERROR(VLOOKUP(TEXT(O85,"0"),CONDUCTORES!$A$3:$G$100,7,0),"")</f>
        <v/>
      </c>
      <c r="L85" s="146" t="n">
        <v>17.95</v>
      </c>
      <c r="M85" s="146" t="n">
        <v>6</v>
      </c>
      <c r="N85" s="139" t="n">
        <f aca="false">IFERROR(IF(L85*M85=0,"",L85*M85),"")</f>
        <v>107.7</v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147" t="s">
        <v>1778</v>
      </c>
      <c r="S85" s="144" t="s">
        <v>1784</v>
      </c>
      <c r="T85" s="143"/>
      <c r="U85" s="145" t="n">
        <v>45747</v>
      </c>
      <c r="V85" s="143" t="s">
        <v>1009</v>
      </c>
      <c r="W85" s="143" t="s">
        <v>1010</v>
      </c>
      <c r="X85" s="143" t="s">
        <v>1011</v>
      </c>
      <c r="Y85" s="85"/>
    </row>
    <row r="86" customFormat="false" ht="15.75" hidden="false" customHeight="true" outlineLevel="0" collapsed="false">
      <c r="A86" s="143" t="n">
        <v>48</v>
      </c>
      <c r="B86" s="144" t="s">
        <v>1660</v>
      </c>
      <c r="C86" s="143" t="s">
        <v>752</v>
      </c>
      <c r="D86" s="144" t="s">
        <v>1785</v>
      </c>
      <c r="E86" s="143" t="s">
        <v>99</v>
      </c>
      <c r="F86" s="143" t="s">
        <v>1786</v>
      </c>
      <c r="G86" s="145" t="n">
        <v>45727</v>
      </c>
      <c r="H86" s="143" t="s">
        <v>581</v>
      </c>
      <c r="I86" s="138" t="str">
        <f aca="false">IFERROR(VLOOKUP(TEXT(H86,"0"),IPRESS!$A$3:$B$212,2,0),"")</f>
        <v>PEDRO RUIZ GALLO</v>
      </c>
      <c r="J86" s="143" t="s">
        <v>755</v>
      </c>
      <c r="K86" s="138" t="str">
        <f aca="false">IFERROR(VLOOKUP(TEXT(O86,"0"),CONDUCTORES!$A$3:$G$100,7,0),"")</f>
        <v/>
      </c>
      <c r="L86" s="146" t="n">
        <v>17.95</v>
      </c>
      <c r="M86" s="146" t="n">
        <v>6</v>
      </c>
      <c r="N86" s="139" t="n">
        <f aca="false">IFERROR(IF(L86*M86=0,"",L86*M86),"")</f>
        <v>107.7</v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47" t="s">
        <v>1787</v>
      </c>
      <c r="S86" s="144" t="s">
        <v>1788</v>
      </c>
      <c r="T86" s="143"/>
      <c r="U86" s="145" t="n">
        <v>45756</v>
      </c>
      <c r="V86" s="143"/>
      <c r="W86" s="143"/>
      <c r="X86" s="143"/>
      <c r="Y86" s="85"/>
    </row>
    <row r="87" customFormat="false" ht="15.75" hidden="false" customHeight="true" outlineLevel="0" collapsed="false">
      <c r="A87" s="143" t="n">
        <v>49</v>
      </c>
      <c r="B87" s="144" t="s">
        <v>1789</v>
      </c>
      <c r="C87" s="143" t="s">
        <v>752</v>
      </c>
      <c r="D87" s="144" t="s">
        <v>1790</v>
      </c>
      <c r="E87" s="143" t="s">
        <v>99</v>
      </c>
      <c r="F87" s="143" t="s">
        <v>1791</v>
      </c>
      <c r="G87" s="145" t="n">
        <v>45735</v>
      </c>
      <c r="H87" s="143" t="s">
        <v>581</v>
      </c>
      <c r="I87" s="138" t="str">
        <f aca="false">IFERROR(VLOOKUP(TEXT(H87,"0"),IPRESS!$A$3:$B$212,2,0),"")</f>
        <v>PEDRO RUIZ GALLO</v>
      </c>
      <c r="J87" s="143" t="s">
        <v>755</v>
      </c>
      <c r="K87" s="138" t="str">
        <f aca="false">IFERROR(VLOOKUP(TEXT(O87,"0"),CONDUCTORES!$A$3:$G$100,7,0),"")</f>
        <v/>
      </c>
      <c r="L87" s="146" t="n">
        <v>17.95</v>
      </c>
      <c r="M87" s="146" t="n">
        <v>6</v>
      </c>
      <c r="N87" s="139" t="n">
        <f aca="false">IFERROR(IF(L87*M87=0,"",L87*M87),"")</f>
        <v>107.7</v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147" t="s">
        <v>1787</v>
      </c>
      <c r="S87" s="144" t="s">
        <v>1792</v>
      </c>
      <c r="T87" s="143"/>
      <c r="U87" s="145" t="n">
        <v>45768</v>
      </c>
      <c r="V87" s="143"/>
      <c r="W87" s="143"/>
      <c r="X87" s="143"/>
      <c r="Y87" s="85"/>
    </row>
    <row r="88" customFormat="false" ht="15.75" hidden="false" customHeight="true" outlineLevel="0" collapsed="false">
      <c r="A88" s="143" t="n">
        <v>50</v>
      </c>
      <c r="B88" s="144" t="s">
        <v>1793</v>
      </c>
      <c r="C88" s="143" t="s">
        <v>752</v>
      </c>
      <c r="D88" s="144" t="s">
        <v>1794</v>
      </c>
      <c r="E88" s="143" t="s">
        <v>99</v>
      </c>
      <c r="F88" s="143" t="s">
        <v>1795</v>
      </c>
      <c r="G88" s="145" t="n">
        <v>45740</v>
      </c>
      <c r="H88" s="143" t="s">
        <v>581</v>
      </c>
      <c r="I88" s="138" t="str">
        <f aca="false">IFERROR(VLOOKUP(TEXT(H88,"0"),IPRESS!$A$3:$B$212,2,0),"")</f>
        <v>PEDRO RUIZ GALLO</v>
      </c>
      <c r="J88" s="143" t="s">
        <v>755</v>
      </c>
      <c r="K88" s="138" t="str">
        <f aca="false">IFERROR(VLOOKUP(TEXT(O88,"0"),CONDUCTORES!$A$3:$G$100,7,0),"")</f>
        <v/>
      </c>
      <c r="L88" s="146" t="n">
        <v>17.95</v>
      </c>
      <c r="M88" s="146" t="n">
        <v>6</v>
      </c>
      <c r="N88" s="139" t="n">
        <f aca="false">IFERROR(IF(L88*M88=0,"",L88*M88),"")</f>
        <v>107.7</v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47" t="s">
        <v>1787</v>
      </c>
      <c r="S88" s="144" t="s">
        <v>1796</v>
      </c>
      <c r="T88" s="143"/>
      <c r="U88" s="145" t="n">
        <v>45772</v>
      </c>
      <c r="V88" s="143"/>
      <c r="W88" s="143"/>
      <c r="X88" s="143"/>
      <c r="Y88" s="85"/>
    </row>
    <row r="89" customFormat="false" ht="15.75" hidden="false" customHeight="true" outlineLevel="0" collapsed="false">
      <c r="A89" s="143" t="n">
        <v>51</v>
      </c>
      <c r="B89" s="144" t="s">
        <v>1797</v>
      </c>
      <c r="C89" s="143" t="s">
        <v>752</v>
      </c>
      <c r="D89" s="144" t="s">
        <v>1798</v>
      </c>
      <c r="E89" s="143" t="s">
        <v>99</v>
      </c>
      <c r="F89" s="143" t="s">
        <v>1799</v>
      </c>
      <c r="G89" s="145" t="n">
        <v>45742</v>
      </c>
      <c r="H89" s="143" t="s">
        <v>581</v>
      </c>
      <c r="I89" s="138" t="str">
        <f aca="false">IFERROR(VLOOKUP(TEXT(H89,"0"),IPRESS!$A$3:$B$212,2,0),"")</f>
        <v>PEDRO RUIZ GALLO</v>
      </c>
      <c r="J89" s="143" t="s">
        <v>755</v>
      </c>
      <c r="K89" s="138" t="str">
        <f aca="false">IFERROR(VLOOKUP(TEXT(O89,"0"),CONDUCTORES!$A$3:$G$100,7,0),"")</f>
        <v/>
      </c>
      <c r="L89" s="146" t="n">
        <v>17.95</v>
      </c>
      <c r="M89" s="146" t="n">
        <v>6</v>
      </c>
      <c r="N89" s="139" t="n">
        <f aca="false">IFERROR(IF(L89*M89=0,"",L89*M89),"")</f>
        <v>107.7</v>
      </c>
      <c r="O89" s="140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147" t="s">
        <v>1787</v>
      </c>
      <c r="S89" s="144" t="s">
        <v>1800</v>
      </c>
      <c r="T89" s="143"/>
      <c r="U89" s="145" t="n">
        <v>45776</v>
      </c>
      <c r="V89" s="143"/>
      <c r="W89" s="143"/>
      <c r="X89" s="143"/>
      <c r="Y89" s="85"/>
    </row>
    <row r="90" customFormat="false" ht="15.75" hidden="false" customHeight="true" outlineLevel="0" collapsed="false">
      <c r="A90" s="106" t="n">
        <v>49</v>
      </c>
      <c r="B90" s="107" t="s">
        <v>1665</v>
      </c>
      <c r="C90" s="106" t="s">
        <v>752</v>
      </c>
      <c r="D90" s="107" t="s">
        <v>1801</v>
      </c>
      <c r="E90" s="136" t="s">
        <v>99</v>
      </c>
      <c r="F90" s="106" t="s">
        <v>1802</v>
      </c>
      <c r="G90" s="137" t="n">
        <v>45729</v>
      </c>
      <c r="H90" s="106" t="s">
        <v>581</v>
      </c>
      <c r="I90" s="138" t="str">
        <f aca="false">IFERROR(VLOOKUP(TEXT(H90,"0"),IPRESS!$A$3:$B$212,2,0),"")</f>
        <v>PEDRO RUIZ GALLO</v>
      </c>
      <c r="J90" s="106" t="s">
        <v>755</v>
      </c>
      <c r="K90" s="138" t="str">
        <f aca="false">IFERROR(VLOOKUP(TEXT(O90,"0"),CONDUCTORES!$A$3:$G$100,7,0),"")</f>
        <v/>
      </c>
      <c r="L90" s="50" t="n">
        <v>18.18</v>
      </c>
      <c r="M90" s="50" t="n">
        <v>6</v>
      </c>
      <c r="N90" s="139" t="n">
        <f aca="false">IFERROR(IF(L90*M90=0,"",L90*M90),"")</f>
        <v>109.08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40" t="s">
        <v>886</v>
      </c>
      <c r="S90" s="107" t="s">
        <v>1803</v>
      </c>
      <c r="T90" s="136"/>
      <c r="U90" s="137" t="n">
        <v>45758</v>
      </c>
      <c r="V90" s="106"/>
      <c r="W90" s="106"/>
      <c r="X90" s="106"/>
      <c r="Y90" s="85"/>
    </row>
    <row r="91" customFormat="false" ht="15.75" hidden="false" customHeight="true" outlineLevel="0" collapsed="false">
      <c r="A91" s="46" t="n">
        <v>50</v>
      </c>
      <c r="B91" s="110" t="s">
        <v>1674</v>
      </c>
      <c r="C91" s="46" t="s">
        <v>752</v>
      </c>
      <c r="D91" s="110" t="s">
        <v>1804</v>
      </c>
      <c r="E91" s="46" t="s">
        <v>99</v>
      </c>
      <c r="F91" s="46" t="s">
        <v>1805</v>
      </c>
      <c r="G91" s="142" t="n">
        <v>45730</v>
      </c>
      <c r="H91" s="46" t="s">
        <v>581</v>
      </c>
      <c r="I91" s="138" t="str">
        <f aca="false">IFERROR(VLOOKUP(TEXT(H91,"0"),IPRESS!$A$3:$B$212,2,0),"")</f>
        <v>PEDRO RUIZ GALLO</v>
      </c>
      <c r="J91" s="46" t="s">
        <v>755</v>
      </c>
      <c r="K91" s="138" t="str">
        <f aca="false">IFERROR(VLOOKUP(TEXT(O91,"0"),CONDUCTORES!$A$3:$G$100,7,0),"")</f>
        <v/>
      </c>
      <c r="L91" s="44" t="n">
        <v>17.95</v>
      </c>
      <c r="M91" s="44" t="n">
        <v>6</v>
      </c>
      <c r="N91" s="139" t="n">
        <f aca="false">IFERROR(IF(L91*M91=0,"",L91*M91),"")</f>
        <v>107.7</v>
      </c>
      <c r="O91" s="140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85" t="s">
        <v>886</v>
      </c>
      <c r="S91" s="110" t="s">
        <v>1806</v>
      </c>
      <c r="T91" s="46"/>
      <c r="U91" s="142" t="n">
        <v>45758</v>
      </c>
      <c r="V91" s="46"/>
      <c r="W91" s="46"/>
      <c r="X91" s="46"/>
      <c r="Y91" s="85"/>
    </row>
    <row r="92" customFormat="false" ht="15.75" hidden="false" customHeight="true" outlineLevel="0" collapsed="false">
      <c r="A92" s="106" t="n">
        <v>51</v>
      </c>
      <c r="B92" s="107" t="s">
        <v>1807</v>
      </c>
      <c r="C92" s="106" t="s">
        <v>752</v>
      </c>
      <c r="D92" s="107" t="s">
        <v>1808</v>
      </c>
      <c r="E92" s="136" t="s">
        <v>99</v>
      </c>
      <c r="F92" s="106" t="s">
        <v>1809</v>
      </c>
      <c r="G92" s="137" t="n">
        <v>45746</v>
      </c>
      <c r="H92" s="106" t="s">
        <v>581</v>
      </c>
      <c r="I92" s="138" t="str">
        <f aca="false">IFERROR(VLOOKUP(TEXT(H92,"0"),IPRESS!$A$3:$B$212,2,0),"")</f>
        <v>PEDRO RUIZ GALLO</v>
      </c>
      <c r="J92" s="106" t="s">
        <v>755</v>
      </c>
      <c r="K92" s="138" t="str">
        <f aca="false">IFERROR(VLOOKUP(TEXT(O92,"0"),CONDUCTORES!$A$3:$G$100,7,0),"")</f>
        <v/>
      </c>
      <c r="L92" s="50" t="n">
        <v>18.18</v>
      </c>
      <c r="M92" s="50" t="n">
        <v>6</v>
      </c>
      <c r="N92" s="139" t="n">
        <f aca="false">IFERROR(IF(L92*M92=0,"",L92*M92),"")</f>
        <v>109.08</v>
      </c>
      <c r="O92" s="85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40" t="s">
        <v>886</v>
      </c>
      <c r="S92" s="107" t="s">
        <v>1810</v>
      </c>
      <c r="T92" s="136"/>
      <c r="U92" s="137" t="n">
        <v>45776</v>
      </c>
      <c r="V92" s="106"/>
      <c r="W92" s="106"/>
      <c r="X92" s="106"/>
      <c r="Y92" s="85"/>
    </row>
    <row r="93" customFormat="false" ht="15.75" hidden="false" customHeight="true" outlineLevel="0" collapsed="false">
      <c r="A93" s="46" t="n">
        <v>52</v>
      </c>
      <c r="B93" s="110" t="s">
        <v>1739</v>
      </c>
      <c r="C93" s="46" t="s">
        <v>752</v>
      </c>
      <c r="D93" s="110" t="s">
        <v>1811</v>
      </c>
      <c r="E93" s="46" t="s">
        <v>99</v>
      </c>
      <c r="F93" s="46" t="s">
        <v>1196</v>
      </c>
      <c r="G93" s="142" t="n">
        <v>45717</v>
      </c>
      <c r="H93" s="46" t="s">
        <v>595</v>
      </c>
      <c r="I93" s="138" t="str">
        <f aca="false">IFERROR(VLOOKUP(TEXT(H93,"0"),IPRESS!$A$3:$B$212,2,0),"")</f>
        <v>POMACOCHAS</v>
      </c>
      <c r="J93" s="46" t="s">
        <v>755</v>
      </c>
      <c r="K93" s="138" t="str">
        <f aca="false">IFERROR(VLOOKUP(TEXT(O93,"0"),CONDUCTORES!$A$3:$G$100,7,0),"")</f>
        <v/>
      </c>
      <c r="L93" s="44" t="n">
        <v>18.18</v>
      </c>
      <c r="M93" s="44" t="n">
        <v>8</v>
      </c>
      <c r="N93" s="139" t="n">
        <f aca="false">IFERROR(IF(L93*M93=0,"",L93*M93),"")</f>
        <v>145.44</v>
      </c>
      <c r="O93" s="140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142" t="n">
        <v>45790</v>
      </c>
      <c r="S93" s="110" t="s">
        <v>1535</v>
      </c>
      <c r="T93" s="46"/>
      <c r="U93" s="142" t="n">
        <v>45758</v>
      </c>
      <c r="V93" s="46" t="s">
        <v>831</v>
      </c>
      <c r="W93" s="46" t="s">
        <v>801</v>
      </c>
      <c r="X93" s="46" t="s">
        <v>794</v>
      </c>
      <c r="Y93" s="85"/>
    </row>
    <row r="94" customFormat="false" ht="15.75" hidden="false" customHeight="true" outlineLevel="0" collapsed="false">
      <c r="A94" s="106" t="n">
        <v>53</v>
      </c>
      <c r="B94" s="107" t="s">
        <v>1743</v>
      </c>
      <c r="C94" s="106" t="s">
        <v>752</v>
      </c>
      <c r="D94" s="107" t="s">
        <v>1812</v>
      </c>
      <c r="E94" s="136" t="s">
        <v>99</v>
      </c>
      <c r="F94" s="106" t="s">
        <v>1190</v>
      </c>
      <c r="G94" s="137" t="n">
        <v>45720</v>
      </c>
      <c r="H94" s="106" t="s">
        <v>595</v>
      </c>
      <c r="I94" s="138" t="str">
        <f aca="false">IFERROR(VLOOKUP(TEXT(H94,"0"),IPRESS!$A$3:$B$212,2,0),"")</f>
        <v>POMACOCHAS</v>
      </c>
      <c r="J94" s="106" t="s">
        <v>755</v>
      </c>
      <c r="K94" s="138" t="str">
        <f aca="false">IFERROR(VLOOKUP(TEXT(O94,"0"),CONDUCTORES!$A$3:$G$100,7,0),"")</f>
        <v/>
      </c>
      <c r="L94" s="50" t="n">
        <v>18.18</v>
      </c>
      <c r="M94" s="50" t="n">
        <v>8</v>
      </c>
      <c r="N94" s="139" t="n">
        <f aca="false">IFERROR(IF(L94*M94=0,"",L94*M94),"")</f>
        <v>145.44</v>
      </c>
      <c r="O94" s="85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37" t="n">
        <v>45790</v>
      </c>
      <c r="S94" s="107" t="s">
        <v>1813</v>
      </c>
      <c r="T94" s="136"/>
      <c r="U94" s="137" t="n">
        <v>45758</v>
      </c>
      <c r="V94" s="106" t="s">
        <v>831</v>
      </c>
      <c r="W94" s="106" t="s">
        <v>801</v>
      </c>
      <c r="X94" s="106" t="s">
        <v>794</v>
      </c>
      <c r="Y94" s="85"/>
    </row>
    <row r="95" customFormat="false" ht="15.75" hidden="false" customHeight="true" outlineLevel="0" collapsed="false">
      <c r="A95" s="46" t="n">
        <v>54</v>
      </c>
      <c r="B95" s="110" t="s">
        <v>1745</v>
      </c>
      <c r="C95" s="46" t="s">
        <v>752</v>
      </c>
      <c r="D95" s="110" t="s">
        <v>1814</v>
      </c>
      <c r="E95" s="46" t="s">
        <v>99</v>
      </c>
      <c r="F95" s="46" t="s">
        <v>1815</v>
      </c>
      <c r="G95" s="142" t="n">
        <v>45723</v>
      </c>
      <c r="H95" s="46" t="s">
        <v>595</v>
      </c>
      <c r="I95" s="138" t="str">
        <f aca="false">IFERROR(VLOOKUP(TEXT(H95,"0"),IPRESS!$A$3:$B$212,2,0),"")</f>
        <v>POMACOCHAS</v>
      </c>
      <c r="J95" s="46" t="s">
        <v>755</v>
      </c>
      <c r="K95" s="138" t="str">
        <f aca="false">IFERROR(VLOOKUP(TEXT(O95,"0"),CONDUCTORES!$A$3:$G$100,7,0),"")</f>
        <v/>
      </c>
      <c r="L95" s="44" t="n">
        <v>18.18</v>
      </c>
      <c r="M95" s="44" t="n">
        <v>8</v>
      </c>
      <c r="N95" s="139" t="n">
        <f aca="false">IFERROR(IF(L95*M95=0,"",L95*M95),"")</f>
        <v>145.44</v>
      </c>
      <c r="O95" s="140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142" t="n">
        <v>45790</v>
      </c>
      <c r="S95" s="110" t="s">
        <v>1816</v>
      </c>
      <c r="T95" s="46"/>
      <c r="U95" s="142" t="n">
        <v>45758</v>
      </c>
      <c r="V95" s="46" t="s">
        <v>831</v>
      </c>
      <c r="W95" s="46" t="s">
        <v>801</v>
      </c>
      <c r="X95" s="46" t="s">
        <v>794</v>
      </c>
      <c r="Y95" s="85"/>
    </row>
    <row r="96" customFormat="false" ht="15.75" hidden="false" customHeight="true" outlineLevel="0" collapsed="false">
      <c r="A96" s="106" t="n">
        <v>55</v>
      </c>
      <c r="B96" s="107" t="s">
        <v>1747</v>
      </c>
      <c r="C96" s="106" t="s">
        <v>752</v>
      </c>
      <c r="D96" s="107" t="s">
        <v>1817</v>
      </c>
      <c r="E96" s="136" t="s">
        <v>99</v>
      </c>
      <c r="F96" s="106" t="s">
        <v>1818</v>
      </c>
      <c r="G96" s="137" t="n">
        <v>45724</v>
      </c>
      <c r="H96" s="106" t="s">
        <v>595</v>
      </c>
      <c r="I96" s="138" t="str">
        <f aca="false">IFERROR(VLOOKUP(TEXT(H96,"0"),IPRESS!$A$3:$B$212,2,0),"")</f>
        <v>POMACOCHAS</v>
      </c>
      <c r="J96" s="106" t="s">
        <v>755</v>
      </c>
      <c r="K96" s="138" t="str">
        <f aca="false">IFERROR(VLOOKUP(TEXT(O96,"0"),CONDUCTORES!$A$3:$G$100,7,0),"")</f>
        <v/>
      </c>
      <c r="L96" s="50" t="n">
        <v>18.18</v>
      </c>
      <c r="M96" s="50" t="n">
        <v>8</v>
      </c>
      <c r="N96" s="139" t="n">
        <f aca="false">IFERROR(IF(L96*M96=0,"",L96*M96),"")</f>
        <v>145.44</v>
      </c>
      <c r="O96" s="85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37" t="n">
        <v>45790</v>
      </c>
      <c r="S96" s="107" t="s">
        <v>1550</v>
      </c>
      <c r="T96" s="136"/>
      <c r="U96" s="137" t="n">
        <v>45758</v>
      </c>
      <c r="V96" s="106" t="s">
        <v>831</v>
      </c>
      <c r="W96" s="106" t="s">
        <v>801</v>
      </c>
      <c r="X96" s="106" t="s">
        <v>794</v>
      </c>
      <c r="Y96" s="85"/>
    </row>
    <row r="97" customFormat="false" ht="15.75" hidden="false" customHeight="true" outlineLevel="0" collapsed="false">
      <c r="A97" s="46" t="n">
        <v>53</v>
      </c>
      <c r="B97" s="110" t="s">
        <v>1819</v>
      </c>
      <c r="C97" s="46" t="s">
        <v>752</v>
      </c>
      <c r="D97" s="110" t="s">
        <v>1820</v>
      </c>
      <c r="E97" s="46" t="s">
        <v>99</v>
      </c>
      <c r="F97" s="46" t="s">
        <v>1821</v>
      </c>
      <c r="G97" s="142" t="n">
        <v>45730</v>
      </c>
      <c r="H97" s="46" t="s">
        <v>595</v>
      </c>
      <c r="I97" s="138" t="str">
        <f aca="false">IFERROR(VLOOKUP(TEXT(H97,"0"),IPRESS!$A$3:$B$212,2,0),"")</f>
        <v>POMACOCHAS</v>
      </c>
      <c r="J97" s="46" t="s">
        <v>755</v>
      </c>
      <c r="K97" s="138" t="str">
        <f aca="false">IFERROR(VLOOKUP(TEXT(O97,"0"),CONDUCTORES!$A$3:$G$100,7,0),"")</f>
        <v/>
      </c>
      <c r="L97" s="44" t="n">
        <v>18.18</v>
      </c>
      <c r="M97" s="44" t="n">
        <v>8</v>
      </c>
      <c r="N97" s="139" t="n">
        <f aca="false">IFERROR(IF(L97*M97=0,"",L97*M97),"")</f>
        <v>145.44</v>
      </c>
      <c r="O97" s="140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142" t="n">
        <v>45790</v>
      </c>
      <c r="S97" s="110" t="s">
        <v>1822</v>
      </c>
      <c r="T97" s="46"/>
      <c r="U97" s="142" t="n">
        <v>45758</v>
      </c>
      <c r="V97" s="46" t="s">
        <v>831</v>
      </c>
      <c r="W97" s="46" t="s">
        <v>801</v>
      </c>
      <c r="X97" s="46" t="s">
        <v>794</v>
      </c>
      <c r="Y97" s="85"/>
    </row>
    <row r="98" customFormat="false" ht="15.75" hidden="false" customHeight="true" outlineLevel="0" collapsed="false">
      <c r="A98" s="106" t="n">
        <v>54</v>
      </c>
      <c r="B98" s="107" t="s">
        <v>1823</v>
      </c>
      <c r="C98" s="106" t="s">
        <v>752</v>
      </c>
      <c r="D98" s="107" t="s">
        <v>1824</v>
      </c>
      <c r="E98" s="136" t="s">
        <v>99</v>
      </c>
      <c r="F98" s="106" t="s">
        <v>1825</v>
      </c>
      <c r="G98" s="137" t="n">
        <v>45735</v>
      </c>
      <c r="H98" s="106" t="s">
        <v>595</v>
      </c>
      <c r="I98" s="138" t="str">
        <f aca="false">IFERROR(VLOOKUP(TEXT(H98,"0"),IPRESS!$A$3:$B$212,2,0),"")</f>
        <v>POMACOCHAS</v>
      </c>
      <c r="J98" s="106" t="s">
        <v>755</v>
      </c>
      <c r="K98" s="138" t="str">
        <f aca="false">IFERROR(VLOOKUP(TEXT(O98,"0"),CONDUCTORES!$A$3:$G$100,7,0),"")</f>
        <v/>
      </c>
      <c r="L98" s="50" t="n">
        <v>18.18</v>
      </c>
      <c r="M98" s="50" t="n">
        <v>8</v>
      </c>
      <c r="N98" s="139" t="n">
        <f aca="false">IFERROR(IF(L98*M98=0,"",L98*M98),"")</f>
        <v>145.44</v>
      </c>
      <c r="O98" s="85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37" t="n">
        <v>45790</v>
      </c>
      <c r="S98" s="107" t="s">
        <v>1826</v>
      </c>
      <c r="T98" s="136"/>
      <c r="U98" s="137" t="n">
        <v>45768</v>
      </c>
      <c r="V98" s="106" t="s">
        <v>831</v>
      </c>
      <c r="W98" s="106" t="s">
        <v>801</v>
      </c>
      <c r="X98" s="106" t="s">
        <v>794</v>
      </c>
      <c r="Y98" s="85"/>
    </row>
    <row r="99" customFormat="false" ht="15.75" hidden="false" customHeight="true" outlineLevel="0" collapsed="false">
      <c r="A99" s="46" t="n">
        <v>55</v>
      </c>
      <c r="B99" s="110" t="s">
        <v>1827</v>
      </c>
      <c r="C99" s="46" t="s">
        <v>752</v>
      </c>
      <c r="D99" s="110" t="s">
        <v>1828</v>
      </c>
      <c r="E99" s="46" t="s">
        <v>99</v>
      </c>
      <c r="F99" s="46" t="s">
        <v>1829</v>
      </c>
      <c r="G99" s="142" t="n">
        <v>45736</v>
      </c>
      <c r="H99" s="46" t="s">
        <v>595</v>
      </c>
      <c r="I99" s="138" t="str">
        <f aca="false">IFERROR(VLOOKUP(TEXT(H99,"0"),IPRESS!$A$3:$B$212,2,0),"")</f>
        <v>POMACOCHAS</v>
      </c>
      <c r="J99" s="46" t="s">
        <v>755</v>
      </c>
      <c r="K99" s="138" t="str">
        <f aca="false">IFERROR(VLOOKUP(TEXT(O99,"0"),CONDUCTORES!$A$3:$G$100,7,0),"")</f>
        <v/>
      </c>
      <c r="L99" s="44" t="n">
        <v>18.18</v>
      </c>
      <c r="M99" s="44" t="n">
        <v>8</v>
      </c>
      <c r="N99" s="139" t="n">
        <f aca="false">IFERROR(IF(L99*M99=0,"",L99*M99),"")</f>
        <v>145.44</v>
      </c>
      <c r="O99" s="140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142" t="n">
        <v>45790</v>
      </c>
      <c r="S99" s="110" t="s">
        <v>847</v>
      </c>
      <c r="T99" s="46"/>
      <c r="U99" s="142" t="n">
        <v>45768</v>
      </c>
      <c r="V99" s="46" t="s">
        <v>831</v>
      </c>
      <c r="W99" s="46" t="s">
        <v>801</v>
      </c>
      <c r="X99" s="46" t="s">
        <v>794</v>
      </c>
      <c r="Y99" s="85"/>
    </row>
    <row r="100" customFormat="false" ht="15.75" hidden="false" customHeight="true" outlineLevel="0" collapsed="false">
      <c r="A100" s="106" t="n">
        <v>56</v>
      </c>
      <c r="B100" s="107" t="s">
        <v>1830</v>
      </c>
      <c r="C100" s="106" t="s">
        <v>752</v>
      </c>
      <c r="D100" s="107" t="s">
        <v>1831</v>
      </c>
      <c r="E100" s="136" t="s">
        <v>99</v>
      </c>
      <c r="F100" s="106" t="s">
        <v>1832</v>
      </c>
      <c r="G100" s="137" t="n">
        <v>45740</v>
      </c>
      <c r="H100" s="106" t="s">
        <v>595</v>
      </c>
      <c r="I100" s="138" t="str">
        <f aca="false">IFERROR(VLOOKUP(TEXT(H100,"0"),IPRESS!$A$3:$B$212,2,0),"")</f>
        <v>POMACOCHAS</v>
      </c>
      <c r="J100" s="106" t="s">
        <v>755</v>
      </c>
      <c r="K100" s="138" t="str">
        <f aca="false">IFERROR(VLOOKUP(TEXT(O100,"0"),CONDUCTORES!$A$3:$G$100,7,0),"")</f>
        <v/>
      </c>
      <c r="L100" s="50" t="n">
        <v>18.18</v>
      </c>
      <c r="M100" s="50" t="n">
        <v>8</v>
      </c>
      <c r="N100" s="139" t="n">
        <f aca="false">IFERROR(IF(L100*M100=0,"",L100*M100),"")</f>
        <v>145.44</v>
      </c>
      <c r="O100" s="85"/>
      <c r="P100" s="138" t="str">
        <f aca="false">IFERROR(VLOOKUP(TEXT(O100,"0"),CONDUCTORES!$A$3:$G$100,2,0),"")</f>
        <v/>
      </c>
      <c r="Q100" s="138" t="str">
        <f aca="false">IFERROR(VLOOKUP(TEXT(O100,"0"),CONDUCTORES!$A$3:$H$100,6,0),"")</f>
        <v/>
      </c>
      <c r="R100" s="137" t="n">
        <v>45790</v>
      </c>
      <c r="S100" s="107" t="s">
        <v>1484</v>
      </c>
      <c r="T100" s="136"/>
      <c r="U100" s="137" t="n">
        <v>45772</v>
      </c>
      <c r="V100" s="106" t="s">
        <v>831</v>
      </c>
      <c r="W100" s="106" t="s">
        <v>801</v>
      </c>
      <c r="X100" s="106" t="s">
        <v>794</v>
      </c>
      <c r="Y100" s="85"/>
    </row>
    <row r="101" customFormat="false" ht="15.75" hidden="false" customHeight="true" outlineLevel="0" collapsed="false">
      <c r="A101" s="46" t="n">
        <v>57</v>
      </c>
      <c r="B101" s="110" t="s">
        <v>1833</v>
      </c>
      <c r="C101" s="46" t="s">
        <v>752</v>
      </c>
      <c r="D101" s="110" t="s">
        <v>1834</v>
      </c>
      <c r="E101" s="46" t="s">
        <v>99</v>
      </c>
      <c r="F101" s="46" t="s">
        <v>1515</v>
      </c>
      <c r="G101" s="142" t="n">
        <v>45742</v>
      </c>
      <c r="H101" s="46" t="s">
        <v>595</v>
      </c>
      <c r="I101" s="138" t="str">
        <f aca="false">IFERROR(VLOOKUP(TEXT(H101,"0"),IPRESS!$A$3:$B$212,2,0),"")</f>
        <v>POMACOCHAS</v>
      </c>
      <c r="J101" s="46" t="s">
        <v>755</v>
      </c>
      <c r="K101" s="138" t="str">
        <f aca="false">IFERROR(VLOOKUP(TEXT(O101,"0"),CONDUCTORES!$A$3:$G$100,7,0),"")</f>
        <v/>
      </c>
      <c r="L101" s="44" t="n">
        <v>18.18</v>
      </c>
      <c r="M101" s="44" t="n">
        <v>8</v>
      </c>
      <c r="N101" s="139" t="n">
        <f aca="false">IFERROR(IF(L101*M101=0,"",L101*M101),"")</f>
        <v>145.44</v>
      </c>
      <c r="O101" s="140"/>
      <c r="P101" s="138" t="str">
        <f aca="false">IFERROR(VLOOKUP(TEXT(O101,"0"),CONDUCTORES!$A$3:$G$100,2,0),"")</f>
        <v/>
      </c>
      <c r="Q101" s="138" t="str">
        <f aca="false">IFERROR(VLOOKUP(TEXT(O101,"0"),CONDUCTORES!$A$3:$H$100,6,0),"")</f>
        <v/>
      </c>
      <c r="R101" s="142" t="n">
        <v>45790</v>
      </c>
      <c r="S101" s="110" t="s">
        <v>1835</v>
      </c>
      <c r="T101" s="46"/>
      <c r="U101" s="142" t="n">
        <v>45772</v>
      </c>
      <c r="V101" s="46" t="s">
        <v>831</v>
      </c>
      <c r="W101" s="46" t="s">
        <v>801</v>
      </c>
      <c r="X101" s="46" t="s">
        <v>794</v>
      </c>
      <c r="Y101" s="85"/>
    </row>
    <row r="102" customFormat="false" ht="15.75" hidden="false" customHeight="true" outlineLevel="0" collapsed="false">
      <c r="A102" s="106" t="n">
        <v>58</v>
      </c>
      <c r="B102" s="107" t="s">
        <v>1636</v>
      </c>
      <c r="C102" s="106" t="s">
        <v>752</v>
      </c>
      <c r="D102" s="107" t="s">
        <v>1836</v>
      </c>
      <c r="E102" s="136" t="s">
        <v>99</v>
      </c>
      <c r="F102" s="106" t="s">
        <v>1837</v>
      </c>
      <c r="G102" s="137" t="n">
        <v>45730</v>
      </c>
      <c r="H102" s="106" t="s">
        <v>608</v>
      </c>
      <c r="I102" s="138" t="str">
        <f aca="false">IFERROR(VLOOKUP(TEXT(H102,"0"),IPRESS!$A$3:$B$212,2,0),"")</f>
        <v>QUILLUNYA</v>
      </c>
      <c r="J102" s="106" t="s">
        <v>755</v>
      </c>
      <c r="K102" s="138" t="str">
        <f aca="false">IFERROR(VLOOKUP(TEXT(O102,"0"),CONDUCTORES!$A$3:$G$100,7,0),"")</f>
        <v/>
      </c>
      <c r="L102" s="50" t="n">
        <v>18.18</v>
      </c>
      <c r="M102" s="50" t="n">
        <v>8</v>
      </c>
      <c r="N102" s="139" t="n">
        <f aca="false">IFERROR(IF(L102*M102=0,"",L102*M102),"")</f>
        <v>145.44</v>
      </c>
      <c r="O102" s="85"/>
      <c r="P102" s="138" t="str">
        <f aca="false">IFERROR(VLOOKUP(TEXT(O102,"0"),CONDUCTORES!$A$3:$G$100,2,0),"")</f>
        <v/>
      </c>
      <c r="Q102" s="138" t="str">
        <f aca="false">IFERROR(VLOOKUP(TEXT(O102,"0"),CONDUCTORES!$A$3:$H$100,6,0),"")</f>
        <v/>
      </c>
      <c r="R102" s="137" t="n">
        <v>45828</v>
      </c>
      <c r="S102" s="107" t="s">
        <v>1550</v>
      </c>
      <c r="T102" s="136"/>
      <c r="U102" s="137" t="n">
        <v>45768</v>
      </c>
      <c r="V102" s="106"/>
      <c r="W102" s="106"/>
      <c r="X102" s="106"/>
      <c r="Y102" s="85"/>
    </row>
    <row r="103" customFormat="false" ht="15.75" hidden="false" customHeight="true" outlineLevel="0" collapsed="false">
      <c r="A103" s="143" t="n">
        <v>59</v>
      </c>
      <c r="B103" s="144" t="s">
        <v>1501</v>
      </c>
      <c r="C103" s="143" t="s">
        <v>752</v>
      </c>
      <c r="D103" s="144" t="s">
        <v>1838</v>
      </c>
      <c r="E103" s="143" t="s">
        <v>99</v>
      </c>
      <c r="F103" s="143" t="s">
        <v>1839</v>
      </c>
      <c r="G103" s="145" t="n">
        <v>45719</v>
      </c>
      <c r="H103" s="143" t="s">
        <v>622</v>
      </c>
      <c r="I103" s="138" t="str">
        <f aca="false">IFERROR(VLOOKUP(TEXT(H103,"0"),IPRESS!$A$3:$B$212,2,0),"")</f>
        <v>SALAZAR</v>
      </c>
      <c r="J103" s="143" t="s">
        <v>1216</v>
      </c>
      <c r="K103" s="138" t="str">
        <f aca="false">IFERROR(VLOOKUP(TEXT(O103,"0"),CONDUCTORES!$A$3:$G$100,7,0),"")</f>
        <v/>
      </c>
      <c r="L103" s="146" t="n">
        <v>17.95</v>
      </c>
      <c r="M103" s="146" t="n">
        <v>14</v>
      </c>
      <c r="N103" s="139" t="n">
        <f aca="false">IFERROR(IF(L103*M103=0,"",L103*M103),"")</f>
        <v>251.3</v>
      </c>
      <c r="O103" s="140"/>
      <c r="P103" s="138" t="str">
        <f aca="false">IFERROR(VLOOKUP(TEXT(O103,"0"),CONDUCTORES!$A$3:$G$100,2,0),"")</f>
        <v/>
      </c>
      <c r="Q103" s="138" t="str">
        <f aca="false">IFERROR(VLOOKUP(TEXT(O103,"0"),CONDUCTORES!$A$3:$H$100,6,0),"")</f>
        <v/>
      </c>
      <c r="R103" s="147" t="s">
        <v>1840</v>
      </c>
      <c r="S103" s="144" t="s">
        <v>891</v>
      </c>
      <c r="T103" s="143"/>
      <c r="U103" s="145" t="n">
        <v>45731</v>
      </c>
      <c r="V103" s="143"/>
      <c r="W103" s="143"/>
      <c r="X103" s="143"/>
      <c r="Y103" s="85"/>
    </row>
    <row r="104" customFormat="false" ht="15.75" hidden="false" customHeight="true" outlineLevel="0" collapsed="false">
      <c r="A104" s="143" t="n">
        <v>57</v>
      </c>
      <c r="B104" s="144" t="s">
        <v>1507</v>
      </c>
      <c r="C104" s="143" t="s">
        <v>752</v>
      </c>
      <c r="D104" s="144" t="s">
        <v>1841</v>
      </c>
      <c r="E104" s="143" t="s">
        <v>99</v>
      </c>
      <c r="F104" s="143" t="s">
        <v>1842</v>
      </c>
      <c r="G104" s="145" t="n">
        <v>45744</v>
      </c>
      <c r="H104" s="143" t="s">
        <v>622</v>
      </c>
      <c r="I104" s="138" t="str">
        <f aca="false">IFERROR(VLOOKUP(TEXT(H104,"0"),IPRESS!$A$3:$B$212,2,0),"")</f>
        <v>SALAZAR</v>
      </c>
      <c r="J104" s="143" t="s">
        <v>581</v>
      </c>
      <c r="K104" s="138" t="str">
        <f aca="false">IFERROR(VLOOKUP(TEXT(O104,"0"),CONDUCTORES!$A$3:$G$100,7,0),"")</f>
        <v/>
      </c>
      <c r="L104" s="146" t="n">
        <v>17.95</v>
      </c>
      <c r="M104" s="146" t="n">
        <v>20</v>
      </c>
      <c r="N104" s="139" t="n">
        <f aca="false">IFERROR(IF(L104*M104=0,"",L104*M104),"")</f>
        <v>359</v>
      </c>
      <c r="O104" s="85"/>
      <c r="P104" s="138" t="str">
        <f aca="false">IFERROR(VLOOKUP(TEXT(O104,"0"),CONDUCTORES!$A$3:$G$100,2,0),"")</f>
        <v/>
      </c>
      <c r="Q104" s="138" t="str">
        <f aca="false">IFERROR(VLOOKUP(TEXT(O104,"0"),CONDUCTORES!$A$3:$H$100,6,0),"")</f>
        <v/>
      </c>
      <c r="R104" s="147" t="s">
        <v>1840</v>
      </c>
      <c r="S104" s="144" t="s">
        <v>815</v>
      </c>
      <c r="T104" s="143"/>
      <c r="U104" s="145" t="n">
        <v>45770</v>
      </c>
      <c r="V104" s="143"/>
      <c r="W104" s="143"/>
      <c r="X104" s="143"/>
      <c r="Y104" s="85"/>
    </row>
    <row r="105" customFormat="false" ht="15.75" hidden="false" customHeight="true" outlineLevel="0" collapsed="false">
      <c r="A105" s="46" t="n">
        <v>58</v>
      </c>
      <c r="B105" s="110" t="s">
        <v>1559</v>
      </c>
      <c r="C105" s="46" t="s">
        <v>752</v>
      </c>
      <c r="D105" s="110" t="s">
        <v>1843</v>
      </c>
      <c r="E105" s="46" t="s">
        <v>99</v>
      </c>
      <c r="F105" s="46" t="s">
        <v>1844</v>
      </c>
      <c r="G105" s="142" t="n">
        <v>45735</v>
      </c>
      <c r="H105" s="46" t="s">
        <v>645</v>
      </c>
      <c r="I105" s="138" t="str">
        <f aca="false">IFERROR(VLOOKUP(TEXT(H105,"0"),IPRESS!$A$3:$B$212,2,0),"")</f>
        <v>SAN JUAN DE OCUMAL</v>
      </c>
      <c r="J105" s="46" t="s">
        <v>755</v>
      </c>
      <c r="K105" s="138" t="str">
        <f aca="false">IFERROR(VLOOKUP(TEXT(O105,"0"),CONDUCTORES!$A$3:$G$100,7,0),"")</f>
        <v/>
      </c>
      <c r="L105" s="44" t="n">
        <v>18.18</v>
      </c>
      <c r="M105" s="44" t="n">
        <v>20</v>
      </c>
      <c r="N105" s="139" t="n">
        <f aca="false">IFERROR(IF(L105*M105=0,"",L105*M105),"")</f>
        <v>363.6</v>
      </c>
      <c r="O105" s="140"/>
      <c r="P105" s="138" t="str">
        <f aca="false">IFERROR(VLOOKUP(TEXT(O105,"0"),CONDUCTORES!$A$3:$G$100,2,0),"")</f>
        <v/>
      </c>
      <c r="Q105" s="138" t="str">
        <f aca="false">IFERROR(VLOOKUP(TEXT(O105,"0"),CONDUCTORES!$A$3:$H$100,6,0),"")</f>
        <v/>
      </c>
      <c r="R105" s="85" t="s">
        <v>937</v>
      </c>
      <c r="S105" s="110" t="s">
        <v>1845</v>
      </c>
      <c r="T105" s="46"/>
      <c r="U105" s="142" t="n">
        <v>45768</v>
      </c>
      <c r="V105" s="46"/>
      <c r="W105" s="46"/>
      <c r="X105" s="46"/>
      <c r="Y105" s="85"/>
    </row>
    <row r="106" customFormat="false" ht="15.75" hidden="false" customHeight="true" outlineLevel="0" collapsed="false">
      <c r="A106" s="106" t="n">
        <v>59</v>
      </c>
      <c r="B106" s="107" t="s">
        <v>836</v>
      </c>
      <c r="C106" s="106" t="s">
        <v>752</v>
      </c>
      <c r="D106" s="107" t="s">
        <v>1846</v>
      </c>
      <c r="E106" s="136" t="s">
        <v>99</v>
      </c>
      <c r="F106" s="106" t="s">
        <v>1847</v>
      </c>
      <c r="G106" s="137" t="n">
        <v>45747</v>
      </c>
      <c r="H106" s="106" t="s">
        <v>659</v>
      </c>
      <c r="I106" s="138" t="str">
        <f aca="false">IFERROR(VLOOKUP(TEXT(H106,"0"),IPRESS!$A$3:$B$212,2,0),"")</f>
        <v>SAN SALVADOR</v>
      </c>
      <c r="J106" s="106" t="s">
        <v>755</v>
      </c>
      <c r="K106" s="138" t="str">
        <f aca="false">IFERROR(VLOOKUP(TEXT(O106,"0"),CONDUCTORES!$A$3:$G$100,7,0),"")</f>
        <v/>
      </c>
      <c r="L106" s="50" t="n">
        <v>18.18</v>
      </c>
      <c r="M106" s="50" t="n">
        <v>10</v>
      </c>
      <c r="N106" s="139" t="n">
        <f aca="false">IFERROR(IF(L106*M106=0,"",L106*M106),"")</f>
        <v>181.8</v>
      </c>
      <c r="O106" s="85"/>
      <c r="P106" s="138" t="str">
        <f aca="false">IFERROR(VLOOKUP(TEXT(O106,"0"),CONDUCTORES!$A$3:$G$100,2,0),"")</f>
        <v/>
      </c>
      <c r="Q106" s="138" t="str">
        <f aca="false">IFERROR(VLOOKUP(TEXT(O106,"0"),CONDUCTORES!$A$3:$H$100,6,0),"")</f>
        <v/>
      </c>
      <c r="R106" s="137" t="n">
        <v>45789</v>
      </c>
      <c r="S106" s="107" t="s">
        <v>1803</v>
      </c>
      <c r="T106" s="136"/>
      <c r="U106" s="137" t="n">
        <v>45776</v>
      </c>
      <c r="V106" s="106" t="s">
        <v>800</v>
      </c>
      <c r="W106" s="106" t="s">
        <v>801</v>
      </c>
      <c r="X106" s="106" t="s">
        <v>794</v>
      </c>
      <c r="Y106" s="85"/>
    </row>
    <row r="107" customFormat="false" ht="15.75" hidden="false" customHeight="true" outlineLevel="0" collapsed="false">
      <c r="A107" s="46" t="n">
        <v>60</v>
      </c>
      <c r="B107" s="110" t="s">
        <v>1501</v>
      </c>
      <c r="C107" s="46" t="s">
        <v>752</v>
      </c>
      <c r="D107" s="110" t="s">
        <v>803</v>
      </c>
      <c r="E107" s="46" t="s">
        <v>99</v>
      </c>
      <c r="F107" s="46" t="s">
        <v>804</v>
      </c>
      <c r="G107" s="142" t="n">
        <v>45718</v>
      </c>
      <c r="H107" s="46" t="s">
        <v>665</v>
      </c>
      <c r="I107" s="138" t="str">
        <f aca="false">IFERROR(VLOOKUP(TEXT(H107,"0"),IPRESS!$A$3:$B$212,2,0),"")</f>
        <v>SANTO TOMAS</v>
      </c>
      <c r="J107" s="46" t="s">
        <v>755</v>
      </c>
      <c r="K107" s="138" t="str">
        <f aca="false">IFERROR(VLOOKUP(TEXT(O107,"0"),CONDUCTORES!$A$3:$G$100,7,0),"")</f>
        <v/>
      </c>
      <c r="L107" s="44" t="n">
        <v>18.18</v>
      </c>
      <c r="M107" s="44" t="n">
        <v>10</v>
      </c>
      <c r="N107" s="139" t="n">
        <f aca="false">IFERROR(IF(L107*M107=0,"",L107*M107),"")</f>
        <v>181.8</v>
      </c>
      <c r="O107" s="140"/>
      <c r="P107" s="138" t="str">
        <f aca="false">IFERROR(VLOOKUP(TEXT(O107,"0"),CONDUCTORES!$A$3:$G$100,2,0),"")</f>
        <v/>
      </c>
      <c r="Q107" s="138" t="str">
        <f aca="false">IFERROR(VLOOKUP(TEXT(O107,"0"),CONDUCTORES!$A$3:$H$100,6,0),"")</f>
        <v/>
      </c>
      <c r="R107" s="142" t="n">
        <v>45789</v>
      </c>
      <c r="S107" s="110" t="s">
        <v>1848</v>
      </c>
      <c r="T107" s="46"/>
      <c r="U107" s="142" t="n">
        <v>45744</v>
      </c>
      <c r="V107" s="46" t="s">
        <v>800</v>
      </c>
      <c r="W107" s="46" t="s">
        <v>801</v>
      </c>
      <c r="X107" s="46" t="s">
        <v>794</v>
      </c>
      <c r="Y107" s="85"/>
    </row>
    <row r="108" customFormat="false" ht="15.75" hidden="false" customHeight="true" outlineLevel="0" collapsed="false">
      <c r="A108" s="106" t="n">
        <v>61</v>
      </c>
      <c r="B108" s="107" t="s">
        <v>1507</v>
      </c>
      <c r="C108" s="106" t="s">
        <v>752</v>
      </c>
      <c r="D108" s="107" t="s">
        <v>1849</v>
      </c>
      <c r="E108" s="136" t="s">
        <v>99</v>
      </c>
      <c r="F108" s="106" t="s">
        <v>1850</v>
      </c>
      <c r="G108" s="137" t="n">
        <v>45719</v>
      </c>
      <c r="H108" s="106" t="s">
        <v>665</v>
      </c>
      <c r="I108" s="138" t="str">
        <f aca="false">IFERROR(VLOOKUP(TEXT(H108,"0"),IPRESS!$A$3:$B$212,2,0),"")</f>
        <v>SANTO TOMAS</v>
      </c>
      <c r="J108" s="106" t="s">
        <v>755</v>
      </c>
      <c r="K108" s="138" t="str">
        <f aca="false">IFERROR(VLOOKUP(TEXT(O108,"0"),CONDUCTORES!$A$3:$G$100,7,0),"")</f>
        <v/>
      </c>
      <c r="L108" s="50" t="n">
        <v>18.18</v>
      </c>
      <c r="M108" s="50" t="n">
        <v>10</v>
      </c>
      <c r="N108" s="139" t="n">
        <f aca="false">IFERROR(IF(L108*M108=0,"",L108*M108),"")</f>
        <v>181.8</v>
      </c>
      <c r="O108" s="85"/>
      <c r="P108" s="138" t="str">
        <f aca="false">IFERROR(VLOOKUP(TEXT(O108,"0"),CONDUCTORES!$A$3:$G$100,2,0),"")</f>
        <v/>
      </c>
      <c r="Q108" s="138" t="str">
        <f aca="false">IFERROR(VLOOKUP(TEXT(O108,"0"),CONDUCTORES!$A$3:$H$100,6,0),"")</f>
        <v/>
      </c>
      <c r="R108" s="137" t="n">
        <v>45789</v>
      </c>
      <c r="S108" s="107" t="s">
        <v>1851</v>
      </c>
      <c r="T108" s="136"/>
      <c r="U108" s="137" t="n">
        <v>45744</v>
      </c>
      <c r="V108" s="106" t="s">
        <v>800</v>
      </c>
      <c r="W108" s="106" t="s">
        <v>801</v>
      </c>
      <c r="X108" s="106" t="s">
        <v>794</v>
      </c>
      <c r="Y108" s="85"/>
    </row>
    <row r="109" customFormat="false" ht="15.75" hidden="false" customHeight="true" outlineLevel="0" collapsed="false">
      <c r="A109" s="46" t="n">
        <v>62</v>
      </c>
      <c r="B109" s="110" t="s">
        <v>1513</v>
      </c>
      <c r="C109" s="46" t="s">
        <v>752</v>
      </c>
      <c r="D109" s="110" t="s">
        <v>1852</v>
      </c>
      <c r="E109" s="46" t="s">
        <v>99</v>
      </c>
      <c r="F109" s="46" t="s">
        <v>1853</v>
      </c>
      <c r="G109" s="142" t="n">
        <v>45737</v>
      </c>
      <c r="H109" s="46" t="s">
        <v>665</v>
      </c>
      <c r="I109" s="138" t="str">
        <f aca="false">IFERROR(VLOOKUP(TEXT(H109,"0"),IPRESS!$A$3:$B$212,2,0),"")</f>
        <v>SANTO TOMAS</v>
      </c>
      <c r="J109" s="46" t="s">
        <v>755</v>
      </c>
      <c r="K109" s="138" t="str">
        <f aca="false">IFERROR(VLOOKUP(TEXT(O109,"0"),CONDUCTORES!$A$3:$G$100,7,0),"")</f>
        <v/>
      </c>
      <c r="L109" s="44" t="n">
        <v>18.18</v>
      </c>
      <c r="M109" s="44" t="n">
        <v>10</v>
      </c>
      <c r="N109" s="139" t="n">
        <f aca="false">IFERROR(IF(L109*M109=0,"",L109*M109),"")</f>
        <v>181.8</v>
      </c>
      <c r="O109" s="140"/>
      <c r="P109" s="138" t="str">
        <f aca="false">IFERROR(VLOOKUP(TEXT(O109,"0"),CONDUCTORES!$A$3:$G$100,2,0),"")</f>
        <v/>
      </c>
      <c r="Q109" s="138" t="str">
        <f aca="false">IFERROR(VLOOKUP(TEXT(O109,"0"),CONDUCTORES!$A$3:$H$100,6,0),"")</f>
        <v/>
      </c>
      <c r="R109" s="142" t="n">
        <v>45789</v>
      </c>
      <c r="S109" s="110" t="s">
        <v>1854</v>
      </c>
      <c r="T109" s="46"/>
      <c r="U109" s="142" t="n">
        <v>45768</v>
      </c>
      <c r="V109" s="46" t="s">
        <v>800</v>
      </c>
      <c r="W109" s="46" t="s">
        <v>801</v>
      </c>
      <c r="X109" s="46" t="s">
        <v>794</v>
      </c>
      <c r="Y109" s="85"/>
    </row>
    <row r="110" customFormat="false" ht="15.75" hidden="false" customHeight="true" outlineLevel="0" collapsed="false">
      <c r="A110" s="106" t="n">
        <v>63</v>
      </c>
      <c r="B110" s="107" t="s">
        <v>1622</v>
      </c>
      <c r="C110" s="106" t="s">
        <v>752</v>
      </c>
      <c r="D110" s="107" t="s">
        <v>1855</v>
      </c>
      <c r="E110" s="136" t="s">
        <v>99</v>
      </c>
      <c r="F110" s="106" t="s">
        <v>1856</v>
      </c>
      <c r="G110" s="137" t="n">
        <v>45722</v>
      </c>
      <c r="H110" s="106" t="s">
        <v>692</v>
      </c>
      <c r="I110" s="138" t="str">
        <f aca="false">IFERROR(VLOOKUP(TEXT(H110,"0"),IPRESS!$A$3:$B$212,2,0),"")</f>
        <v>TINGO</v>
      </c>
      <c r="J110" s="106" t="s">
        <v>755</v>
      </c>
      <c r="K110" s="138" t="str">
        <f aca="false">IFERROR(VLOOKUP(TEXT(O110,"0"),CONDUCTORES!$A$3:$G$100,7,0),"")</f>
        <v/>
      </c>
      <c r="L110" s="50" t="n">
        <v>18.18</v>
      </c>
      <c r="M110" s="50" t="n">
        <v>5</v>
      </c>
      <c r="N110" s="139" t="n">
        <f aca="false">IFERROR(IF(L110*M110=0,"",L110*M110),"")</f>
        <v>90.9</v>
      </c>
      <c r="O110" s="85"/>
      <c r="P110" s="138" t="str">
        <f aca="false">IFERROR(VLOOKUP(TEXT(O110,"0"),CONDUCTORES!$A$3:$G$100,2,0),"")</f>
        <v/>
      </c>
      <c r="Q110" s="138" t="str">
        <f aca="false">IFERROR(VLOOKUP(TEXT(O110,"0"),CONDUCTORES!$A$3:$H$100,6,0),"")</f>
        <v/>
      </c>
      <c r="R110" s="140" t="s">
        <v>1857</v>
      </c>
      <c r="S110" s="107" t="s">
        <v>1858</v>
      </c>
      <c r="T110" s="136"/>
      <c r="U110" s="137" t="n">
        <v>45747</v>
      </c>
      <c r="V110" s="106" t="s">
        <v>1448</v>
      </c>
      <c r="W110" s="106" t="s">
        <v>801</v>
      </c>
      <c r="X110" s="106" t="s">
        <v>794</v>
      </c>
      <c r="Y110" s="85"/>
    </row>
    <row r="111" customFormat="false" ht="15.75" hidden="false" customHeight="true" outlineLevel="0" collapsed="false">
      <c r="A111" s="46" t="n">
        <v>61</v>
      </c>
      <c r="B111" s="110" t="s">
        <v>1603</v>
      </c>
      <c r="C111" s="46" t="s">
        <v>752</v>
      </c>
      <c r="D111" s="110" t="s">
        <v>1859</v>
      </c>
      <c r="E111" s="46" t="s">
        <v>99</v>
      </c>
      <c r="F111" s="46" t="s">
        <v>1860</v>
      </c>
      <c r="G111" s="142" t="n">
        <v>45724</v>
      </c>
      <c r="H111" s="46" t="s">
        <v>692</v>
      </c>
      <c r="I111" s="138" t="str">
        <f aca="false">IFERROR(VLOOKUP(TEXT(H111,"0"),IPRESS!$A$3:$B$212,2,0),"")</f>
        <v>TINGO</v>
      </c>
      <c r="J111" s="46" t="s">
        <v>755</v>
      </c>
      <c r="K111" s="138" t="str">
        <f aca="false">IFERROR(VLOOKUP(TEXT(O111,"0"),CONDUCTORES!$A$3:$G$100,7,0),"")</f>
        <v/>
      </c>
      <c r="L111" s="44" t="n">
        <v>18.18</v>
      </c>
      <c r="M111" s="44" t="n">
        <v>5</v>
      </c>
      <c r="N111" s="139" t="n">
        <f aca="false">IFERROR(IF(L111*M111=0,"",L111*M111),"")</f>
        <v>90.9</v>
      </c>
      <c r="O111" s="140"/>
      <c r="P111" s="138" t="str">
        <f aca="false">IFERROR(VLOOKUP(TEXT(O111,"0"),CONDUCTORES!$A$3:$G$100,2,0),"")</f>
        <v/>
      </c>
      <c r="Q111" s="138" t="str">
        <f aca="false">IFERROR(VLOOKUP(TEXT(O111,"0"),CONDUCTORES!$A$3:$H$100,6,0),"")</f>
        <v/>
      </c>
      <c r="R111" s="142" t="n">
        <v>45791</v>
      </c>
      <c r="S111" s="110" t="s">
        <v>1861</v>
      </c>
      <c r="T111" s="46"/>
      <c r="U111" s="142" t="n">
        <v>45747</v>
      </c>
      <c r="V111" s="46" t="s">
        <v>1448</v>
      </c>
      <c r="W111" s="46" t="s">
        <v>801</v>
      </c>
      <c r="X111" s="46" t="s">
        <v>794</v>
      </c>
      <c r="Y111" s="85"/>
    </row>
    <row r="112" customFormat="false" ht="15.75" hidden="false" customHeight="true" outlineLevel="0" collapsed="false">
      <c r="A112" s="106" t="n">
        <v>62</v>
      </c>
      <c r="B112" s="107" t="s">
        <v>1608</v>
      </c>
      <c r="C112" s="106" t="s">
        <v>752</v>
      </c>
      <c r="D112" s="107" t="s">
        <v>1862</v>
      </c>
      <c r="E112" s="136" t="s">
        <v>99</v>
      </c>
      <c r="F112" s="106" t="s">
        <v>1863</v>
      </c>
      <c r="G112" s="137" t="n">
        <v>45725</v>
      </c>
      <c r="H112" s="106" t="s">
        <v>692</v>
      </c>
      <c r="I112" s="138" t="str">
        <f aca="false">IFERROR(VLOOKUP(TEXT(H112,"0"),IPRESS!$A$3:$B$212,2,0),"")</f>
        <v>TINGO</v>
      </c>
      <c r="J112" s="106" t="s">
        <v>692</v>
      </c>
      <c r="K112" s="138" t="str">
        <f aca="false">IFERROR(VLOOKUP(TEXT(O112,"0"),CONDUCTORES!$A$3:$G$100,7,0),"")</f>
        <v/>
      </c>
      <c r="L112" s="50" t="n">
        <v>18.18</v>
      </c>
      <c r="M112" s="50" t="n">
        <v>5</v>
      </c>
      <c r="N112" s="139" t="n">
        <f aca="false">IFERROR(IF(L112*M112=0,"",L112*M112),"")</f>
        <v>90.9</v>
      </c>
      <c r="O112" s="85"/>
      <c r="P112" s="138" t="str">
        <f aca="false">IFERROR(VLOOKUP(TEXT(O112,"0"),CONDUCTORES!$A$3:$G$100,2,0),"")</f>
        <v/>
      </c>
      <c r="Q112" s="138" t="str">
        <f aca="false">IFERROR(VLOOKUP(TEXT(O112,"0"),CONDUCTORES!$A$3:$H$100,6,0),"")</f>
        <v/>
      </c>
      <c r="R112" s="137" t="n">
        <v>45791</v>
      </c>
      <c r="S112" s="107" t="s">
        <v>1864</v>
      </c>
      <c r="T112" s="136"/>
      <c r="U112" s="137" t="n">
        <v>45749</v>
      </c>
      <c r="V112" s="106" t="s">
        <v>1448</v>
      </c>
      <c r="W112" s="106" t="s">
        <v>801</v>
      </c>
      <c r="X112" s="106" t="s">
        <v>794</v>
      </c>
      <c r="Y112" s="85"/>
    </row>
    <row r="113" customFormat="false" ht="15.75" hidden="false" customHeight="true" outlineLevel="0" collapsed="false">
      <c r="A113" s="46" t="n">
        <v>63</v>
      </c>
      <c r="B113" s="110" t="s">
        <v>1627</v>
      </c>
      <c r="C113" s="46" t="s">
        <v>752</v>
      </c>
      <c r="D113" s="110" t="s">
        <v>1865</v>
      </c>
      <c r="E113" s="46" t="s">
        <v>99</v>
      </c>
      <c r="F113" s="46" t="s">
        <v>1866</v>
      </c>
      <c r="G113" s="142" t="n">
        <v>45727</v>
      </c>
      <c r="H113" s="46" t="s">
        <v>692</v>
      </c>
      <c r="I113" s="138" t="str">
        <f aca="false">IFERROR(VLOOKUP(TEXT(H113,"0"),IPRESS!$A$3:$B$212,2,0),"")</f>
        <v>TINGO</v>
      </c>
      <c r="J113" s="46" t="s">
        <v>755</v>
      </c>
      <c r="K113" s="138" t="str">
        <f aca="false">IFERROR(VLOOKUP(TEXT(O113,"0"),CONDUCTORES!$A$3:$G$100,7,0),"")</f>
        <v/>
      </c>
      <c r="L113" s="44" t="n">
        <v>18.18</v>
      </c>
      <c r="M113" s="44" t="n">
        <v>5</v>
      </c>
      <c r="N113" s="139" t="n">
        <f aca="false">IFERROR(IF(L113*M113=0,"",L113*M113),"")</f>
        <v>90.9</v>
      </c>
      <c r="O113" s="140"/>
      <c r="P113" s="138" t="str">
        <f aca="false">IFERROR(VLOOKUP(TEXT(O113,"0"),CONDUCTORES!$A$3:$G$100,2,0),"")</f>
        <v/>
      </c>
      <c r="Q113" s="138" t="str">
        <f aca="false">IFERROR(VLOOKUP(TEXT(O113,"0"),CONDUCTORES!$A$3:$H$100,6,0),"")</f>
        <v/>
      </c>
      <c r="R113" s="142" t="n">
        <v>45791</v>
      </c>
      <c r="S113" s="110" t="s">
        <v>1867</v>
      </c>
      <c r="T113" s="46"/>
      <c r="U113" s="142" t="n">
        <v>45756</v>
      </c>
      <c r="V113" s="46" t="s">
        <v>1448</v>
      </c>
      <c r="W113" s="46" t="s">
        <v>801</v>
      </c>
      <c r="X113" s="46" t="s">
        <v>794</v>
      </c>
      <c r="Y113" s="85"/>
    </row>
    <row r="114" customFormat="false" ht="15.75" hidden="false" customHeight="true" outlineLevel="0" collapsed="false">
      <c r="A114" s="106" t="n">
        <v>64</v>
      </c>
      <c r="B114" s="107" t="s">
        <v>1617</v>
      </c>
      <c r="C114" s="106" t="s">
        <v>752</v>
      </c>
      <c r="D114" s="107" t="s">
        <v>1868</v>
      </c>
      <c r="E114" s="136" t="s">
        <v>99</v>
      </c>
      <c r="F114" s="106" t="s">
        <v>1869</v>
      </c>
      <c r="G114" s="137" t="n">
        <v>45727</v>
      </c>
      <c r="H114" s="106" t="s">
        <v>692</v>
      </c>
      <c r="I114" s="138" t="str">
        <f aca="false">IFERROR(VLOOKUP(TEXT(H114,"0"),IPRESS!$A$3:$B$212,2,0),"")</f>
        <v>TINGO</v>
      </c>
      <c r="J114" s="106" t="s">
        <v>755</v>
      </c>
      <c r="K114" s="138" t="str">
        <f aca="false">IFERROR(VLOOKUP(TEXT(O114,"0"),CONDUCTORES!$A$3:$G$100,7,0),"")</f>
        <v/>
      </c>
      <c r="L114" s="50" t="n">
        <v>18.18</v>
      </c>
      <c r="M114" s="50" t="n">
        <v>5</v>
      </c>
      <c r="N114" s="139" t="n">
        <f aca="false">IFERROR(IF(L114*M114=0,"",L114*M114),"")</f>
        <v>90.9</v>
      </c>
      <c r="O114" s="85"/>
      <c r="P114" s="138" t="str">
        <f aca="false">IFERROR(VLOOKUP(TEXT(O114,"0"),CONDUCTORES!$A$3:$G$100,2,0),"")</f>
        <v/>
      </c>
      <c r="Q114" s="138" t="str">
        <f aca="false">IFERROR(VLOOKUP(TEXT(O114,"0"),CONDUCTORES!$A$3:$H$100,6,0),"")</f>
        <v/>
      </c>
      <c r="R114" s="137" t="n">
        <v>45791</v>
      </c>
      <c r="S114" s="107" t="s">
        <v>1870</v>
      </c>
      <c r="T114" s="136"/>
      <c r="U114" s="137" t="n">
        <v>45756</v>
      </c>
      <c r="V114" s="106" t="s">
        <v>1448</v>
      </c>
      <c r="W114" s="106" t="s">
        <v>801</v>
      </c>
      <c r="X114" s="106" t="s">
        <v>794</v>
      </c>
      <c r="Y114" s="85"/>
    </row>
    <row r="115" customFormat="false" ht="15.75" hidden="false" customHeight="true" outlineLevel="0" collapsed="false">
      <c r="A115" s="46" t="n">
        <v>65</v>
      </c>
      <c r="B115" s="110" t="s">
        <v>1871</v>
      </c>
      <c r="C115" s="46" t="s">
        <v>752</v>
      </c>
      <c r="D115" s="110" t="s">
        <v>1855</v>
      </c>
      <c r="E115" s="46" t="s">
        <v>99</v>
      </c>
      <c r="F115" s="46" t="s">
        <v>1856</v>
      </c>
      <c r="G115" s="142" t="n">
        <v>45735</v>
      </c>
      <c r="H115" s="46" t="s">
        <v>692</v>
      </c>
      <c r="I115" s="138" t="str">
        <f aca="false">IFERROR(VLOOKUP(TEXT(H115,"0"),IPRESS!$A$3:$B$212,2,0),"")</f>
        <v>TINGO</v>
      </c>
      <c r="J115" s="46" t="s">
        <v>755</v>
      </c>
      <c r="K115" s="138" t="str">
        <f aca="false">IFERROR(VLOOKUP(TEXT(O115,"0"),CONDUCTORES!$A$3:$G$100,7,0),"")</f>
        <v/>
      </c>
      <c r="L115" s="44" t="n">
        <v>18.18</v>
      </c>
      <c r="M115" s="44" t="n">
        <v>5</v>
      </c>
      <c r="N115" s="139" t="n">
        <f aca="false">IFERROR(IF(L115*M115=0,"",L115*M115),"")</f>
        <v>90.9</v>
      </c>
      <c r="O115" s="140"/>
      <c r="P115" s="138" t="str">
        <f aca="false">IFERROR(VLOOKUP(TEXT(O115,"0"),CONDUCTORES!$A$3:$G$100,2,0),"")</f>
        <v/>
      </c>
      <c r="Q115" s="138" t="str">
        <f aca="false">IFERROR(VLOOKUP(TEXT(O115,"0"),CONDUCTORES!$A$3:$H$100,6,0),"")</f>
        <v/>
      </c>
      <c r="R115" s="142" t="n">
        <v>45791</v>
      </c>
      <c r="S115" s="110" t="s">
        <v>1872</v>
      </c>
      <c r="T115" s="46"/>
      <c r="U115" s="142" t="n">
        <v>45768</v>
      </c>
      <c r="V115" s="46" t="s">
        <v>1448</v>
      </c>
      <c r="W115" s="46" t="s">
        <v>801</v>
      </c>
      <c r="X115" s="46" t="s">
        <v>794</v>
      </c>
      <c r="Y115" s="85"/>
    </row>
    <row r="116" customFormat="false" ht="15.75" hidden="false" customHeight="true" outlineLevel="0" collapsed="false">
      <c r="A116" s="106" t="n">
        <v>66</v>
      </c>
      <c r="B116" s="107" t="s">
        <v>1342</v>
      </c>
      <c r="C116" s="106" t="s">
        <v>752</v>
      </c>
      <c r="D116" s="107" t="s">
        <v>1873</v>
      </c>
      <c r="E116" s="136" t="s">
        <v>99</v>
      </c>
      <c r="F116" s="106" t="s">
        <v>1874</v>
      </c>
      <c r="G116" s="137" t="n">
        <v>45746</v>
      </c>
      <c r="H116" s="106" t="s">
        <v>692</v>
      </c>
      <c r="I116" s="138" t="str">
        <f aca="false">IFERROR(VLOOKUP(TEXT(H116,"0"),IPRESS!$A$3:$B$212,2,0),"")</f>
        <v>TINGO</v>
      </c>
      <c r="J116" s="106" t="s">
        <v>755</v>
      </c>
      <c r="K116" s="138" t="str">
        <f aca="false">IFERROR(VLOOKUP(TEXT(O116,"0"),CONDUCTORES!$A$3:$G$100,7,0),"")</f>
        <v/>
      </c>
      <c r="L116" s="50" t="n">
        <v>18.18</v>
      </c>
      <c r="M116" s="50" t="n">
        <v>5</v>
      </c>
      <c r="N116" s="139" t="n">
        <f aca="false">IFERROR(IF(L116*M116=0,"",L116*M116),"")</f>
        <v>90.9</v>
      </c>
      <c r="O116" s="85"/>
      <c r="P116" s="138" t="str">
        <f aca="false">IFERROR(VLOOKUP(TEXT(O116,"0"),CONDUCTORES!$A$3:$G$100,2,0),"")</f>
        <v/>
      </c>
      <c r="Q116" s="138" t="str">
        <f aca="false">IFERROR(VLOOKUP(TEXT(O116,"0"),CONDUCTORES!$A$3:$H$100,6,0),"")</f>
        <v/>
      </c>
      <c r="R116" s="137" t="n">
        <v>45791</v>
      </c>
      <c r="S116" s="107" t="s">
        <v>1875</v>
      </c>
      <c r="T116" s="136"/>
      <c r="U116" s="137" t="n">
        <v>45776</v>
      </c>
      <c r="V116" s="106" t="s">
        <v>1448</v>
      </c>
      <c r="W116" s="106" t="s">
        <v>801</v>
      </c>
      <c r="X116" s="106" t="s">
        <v>794</v>
      </c>
      <c r="Y116" s="85"/>
    </row>
    <row r="117" customFormat="false" ht="15.75" hidden="false" customHeight="true" outlineLevel="0" collapsed="false">
      <c r="A117" s="46" t="n">
        <v>67</v>
      </c>
      <c r="B117" s="110" t="s">
        <v>1613</v>
      </c>
      <c r="C117" s="46" t="s">
        <v>752</v>
      </c>
      <c r="D117" s="110" t="s">
        <v>1876</v>
      </c>
      <c r="E117" s="46" t="s">
        <v>99</v>
      </c>
      <c r="F117" s="46" t="s">
        <v>1877</v>
      </c>
      <c r="G117" s="142" t="n">
        <v>45722</v>
      </c>
      <c r="H117" s="46" t="s">
        <v>717</v>
      </c>
      <c r="I117" s="138" t="str">
        <f aca="false">IFERROR(VLOOKUP(TEXT(H117,"0"),IPRESS!$A$3:$B$212,2,0),"")</f>
        <v>YERBABUENA</v>
      </c>
      <c r="J117" s="46" t="s">
        <v>755</v>
      </c>
      <c r="K117" s="138" t="str">
        <f aca="false">IFERROR(VLOOKUP(TEXT(O117,"0"),CONDUCTORES!$A$3:$G$100,7,0),"")</f>
        <v/>
      </c>
      <c r="L117" s="44" t="n">
        <v>18.18</v>
      </c>
      <c r="M117" s="44" t="n">
        <v>6</v>
      </c>
      <c r="N117" s="139" t="n">
        <f aca="false">IFERROR(IF(L117*M117=0,"",L117*M117),"")</f>
        <v>109.08</v>
      </c>
      <c r="O117" s="140"/>
      <c r="P117" s="138" t="str">
        <f aca="false">IFERROR(VLOOKUP(TEXT(O117,"0"),CONDUCTORES!$A$3:$G$100,2,0),"")</f>
        <v/>
      </c>
      <c r="Q117" s="138" t="str">
        <f aca="false">IFERROR(VLOOKUP(TEXT(O117,"0"),CONDUCTORES!$A$3:$H$100,6,0),"")</f>
        <v/>
      </c>
      <c r="R117" s="142" t="n">
        <v>45796</v>
      </c>
      <c r="S117" s="110" t="s">
        <v>1878</v>
      </c>
      <c r="T117" s="46"/>
      <c r="U117" s="142" t="n">
        <v>45756</v>
      </c>
      <c r="V117" s="46"/>
      <c r="W117" s="46"/>
      <c r="X117" s="46"/>
      <c r="Y117" s="85"/>
    </row>
    <row r="118" customFormat="false" ht="15.75" hidden="false" customHeight="true" outlineLevel="0" collapsed="false">
      <c r="A118" s="106" t="n">
        <v>65</v>
      </c>
      <c r="B118" s="107" t="s">
        <v>1879</v>
      </c>
      <c r="C118" s="106" t="s">
        <v>752</v>
      </c>
      <c r="D118" s="107" t="s">
        <v>1880</v>
      </c>
      <c r="E118" s="136" t="s">
        <v>99</v>
      </c>
      <c r="F118" s="106" t="s">
        <v>1881</v>
      </c>
      <c r="G118" s="137" t="n">
        <v>45728</v>
      </c>
      <c r="H118" s="106" t="s">
        <v>717</v>
      </c>
      <c r="I118" s="138" t="str">
        <f aca="false">IFERROR(VLOOKUP(TEXT(H118,"0"),IPRESS!$A$3:$B$212,2,0),"")</f>
        <v>YERBABUENA</v>
      </c>
      <c r="J118" s="106" t="s">
        <v>755</v>
      </c>
      <c r="K118" s="138" t="str">
        <f aca="false">IFERROR(VLOOKUP(TEXT(O118,"0"),CONDUCTORES!$A$3:$G$100,7,0),"")</f>
        <v/>
      </c>
      <c r="L118" s="50" t="n">
        <v>18.18</v>
      </c>
      <c r="M118" s="50" t="n">
        <v>6</v>
      </c>
      <c r="N118" s="139" t="n">
        <f aca="false">IFERROR(IF(L118*M118=0,"",L118*M118),"")</f>
        <v>109.08</v>
      </c>
      <c r="O118" s="85"/>
      <c r="P118" s="138" t="str">
        <f aca="false">IFERROR(VLOOKUP(TEXT(O118,"0"),CONDUCTORES!$A$3:$G$100,2,0),"")</f>
        <v/>
      </c>
      <c r="Q118" s="138" t="str">
        <f aca="false">IFERROR(VLOOKUP(TEXT(O118,"0"),CONDUCTORES!$A$3:$H$100,6,0),"")</f>
        <v/>
      </c>
      <c r="R118" s="137" t="n">
        <v>45796</v>
      </c>
      <c r="S118" s="107" t="s">
        <v>1882</v>
      </c>
      <c r="T118" s="136"/>
      <c r="U118" s="137" t="n">
        <v>45758</v>
      </c>
      <c r="V118" s="106"/>
      <c r="W118" s="106"/>
      <c r="X118" s="106"/>
      <c r="Y118" s="85"/>
    </row>
    <row r="119" customFormat="false" ht="15.75" hidden="false" customHeight="true" outlineLevel="0" collapsed="false">
      <c r="A119" s="46" t="n">
        <v>66</v>
      </c>
      <c r="B119" s="110" t="s">
        <v>1622</v>
      </c>
      <c r="C119" s="46" t="s">
        <v>752</v>
      </c>
      <c r="D119" s="110" t="s">
        <v>1883</v>
      </c>
      <c r="E119" s="46" t="s">
        <v>99</v>
      </c>
      <c r="F119" s="46" t="s">
        <v>1884</v>
      </c>
      <c r="G119" s="142" t="n">
        <v>45736</v>
      </c>
      <c r="H119" s="46" t="s">
        <v>717</v>
      </c>
      <c r="I119" s="138" t="str">
        <f aca="false">IFERROR(VLOOKUP(TEXT(H119,"0"),IPRESS!$A$3:$B$212,2,0),"")</f>
        <v>YERBABUENA</v>
      </c>
      <c r="J119" s="46" t="s">
        <v>755</v>
      </c>
      <c r="K119" s="138" t="str">
        <f aca="false">IFERROR(VLOOKUP(TEXT(O119,"0"),CONDUCTORES!$A$3:$G$100,7,0),"")</f>
        <v/>
      </c>
      <c r="L119" s="44" t="n">
        <v>18.18</v>
      </c>
      <c r="M119" s="44" t="n">
        <v>6</v>
      </c>
      <c r="N119" s="139" t="n">
        <f aca="false">IFERROR(IF(L119*M119=0,"",L119*M119),"")</f>
        <v>109.08</v>
      </c>
      <c r="O119" s="140"/>
      <c r="P119" s="138" t="str">
        <f aca="false">IFERROR(VLOOKUP(TEXT(O119,"0"),CONDUCTORES!$A$3:$G$100,2,0),"")</f>
        <v/>
      </c>
      <c r="Q119" s="138" t="str">
        <f aca="false">IFERROR(VLOOKUP(TEXT(O119,"0"),CONDUCTORES!$A$3:$H$100,6,0),"")</f>
        <v/>
      </c>
      <c r="R119" s="142" t="n">
        <v>45796</v>
      </c>
      <c r="S119" s="110" t="s">
        <v>1885</v>
      </c>
      <c r="T119" s="46"/>
      <c r="U119" s="142" t="n">
        <v>45768</v>
      </c>
      <c r="V119" s="46"/>
      <c r="W119" s="46"/>
      <c r="X119" s="46"/>
      <c r="Y119" s="85"/>
    </row>
    <row r="120" customFormat="false" ht="15.75" hidden="false" customHeight="true" outlineLevel="0" collapsed="false">
      <c r="A120" s="106" t="n">
        <v>67</v>
      </c>
      <c r="B120" s="107" t="s">
        <v>1325</v>
      </c>
      <c r="C120" s="106" t="s">
        <v>752</v>
      </c>
      <c r="D120" s="107" t="s">
        <v>1886</v>
      </c>
      <c r="E120" s="136" t="s">
        <v>99</v>
      </c>
      <c r="F120" s="106" t="s">
        <v>1887</v>
      </c>
      <c r="G120" s="137" t="n">
        <v>45743</v>
      </c>
      <c r="H120" s="106" t="s">
        <v>717</v>
      </c>
      <c r="I120" s="138" t="str">
        <f aca="false">IFERROR(VLOOKUP(TEXT(H120,"0"),IPRESS!$A$3:$B$212,2,0),"")</f>
        <v>YERBABUENA</v>
      </c>
      <c r="J120" s="106" t="s">
        <v>755</v>
      </c>
      <c r="K120" s="138" t="str">
        <f aca="false">IFERROR(VLOOKUP(TEXT(O120,"0"),CONDUCTORES!$A$3:$G$100,7,0),"")</f>
        <v/>
      </c>
      <c r="L120" s="50" t="n">
        <v>18.18</v>
      </c>
      <c r="M120" s="50" t="n">
        <v>6</v>
      </c>
      <c r="N120" s="139" t="n">
        <f aca="false">IFERROR(IF(L120*M120=0,"",L120*M120),"")</f>
        <v>109.08</v>
      </c>
      <c r="O120" s="85"/>
      <c r="P120" s="138" t="str">
        <f aca="false">IFERROR(VLOOKUP(TEXT(O120,"0"),CONDUCTORES!$A$3:$G$100,2,0),"")</f>
        <v/>
      </c>
      <c r="Q120" s="138" t="str">
        <f aca="false">IFERROR(VLOOKUP(TEXT(O120,"0"),CONDUCTORES!$A$3:$H$100,6,0),"")</f>
        <v/>
      </c>
      <c r="R120" s="137" t="n">
        <v>45796</v>
      </c>
      <c r="S120" s="107" t="s">
        <v>891</v>
      </c>
      <c r="T120" s="136"/>
      <c r="U120" s="137" t="n">
        <v>45776</v>
      </c>
      <c r="V120" s="106"/>
      <c r="W120" s="106"/>
      <c r="X120" s="106"/>
      <c r="Y120" s="85"/>
    </row>
    <row r="121" customFormat="false" ht="15.75" hidden="false" customHeight="true" outlineLevel="0" collapsed="false">
      <c r="A121" s="46" t="n">
        <v>68</v>
      </c>
      <c r="B121" s="110" t="s">
        <v>1314</v>
      </c>
      <c r="C121" s="46" t="s">
        <v>752</v>
      </c>
      <c r="D121" s="110" t="s">
        <v>1888</v>
      </c>
      <c r="E121" s="46" t="s">
        <v>99</v>
      </c>
      <c r="F121" s="46" t="s">
        <v>1889</v>
      </c>
      <c r="G121" s="142" t="n">
        <v>45747</v>
      </c>
      <c r="H121" s="46" t="s">
        <v>717</v>
      </c>
      <c r="I121" s="138" t="str">
        <f aca="false">IFERROR(VLOOKUP(TEXT(H121,"0"),IPRESS!$A$3:$B$212,2,0),"")</f>
        <v>YERBABUENA</v>
      </c>
      <c r="J121" s="46" t="s">
        <v>755</v>
      </c>
      <c r="K121" s="138" t="str">
        <f aca="false">IFERROR(VLOOKUP(TEXT(O121,"0"),CONDUCTORES!$A$3:$G$100,7,0),"")</f>
        <v/>
      </c>
      <c r="L121" s="44" t="n">
        <v>18.18</v>
      </c>
      <c r="M121" s="44" t="n">
        <v>6</v>
      </c>
      <c r="N121" s="139" t="n">
        <f aca="false">IFERROR(IF(L121*M121=0,"",L121*M121),"")</f>
        <v>109.08</v>
      </c>
      <c r="O121" s="140"/>
      <c r="P121" s="138" t="str">
        <f aca="false">IFERROR(VLOOKUP(TEXT(O121,"0"),CONDUCTORES!$A$3:$G$100,2,0),"")</f>
        <v/>
      </c>
      <c r="Q121" s="138" t="str">
        <f aca="false">IFERROR(VLOOKUP(TEXT(O121,"0"),CONDUCTORES!$A$3:$H$100,6,0),"")</f>
        <v/>
      </c>
      <c r="R121" s="142" t="n">
        <v>45796</v>
      </c>
      <c r="S121" s="110" t="s">
        <v>1890</v>
      </c>
      <c r="T121" s="46"/>
      <c r="U121" s="142" t="n">
        <v>45776</v>
      </c>
      <c r="V121" s="46"/>
      <c r="W121" s="46"/>
      <c r="X121" s="46"/>
      <c r="Y121" s="85"/>
    </row>
    <row r="122" customFormat="false" ht="15.75" hidden="false" customHeight="true" outlineLevel="0" collapsed="false">
      <c r="A122" s="106" t="n">
        <v>69</v>
      </c>
      <c r="B122" s="107" t="s">
        <v>1525</v>
      </c>
      <c r="C122" s="106" t="s">
        <v>752</v>
      </c>
      <c r="D122" s="107" t="s">
        <v>1754</v>
      </c>
      <c r="E122" s="136" t="s">
        <v>99</v>
      </c>
      <c r="F122" s="106" t="s">
        <v>1755</v>
      </c>
      <c r="G122" s="137" t="n">
        <v>45737</v>
      </c>
      <c r="H122" s="106" t="s">
        <v>722</v>
      </c>
      <c r="I122" s="138" t="str">
        <f aca="false">IFERROR(VLOOKUP(TEXT(H122,"0"),IPRESS!$A$3:$B$212,2,0),"")</f>
        <v>ZARUMILLA</v>
      </c>
      <c r="J122" s="106" t="s">
        <v>529</v>
      </c>
      <c r="K122" s="138" t="str">
        <f aca="false">IFERROR(VLOOKUP(TEXT(O122,"0"),CONDUCTORES!$A$3:$G$100,7,0),"")</f>
        <v/>
      </c>
      <c r="L122" s="50" t="n">
        <v>20.25</v>
      </c>
      <c r="M122" s="50" t="n">
        <v>6</v>
      </c>
      <c r="N122" s="139" t="n">
        <f aca="false">IFERROR(IF(L122*M122=0,"",L122*M122),"")</f>
        <v>121.5</v>
      </c>
      <c r="O122" s="85"/>
      <c r="P122" s="138" t="str">
        <f aca="false">IFERROR(VLOOKUP(TEXT(O122,"0"),CONDUCTORES!$A$3:$G$100,2,0),"")</f>
        <v/>
      </c>
      <c r="Q122" s="138" t="str">
        <f aca="false">IFERROR(VLOOKUP(TEXT(O122,"0"),CONDUCTORES!$A$3:$H$100,6,0),"")</f>
        <v/>
      </c>
      <c r="R122" s="137" t="n">
        <v>45839</v>
      </c>
      <c r="S122" s="107" t="s">
        <v>1756</v>
      </c>
      <c r="T122" s="136"/>
      <c r="U122" s="137" t="n">
        <v>45768</v>
      </c>
      <c r="V122" s="106"/>
      <c r="W122" s="106"/>
      <c r="X122" s="106"/>
      <c r="Y122" s="85"/>
    </row>
    <row r="123" customFormat="false" ht="15.75" hidden="false" customHeight="true" outlineLevel="0" collapsed="false">
      <c r="A123" s="46" t="n">
        <v>70</v>
      </c>
      <c r="B123" s="110" t="s">
        <v>1517</v>
      </c>
      <c r="C123" s="46" t="s">
        <v>752</v>
      </c>
      <c r="D123" s="110" t="s">
        <v>1479</v>
      </c>
      <c r="E123" s="46" t="s">
        <v>99</v>
      </c>
      <c r="F123" s="46" t="s">
        <v>1480</v>
      </c>
      <c r="G123" s="142" t="n">
        <v>45738</v>
      </c>
      <c r="H123" s="46" t="s">
        <v>722</v>
      </c>
      <c r="I123" s="138" t="str">
        <f aca="false">IFERROR(VLOOKUP(TEXT(H123,"0"),IPRESS!$A$3:$B$212,2,0),"")</f>
        <v>ZARUMILLA</v>
      </c>
      <c r="J123" s="46" t="s">
        <v>529</v>
      </c>
      <c r="K123" s="138" t="str">
        <f aca="false">IFERROR(VLOOKUP(TEXT(O123,"0"),CONDUCTORES!$A$3:$G$100,7,0),"")</f>
        <v/>
      </c>
      <c r="L123" s="44" t="n">
        <v>20.25</v>
      </c>
      <c r="M123" s="44" t="n">
        <v>12</v>
      </c>
      <c r="N123" s="139" t="n">
        <f aca="false">IFERROR(IF(L123*M123=0,"",L123*M123),"")</f>
        <v>243</v>
      </c>
      <c r="O123" s="140"/>
      <c r="P123" s="138" t="str">
        <f aca="false">IFERROR(VLOOKUP(TEXT(O123,"0"),CONDUCTORES!$A$3:$G$100,2,0),"")</f>
        <v/>
      </c>
      <c r="Q123" s="138" t="str">
        <f aca="false">IFERROR(VLOOKUP(TEXT(O123,"0"),CONDUCTORES!$A$3:$H$100,6,0),"")</f>
        <v/>
      </c>
      <c r="R123" s="142" t="n">
        <v>45828</v>
      </c>
      <c r="S123" s="110" t="s">
        <v>1861</v>
      </c>
      <c r="T123" s="46"/>
      <c r="U123" s="142" t="n">
        <v>45768</v>
      </c>
      <c r="V123" s="46" t="s">
        <v>1891</v>
      </c>
      <c r="W123" s="46"/>
      <c r="X123" s="46"/>
      <c r="Y123" s="85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</row>
    <row r="125" customFormat="false" ht="24" hidden="false" customHeight="true" outlineLevel="0" collapsed="false">
      <c r="A125" s="148" t="s">
        <v>1177</v>
      </c>
      <c r="B125" s="148"/>
      <c r="C125" s="148"/>
      <c r="D125" s="148"/>
      <c r="E125" s="148"/>
      <c r="F125" s="148"/>
      <c r="G125" s="148"/>
      <c r="H125" s="148"/>
      <c r="I125" s="148"/>
      <c r="J125" s="148"/>
      <c r="K125" s="149"/>
      <c r="L125" s="85"/>
      <c r="M125" s="150" t="n">
        <f aca="false">SUBTOTAL(9,M4:M123)</f>
        <v>1069</v>
      </c>
      <c r="N125" s="150" t="n">
        <f aca="false">SUBTOTAL(9,N4:N123)</f>
        <v>19846.81</v>
      </c>
      <c r="O125" s="85"/>
      <c r="P125" s="138" t="str">
        <f aca="false">IFERROR(VLOOKUP(TEXT(O125,"0"),CONDUCTORES!$A$3:$G$100,2,0),"")</f>
        <v/>
      </c>
      <c r="Q125" s="138" t="str">
        <f aca="false">IFERROR(VLOOKUP(TEXT(O125,"0"),CONDUCTORES!$A$3:$H$100,6,0),"")</f>
        <v/>
      </c>
      <c r="R125" s="85"/>
      <c r="S125" s="85"/>
      <c r="T125" s="85"/>
      <c r="U125" s="85"/>
      <c r="V125" s="85"/>
      <c r="W125" s="85"/>
      <c r="X125" s="85"/>
      <c r="Y125" s="85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49"/>
      <c r="J126" s="85"/>
      <c r="K126" s="149"/>
      <c r="L126" s="85"/>
      <c r="M126" s="85"/>
      <c r="N126" s="151"/>
      <c r="O126" s="85"/>
      <c r="P126" s="149"/>
      <c r="Q126" s="149"/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49"/>
      <c r="J127" s="140"/>
      <c r="K127" s="149"/>
      <c r="L127" s="140"/>
      <c r="M127" s="140"/>
      <c r="N127" s="151"/>
      <c r="O127" s="140"/>
      <c r="P127" s="149"/>
      <c r="Q127" s="149"/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49"/>
      <c r="J128" s="85"/>
      <c r="K128" s="149"/>
      <c r="L128" s="85"/>
      <c r="M128" s="85"/>
      <c r="N128" s="151"/>
      <c r="O128" s="85"/>
      <c r="P128" s="149"/>
      <c r="Q128" s="149"/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49"/>
      <c r="J129" s="140"/>
      <c r="K129" s="149"/>
      <c r="L129" s="140"/>
      <c r="M129" s="140"/>
      <c r="N129" s="151"/>
      <c r="O129" s="140"/>
      <c r="P129" s="149"/>
      <c r="Q129" s="149"/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2138</v>
      </c>
      <c r="N506" s="153" t="n">
        <f aca="false">SUM(N6:N505)</f>
        <v>39693.62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25:J125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24 E126:E505" type="list">
      <formula1>"DNI,CE,PASAPORTE"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1892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IFERROR(SUMPRODUCT((K4:K109="PETROLEO")*ISNUMBER(M4:M109)*M4:M109),0)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IFERROR(SUMPRODUCT((K4:K109="GASOLINA")*ISNUMBER(M4:M109)*M4:M109),0)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IFERROR(SUMPRODUCT(ISNUMBER(M4:M109)*L4:L109*M4:M109),0)</f>
        <v>0</v>
      </c>
      <c r="Q2" s="125"/>
      <c r="R2" s="125"/>
      <c r="S2" s="123" t="s">
        <v>727</v>
      </c>
      <c r="T2" s="123"/>
      <c r="U2" s="126" t="n">
        <f aca="false">SUBTOTAL(2,A4:A109)</f>
        <v>102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43" t="n">
        <v>1</v>
      </c>
      <c r="B6" s="144" t="s">
        <v>1412</v>
      </c>
      <c r="C6" s="143" t="s">
        <v>752</v>
      </c>
      <c r="D6" s="144" t="s">
        <v>1893</v>
      </c>
      <c r="E6" s="143" t="s">
        <v>99</v>
      </c>
      <c r="F6" s="143" t="s">
        <v>1894</v>
      </c>
      <c r="G6" s="145" t="n">
        <v>45769</v>
      </c>
      <c r="H6" s="143" t="s">
        <v>350</v>
      </c>
      <c r="I6" s="138" t="str">
        <f aca="false">IFERROR(VLOOKUP(TEXT(H6,"0"),IPRESS!$A$3:$B$212,2,0),"")</f>
        <v>BUENOS AIRES</v>
      </c>
      <c r="J6" s="143" t="s">
        <v>755</v>
      </c>
      <c r="K6" s="138" t="str">
        <f aca="false">IFERROR(VLOOKUP(TEXT(O6,"0"),CONDUCTORES!$A$3:$G$100,7,0),"")</f>
        <v/>
      </c>
      <c r="L6" s="146" t="n">
        <v>17.95</v>
      </c>
      <c r="M6" s="146" t="n">
        <v>15</v>
      </c>
      <c r="N6" s="139" t="n">
        <f aca="false">IFERROR(IF(L6*M6=0,"",L6*M6),"")</f>
        <v>269.25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47" t="s">
        <v>1895</v>
      </c>
      <c r="S6" s="144" t="s">
        <v>1896</v>
      </c>
      <c r="T6" s="143"/>
      <c r="U6" s="147"/>
      <c r="V6" s="143"/>
      <c r="W6" s="143"/>
      <c r="X6" s="143"/>
      <c r="Y6" s="85"/>
    </row>
    <row r="7" customFormat="false" ht="15.75" hidden="false" customHeight="true" outlineLevel="0" collapsed="false">
      <c r="A7" s="143" t="n">
        <v>2</v>
      </c>
      <c r="B7" s="144" t="s">
        <v>1425</v>
      </c>
      <c r="C7" s="143" t="s">
        <v>752</v>
      </c>
      <c r="D7" s="144" t="s">
        <v>1897</v>
      </c>
      <c r="E7" s="143" t="s">
        <v>99</v>
      </c>
      <c r="F7" s="143" t="s">
        <v>1898</v>
      </c>
      <c r="G7" s="145" t="n">
        <v>45772</v>
      </c>
      <c r="H7" s="143" t="s">
        <v>350</v>
      </c>
      <c r="I7" s="138" t="str">
        <f aca="false">IFERROR(VLOOKUP(TEXT(H7,"0"),IPRESS!$A$3:$B$212,2,0),"")</f>
        <v>BUENOS AIRES</v>
      </c>
      <c r="J7" s="143" t="s">
        <v>595</v>
      </c>
      <c r="K7" s="138" t="str">
        <f aca="false">IFERROR(VLOOKUP(TEXT(O7,"0"),CONDUCTORES!$A$3:$G$100,7,0),"")</f>
        <v/>
      </c>
      <c r="L7" s="146" t="n">
        <v>17.95</v>
      </c>
      <c r="M7" s="146" t="n">
        <v>5</v>
      </c>
      <c r="N7" s="139" t="n">
        <f aca="false">IFERROR(IF(L7*M7=0,"",L7*M7),"")</f>
        <v>89.75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147" t="s">
        <v>1895</v>
      </c>
      <c r="S7" s="144" t="s">
        <v>1899</v>
      </c>
      <c r="T7" s="143"/>
      <c r="U7" s="147"/>
      <c r="V7" s="143"/>
      <c r="W7" s="143"/>
      <c r="X7" s="143"/>
      <c r="Y7" s="85"/>
    </row>
    <row r="8" customFormat="false" ht="15.75" hidden="false" customHeight="true" outlineLevel="0" collapsed="false">
      <c r="A8" s="106" t="n">
        <v>3</v>
      </c>
      <c r="B8" s="107" t="s">
        <v>1302</v>
      </c>
      <c r="C8" s="106" t="s">
        <v>752</v>
      </c>
      <c r="D8" s="107" t="s">
        <v>1900</v>
      </c>
      <c r="E8" s="136" t="s">
        <v>99</v>
      </c>
      <c r="F8" s="106" t="s">
        <v>1901</v>
      </c>
      <c r="G8" s="137" t="n">
        <v>45749</v>
      </c>
      <c r="H8" s="106" t="s">
        <v>395</v>
      </c>
      <c r="I8" s="138" t="str">
        <f aca="false">IFERROR(VLOOKUP(TEXT(H8,"0"),IPRESS!$A$3:$B$212,2,0),"")</f>
        <v>CHUQUIBAMBA</v>
      </c>
      <c r="J8" s="106" t="s">
        <v>755</v>
      </c>
      <c r="K8" s="138" t="str">
        <f aca="false">IFERROR(VLOOKUP(TEXT(O8,"0"),CONDUCTORES!$A$3:$G$100,7,0),"")</f>
        <v/>
      </c>
      <c r="L8" s="50" t="n">
        <v>18.18</v>
      </c>
      <c r="M8" s="50" t="n">
        <v>15</v>
      </c>
      <c r="N8" s="139" t="n">
        <f aca="false">IFERROR(IF(L8*M8=0,"",L8*M8),"")</f>
        <v>272.7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37" t="n">
        <v>45827</v>
      </c>
      <c r="S8" s="107" t="s">
        <v>1902</v>
      </c>
      <c r="T8" s="136"/>
      <c r="U8" s="140"/>
      <c r="V8" s="106"/>
      <c r="W8" s="106"/>
      <c r="X8" s="106"/>
      <c r="Y8" s="85"/>
    </row>
    <row r="9" customFormat="false" ht="15.75" hidden="false" customHeight="true" outlineLevel="0" collapsed="false">
      <c r="A9" s="46" t="n">
        <v>4</v>
      </c>
      <c r="B9" s="110" t="s">
        <v>1302</v>
      </c>
      <c r="C9" s="46" t="s">
        <v>752</v>
      </c>
      <c r="D9" s="110" t="s">
        <v>1903</v>
      </c>
      <c r="E9" s="46" t="s">
        <v>99</v>
      </c>
      <c r="F9" s="46" t="s">
        <v>1904</v>
      </c>
      <c r="G9" s="142" t="n">
        <v>45748</v>
      </c>
      <c r="H9" s="46" t="s">
        <v>407</v>
      </c>
      <c r="I9" s="138" t="str">
        <f aca="false">IFERROR(VLOOKUP(TEXT(H9,"0"),IPRESS!$A$3:$B$212,2,0),"")</f>
        <v>COCOCHO</v>
      </c>
      <c r="J9" s="46" t="s">
        <v>755</v>
      </c>
      <c r="K9" s="138" t="str">
        <f aca="false">IFERROR(VLOOKUP(TEXT(O9,"0"),CONDUCTORES!$A$3:$G$100,7,0),"")</f>
        <v/>
      </c>
      <c r="L9" s="44" t="n">
        <v>18.18</v>
      </c>
      <c r="M9" s="44" t="n">
        <v>22</v>
      </c>
      <c r="N9" s="139" t="n">
        <f aca="false">IFERROR(IF(L9*M9=0,"",L9*M9),"")</f>
        <v>399.96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142" t="n">
        <v>45792</v>
      </c>
      <c r="S9" s="110" t="s">
        <v>1905</v>
      </c>
      <c r="T9" s="46"/>
      <c r="U9" s="85"/>
      <c r="V9" s="46" t="s">
        <v>1532</v>
      </c>
      <c r="W9" s="46" t="s">
        <v>801</v>
      </c>
      <c r="X9" s="46" t="s">
        <v>794</v>
      </c>
      <c r="Y9" s="85"/>
    </row>
    <row r="10" customFormat="false" ht="15.75" hidden="false" customHeight="true" outlineLevel="0" collapsed="false">
      <c r="A10" s="106" t="n">
        <v>5</v>
      </c>
      <c r="B10" s="107" t="s">
        <v>1306</v>
      </c>
      <c r="C10" s="106" t="s">
        <v>752</v>
      </c>
      <c r="D10" s="107" t="s">
        <v>1906</v>
      </c>
      <c r="E10" s="136" t="s">
        <v>99</v>
      </c>
      <c r="F10" s="106" t="s">
        <v>1907</v>
      </c>
      <c r="G10" s="137" t="n">
        <v>45756</v>
      </c>
      <c r="H10" s="106" t="s">
        <v>407</v>
      </c>
      <c r="I10" s="138" t="str">
        <f aca="false">IFERROR(VLOOKUP(TEXT(H10,"0"),IPRESS!$A$3:$B$212,2,0),"")</f>
        <v>COCOCHO</v>
      </c>
      <c r="J10" s="106" t="s">
        <v>1216</v>
      </c>
      <c r="K10" s="138" t="str">
        <f aca="false">IFERROR(VLOOKUP(TEXT(O10,"0"),CONDUCTORES!$A$3:$G$100,7,0),"")</f>
        <v/>
      </c>
      <c r="L10" s="50" t="n">
        <v>18.18</v>
      </c>
      <c r="M10" s="50" t="n">
        <v>20</v>
      </c>
      <c r="N10" s="139" t="n">
        <f aca="false">IFERROR(IF(L10*M10=0,"",L10*M10),"")</f>
        <v>363.6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37" t="n">
        <v>45792</v>
      </c>
      <c r="S10" s="107" t="s">
        <v>1908</v>
      </c>
      <c r="T10" s="136"/>
      <c r="U10" s="140"/>
      <c r="V10" s="106" t="s">
        <v>1532</v>
      </c>
      <c r="W10" s="106" t="s">
        <v>801</v>
      </c>
      <c r="X10" s="106" t="s">
        <v>794</v>
      </c>
      <c r="Y10" s="85"/>
    </row>
    <row r="11" customFormat="false" ht="15.75" hidden="false" customHeight="true" outlineLevel="0" collapsed="false">
      <c r="A11" s="46" t="n">
        <v>6</v>
      </c>
      <c r="B11" s="110" t="s">
        <v>1412</v>
      </c>
      <c r="C11" s="46" t="s">
        <v>752</v>
      </c>
      <c r="D11" s="110" t="s">
        <v>1909</v>
      </c>
      <c r="E11" s="46" t="s">
        <v>99</v>
      </c>
      <c r="F11" s="46" t="s">
        <v>1910</v>
      </c>
      <c r="G11" s="142" t="n">
        <v>45760</v>
      </c>
      <c r="H11" s="46" t="s">
        <v>407</v>
      </c>
      <c r="I11" s="138" t="str">
        <f aca="false">IFERROR(VLOOKUP(TEXT(H11,"0"),IPRESS!$A$3:$B$212,2,0),"")</f>
        <v>COCOCHO</v>
      </c>
      <c r="J11" s="46" t="s">
        <v>755</v>
      </c>
      <c r="K11" s="138" t="str">
        <f aca="false">IFERROR(VLOOKUP(TEXT(O11,"0"),CONDUCTORES!$A$3:$G$100,7,0),"")</f>
        <v/>
      </c>
      <c r="L11" s="44" t="n">
        <v>18.18</v>
      </c>
      <c r="M11" s="44" t="n">
        <v>23</v>
      </c>
      <c r="N11" s="139" t="n">
        <f aca="false">IFERROR(IF(L11*M11=0,"",L11*M11),"")</f>
        <v>418.14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142" t="n">
        <v>45792</v>
      </c>
      <c r="S11" s="110" t="s">
        <v>1911</v>
      </c>
      <c r="T11" s="46"/>
      <c r="U11" s="85"/>
      <c r="V11" s="46" t="s">
        <v>1532</v>
      </c>
      <c r="W11" s="46" t="s">
        <v>801</v>
      </c>
      <c r="X11" s="46" t="s">
        <v>794</v>
      </c>
      <c r="Y11" s="85"/>
    </row>
    <row r="12" customFormat="false" ht="15.75" hidden="false" customHeight="true" outlineLevel="0" collapsed="false">
      <c r="A12" s="106" t="n">
        <v>7</v>
      </c>
      <c r="B12" s="107" t="s">
        <v>840</v>
      </c>
      <c r="C12" s="106" t="s">
        <v>752</v>
      </c>
      <c r="D12" s="107" t="s">
        <v>1912</v>
      </c>
      <c r="E12" s="136" t="s">
        <v>99</v>
      </c>
      <c r="F12" s="106" t="s">
        <v>1913</v>
      </c>
      <c r="G12" s="137" t="n">
        <v>45769</v>
      </c>
      <c r="H12" s="106" t="s">
        <v>407</v>
      </c>
      <c r="I12" s="138" t="str">
        <f aca="false">IFERROR(VLOOKUP(TEXT(H12,"0"),IPRESS!$A$3:$B$212,2,0),"")</f>
        <v>COCOCHO</v>
      </c>
      <c r="J12" s="106" t="s">
        <v>755</v>
      </c>
      <c r="K12" s="138" t="str">
        <f aca="false">IFERROR(VLOOKUP(TEXT(O12,"0"),CONDUCTORES!$A$3:$G$100,7,0),"")</f>
        <v/>
      </c>
      <c r="L12" s="50" t="n">
        <v>18.18</v>
      </c>
      <c r="M12" s="50" t="n">
        <v>25</v>
      </c>
      <c r="N12" s="139" t="n">
        <f aca="false">IFERROR(IF(L12*M12=0,"",L12*M12),"")</f>
        <v>454.5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37" t="n">
        <v>45792</v>
      </c>
      <c r="S12" s="107" t="s">
        <v>1914</v>
      </c>
      <c r="T12" s="136"/>
      <c r="U12" s="140"/>
      <c r="V12" s="106" t="s">
        <v>1532</v>
      </c>
      <c r="W12" s="106" t="s">
        <v>801</v>
      </c>
      <c r="X12" s="106" t="s">
        <v>794</v>
      </c>
      <c r="Y12" s="85"/>
    </row>
    <row r="13" customFormat="false" ht="15.75" hidden="false" customHeight="true" outlineLevel="0" collapsed="false">
      <c r="A13" s="46" t="n">
        <v>8</v>
      </c>
      <c r="B13" s="110" t="s">
        <v>1425</v>
      </c>
      <c r="C13" s="46" t="s">
        <v>752</v>
      </c>
      <c r="D13" s="110" t="s">
        <v>1915</v>
      </c>
      <c r="E13" s="46" t="s">
        <v>99</v>
      </c>
      <c r="F13" s="46" t="s">
        <v>1916</v>
      </c>
      <c r="G13" s="142" t="n">
        <v>45749</v>
      </c>
      <c r="H13" s="46" t="s">
        <v>407</v>
      </c>
      <c r="I13" s="138" t="str">
        <f aca="false">IFERROR(VLOOKUP(TEXT(H13,"0"),IPRESS!$A$3:$B$212,2,0),"")</f>
        <v>COCOCHO</v>
      </c>
      <c r="J13" s="46" t="s">
        <v>755</v>
      </c>
      <c r="K13" s="138" t="str">
        <f aca="false">IFERROR(VLOOKUP(TEXT(O13,"0"),CONDUCTORES!$A$3:$G$100,7,0),"")</f>
        <v/>
      </c>
      <c r="L13" s="44" t="n">
        <v>18.18</v>
      </c>
      <c r="M13" s="44" t="n">
        <v>20</v>
      </c>
      <c r="N13" s="139" t="n">
        <f aca="false">IFERROR(IF(L13*M13=0,"",L13*M13),"")</f>
        <v>363.6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142" t="n">
        <v>45828</v>
      </c>
      <c r="S13" s="110" t="s">
        <v>1535</v>
      </c>
      <c r="T13" s="46"/>
      <c r="U13" s="85"/>
      <c r="V13" s="46"/>
      <c r="W13" s="46"/>
      <c r="X13" s="46"/>
      <c r="Y13" s="85"/>
    </row>
    <row r="14" customFormat="false" ht="15.75" hidden="false" customHeight="true" outlineLevel="0" collapsed="false">
      <c r="A14" s="106" t="n">
        <v>9</v>
      </c>
      <c r="B14" s="107" t="s">
        <v>844</v>
      </c>
      <c r="C14" s="106" t="s">
        <v>752</v>
      </c>
      <c r="D14" s="107" t="s">
        <v>1917</v>
      </c>
      <c r="E14" s="136" t="s">
        <v>99</v>
      </c>
      <c r="F14" s="106" t="s">
        <v>1918</v>
      </c>
      <c r="G14" s="137" t="n">
        <v>45766</v>
      </c>
      <c r="H14" s="106" t="s">
        <v>407</v>
      </c>
      <c r="I14" s="138" t="str">
        <f aca="false">IFERROR(VLOOKUP(TEXT(H14,"0"),IPRESS!$A$3:$B$212,2,0),"")</f>
        <v>COCOCHO</v>
      </c>
      <c r="J14" s="106" t="s">
        <v>755</v>
      </c>
      <c r="K14" s="138" t="str">
        <f aca="false">IFERROR(VLOOKUP(TEXT(O14,"0"),CONDUCTORES!$A$3:$G$100,7,0),"")</f>
        <v/>
      </c>
      <c r="L14" s="50" t="n">
        <v>18.18</v>
      </c>
      <c r="M14" s="50" t="n">
        <v>30</v>
      </c>
      <c r="N14" s="139" t="n">
        <f aca="false">IFERROR(IF(L14*M14=0,"",L14*M14),"")</f>
        <v>545.4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37" t="n">
        <v>45828</v>
      </c>
      <c r="S14" s="107" t="s">
        <v>1919</v>
      </c>
      <c r="T14" s="136"/>
      <c r="U14" s="140"/>
      <c r="V14" s="106"/>
      <c r="W14" s="106"/>
      <c r="X14" s="106"/>
      <c r="Y14" s="85"/>
    </row>
    <row r="15" customFormat="false" ht="15.75" hidden="false" customHeight="true" outlineLevel="0" collapsed="false">
      <c r="A15" s="46" t="n">
        <v>10</v>
      </c>
      <c r="B15" s="110" t="s">
        <v>883</v>
      </c>
      <c r="C15" s="46" t="s">
        <v>752</v>
      </c>
      <c r="D15" s="110" t="s">
        <v>1920</v>
      </c>
      <c r="E15" s="46" t="s">
        <v>99</v>
      </c>
      <c r="F15" s="46" t="s">
        <v>1921</v>
      </c>
      <c r="G15" s="142" t="n">
        <v>45777</v>
      </c>
      <c r="H15" s="46" t="s">
        <v>408</v>
      </c>
      <c r="I15" s="138" t="str">
        <f aca="false">IFERROR(VLOOKUP(TEXT(H15,"0"),IPRESS!$A$3:$B$212,2,0),"")</f>
        <v>COLCAMAR</v>
      </c>
      <c r="J15" s="46" t="s">
        <v>755</v>
      </c>
      <c r="K15" s="138" t="str">
        <f aca="false">IFERROR(VLOOKUP(TEXT(O15,"0"),CONDUCTORES!$A$3:$G$100,7,0),"")</f>
        <v/>
      </c>
      <c r="L15" s="44" t="n">
        <v>18.18</v>
      </c>
      <c r="M15" s="44" t="n">
        <v>7</v>
      </c>
      <c r="N15" s="139" t="n">
        <f aca="false">IFERROR(IF(L15*M15=0,"",L15*M15),"")</f>
        <v>127.26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142" t="n">
        <v>45828</v>
      </c>
      <c r="S15" s="110" t="s">
        <v>1236</v>
      </c>
      <c r="T15" s="46"/>
      <c r="U15" s="85"/>
      <c r="V15" s="46"/>
      <c r="W15" s="46"/>
      <c r="X15" s="46"/>
      <c r="Y15" s="85"/>
    </row>
    <row r="16" customFormat="false" ht="15.75" hidden="false" customHeight="true" outlineLevel="0" collapsed="false">
      <c r="A16" s="106" t="n">
        <v>11</v>
      </c>
      <c r="B16" s="107" t="s">
        <v>883</v>
      </c>
      <c r="C16" s="106" t="s">
        <v>752</v>
      </c>
      <c r="D16" s="107" t="s">
        <v>1922</v>
      </c>
      <c r="E16" s="136" t="s">
        <v>99</v>
      </c>
      <c r="F16" s="106" t="s">
        <v>1923</v>
      </c>
      <c r="G16" s="137" t="n">
        <v>45758</v>
      </c>
      <c r="H16" s="106" t="s">
        <v>409</v>
      </c>
      <c r="I16" s="138" t="str">
        <f aca="false">IFERROR(VLOOKUP(TEXT(H16,"0"),IPRESS!$A$3:$B$212,2,0),"")</f>
        <v>COLLONCE</v>
      </c>
      <c r="J16" s="106" t="s">
        <v>755</v>
      </c>
      <c r="K16" s="138" t="str">
        <f aca="false">IFERROR(VLOOKUP(TEXT(O16,"0"),CONDUCTORES!$A$3:$G$100,7,0),"")</f>
        <v/>
      </c>
      <c r="L16" s="50" t="n">
        <v>18.18</v>
      </c>
      <c r="M16" s="50" t="n">
        <v>20</v>
      </c>
      <c r="N16" s="139" t="n">
        <f aca="false">IFERROR(IF(L16*M16=0,"",L16*M16),"")</f>
        <v>363.6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40" t="s">
        <v>937</v>
      </c>
      <c r="S16" s="107" t="s">
        <v>1924</v>
      </c>
      <c r="T16" s="136"/>
      <c r="U16" s="140"/>
      <c r="V16" s="106"/>
      <c r="W16" s="106"/>
      <c r="X16" s="106"/>
      <c r="Y16" s="85"/>
    </row>
    <row r="17" customFormat="false" ht="15.75" hidden="false" customHeight="true" outlineLevel="0" collapsed="false">
      <c r="A17" s="46" t="n">
        <v>12</v>
      </c>
      <c r="B17" s="110" t="s">
        <v>892</v>
      </c>
      <c r="C17" s="46" t="s">
        <v>752</v>
      </c>
      <c r="D17" s="110" t="s">
        <v>1925</v>
      </c>
      <c r="E17" s="46" t="s">
        <v>99</v>
      </c>
      <c r="F17" s="46" t="s">
        <v>1926</v>
      </c>
      <c r="G17" s="142" t="n">
        <v>45776</v>
      </c>
      <c r="H17" s="46" t="s">
        <v>409</v>
      </c>
      <c r="I17" s="138" t="str">
        <f aca="false">IFERROR(VLOOKUP(TEXT(H17,"0"),IPRESS!$A$3:$B$212,2,0),"")</f>
        <v>COLLONCE</v>
      </c>
      <c r="J17" s="46" t="s">
        <v>755</v>
      </c>
      <c r="K17" s="138" t="str">
        <f aca="false">IFERROR(VLOOKUP(TEXT(O17,"0"),CONDUCTORES!$A$3:$G$100,7,0),"")</f>
        <v/>
      </c>
      <c r="L17" s="44" t="n">
        <v>18.18</v>
      </c>
      <c r="M17" s="44" t="n">
        <v>20</v>
      </c>
      <c r="N17" s="139" t="n">
        <f aca="false">IFERROR(IF(L17*M17=0,"",L17*M17),"")</f>
        <v>363.6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85" t="s">
        <v>937</v>
      </c>
      <c r="S17" s="110" t="s">
        <v>1927</v>
      </c>
      <c r="T17" s="46"/>
      <c r="U17" s="85"/>
      <c r="V17" s="46"/>
      <c r="W17" s="46"/>
      <c r="X17" s="46"/>
      <c r="Y17" s="85"/>
    </row>
    <row r="18" customFormat="false" ht="15.75" hidden="false" customHeight="true" outlineLevel="0" collapsed="false">
      <c r="A18" s="143" t="n">
        <v>13</v>
      </c>
      <c r="B18" s="144" t="s">
        <v>888</v>
      </c>
      <c r="C18" s="143" t="s">
        <v>752</v>
      </c>
      <c r="D18" s="144" t="s">
        <v>949</v>
      </c>
      <c r="E18" s="143" t="s">
        <v>99</v>
      </c>
      <c r="F18" s="143" t="s">
        <v>950</v>
      </c>
      <c r="G18" s="145" t="n">
        <v>45768</v>
      </c>
      <c r="H18" s="143" t="s">
        <v>409</v>
      </c>
      <c r="I18" s="138" t="str">
        <f aca="false">IFERROR(VLOOKUP(TEXT(H18,"0"),IPRESS!$A$3:$B$212,2,0),"")</f>
        <v>COLLONCE</v>
      </c>
      <c r="J18" s="143" t="s">
        <v>755</v>
      </c>
      <c r="K18" s="138" t="str">
        <f aca="false">IFERROR(VLOOKUP(TEXT(O18,"0"),CONDUCTORES!$A$3:$G$100,7,0),"")</f>
        <v/>
      </c>
      <c r="L18" s="146" t="n">
        <v>17.95</v>
      </c>
      <c r="M18" s="146" t="n">
        <v>30</v>
      </c>
      <c r="N18" s="139" t="n">
        <f aca="false">IFERROR(IF(L18*M18=0,"",L18*M18),"")</f>
        <v>538.5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45" t="n">
        <v>45825</v>
      </c>
      <c r="S18" s="144" t="s">
        <v>951</v>
      </c>
      <c r="T18" s="143" t="s">
        <v>1928</v>
      </c>
      <c r="U18" s="147"/>
      <c r="V18" s="143"/>
      <c r="W18" s="143"/>
      <c r="X18" s="143"/>
      <c r="Y18" s="85"/>
    </row>
    <row r="19" customFormat="false" ht="15.75" hidden="false" customHeight="true" outlineLevel="0" collapsed="false">
      <c r="A19" s="46" t="n">
        <v>14</v>
      </c>
      <c r="B19" s="110" t="s">
        <v>1202</v>
      </c>
      <c r="C19" s="46" t="s">
        <v>752</v>
      </c>
      <c r="D19" s="110" t="s">
        <v>1929</v>
      </c>
      <c r="E19" s="46" t="s">
        <v>99</v>
      </c>
      <c r="F19" s="46" t="s">
        <v>1930</v>
      </c>
      <c r="G19" s="142" t="n">
        <v>45772</v>
      </c>
      <c r="H19" s="46" t="s">
        <v>418</v>
      </c>
      <c r="I19" s="138" t="str">
        <f aca="false">IFERROR(VLOOKUP(TEXT(H19,"0"),IPRESS!$A$3:$B$212,2,0),"")</f>
        <v>COROSHA</v>
      </c>
      <c r="J19" s="46" t="s">
        <v>755</v>
      </c>
      <c r="K19" s="138" t="str">
        <f aca="false">IFERROR(VLOOKUP(TEXT(O19,"0"),CONDUCTORES!$A$3:$G$100,7,0),"")</f>
        <v/>
      </c>
      <c r="L19" s="44" t="n">
        <v>18.18</v>
      </c>
      <c r="M19" s="44" t="n">
        <v>12</v>
      </c>
      <c r="N19" s="139" t="n">
        <f aca="false">IFERROR(IF(L19*M19=0,"",L19*M19),"")</f>
        <v>218.16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142" t="n">
        <v>45828</v>
      </c>
      <c r="S19" s="110" t="s">
        <v>1931</v>
      </c>
      <c r="T19" s="46"/>
      <c r="U19" s="85"/>
      <c r="V19" s="46"/>
      <c r="W19" s="46"/>
      <c r="X19" s="46"/>
      <c r="Y19" s="85"/>
    </row>
    <row r="20" customFormat="false" ht="15.75" hidden="false" customHeight="true" outlineLevel="0" collapsed="false">
      <c r="A20" s="106" t="n">
        <v>15</v>
      </c>
      <c r="B20" s="107" t="s">
        <v>1932</v>
      </c>
      <c r="C20" s="106" t="s">
        <v>752</v>
      </c>
      <c r="D20" s="107" t="s">
        <v>1933</v>
      </c>
      <c r="E20" s="136" t="s">
        <v>99</v>
      </c>
      <c r="F20" s="106" t="s">
        <v>1934</v>
      </c>
      <c r="G20" s="137" t="n">
        <v>45748</v>
      </c>
      <c r="H20" s="106" t="s">
        <v>529</v>
      </c>
      <c r="I20" s="138" t="str">
        <f aca="false">IFERROR(VLOOKUP(TEXT(H20,"0"),IPRESS!$A$3:$B$212,2,0),"")</f>
        <v>MARIA AUXILIADORA</v>
      </c>
      <c r="J20" s="106" t="s">
        <v>755</v>
      </c>
      <c r="K20" s="138" t="str">
        <f aca="false">IFERROR(VLOOKUP(TEXT(O20,"0"),CONDUCTORES!$A$3:$G$100,7,0),"")</f>
        <v/>
      </c>
      <c r="L20" s="50" t="n">
        <v>20.25</v>
      </c>
      <c r="M20" s="50" t="n">
        <v>7</v>
      </c>
      <c r="N20" s="139" t="n">
        <f aca="false">IFERROR(IF(L20*M20=0,"",L20*M20),"")</f>
        <v>141.75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40" t="s">
        <v>1317</v>
      </c>
      <c r="S20" s="107" t="s">
        <v>1935</v>
      </c>
      <c r="T20" s="136"/>
      <c r="U20" s="140"/>
      <c r="V20" s="106"/>
      <c r="W20" s="106" t="s">
        <v>760</v>
      </c>
      <c r="X20" s="106" t="s">
        <v>761</v>
      </c>
      <c r="Y20" s="85"/>
    </row>
    <row r="21" customFormat="false" ht="15.75" hidden="false" customHeight="true" outlineLevel="0" collapsed="false">
      <c r="A21" s="46" t="n">
        <v>16</v>
      </c>
      <c r="B21" s="110" t="s">
        <v>1936</v>
      </c>
      <c r="C21" s="46" t="s">
        <v>752</v>
      </c>
      <c r="D21" s="110" t="s">
        <v>1937</v>
      </c>
      <c r="E21" s="46" t="s">
        <v>99</v>
      </c>
      <c r="F21" s="46" t="s">
        <v>1938</v>
      </c>
      <c r="G21" s="142" t="n">
        <v>45749</v>
      </c>
      <c r="H21" s="46" t="s">
        <v>529</v>
      </c>
      <c r="I21" s="138" t="str">
        <f aca="false">IFERROR(VLOOKUP(TEXT(H21,"0"),IPRESS!$A$3:$B$212,2,0),"")</f>
        <v>MARIA AUXILIADORA</v>
      </c>
      <c r="J21" s="46" t="s">
        <v>755</v>
      </c>
      <c r="K21" s="138" t="str">
        <f aca="false">IFERROR(VLOOKUP(TEXT(O21,"0"),CONDUCTORES!$A$3:$G$100,7,0),"")</f>
        <v/>
      </c>
      <c r="L21" s="44" t="n">
        <v>20.25</v>
      </c>
      <c r="M21" s="44" t="n">
        <v>7</v>
      </c>
      <c r="N21" s="139" t="n">
        <f aca="false">IFERROR(IF(L21*M21=0,"",L21*M21),"")</f>
        <v>141.75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85" t="s">
        <v>1317</v>
      </c>
      <c r="S21" s="110" t="s">
        <v>1939</v>
      </c>
      <c r="T21" s="46"/>
      <c r="U21" s="85"/>
      <c r="V21" s="46"/>
      <c r="W21" s="46" t="s">
        <v>760</v>
      </c>
      <c r="X21" s="46" t="s">
        <v>761</v>
      </c>
      <c r="Y21" s="85"/>
    </row>
    <row r="22" customFormat="false" ht="15.75" hidden="false" customHeight="true" outlineLevel="0" collapsed="false">
      <c r="A22" s="106" t="n">
        <v>17</v>
      </c>
      <c r="B22" s="107" t="s">
        <v>1940</v>
      </c>
      <c r="C22" s="106" t="s">
        <v>752</v>
      </c>
      <c r="D22" s="107" t="s">
        <v>1941</v>
      </c>
      <c r="E22" s="136" t="s">
        <v>99</v>
      </c>
      <c r="F22" s="106" t="s">
        <v>1942</v>
      </c>
      <c r="G22" s="137" t="n">
        <v>45750</v>
      </c>
      <c r="H22" s="106" t="s">
        <v>529</v>
      </c>
      <c r="I22" s="138" t="str">
        <f aca="false">IFERROR(VLOOKUP(TEXT(H22,"0"),IPRESS!$A$3:$B$212,2,0),"")</f>
        <v>MARIA AUXILIADORA</v>
      </c>
      <c r="J22" s="106" t="s">
        <v>755</v>
      </c>
      <c r="K22" s="138" t="str">
        <f aca="false">IFERROR(VLOOKUP(TEXT(O22,"0"),CONDUCTORES!$A$3:$G$100,7,0),"")</f>
        <v/>
      </c>
      <c r="L22" s="50" t="n">
        <v>20.25</v>
      </c>
      <c r="M22" s="50" t="n">
        <v>7</v>
      </c>
      <c r="N22" s="139" t="n">
        <f aca="false">IFERROR(IF(L22*M22=0,"",L22*M22),"")</f>
        <v>141.75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40" t="s">
        <v>1317</v>
      </c>
      <c r="S22" s="107" t="s">
        <v>1943</v>
      </c>
      <c r="T22" s="136"/>
      <c r="U22" s="140"/>
      <c r="V22" s="106"/>
      <c r="W22" s="106" t="s">
        <v>760</v>
      </c>
      <c r="X22" s="106" t="s">
        <v>761</v>
      </c>
      <c r="Y22" s="85"/>
    </row>
    <row r="23" customFormat="false" ht="15.75" hidden="false" customHeight="true" outlineLevel="0" collapsed="false">
      <c r="A23" s="46" t="n">
        <v>18</v>
      </c>
      <c r="B23" s="110" t="s">
        <v>1944</v>
      </c>
      <c r="C23" s="46" t="s">
        <v>752</v>
      </c>
      <c r="D23" s="110" t="s">
        <v>1945</v>
      </c>
      <c r="E23" s="46" t="s">
        <v>99</v>
      </c>
      <c r="F23" s="46" t="s">
        <v>1946</v>
      </c>
      <c r="G23" s="142" t="n">
        <v>45750</v>
      </c>
      <c r="H23" s="46" t="s">
        <v>529</v>
      </c>
      <c r="I23" s="138" t="str">
        <f aca="false">IFERROR(VLOOKUP(TEXT(H23,"0"),IPRESS!$A$3:$B$212,2,0),"")</f>
        <v>MARIA AUXILIADORA</v>
      </c>
      <c r="J23" s="46" t="s">
        <v>755</v>
      </c>
      <c r="K23" s="138" t="str">
        <f aca="false">IFERROR(VLOOKUP(TEXT(O23,"0"),CONDUCTORES!$A$3:$G$100,7,0),"")</f>
        <v/>
      </c>
      <c r="L23" s="44" t="n">
        <v>20.25</v>
      </c>
      <c r="M23" s="44" t="n">
        <v>7</v>
      </c>
      <c r="N23" s="139" t="n">
        <f aca="false">IFERROR(IF(L23*M23=0,"",L23*M23),"")</f>
        <v>141.75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85" t="s">
        <v>1317</v>
      </c>
      <c r="S23" s="110" t="s">
        <v>1947</v>
      </c>
      <c r="T23" s="46"/>
      <c r="U23" s="85"/>
      <c r="V23" s="46"/>
      <c r="W23" s="46" t="s">
        <v>760</v>
      </c>
      <c r="X23" s="46" t="s">
        <v>761</v>
      </c>
      <c r="Y23" s="85"/>
    </row>
    <row r="24" customFormat="false" ht="15.75" hidden="false" customHeight="true" outlineLevel="0" collapsed="false">
      <c r="A24" s="106" t="n">
        <v>19</v>
      </c>
      <c r="B24" s="107" t="s">
        <v>1948</v>
      </c>
      <c r="C24" s="106" t="s">
        <v>752</v>
      </c>
      <c r="D24" s="107" t="s">
        <v>1949</v>
      </c>
      <c r="E24" s="136" t="s">
        <v>99</v>
      </c>
      <c r="F24" s="106" t="s">
        <v>1950</v>
      </c>
      <c r="G24" s="137" t="n">
        <v>45751</v>
      </c>
      <c r="H24" s="106" t="s">
        <v>529</v>
      </c>
      <c r="I24" s="138" t="str">
        <f aca="false">IFERROR(VLOOKUP(TEXT(H24,"0"),IPRESS!$A$3:$B$212,2,0),"")</f>
        <v>MARIA AUXILIADORA</v>
      </c>
      <c r="J24" s="106" t="s">
        <v>755</v>
      </c>
      <c r="K24" s="138" t="str">
        <f aca="false">IFERROR(VLOOKUP(TEXT(O24,"0"),CONDUCTORES!$A$3:$G$100,7,0),"")</f>
        <v/>
      </c>
      <c r="L24" s="50" t="n">
        <v>20.25</v>
      </c>
      <c r="M24" s="50" t="n">
        <v>7</v>
      </c>
      <c r="N24" s="139" t="n">
        <f aca="false">IFERROR(IF(L24*M24=0,"",L24*M24),"")</f>
        <v>141.75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40" t="s">
        <v>1317</v>
      </c>
      <c r="S24" s="107" t="s">
        <v>1951</v>
      </c>
      <c r="T24" s="136"/>
      <c r="U24" s="140"/>
      <c r="V24" s="106"/>
      <c r="W24" s="106" t="s">
        <v>760</v>
      </c>
      <c r="X24" s="106" t="s">
        <v>761</v>
      </c>
      <c r="Y24" s="85"/>
    </row>
    <row r="25" customFormat="false" ht="15.75" hidden="false" customHeight="true" outlineLevel="0" collapsed="false">
      <c r="A25" s="46" t="n">
        <v>20</v>
      </c>
      <c r="B25" s="110" t="s">
        <v>1952</v>
      </c>
      <c r="C25" s="46" t="s">
        <v>752</v>
      </c>
      <c r="D25" s="110" t="s">
        <v>1953</v>
      </c>
      <c r="E25" s="46" t="s">
        <v>99</v>
      </c>
      <c r="F25" s="46" t="s">
        <v>1954</v>
      </c>
      <c r="G25" s="142" t="n">
        <v>45752</v>
      </c>
      <c r="H25" s="46" t="s">
        <v>529</v>
      </c>
      <c r="I25" s="138" t="str">
        <f aca="false">IFERROR(VLOOKUP(TEXT(H25,"0"),IPRESS!$A$3:$B$212,2,0),"")</f>
        <v>MARIA AUXILIADORA</v>
      </c>
      <c r="J25" s="46" t="s">
        <v>755</v>
      </c>
      <c r="K25" s="138" t="str">
        <f aca="false">IFERROR(VLOOKUP(TEXT(O25,"0"),CONDUCTORES!$A$3:$G$100,7,0),"")</f>
        <v/>
      </c>
      <c r="L25" s="44" t="n">
        <v>20.25</v>
      </c>
      <c r="M25" s="44" t="n">
        <v>7</v>
      </c>
      <c r="N25" s="139" t="n">
        <f aca="false">IFERROR(IF(L25*M25=0,"",L25*M25),"")</f>
        <v>141.75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85" t="s">
        <v>1317</v>
      </c>
      <c r="S25" s="110" t="s">
        <v>1955</v>
      </c>
      <c r="T25" s="46"/>
      <c r="U25" s="85"/>
      <c r="V25" s="46"/>
      <c r="W25" s="46" t="s">
        <v>760</v>
      </c>
      <c r="X25" s="46" t="s">
        <v>761</v>
      </c>
      <c r="Y25" s="85"/>
    </row>
    <row r="26" customFormat="false" ht="15.75" hidden="false" customHeight="true" outlineLevel="0" collapsed="false">
      <c r="A26" s="106" t="n">
        <v>21</v>
      </c>
      <c r="B26" s="107" t="s">
        <v>1956</v>
      </c>
      <c r="C26" s="106" t="s">
        <v>752</v>
      </c>
      <c r="D26" s="107" t="s">
        <v>1957</v>
      </c>
      <c r="E26" s="136" t="s">
        <v>99</v>
      </c>
      <c r="F26" s="106" t="s">
        <v>1958</v>
      </c>
      <c r="G26" s="137" t="n">
        <v>45753</v>
      </c>
      <c r="H26" s="106" t="s">
        <v>755</v>
      </c>
      <c r="I26" s="138" t="str">
        <f aca="false">IFERROR(VLOOKUP(TEXT(H26,"0"),IPRESS!$A$3:$B$212,2,0),"")</f>
        <v/>
      </c>
      <c r="J26" s="106" t="s">
        <v>755</v>
      </c>
      <c r="K26" s="138" t="str">
        <f aca="false">IFERROR(VLOOKUP(TEXT(O26,"0"),CONDUCTORES!$A$3:$G$100,7,0),"")</f>
        <v/>
      </c>
      <c r="L26" s="50" t="n">
        <v>20.25</v>
      </c>
      <c r="M26" s="50" t="n">
        <v>7</v>
      </c>
      <c r="N26" s="139" t="n">
        <f aca="false">IFERROR(IF(L26*M26=0,"",L26*M26),"")</f>
        <v>141.75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40" t="s">
        <v>1317</v>
      </c>
      <c r="S26" s="107" t="s">
        <v>1959</v>
      </c>
      <c r="T26" s="136"/>
      <c r="U26" s="140"/>
      <c r="V26" s="106"/>
      <c r="W26" s="106" t="s">
        <v>760</v>
      </c>
      <c r="X26" s="106" t="s">
        <v>761</v>
      </c>
      <c r="Y26" s="85"/>
    </row>
    <row r="27" customFormat="false" ht="15.75" hidden="false" customHeight="true" outlineLevel="0" collapsed="false">
      <c r="A27" s="46" t="n">
        <v>22</v>
      </c>
      <c r="B27" s="110" t="s">
        <v>1960</v>
      </c>
      <c r="C27" s="46" t="s">
        <v>752</v>
      </c>
      <c r="D27" s="110" t="s">
        <v>1961</v>
      </c>
      <c r="E27" s="46" t="s">
        <v>99</v>
      </c>
      <c r="F27" s="46" t="s">
        <v>1962</v>
      </c>
      <c r="G27" s="142" t="n">
        <v>45753</v>
      </c>
      <c r="H27" s="46" t="s">
        <v>529</v>
      </c>
      <c r="I27" s="138" t="str">
        <f aca="false">IFERROR(VLOOKUP(TEXT(H27,"0"),IPRESS!$A$3:$B$212,2,0),"")</f>
        <v>MARIA AUXILIADORA</v>
      </c>
      <c r="J27" s="46" t="s">
        <v>755</v>
      </c>
      <c r="K27" s="138" t="str">
        <f aca="false">IFERROR(VLOOKUP(TEXT(O27,"0"),CONDUCTORES!$A$3:$G$100,7,0),"")</f>
        <v/>
      </c>
      <c r="L27" s="44" t="n">
        <v>20.25</v>
      </c>
      <c r="M27" s="44" t="n">
        <v>10</v>
      </c>
      <c r="N27" s="139" t="n">
        <f aca="false">IFERROR(IF(L27*M27=0,"",L27*M27),"")</f>
        <v>202.5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85" t="s">
        <v>1317</v>
      </c>
      <c r="S27" s="110" t="s">
        <v>1550</v>
      </c>
      <c r="T27" s="46"/>
      <c r="U27" s="85"/>
      <c r="V27" s="46"/>
      <c r="W27" s="46" t="s">
        <v>760</v>
      </c>
      <c r="X27" s="46" t="s">
        <v>761</v>
      </c>
      <c r="Y27" s="85"/>
    </row>
    <row r="28" customFormat="false" ht="15.75" hidden="false" customHeight="true" outlineLevel="0" collapsed="false">
      <c r="A28" s="106" t="n">
        <v>23</v>
      </c>
      <c r="B28" s="107" t="s">
        <v>1963</v>
      </c>
      <c r="C28" s="106" t="s">
        <v>752</v>
      </c>
      <c r="D28" s="107" t="s">
        <v>1964</v>
      </c>
      <c r="E28" s="136" t="s">
        <v>99</v>
      </c>
      <c r="F28" s="106" t="s">
        <v>1965</v>
      </c>
      <c r="G28" s="137" t="n">
        <v>45755</v>
      </c>
      <c r="H28" s="106" t="s">
        <v>529</v>
      </c>
      <c r="I28" s="138" t="str">
        <f aca="false">IFERROR(VLOOKUP(TEXT(H28,"0"),IPRESS!$A$3:$B$212,2,0),"")</f>
        <v>MARIA AUXILIADORA</v>
      </c>
      <c r="J28" s="106" t="s">
        <v>755</v>
      </c>
      <c r="K28" s="138" t="str">
        <f aca="false">IFERROR(VLOOKUP(TEXT(O28,"0"),CONDUCTORES!$A$3:$G$100,7,0),"")</f>
        <v/>
      </c>
      <c r="L28" s="50" t="n">
        <v>20.25</v>
      </c>
      <c r="M28" s="50" t="n">
        <v>7</v>
      </c>
      <c r="N28" s="139" t="n">
        <f aca="false">IFERROR(IF(L28*M28=0,"",L28*M28),"")</f>
        <v>141.75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40" t="s">
        <v>1317</v>
      </c>
      <c r="S28" s="107" t="s">
        <v>1752</v>
      </c>
      <c r="T28" s="136"/>
      <c r="U28" s="140"/>
      <c r="V28" s="106"/>
      <c r="W28" s="106" t="s">
        <v>760</v>
      </c>
      <c r="X28" s="106" t="s">
        <v>761</v>
      </c>
      <c r="Y28" s="85"/>
    </row>
    <row r="29" customFormat="false" ht="15.75" hidden="false" customHeight="true" outlineLevel="0" collapsed="false">
      <c r="A29" s="46" t="n">
        <v>24</v>
      </c>
      <c r="B29" s="110" t="s">
        <v>1966</v>
      </c>
      <c r="C29" s="46" t="s">
        <v>752</v>
      </c>
      <c r="D29" s="110" t="s">
        <v>1967</v>
      </c>
      <c r="E29" s="46" t="s">
        <v>99</v>
      </c>
      <c r="F29" s="46" t="s">
        <v>1968</v>
      </c>
      <c r="G29" s="142" t="n">
        <v>45756</v>
      </c>
      <c r="H29" s="46" t="s">
        <v>529</v>
      </c>
      <c r="I29" s="138" t="str">
        <f aca="false">IFERROR(VLOOKUP(TEXT(H29,"0"),IPRESS!$A$3:$B$212,2,0),"")</f>
        <v>MARIA AUXILIADORA</v>
      </c>
      <c r="J29" s="46" t="s">
        <v>755</v>
      </c>
      <c r="K29" s="138" t="str">
        <f aca="false">IFERROR(VLOOKUP(TEXT(O29,"0"),CONDUCTORES!$A$3:$G$100,7,0),"")</f>
        <v/>
      </c>
      <c r="L29" s="44" t="n">
        <v>20.25</v>
      </c>
      <c r="M29" s="44" t="n">
        <v>10</v>
      </c>
      <c r="N29" s="139" t="n">
        <f aca="false">IFERROR(IF(L29*M29=0,"",L29*M29),"")</f>
        <v>202.5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85" t="s">
        <v>1317</v>
      </c>
      <c r="S29" s="110" t="s">
        <v>1969</v>
      </c>
      <c r="T29" s="46"/>
      <c r="U29" s="85"/>
      <c r="V29" s="46"/>
      <c r="W29" s="46" t="s">
        <v>760</v>
      </c>
      <c r="X29" s="46" t="s">
        <v>761</v>
      </c>
      <c r="Y29" s="85"/>
    </row>
    <row r="30" customFormat="false" ht="15.75" hidden="false" customHeight="true" outlineLevel="0" collapsed="false">
      <c r="A30" s="106" t="n">
        <v>25</v>
      </c>
      <c r="B30" s="107" t="s">
        <v>1970</v>
      </c>
      <c r="C30" s="106" t="s">
        <v>752</v>
      </c>
      <c r="D30" s="107" t="s">
        <v>1971</v>
      </c>
      <c r="E30" s="136" t="s">
        <v>99</v>
      </c>
      <c r="F30" s="106" t="s">
        <v>1972</v>
      </c>
      <c r="G30" s="137" t="n">
        <v>45758</v>
      </c>
      <c r="H30" s="106" t="s">
        <v>529</v>
      </c>
      <c r="I30" s="138" t="str">
        <f aca="false">IFERROR(VLOOKUP(TEXT(H30,"0"),IPRESS!$A$3:$B$212,2,0),"")</f>
        <v>MARIA AUXILIADORA</v>
      </c>
      <c r="J30" s="106" t="s">
        <v>755</v>
      </c>
      <c r="K30" s="138" t="str">
        <f aca="false">IFERROR(VLOOKUP(TEXT(O30,"0"),CONDUCTORES!$A$3:$G$100,7,0),"")</f>
        <v/>
      </c>
      <c r="L30" s="50" t="n">
        <v>20.25</v>
      </c>
      <c r="M30" s="50" t="n">
        <v>7</v>
      </c>
      <c r="N30" s="139" t="n">
        <f aca="false">IFERROR(IF(L30*M30=0,"",L30*M30),"")</f>
        <v>141.75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40" t="s">
        <v>1317</v>
      </c>
      <c r="S30" s="107" t="s">
        <v>1973</v>
      </c>
      <c r="T30" s="136"/>
      <c r="U30" s="140"/>
      <c r="V30" s="106"/>
      <c r="W30" s="106" t="s">
        <v>760</v>
      </c>
      <c r="X30" s="106" t="s">
        <v>761</v>
      </c>
      <c r="Y30" s="85"/>
    </row>
    <row r="31" customFormat="false" ht="15.75" hidden="false" customHeight="true" outlineLevel="0" collapsed="false">
      <c r="A31" s="46" t="n">
        <v>26</v>
      </c>
      <c r="B31" s="110" t="s">
        <v>1974</v>
      </c>
      <c r="C31" s="46" t="s">
        <v>752</v>
      </c>
      <c r="D31" s="110" t="s">
        <v>1975</v>
      </c>
      <c r="E31" s="46" t="s">
        <v>99</v>
      </c>
      <c r="F31" s="46" t="s">
        <v>1976</v>
      </c>
      <c r="G31" s="142" t="n">
        <v>45759</v>
      </c>
      <c r="H31" s="46" t="s">
        <v>529</v>
      </c>
      <c r="I31" s="138" t="str">
        <f aca="false">IFERROR(VLOOKUP(TEXT(H31,"0"),IPRESS!$A$3:$B$212,2,0),"")</f>
        <v>MARIA AUXILIADORA</v>
      </c>
      <c r="J31" s="46" t="s">
        <v>755</v>
      </c>
      <c r="K31" s="138" t="str">
        <f aca="false">IFERROR(VLOOKUP(TEXT(O31,"0"),CONDUCTORES!$A$3:$G$100,7,0),"")</f>
        <v/>
      </c>
      <c r="L31" s="44" t="n">
        <v>20.25</v>
      </c>
      <c r="M31" s="44" t="n">
        <v>7</v>
      </c>
      <c r="N31" s="139" t="n">
        <f aca="false">IFERROR(IF(L31*M31=0,"",L31*M31),"")</f>
        <v>141.75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85" t="s">
        <v>1317</v>
      </c>
      <c r="S31" s="110" t="s">
        <v>1977</v>
      </c>
      <c r="T31" s="46"/>
      <c r="U31" s="85"/>
      <c r="V31" s="46"/>
      <c r="W31" s="46" t="s">
        <v>760</v>
      </c>
      <c r="X31" s="46" t="s">
        <v>761</v>
      </c>
      <c r="Y31" s="85"/>
    </row>
    <row r="32" customFormat="false" ht="15.75" hidden="false" customHeight="true" outlineLevel="0" collapsed="false">
      <c r="A32" s="106" t="n">
        <v>27</v>
      </c>
      <c r="B32" s="107" t="s">
        <v>1978</v>
      </c>
      <c r="C32" s="106" t="s">
        <v>752</v>
      </c>
      <c r="D32" s="107" t="s">
        <v>1979</v>
      </c>
      <c r="E32" s="136" t="s">
        <v>99</v>
      </c>
      <c r="F32" s="106" t="s">
        <v>1980</v>
      </c>
      <c r="G32" s="137" t="n">
        <v>45760</v>
      </c>
      <c r="H32" s="106" t="s">
        <v>529</v>
      </c>
      <c r="I32" s="138" t="str">
        <f aca="false">IFERROR(VLOOKUP(TEXT(H32,"0"),IPRESS!$A$3:$B$212,2,0),"")</f>
        <v>MARIA AUXILIADORA</v>
      </c>
      <c r="J32" s="106" t="s">
        <v>755</v>
      </c>
      <c r="K32" s="138" t="str">
        <f aca="false">IFERROR(VLOOKUP(TEXT(O32,"0"),CONDUCTORES!$A$3:$G$100,7,0),"")</f>
        <v/>
      </c>
      <c r="L32" s="50" t="n">
        <v>20.25</v>
      </c>
      <c r="M32" s="50" t="n">
        <v>7</v>
      </c>
      <c r="N32" s="139" t="n">
        <f aca="false">IFERROR(IF(L32*M32=0,"",L32*M32),"")</f>
        <v>141.75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40" t="s">
        <v>1317</v>
      </c>
      <c r="S32" s="107" t="s">
        <v>1458</v>
      </c>
      <c r="T32" s="136"/>
      <c r="U32" s="140"/>
      <c r="V32" s="106"/>
      <c r="W32" s="106" t="s">
        <v>760</v>
      </c>
      <c r="X32" s="106" t="s">
        <v>761</v>
      </c>
      <c r="Y32" s="85"/>
    </row>
    <row r="33" customFormat="false" ht="15.75" hidden="false" customHeight="true" outlineLevel="0" collapsed="false">
      <c r="A33" s="46" t="n">
        <v>28</v>
      </c>
      <c r="B33" s="110" t="s">
        <v>1981</v>
      </c>
      <c r="C33" s="46" t="s">
        <v>752</v>
      </c>
      <c r="D33" s="110" t="s">
        <v>1982</v>
      </c>
      <c r="E33" s="46" t="s">
        <v>99</v>
      </c>
      <c r="F33" s="46" t="s">
        <v>1983</v>
      </c>
      <c r="G33" s="142" t="n">
        <v>45761</v>
      </c>
      <c r="H33" s="46" t="s">
        <v>529</v>
      </c>
      <c r="I33" s="138" t="str">
        <f aca="false">IFERROR(VLOOKUP(TEXT(H33,"0"),IPRESS!$A$3:$B$212,2,0),"")</f>
        <v>MARIA AUXILIADORA</v>
      </c>
      <c r="J33" s="46" t="s">
        <v>755</v>
      </c>
      <c r="K33" s="138" t="str">
        <f aca="false">IFERROR(VLOOKUP(TEXT(O33,"0"),CONDUCTORES!$A$3:$G$100,7,0),"")</f>
        <v/>
      </c>
      <c r="L33" s="44" t="n">
        <v>20.25</v>
      </c>
      <c r="M33" s="44" t="n">
        <v>7</v>
      </c>
      <c r="N33" s="139" t="n">
        <f aca="false">IFERROR(IF(L33*M33=0,"",L33*M33),"")</f>
        <v>141.75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85" t="s">
        <v>1317</v>
      </c>
      <c r="S33" s="110" t="s">
        <v>1737</v>
      </c>
      <c r="T33" s="46"/>
      <c r="U33" s="85"/>
      <c r="V33" s="46"/>
      <c r="W33" s="46" t="s">
        <v>760</v>
      </c>
      <c r="X33" s="46" t="s">
        <v>761</v>
      </c>
      <c r="Y33" s="85"/>
    </row>
    <row r="34" customFormat="false" ht="15.75" hidden="false" customHeight="true" outlineLevel="0" collapsed="false">
      <c r="A34" s="106" t="n">
        <v>29</v>
      </c>
      <c r="B34" s="107" t="s">
        <v>1984</v>
      </c>
      <c r="C34" s="106" t="s">
        <v>752</v>
      </c>
      <c r="D34" s="107" t="s">
        <v>1985</v>
      </c>
      <c r="E34" s="136" t="s">
        <v>99</v>
      </c>
      <c r="F34" s="106" t="s">
        <v>1986</v>
      </c>
      <c r="G34" s="137" t="n">
        <v>45762</v>
      </c>
      <c r="H34" s="106" t="s">
        <v>529</v>
      </c>
      <c r="I34" s="138" t="str">
        <f aca="false">IFERROR(VLOOKUP(TEXT(H34,"0"),IPRESS!$A$3:$B$212,2,0),"")</f>
        <v>MARIA AUXILIADORA</v>
      </c>
      <c r="J34" s="106" t="s">
        <v>755</v>
      </c>
      <c r="K34" s="138" t="str">
        <f aca="false">IFERROR(VLOOKUP(TEXT(O34,"0"),CONDUCTORES!$A$3:$G$100,7,0),"")</f>
        <v/>
      </c>
      <c r="L34" s="50" t="n">
        <v>20.25</v>
      </c>
      <c r="M34" s="50" t="n">
        <v>7</v>
      </c>
      <c r="N34" s="139" t="n">
        <f aca="false">IFERROR(IF(L34*M34=0,"",L34*M34),"")</f>
        <v>141.75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40" t="s">
        <v>1317</v>
      </c>
      <c r="S34" s="107" t="s">
        <v>1737</v>
      </c>
      <c r="T34" s="136"/>
      <c r="U34" s="140"/>
      <c r="V34" s="106"/>
      <c r="W34" s="106" t="s">
        <v>760</v>
      </c>
      <c r="X34" s="106" t="s">
        <v>761</v>
      </c>
      <c r="Y34" s="85"/>
    </row>
    <row r="35" customFormat="false" ht="15.75" hidden="false" customHeight="true" outlineLevel="0" collapsed="false">
      <c r="A35" s="46" t="n">
        <v>30</v>
      </c>
      <c r="B35" s="110" t="s">
        <v>1987</v>
      </c>
      <c r="C35" s="46" t="s">
        <v>752</v>
      </c>
      <c r="D35" s="110" t="s">
        <v>1988</v>
      </c>
      <c r="E35" s="46" t="s">
        <v>99</v>
      </c>
      <c r="F35" s="46" t="s">
        <v>1989</v>
      </c>
      <c r="G35" s="142" t="n">
        <v>45763</v>
      </c>
      <c r="H35" s="46" t="s">
        <v>529</v>
      </c>
      <c r="I35" s="138" t="str">
        <f aca="false">IFERROR(VLOOKUP(TEXT(H35,"0"),IPRESS!$A$3:$B$212,2,0),"")</f>
        <v>MARIA AUXILIADORA</v>
      </c>
      <c r="J35" s="46" t="s">
        <v>755</v>
      </c>
      <c r="K35" s="138" t="str">
        <f aca="false">IFERROR(VLOOKUP(TEXT(O35,"0"),CONDUCTORES!$A$3:$G$100,7,0),"")</f>
        <v/>
      </c>
      <c r="L35" s="44" t="n">
        <v>20.25</v>
      </c>
      <c r="M35" s="44" t="n">
        <v>7</v>
      </c>
      <c r="N35" s="139" t="n">
        <f aca="false">IFERROR(IF(L35*M35=0,"",L35*M35),"")</f>
        <v>141.75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85" t="s">
        <v>1317</v>
      </c>
      <c r="S35" s="110" t="s">
        <v>1990</v>
      </c>
      <c r="T35" s="46"/>
      <c r="U35" s="85"/>
      <c r="V35" s="46"/>
      <c r="W35" s="46" t="s">
        <v>760</v>
      </c>
      <c r="X35" s="46" t="s">
        <v>761</v>
      </c>
      <c r="Y35" s="85"/>
    </row>
    <row r="36" customFormat="false" ht="15.75" hidden="false" customHeight="true" outlineLevel="0" collapsed="false">
      <c r="A36" s="106" t="n">
        <v>31</v>
      </c>
      <c r="B36" s="107" t="s">
        <v>1991</v>
      </c>
      <c r="C36" s="106" t="s">
        <v>752</v>
      </c>
      <c r="D36" s="107" t="s">
        <v>1992</v>
      </c>
      <c r="E36" s="136" t="s">
        <v>99</v>
      </c>
      <c r="F36" s="106" t="s">
        <v>1993</v>
      </c>
      <c r="G36" s="137" t="n">
        <v>45763</v>
      </c>
      <c r="H36" s="106" t="s">
        <v>529</v>
      </c>
      <c r="I36" s="138" t="str">
        <f aca="false">IFERROR(VLOOKUP(TEXT(H36,"0"),IPRESS!$A$3:$B$212,2,0),"")</f>
        <v>MARIA AUXILIADORA</v>
      </c>
      <c r="J36" s="106" t="s">
        <v>755</v>
      </c>
      <c r="K36" s="138" t="str">
        <f aca="false">IFERROR(VLOOKUP(TEXT(O36,"0"),CONDUCTORES!$A$3:$G$100,7,0),"")</f>
        <v/>
      </c>
      <c r="L36" s="50" t="n">
        <v>20.25</v>
      </c>
      <c r="M36" s="50" t="n">
        <v>10</v>
      </c>
      <c r="N36" s="139" t="n">
        <f aca="false">IFERROR(IF(L36*M36=0,"",L36*M36),"")</f>
        <v>202.5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40" t="s">
        <v>1317</v>
      </c>
      <c r="S36" s="107" t="s">
        <v>1994</v>
      </c>
      <c r="T36" s="136"/>
      <c r="U36" s="140"/>
      <c r="V36" s="106"/>
      <c r="W36" s="106" t="s">
        <v>760</v>
      </c>
      <c r="X36" s="106" t="s">
        <v>761</v>
      </c>
      <c r="Y36" s="85"/>
    </row>
    <row r="37" customFormat="false" ht="15.75" hidden="false" customHeight="true" outlineLevel="0" collapsed="false">
      <c r="A37" s="46" t="n">
        <v>32</v>
      </c>
      <c r="B37" s="110" t="s">
        <v>1995</v>
      </c>
      <c r="C37" s="46" t="s">
        <v>752</v>
      </c>
      <c r="D37" s="110" t="s">
        <v>1996</v>
      </c>
      <c r="E37" s="46" t="s">
        <v>99</v>
      </c>
      <c r="F37" s="46" t="s">
        <v>1997</v>
      </c>
      <c r="G37" s="142" t="n">
        <v>45766</v>
      </c>
      <c r="H37" s="46" t="s">
        <v>529</v>
      </c>
      <c r="I37" s="138" t="str">
        <f aca="false">IFERROR(VLOOKUP(TEXT(H37,"0"),IPRESS!$A$3:$B$212,2,0),"")</f>
        <v>MARIA AUXILIADORA</v>
      </c>
      <c r="J37" s="46" t="s">
        <v>755</v>
      </c>
      <c r="K37" s="138" t="str">
        <f aca="false">IFERROR(VLOOKUP(TEXT(O37,"0"),CONDUCTORES!$A$3:$G$100,7,0),"")</f>
        <v/>
      </c>
      <c r="L37" s="44" t="n">
        <v>20.25</v>
      </c>
      <c r="M37" s="44" t="n">
        <v>7</v>
      </c>
      <c r="N37" s="139" t="n">
        <f aca="false">IFERROR(IF(L37*M37=0,"",L37*M37),"")</f>
        <v>141.75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85" t="s">
        <v>1317</v>
      </c>
      <c r="S37" s="110" t="s">
        <v>1998</v>
      </c>
      <c r="T37" s="46"/>
      <c r="U37" s="85"/>
      <c r="V37" s="46"/>
      <c r="W37" s="46" t="s">
        <v>760</v>
      </c>
      <c r="X37" s="46" t="s">
        <v>761</v>
      </c>
      <c r="Y37" s="85"/>
    </row>
    <row r="38" customFormat="false" ht="15.75" hidden="false" customHeight="true" outlineLevel="0" collapsed="false">
      <c r="A38" s="106" t="n">
        <v>33</v>
      </c>
      <c r="B38" s="107" t="s">
        <v>1999</v>
      </c>
      <c r="C38" s="106" t="s">
        <v>752</v>
      </c>
      <c r="D38" s="107" t="s">
        <v>2000</v>
      </c>
      <c r="E38" s="136" t="s">
        <v>99</v>
      </c>
      <c r="F38" s="106" t="s">
        <v>2001</v>
      </c>
      <c r="G38" s="137" t="n">
        <v>45767</v>
      </c>
      <c r="H38" s="106" t="s">
        <v>529</v>
      </c>
      <c r="I38" s="138" t="str">
        <f aca="false">IFERROR(VLOOKUP(TEXT(H38,"0"),IPRESS!$A$3:$B$212,2,0),"")</f>
        <v>MARIA AUXILIADORA</v>
      </c>
      <c r="J38" s="106" t="s">
        <v>755</v>
      </c>
      <c r="K38" s="138" t="str">
        <f aca="false">IFERROR(VLOOKUP(TEXT(O38,"0"),CONDUCTORES!$A$3:$G$100,7,0),"")</f>
        <v/>
      </c>
      <c r="L38" s="50" t="n">
        <v>20.25</v>
      </c>
      <c r="M38" s="50" t="n">
        <v>7</v>
      </c>
      <c r="N38" s="139" t="n">
        <f aca="false">IFERROR(IF(L38*M38=0,"",L38*M38),"")</f>
        <v>141.75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40" t="s">
        <v>1317</v>
      </c>
      <c r="S38" s="107" t="s">
        <v>2002</v>
      </c>
      <c r="T38" s="136"/>
      <c r="U38" s="140"/>
      <c r="V38" s="106"/>
      <c r="W38" s="106" t="s">
        <v>760</v>
      </c>
      <c r="X38" s="106" t="s">
        <v>761</v>
      </c>
      <c r="Y38" s="85"/>
    </row>
    <row r="39" customFormat="false" ht="15.75" hidden="false" customHeight="true" outlineLevel="0" collapsed="false">
      <c r="A39" s="46" t="n">
        <v>34</v>
      </c>
      <c r="B39" s="110" t="s">
        <v>2003</v>
      </c>
      <c r="C39" s="46" t="s">
        <v>752</v>
      </c>
      <c r="D39" s="110" t="s">
        <v>2004</v>
      </c>
      <c r="E39" s="46" t="s">
        <v>99</v>
      </c>
      <c r="F39" s="46" t="s">
        <v>2005</v>
      </c>
      <c r="G39" s="142" t="n">
        <v>45769</v>
      </c>
      <c r="H39" s="46" t="s">
        <v>529</v>
      </c>
      <c r="I39" s="138" t="str">
        <f aca="false">IFERROR(VLOOKUP(TEXT(H39,"0"),IPRESS!$A$3:$B$212,2,0),"")</f>
        <v>MARIA AUXILIADORA</v>
      </c>
      <c r="J39" s="46" t="s">
        <v>755</v>
      </c>
      <c r="K39" s="138" t="str">
        <f aca="false">IFERROR(VLOOKUP(TEXT(O39,"0"),CONDUCTORES!$A$3:$G$100,7,0),"")</f>
        <v/>
      </c>
      <c r="L39" s="44" t="n">
        <v>20.25</v>
      </c>
      <c r="M39" s="44" t="n">
        <v>7</v>
      </c>
      <c r="N39" s="139" t="n">
        <f aca="false">IFERROR(IF(L39*M39=0,"",L39*M39),"")</f>
        <v>141.75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85" t="s">
        <v>1317</v>
      </c>
      <c r="S39" s="110" t="s">
        <v>2006</v>
      </c>
      <c r="T39" s="46"/>
      <c r="U39" s="85"/>
      <c r="V39" s="46"/>
      <c r="W39" s="46" t="s">
        <v>760</v>
      </c>
      <c r="X39" s="46" t="s">
        <v>761</v>
      </c>
      <c r="Y39" s="85"/>
    </row>
    <row r="40" customFormat="false" ht="15.75" hidden="false" customHeight="true" outlineLevel="0" collapsed="false">
      <c r="A40" s="106" t="n">
        <v>35</v>
      </c>
      <c r="B40" s="107" t="s">
        <v>2007</v>
      </c>
      <c r="C40" s="106" t="s">
        <v>752</v>
      </c>
      <c r="D40" s="107" t="s">
        <v>2008</v>
      </c>
      <c r="E40" s="136" t="s">
        <v>99</v>
      </c>
      <c r="F40" s="106" t="s">
        <v>2009</v>
      </c>
      <c r="G40" s="137" t="n">
        <v>45770</v>
      </c>
      <c r="H40" s="106" t="s">
        <v>529</v>
      </c>
      <c r="I40" s="138" t="str">
        <f aca="false">IFERROR(VLOOKUP(TEXT(H40,"0"),IPRESS!$A$3:$B$212,2,0),"")</f>
        <v>MARIA AUXILIADORA</v>
      </c>
      <c r="J40" s="106" t="s">
        <v>755</v>
      </c>
      <c r="K40" s="138" t="str">
        <f aca="false">IFERROR(VLOOKUP(TEXT(O40,"0"),CONDUCTORES!$A$3:$G$100,7,0),"")</f>
        <v/>
      </c>
      <c r="L40" s="50" t="n">
        <v>20.25</v>
      </c>
      <c r="M40" s="50" t="n">
        <v>7</v>
      </c>
      <c r="N40" s="139" t="n">
        <f aca="false">IFERROR(IF(L40*M40=0,"",L40*M40),"")</f>
        <v>141.75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40" t="s">
        <v>1317</v>
      </c>
      <c r="S40" s="107" t="s">
        <v>2010</v>
      </c>
      <c r="T40" s="136"/>
      <c r="U40" s="140"/>
      <c r="V40" s="106"/>
      <c r="W40" s="106" t="s">
        <v>760</v>
      </c>
      <c r="X40" s="106" t="s">
        <v>761</v>
      </c>
      <c r="Y40" s="85"/>
    </row>
    <row r="41" customFormat="false" ht="15.75" hidden="false" customHeight="true" outlineLevel="0" collapsed="false">
      <c r="A41" s="46" t="n">
        <v>36</v>
      </c>
      <c r="B41" s="110" t="s">
        <v>2011</v>
      </c>
      <c r="C41" s="46" t="s">
        <v>752</v>
      </c>
      <c r="D41" s="110" t="s">
        <v>2012</v>
      </c>
      <c r="E41" s="46" t="s">
        <v>99</v>
      </c>
      <c r="F41" s="46" t="s">
        <v>2013</v>
      </c>
      <c r="G41" s="142" t="n">
        <v>45766</v>
      </c>
      <c r="H41" s="46" t="s">
        <v>529</v>
      </c>
      <c r="I41" s="138" t="str">
        <f aca="false">IFERROR(VLOOKUP(TEXT(H41,"0"),IPRESS!$A$3:$B$212,2,0),"")</f>
        <v>MARIA AUXILIADORA</v>
      </c>
      <c r="J41" s="46" t="s">
        <v>755</v>
      </c>
      <c r="K41" s="138" t="str">
        <f aca="false">IFERROR(VLOOKUP(TEXT(O41,"0"),CONDUCTORES!$A$3:$G$100,7,0),"")</f>
        <v/>
      </c>
      <c r="L41" s="44" t="n">
        <v>20.25</v>
      </c>
      <c r="M41" s="44" t="n">
        <v>7</v>
      </c>
      <c r="N41" s="139" t="n">
        <f aca="false">IFERROR(IF(L41*M41=0,"",L41*M41),"")</f>
        <v>141.75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85" t="s">
        <v>1317</v>
      </c>
      <c r="S41" s="110" t="s">
        <v>891</v>
      </c>
      <c r="T41" s="46"/>
      <c r="U41" s="85"/>
      <c r="V41" s="46"/>
      <c r="W41" s="46" t="s">
        <v>760</v>
      </c>
      <c r="X41" s="46" t="s">
        <v>761</v>
      </c>
      <c r="Y41" s="85"/>
    </row>
    <row r="42" customFormat="false" ht="15.75" hidden="false" customHeight="true" outlineLevel="0" collapsed="false">
      <c r="A42" s="106" t="n">
        <v>37</v>
      </c>
      <c r="B42" s="107" t="s">
        <v>2014</v>
      </c>
      <c r="C42" s="106" t="s">
        <v>752</v>
      </c>
      <c r="D42" s="107" t="s">
        <v>1949</v>
      </c>
      <c r="E42" s="136" t="s">
        <v>99</v>
      </c>
      <c r="F42" s="106" t="s">
        <v>1950</v>
      </c>
      <c r="G42" s="137" t="n">
        <v>45772</v>
      </c>
      <c r="H42" s="106" t="s">
        <v>529</v>
      </c>
      <c r="I42" s="138" t="str">
        <f aca="false">IFERROR(VLOOKUP(TEXT(H42,"0"),IPRESS!$A$3:$B$212,2,0),"")</f>
        <v>MARIA AUXILIADORA</v>
      </c>
      <c r="J42" s="106" t="s">
        <v>755</v>
      </c>
      <c r="K42" s="138" t="str">
        <f aca="false">IFERROR(VLOOKUP(TEXT(O42,"0"),CONDUCTORES!$A$3:$G$100,7,0),"")</f>
        <v/>
      </c>
      <c r="L42" s="50" t="n">
        <v>20.25</v>
      </c>
      <c r="M42" s="50" t="n">
        <v>6</v>
      </c>
      <c r="N42" s="139" t="n">
        <f aca="false">IFERROR(IF(L42*M42=0,"",L42*M42),"")</f>
        <v>121.5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40" t="s">
        <v>1317</v>
      </c>
      <c r="S42" s="107" t="s">
        <v>2015</v>
      </c>
      <c r="T42" s="136"/>
      <c r="U42" s="140"/>
      <c r="V42" s="106"/>
      <c r="W42" s="106" t="s">
        <v>760</v>
      </c>
      <c r="X42" s="106" t="s">
        <v>761</v>
      </c>
      <c r="Y42" s="85"/>
    </row>
    <row r="43" customFormat="false" ht="15.75" hidden="false" customHeight="true" outlineLevel="0" collapsed="false">
      <c r="A43" s="46" t="n">
        <v>38</v>
      </c>
      <c r="B43" s="110" t="s">
        <v>2016</v>
      </c>
      <c r="C43" s="46" t="s">
        <v>752</v>
      </c>
      <c r="D43" s="110" t="s">
        <v>2017</v>
      </c>
      <c r="E43" s="46" t="s">
        <v>99</v>
      </c>
      <c r="F43" s="46" t="s">
        <v>2018</v>
      </c>
      <c r="G43" s="142" t="n">
        <v>45773</v>
      </c>
      <c r="H43" s="46" t="s">
        <v>529</v>
      </c>
      <c r="I43" s="138" t="str">
        <f aca="false">IFERROR(VLOOKUP(TEXT(H43,"0"),IPRESS!$A$3:$B$212,2,0),"")</f>
        <v>MARIA AUXILIADORA</v>
      </c>
      <c r="J43" s="46" t="s">
        <v>755</v>
      </c>
      <c r="K43" s="138" t="str">
        <f aca="false">IFERROR(VLOOKUP(TEXT(O43,"0"),CONDUCTORES!$A$3:$G$100,7,0),"")</f>
        <v/>
      </c>
      <c r="L43" s="44" t="n">
        <v>20.25</v>
      </c>
      <c r="M43" s="44" t="n">
        <v>10</v>
      </c>
      <c r="N43" s="139" t="n">
        <f aca="false">IFERROR(IF(L43*M43=0,"",L43*M43),"")</f>
        <v>202.5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85" t="s">
        <v>1317</v>
      </c>
      <c r="S43" s="110" t="s">
        <v>2019</v>
      </c>
      <c r="T43" s="46"/>
      <c r="U43" s="85"/>
      <c r="V43" s="46"/>
      <c r="W43" s="46" t="s">
        <v>760</v>
      </c>
      <c r="X43" s="46" t="s">
        <v>761</v>
      </c>
      <c r="Y43" s="85"/>
    </row>
    <row r="44" customFormat="false" ht="15.75" hidden="false" customHeight="true" outlineLevel="0" collapsed="false">
      <c r="A44" s="106" t="n">
        <v>39</v>
      </c>
      <c r="B44" s="107" t="s">
        <v>2020</v>
      </c>
      <c r="C44" s="106" t="s">
        <v>752</v>
      </c>
      <c r="D44" s="107" t="s">
        <v>2021</v>
      </c>
      <c r="E44" s="136" t="s">
        <v>99</v>
      </c>
      <c r="F44" s="106" t="s">
        <v>2022</v>
      </c>
      <c r="G44" s="137" t="n">
        <v>45775</v>
      </c>
      <c r="H44" s="106" t="s">
        <v>529</v>
      </c>
      <c r="I44" s="138" t="str">
        <f aca="false">IFERROR(VLOOKUP(TEXT(H44,"0"),IPRESS!$A$3:$B$212,2,0),"")</f>
        <v>MARIA AUXILIADORA</v>
      </c>
      <c r="J44" s="106" t="s">
        <v>755</v>
      </c>
      <c r="K44" s="138" t="str">
        <f aca="false">IFERROR(VLOOKUP(TEXT(O44,"0"),CONDUCTORES!$A$3:$G$100,7,0),"")</f>
        <v/>
      </c>
      <c r="L44" s="50" t="n">
        <v>20.25</v>
      </c>
      <c r="M44" s="50" t="n">
        <v>7</v>
      </c>
      <c r="N44" s="139" t="n">
        <f aca="false">IFERROR(IF(L44*M44=0,"",L44*M44),"")</f>
        <v>141.75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40" t="s">
        <v>1317</v>
      </c>
      <c r="S44" s="107" t="s">
        <v>2023</v>
      </c>
      <c r="T44" s="136"/>
      <c r="U44" s="140"/>
      <c r="V44" s="106"/>
      <c r="W44" s="106" t="s">
        <v>760</v>
      </c>
      <c r="X44" s="106" t="s">
        <v>761</v>
      </c>
      <c r="Y44" s="85"/>
    </row>
    <row r="45" customFormat="false" ht="15.75" hidden="false" customHeight="true" outlineLevel="0" collapsed="false">
      <c r="A45" s="46" t="n">
        <v>40</v>
      </c>
      <c r="B45" s="110" t="s">
        <v>2024</v>
      </c>
      <c r="C45" s="46" t="s">
        <v>752</v>
      </c>
      <c r="D45" s="110" t="s">
        <v>2025</v>
      </c>
      <c r="E45" s="46" t="s">
        <v>99</v>
      </c>
      <c r="F45" s="46" t="s">
        <v>2026</v>
      </c>
      <c r="G45" s="142" t="n">
        <v>45777</v>
      </c>
      <c r="H45" s="46" t="s">
        <v>529</v>
      </c>
      <c r="I45" s="138" t="str">
        <f aca="false">IFERROR(VLOOKUP(TEXT(H45,"0"),IPRESS!$A$3:$B$212,2,0),"")</f>
        <v>MARIA AUXILIADORA</v>
      </c>
      <c r="J45" s="46" t="s">
        <v>755</v>
      </c>
      <c r="K45" s="138" t="str">
        <f aca="false">IFERROR(VLOOKUP(TEXT(O45,"0"),CONDUCTORES!$A$3:$G$100,7,0),"")</f>
        <v/>
      </c>
      <c r="L45" s="44" t="n">
        <v>20.25</v>
      </c>
      <c r="M45" s="44" t="n">
        <v>7</v>
      </c>
      <c r="N45" s="139" t="n">
        <f aca="false">IFERROR(IF(L45*M45=0,"",L45*M45),"")</f>
        <v>141.75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85" t="s">
        <v>1317</v>
      </c>
      <c r="S45" s="110" t="s">
        <v>2027</v>
      </c>
      <c r="T45" s="46"/>
      <c r="U45" s="85"/>
      <c r="V45" s="46"/>
      <c r="W45" s="46" t="s">
        <v>760</v>
      </c>
      <c r="X45" s="46" t="s">
        <v>761</v>
      </c>
      <c r="Y45" s="85"/>
    </row>
    <row r="46" customFormat="false" ht="15.75" hidden="false" customHeight="true" outlineLevel="0" collapsed="false">
      <c r="A46" s="106" t="n">
        <v>41</v>
      </c>
      <c r="B46" s="107" t="s">
        <v>2028</v>
      </c>
      <c r="C46" s="106" t="s">
        <v>752</v>
      </c>
      <c r="D46" s="107" t="s">
        <v>2029</v>
      </c>
      <c r="E46" s="136" t="s">
        <v>99</v>
      </c>
      <c r="F46" s="106" t="s">
        <v>2030</v>
      </c>
      <c r="G46" s="137" t="n">
        <v>45775</v>
      </c>
      <c r="H46" s="106" t="s">
        <v>529</v>
      </c>
      <c r="I46" s="138" t="str">
        <f aca="false">IFERROR(VLOOKUP(TEXT(H46,"0"),IPRESS!$A$3:$B$212,2,0),"")</f>
        <v>MARIA AUXILIADORA</v>
      </c>
      <c r="J46" s="106" t="s">
        <v>755</v>
      </c>
      <c r="K46" s="138" t="str">
        <f aca="false">IFERROR(VLOOKUP(TEXT(O46,"0"),CONDUCTORES!$A$3:$G$100,7,0),"")</f>
        <v/>
      </c>
      <c r="L46" s="50" t="n">
        <v>20.25</v>
      </c>
      <c r="M46" s="50" t="n">
        <v>10</v>
      </c>
      <c r="N46" s="139" t="n">
        <f aca="false">IFERROR(IF(L46*M46=0,"",L46*M46),"")</f>
        <v>202.5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40" t="s">
        <v>1317</v>
      </c>
      <c r="S46" s="107" t="s">
        <v>2031</v>
      </c>
      <c r="T46" s="136"/>
      <c r="U46" s="140"/>
      <c r="V46" s="106"/>
      <c r="W46" s="106" t="s">
        <v>760</v>
      </c>
      <c r="X46" s="106" t="s">
        <v>761</v>
      </c>
      <c r="Y46" s="85"/>
    </row>
    <row r="47" customFormat="false" ht="15.75" hidden="false" customHeight="true" outlineLevel="0" collapsed="false">
      <c r="A47" s="46" t="n">
        <v>42</v>
      </c>
      <c r="B47" s="110" t="s">
        <v>2032</v>
      </c>
      <c r="C47" s="46" t="s">
        <v>752</v>
      </c>
      <c r="D47" s="110" t="s">
        <v>2033</v>
      </c>
      <c r="E47" s="46" t="s">
        <v>99</v>
      </c>
      <c r="F47" s="46" t="s">
        <v>2034</v>
      </c>
      <c r="G47" s="142" t="n">
        <v>45748</v>
      </c>
      <c r="H47" s="46" t="s">
        <v>529</v>
      </c>
      <c r="I47" s="138" t="str">
        <f aca="false">IFERROR(VLOOKUP(TEXT(H47,"0"),IPRESS!$A$3:$B$212,2,0),"")</f>
        <v>MARIA AUXILIADORA</v>
      </c>
      <c r="J47" s="46" t="s">
        <v>755</v>
      </c>
      <c r="K47" s="138" t="str">
        <f aca="false">IFERROR(VLOOKUP(TEXT(O47,"0"),CONDUCTORES!$A$3:$G$100,7,0),"")</f>
        <v/>
      </c>
      <c r="L47" s="44" t="n">
        <v>20.25</v>
      </c>
      <c r="M47" s="44" t="n">
        <v>10</v>
      </c>
      <c r="N47" s="139" t="n">
        <f aca="false">IFERROR(IF(L47*M47=0,"",L47*M47),"")</f>
        <v>202.5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142" t="n">
        <v>45839</v>
      </c>
      <c r="S47" s="110" t="s">
        <v>891</v>
      </c>
      <c r="T47" s="46" t="s">
        <v>2035</v>
      </c>
      <c r="U47" s="85"/>
      <c r="V47" s="46"/>
      <c r="W47" s="46"/>
      <c r="X47" s="46"/>
      <c r="Y47" s="85"/>
    </row>
    <row r="48" customFormat="false" ht="15.75" hidden="false" customHeight="true" outlineLevel="0" collapsed="false">
      <c r="A48" s="106" t="n">
        <v>43</v>
      </c>
      <c r="B48" s="107" t="s">
        <v>1227</v>
      </c>
      <c r="C48" s="106" t="s">
        <v>752</v>
      </c>
      <c r="D48" s="107" t="s">
        <v>1556</v>
      </c>
      <c r="E48" s="136" t="s">
        <v>99</v>
      </c>
      <c r="F48" s="106" t="s">
        <v>1557</v>
      </c>
      <c r="G48" s="137" t="n">
        <v>45757</v>
      </c>
      <c r="H48" s="106" t="s">
        <v>466</v>
      </c>
      <c r="I48" s="138" t="str">
        <f aca="false">IFERROR(VLOOKUP(TEXT(H48,"0"),IPRESS!$A$3:$B$212,2,0),"")</f>
        <v>HUAMBO</v>
      </c>
      <c r="J48" s="106" t="s">
        <v>529</v>
      </c>
      <c r="K48" s="138" t="str">
        <f aca="false">IFERROR(VLOOKUP(TEXT(O48,"0"),CONDUCTORES!$A$3:$G$100,7,0),"")</f>
        <v/>
      </c>
      <c r="L48" s="50" t="n">
        <v>20.25</v>
      </c>
      <c r="M48" s="50" t="n">
        <v>3</v>
      </c>
      <c r="N48" s="139" t="n">
        <f aca="false">IFERROR(IF(L48*M48=0,"",L48*M48),"")</f>
        <v>60.75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37" t="n">
        <v>45833</v>
      </c>
      <c r="S48" s="107" t="s">
        <v>2036</v>
      </c>
      <c r="T48" s="136"/>
      <c r="U48" s="140"/>
      <c r="V48" s="106"/>
      <c r="W48" s="106"/>
      <c r="X48" s="106"/>
      <c r="Y48" s="85"/>
    </row>
    <row r="49" customFormat="false" ht="15.75" hidden="false" customHeight="true" outlineLevel="0" collapsed="false">
      <c r="A49" s="46" t="n">
        <v>44</v>
      </c>
      <c r="B49" s="110" t="s">
        <v>1207</v>
      </c>
      <c r="C49" s="46" t="s">
        <v>752</v>
      </c>
      <c r="D49" s="110" t="s">
        <v>2037</v>
      </c>
      <c r="E49" s="46" t="s">
        <v>99</v>
      </c>
      <c r="F49" s="46" t="s">
        <v>2038</v>
      </c>
      <c r="G49" s="142" t="n">
        <v>45758</v>
      </c>
      <c r="H49" s="46" t="s">
        <v>466</v>
      </c>
      <c r="I49" s="138" t="str">
        <f aca="false">IFERROR(VLOOKUP(TEXT(H49,"0"),IPRESS!$A$3:$B$212,2,0),"")</f>
        <v>HUAMBO</v>
      </c>
      <c r="J49" s="46" t="s">
        <v>529</v>
      </c>
      <c r="K49" s="138" t="str">
        <f aca="false">IFERROR(VLOOKUP(TEXT(O49,"0"),CONDUCTORES!$A$3:$G$100,7,0),"")</f>
        <v/>
      </c>
      <c r="L49" s="44" t="n">
        <v>20.25</v>
      </c>
      <c r="M49" s="44" t="n">
        <v>3</v>
      </c>
      <c r="N49" s="139" t="n">
        <f aca="false">IFERROR(IF(L49*M49=0,"",L49*M49),"")</f>
        <v>60.75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142" t="n">
        <v>45833</v>
      </c>
      <c r="S49" s="110" t="s">
        <v>2039</v>
      </c>
      <c r="T49" s="46"/>
      <c r="U49" s="85"/>
      <c r="V49" s="46"/>
      <c r="W49" s="46"/>
      <c r="X49" s="46"/>
      <c r="Y49" s="85"/>
    </row>
    <row r="50" customFormat="false" ht="15.75" hidden="false" customHeight="true" outlineLevel="0" collapsed="false">
      <c r="A50" s="106" t="n">
        <v>45</v>
      </c>
      <c r="B50" s="107" t="s">
        <v>1197</v>
      </c>
      <c r="C50" s="106" t="s">
        <v>752</v>
      </c>
      <c r="D50" s="107" t="s">
        <v>1560</v>
      </c>
      <c r="E50" s="136" t="s">
        <v>99</v>
      </c>
      <c r="F50" s="106" t="s">
        <v>1561</v>
      </c>
      <c r="G50" s="137" t="n">
        <v>45768</v>
      </c>
      <c r="H50" s="106" t="s">
        <v>466</v>
      </c>
      <c r="I50" s="138" t="str">
        <f aca="false">IFERROR(VLOOKUP(TEXT(H50,"0"),IPRESS!$A$3:$B$212,2,0),"")</f>
        <v>HUAMBO</v>
      </c>
      <c r="J50" s="106" t="s">
        <v>529</v>
      </c>
      <c r="K50" s="138" t="str">
        <f aca="false">IFERROR(VLOOKUP(TEXT(O50,"0"),CONDUCTORES!$A$3:$G$100,7,0),"")</f>
        <v/>
      </c>
      <c r="L50" s="50" t="n">
        <v>20.25</v>
      </c>
      <c r="M50" s="50" t="n">
        <v>3</v>
      </c>
      <c r="N50" s="139" t="n">
        <f aca="false">IFERROR(IF(L50*M50=0,"",L50*M50),"")</f>
        <v>60.75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37" t="n">
        <v>45833</v>
      </c>
      <c r="S50" s="107" t="s">
        <v>2040</v>
      </c>
      <c r="T50" s="136"/>
      <c r="U50" s="140"/>
      <c r="V50" s="106"/>
      <c r="W50" s="106"/>
      <c r="X50" s="106"/>
      <c r="Y50" s="85"/>
    </row>
    <row r="51" customFormat="false" ht="15.75" hidden="false" customHeight="true" outlineLevel="0" collapsed="false">
      <c r="A51" s="46" t="n">
        <v>46</v>
      </c>
      <c r="B51" s="110" t="s">
        <v>1302</v>
      </c>
      <c r="C51" s="46" t="s">
        <v>752</v>
      </c>
      <c r="D51" s="110" t="s">
        <v>2041</v>
      </c>
      <c r="E51" s="46" t="s">
        <v>99</v>
      </c>
      <c r="F51" s="46" t="s">
        <v>2026</v>
      </c>
      <c r="G51" s="142" t="n">
        <v>45777</v>
      </c>
      <c r="H51" s="46" t="s">
        <v>466</v>
      </c>
      <c r="I51" s="138" t="str">
        <f aca="false">IFERROR(VLOOKUP(TEXT(H51,"0"),IPRESS!$A$3:$B$212,2,0),"")</f>
        <v>HUAMBO</v>
      </c>
      <c r="J51" s="46" t="s">
        <v>529</v>
      </c>
      <c r="K51" s="138" t="str">
        <f aca="false">IFERROR(VLOOKUP(TEXT(O51,"0"),CONDUCTORES!$A$3:$G$100,7,0),"")</f>
        <v/>
      </c>
      <c r="L51" s="44" t="n">
        <v>20.25</v>
      </c>
      <c r="M51" s="44" t="n">
        <v>3</v>
      </c>
      <c r="N51" s="139" t="n">
        <f aca="false">IFERROR(IF(L51*M51=0,"",L51*M51),"")</f>
        <v>60.75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142" t="n">
        <v>45833</v>
      </c>
      <c r="S51" s="110" t="s">
        <v>1375</v>
      </c>
      <c r="T51" s="46"/>
      <c r="U51" s="85"/>
      <c r="V51" s="46"/>
      <c r="W51" s="46"/>
      <c r="X51" s="46"/>
      <c r="Y51" s="85"/>
    </row>
    <row r="52" customFormat="false" ht="15.75" hidden="false" customHeight="true" outlineLevel="0" collapsed="false">
      <c r="A52" s="106" t="n">
        <v>47</v>
      </c>
      <c r="B52" s="107" t="s">
        <v>840</v>
      </c>
      <c r="C52" s="106" t="s">
        <v>752</v>
      </c>
      <c r="D52" s="107" t="s">
        <v>2042</v>
      </c>
      <c r="E52" s="136" t="s">
        <v>99</v>
      </c>
      <c r="F52" s="106" t="s">
        <v>1580</v>
      </c>
      <c r="G52" s="137" t="n">
        <v>45776</v>
      </c>
      <c r="H52" s="106" t="s">
        <v>483</v>
      </c>
      <c r="I52" s="138" t="str">
        <f aca="false">IFERROR(VLOOKUP(TEXT(H52,"0"),IPRESS!$A$3:$B$212,2,0),"")</f>
        <v>JUMBILLA</v>
      </c>
      <c r="J52" s="106" t="s">
        <v>755</v>
      </c>
      <c r="K52" s="138" t="str">
        <f aca="false">IFERROR(VLOOKUP(TEXT(O52,"0"),CONDUCTORES!$A$3:$G$100,7,0),"")</f>
        <v/>
      </c>
      <c r="L52" s="50" t="n">
        <v>18.18</v>
      </c>
      <c r="M52" s="50" t="n">
        <v>12</v>
      </c>
      <c r="N52" s="139" t="n">
        <f aca="false">IFERROR(IF(L52*M52=0,"",L52*M52),"")</f>
        <v>218.16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37" t="n">
        <v>45828</v>
      </c>
      <c r="S52" s="107" t="s">
        <v>1752</v>
      </c>
      <c r="T52" s="136"/>
      <c r="U52" s="140"/>
      <c r="V52" s="106"/>
      <c r="W52" s="106"/>
      <c r="X52" s="106"/>
      <c r="Y52" s="85"/>
    </row>
    <row r="53" customFormat="false" ht="15.75" hidden="false" customHeight="true" outlineLevel="0" collapsed="false">
      <c r="A53" s="46" t="n">
        <v>48</v>
      </c>
      <c r="B53" s="110" t="s">
        <v>1306</v>
      </c>
      <c r="C53" s="46" t="s">
        <v>752</v>
      </c>
      <c r="D53" s="110" t="s">
        <v>2043</v>
      </c>
      <c r="E53" s="46" t="s">
        <v>99</v>
      </c>
      <c r="F53" s="46" t="s">
        <v>2044</v>
      </c>
      <c r="G53" s="142" t="n">
        <v>45772</v>
      </c>
      <c r="H53" s="46" t="s">
        <v>500</v>
      </c>
      <c r="I53" s="138" t="str">
        <f aca="false">IFERROR(VLOOKUP(TEXT(H53,"0"),IPRESS!$A$3:$B$212,2,0),"")</f>
        <v>LAMUD</v>
      </c>
      <c r="J53" s="46" t="s">
        <v>755</v>
      </c>
      <c r="K53" s="138" t="str">
        <f aca="false">IFERROR(VLOOKUP(TEXT(O53,"0"),CONDUCTORES!$A$3:$G$100,7,0),"")</f>
        <v/>
      </c>
      <c r="L53" s="44" t="n">
        <v>18.18</v>
      </c>
      <c r="M53" s="44" t="n">
        <v>4</v>
      </c>
      <c r="N53" s="139" t="n">
        <f aca="false">IFERROR(IF(L53*M53=0,"",L53*M53),"")</f>
        <v>72.72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142" t="n">
        <v>45828</v>
      </c>
      <c r="S53" s="110" t="s">
        <v>1683</v>
      </c>
      <c r="T53" s="46"/>
      <c r="U53" s="85"/>
      <c r="V53" s="46"/>
      <c r="W53" s="46"/>
      <c r="X53" s="46"/>
      <c r="Y53" s="85"/>
    </row>
    <row r="54" customFormat="false" ht="15.75" hidden="false" customHeight="true" outlineLevel="0" collapsed="false">
      <c r="A54" s="106" t="n">
        <v>49</v>
      </c>
      <c r="B54" s="107" t="s">
        <v>1412</v>
      </c>
      <c r="C54" s="106" t="s">
        <v>752</v>
      </c>
      <c r="D54" s="107" t="s">
        <v>2045</v>
      </c>
      <c r="E54" s="136" t="s">
        <v>99</v>
      </c>
      <c r="F54" s="106" t="s">
        <v>2046</v>
      </c>
      <c r="G54" s="137" t="n">
        <v>45773</v>
      </c>
      <c r="H54" s="106" t="s">
        <v>500</v>
      </c>
      <c r="I54" s="138" t="str">
        <f aca="false">IFERROR(VLOOKUP(TEXT(H54,"0"),IPRESS!$A$3:$B$212,2,0),"")</f>
        <v>LAMUD</v>
      </c>
      <c r="J54" s="106" t="s">
        <v>755</v>
      </c>
      <c r="K54" s="138" t="str">
        <f aca="false">IFERROR(VLOOKUP(TEXT(O54,"0"),CONDUCTORES!$A$3:$G$100,7,0),"")</f>
        <v/>
      </c>
      <c r="L54" s="50" t="n">
        <v>18.18</v>
      </c>
      <c r="M54" s="50" t="n">
        <v>4</v>
      </c>
      <c r="N54" s="139" t="n">
        <f aca="false">IFERROR(IF(L54*M54=0,"",L54*M54),"")</f>
        <v>72.72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37" t="n">
        <v>45828</v>
      </c>
      <c r="S54" s="107" t="s">
        <v>2047</v>
      </c>
      <c r="T54" s="136"/>
      <c r="U54" s="140"/>
      <c r="V54" s="106"/>
      <c r="W54" s="106"/>
      <c r="X54" s="106"/>
      <c r="Y54" s="85"/>
    </row>
    <row r="55" customFormat="false" ht="15.75" hidden="false" customHeight="true" outlineLevel="0" collapsed="false">
      <c r="A55" s="46" t="n">
        <v>50</v>
      </c>
      <c r="B55" s="110" t="s">
        <v>866</v>
      </c>
      <c r="C55" s="46" t="s">
        <v>752</v>
      </c>
      <c r="D55" s="110" t="s">
        <v>2048</v>
      </c>
      <c r="E55" s="46" t="s">
        <v>99</v>
      </c>
      <c r="F55" s="46" t="s">
        <v>2049</v>
      </c>
      <c r="G55" s="142" t="n">
        <v>45749</v>
      </c>
      <c r="H55" s="46" t="s">
        <v>507</v>
      </c>
      <c r="I55" s="138" t="str">
        <f aca="false">IFERROR(VLOOKUP(TEXT(H55,"0"),IPRESS!$A$3:$B$212,2,0),"")</f>
        <v>LEYMEBAMBA</v>
      </c>
      <c r="J55" s="46" t="s">
        <v>755</v>
      </c>
      <c r="K55" s="138" t="str">
        <f aca="false">IFERROR(VLOOKUP(TEXT(O55,"0"),CONDUCTORES!$A$3:$G$100,7,0),"")</f>
        <v/>
      </c>
      <c r="L55" s="44" t="n">
        <v>18.18</v>
      </c>
      <c r="M55" s="44" t="n">
        <v>7</v>
      </c>
      <c r="N55" s="139" t="n">
        <f aca="false">IFERROR(IF(L55*M55=0,"",L55*M55),"")</f>
        <v>127.26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85" t="s">
        <v>1317</v>
      </c>
      <c r="S55" s="110" t="s">
        <v>1683</v>
      </c>
      <c r="T55" s="46"/>
      <c r="U55" s="85"/>
      <c r="V55" s="46"/>
      <c r="W55" s="46" t="s">
        <v>785</v>
      </c>
      <c r="X55" s="46" t="s">
        <v>918</v>
      </c>
      <c r="Y55" s="85"/>
    </row>
    <row r="56" customFormat="false" ht="15.75" hidden="false" customHeight="true" outlineLevel="0" collapsed="false">
      <c r="A56" s="106" t="n">
        <v>51</v>
      </c>
      <c r="B56" s="107" t="s">
        <v>1262</v>
      </c>
      <c r="C56" s="106" t="s">
        <v>752</v>
      </c>
      <c r="D56" s="107" t="s">
        <v>2050</v>
      </c>
      <c r="E56" s="136" t="s">
        <v>99</v>
      </c>
      <c r="F56" s="106" t="s">
        <v>2051</v>
      </c>
      <c r="G56" s="137" t="n">
        <v>45751</v>
      </c>
      <c r="H56" s="106" t="s">
        <v>507</v>
      </c>
      <c r="I56" s="138" t="str">
        <f aca="false">IFERROR(VLOOKUP(TEXT(H56,"0"),IPRESS!$A$3:$B$212,2,0),"")</f>
        <v>LEYMEBAMBA</v>
      </c>
      <c r="J56" s="106" t="s">
        <v>755</v>
      </c>
      <c r="K56" s="138" t="str">
        <f aca="false">IFERROR(VLOOKUP(TEXT(O56,"0"),CONDUCTORES!$A$3:$G$100,7,0),"")</f>
        <v/>
      </c>
      <c r="L56" s="50" t="n">
        <v>18.18</v>
      </c>
      <c r="M56" s="50" t="n">
        <v>7</v>
      </c>
      <c r="N56" s="139" t="n">
        <f aca="false">IFERROR(IF(L56*M56=0,"",L56*M56),"")</f>
        <v>127.26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40" t="s">
        <v>1606</v>
      </c>
      <c r="S56" s="107" t="s">
        <v>2052</v>
      </c>
      <c r="T56" s="136"/>
      <c r="U56" s="140"/>
      <c r="V56" s="106"/>
      <c r="W56" s="106" t="s">
        <v>785</v>
      </c>
      <c r="X56" s="106" t="s">
        <v>918</v>
      </c>
      <c r="Y56" s="85"/>
    </row>
    <row r="57" customFormat="false" ht="15.75" hidden="false" customHeight="true" outlineLevel="0" collapsed="false">
      <c r="A57" s="46" t="n">
        <v>52</v>
      </c>
      <c r="B57" s="110" t="s">
        <v>1202</v>
      </c>
      <c r="C57" s="46" t="s">
        <v>752</v>
      </c>
      <c r="D57" s="110" t="s">
        <v>2053</v>
      </c>
      <c r="E57" s="46" t="s">
        <v>99</v>
      </c>
      <c r="F57" s="46" t="s">
        <v>2054</v>
      </c>
      <c r="G57" s="142" t="n">
        <v>45761</v>
      </c>
      <c r="H57" s="46" t="s">
        <v>507</v>
      </c>
      <c r="I57" s="138" t="str">
        <f aca="false">IFERROR(VLOOKUP(TEXT(H57,"0"),IPRESS!$A$3:$B$212,2,0),"")</f>
        <v>LEYMEBAMBA</v>
      </c>
      <c r="J57" s="46" t="s">
        <v>755</v>
      </c>
      <c r="K57" s="138" t="str">
        <f aca="false">IFERROR(VLOOKUP(TEXT(O57,"0"),CONDUCTORES!$A$3:$G$100,7,0),"")</f>
        <v/>
      </c>
      <c r="L57" s="44" t="n">
        <v>18.18</v>
      </c>
      <c r="M57" s="44" t="n">
        <v>7</v>
      </c>
      <c r="N57" s="139" t="n">
        <f aca="false">IFERROR(IF(L57*M57=0,"",L57*M57),"")</f>
        <v>127.26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85" t="s">
        <v>1611</v>
      </c>
      <c r="S57" s="110" t="s">
        <v>1602</v>
      </c>
      <c r="T57" s="46"/>
      <c r="U57" s="85"/>
      <c r="V57" s="46"/>
      <c r="W57" s="46" t="s">
        <v>785</v>
      </c>
      <c r="X57" s="46" t="s">
        <v>918</v>
      </c>
      <c r="Y57" s="85"/>
    </row>
    <row r="58" customFormat="false" ht="15.75" hidden="false" customHeight="true" outlineLevel="0" collapsed="false">
      <c r="A58" s="106" t="n">
        <v>53</v>
      </c>
      <c r="B58" s="107" t="s">
        <v>1227</v>
      </c>
      <c r="C58" s="106" t="s">
        <v>752</v>
      </c>
      <c r="D58" s="107" t="s">
        <v>2055</v>
      </c>
      <c r="E58" s="136" t="s">
        <v>99</v>
      </c>
      <c r="F58" s="106" t="s">
        <v>2056</v>
      </c>
      <c r="G58" s="137" t="n">
        <v>45773</v>
      </c>
      <c r="H58" s="106" t="s">
        <v>507</v>
      </c>
      <c r="I58" s="138" t="str">
        <f aca="false">IFERROR(VLOOKUP(TEXT(H58,"0"),IPRESS!$A$3:$B$212,2,0),"")</f>
        <v>LEYMEBAMBA</v>
      </c>
      <c r="J58" s="106" t="s">
        <v>755</v>
      </c>
      <c r="K58" s="138" t="str">
        <f aca="false">IFERROR(VLOOKUP(TEXT(O58,"0"),CONDUCTORES!$A$3:$G$100,7,0),"")</f>
        <v/>
      </c>
      <c r="L58" s="50" t="n">
        <v>18.18</v>
      </c>
      <c r="M58" s="50" t="n">
        <v>7</v>
      </c>
      <c r="N58" s="139" t="n">
        <f aca="false">IFERROR(IF(L58*M58=0,"",L58*M58),"")</f>
        <v>127.26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40" t="s">
        <v>1616</v>
      </c>
      <c r="S58" s="107" t="s">
        <v>1602</v>
      </c>
      <c r="T58" s="136"/>
      <c r="U58" s="140"/>
      <c r="V58" s="106"/>
      <c r="W58" s="106" t="s">
        <v>785</v>
      </c>
      <c r="X58" s="106" t="s">
        <v>918</v>
      </c>
      <c r="Y58" s="85"/>
    </row>
    <row r="59" customFormat="false" ht="15.75" hidden="false" customHeight="true" outlineLevel="0" collapsed="false">
      <c r="A59" s="46" t="n">
        <v>54</v>
      </c>
      <c r="B59" s="110" t="s">
        <v>926</v>
      </c>
      <c r="C59" s="46" t="s">
        <v>752</v>
      </c>
      <c r="D59" s="110" t="s">
        <v>2029</v>
      </c>
      <c r="E59" s="46" t="s">
        <v>99</v>
      </c>
      <c r="F59" s="46" t="s">
        <v>2030</v>
      </c>
      <c r="G59" s="142" t="n">
        <v>45775</v>
      </c>
      <c r="H59" s="46" t="s">
        <v>508</v>
      </c>
      <c r="I59" s="138" t="str">
        <f aca="false">IFERROR(VLOOKUP(TEXT(H59,"0"),IPRESS!$A$3:$B$212,2,0),"")</f>
        <v>LIMABAMBA</v>
      </c>
      <c r="J59" s="46" t="s">
        <v>529</v>
      </c>
      <c r="K59" s="138" t="str">
        <f aca="false">IFERROR(VLOOKUP(TEXT(O59,"0"),CONDUCTORES!$A$3:$G$100,7,0),"")</f>
        <v/>
      </c>
      <c r="L59" s="44" t="n">
        <v>20.25</v>
      </c>
      <c r="M59" s="44" t="n">
        <v>8</v>
      </c>
      <c r="N59" s="139" t="n">
        <f aca="false">IFERROR(IF(L59*M59=0,"",L59*M59),"")</f>
        <v>162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142" t="n">
        <v>45828</v>
      </c>
      <c r="S59" s="110" t="s">
        <v>2057</v>
      </c>
      <c r="T59" s="46"/>
      <c r="U59" s="85"/>
      <c r="V59" s="46"/>
      <c r="W59" s="46"/>
      <c r="X59" s="46"/>
      <c r="Y59" s="85"/>
    </row>
    <row r="60" customFormat="false" ht="15.75" hidden="false" customHeight="true" outlineLevel="0" collapsed="false">
      <c r="A60" s="143" t="n">
        <v>55</v>
      </c>
      <c r="B60" s="144" t="s">
        <v>1128</v>
      </c>
      <c r="C60" s="143" t="s">
        <v>752</v>
      </c>
      <c r="D60" s="144" t="s">
        <v>2058</v>
      </c>
      <c r="E60" s="143" t="s">
        <v>99</v>
      </c>
      <c r="F60" s="143" t="s">
        <v>2059</v>
      </c>
      <c r="G60" s="145" t="n">
        <v>45771</v>
      </c>
      <c r="H60" s="143" t="s">
        <v>547</v>
      </c>
      <c r="I60" s="138" t="str">
        <f aca="false">IFERROR(VLOOKUP(TEXT(H60,"0"),IPRESS!$A$3:$B$212,2,0),"")</f>
        <v>MOLINOPAMPA</v>
      </c>
      <c r="J60" s="143" t="s">
        <v>755</v>
      </c>
      <c r="K60" s="138" t="str">
        <f aca="false">IFERROR(VLOOKUP(TEXT(O60,"0"),CONDUCTORES!$A$3:$G$100,7,0),"")</f>
        <v/>
      </c>
      <c r="L60" s="146" t="n">
        <v>17.95</v>
      </c>
      <c r="M60" s="146" t="n">
        <v>8</v>
      </c>
      <c r="N60" s="139" t="n">
        <f aca="false">IFERROR(IF(L60*M60=0,"",L60*M60),"")</f>
        <v>143.6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45" t="n">
        <v>45790</v>
      </c>
      <c r="S60" s="144" t="s">
        <v>2060</v>
      </c>
      <c r="T60" s="143"/>
      <c r="U60" s="147"/>
      <c r="V60" s="143" t="s">
        <v>1760</v>
      </c>
      <c r="W60" s="143" t="s">
        <v>801</v>
      </c>
      <c r="X60" s="143" t="s">
        <v>817</v>
      </c>
      <c r="Y60" s="85"/>
    </row>
    <row r="61" customFormat="false" ht="15.75" hidden="false" customHeight="true" outlineLevel="0" collapsed="false">
      <c r="A61" s="143" t="n">
        <v>56</v>
      </c>
      <c r="B61" s="144" t="s">
        <v>1134</v>
      </c>
      <c r="C61" s="143" t="s">
        <v>752</v>
      </c>
      <c r="D61" s="144" t="s">
        <v>2061</v>
      </c>
      <c r="E61" s="143" t="s">
        <v>99</v>
      </c>
      <c r="F61" s="143" t="s">
        <v>2062</v>
      </c>
      <c r="G61" s="145" t="n">
        <v>45774</v>
      </c>
      <c r="H61" s="143" t="s">
        <v>547</v>
      </c>
      <c r="I61" s="138" t="str">
        <f aca="false">IFERROR(VLOOKUP(TEXT(H61,"0"),IPRESS!$A$3:$B$212,2,0),"")</f>
        <v>MOLINOPAMPA</v>
      </c>
      <c r="J61" s="143" t="s">
        <v>755</v>
      </c>
      <c r="K61" s="138" t="str">
        <f aca="false">IFERROR(VLOOKUP(TEXT(O61,"0"),CONDUCTORES!$A$3:$G$100,7,0),"")</f>
        <v/>
      </c>
      <c r="L61" s="146" t="n">
        <v>17.95</v>
      </c>
      <c r="M61" s="146" t="n">
        <v>8</v>
      </c>
      <c r="N61" s="139" t="n">
        <f aca="false">IFERROR(IF(L61*M61=0,"",L61*M61),"")</f>
        <v>143.6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145" t="n">
        <v>45835</v>
      </c>
      <c r="S61" s="144" t="s">
        <v>2063</v>
      </c>
      <c r="T61" s="143"/>
      <c r="U61" s="147"/>
      <c r="V61" s="143"/>
      <c r="W61" s="143"/>
      <c r="X61" s="143"/>
      <c r="Y61" s="85"/>
    </row>
    <row r="62" customFormat="false" ht="15.75" hidden="false" customHeight="true" outlineLevel="0" collapsed="false">
      <c r="A62" s="106" t="n">
        <v>57</v>
      </c>
      <c r="B62" s="107" t="s">
        <v>787</v>
      </c>
      <c r="C62" s="106" t="s">
        <v>752</v>
      </c>
      <c r="D62" s="107" t="s">
        <v>2064</v>
      </c>
      <c r="E62" s="136" t="s">
        <v>99</v>
      </c>
      <c r="F62" s="106" t="s">
        <v>2065</v>
      </c>
      <c r="G62" s="137" t="n">
        <v>45759</v>
      </c>
      <c r="H62" s="106" t="s">
        <v>552</v>
      </c>
      <c r="I62" s="138" t="str">
        <f aca="false">IFERROR(VLOOKUP(TEXT(H62,"0"),IPRESS!$A$3:$B$212,2,0),"")</f>
        <v>NUEVA ESPERANZA</v>
      </c>
      <c r="J62" s="106" t="s">
        <v>529</v>
      </c>
      <c r="K62" s="138" t="str">
        <f aca="false">IFERROR(VLOOKUP(TEXT(O62,"0"),CONDUCTORES!$A$3:$G$100,7,0),"")</f>
        <v/>
      </c>
      <c r="L62" s="50" t="n">
        <v>20.25</v>
      </c>
      <c r="M62" s="50" t="n">
        <v>12</v>
      </c>
      <c r="N62" s="139" t="n">
        <f aca="false">IFERROR(IF(L62*M62=0,"",L62*M62),"")</f>
        <v>243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37" t="n">
        <v>45828</v>
      </c>
      <c r="S62" s="107" t="s">
        <v>891</v>
      </c>
      <c r="T62" s="136"/>
      <c r="U62" s="140"/>
      <c r="V62" s="106"/>
      <c r="W62" s="106"/>
      <c r="X62" s="106"/>
      <c r="Y62" s="85"/>
    </row>
    <row r="63" customFormat="false" ht="15.75" hidden="false" customHeight="true" outlineLevel="0" collapsed="false">
      <c r="A63" s="46" t="n">
        <v>58</v>
      </c>
      <c r="B63" s="110" t="s">
        <v>844</v>
      </c>
      <c r="C63" s="46" t="s">
        <v>752</v>
      </c>
      <c r="D63" s="110" t="s">
        <v>2066</v>
      </c>
      <c r="E63" s="46" t="s">
        <v>99</v>
      </c>
      <c r="F63" s="46" t="s">
        <v>1934</v>
      </c>
      <c r="G63" s="142" t="n">
        <v>45748</v>
      </c>
      <c r="H63" s="46" t="s">
        <v>556</v>
      </c>
      <c r="I63" s="138" t="str">
        <f aca="false">IFERROR(VLOOKUP(TEXT(H63,"0"),IPRESS!$A$3:$B$212,2,0),"")</f>
        <v>NUEVO CHIRIMOTO</v>
      </c>
      <c r="J63" s="46" t="s">
        <v>529</v>
      </c>
      <c r="K63" s="138" t="str">
        <f aca="false">IFERROR(VLOOKUP(TEXT(O63,"0"),CONDUCTORES!$A$3:$G$100,7,0),"")</f>
        <v/>
      </c>
      <c r="L63" s="44" t="n">
        <v>20.25</v>
      </c>
      <c r="M63" s="44" t="n">
        <v>10</v>
      </c>
      <c r="N63" s="139" t="n">
        <f aca="false">IFERROR(IF(L63*M63=0,"",L63*M63),"")</f>
        <v>202.5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142" t="n">
        <v>45828</v>
      </c>
      <c r="S63" s="110" t="s">
        <v>2057</v>
      </c>
      <c r="T63" s="46"/>
      <c r="U63" s="142" t="n">
        <v>45784</v>
      </c>
      <c r="V63" s="46"/>
      <c r="W63" s="46"/>
      <c r="X63" s="46"/>
      <c r="Y63" s="85"/>
    </row>
    <row r="64" customFormat="false" ht="15.75" hidden="false" customHeight="true" outlineLevel="0" collapsed="false">
      <c r="A64" s="106" t="n">
        <v>59</v>
      </c>
      <c r="B64" s="107" t="s">
        <v>836</v>
      </c>
      <c r="C64" s="106" t="s">
        <v>752</v>
      </c>
      <c r="D64" s="107" t="s">
        <v>2067</v>
      </c>
      <c r="E64" s="136" t="s">
        <v>99</v>
      </c>
      <c r="F64" s="106" t="s">
        <v>2068</v>
      </c>
      <c r="G64" s="137" t="n">
        <v>45769</v>
      </c>
      <c r="H64" s="106" t="s">
        <v>556</v>
      </c>
      <c r="I64" s="138" t="str">
        <f aca="false">IFERROR(VLOOKUP(TEXT(H64,"0"),IPRESS!$A$3:$B$212,2,0),"")</f>
        <v>NUEVO CHIRIMOTO</v>
      </c>
      <c r="J64" s="106" t="s">
        <v>529</v>
      </c>
      <c r="K64" s="138" t="str">
        <f aca="false">IFERROR(VLOOKUP(TEXT(O64,"0"),CONDUCTORES!$A$3:$G$100,7,0),"")</f>
        <v/>
      </c>
      <c r="L64" s="50" t="n">
        <v>20.25</v>
      </c>
      <c r="M64" s="50" t="n">
        <v>10</v>
      </c>
      <c r="N64" s="139" t="n">
        <f aca="false">IFERROR(IF(L64*M64=0,"",L64*M64),"")</f>
        <v>202.5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37" t="n">
        <v>45828</v>
      </c>
      <c r="S64" s="107" t="s">
        <v>2069</v>
      </c>
      <c r="T64" s="136"/>
      <c r="U64" s="140"/>
      <c r="V64" s="106"/>
      <c r="W64" s="106"/>
      <c r="X64" s="106"/>
      <c r="Y64" s="85"/>
    </row>
    <row r="65" customFormat="false" ht="15.75" hidden="false" customHeight="true" outlineLevel="0" collapsed="false">
      <c r="A65" s="46" t="n">
        <v>60</v>
      </c>
      <c r="B65" s="110" t="s">
        <v>866</v>
      </c>
      <c r="C65" s="46" t="s">
        <v>752</v>
      </c>
      <c r="D65" s="110" t="s">
        <v>2017</v>
      </c>
      <c r="E65" s="46" t="s">
        <v>99</v>
      </c>
      <c r="F65" s="46" t="s">
        <v>2018</v>
      </c>
      <c r="G65" s="142" t="n">
        <v>45773</v>
      </c>
      <c r="H65" s="46" t="s">
        <v>556</v>
      </c>
      <c r="I65" s="138" t="str">
        <f aca="false">IFERROR(VLOOKUP(TEXT(H65,"0"),IPRESS!$A$3:$B$212,2,0),"")</f>
        <v>NUEVO CHIRIMOTO</v>
      </c>
      <c r="J65" s="46" t="s">
        <v>529</v>
      </c>
      <c r="K65" s="138" t="str">
        <f aca="false">IFERROR(VLOOKUP(TEXT(O65,"0"),CONDUCTORES!$A$3:$G$100,7,0),"")</f>
        <v/>
      </c>
      <c r="L65" s="44" t="n">
        <v>20.25</v>
      </c>
      <c r="M65" s="44" t="n">
        <v>10</v>
      </c>
      <c r="N65" s="139" t="n">
        <f aca="false">IFERROR(IF(L65*M65=0,"",L65*M65),"")</f>
        <v>202.5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142" t="n">
        <v>45828</v>
      </c>
      <c r="S65" s="110" t="s">
        <v>2070</v>
      </c>
      <c r="T65" s="46"/>
      <c r="U65" s="85"/>
      <c r="V65" s="46"/>
      <c r="W65" s="46"/>
      <c r="X65" s="46"/>
      <c r="Y65" s="85"/>
    </row>
    <row r="66" customFormat="false" ht="15.75" hidden="false" customHeight="true" outlineLevel="0" collapsed="false">
      <c r="A66" s="143" t="n">
        <v>61</v>
      </c>
      <c r="B66" s="144" t="s">
        <v>1368</v>
      </c>
      <c r="C66" s="143" t="s">
        <v>752</v>
      </c>
      <c r="D66" s="144" t="s">
        <v>2071</v>
      </c>
      <c r="E66" s="143" t="s">
        <v>99</v>
      </c>
      <c r="F66" s="143" t="s">
        <v>2072</v>
      </c>
      <c r="G66" s="145" t="n">
        <v>45774</v>
      </c>
      <c r="H66" s="143" t="s">
        <v>569</v>
      </c>
      <c r="I66" s="138" t="str">
        <f aca="false">IFERROR(VLOOKUP(TEXT(H66,"0"),IPRESS!$A$3:$B$212,2,0),"")</f>
        <v>OCALLI</v>
      </c>
      <c r="J66" s="143" t="s">
        <v>755</v>
      </c>
      <c r="K66" s="138" t="str">
        <f aca="false">IFERROR(VLOOKUP(TEXT(O66,"0"),CONDUCTORES!$A$3:$G$100,7,0),"")</f>
        <v/>
      </c>
      <c r="L66" s="146" t="n">
        <v>17.95</v>
      </c>
      <c r="M66" s="146" t="n">
        <v>30</v>
      </c>
      <c r="N66" s="139" t="n">
        <f aca="false">IFERROR(IF(L66*M66=0,"",L66*M66),"")</f>
        <v>538.5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45" t="n">
        <v>45825</v>
      </c>
      <c r="S66" s="144" t="s">
        <v>2073</v>
      </c>
      <c r="T66" s="143"/>
      <c r="U66" s="147"/>
      <c r="V66" s="143"/>
      <c r="W66" s="143"/>
      <c r="X66" s="143"/>
      <c r="Y66" s="85"/>
    </row>
    <row r="67" customFormat="false" ht="15.75" hidden="false" customHeight="true" outlineLevel="0" collapsed="false">
      <c r="A67" s="46" t="n">
        <v>62</v>
      </c>
      <c r="B67" s="110" t="s">
        <v>1425</v>
      </c>
      <c r="C67" s="46" t="s">
        <v>752</v>
      </c>
      <c r="D67" s="110" t="s">
        <v>2012</v>
      </c>
      <c r="E67" s="46" t="s">
        <v>99</v>
      </c>
      <c r="F67" s="46" t="s">
        <v>2013</v>
      </c>
      <c r="G67" s="142" t="n">
        <v>45766</v>
      </c>
      <c r="H67" s="46" t="s">
        <v>572</v>
      </c>
      <c r="I67" s="138" t="str">
        <f aca="false">IFERROR(VLOOKUP(TEXT(H67,"0"),IPRESS!$A$3:$B$212,2,0),"")</f>
        <v>OMIA</v>
      </c>
      <c r="J67" s="46" t="s">
        <v>529</v>
      </c>
      <c r="K67" s="138" t="str">
        <f aca="false">IFERROR(VLOOKUP(TEXT(O67,"0"),CONDUCTORES!$A$3:$G$100,7,0),"")</f>
        <v/>
      </c>
      <c r="L67" s="44" t="n">
        <v>20.25</v>
      </c>
      <c r="M67" s="44" t="n">
        <v>3</v>
      </c>
      <c r="N67" s="139" t="n">
        <f aca="false">IFERROR(IF(L67*M67=0,"",L67*M67),"")</f>
        <v>60.75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142" t="n">
        <v>45839</v>
      </c>
      <c r="S67" s="110" t="s">
        <v>2074</v>
      </c>
      <c r="T67" s="46"/>
      <c r="U67" s="85"/>
      <c r="V67" s="46"/>
      <c r="W67" s="46"/>
      <c r="X67" s="46"/>
      <c r="Y67" s="85"/>
    </row>
    <row r="68" customFormat="false" ht="15.75" hidden="false" customHeight="true" outlineLevel="0" collapsed="false">
      <c r="A68" s="106" t="n">
        <v>63</v>
      </c>
      <c r="B68" s="107" t="s">
        <v>787</v>
      </c>
      <c r="C68" s="106" t="s">
        <v>752</v>
      </c>
      <c r="D68" s="107" t="s">
        <v>2075</v>
      </c>
      <c r="E68" s="136" t="s">
        <v>99</v>
      </c>
      <c r="F68" s="106" t="s">
        <v>2076</v>
      </c>
      <c r="G68" s="137" t="n">
        <v>45768</v>
      </c>
      <c r="H68" s="106" t="s">
        <v>572</v>
      </c>
      <c r="I68" s="138" t="str">
        <f aca="false">IFERROR(VLOOKUP(TEXT(H68,"0"),IPRESS!$A$3:$B$212,2,0),"")</f>
        <v>OMIA</v>
      </c>
      <c r="J68" s="106" t="s">
        <v>529</v>
      </c>
      <c r="K68" s="138" t="str">
        <f aca="false">IFERROR(VLOOKUP(TEXT(O68,"0"),CONDUCTORES!$A$3:$G$100,7,0),"")</f>
        <v/>
      </c>
      <c r="L68" s="50" t="n">
        <v>20.25</v>
      </c>
      <c r="M68" s="50" t="n">
        <v>3</v>
      </c>
      <c r="N68" s="139" t="n">
        <f aca="false">IFERROR(IF(L68*M68=0,"",L68*M68),"")</f>
        <v>60.75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37" t="n">
        <v>45839</v>
      </c>
      <c r="S68" s="107" t="s">
        <v>2077</v>
      </c>
      <c r="T68" s="136"/>
      <c r="U68" s="140"/>
      <c r="V68" s="106"/>
      <c r="W68" s="106"/>
      <c r="X68" s="106"/>
      <c r="Y68" s="85"/>
    </row>
    <row r="69" customFormat="false" ht="15.75" hidden="false" customHeight="true" outlineLevel="0" collapsed="false">
      <c r="A69" s="143" t="n">
        <v>64</v>
      </c>
      <c r="B69" s="144" t="s">
        <v>1329</v>
      </c>
      <c r="C69" s="143" t="s">
        <v>752</v>
      </c>
      <c r="D69" s="144" t="s">
        <v>2078</v>
      </c>
      <c r="E69" s="143" t="s">
        <v>99</v>
      </c>
      <c r="F69" s="143" t="s">
        <v>2079</v>
      </c>
      <c r="G69" s="145" t="n">
        <v>45765</v>
      </c>
      <c r="H69" s="143" t="s">
        <v>581</v>
      </c>
      <c r="I69" s="138" t="str">
        <f aca="false">IFERROR(VLOOKUP(TEXT(H69,"0"),IPRESS!$A$3:$B$212,2,0),"")</f>
        <v>PEDRO RUIZ GALLO</v>
      </c>
      <c r="J69" s="143" t="s">
        <v>755</v>
      </c>
      <c r="K69" s="138" t="str">
        <f aca="false">IFERROR(VLOOKUP(TEXT(O69,"0"),CONDUCTORES!$A$3:$G$100,7,0),"")</f>
        <v/>
      </c>
      <c r="L69" s="146" t="n">
        <v>17.95</v>
      </c>
      <c r="M69" s="146" t="n">
        <v>6</v>
      </c>
      <c r="N69" s="139" t="n">
        <f aca="false">IFERROR(IF(L69*M69=0,"",L69*M69),"")</f>
        <v>107.7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147" t="s">
        <v>2080</v>
      </c>
      <c r="S69" s="144" t="s">
        <v>2081</v>
      </c>
      <c r="T69" s="143"/>
      <c r="U69" s="147"/>
      <c r="V69" s="143"/>
      <c r="W69" s="143"/>
      <c r="X69" s="143"/>
      <c r="Y69" s="85"/>
    </row>
    <row r="70" customFormat="false" ht="15.75" hidden="false" customHeight="true" outlineLevel="0" collapsed="false">
      <c r="A70" s="143" t="n">
        <v>65</v>
      </c>
      <c r="B70" s="144" t="s">
        <v>1314</v>
      </c>
      <c r="C70" s="143" t="s">
        <v>752</v>
      </c>
      <c r="D70" s="144" t="s">
        <v>2082</v>
      </c>
      <c r="E70" s="143" t="s">
        <v>99</v>
      </c>
      <c r="F70" s="143" t="s">
        <v>2083</v>
      </c>
      <c r="G70" s="145" t="n">
        <v>45770</v>
      </c>
      <c r="H70" s="143" t="s">
        <v>581</v>
      </c>
      <c r="I70" s="138" t="str">
        <f aca="false">IFERROR(VLOOKUP(TEXT(H70,"0"),IPRESS!$A$3:$B$212,2,0),"")</f>
        <v>PEDRO RUIZ GALLO</v>
      </c>
      <c r="J70" s="143" t="s">
        <v>755</v>
      </c>
      <c r="K70" s="138" t="str">
        <f aca="false">IFERROR(VLOOKUP(TEXT(O70,"0"),CONDUCTORES!$A$3:$G$100,7,0),"")</f>
        <v/>
      </c>
      <c r="L70" s="146" t="n">
        <v>17.95</v>
      </c>
      <c r="M70" s="146" t="n">
        <v>6</v>
      </c>
      <c r="N70" s="139" t="n">
        <f aca="false">IFERROR(IF(L70*M70=0,"",L70*M70),"")</f>
        <v>107.7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47" t="s">
        <v>2080</v>
      </c>
      <c r="S70" s="144" t="s">
        <v>917</v>
      </c>
      <c r="T70" s="143"/>
      <c r="U70" s="147"/>
      <c r="V70" s="143"/>
      <c r="W70" s="143"/>
      <c r="X70" s="143"/>
      <c r="Y70" s="85"/>
    </row>
    <row r="71" customFormat="false" ht="15.75" hidden="false" customHeight="true" outlineLevel="0" collapsed="false">
      <c r="A71" s="143" t="n">
        <v>66</v>
      </c>
      <c r="B71" s="144" t="s">
        <v>1331</v>
      </c>
      <c r="C71" s="143" t="s">
        <v>752</v>
      </c>
      <c r="D71" s="144" t="s">
        <v>2084</v>
      </c>
      <c r="E71" s="143" t="s">
        <v>99</v>
      </c>
      <c r="F71" s="143" t="s">
        <v>2085</v>
      </c>
      <c r="G71" s="145" t="n">
        <v>45775</v>
      </c>
      <c r="H71" s="143" t="s">
        <v>581</v>
      </c>
      <c r="I71" s="138" t="str">
        <f aca="false">IFERROR(VLOOKUP(TEXT(H71,"0"),IPRESS!$A$3:$B$212,2,0),"")</f>
        <v>PEDRO RUIZ GALLO</v>
      </c>
      <c r="J71" s="143" t="s">
        <v>755</v>
      </c>
      <c r="K71" s="138" t="str">
        <f aca="false">IFERROR(VLOOKUP(TEXT(O71,"0"),CONDUCTORES!$A$3:$G$100,7,0),"")</f>
        <v/>
      </c>
      <c r="L71" s="146" t="n">
        <v>17.95</v>
      </c>
      <c r="M71" s="146" t="n">
        <v>6</v>
      </c>
      <c r="N71" s="139" t="n">
        <f aca="false">IFERROR(IF(L71*M71=0,"",L71*M71),"")</f>
        <v>107.7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147" t="s">
        <v>2080</v>
      </c>
      <c r="S71" s="144" t="s">
        <v>2086</v>
      </c>
      <c r="T71" s="143"/>
      <c r="U71" s="147"/>
      <c r="V71" s="143"/>
      <c r="W71" s="143"/>
      <c r="X71" s="143"/>
      <c r="Y71" s="85"/>
    </row>
    <row r="72" customFormat="false" ht="15.75" hidden="false" customHeight="true" outlineLevel="0" collapsed="false">
      <c r="A72" s="106" t="n">
        <v>67</v>
      </c>
      <c r="B72" s="107" t="s">
        <v>2087</v>
      </c>
      <c r="C72" s="106" t="s">
        <v>752</v>
      </c>
      <c r="D72" s="107" t="s">
        <v>2088</v>
      </c>
      <c r="E72" s="136" t="s">
        <v>99</v>
      </c>
      <c r="F72" s="106" t="s">
        <v>2089</v>
      </c>
      <c r="G72" s="137" t="n">
        <v>45749</v>
      </c>
      <c r="H72" s="106" t="s">
        <v>581</v>
      </c>
      <c r="I72" s="138" t="str">
        <f aca="false">IFERROR(VLOOKUP(TEXT(H72,"0"),IPRESS!$A$3:$B$212,2,0),"")</f>
        <v>PEDRO RUIZ GALLO</v>
      </c>
      <c r="J72" s="106" t="s">
        <v>755</v>
      </c>
      <c r="K72" s="138" t="str">
        <f aca="false">IFERROR(VLOOKUP(TEXT(O72,"0"),CONDUCTORES!$A$3:$G$100,7,0),"")</f>
        <v/>
      </c>
      <c r="L72" s="50" t="n">
        <v>18.18</v>
      </c>
      <c r="M72" s="50" t="n">
        <v>6</v>
      </c>
      <c r="N72" s="139" t="n">
        <f aca="false">IFERROR(IF(L72*M72=0,"",L72*M72),"")</f>
        <v>109.08</v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40" t="s">
        <v>886</v>
      </c>
      <c r="S72" s="107" t="s">
        <v>1008</v>
      </c>
      <c r="T72" s="136"/>
      <c r="U72" s="140"/>
      <c r="V72" s="106"/>
      <c r="W72" s="106"/>
      <c r="X72" s="106"/>
      <c r="Y72" s="85"/>
    </row>
    <row r="73" customFormat="false" ht="15.75" hidden="false" customHeight="true" outlineLevel="0" collapsed="false">
      <c r="A73" s="46" t="n">
        <v>68</v>
      </c>
      <c r="B73" s="110" t="s">
        <v>2090</v>
      </c>
      <c r="C73" s="46" t="s">
        <v>752</v>
      </c>
      <c r="D73" s="110" t="s">
        <v>2091</v>
      </c>
      <c r="E73" s="46" t="s">
        <v>99</v>
      </c>
      <c r="F73" s="46" t="s">
        <v>2092</v>
      </c>
      <c r="G73" s="142" t="n">
        <v>45756</v>
      </c>
      <c r="H73" s="46" t="s">
        <v>581</v>
      </c>
      <c r="I73" s="138" t="str">
        <f aca="false">IFERROR(VLOOKUP(TEXT(H73,"0"),IPRESS!$A$3:$B$212,2,0),"")</f>
        <v>PEDRO RUIZ GALLO</v>
      </c>
      <c r="J73" s="46" t="s">
        <v>755</v>
      </c>
      <c r="K73" s="138" t="str">
        <f aca="false">IFERROR(VLOOKUP(TEXT(O73,"0"),CONDUCTORES!$A$3:$G$100,7,0),"")</f>
        <v/>
      </c>
      <c r="L73" s="44" t="n">
        <v>18.18</v>
      </c>
      <c r="M73" s="44" t="n">
        <v>6</v>
      </c>
      <c r="N73" s="139" t="n">
        <f aca="false">IFERROR(IF(L73*M73=0,"",L73*M73),"")</f>
        <v>109.08</v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85" t="s">
        <v>886</v>
      </c>
      <c r="S73" s="110" t="s">
        <v>1081</v>
      </c>
      <c r="T73" s="46"/>
      <c r="U73" s="85"/>
      <c r="V73" s="46"/>
      <c r="W73" s="46"/>
      <c r="X73" s="46"/>
      <c r="Y73" s="85"/>
    </row>
    <row r="74" customFormat="false" ht="15.75" hidden="false" customHeight="true" outlineLevel="0" collapsed="false">
      <c r="A74" s="106" t="n">
        <v>69</v>
      </c>
      <c r="B74" s="107" t="s">
        <v>2093</v>
      </c>
      <c r="C74" s="106" t="s">
        <v>752</v>
      </c>
      <c r="D74" s="107" t="s">
        <v>2094</v>
      </c>
      <c r="E74" s="136" t="s">
        <v>99</v>
      </c>
      <c r="F74" s="106" t="s">
        <v>2095</v>
      </c>
      <c r="G74" s="137" t="n">
        <v>45759</v>
      </c>
      <c r="H74" s="106" t="s">
        <v>581</v>
      </c>
      <c r="I74" s="138" t="str">
        <f aca="false">IFERROR(VLOOKUP(TEXT(H74,"0"),IPRESS!$A$3:$B$212,2,0),"")</f>
        <v>PEDRO RUIZ GALLO</v>
      </c>
      <c r="J74" s="106" t="s">
        <v>755</v>
      </c>
      <c r="K74" s="138" t="str">
        <f aca="false">IFERROR(VLOOKUP(TEXT(O74,"0"),CONDUCTORES!$A$3:$G$100,7,0),"")</f>
        <v/>
      </c>
      <c r="L74" s="50" t="n">
        <v>18.18</v>
      </c>
      <c r="M74" s="50" t="n">
        <v>6</v>
      </c>
      <c r="N74" s="139" t="n">
        <f aca="false">IFERROR(IF(L74*M74=0,"",L74*M74),"")</f>
        <v>109.08</v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40" t="s">
        <v>886</v>
      </c>
      <c r="S74" s="107" t="s">
        <v>2096</v>
      </c>
      <c r="T74" s="136"/>
      <c r="U74" s="140"/>
      <c r="V74" s="106"/>
      <c r="W74" s="106"/>
      <c r="X74" s="106"/>
      <c r="Y74" s="85"/>
    </row>
    <row r="75" customFormat="false" ht="15.75" hidden="false" customHeight="true" outlineLevel="0" collapsed="false">
      <c r="A75" s="46" t="n">
        <v>70</v>
      </c>
      <c r="B75" s="110" t="s">
        <v>1319</v>
      </c>
      <c r="C75" s="46" t="s">
        <v>752</v>
      </c>
      <c r="D75" s="110" t="s">
        <v>2097</v>
      </c>
      <c r="E75" s="46" t="s">
        <v>99</v>
      </c>
      <c r="F75" s="46" t="s">
        <v>2098</v>
      </c>
      <c r="G75" s="142" t="n">
        <v>45768</v>
      </c>
      <c r="H75" s="46" t="s">
        <v>581</v>
      </c>
      <c r="I75" s="138" t="str">
        <f aca="false">IFERROR(VLOOKUP(TEXT(H75,"0"),IPRESS!$A$3:$B$212,2,0),"")</f>
        <v>PEDRO RUIZ GALLO</v>
      </c>
      <c r="J75" s="46" t="s">
        <v>755</v>
      </c>
      <c r="K75" s="138" t="str">
        <f aca="false">IFERROR(VLOOKUP(TEXT(O75,"0"),CONDUCTORES!$A$3:$G$100,7,0),"")</f>
        <v/>
      </c>
      <c r="L75" s="44" t="n">
        <v>18.18</v>
      </c>
      <c r="M75" s="44" t="n">
        <v>6</v>
      </c>
      <c r="N75" s="139" t="n">
        <f aca="false">IFERROR(IF(L75*M75=0,"",L75*M75),"")</f>
        <v>109.08</v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85" t="s">
        <v>886</v>
      </c>
      <c r="S75" s="110" t="s">
        <v>2099</v>
      </c>
      <c r="T75" s="46"/>
      <c r="U75" s="85"/>
      <c r="V75" s="46"/>
      <c r="W75" s="46"/>
      <c r="X75" s="46"/>
      <c r="Y75" s="85"/>
    </row>
    <row r="76" customFormat="false" ht="15.75" hidden="false" customHeight="true" outlineLevel="0" collapsed="false">
      <c r="A76" s="106" t="n">
        <v>71</v>
      </c>
      <c r="B76" s="107" t="s">
        <v>1321</v>
      </c>
      <c r="C76" s="106" t="s">
        <v>752</v>
      </c>
      <c r="D76" s="107" t="s">
        <v>2100</v>
      </c>
      <c r="E76" s="136" t="s">
        <v>99</v>
      </c>
      <c r="F76" s="106" t="s">
        <v>2101</v>
      </c>
      <c r="G76" s="137" t="n">
        <v>45768</v>
      </c>
      <c r="H76" s="106" t="s">
        <v>581</v>
      </c>
      <c r="I76" s="138" t="str">
        <f aca="false">IFERROR(VLOOKUP(TEXT(H76,"0"),IPRESS!$A$3:$B$212,2,0),"")</f>
        <v>PEDRO RUIZ GALLO</v>
      </c>
      <c r="J76" s="106" t="s">
        <v>755</v>
      </c>
      <c r="K76" s="138" t="str">
        <f aca="false">IFERROR(VLOOKUP(TEXT(O76,"0"),CONDUCTORES!$A$3:$G$100,7,0),"")</f>
        <v/>
      </c>
      <c r="L76" s="50" t="n">
        <v>18.18</v>
      </c>
      <c r="M76" s="50" t="n">
        <v>6</v>
      </c>
      <c r="N76" s="139" t="n">
        <f aca="false">IFERROR(IF(L76*M76=0,"",L76*M76),"")</f>
        <v>109.08</v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40" t="s">
        <v>886</v>
      </c>
      <c r="S76" s="107" t="s">
        <v>2102</v>
      </c>
      <c r="T76" s="136"/>
      <c r="U76" s="140"/>
      <c r="V76" s="106"/>
      <c r="W76" s="106"/>
      <c r="X76" s="106"/>
      <c r="Y76" s="85"/>
    </row>
    <row r="77" customFormat="false" ht="15.75" hidden="false" customHeight="true" outlineLevel="0" collapsed="false">
      <c r="A77" s="46" t="n">
        <v>72</v>
      </c>
      <c r="B77" s="110" t="s">
        <v>1325</v>
      </c>
      <c r="C77" s="46" t="s">
        <v>752</v>
      </c>
      <c r="D77" s="110" t="s">
        <v>2103</v>
      </c>
      <c r="E77" s="46" t="s">
        <v>99</v>
      </c>
      <c r="F77" s="46" t="s">
        <v>2104</v>
      </c>
      <c r="G77" s="142" t="n">
        <v>45769</v>
      </c>
      <c r="H77" s="46" t="s">
        <v>581</v>
      </c>
      <c r="I77" s="138" t="str">
        <f aca="false">IFERROR(VLOOKUP(TEXT(H77,"0"),IPRESS!$A$3:$B$212,2,0),"")</f>
        <v>PEDRO RUIZ GALLO</v>
      </c>
      <c r="J77" s="46" t="s">
        <v>755</v>
      </c>
      <c r="K77" s="138" t="str">
        <f aca="false">IFERROR(VLOOKUP(TEXT(O77,"0"),CONDUCTORES!$A$3:$G$100,7,0),"")</f>
        <v/>
      </c>
      <c r="L77" s="44" t="n">
        <v>18.18</v>
      </c>
      <c r="M77" s="44" t="n">
        <v>6</v>
      </c>
      <c r="N77" s="139" t="n">
        <f aca="false">IFERROR(IF(L77*M77=0,"",L77*M77),"")</f>
        <v>109.08</v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85" t="s">
        <v>886</v>
      </c>
      <c r="S77" s="110" t="s">
        <v>2105</v>
      </c>
      <c r="T77" s="46"/>
      <c r="U77" s="85"/>
      <c r="V77" s="46"/>
      <c r="W77" s="46"/>
      <c r="X77" s="46"/>
      <c r="Y77" s="85"/>
    </row>
    <row r="78" customFormat="false" ht="15.75" hidden="false" customHeight="true" outlineLevel="0" collapsed="false">
      <c r="A78" s="106" t="n">
        <v>73</v>
      </c>
      <c r="B78" s="107" t="s">
        <v>1335</v>
      </c>
      <c r="C78" s="106" t="s">
        <v>752</v>
      </c>
      <c r="D78" s="107" t="s">
        <v>2106</v>
      </c>
      <c r="E78" s="136" t="s">
        <v>99</v>
      </c>
      <c r="F78" s="106" t="s">
        <v>2107</v>
      </c>
      <c r="G78" s="137" t="n">
        <v>45775</v>
      </c>
      <c r="H78" s="106" t="s">
        <v>581</v>
      </c>
      <c r="I78" s="138" t="str">
        <f aca="false">IFERROR(VLOOKUP(TEXT(H78,"0"),IPRESS!$A$3:$B$212,2,0),"")</f>
        <v>PEDRO RUIZ GALLO</v>
      </c>
      <c r="J78" s="106" t="s">
        <v>755</v>
      </c>
      <c r="K78" s="138" t="str">
        <f aca="false">IFERROR(VLOOKUP(TEXT(O78,"0"),CONDUCTORES!$A$3:$G$100,7,0),"")</f>
        <v/>
      </c>
      <c r="L78" s="50" t="n">
        <v>18.18</v>
      </c>
      <c r="M78" s="50" t="n">
        <v>6</v>
      </c>
      <c r="N78" s="139" t="n">
        <f aca="false">IFERROR(IF(L78*M78=0,"",L78*M78),"")</f>
        <v>109.08</v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40" t="s">
        <v>886</v>
      </c>
      <c r="S78" s="107" t="s">
        <v>2108</v>
      </c>
      <c r="T78" s="136"/>
      <c r="U78" s="140"/>
      <c r="V78" s="106"/>
      <c r="W78" s="106"/>
      <c r="X78" s="106"/>
      <c r="Y78" s="85"/>
    </row>
    <row r="79" customFormat="false" ht="15.75" hidden="false" customHeight="true" outlineLevel="0" collapsed="false">
      <c r="A79" s="46" t="n">
        <v>74</v>
      </c>
      <c r="B79" s="110" t="s">
        <v>1940</v>
      </c>
      <c r="C79" s="46" t="s">
        <v>752</v>
      </c>
      <c r="D79" s="110" t="s">
        <v>2109</v>
      </c>
      <c r="E79" s="46" t="s">
        <v>99</v>
      </c>
      <c r="F79" s="46" t="s">
        <v>2110</v>
      </c>
      <c r="G79" s="142" t="n">
        <v>45748</v>
      </c>
      <c r="H79" s="46" t="s">
        <v>595</v>
      </c>
      <c r="I79" s="138" t="str">
        <f aca="false">IFERROR(VLOOKUP(TEXT(H79,"0"),IPRESS!$A$3:$B$212,2,0),"")</f>
        <v>POMACOCHAS</v>
      </c>
      <c r="J79" s="46" t="s">
        <v>755</v>
      </c>
      <c r="K79" s="138" t="str">
        <f aca="false">IFERROR(VLOOKUP(TEXT(O79,"0"),CONDUCTORES!$A$3:$G$100,7,0),"")</f>
        <v/>
      </c>
      <c r="L79" s="44" t="n">
        <v>18.18</v>
      </c>
      <c r="M79" s="44" t="n">
        <v>8</v>
      </c>
      <c r="N79" s="139" t="n">
        <f aca="false">IFERROR(IF(L79*M79=0,"",L79*M79),"")</f>
        <v>145.44</v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85" t="s">
        <v>2111</v>
      </c>
      <c r="S79" s="110" t="s">
        <v>1044</v>
      </c>
      <c r="T79" s="46"/>
      <c r="U79" s="85"/>
      <c r="V79" s="46" t="s">
        <v>831</v>
      </c>
      <c r="W79" s="46" t="s">
        <v>801</v>
      </c>
      <c r="X79" s="46" t="s">
        <v>794</v>
      </c>
      <c r="Y79" s="85"/>
    </row>
    <row r="80" customFormat="false" ht="15.75" hidden="false" customHeight="true" outlineLevel="0" collapsed="false">
      <c r="A80" s="106" t="n">
        <v>75</v>
      </c>
      <c r="B80" s="107" t="s">
        <v>1944</v>
      </c>
      <c r="C80" s="106" t="s">
        <v>752</v>
      </c>
      <c r="D80" s="107" t="s">
        <v>2112</v>
      </c>
      <c r="E80" s="136" t="s">
        <v>99</v>
      </c>
      <c r="F80" s="106" t="s">
        <v>2113</v>
      </c>
      <c r="G80" s="137" t="n">
        <v>45754</v>
      </c>
      <c r="H80" s="106" t="s">
        <v>595</v>
      </c>
      <c r="I80" s="138" t="str">
        <f aca="false">IFERROR(VLOOKUP(TEXT(H80,"0"),IPRESS!$A$3:$B$212,2,0),"")</f>
        <v>POMACOCHAS</v>
      </c>
      <c r="J80" s="106" t="s">
        <v>755</v>
      </c>
      <c r="K80" s="138" t="str">
        <f aca="false">IFERROR(VLOOKUP(TEXT(O80,"0"),CONDUCTORES!$A$3:$G$100,7,0),"")</f>
        <v/>
      </c>
      <c r="L80" s="50" t="n">
        <v>18.18</v>
      </c>
      <c r="M80" s="50" t="n">
        <v>8</v>
      </c>
      <c r="N80" s="139" t="n">
        <f aca="false">IFERROR(IF(L80*M80=0,"",L80*M80),"")</f>
        <v>145.44</v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40" t="s">
        <v>2111</v>
      </c>
      <c r="S80" s="107" t="s">
        <v>2114</v>
      </c>
      <c r="T80" s="136"/>
      <c r="U80" s="140"/>
      <c r="V80" s="106" t="s">
        <v>831</v>
      </c>
      <c r="W80" s="106" t="s">
        <v>801</v>
      </c>
      <c r="X80" s="106" t="s">
        <v>794</v>
      </c>
      <c r="Y80" s="85"/>
    </row>
    <row r="81" customFormat="false" ht="15.75" hidden="false" customHeight="true" outlineLevel="0" collapsed="false">
      <c r="A81" s="46" t="n">
        <v>76</v>
      </c>
      <c r="B81" s="110" t="s">
        <v>1948</v>
      </c>
      <c r="C81" s="46" t="s">
        <v>752</v>
      </c>
      <c r="D81" s="110" t="s">
        <v>2115</v>
      </c>
      <c r="E81" s="46" t="s">
        <v>99</v>
      </c>
      <c r="F81" s="46" t="s">
        <v>2116</v>
      </c>
      <c r="G81" s="142" t="n">
        <v>45756</v>
      </c>
      <c r="H81" s="46" t="s">
        <v>595</v>
      </c>
      <c r="I81" s="138" t="str">
        <f aca="false">IFERROR(VLOOKUP(TEXT(H81,"0"),IPRESS!$A$3:$B$212,2,0),"")</f>
        <v>POMACOCHAS</v>
      </c>
      <c r="J81" s="46" t="s">
        <v>755</v>
      </c>
      <c r="K81" s="138" t="str">
        <f aca="false">IFERROR(VLOOKUP(TEXT(O81,"0"),CONDUCTORES!$A$3:$G$100,7,0),"")</f>
        <v/>
      </c>
      <c r="L81" s="44" t="n">
        <v>18.18</v>
      </c>
      <c r="M81" s="44" t="n">
        <v>8</v>
      </c>
      <c r="N81" s="139" t="n">
        <f aca="false">IFERROR(IF(L81*M81=0,"",L81*M81),"")</f>
        <v>145.44</v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85" t="s">
        <v>2111</v>
      </c>
      <c r="S81" s="110" t="s">
        <v>2117</v>
      </c>
      <c r="T81" s="46"/>
      <c r="U81" s="85"/>
      <c r="V81" s="46" t="s">
        <v>831</v>
      </c>
      <c r="W81" s="46" t="s">
        <v>801</v>
      </c>
      <c r="X81" s="46" t="s">
        <v>794</v>
      </c>
      <c r="Y81" s="85"/>
    </row>
    <row r="82" customFormat="false" ht="15.75" hidden="false" customHeight="true" outlineLevel="0" collapsed="false">
      <c r="A82" s="106" t="n">
        <v>77</v>
      </c>
      <c r="B82" s="107" t="s">
        <v>866</v>
      </c>
      <c r="C82" s="106" t="s">
        <v>752</v>
      </c>
      <c r="D82" s="107" t="s">
        <v>1814</v>
      </c>
      <c r="E82" s="136" t="s">
        <v>99</v>
      </c>
      <c r="F82" s="106" t="s">
        <v>1815</v>
      </c>
      <c r="G82" s="137" t="n">
        <v>45772</v>
      </c>
      <c r="H82" s="106" t="s">
        <v>595</v>
      </c>
      <c r="I82" s="138" t="str">
        <f aca="false">IFERROR(VLOOKUP(TEXT(H82,"0"),IPRESS!$A$3:$B$212,2,0),"")</f>
        <v>POMACOCHAS</v>
      </c>
      <c r="J82" s="106" t="s">
        <v>755</v>
      </c>
      <c r="K82" s="138" t="str">
        <f aca="false">IFERROR(VLOOKUP(TEXT(O82,"0"),CONDUCTORES!$A$3:$G$100,7,0),"")</f>
        <v/>
      </c>
      <c r="L82" s="50" t="n">
        <v>18.18</v>
      </c>
      <c r="M82" s="50" t="n">
        <v>8</v>
      </c>
      <c r="N82" s="139" t="n">
        <f aca="false">IFERROR(IF(L82*M82=0,"",L82*M82),"")</f>
        <v>145.44</v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40" t="s">
        <v>2118</v>
      </c>
      <c r="S82" s="107" t="s">
        <v>2119</v>
      </c>
      <c r="T82" s="136"/>
      <c r="U82" s="140"/>
      <c r="V82" s="106"/>
      <c r="W82" s="106"/>
      <c r="X82" s="106"/>
      <c r="Y82" s="85"/>
    </row>
    <row r="83" customFormat="false" ht="15.75" hidden="false" customHeight="true" outlineLevel="0" collapsed="false">
      <c r="A83" s="46" t="n">
        <v>78</v>
      </c>
      <c r="B83" s="110" t="s">
        <v>1262</v>
      </c>
      <c r="C83" s="46" t="s">
        <v>752</v>
      </c>
      <c r="D83" s="110" t="s">
        <v>2120</v>
      </c>
      <c r="E83" s="46" t="s">
        <v>99</v>
      </c>
      <c r="F83" s="46" t="s">
        <v>2121</v>
      </c>
      <c r="G83" s="142" t="n">
        <v>45773</v>
      </c>
      <c r="H83" s="46" t="s">
        <v>595</v>
      </c>
      <c r="I83" s="138" t="str">
        <f aca="false">IFERROR(VLOOKUP(TEXT(H83,"0"),IPRESS!$A$3:$B$212,2,0),"")</f>
        <v>POMACOCHAS</v>
      </c>
      <c r="J83" s="46" t="s">
        <v>755</v>
      </c>
      <c r="K83" s="138" t="str">
        <f aca="false">IFERROR(VLOOKUP(TEXT(O83,"0"),CONDUCTORES!$A$3:$G$100,7,0),"")</f>
        <v/>
      </c>
      <c r="L83" s="44" t="n">
        <v>18.18</v>
      </c>
      <c r="M83" s="44" t="n">
        <v>8</v>
      </c>
      <c r="N83" s="139" t="n">
        <f aca="false">IFERROR(IF(L83*M83=0,"",L83*M83),"")</f>
        <v>145.44</v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85" t="s">
        <v>2118</v>
      </c>
      <c r="S83" s="110" t="s">
        <v>2122</v>
      </c>
      <c r="T83" s="46"/>
      <c r="U83" s="85"/>
      <c r="V83" s="46"/>
      <c r="W83" s="46"/>
      <c r="X83" s="46"/>
      <c r="Y83" s="85"/>
    </row>
    <row r="84" customFormat="false" ht="15.75" hidden="false" customHeight="true" outlineLevel="0" collapsed="false">
      <c r="A84" s="143" t="n">
        <v>79</v>
      </c>
      <c r="B84" s="144" t="s">
        <v>1952</v>
      </c>
      <c r="C84" s="143" t="s">
        <v>752</v>
      </c>
      <c r="D84" s="144" t="s">
        <v>2123</v>
      </c>
      <c r="E84" s="143" t="s">
        <v>99</v>
      </c>
      <c r="F84" s="143" t="s">
        <v>2124</v>
      </c>
      <c r="G84" s="145" t="n">
        <v>45770</v>
      </c>
      <c r="H84" s="143" t="s">
        <v>595</v>
      </c>
      <c r="I84" s="138" t="str">
        <f aca="false">IFERROR(VLOOKUP(TEXT(H84,"0"),IPRESS!$A$3:$B$212,2,0),"")</f>
        <v>POMACOCHAS</v>
      </c>
      <c r="J84" s="143" t="s">
        <v>595</v>
      </c>
      <c r="K84" s="138" t="str">
        <f aca="false">IFERROR(VLOOKUP(TEXT(O84,"0"),CONDUCTORES!$A$3:$G$100,7,0),"")</f>
        <v/>
      </c>
      <c r="L84" s="146" t="n">
        <v>17.95</v>
      </c>
      <c r="M84" s="146" t="n">
        <v>15</v>
      </c>
      <c r="N84" s="139" t="n">
        <f aca="false">IFERROR(IF(L84*M84=0,"",L84*M84),"")</f>
        <v>269.25</v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47" t="s">
        <v>2111</v>
      </c>
      <c r="S84" s="144" t="s">
        <v>2125</v>
      </c>
      <c r="T84" s="143" t="s">
        <v>2126</v>
      </c>
      <c r="U84" s="147"/>
      <c r="V84" s="143" t="s">
        <v>831</v>
      </c>
      <c r="W84" s="143" t="s">
        <v>801</v>
      </c>
      <c r="X84" s="143" t="s">
        <v>794</v>
      </c>
      <c r="Y84" s="85"/>
    </row>
    <row r="85" customFormat="false" ht="15.75" hidden="false" customHeight="true" outlineLevel="0" collapsed="false">
      <c r="A85" s="46" t="n">
        <v>80</v>
      </c>
      <c r="B85" s="110" t="s">
        <v>818</v>
      </c>
      <c r="C85" s="46" t="s">
        <v>752</v>
      </c>
      <c r="D85" s="110" t="s">
        <v>2127</v>
      </c>
      <c r="E85" s="46" t="s">
        <v>99</v>
      </c>
      <c r="F85" s="46" t="s">
        <v>2128</v>
      </c>
      <c r="G85" s="142" t="n">
        <v>45753</v>
      </c>
      <c r="H85" s="46" t="s">
        <v>608</v>
      </c>
      <c r="I85" s="138" t="str">
        <f aca="false">IFERROR(VLOOKUP(TEXT(H85,"0"),IPRESS!$A$3:$B$212,2,0),"")</f>
        <v>QUILLUNYA</v>
      </c>
      <c r="J85" s="46" t="s">
        <v>755</v>
      </c>
      <c r="K85" s="138" t="str">
        <f aca="false">IFERROR(VLOOKUP(TEXT(O85,"0"),CONDUCTORES!$A$3:$G$100,7,0),"")</f>
        <v/>
      </c>
      <c r="L85" s="44" t="n">
        <v>18.18</v>
      </c>
      <c r="M85" s="44" t="n">
        <v>8</v>
      </c>
      <c r="N85" s="139" t="n">
        <f aca="false">IFERROR(IF(L85*M85=0,"",L85*M85),"")</f>
        <v>145.44</v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142" t="n">
        <v>45828</v>
      </c>
      <c r="S85" s="110" t="s">
        <v>1487</v>
      </c>
      <c r="T85" s="46"/>
      <c r="U85" s="85"/>
      <c r="V85" s="46"/>
      <c r="W85" s="46"/>
      <c r="X85" s="46"/>
      <c r="Y85" s="85"/>
    </row>
    <row r="86" customFormat="false" ht="15.75" hidden="false" customHeight="true" outlineLevel="0" collapsed="false">
      <c r="A86" s="106" t="n">
        <v>81</v>
      </c>
      <c r="B86" s="107" t="s">
        <v>926</v>
      </c>
      <c r="C86" s="106" t="s">
        <v>752</v>
      </c>
      <c r="D86" s="107" t="s">
        <v>2129</v>
      </c>
      <c r="E86" s="136" t="s">
        <v>99</v>
      </c>
      <c r="F86" s="106" t="s">
        <v>2130</v>
      </c>
      <c r="G86" s="137" t="n">
        <v>45755</v>
      </c>
      <c r="H86" s="106" t="s">
        <v>608</v>
      </c>
      <c r="I86" s="138" t="str">
        <f aca="false">IFERROR(VLOOKUP(TEXT(H86,"0"),IPRESS!$A$3:$B$212,2,0),"")</f>
        <v>QUILLUNYA</v>
      </c>
      <c r="J86" s="106" t="s">
        <v>755</v>
      </c>
      <c r="K86" s="138" t="str">
        <f aca="false">IFERROR(VLOOKUP(TEXT(O86,"0"),CONDUCTORES!$A$3:$G$100,7,0),"")</f>
        <v/>
      </c>
      <c r="L86" s="50" t="n">
        <v>18.18</v>
      </c>
      <c r="M86" s="50" t="n">
        <v>8</v>
      </c>
      <c r="N86" s="139" t="n">
        <f aca="false">IFERROR(IF(L86*M86=0,"",L86*M86),"")</f>
        <v>145.44</v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37" t="n">
        <v>45828</v>
      </c>
      <c r="S86" s="107" t="s">
        <v>1651</v>
      </c>
      <c r="T86" s="136"/>
      <c r="U86" s="140"/>
      <c r="V86" s="106"/>
      <c r="W86" s="106"/>
      <c r="X86" s="106"/>
      <c r="Y86" s="85"/>
    </row>
    <row r="87" customFormat="false" ht="15.75" hidden="false" customHeight="true" outlineLevel="0" collapsed="false">
      <c r="A87" s="143" t="n">
        <v>82</v>
      </c>
      <c r="B87" s="144" t="s">
        <v>1197</v>
      </c>
      <c r="C87" s="143" t="s">
        <v>752</v>
      </c>
      <c r="D87" s="144" t="s">
        <v>2131</v>
      </c>
      <c r="E87" s="143" t="s">
        <v>99</v>
      </c>
      <c r="F87" s="143" t="s">
        <v>2132</v>
      </c>
      <c r="G87" s="145" t="n">
        <v>45764</v>
      </c>
      <c r="H87" s="143" t="s">
        <v>622</v>
      </c>
      <c r="I87" s="138" t="str">
        <f aca="false">IFERROR(VLOOKUP(TEXT(H87,"0"),IPRESS!$A$3:$B$212,2,0),"")</f>
        <v>SALAZAR</v>
      </c>
      <c r="J87" s="143" t="s">
        <v>755</v>
      </c>
      <c r="K87" s="138" t="str">
        <f aca="false">IFERROR(VLOOKUP(TEXT(O87,"0"),CONDUCTORES!$A$3:$G$100,7,0),"")</f>
        <v/>
      </c>
      <c r="L87" s="146" t="n">
        <v>17.95</v>
      </c>
      <c r="M87" s="146" t="n">
        <v>20</v>
      </c>
      <c r="N87" s="139" t="n">
        <f aca="false">IFERROR(IF(L87*M87=0,"",L87*M87),"")</f>
        <v>359</v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147" t="s">
        <v>1840</v>
      </c>
      <c r="S87" s="144" t="s">
        <v>2133</v>
      </c>
      <c r="T87" s="143"/>
      <c r="U87" s="147"/>
      <c r="V87" s="143"/>
      <c r="W87" s="143"/>
      <c r="X87" s="143"/>
      <c r="Y87" s="85"/>
    </row>
    <row r="88" customFormat="false" ht="15.75" hidden="false" customHeight="true" outlineLevel="0" collapsed="false">
      <c r="A88" s="143" t="n">
        <v>83</v>
      </c>
      <c r="B88" s="144" t="s">
        <v>1302</v>
      </c>
      <c r="C88" s="143" t="s">
        <v>752</v>
      </c>
      <c r="D88" s="144" t="s">
        <v>2134</v>
      </c>
      <c r="E88" s="143" t="s">
        <v>99</v>
      </c>
      <c r="F88" s="143" t="s">
        <v>2135</v>
      </c>
      <c r="G88" s="145" t="n">
        <v>45767</v>
      </c>
      <c r="H88" s="143" t="s">
        <v>622</v>
      </c>
      <c r="I88" s="138" t="str">
        <f aca="false">IFERROR(VLOOKUP(TEXT(H88,"0"),IPRESS!$A$3:$B$212,2,0),"")</f>
        <v>SALAZAR</v>
      </c>
      <c r="J88" s="143" t="s">
        <v>1216</v>
      </c>
      <c r="K88" s="138" t="str">
        <f aca="false">IFERROR(VLOOKUP(TEXT(O88,"0"),CONDUCTORES!$A$3:$G$100,7,0),"")</f>
        <v/>
      </c>
      <c r="L88" s="146" t="n">
        <v>17.95</v>
      </c>
      <c r="M88" s="146" t="n">
        <v>14</v>
      </c>
      <c r="N88" s="139" t="n">
        <f aca="false">IFERROR(IF(L88*M88=0,"",L88*M88),"")</f>
        <v>251.3</v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47" t="s">
        <v>1840</v>
      </c>
      <c r="S88" s="144" t="s">
        <v>2136</v>
      </c>
      <c r="T88" s="143"/>
      <c r="U88" s="147"/>
      <c r="V88" s="143"/>
      <c r="W88" s="143"/>
      <c r="X88" s="143"/>
      <c r="Y88" s="85"/>
    </row>
    <row r="89" customFormat="false" ht="15.75" hidden="false" customHeight="true" outlineLevel="0" collapsed="false">
      <c r="A89" s="143" t="n">
        <v>84</v>
      </c>
      <c r="B89" s="144" t="s">
        <v>1306</v>
      </c>
      <c r="C89" s="143" t="s">
        <v>752</v>
      </c>
      <c r="D89" s="144" t="s">
        <v>2137</v>
      </c>
      <c r="E89" s="143" t="s">
        <v>99</v>
      </c>
      <c r="F89" s="143" t="s">
        <v>2138</v>
      </c>
      <c r="G89" s="145" t="n">
        <v>45770</v>
      </c>
      <c r="H89" s="143" t="s">
        <v>622</v>
      </c>
      <c r="I89" s="138" t="str">
        <f aca="false">IFERROR(VLOOKUP(TEXT(H89,"0"),IPRESS!$A$3:$B$212,2,0),"")</f>
        <v>SALAZAR</v>
      </c>
      <c r="J89" s="143" t="s">
        <v>755</v>
      </c>
      <c r="K89" s="138" t="str">
        <f aca="false">IFERROR(VLOOKUP(TEXT(O89,"0"),CONDUCTORES!$A$3:$G$100,7,0),"")</f>
        <v/>
      </c>
      <c r="L89" s="146" t="n">
        <v>17.95</v>
      </c>
      <c r="M89" s="146" t="n">
        <v>14</v>
      </c>
      <c r="N89" s="139" t="n">
        <f aca="false">IFERROR(IF(L89*M89=0,"",L89*M89),"")</f>
        <v>251.3</v>
      </c>
      <c r="O89" s="140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147" t="s">
        <v>1840</v>
      </c>
      <c r="S89" s="144" t="s">
        <v>2139</v>
      </c>
      <c r="T89" s="143"/>
      <c r="U89" s="147"/>
      <c r="V89" s="143"/>
      <c r="W89" s="143"/>
      <c r="X89" s="143"/>
      <c r="Y89" s="85"/>
    </row>
    <row r="90" customFormat="false" ht="15.75" hidden="false" customHeight="true" outlineLevel="0" collapsed="false">
      <c r="A90" s="143" t="n">
        <v>85</v>
      </c>
      <c r="B90" s="144" t="s">
        <v>1412</v>
      </c>
      <c r="C90" s="143" t="s">
        <v>752</v>
      </c>
      <c r="D90" s="144" t="s">
        <v>2106</v>
      </c>
      <c r="E90" s="143" t="s">
        <v>99</v>
      </c>
      <c r="F90" s="143" t="s">
        <v>2107</v>
      </c>
      <c r="G90" s="145" t="n">
        <v>45775</v>
      </c>
      <c r="H90" s="143" t="s">
        <v>622</v>
      </c>
      <c r="I90" s="138" t="str">
        <f aca="false">IFERROR(VLOOKUP(TEXT(H90,"0"),IPRESS!$A$3:$B$212,2,0),"")</f>
        <v>SALAZAR</v>
      </c>
      <c r="J90" s="143" t="s">
        <v>581</v>
      </c>
      <c r="K90" s="138" t="str">
        <f aca="false">IFERROR(VLOOKUP(TEXT(O90,"0"),CONDUCTORES!$A$3:$G$100,7,0),"")</f>
        <v/>
      </c>
      <c r="L90" s="146" t="n">
        <v>17.95</v>
      </c>
      <c r="M90" s="146" t="n">
        <v>20</v>
      </c>
      <c r="N90" s="139" t="n">
        <f aca="false">IFERROR(IF(L90*M90=0,"",L90*M90),"")</f>
        <v>359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47" t="s">
        <v>1840</v>
      </c>
      <c r="S90" s="144" t="s">
        <v>2140</v>
      </c>
      <c r="T90" s="143"/>
      <c r="U90" s="147"/>
      <c r="V90" s="143"/>
      <c r="W90" s="143"/>
      <c r="X90" s="143"/>
      <c r="Y90" s="85"/>
    </row>
    <row r="91" customFormat="false" ht="15.75" hidden="false" customHeight="true" outlineLevel="0" collapsed="false">
      <c r="A91" s="46" t="n">
        <v>86</v>
      </c>
      <c r="B91" s="110" t="s">
        <v>919</v>
      </c>
      <c r="C91" s="46" t="s">
        <v>752</v>
      </c>
      <c r="D91" s="110" t="s">
        <v>2141</v>
      </c>
      <c r="E91" s="46" t="s">
        <v>99</v>
      </c>
      <c r="F91" s="46" t="s">
        <v>2142</v>
      </c>
      <c r="G91" s="142" t="n">
        <v>45756</v>
      </c>
      <c r="H91" s="46" t="s">
        <v>629</v>
      </c>
      <c r="I91" s="138" t="str">
        <f aca="false">IFERROR(VLOOKUP(TEXT(H91,"0"),IPRESS!$A$3:$B$212,2,0),"")</f>
        <v>SAN FRANCISCO DEL YESO</v>
      </c>
      <c r="J91" s="46" t="s">
        <v>755</v>
      </c>
      <c r="K91" s="138" t="str">
        <f aca="false">IFERROR(VLOOKUP(TEXT(O91,"0"),CONDUCTORES!$A$3:$G$100,7,0),"")</f>
        <v/>
      </c>
      <c r="L91" s="44" t="n">
        <v>18.18</v>
      </c>
      <c r="M91" s="44" t="n">
        <v>7</v>
      </c>
      <c r="N91" s="139" t="n">
        <f aca="false">IFERROR(IF(L91*M91=0,"",L91*M91),"")</f>
        <v>127.26</v>
      </c>
      <c r="O91" s="140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142" t="n">
        <v>45939</v>
      </c>
      <c r="S91" s="110" t="s">
        <v>2143</v>
      </c>
      <c r="T91" s="46"/>
      <c r="U91" s="85"/>
      <c r="V91" s="46"/>
      <c r="W91" s="46"/>
      <c r="X91" s="46"/>
      <c r="Y91" s="85"/>
    </row>
    <row r="92" customFormat="false" ht="15.75" hidden="false" customHeight="true" outlineLevel="0" collapsed="false">
      <c r="A92" s="106" t="n">
        <v>87</v>
      </c>
      <c r="B92" s="107" t="s">
        <v>1302</v>
      </c>
      <c r="C92" s="106" t="s">
        <v>752</v>
      </c>
      <c r="D92" s="107" t="s">
        <v>2144</v>
      </c>
      <c r="E92" s="136" t="s">
        <v>99</v>
      </c>
      <c r="F92" s="106" t="s">
        <v>2145</v>
      </c>
      <c r="G92" s="137" t="n">
        <v>45750</v>
      </c>
      <c r="H92" s="106" t="s">
        <v>665</v>
      </c>
      <c r="I92" s="138" t="str">
        <f aca="false">IFERROR(VLOOKUP(TEXT(H92,"0"),IPRESS!$A$3:$B$212,2,0),"")</f>
        <v>SANTO TOMAS</v>
      </c>
      <c r="J92" s="106" t="s">
        <v>755</v>
      </c>
      <c r="K92" s="138" t="str">
        <f aca="false">IFERROR(VLOOKUP(TEXT(O92,"0"),CONDUCTORES!$A$3:$G$100,7,0),"")</f>
        <v/>
      </c>
      <c r="L92" s="50" t="n">
        <v>18.18</v>
      </c>
      <c r="M92" s="50" t="n">
        <v>10</v>
      </c>
      <c r="N92" s="139" t="n">
        <f aca="false">IFERROR(IF(L92*M92=0,"",L92*M92),"")</f>
        <v>181.8</v>
      </c>
      <c r="O92" s="85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37" t="n">
        <v>45789</v>
      </c>
      <c r="S92" s="107" t="s">
        <v>2146</v>
      </c>
      <c r="T92" s="136"/>
      <c r="U92" s="140"/>
      <c r="V92" s="106" t="s">
        <v>800</v>
      </c>
      <c r="W92" s="106" t="s">
        <v>801</v>
      </c>
      <c r="X92" s="106" t="s">
        <v>794</v>
      </c>
      <c r="Y92" s="85"/>
    </row>
    <row r="93" customFormat="false" ht="15.75" hidden="false" customHeight="true" outlineLevel="0" collapsed="false">
      <c r="A93" s="46" t="n">
        <v>88</v>
      </c>
      <c r="B93" s="110" t="s">
        <v>1306</v>
      </c>
      <c r="C93" s="46" t="s">
        <v>752</v>
      </c>
      <c r="D93" s="110" t="s">
        <v>2147</v>
      </c>
      <c r="E93" s="46" t="s">
        <v>99</v>
      </c>
      <c r="F93" s="46" t="s">
        <v>2148</v>
      </c>
      <c r="G93" s="142" t="n">
        <v>45750</v>
      </c>
      <c r="H93" s="46" t="s">
        <v>665</v>
      </c>
      <c r="I93" s="138" t="str">
        <f aca="false">IFERROR(VLOOKUP(TEXT(H93,"0"),IPRESS!$A$3:$B$212,2,0),"")</f>
        <v>SANTO TOMAS</v>
      </c>
      <c r="J93" s="46" t="s">
        <v>755</v>
      </c>
      <c r="K93" s="138" t="str">
        <f aca="false">IFERROR(VLOOKUP(TEXT(O93,"0"),CONDUCTORES!$A$3:$G$100,7,0),"")</f>
        <v/>
      </c>
      <c r="L93" s="44" t="n">
        <v>18.18</v>
      </c>
      <c r="M93" s="44" t="n">
        <v>10</v>
      </c>
      <c r="N93" s="139" t="n">
        <f aca="false">IFERROR(IF(L93*M93=0,"",L93*M93),"")</f>
        <v>181.8</v>
      </c>
      <c r="O93" s="140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142" t="n">
        <v>45789</v>
      </c>
      <c r="S93" s="110" t="s">
        <v>2149</v>
      </c>
      <c r="T93" s="46"/>
      <c r="U93" s="85"/>
      <c r="V93" s="46" t="s">
        <v>800</v>
      </c>
      <c r="W93" s="46" t="s">
        <v>801</v>
      </c>
      <c r="X93" s="46" t="s">
        <v>794</v>
      </c>
      <c r="Y93" s="85"/>
    </row>
    <row r="94" customFormat="false" ht="15.75" hidden="false" customHeight="true" outlineLevel="0" collapsed="false">
      <c r="A94" s="106" t="n">
        <v>89</v>
      </c>
      <c r="B94" s="107" t="s">
        <v>1346</v>
      </c>
      <c r="C94" s="106" t="s">
        <v>752</v>
      </c>
      <c r="D94" s="107" t="s">
        <v>2150</v>
      </c>
      <c r="E94" s="136" t="s">
        <v>99</v>
      </c>
      <c r="F94" s="106" t="s">
        <v>2151</v>
      </c>
      <c r="G94" s="137" t="n">
        <v>45748</v>
      </c>
      <c r="H94" s="106" t="s">
        <v>692</v>
      </c>
      <c r="I94" s="138" t="str">
        <f aca="false">IFERROR(VLOOKUP(TEXT(H94,"0"),IPRESS!$A$3:$B$212,2,0),"")</f>
        <v>TINGO</v>
      </c>
      <c r="J94" s="106" t="s">
        <v>755</v>
      </c>
      <c r="K94" s="138" t="str">
        <f aca="false">IFERROR(VLOOKUP(TEXT(O94,"0"),CONDUCTORES!$A$3:$G$100,7,0),"")</f>
        <v/>
      </c>
      <c r="L94" s="50" t="n">
        <v>18.18</v>
      </c>
      <c r="M94" s="50" t="n">
        <v>5</v>
      </c>
      <c r="N94" s="139" t="n">
        <f aca="false">IFERROR(IF(L94*M94=0,"",L94*M94),"")</f>
        <v>90.9</v>
      </c>
      <c r="O94" s="85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37" t="n">
        <v>45791</v>
      </c>
      <c r="S94" s="107" t="s">
        <v>2152</v>
      </c>
      <c r="T94" s="136"/>
      <c r="U94" s="140"/>
      <c r="V94" s="106" t="s">
        <v>1448</v>
      </c>
      <c r="W94" s="106" t="s">
        <v>801</v>
      </c>
      <c r="X94" s="106" t="s">
        <v>794</v>
      </c>
      <c r="Y94" s="85"/>
    </row>
    <row r="95" customFormat="false" ht="15.75" hidden="false" customHeight="true" outlineLevel="0" collapsed="false">
      <c r="A95" s="46" t="n">
        <v>90</v>
      </c>
      <c r="B95" s="110" t="s">
        <v>1350</v>
      </c>
      <c r="C95" s="46" t="s">
        <v>752</v>
      </c>
      <c r="D95" s="110" t="s">
        <v>2153</v>
      </c>
      <c r="E95" s="46" t="s">
        <v>99</v>
      </c>
      <c r="F95" s="46" t="s">
        <v>2154</v>
      </c>
      <c r="G95" s="142" t="n">
        <v>45750</v>
      </c>
      <c r="H95" s="46" t="s">
        <v>692</v>
      </c>
      <c r="I95" s="138" t="str">
        <f aca="false">IFERROR(VLOOKUP(TEXT(H95,"0"),IPRESS!$A$3:$B$212,2,0),"")</f>
        <v>TINGO</v>
      </c>
      <c r="J95" s="46" t="s">
        <v>755</v>
      </c>
      <c r="K95" s="138" t="str">
        <f aca="false">IFERROR(VLOOKUP(TEXT(O95,"0"),CONDUCTORES!$A$3:$G$100,7,0),"")</f>
        <v/>
      </c>
      <c r="L95" s="44" t="n">
        <v>18.18</v>
      </c>
      <c r="M95" s="44" t="n">
        <v>5</v>
      </c>
      <c r="N95" s="139" t="n">
        <f aca="false">IFERROR(IF(L95*M95=0,"",L95*M95),"")</f>
        <v>90.9</v>
      </c>
      <c r="O95" s="140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142" t="n">
        <v>45791</v>
      </c>
      <c r="S95" s="110" t="s">
        <v>815</v>
      </c>
      <c r="T95" s="46"/>
      <c r="U95" s="85"/>
      <c r="V95" s="46" t="s">
        <v>1448</v>
      </c>
      <c r="W95" s="46" t="s">
        <v>801</v>
      </c>
      <c r="X95" s="46" t="s">
        <v>794</v>
      </c>
      <c r="Y95" s="85"/>
    </row>
    <row r="96" customFormat="false" ht="15.75" hidden="false" customHeight="true" outlineLevel="0" collapsed="false">
      <c r="A96" s="106" t="n">
        <v>91</v>
      </c>
      <c r="B96" s="107" t="s">
        <v>1310</v>
      </c>
      <c r="C96" s="106" t="s">
        <v>752</v>
      </c>
      <c r="D96" s="107" t="s">
        <v>2155</v>
      </c>
      <c r="E96" s="136" t="s">
        <v>99</v>
      </c>
      <c r="F96" s="106" t="s">
        <v>2156</v>
      </c>
      <c r="G96" s="137" t="n">
        <v>45754</v>
      </c>
      <c r="H96" s="106" t="s">
        <v>692</v>
      </c>
      <c r="I96" s="138" t="str">
        <f aca="false">IFERROR(VLOOKUP(TEXT(H96,"0"),IPRESS!$A$3:$B$212,2,0),"")</f>
        <v>TINGO</v>
      </c>
      <c r="J96" s="106" t="s">
        <v>755</v>
      </c>
      <c r="K96" s="138" t="str">
        <f aca="false">IFERROR(VLOOKUP(TEXT(O96,"0"),CONDUCTORES!$A$3:$G$100,7,0),"")</f>
        <v/>
      </c>
      <c r="L96" s="50" t="n">
        <v>18.18</v>
      </c>
      <c r="M96" s="50" t="n">
        <v>5</v>
      </c>
      <c r="N96" s="139" t="n">
        <f aca="false">IFERROR(IF(L96*M96=0,"",L96*M96),"")</f>
        <v>90.9</v>
      </c>
      <c r="O96" s="85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37" t="n">
        <v>45791</v>
      </c>
      <c r="S96" s="107" t="s">
        <v>1295</v>
      </c>
      <c r="T96" s="136"/>
      <c r="U96" s="140"/>
      <c r="V96" s="106" t="s">
        <v>1448</v>
      </c>
      <c r="W96" s="106" t="s">
        <v>801</v>
      </c>
      <c r="X96" s="106" t="s">
        <v>794</v>
      </c>
      <c r="Y96" s="85"/>
    </row>
    <row r="97" customFormat="false" ht="15.75" hidden="false" customHeight="true" outlineLevel="0" collapsed="false">
      <c r="A97" s="46" t="n">
        <v>92</v>
      </c>
      <c r="B97" s="110" t="s">
        <v>1357</v>
      </c>
      <c r="C97" s="46" t="s">
        <v>752</v>
      </c>
      <c r="D97" s="110" t="s">
        <v>2157</v>
      </c>
      <c r="E97" s="46" t="s">
        <v>99</v>
      </c>
      <c r="F97" s="46" t="s">
        <v>2158</v>
      </c>
      <c r="G97" s="142" t="n">
        <v>45756</v>
      </c>
      <c r="H97" s="46" t="s">
        <v>692</v>
      </c>
      <c r="I97" s="138" t="str">
        <f aca="false">IFERROR(VLOOKUP(TEXT(H97,"0"),IPRESS!$A$3:$B$212,2,0),"")</f>
        <v>TINGO</v>
      </c>
      <c r="J97" s="46" t="s">
        <v>755</v>
      </c>
      <c r="K97" s="138" t="str">
        <f aca="false">IFERROR(VLOOKUP(TEXT(O97,"0"),CONDUCTORES!$A$3:$G$100,7,0),"")</f>
        <v/>
      </c>
      <c r="L97" s="44" t="n">
        <v>18.18</v>
      </c>
      <c r="M97" s="44" t="n">
        <v>5</v>
      </c>
      <c r="N97" s="139" t="n">
        <f aca="false">IFERROR(IF(L97*M97=0,"",L97*M97),"")</f>
        <v>90.9</v>
      </c>
      <c r="O97" s="140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142" t="n">
        <v>45791</v>
      </c>
      <c r="S97" s="110" t="s">
        <v>2159</v>
      </c>
      <c r="T97" s="46"/>
      <c r="U97" s="85"/>
      <c r="V97" s="46" t="s">
        <v>1448</v>
      </c>
      <c r="W97" s="46" t="s">
        <v>801</v>
      </c>
      <c r="X97" s="46" t="s">
        <v>794</v>
      </c>
      <c r="Y97" s="85"/>
    </row>
    <row r="98" customFormat="false" ht="15.75" hidden="false" customHeight="true" outlineLevel="0" collapsed="false">
      <c r="A98" s="106" t="n">
        <v>93</v>
      </c>
      <c r="B98" s="107" t="s">
        <v>1360</v>
      </c>
      <c r="C98" s="106" t="s">
        <v>752</v>
      </c>
      <c r="D98" s="107" t="s">
        <v>2160</v>
      </c>
      <c r="E98" s="136" t="s">
        <v>99</v>
      </c>
      <c r="F98" s="106" t="s">
        <v>2161</v>
      </c>
      <c r="G98" s="137" t="n">
        <v>45757</v>
      </c>
      <c r="H98" s="106" t="s">
        <v>692</v>
      </c>
      <c r="I98" s="138" t="str">
        <f aca="false">IFERROR(VLOOKUP(TEXT(H98,"0"),IPRESS!$A$3:$B$212,2,0),"")</f>
        <v>TINGO</v>
      </c>
      <c r="J98" s="106" t="s">
        <v>755</v>
      </c>
      <c r="K98" s="138" t="str">
        <f aca="false">IFERROR(VLOOKUP(TEXT(O98,"0"),CONDUCTORES!$A$3:$G$100,7,0),"")</f>
        <v/>
      </c>
      <c r="L98" s="50" t="n">
        <v>18.18</v>
      </c>
      <c r="M98" s="50" t="n">
        <v>5</v>
      </c>
      <c r="N98" s="139" t="n">
        <f aca="false">IFERROR(IF(L98*M98=0,"",L98*M98),"")</f>
        <v>90.9</v>
      </c>
      <c r="O98" s="85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37" t="n">
        <v>45791</v>
      </c>
      <c r="S98" s="107" t="s">
        <v>2162</v>
      </c>
      <c r="T98" s="136"/>
      <c r="U98" s="140"/>
      <c r="V98" s="106" t="s">
        <v>1448</v>
      </c>
      <c r="W98" s="106" t="s">
        <v>801</v>
      </c>
      <c r="X98" s="106" t="s">
        <v>794</v>
      </c>
      <c r="Y98" s="85"/>
    </row>
    <row r="99" customFormat="false" ht="15.75" hidden="false" customHeight="true" outlineLevel="0" collapsed="false">
      <c r="A99" s="46" t="n">
        <v>94</v>
      </c>
      <c r="B99" s="110" t="s">
        <v>1364</v>
      </c>
      <c r="C99" s="46" t="s">
        <v>752</v>
      </c>
      <c r="D99" s="110" t="s">
        <v>2163</v>
      </c>
      <c r="E99" s="46" t="s">
        <v>99</v>
      </c>
      <c r="F99" s="46" t="s">
        <v>2164</v>
      </c>
      <c r="G99" s="142" t="n">
        <v>45772</v>
      </c>
      <c r="H99" s="46" t="s">
        <v>692</v>
      </c>
      <c r="I99" s="138" t="str">
        <f aca="false">IFERROR(VLOOKUP(TEXT(H99,"0"),IPRESS!$A$3:$B$212,2,0),"")</f>
        <v>TINGO</v>
      </c>
      <c r="J99" s="46" t="s">
        <v>755</v>
      </c>
      <c r="K99" s="138" t="str">
        <f aca="false">IFERROR(VLOOKUP(TEXT(O99,"0"),CONDUCTORES!$A$3:$G$100,7,0),"")</f>
        <v/>
      </c>
      <c r="L99" s="44" t="n">
        <v>18.18</v>
      </c>
      <c r="M99" s="44" t="n">
        <v>5</v>
      </c>
      <c r="N99" s="139" t="n">
        <f aca="false">IFERROR(IF(L99*M99=0,"",L99*M99),"")</f>
        <v>90.9</v>
      </c>
      <c r="O99" s="140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142" t="n">
        <v>45827</v>
      </c>
      <c r="S99" s="110" t="s">
        <v>2165</v>
      </c>
      <c r="T99" s="46"/>
      <c r="U99" s="85"/>
      <c r="V99" s="46"/>
      <c r="W99" s="46"/>
      <c r="X99" s="46"/>
      <c r="Y99" s="85"/>
    </row>
    <row r="100" customFormat="false" ht="15.75" hidden="false" customHeight="true" outlineLevel="0" collapsed="false">
      <c r="A100" s="106" t="n">
        <v>95</v>
      </c>
      <c r="B100" s="107" t="s">
        <v>1368</v>
      </c>
      <c r="C100" s="106" t="s">
        <v>752</v>
      </c>
      <c r="D100" s="107" t="s">
        <v>1031</v>
      </c>
      <c r="E100" s="136" t="s">
        <v>99</v>
      </c>
      <c r="F100" s="106" t="s">
        <v>1032</v>
      </c>
      <c r="G100" s="137" t="n">
        <v>45776</v>
      </c>
      <c r="H100" s="106" t="s">
        <v>692</v>
      </c>
      <c r="I100" s="138" t="str">
        <f aca="false">IFERROR(VLOOKUP(TEXT(H100,"0"),IPRESS!$A$3:$B$212,2,0),"")</f>
        <v>TINGO</v>
      </c>
      <c r="J100" s="106" t="s">
        <v>755</v>
      </c>
      <c r="K100" s="138" t="str">
        <f aca="false">IFERROR(VLOOKUP(TEXT(O100,"0"),CONDUCTORES!$A$3:$G$100,7,0),"")</f>
        <v/>
      </c>
      <c r="L100" s="50" t="n">
        <v>18.18</v>
      </c>
      <c r="M100" s="50" t="n">
        <v>5</v>
      </c>
      <c r="N100" s="139" t="n">
        <f aca="false">IFERROR(IF(L100*M100=0,"",L100*M100),"")</f>
        <v>90.9</v>
      </c>
      <c r="O100" s="85"/>
      <c r="P100" s="138" t="str">
        <f aca="false">IFERROR(VLOOKUP(TEXT(O100,"0"),CONDUCTORES!$A$3:$G$100,2,0),"")</f>
        <v/>
      </c>
      <c r="Q100" s="138" t="str">
        <f aca="false">IFERROR(VLOOKUP(TEXT(O100,"0"),CONDUCTORES!$A$3:$H$100,6,0),"")</f>
        <v/>
      </c>
      <c r="R100" s="137" t="n">
        <v>45827</v>
      </c>
      <c r="S100" s="107" t="s">
        <v>2166</v>
      </c>
      <c r="T100" s="136"/>
      <c r="U100" s="140"/>
      <c r="V100" s="106"/>
      <c r="W100" s="106"/>
      <c r="X100" s="106"/>
      <c r="Y100" s="85"/>
    </row>
    <row r="101" customFormat="false" ht="15.75" hidden="false" customHeight="true" outlineLevel="0" collapsed="false">
      <c r="A101" s="46" t="n">
        <v>96</v>
      </c>
      <c r="B101" s="110" t="s">
        <v>1372</v>
      </c>
      <c r="C101" s="46" t="s">
        <v>752</v>
      </c>
      <c r="D101" s="110" t="s">
        <v>2167</v>
      </c>
      <c r="E101" s="46" t="s">
        <v>99</v>
      </c>
      <c r="F101" s="46" t="s">
        <v>2168</v>
      </c>
      <c r="G101" s="142" t="n">
        <v>45776</v>
      </c>
      <c r="H101" s="46" t="s">
        <v>692</v>
      </c>
      <c r="I101" s="138" t="str">
        <f aca="false">IFERROR(VLOOKUP(TEXT(H101,"0"),IPRESS!$A$3:$B$212,2,0),"")</f>
        <v>TINGO</v>
      </c>
      <c r="J101" s="46" t="s">
        <v>755</v>
      </c>
      <c r="K101" s="138" t="str">
        <f aca="false">IFERROR(VLOOKUP(TEXT(O101,"0"),CONDUCTORES!$A$3:$G$100,7,0),"")</f>
        <v/>
      </c>
      <c r="L101" s="44" t="n">
        <v>18.18</v>
      </c>
      <c r="M101" s="44" t="n">
        <v>5</v>
      </c>
      <c r="N101" s="139" t="n">
        <f aca="false">IFERROR(IF(L101*M101=0,"",L101*M101),"")</f>
        <v>90.9</v>
      </c>
      <c r="O101" s="140"/>
      <c r="P101" s="138" t="str">
        <f aca="false">IFERROR(VLOOKUP(TEXT(O101,"0"),CONDUCTORES!$A$3:$G$100,2,0),"")</f>
        <v/>
      </c>
      <c r="Q101" s="138" t="str">
        <f aca="false">IFERROR(VLOOKUP(TEXT(O101,"0"),CONDUCTORES!$A$3:$H$100,6,0),"")</f>
        <v/>
      </c>
      <c r="R101" s="142" t="n">
        <v>45827</v>
      </c>
      <c r="S101" s="110" t="s">
        <v>2169</v>
      </c>
      <c r="T101" s="46"/>
      <c r="U101" s="85"/>
      <c r="V101" s="46"/>
      <c r="W101" s="46"/>
      <c r="X101" s="46"/>
      <c r="Y101" s="85"/>
    </row>
    <row r="102" customFormat="false" ht="15.75" hidden="false" customHeight="true" outlineLevel="0" collapsed="false">
      <c r="A102" s="106" t="n">
        <v>97</v>
      </c>
      <c r="B102" s="107" t="s">
        <v>1376</v>
      </c>
      <c r="C102" s="106" t="s">
        <v>752</v>
      </c>
      <c r="D102" s="107" t="s">
        <v>2170</v>
      </c>
      <c r="E102" s="136" t="s">
        <v>99</v>
      </c>
      <c r="F102" s="106" t="s">
        <v>2171</v>
      </c>
      <c r="G102" s="137" t="n">
        <v>45773</v>
      </c>
      <c r="H102" s="106" t="s">
        <v>692</v>
      </c>
      <c r="I102" s="138" t="str">
        <f aca="false">IFERROR(VLOOKUP(TEXT(H102,"0"),IPRESS!$A$3:$B$212,2,0),"")</f>
        <v>TINGO</v>
      </c>
      <c r="J102" s="106" t="s">
        <v>755</v>
      </c>
      <c r="K102" s="138" t="str">
        <f aca="false">IFERROR(VLOOKUP(TEXT(O102,"0"),CONDUCTORES!$A$3:$G$100,7,0),"")</f>
        <v/>
      </c>
      <c r="L102" s="50" t="n">
        <v>18.18</v>
      </c>
      <c r="M102" s="50" t="n">
        <v>5</v>
      </c>
      <c r="N102" s="139" t="n">
        <f aca="false">IFERROR(IF(L102*M102=0,"",L102*M102),"")</f>
        <v>90.9</v>
      </c>
      <c r="O102" s="85"/>
      <c r="P102" s="138" t="str">
        <f aca="false">IFERROR(VLOOKUP(TEXT(O102,"0"),CONDUCTORES!$A$3:$G$100,2,0),"")</f>
        <v/>
      </c>
      <c r="Q102" s="138" t="str">
        <f aca="false">IFERROR(VLOOKUP(TEXT(O102,"0"),CONDUCTORES!$A$3:$H$100,6,0),"")</f>
        <v/>
      </c>
      <c r="R102" s="137" t="n">
        <v>45827</v>
      </c>
      <c r="S102" s="107" t="s">
        <v>2172</v>
      </c>
      <c r="T102" s="136"/>
      <c r="U102" s="140"/>
      <c r="V102" s="106"/>
      <c r="W102" s="106"/>
      <c r="X102" s="106"/>
      <c r="Y102" s="85"/>
    </row>
    <row r="103" customFormat="false" ht="15.75" hidden="false" customHeight="true" outlineLevel="0" collapsed="false">
      <c r="A103" s="46" t="n">
        <v>98</v>
      </c>
      <c r="B103" s="110" t="s">
        <v>827</v>
      </c>
      <c r="C103" s="46" t="s">
        <v>752</v>
      </c>
      <c r="D103" s="110" t="s">
        <v>2173</v>
      </c>
      <c r="E103" s="46" t="s">
        <v>99</v>
      </c>
      <c r="F103" s="46" t="s">
        <v>2174</v>
      </c>
      <c r="G103" s="142" t="n">
        <v>45767</v>
      </c>
      <c r="H103" s="46" t="s">
        <v>715</v>
      </c>
      <c r="I103" s="138" t="str">
        <f aca="false">IFERROR(VLOOKUP(TEXT(H103,"0"),IPRESS!$A$3:$B$212,2,0),"")</f>
        <v>YAULICACHI</v>
      </c>
      <c r="J103" s="46" t="s">
        <v>755</v>
      </c>
      <c r="K103" s="138" t="str">
        <f aca="false">IFERROR(VLOOKUP(TEXT(O103,"0"),CONDUCTORES!$A$3:$G$100,7,0),"")</f>
        <v/>
      </c>
      <c r="L103" s="44" t="n">
        <v>18.18</v>
      </c>
      <c r="M103" s="44" t="n">
        <v>20</v>
      </c>
      <c r="N103" s="139" t="n">
        <f aca="false">IFERROR(IF(L103*M103=0,"",L103*M103),"")</f>
        <v>363.6</v>
      </c>
      <c r="O103" s="140"/>
      <c r="P103" s="138" t="str">
        <f aca="false">IFERROR(VLOOKUP(TEXT(O103,"0"),CONDUCTORES!$A$3:$G$100,2,0),"")</f>
        <v/>
      </c>
      <c r="Q103" s="138" t="str">
        <f aca="false">IFERROR(VLOOKUP(TEXT(O103,"0"),CONDUCTORES!$A$3:$H$100,6,0),"")</f>
        <v/>
      </c>
      <c r="R103" s="85" t="s">
        <v>937</v>
      </c>
      <c r="S103" s="110" t="s">
        <v>2175</v>
      </c>
      <c r="T103" s="46"/>
      <c r="U103" s="85"/>
      <c r="V103" s="46"/>
      <c r="W103" s="46"/>
      <c r="X103" s="46"/>
      <c r="Y103" s="85"/>
    </row>
    <row r="104" customFormat="false" ht="15.75" hidden="false" customHeight="true" outlineLevel="0" collapsed="false">
      <c r="A104" s="106" t="n">
        <v>99</v>
      </c>
      <c r="B104" s="107" t="s">
        <v>1331</v>
      </c>
      <c r="C104" s="106" t="s">
        <v>752</v>
      </c>
      <c r="D104" s="107" t="s">
        <v>2176</v>
      </c>
      <c r="E104" s="136" t="s">
        <v>99</v>
      </c>
      <c r="F104" s="106" t="s">
        <v>2177</v>
      </c>
      <c r="G104" s="137" t="n">
        <v>45749</v>
      </c>
      <c r="H104" s="106" t="s">
        <v>717</v>
      </c>
      <c r="I104" s="138" t="str">
        <f aca="false">IFERROR(VLOOKUP(TEXT(H104,"0"),IPRESS!$A$3:$B$212,2,0),"")</f>
        <v>YERBABUENA</v>
      </c>
      <c r="J104" s="106" t="s">
        <v>755</v>
      </c>
      <c r="K104" s="138" t="str">
        <f aca="false">IFERROR(VLOOKUP(TEXT(O104,"0"),CONDUCTORES!$A$3:$G$100,7,0),"")</f>
        <v/>
      </c>
      <c r="L104" s="50" t="n">
        <v>18.18</v>
      </c>
      <c r="M104" s="50" t="n">
        <v>6</v>
      </c>
      <c r="N104" s="139" t="n">
        <f aca="false">IFERROR(IF(L104*M104=0,"",L104*M104),"")</f>
        <v>109.08</v>
      </c>
      <c r="O104" s="85"/>
      <c r="P104" s="138" t="str">
        <f aca="false">IFERROR(VLOOKUP(TEXT(O104,"0"),CONDUCTORES!$A$3:$G$100,2,0),"")</f>
        <v/>
      </c>
      <c r="Q104" s="138" t="str">
        <f aca="false">IFERROR(VLOOKUP(TEXT(O104,"0"),CONDUCTORES!$A$3:$H$100,6,0),"")</f>
        <v/>
      </c>
      <c r="R104" s="137" t="n">
        <v>45796</v>
      </c>
      <c r="S104" s="107" t="s">
        <v>2178</v>
      </c>
      <c r="T104" s="136"/>
      <c r="U104" s="140"/>
      <c r="V104" s="106"/>
      <c r="W104" s="106"/>
      <c r="X104" s="106"/>
      <c r="Y104" s="85"/>
    </row>
    <row r="105" customFormat="false" ht="15.75" hidden="false" customHeight="true" outlineLevel="0" collapsed="false">
      <c r="A105" s="46" t="n">
        <v>100</v>
      </c>
      <c r="B105" s="110" t="s">
        <v>1262</v>
      </c>
      <c r="C105" s="46" t="s">
        <v>752</v>
      </c>
      <c r="D105" s="110" t="s">
        <v>2179</v>
      </c>
      <c r="E105" s="46" t="s">
        <v>99</v>
      </c>
      <c r="F105" s="46" t="s">
        <v>2180</v>
      </c>
      <c r="G105" s="142" t="n">
        <v>45753</v>
      </c>
      <c r="H105" s="46" t="s">
        <v>717</v>
      </c>
      <c r="I105" s="138" t="str">
        <f aca="false">IFERROR(VLOOKUP(TEXT(H105,"0"),IPRESS!$A$3:$B$212,2,0),"")</f>
        <v>YERBABUENA</v>
      </c>
      <c r="J105" s="46" t="s">
        <v>755</v>
      </c>
      <c r="K105" s="138" t="str">
        <f aca="false">IFERROR(VLOOKUP(TEXT(O105,"0"),CONDUCTORES!$A$3:$G$100,7,0),"")</f>
        <v/>
      </c>
      <c r="L105" s="44" t="n">
        <v>18.18</v>
      </c>
      <c r="M105" s="44" t="n">
        <v>6</v>
      </c>
      <c r="N105" s="139" t="n">
        <f aca="false">IFERROR(IF(L105*M105=0,"",L105*M105),"")</f>
        <v>109.08</v>
      </c>
      <c r="O105" s="140"/>
      <c r="P105" s="138" t="str">
        <f aca="false">IFERROR(VLOOKUP(TEXT(O105,"0"),CONDUCTORES!$A$3:$G$100,2,0),"")</f>
        <v/>
      </c>
      <c r="Q105" s="138" t="str">
        <f aca="false">IFERROR(VLOOKUP(TEXT(O105,"0"),CONDUCTORES!$A$3:$H$100,6,0),"")</f>
        <v/>
      </c>
      <c r="R105" s="142" t="n">
        <v>45796</v>
      </c>
      <c r="S105" s="110" t="s">
        <v>917</v>
      </c>
      <c r="T105" s="46"/>
      <c r="U105" s="85"/>
      <c r="V105" s="46"/>
      <c r="W105" s="46"/>
      <c r="X105" s="46"/>
      <c r="Y105" s="85"/>
    </row>
    <row r="106" customFormat="false" ht="15.75" hidden="false" customHeight="true" outlineLevel="0" collapsed="false">
      <c r="A106" s="106" t="n">
        <v>101</v>
      </c>
      <c r="B106" s="107" t="s">
        <v>1335</v>
      </c>
      <c r="C106" s="106" t="s">
        <v>752</v>
      </c>
      <c r="D106" s="107" t="s">
        <v>2181</v>
      </c>
      <c r="E106" s="136" t="s">
        <v>99</v>
      </c>
      <c r="F106" s="106" t="s">
        <v>2182</v>
      </c>
      <c r="G106" s="137" t="n">
        <v>45751</v>
      </c>
      <c r="H106" s="106" t="s">
        <v>717</v>
      </c>
      <c r="I106" s="138" t="str">
        <f aca="false">IFERROR(VLOOKUP(TEXT(H106,"0"),IPRESS!$A$3:$B$212,2,0),"")</f>
        <v>YERBABUENA</v>
      </c>
      <c r="J106" s="106" t="s">
        <v>755</v>
      </c>
      <c r="K106" s="138" t="str">
        <f aca="false">IFERROR(VLOOKUP(TEXT(O106,"0"),CONDUCTORES!$A$3:$G$100,7,0),"")</f>
        <v/>
      </c>
      <c r="L106" s="50" t="n">
        <v>18.18</v>
      </c>
      <c r="M106" s="50" t="n">
        <v>6</v>
      </c>
      <c r="N106" s="139" t="n">
        <f aca="false">IFERROR(IF(L106*M106=0,"",L106*M106),"")</f>
        <v>109.08</v>
      </c>
      <c r="O106" s="85"/>
      <c r="P106" s="138" t="str">
        <f aca="false">IFERROR(VLOOKUP(TEXT(O106,"0"),CONDUCTORES!$A$3:$G$100,2,0),"")</f>
        <v/>
      </c>
      <c r="Q106" s="138" t="str">
        <f aca="false">IFERROR(VLOOKUP(TEXT(O106,"0"),CONDUCTORES!$A$3:$H$100,6,0),"")</f>
        <v/>
      </c>
      <c r="R106" s="137" t="n">
        <v>45796</v>
      </c>
      <c r="S106" s="107" t="s">
        <v>891</v>
      </c>
      <c r="T106" s="136"/>
      <c r="U106" s="140"/>
      <c r="V106" s="106"/>
      <c r="W106" s="106"/>
      <c r="X106" s="106"/>
      <c r="Y106" s="85"/>
    </row>
    <row r="107" customFormat="false" ht="15.75" hidden="false" customHeight="true" outlineLevel="0" collapsed="false">
      <c r="A107" s="46" t="n">
        <v>102</v>
      </c>
      <c r="B107" s="110" t="s">
        <v>1202</v>
      </c>
      <c r="C107" s="46" t="s">
        <v>752</v>
      </c>
      <c r="D107" s="110" t="s">
        <v>2183</v>
      </c>
      <c r="E107" s="46" t="s">
        <v>99</v>
      </c>
      <c r="F107" s="46" t="s">
        <v>2184</v>
      </c>
      <c r="G107" s="142" t="n">
        <v>45776</v>
      </c>
      <c r="H107" s="46" t="s">
        <v>717</v>
      </c>
      <c r="I107" s="138" t="str">
        <f aca="false">IFERROR(VLOOKUP(TEXT(H107,"0"),IPRESS!$A$3:$B$212,2,0),"")</f>
        <v>YERBABUENA</v>
      </c>
      <c r="J107" s="46" t="s">
        <v>755</v>
      </c>
      <c r="K107" s="138" t="str">
        <f aca="false">IFERROR(VLOOKUP(TEXT(O107,"0"),CONDUCTORES!$A$3:$G$100,7,0),"")</f>
        <v/>
      </c>
      <c r="L107" s="44" t="n">
        <v>18.18</v>
      </c>
      <c r="M107" s="44" t="n">
        <v>6</v>
      </c>
      <c r="N107" s="139" t="n">
        <f aca="false">IFERROR(IF(L107*M107=0,"",L107*M107),"")</f>
        <v>109.08</v>
      </c>
      <c r="O107" s="140"/>
      <c r="P107" s="138" t="str">
        <f aca="false">IFERROR(VLOOKUP(TEXT(O107,"0"),CONDUCTORES!$A$3:$G$100,2,0),"")</f>
        <v/>
      </c>
      <c r="Q107" s="138" t="str">
        <f aca="false">IFERROR(VLOOKUP(TEXT(O107,"0"),CONDUCTORES!$A$3:$H$100,6,0),"")</f>
        <v/>
      </c>
      <c r="R107" s="142" t="n">
        <v>45796</v>
      </c>
      <c r="S107" s="110" t="s">
        <v>2185</v>
      </c>
      <c r="T107" s="46"/>
      <c r="U107" s="85"/>
      <c r="V107" s="46"/>
      <c r="W107" s="46"/>
      <c r="X107" s="46"/>
      <c r="Y107" s="85"/>
    </row>
    <row r="108" customFormat="false" ht="15" hidden="false" customHeight="true" outlineLevel="0" collapsed="false">
      <c r="A108" s="85"/>
      <c r="B108" s="85"/>
      <c r="C108" s="85"/>
      <c r="D108" s="85"/>
      <c r="E108" s="85"/>
      <c r="F108" s="85"/>
      <c r="G108" s="85"/>
      <c r="H108" s="85"/>
      <c r="I108" s="138" t="str">
        <f aca="false">IFERROR(VLOOKUP(TEXT(H108,"0"),IPRESS!$A$3:$B$212,2,0),"")</f>
        <v/>
      </c>
      <c r="J108" s="85"/>
      <c r="K108" s="138" t="str">
        <f aca="false">IFERROR(VLOOKUP(TEXT(O108,"0"),CONDUCTORES!$A$3:$G$54,7,0),"")</f>
        <v/>
      </c>
      <c r="L108" s="85"/>
      <c r="M108" s="85"/>
      <c r="N108" s="139" t="str">
        <f aca="false">IFERROR(IF(L108*M108=0,"",L108*M108),"")</f>
        <v/>
      </c>
      <c r="O108" s="85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85"/>
      <c r="S108" s="85"/>
      <c r="T108" s="85"/>
      <c r="U108" s="85"/>
      <c r="V108" s="85"/>
      <c r="W108" s="85"/>
      <c r="X108" s="85"/>
      <c r="Y108" s="85"/>
    </row>
    <row r="109" customFormat="false" ht="24" hidden="false" customHeight="true" outlineLevel="0" collapsed="false">
      <c r="A109" s="148" t="s">
        <v>1177</v>
      </c>
      <c r="B109" s="148"/>
      <c r="C109" s="148"/>
      <c r="D109" s="148"/>
      <c r="E109" s="148"/>
      <c r="F109" s="148"/>
      <c r="G109" s="148"/>
      <c r="H109" s="148"/>
      <c r="I109" s="148"/>
      <c r="J109" s="148"/>
      <c r="K109" s="149"/>
      <c r="L109" s="85"/>
      <c r="M109" s="150" t="n">
        <f aca="false">SUBTOTAL(9,M4:M107)</f>
        <v>954</v>
      </c>
      <c r="N109" s="150" t="n">
        <f aca="false">SUBTOTAL(9,N4:N107)</f>
        <v>17880.08</v>
      </c>
      <c r="O109" s="85"/>
      <c r="P109" s="138" t="str">
        <f aca="false">IFERROR(VLOOKUP(TEXT(O109,"0"),CONDUCTORES!$A$3:$G$100,2,0),"")</f>
        <v/>
      </c>
      <c r="Q109" s="138" t="str">
        <f aca="false">IFERROR(VLOOKUP(TEXT(O109,"0"),CONDUCTORES!$A$3:$H$100,6,0),"")</f>
        <v/>
      </c>
      <c r="R109" s="85"/>
      <c r="S109" s="85"/>
      <c r="T109" s="85"/>
      <c r="U109" s="85"/>
      <c r="V109" s="85"/>
      <c r="W109" s="85"/>
      <c r="X109" s="85"/>
      <c r="Y109" s="85"/>
    </row>
    <row r="110" customFormat="false" ht="15" hidden="false" customHeight="true" outlineLevel="0" collapsed="false">
      <c r="A110" s="85"/>
      <c r="B110" s="85"/>
      <c r="C110" s="85"/>
      <c r="D110" s="85"/>
      <c r="E110" s="85"/>
      <c r="F110" s="85"/>
      <c r="G110" s="85"/>
      <c r="H110" s="85"/>
      <c r="I110" s="149"/>
      <c r="J110" s="85"/>
      <c r="K110" s="149"/>
      <c r="L110" s="85"/>
      <c r="M110" s="85"/>
      <c r="N110" s="151"/>
      <c r="O110" s="85"/>
      <c r="P110" s="149"/>
      <c r="Q110" s="149"/>
      <c r="R110" s="85"/>
      <c r="S110" s="85"/>
      <c r="T110" s="85"/>
      <c r="U110" s="85"/>
      <c r="V110" s="85"/>
      <c r="W110" s="85"/>
      <c r="X110" s="85"/>
      <c r="Y110" s="85"/>
    </row>
    <row r="111" customFormat="false" ht="15" hidden="false" customHeight="true" outlineLevel="0" collapsed="false">
      <c r="A111" s="140"/>
      <c r="B111" s="140"/>
      <c r="C111" s="140"/>
      <c r="D111" s="140"/>
      <c r="E111" s="140"/>
      <c r="F111" s="140"/>
      <c r="G111" s="140"/>
      <c r="H111" s="140"/>
      <c r="I111" s="149"/>
      <c r="J111" s="140"/>
      <c r="K111" s="149"/>
      <c r="L111" s="140"/>
      <c r="M111" s="140"/>
      <c r="N111" s="151"/>
      <c r="O111" s="140"/>
      <c r="P111" s="149"/>
      <c r="Q111" s="149"/>
      <c r="R111" s="140"/>
      <c r="S111" s="140"/>
      <c r="T111" s="140"/>
      <c r="U111" s="140"/>
      <c r="V111" s="140"/>
      <c r="W111" s="140"/>
      <c r="X111" s="140"/>
      <c r="Y111" s="140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49"/>
      <c r="J112" s="85"/>
      <c r="K112" s="149"/>
      <c r="L112" s="85"/>
      <c r="M112" s="85"/>
      <c r="N112" s="151"/>
      <c r="O112" s="85"/>
      <c r="P112" s="149"/>
      <c r="Q112" s="149"/>
      <c r="R112" s="85"/>
      <c r="S112" s="85"/>
      <c r="T112" s="85"/>
      <c r="U112" s="85"/>
      <c r="V112" s="85"/>
      <c r="W112" s="85"/>
      <c r="X112" s="85"/>
      <c r="Y112" s="85"/>
    </row>
    <row r="113" customFormat="false" ht="15" hidden="false" customHeight="true" outlineLevel="0" collapsed="false">
      <c r="A113" s="140"/>
      <c r="B113" s="140"/>
      <c r="C113" s="140"/>
      <c r="D113" s="140"/>
      <c r="E113" s="140"/>
      <c r="F113" s="140"/>
      <c r="G113" s="140"/>
      <c r="H113" s="140"/>
      <c r="I113" s="149"/>
      <c r="J113" s="140"/>
      <c r="K113" s="149"/>
      <c r="L113" s="140"/>
      <c r="M113" s="140"/>
      <c r="N113" s="151"/>
      <c r="O113" s="140"/>
      <c r="P113" s="149"/>
      <c r="Q113" s="149"/>
      <c r="R113" s="140"/>
      <c r="S113" s="140"/>
      <c r="T113" s="140"/>
      <c r="U113" s="140"/>
      <c r="V113" s="140"/>
      <c r="W113" s="140"/>
      <c r="X113" s="140"/>
      <c r="Y113" s="140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38" t="str">
        <f aca="false">IFERROR(VLOOKUP(TEXT(H114,"0"),IPRESS!$A$3:$B$212,2,0),"")</f>
        <v/>
      </c>
      <c r="J114" s="85"/>
      <c r="K114" s="138" t="str">
        <f aca="false">IFERROR(VLOOKUP(TEXT(O114,"0"),CONDUCTORES!$A$3:$G$54,7,0),"")</f>
        <v/>
      </c>
      <c r="L114" s="85"/>
      <c r="M114" s="85"/>
      <c r="N114" s="139" t="str">
        <f aca="false">IFERROR(IF(L114*M114=0,"",L114*M114),"")</f>
        <v/>
      </c>
      <c r="O114" s="85"/>
      <c r="P114" s="138" t="str">
        <f aca="false">IFERROR(VLOOKUP(TEXT(O114,"0"),CONDUCTORES!$A$3:$G$54,2,0),"")</f>
        <v/>
      </c>
      <c r="Q114" s="138" t="str">
        <f aca="false">IFERROR(VLOOKUP(TEXT(O114,"0"),CONDUCTORES!$A$3:$H$54,6,0),"")</f>
        <v/>
      </c>
      <c r="R114" s="85"/>
      <c r="S114" s="85"/>
      <c r="T114" s="85"/>
      <c r="U114" s="85"/>
      <c r="V114" s="85"/>
      <c r="W114" s="85"/>
      <c r="X114" s="85"/>
      <c r="Y114" s="85"/>
    </row>
    <row r="115" customFormat="false" ht="15" hidden="false" customHeight="true" outlineLevel="0" collapsed="false">
      <c r="A115" s="140"/>
      <c r="B115" s="140"/>
      <c r="C115" s="140"/>
      <c r="D115" s="140"/>
      <c r="E115" s="140"/>
      <c r="F115" s="140"/>
      <c r="G115" s="140"/>
      <c r="H115" s="140"/>
      <c r="I115" s="138" t="str">
        <f aca="false">IFERROR(VLOOKUP(TEXT(H115,"0"),IPRESS!$A$3:$B$212,2,0),"")</f>
        <v/>
      </c>
      <c r="J115" s="140"/>
      <c r="K115" s="138" t="str">
        <f aca="false">IFERROR(VLOOKUP(TEXT(O115,"0"),CONDUCTORES!$A$3:$G$54,7,0),"")</f>
        <v/>
      </c>
      <c r="L115" s="140"/>
      <c r="M115" s="140"/>
      <c r="N115" s="139" t="str">
        <f aca="false">IFERROR(IF(L115*M115=0,"",L115*M115),"")</f>
        <v/>
      </c>
      <c r="O115" s="140"/>
      <c r="P115" s="138" t="str">
        <f aca="false">IFERROR(VLOOKUP(TEXT(O115,"0"),CONDUCTORES!$A$3:$G$54,2,0),"")</f>
        <v/>
      </c>
      <c r="Q115" s="138" t="str">
        <f aca="false">IFERROR(VLOOKUP(TEXT(O115,"0"),CONDUCTORES!$A$3:$H$54,6,0),"")</f>
        <v/>
      </c>
      <c r="R115" s="140"/>
      <c r="S115" s="140"/>
      <c r="T115" s="140"/>
      <c r="U115" s="140"/>
      <c r="V115" s="140"/>
      <c r="W115" s="140"/>
      <c r="X115" s="140"/>
      <c r="Y115" s="140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38" t="str">
        <f aca="false">IFERROR(VLOOKUP(TEXT(H116,"0"),IPRESS!$A$3:$B$212,2,0),"")</f>
        <v/>
      </c>
      <c r="J116" s="85"/>
      <c r="K116" s="138" t="str">
        <f aca="false">IFERROR(VLOOKUP(TEXT(O116,"0"),CONDUCTORES!$A$3:$G$54,7,0),"")</f>
        <v/>
      </c>
      <c r="L116" s="85"/>
      <c r="M116" s="85"/>
      <c r="N116" s="139" t="str">
        <f aca="false">IFERROR(IF(L116*M116=0,"",L116*M116),"")</f>
        <v/>
      </c>
      <c r="O116" s="85"/>
      <c r="P116" s="138" t="str">
        <f aca="false">IFERROR(VLOOKUP(TEXT(O116,"0"),CONDUCTORES!$A$3:$G$54,2,0),"")</f>
        <v/>
      </c>
      <c r="Q116" s="138" t="str">
        <f aca="false">IFERROR(VLOOKUP(TEXT(O116,"0"),CONDUCTORES!$A$3:$H$54,6,0),"")</f>
        <v/>
      </c>
      <c r="R116" s="85"/>
      <c r="S116" s="85"/>
      <c r="T116" s="85"/>
      <c r="U116" s="85"/>
      <c r="V116" s="85"/>
      <c r="W116" s="85"/>
      <c r="X116" s="85"/>
      <c r="Y116" s="85"/>
    </row>
    <row r="117" customFormat="false" ht="15" hidden="false" customHeight="true" outlineLevel="0" collapsed="false">
      <c r="A117" s="140"/>
      <c r="B117" s="140"/>
      <c r="C117" s="140"/>
      <c r="D117" s="140"/>
      <c r="E117" s="140"/>
      <c r="F117" s="140"/>
      <c r="G117" s="140"/>
      <c r="H117" s="140"/>
      <c r="I117" s="138" t="str">
        <f aca="false">IFERROR(VLOOKUP(TEXT(H117,"0"),IPRESS!$A$3:$B$212,2,0),"")</f>
        <v/>
      </c>
      <c r="J117" s="140"/>
      <c r="K117" s="138" t="str">
        <f aca="false">IFERROR(VLOOKUP(TEXT(O117,"0"),CONDUCTORES!$A$3:$G$54,7,0),"")</f>
        <v/>
      </c>
      <c r="L117" s="140"/>
      <c r="M117" s="140"/>
      <c r="N117" s="139" t="str">
        <f aca="false">IFERROR(IF(L117*M117=0,"",L117*M117),"")</f>
        <v/>
      </c>
      <c r="O117" s="140"/>
      <c r="P117" s="138" t="str">
        <f aca="false">IFERROR(VLOOKUP(TEXT(O117,"0"),CONDUCTORES!$A$3:$G$54,2,0),"")</f>
        <v/>
      </c>
      <c r="Q117" s="138" t="str">
        <f aca="false">IFERROR(VLOOKUP(TEXT(O117,"0"),CONDUCTORES!$A$3:$H$54,6,0),"")</f>
        <v/>
      </c>
      <c r="R117" s="140"/>
      <c r="S117" s="140"/>
      <c r="T117" s="140"/>
      <c r="U117" s="140"/>
      <c r="V117" s="140"/>
      <c r="W117" s="140"/>
      <c r="X117" s="140"/>
      <c r="Y117" s="140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38" t="str">
        <f aca="false">IFERROR(VLOOKUP(TEXT(O118,"0"),CONDUCTORES!$A$3:$G$54,7,0),"")</f>
        <v/>
      </c>
      <c r="L118" s="85"/>
      <c r="M118" s="85"/>
      <c r="N118" s="139" t="str">
        <f aca="false">IFERROR(IF(L118*M118=0,"",L118*M118),"")</f>
        <v/>
      </c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</row>
    <row r="119" customFormat="false" ht="15" hidden="false" customHeight="tru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38" t="str">
        <f aca="false">IFERROR(VLOOKUP(TEXT(H119,"0"),IPRESS!$A$3:$B$212,2,0),"")</f>
        <v/>
      </c>
      <c r="J119" s="140"/>
      <c r="K119" s="138" t="str">
        <f aca="false">IFERROR(VLOOKUP(TEXT(O119,"0"),CONDUCTORES!$A$3:$G$54,7,0),"")</f>
        <v/>
      </c>
      <c r="L119" s="140"/>
      <c r="M119" s="140"/>
      <c r="N119" s="139" t="str">
        <f aca="false">IFERROR(IF(L119*M119=0,"",L119*M119),"")</f>
        <v/>
      </c>
      <c r="O119" s="140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140"/>
      <c r="S119" s="140"/>
      <c r="T119" s="140"/>
      <c r="U119" s="140"/>
      <c r="V119" s="140"/>
      <c r="W119" s="140"/>
      <c r="X119" s="140"/>
      <c r="Y119" s="140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1908</v>
      </c>
      <c r="N506" s="153" t="n">
        <f aca="false">SUM(N6:N505)</f>
        <v>35760.16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09:J109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08 E110:E505" type="list">
      <formula1>"DNI,CE,PASAPORTE"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2186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IFERROR(SUMPRODUCT((K4:K120="PETROLEO")*ISNUMBER(M4:M120)*M4:M120),0)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IFERROR(SUMPRODUCT((K4:K120="GASOLINA")*ISNUMBER(M4:M120)*M4:M120),0)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IFERROR(SUMPRODUCT(ISNUMBER(M4:M120)*L4:L120*M4:M120),0)</f>
        <v>0</v>
      </c>
      <c r="Q2" s="125"/>
      <c r="R2" s="125"/>
      <c r="S2" s="123" t="s">
        <v>727</v>
      </c>
      <c r="T2" s="123"/>
      <c r="U2" s="126" t="n">
        <f aca="false">SUBTOTAL(2,A4:A120)</f>
        <v>113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43" t="n">
        <v>1</v>
      </c>
      <c r="B6" s="144" t="s">
        <v>818</v>
      </c>
      <c r="C6" s="143" t="s">
        <v>752</v>
      </c>
      <c r="D6" s="144" t="s">
        <v>2187</v>
      </c>
      <c r="E6" s="143" t="s">
        <v>99</v>
      </c>
      <c r="F6" s="143" t="s">
        <v>2188</v>
      </c>
      <c r="G6" s="145" t="n">
        <v>45784</v>
      </c>
      <c r="H6" s="143" t="s">
        <v>350</v>
      </c>
      <c r="I6" s="138" t="str">
        <f aca="false">IFERROR(VLOOKUP(TEXT(H6,"0"),IPRESS!$A$3:$B$212,2,0),"")</f>
        <v>BUENOS AIRES</v>
      </c>
      <c r="J6" s="143" t="s">
        <v>595</v>
      </c>
      <c r="K6" s="138" t="str">
        <f aca="false">IFERROR(VLOOKUP(TEXT(O6,"0"),CONDUCTORES!$A$3:$G$100,7,0),"")</f>
        <v/>
      </c>
      <c r="L6" s="146" t="n">
        <v>17.95</v>
      </c>
      <c r="M6" s="146" t="n">
        <v>5</v>
      </c>
      <c r="N6" s="139" t="n">
        <f aca="false">IFERROR(IF(L6*M6=0,"",L6*M6),"")</f>
        <v>89.75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45" t="n">
        <v>45817</v>
      </c>
      <c r="S6" s="144" t="s">
        <v>2189</v>
      </c>
      <c r="T6" s="143"/>
      <c r="U6" s="147"/>
      <c r="V6" s="143" t="s">
        <v>2190</v>
      </c>
      <c r="W6" s="143" t="s">
        <v>2191</v>
      </c>
      <c r="X6" s="143" t="s">
        <v>1011</v>
      </c>
      <c r="Y6" s="85"/>
    </row>
    <row r="7" customFormat="false" ht="15.75" hidden="false" customHeight="true" outlineLevel="0" collapsed="false">
      <c r="A7" s="143" t="n">
        <v>2</v>
      </c>
      <c r="B7" s="144" t="s">
        <v>926</v>
      </c>
      <c r="C7" s="143" t="s">
        <v>752</v>
      </c>
      <c r="D7" s="144" t="s">
        <v>2192</v>
      </c>
      <c r="E7" s="143" t="s">
        <v>99</v>
      </c>
      <c r="F7" s="143" t="s">
        <v>2193</v>
      </c>
      <c r="G7" s="145" t="n">
        <v>45790</v>
      </c>
      <c r="H7" s="143" t="s">
        <v>350</v>
      </c>
      <c r="I7" s="138" t="str">
        <f aca="false">IFERROR(VLOOKUP(TEXT(H7,"0"),IPRESS!$A$3:$B$212,2,0),"")</f>
        <v>BUENOS AIRES</v>
      </c>
      <c r="J7" s="143" t="s">
        <v>595</v>
      </c>
      <c r="K7" s="138" t="str">
        <f aca="false">IFERROR(VLOOKUP(TEXT(O7,"0"),CONDUCTORES!$A$3:$G$100,7,0),"")</f>
        <v/>
      </c>
      <c r="L7" s="146" t="n">
        <v>17.95</v>
      </c>
      <c r="M7" s="146" t="n">
        <v>5</v>
      </c>
      <c r="N7" s="139" t="n">
        <f aca="false">IFERROR(IF(L7*M7=0,"",L7*M7),"")</f>
        <v>89.75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145" t="n">
        <v>45817</v>
      </c>
      <c r="S7" s="144" t="s">
        <v>2194</v>
      </c>
      <c r="T7" s="143"/>
      <c r="U7" s="147"/>
      <c r="V7" s="143" t="s">
        <v>2190</v>
      </c>
      <c r="W7" s="143" t="s">
        <v>2191</v>
      </c>
      <c r="X7" s="143" t="s">
        <v>1011</v>
      </c>
      <c r="Y7" s="85"/>
    </row>
    <row r="8" customFormat="false" ht="15.75" hidden="false" customHeight="true" outlineLevel="0" collapsed="false">
      <c r="A8" s="143" t="n">
        <v>3</v>
      </c>
      <c r="B8" s="144" t="s">
        <v>827</v>
      </c>
      <c r="C8" s="143" t="s">
        <v>752</v>
      </c>
      <c r="D8" s="144" t="s">
        <v>2195</v>
      </c>
      <c r="E8" s="143" t="s">
        <v>99</v>
      </c>
      <c r="F8" s="143" t="s">
        <v>2196</v>
      </c>
      <c r="G8" s="145" t="n">
        <v>45791</v>
      </c>
      <c r="H8" s="143" t="s">
        <v>350</v>
      </c>
      <c r="I8" s="138" t="str">
        <f aca="false">IFERROR(VLOOKUP(TEXT(H8,"0"),IPRESS!$A$3:$B$212,2,0),"")</f>
        <v>BUENOS AIRES</v>
      </c>
      <c r="J8" s="143" t="s">
        <v>595</v>
      </c>
      <c r="K8" s="138" t="str">
        <f aca="false">IFERROR(VLOOKUP(TEXT(O8,"0"),CONDUCTORES!$A$3:$G$100,7,0),"")</f>
        <v/>
      </c>
      <c r="L8" s="146" t="n">
        <v>17.95</v>
      </c>
      <c r="M8" s="146" t="n">
        <v>5</v>
      </c>
      <c r="N8" s="139" t="n">
        <f aca="false">IFERROR(IF(L8*M8=0,"",L8*M8),"")</f>
        <v>89.75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45" t="n">
        <v>45817</v>
      </c>
      <c r="S8" s="144" t="s">
        <v>2197</v>
      </c>
      <c r="T8" s="143"/>
      <c r="U8" s="147"/>
      <c r="V8" s="143" t="s">
        <v>2190</v>
      </c>
      <c r="W8" s="143" t="s">
        <v>2191</v>
      </c>
      <c r="X8" s="143" t="s">
        <v>1011</v>
      </c>
      <c r="Y8" s="85"/>
    </row>
    <row r="9" customFormat="false" ht="15.75" hidden="false" customHeight="true" outlineLevel="0" collapsed="false">
      <c r="A9" s="143" t="n">
        <v>4</v>
      </c>
      <c r="B9" s="144" t="s">
        <v>832</v>
      </c>
      <c r="C9" s="143" t="s">
        <v>752</v>
      </c>
      <c r="D9" s="144" t="s">
        <v>2198</v>
      </c>
      <c r="E9" s="143" t="s">
        <v>99</v>
      </c>
      <c r="F9" s="143" t="s">
        <v>2199</v>
      </c>
      <c r="G9" s="145" t="n">
        <v>45794</v>
      </c>
      <c r="H9" s="143" t="s">
        <v>350</v>
      </c>
      <c r="I9" s="138" t="str">
        <f aca="false">IFERROR(VLOOKUP(TEXT(H9,"0"),IPRESS!$A$3:$B$212,2,0),"")</f>
        <v>BUENOS AIRES</v>
      </c>
      <c r="J9" s="143" t="s">
        <v>595</v>
      </c>
      <c r="K9" s="138" t="str">
        <f aca="false">IFERROR(VLOOKUP(TEXT(O9,"0"),CONDUCTORES!$A$3:$G$100,7,0),"")</f>
        <v/>
      </c>
      <c r="L9" s="146" t="n">
        <v>17.95</v>
      </c>
      <c r="M9" s="146" t="n">
        <v>5</v>
      </c>
      <c r="N9" s="139" t="n">
        <f aca="false">IFERROR(IF(L9*M9=0,"",L9*M9),"")</f>
        <v>89.75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145" t="n">
        <v>45817</v>
      </c>
      <c r="S9" s="144" t="s">
        <v>2200</v>
      </c>
      <c r="T9" s="143"/>
      <c r="U9" s="147"/>
      <c r="V9" s="143" t="s">
        <v>2190</v>
      </c>
      <c r="W9" s="143" t="s">
        <v>2191</v>
      </c>
      <c r="X9" s="143" t="s">
        <v>1011</v>
      </c>
      <c r="Y9" s="85"/>
    </row>
    <row r="10" customFormat="false" ht="15.75" hidden="false" customHeight="true" outlineLevel="0" collapsed="false">
      <c r="A10" s="143" t="n">
        <v>5</v>
      </c>
      <c r="B10" s="144" t="s">
        <v>840</v>
      </c>
      <c r="C10" s="143" t="s">
        <v>752</v>
      </c>
      <c r="D10" s="144" t="s">
        <v>2201</v>
      </c>
      <c r="E10" s="143" t="s">
        <v>99</v>
      </c>
      <c r="F10" s="143" t="s">
        <v>2202</v>
      </c>
      <c r="G10" s="145" t="n">
        <v>45798</v>
      </c>
      <c r="H10" s="143" t="s">
        <v>350</v>
      </c>
      <c r="I10" s="138" t="str">
        <f aca="false">IFERROR(VLOOKUP(TEXT(H10,"0"),IPRESS!$A$3:$B$212,2,0),"")</f>
        <v>BUENOS AIRES</v>
      </c>
      <c r="J10" s="143" t="s">
        <v>595</v>
      </c>
      <c r="K10" s="138" t="str">
        <f aca="false">IFERROR(VLOOKUP(TEXT(O10,"0"),CONDUCTORES!$A$3:$G$100,7,0),"")</f>
        <v/>
      </c>
      <c r="L10" s="146" t="n">
        <v>17.95</v>
      </c>
      <c r="M10" s="146" t="n">
        <v>5</v>
      </c>
      <c r="N10" s="139" t="n">
        <f aca="false">IFERROR(IF(L10*M10=0,"",L10*M10),"")</f>
        <v>89.75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45" t="n">
        <v>45817</v>
      </c>
      <c r="S10" s="144" t="s">
        <v>2203</v>
      </c>
      <c r="T10" s="143"/>
      <c r="U10" s="147"/>
      <c r="V10" s="143" t="s">
        <v>2190</v>
      </c>
      <c r="W10" s="143" t="s">
        <v>2191</v>
      </c>
      <c r="X10" s="143" t="s">
        <v>1011</v>
      </c>
      <c r="Y10" s="85"/>
    </row>
    <row r="11" customFormat="false" ht="15.75" hidden="false" customHeight="true" outlineLevel="0" collapsed="false">
      <c r="A11" s="143" t="n">
        <v>6</v>
      </c>
      <c r="B11" s="144" t="s">
        <v>844</v>
      </c>
      <c r="C11" s="143" t="s">
        <v>752</v>
      </c>
      <c r="D11" s="144" t="s">
        <v>2204</v>
      </c>
      <c r="E11" s="143" t="s">
        <v>99</v>
      </c>
      <c r="F11" s="143" t="s">
        <v>2205</v>
      </c>
      <c r="G11" s="145" t="n">
        <v>45799</v>
      </c>
      <c r="H11" s="143" t="s">
        <v>350</v>
      </c>
      <c r="I11" s="138" t="str">
        <f aca="false">IFERROR(VLOOKUP(TEXT(H11,"0"),IPRESS!$A$3:$B$212,2,0),"")</f>
        <v>BUENOS AIRES</v>
      </c>
      <c r="J11" s="143" t="s">
        <v>595</v>
      </c>
      <c r="K11" s="138" t="str">
        <f aca="false">IFERROR(VLOOKUP(TEXT(O11,"0"),CONDUCTORES!$A$3:$G$100,7,0),"")</f>
        <v/>
      </c>
      <c r="L11" s="146" t="n">
        <v>17.95</v>
      </c>
      <c r="M11" s="146" t="n">
        <v>5</v>
      </c>
      <c r="N11" s="139" t="n">
        <f aca="false">IFERROR(IF(L11*M11=0,"",L11*M11),"")</f>
        <v>89.75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145" t="n">
        <v>45817</v>
      </c>
      <c r="S11" s="144" t="s">
        <v>2203</v>
      </c>
      <c r="T11" s="143"/>
      <c r="U11" s="147"/>
      <c r="V11" s="143" t="s">
        <v>2190</v>
      </c>
      <c r="W11" s="143" t="s">
        <v>2191</v>
      </c>
      <c r="X11" s="143" t="s">
        <v>1011</v>
      </c>
      <c r="Y11" s="85"/>
    </row>
    <row r="12" customFormat="false" ht="15.75" hidden="false" customHeight="true" outlineLevel="0" collapsed="false">
      <c r="A12" s="143" t="n">
        <v>7</v>
      </c>
      <c r="B12" s="144" t="s">
        <v>836</v>
      </c>
      <c r="C12" s="143" t="s">
        <v>752</v>
      </c>
      <c r="D12" s="144" t="s">
        <v>2206</v>
      </c>
      <c r="E12" s="143" t="s">
        <v>99</v>
      </c>
      <c r="F12" s="143" t="s">
        <v>2207</v>
      </c>
      <c r="G12" s="145" t="n">
        <v>45802</v>
      </c>
      <c r="H12" s="143" t="s">
        <v>350</v>
      </c>
      <c r="I12" s="138" t="str">
        <f aca="false">IFERROR(VLOOKUP(TEXT(H12,"0"),IPRESS!$A$3:$B$212,2,0),"")</f>
        <v>BUENOS AIRES</v>
      </c>
      <c r="J12" s="143" t="s">
        <v>595</v>
      </c>
      <c r="K12" s="138" t="str">
        <f aca="false">IFERROR(VLOOKUP(TEXT(O12,"0"),CONDUCTORES!$A$3:$G$100,7,0),"")</f>
        <v/>
      </c>
      <c r="L12" s="146" t="n">
        <v>17.95</v>
      </c>
      <c r="M12" s="146" t="n">
        <v>5</v>
      </c>
      <c r="N12" s="139" t="n">
        <f aca="false">IFERROR(IF(L12*M12=0,"",L12*M12),"")</f>
        <v>89.75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45" t="n">
        <v>45817</v>
      </c>
      <c r="S12" s="144" t="s">
        <v>2203</v>
      </c>
      <c r="T12" s="143"/>
      <c r="U12" s="147"/>
      <c r="V12" s="143" t="s">
        <v>2190</v>
      </c>
      <c r="W12" s="143" t="s">
        <v>2191</v>
      </c>
      <c r="X12" s="143" t="s">
        <v>1011</v>
      </c>
      <c r="Y12" s="85"/>
    </row>
    <row r="13" customFormat="false" ht="15.75" hidden="false" customHeight="true" outlineLevel="0" collapsed="false">
      <c r="A13" s="143" t="n">
        <v>8</v>
      </c>
      <c r="B13" s="144" t="s">
        <v>873</v>
      </c>
      <c r="C13" s="143" t="s">
        <v>752</v>
      </c>
      <c r="D13" s="144" t="s">
        <v>2208</v>
      </c>
      <c r="E13" s="143" t="s">
        <v>99</v>
      </c>
      <c r="F13" s="143" t="s">
        <v>2209</v>
      </c>
      <c r="G13" s="145" t="n">
        <v>45802</v>
      </c>
      <c r="H13" s="143" t="s">
        <v>350</v>
      </c>
      <c r="I13" s="138" t="str">
        <f aca="false">IFERROR(VLOOKUP(TEXT(H13,"0"),IPRESS!$A$3:$B$212,2,0),"")</f>
        <v>BUENOS AIRES</v>
      </c>
      <c r="J13" s="143" t="s">
        <v>595</v>
      </c>
      <c r="K13" s="138" t="str">
        <f aca="false">IFERROR(VLOOKUP(TEXT(O13,"0"),CONDUCTORES!$A$3:$G$100,7,0),"")</f>
        <v/>
      </c>
      <c r="L13" s="146" t="n">
        <v>17.95</v>
      </c>
      <c r="M13" s="146" t="n">
        <v>5</v>
      </c>
      <c r="N13" s="139" t="n">
        <f aca="false">IFERROR(IF(L13*M13=0,"",L13*M13),"")</f>
        <v>89.75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145" t="n">
        <v>45817</v>
      </c>
      <c r="S13" s="144" t="s">
        <v>2210</v>
      </c>
      <c r="T13" s="143"/>
      <c r="U13" s="147"/>
      <c r="V13" s="143" t="s">
        <v>2190</v>
      </c>
      <c r="W13" s="143" t="s">
        <v>2191</v>
      </c>
      <c r="X13" s="143" t="s">
        <v>1011</v>
      </c>
      <c r="Y13" s="85"/>
    </row>
    <row r="14" customFormat="false" ht="15.75" hidden="false" customHeight="true" outlineLevel="0" collapsed="false">
      <c r="A14" s="143" t="n">
        <v>9</v>
      </c>
      <c r="B14" s="144" t="s">
        <v>866</v>
      </c>
      <c r="C14" s="143" t="s">
        <v>752</v>
      </c>
      <c r="D14" s="144" t="s">
        <v>2211</v>
      </c>
      <c r="E14" s="143" t="s">
        <v>99</v>
      </c>
      <c r="F14" s="143" t="s">
        <v>2212</v>
      </c>
      <c r="G14" s="145" t="n">
        <v>45804</v>
      </c>
      <c r="H14" s="143" t="s">
        <v>350</v>
      </c>
      <c r="I14" s="138" t="str">
        <f aca="false">IFERROR(VLOOKUP(TEXT(H14,"0"),IPRESS!$A$3:$B$212,2,0),"")</f>
        <v>BUENOS AIRES</v>
      </c>
      <c r="J14" s="143" t="s">
        <v>595</v>
      </c>
      <c r="K14" s="138" t="str">
        <f aca="false">IFERROR(VLOOKUP(TEXT(O14,"0"),CONDUCTORES!$A$3:$G$100,7,0),"")</f>
        <v/>
      </c>
      <c r="L14" s="146" t="n">
        <v>17.95</v>
      </c>
      <c r="M14" s="146" t="n">
        <v>5</v>
      </c>
      <c r="N14" s="139" t="n">
        <f aca="false">IFERROR(IF(L14*M14=0,"",L14*M14),"")</f>
        <v>89.75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45" t="n">
        <v>45817</v>
      </c>
      <c r="S14" s="144" t="s">
        <v>2213</v>
      </c>
      <c r="T14" s="143"/>
      <c r="U14" s="147"/>
      <c r="V14" s="143" t="s">
        <v>2190</v>
      </c>
      <c r="W14" s="143" t="s">
        <v>2191</v>
      </c>
      <c r="X14" s="143" t="s">
        <v>1011</v>
      </c>
      <c r="Y14" s="85"/>
    </row>
    <row r="15" customFormat="false" ht="15.75" hidden="false" customHeight="true" outlineLevel="0" collapsed="false">
      <c r="A15" s="143" t="n">
        <v>10</v>
      </c>
      <c r="B15" s="144" t="s">
        <v>1262</v>
      </c>
      <c r="C15" s="143" t="s">
        <v>752</v>
      </c>
      <c r="D15" s="144" t="s">
        <v>2214</v>
      </c>
      <c r="E15" s="143" t="s">
        <v>99</v>
      </c>
      <c r="F15" s="143" t="s">
        <v>2215</v>
      </c>
      <c r="G15" s="145" t="n">
        <v>45805</v>
      </c>
      <c r="H15" s="143" t="s">
        <v>350</v>
      </c>
      <c r="I15" s="138" t="str">
        <f aca="false">IFERROR(VLOOKUP(TEXT(H15,"0"),IPRESS!$A$3:$B$212,2,0),"")</f>
        <v>BUENOS AIRES</v>
      </c>
      <c r="J15" s="143" t="s">
        <v>595</v>
      </c>
      <c r="K15" s="138" t="str">
        <f aca="false">IFERROR(VLOOKUP(TEXT(O15,"0"),CONDUCTORES!$A$3:$G$100,7,0),"")</f>
        <v/>
      </c>
      <c r="L15" s="146" t="n">
        <v>17.95</v>
      </c>
      <c r="M15" s="146" t="n">
        <v>5</v>
      </c>
      <c r="N15" s="139" t="n">
        <f aca="false">IFERROR(IF(L15*M15=0,"",L15*M15),"")</f>
        <v>89.75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145" t="n">
        <v>45817</v>
      </c>
      <c r="S15" s="144" t="s">
        <v>2216</v>
      </c>
      <c r="T15" s="143"/>
      <c r="U15" s="147"/>
      <c r="V15" s="143" t="s">
        <v>2190</v>
      </c>
      <c r="W15" s="143" t="s">
        <v>2191</v>
      </c>
      <c r="X15" s="143" t="s">
        <v>1011</v>
      </c>
      <c r="Y15" s="85"/>
    </row>
    <row r="16" customFormat="false" ht="15.75" hidden="false" customHeight="true" outlineLevel="0" collapsed="false">
      <c r="A16" s="143" t="n">
        <v>6</v>
      </c>
      <c r="B16" s="144" t="s">
        <v>1202</v>
      </c>
      <c r="C16" s="143" t="s">
        <v>752</v>
      </c>
      <c r="D16" s="144" t="s">
        <v>2217</v>
      </c>
      <c r="E16" s="143" t="s">
        <v>99</v>
      </c>
      <c r="F16" s="143" t="s">
        <v>2218</v>
      </c>
      <c r="G16" s="145" t="n">
        <v>45806</v>
      </c>
      <c r="H16" s="143" t="s">
        <v>350</v>
      </c>
      <c r="I16" s="138" t="str">
        <f aca="false">IFERROR(VLOOKUP(TEXT(H16,"0"),IPRESS!$A$3:$B$212,2,0),"")</f>
        <v>BUENOS AIRES</v>
      </c>
      <c r="J16" s="143" t="s">
        <v>595</v>
      </c>
      <c r="K16" s="138" t="str">
        <f aca="false">IFERROR(VLOOKUP(TEXT(O16,"0"),CONDUCTORES!$A$3:$G$100,7,0),"")</f>
        <v/>
      </c>
      <c r="L16" s="146" t="n">
        <v>17.95</v>
      </c>
      <c r="M16" s="146" t="n">
        <v>5</v>
      </c>
      <c r="N16" s="139" t="n">
        <f aca="false">IFERROR(IF(L16*M16=0,"",L16*M16),"")</f>
        <v>89.75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45" t="n">
        <v>45817</v>
      </c>
      <c r="S16" s="144" t="s">
        <v>2219</v>
      </c>
      <c r="T16" s="143"/>
      <c r="U16" s="147"/>
      <c r="V16" s="143" t="s">
        <v>2190</v>
      </c>
      <c r="W16" s="143" t="s">
        <v>2191</v>
      </c>
      <c r="X16" s="143" t="s">
        <v>1011</v>
      </c>
      <c r="Y16" s="85"/>
    </row>
    <row r="17" customFormat="false" ht="15.75" hidden="false" customHeight="true" outlineLevel="0" collapsed="false">
      <c r="A17" s="46" t="n">
        <v>7</v>
      </c>
      <c r="B17" s="110" t="s">
        <v>1306</v>
      </c>
      <c r="C17" s="46" t="s">
        <v>752</v>
      </c>
      <c r="D17" s="110" t="s">
        <v>2220</v>
      </c>
      <c r="E17" s="46" t="s">
        <v>99</v>
      </c>
      <c r="F17" s="46" t="s">
        <v>2221</v>
      </c>
      <c r="G17" s="142" t="n">
        <v>45786</v>
      </c>
      <c r="H17" s="46" t="s">
        <v>357</v>
      </c>
      <c r="I17" s="138" t="str">
        <f aca="false">IFERROR(VLOOKUP(TEXT(H17,"0"),IPRESS!$A$3:$B$212,2,0),"")</f>
        <v>CAMPORREDONDO</v>
      </c>
      <c r="J17" s="46" t="s">
        <v>1216</v>
      </c>
      <c r="K17" s="138" t="str">
        <f aca="false">IFERROR(VLOOKUP(TEXT(O17,"0"),CONDUCTORES!$A$3:$G$100,7,0),"")</f>
        <v/>
      </c>
      <c r="L17" s="44" t="n">
        <v>18.18</v>
      </c>
      <c r="M17" s="44" t="n">
        <v>20</v>
      </c>
      <c r="N17" s="139" t="n">
        <f aca="false">IFERROR(IF(L17*M17=0,"",L17*M17),"")</f>
        <v>363.6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142" t="n">
        <v>45841</v>
      </c>
      <c r="S17" s="110" t="s">
        <v>2222</v>
      </c>
      <c r="T17" s="46"/>
      <c r="U17" s="85"/>
      <c r="V17" s="46"/>
      <c r="W17" s="46"/>
      <c r="X17" s="46"/>
      <c r="Y17" s="85"/>
    </row>
    <row r="18" customFormat="false" ht="15.75" hidden="false" customHeight="true" outlineLevel="0" collapsed="false">
      <c r="A18" s="106" t="n">
        <v>8</v>
      </c>
      <c r="B18" s="107" t="s">
        <v>1412</v>
      </c>
      <c r="C18" s="106" t="s">
        <v>752</v>
      </c>
      <c r="D18" s="107" t="s">
        <v>2223</v>
      </c>
      <c r="E18" s="136" t="s">
        <v>99</v>
      </c>
      <c r="F18" s="106" t="s">
        <v>2224</v>
      </c>
      <c r="G18" s="137" t="n">
        <v>45793</v>
      </c>
      <c r="H18" s="106" t="s">
        <v>357</v>
      </c>
      <c r="I18" s="138" t="str">
        <f aca="false">IFERROR(VLOOKUP(TEXT(H18,"0"),IPRESS!$A$3:$B$212,2,0),"")</f>
        <v>CAMPORREDONDO</v>
      </c>
      <c r="J18" s="106" t="s">
        <v>755</v>
      </c>
      <c r="K18" s="138" t="str">
        <f aca="false">IFERROR(VLOOKUP(TEXT(O18,"0"),CONDUCTORES!$A$3:$G$100,7,0),"")</f>
        <v/>
      </c>
      <c r="L18" s="50" t="n">
        <v>18.18</v>
      </c>
      <c r="M18" s="50" t="n">
        <v>20</v>
      </c>
      <c r="N18" s="139" t="n">
        <f aca="false">IFERROR(IF(L18*M18=0,"",L18*M18),"")</f>
        <v>363.6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37" t="n">
        <v>45841</v>
      </c>
      <c r="S18" s="107" t="s">
        <v>891</v>
      </c>
      <c r="T18" s="136"/>
      <c r="U18" s="140"/>
      <c r="V18" s="106"/>
      <c r="W18" s="106"/>
      <c r="X18" s="106"/>
      <c r="Y18" s="85"/>
    </row>
    <row r="19" customFormat="false" ht="15.75" hidden="false" customHeight="true" outlineLevel="0" collapsed="false">
      <c r="A19" s="143" t="n">
        <v>9</v>
      </c>
      <c r="B19" s="144" t="s">
        <v>919</v>
      </c>
      <c r="C19" s="143" t="s">
        <v>752</v>
      </c>
      <c r="D19" s="144" t="s">
        <v>2225</v>
      </c>
      <c r="E19" s="143" t="s">
        <v>99</v>
      </c>
      <c r="F19" s="143" t="s">
        <v>2226</v>
      </c>
      <c r="G19" s="145" t="n">
        <v>45799</v>
      </c>
      <c r="H19" s="143" t="s">
        <v>398</v>
      </c>
      <c r="I19" s="138" t="str">
        <f aca="false">IFERROR(VLOOKUP(TEXT(H19,"0"),IPRESS!$A$3:$B$212,2,0),"")</f>
        <v>COCABAMBA</v>
      </c>
      <c r="J19" s="143" t="s">
        <v>755</v>
      </c>
      <c r="K19" s="138" t="str">
        <f aca="false">IFERROR(VLOOKUP(TEXT(O19,"0"),CONDUCTORES!$A$3:$G$100,7,0),"")</f>
        <v/>
      </c>
      <c r="L19" s="146" t="n">
        <v>17.95</v>
      </c>
      <c r="M19" s="146" t="n">
        <v>21</v>
      </c>
      <c r="N19" s="139" t="n">
        <f aca="false">IFERROR(IF(L19*M19=0,"",L19*M19),"")</f>
        <v>376.95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145" t="n">
        <v>45827</v>
      </c>
      <c r="S19" s="144" t="s">
        <v>1375</v>
      </c>
      <c r="T19" s="143"/>
      <c r="U19" s="147"/>
      <c r="V19" s="143"/>
      <c r="W19" s="143"/>
      <c r="X19" s="143"/>
      <c r="Y19" s="85"/>
    </row>
    <row r="20" customFormat="false" ht="15.75" hidden="false" customHeight="true" outlineLevel="0" collapsed="false">
      <c r="A20" s="106" t="n">
        <v>10</v>
      </c>
      <c r="B20" s="107" t="s">
        <v>866</v>
      </c>
      <c r="C20" s="106" t="s">
        <v>752</v>
      </c>
      <c r="D20" s="107" t="s">
        <v>2227</v>
      </c>
      <c r="E20" s="136" t="s">
        <v>99</v>
      </c>
      <c r="F20" s="106" t="s">
        <v>2228</v>
      </c>
      <c r="G20" s="137" t="n">
        <v>45802</v>
      </c>
      <c r="H20" s="106" t="s">
        <v>407</v>
      </c>
      <c r="I20" s="138" t="str">
        <f aca="false">IFERROR(VLOOKUP(TEXT(H20,"0"),IPRESS!$A$3:$B$212,2,0),"")</f>
        <v>COCOCHO</v>
      </c>
      <c r="J20" s="106" t="s">
        <v>755</v>
      </c>
      <c r="K20" s="138" t="str">
        <f aca="false">IFERROR(VLOOKUP(TEXT(O20,"0"),CONDUCTORES!$A$3:$G$100,7,0),"")</f>
        <v/>
      </c>
      <c r="L20" s="50" t="n">
        <v>18.18</v>
      </c>
      <c r="M20" s="50" t="n">
        <v>25</v>
      </c>
      <c r="N20" s="139" t="n">
        <f aca="false">IFERROR(IF(L20*M20=0,"",L20*M20),"")</f>
        <v>454.5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37" t="n">
        <v>45828</v>
      </c>
      <c r="S20" s="107" t="s">
        <v>2229</v>
      </c>
      <c r="T20" s="136"/>
      <c r="U20" s="140"/>
      <c r="V20" s="106"/>
      <c r="W20" s="106"/>
      <c r="X20" s="106"/>
      <c r="Y20" s="85"/>
    </row>
    <row r="21" customFormat="false" ht="15.75" hidden="false" customHeight="true" outlineLevel="0" collapsed="false">
      <c r="A21" s="46" t="n">
        <v>11</v>
      </c>
      <c r="B21" s="110" t="s">
        <v>873</v>
      </c>
      <c r="C21" s="46" t="s">
        <v>752</v>
      </c>
      <c r="D21" s="110" t="s">
        <v>2230</v>
      </c>
      <c r="E21" s="46" t="s">
        <v>99</v>
      </c>
      <c r="F21" s="46" t="s">
        <v>2231</v>
      </c>
      <c r="G21" s="142" t="n">
        <v>45791</v>
      </c>
      <c r="H21" s="46" t="s">
        <v>407</v>
      </c>
      <c r="I21" s="138" t="str">
        <f aca="false">IFERROR(VLOOKUP(TEXT(H21,"0"),IPRESS!$A$3:$B$212,2,0),"")</f>
        <v>COCOCHO</v>
      </c>
      <c r="J21" s="46" t="s">
        <v>755</v>
      </c>
      <c r="K21" s="138" t="str">
        <f aca="false">IFERROR(VLOOKUP(TEXT(O21,"0"),CONDUCTORES!$A$3:$G$100,7,0),"")</f>
        <v/>
      </c>
      <c r="L21" s="44" t="n">
        <v>18.18</v>
      </c>
      <c r="M21" s="44" t="n">
        <v>25</v>
      </c>
      <c r="N21" s="139" t="n">
        <f aca="false">IFERROR(IF(L21*M21=0,"",L21*M21),"")</f>
        <v>454.5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142" t="n">
        <v>45828</v>
      </c>
      <c r="S21" s="110" t="s">
        <v>2232</v>
      </c>
      <c r="T21" s="46"/>
      <c r="U21" s="85"/>
      <c r="V21" s="46"/>
      <c r="W21" s="46"/>
      <c r="X21" s="46"/>
      <c r="Y21" s="85"/>
    </row>
    <row r="22" customFormat="false" ht="15.75" hidden="false" customHeight="true" outlineLevel="0" collapsed="false">
      <c r="A22" s="106" t="n">
        <v>12</v>
      </c>
      <c r="B22" s="107" t="s">
        <v>836</v>
      </c>
      <c r="C22" s="106" t="s">
        <v>752</v>
      </c>
      <c r="D22" s="107" t="s">
        <v>2233</v>
      </c>
      <c r="E22" s="136" t="s">
        <v>99</v>
      </c>
      <c r="F22" s="106" t="s">
        <v>2234</v>
      </c>
      <c r="G22" s="137" t="n">
        <v>45799</v>
      </c>
      <c r="H22" s="106" t="s">
        <v>407</v>
      </c>
      <c r="I22" s="138" t="str">
        <f aca="false">IFERROR(VLOOKUP(TEXT(H22,"0"),IPRESS!$A$3:$B$212,2,0),"")</f>
        <v>COCOCHO</v>
      </c>
      <c r="J22" s="106" t="s">
        <v>1216</v>
      </c>
      <c r="K22" s="138" t="str">
        <f aca="false">IFERROR(VLOOKUP(TEXT(O22,"0"),CONDUCTORES!$A$3:$G$100,7,0),"")</f>
        <v/>
      </c>
      <c r="L22" s="50" t="n">
        <v>18.18</v>
      </c>
      <c r="M22" s="50" t="n">
        <v>20</v>
      </c>
      <c r="N22" s="139" t="n">
        <f aca="false">IFERROR(IF(L22*M22=0,"",L22*M22),"")</f>
        <v>363.6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37" t="n">
        <v>45828</v>
      </c>
      <c r="S22" s="107" t="s">
        <v>2235</v>
      </c>
      <c r="T22" s="136"/>
      <c r="U22" s="140"/>
      <c r="V22" s="106"/>
      <c r="W22" s="106"/>
      <c r="X22" s="106"/>
      <c r="Y22" s="85"/>
    </row>
    <row r="23" customFormat="false" ht="15.75" hidden="false" customHeight="true" outlineLevel="0" collapsed="false">
      <c r="A23" s="46" t="n">
        <v>13</v>
      </c>
      <c r="B23" s="110" t="s">
        <v>888</v>
      </c>
      <c r="C23" s="46" t="s">
        <v>752</v>
      </c>
      <c r="D23" s="110" t="s">
        <v>2236</v>
      </c>
      <c r="E23" s="46" t="s">
        <v>99</v>
      </c>
      <c r="F23" s="46" t="s">
        <v>2237</v>
      </c>
      <c r="G23" s="142" t="n">
        <v>45803</v>
      </c>
      <c r="H23" s="46" t="s">
        <v>408</v>
      </c>
      <c r="I23" s="138" t="str">
        <f aca="false">IFERROR(VLOOKUP(TEXT(H23,"0"),IPRESS!$A$3:$B$212,2,0),"")</f>
        <v>COLCAMAR</v>
      </c>
      <c r="J23" s="46" t="s">
        <v>755</v>
      </c>
      <c r="K23" s="138" t="str">
        <f aca="false">IFERROR(VLOOKUP(TEXT(O23,"0"),CONDUCTORES!$A$3:$G$100,7,0),"")</f>
        <v/>
      </c>
      <c r="L23" s="44" t="n">
        <v>18.18</v>
      </c>
      <c r="M23" s="44" t="n">
        <v>7</v>
      </c>
      <c r="N23" s="139" t="n">
        <f aca="false">IFERROR(IF(L23*M23=0,"",L23*M23),"")</f>
        <v>127.26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142" t="n">
        <v>45828</v>
      </c>
      <c r="S23" s="110" t="s">
        <v>2238</v>
      </c>
      <c r="T23" s="46"/>
      <c r="U23" s="85"/>
      <c r="V23" s="46"/>
      <c r="W23" s="46"/>
      <c r="X23" s="46"/>
      <c r="Y23" s="85"/>
    </row>
    <row r="24" customFormat="false" ht="15.75" hidden="false" customHeight="true" outlineLevel="0" collapsed="false">
      <c r="A24" s="106" t="n">
        <v>14</v>
      </c>
      <c r="B24" s="107" t="s">
        <v>1679</v>
      </c>
      <c r="C24" s="106" t="s">
        <v>752</v>
      </c>
      <c r="D24" s="107" t="s">
        <v>949</v>
      </c>
      <c r="E24" s="136" t="s">
        <v>99</v>
      </c>
      <c r="F24" s="106" t="s">
        <v>2239</v>
      </c>
      <c r="G24" s="137" t="n">
        <v>45797</v>
      </c>
      <c r="H24" s="106" t="s">
        <v>409</v>
      </c>
      <c r="I24" s="138" t="str">
        <f aca="false">IFERROR(VLOOKUP(TEXT(H24,"0"),IPRESS!$A$3:$B$212,2,0),"")</f>
        <v>COLLONCE</v>
      </c>
      <c r="J24" s="106" t="s">
        <v>755</v>
      </c>
      <c r="K24" s="138" t="str">
        <f aca="false">IFERROR(VLOOKUP(TEXT(O24,"0"),CONDUCTORES!$A$3:$G$100,7,0),"")</f>
        <v/>
      </c>
      <c r="L24" s="50" t="n">
        <v>18.18</v>
      </c>
      <c r="M24" s="50" t="n">
        <v>20</v>
      </c>
      <c r="N24" s="139" t="n">
        <f aca="false">IFERROR(IF(L24*M24=0,"",L24*M24),"")</f>
        <v>363.6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40" t="s">
        <v>937</v>
      </c>
      <c r="S24" s="107" t="s">
        <v>2240</v>
      </c>
      <c r="T24" s="136"/>
      <c r="U24" s="140"/>
      <c r="V24" s="106"/>
      <c r="W24" s="106"/>
      <c r="X24" s="106"/>
      <c r="Y24" s="85"/>
    </row>
    <row r="25" customFormat="false" ht="15.75" hidden="false" customHeight="true" outlineLevel="0" collapsed="false">
      <c r="A25" s="46" t="n">
        <v>15</v>
      </c>
      <c r="B25" s="110" t="s">
        <v>832</v>
      </c>
      <c r="C25" s="46" t="s">
        <v>752</v>
      </c>
      <c r="D25" s="110" t="s">
        <v>2241</v>
      </c>
      <c r="E25" s="46" t="s">
        <v>99</v>
      </c>
      <c r="F25" s="46" t="s">
        <v>2242</v>
      </c>
      <c r="G25" s="142" t="n">
        <v>45807</v>
      </c>
      <c r="H25" s="46" t="s">
        <v>409</v>
      </c>
      <c r="I25" s="138" t="str">
        <f aca="false">IFERROR(VLOOKUP(TEXT(H25,"0"),IPRESS!$A$3:$B$212,2,0),"")</f>
        <v>COLLONCE</v>
      </c>
      <c r="J25" s="46" t="s">
        <v>755</v>
      </c>
      <c r="K25" s="138" t="str">
        <f aca="false">IFERROR(VLOOKUP(TEXT(O25,"0"),CONDUCTORES!$A$3:$G$100,7,0),"")</f>
        <v/>
      </c>
      <c r="L25" s="44" t="n">
        <v>18.18</v>
      </c>
      <c r="M25" s="44" t="n">
        <v>20</v>
      </c>
      <c r="N25" s="139" t="n">
        <f aca="false">IFERROR(IF(L25*M25=0,"",L25*M25),"")</f>
        <v>363.6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85" t="s">
        <v>937</v>
      </c>
      <c r="S25" s="110" t="s">
        <v>891</v>
      </c>
      <c r="T25" s="46"/>
      <c r="U25" s="85"/>
      <c r="V25" s="46"/>
      <c r="W25" s="46"/>
      <c r="X25" s="46"/>
      <c r="Y25" s="85"/>
    </row>
    <row r="26" customFormat="false" ht="15.75" hidden="false" customHeight="true" outlineLevel="0" collapsed="false">
      <c r="A26" s="106" t="n">
        <v>11</v>
      </c>
      <c r="B26" s="107" t="s">
        <v>2243</v>
      </c>
      <c r="C26" s="106" t="s">
        <v>752</v>
      </c>
      <c r="D26" s="107" t="s">
        <v>2244</v>
      </c>
      <c r="E26" s="136" t="s">
        <v>99</v>
      </c>
      <c r="F26" s="106" t="s">
        <v>2245</v>
      </c>
      <c r="G26" s="137" t="n">
        <v>45779</v>
      </c>
      <c r="H26" s="106" t="s">
        <v>529</v>
      </c>
      <c r="I26" s="138" t="str">
        <f aca="false">IFERROR(VLOOKUP(TEXT(H26,"0"),IPRESS!$A$3:$B$212,2,0),"")</f>
        <v>MARIA AUXILIADORA</v>
      </c>
      <c r="J26" s="106" t="s">
        <v>755</v>
      </c>
      <c r="K26" s="138" t="str">
        <f aca="false">IFERROR(VLOOKUP(TEXT(O26,"0"),CONDUCTORES!$A$3:$G$100,7,0),"")</f>
        <v/>
      </c>
      <c r="L26" s="50" t="n">
        <v>20.25</v>
      </c>
      <c r="M26" s="50" t="n">
        <v>7</v>
      </c>
      <c r="N26" s="139" t="n">
        <f aca="false">IFERROR(IF(L26*M26=0,"",L26*M26),"")</f>
        <v>141.75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40" t="s">
        <v>1317</v>
      </c>
      <c r="S26" s="107" t="s">
        <v>2246</v>
      </c>
      <c r="T26" s="136"/>
      <c r="U26" s="140"/>
      <c r="V26" s="106"/>
      <c r="W26" s="106" t="s">
        <v>760</v>
      </c>
      <c r="X26" s="106" t="s">
        <v>761</v>
      </c>
      <c r="Y26" s="85"/>
    </row>
    <row r="27" customFormat="false" ht="15.75" hidden="false" customHeight="true" outlineLevel="0" collapsed="false">
      <c r="A27" s="46" t="n">
        <v>12</v>
      </c>
      <c r="B27" s="110" t="s">
        <v>2247</v>
      </c>
      <c r="C27" s="46" t="s">
        <v>752</v>
      </c>
      <c r="D27" s="110" t="s">
        <v>2248</v>
      </c>
      <c r="E27" s="46" t="s">
        <v>99</v>
      </c>
      <c r="F27" s="46" t="s">
        <v>2249</v>
      </c>
      <c r="G27" s="142" t="n">
        <v>45780</v>
      </c>
      <c r="H27" s="46" t="s">
        <v>529</v>
      </c>
      <c r="I27" s="138" t="str">
        <f aca="false">IFERROR(VLOOKUP(TEXT(H27,"0"),IPRESS!$A$3:$B$212,2,0),"")</f>
        <v>MARIA AUXILIADORA</v>
      </c>
      <c r="J27" s="46" t="s">
        <v>755</v>
      </c>
      <c r="K27" s="138" t="str">
        <f aca="false">IFERROR(VLOOKUP(TEXT(O27,"0"),CONDUCTORES!$A$3:$G$100,7,0),"")</f>
        <v/>
      </c>
      <c r="L27" s="44" t="n">
        <v>20.25</v>
      </c>
      <c r="M27" s="44" t="n">
        <v>6</v>
      </c>
      <c r="N27" s="139" t="n">
        <f aca="false">IFERROR(IF(L27*M27=0,"",L27*M27),"")</f>
        <v>121.5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85" t="s">
        <v>1317</v>
      </c>
      <c r="S27" s="110" t="s">
        <v>2250</v>
      </c>
      <c r="T27" s="46"/>
      <c r="U27" s="85"/>
      <c r="V27" s="46"/>
      <c r="W27" s="46" t="s">
        <v>760</v>
      </c>
      <c r="X27" s="46" t="s">
        <v>761</v>
      </c>
      <c r="Y27" s="85"/>
    </row>
    <row r="28" customFormat="false" ht="15.75" hidden="false" customHeight="true" outlineLevel="0" collapsed="false">
      <c r="A28" s="106" t="n">
        <v>13</v>
      </c>
      <c r="B28" s="107" t="s">
        <v>2251</v>
      </c>
      <c r="C28" s="106" t="s">
        <v>752</v>
      </c>
      <c r="D28" s="107" t="s">
        <v>2252</v>
      </c>
      <c r="E28" s="136" t="s">
        <v>99</v>
      </c>
      <c r="F28" s="106" t="s">
        <v>2253</v>
      </c>
      <c r="G28" s="137" t="n">
        <v>45781</v>
      </c>
      <c r="H28" s="106" t="s">
        <v>529</v>
      </c>
      <c r="I28" s="138" t="str">
        <f aca="false">IFERROR(VLOOKUP(TEXT(H28,"0"),IPRESS!$A$3:$B$212,2,0),"")</f>
        <v>MARIA AUXILIADORA</v>
      </c>
      <c r="J28" s="106" t="s">
        <v>755</v>
      </c>
      <c r="K28" s="138" t="str">
        <f aca="false">IFERROR(VLOOKUP(TEXT(O28,"0"),CONDUCTORES!$A$3:$G$100,7,0),"")</f>
        <v/>
      </c>
      <c r="L28" s="50" t="n">
        <v>20.25</v>
      </c>
      <c r="M28" s="50" t="n">
        <v>6</v>
      </c>
      <c r="N28" s="139" t="n">
        <f aca="false">IFERROR(IF(L28*M28=0,"",L28*M28),"")</f>
        <v>121.5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40" t="s">
        <v>1317</v>
      </c>
      <c r="S28" s="107" t="s">
        <v>2133</v>
      </c>
      <c r="T28" s="136"/>
      <c r="U28" s="140"/>
      <c r="V28" s="106"/>
      <c r="W28" s="106" t="s">
        <v>760</v>
      </c>
      <c r="X28" s="106" t="s">
        <v>761</v>
      </c>
      <c r="Y28" s="85"/>
    </row>
    <row r="29" customFormat="false" ht="15.75" hidden="false" customHeight="true" outlineLevel="0" collapsed="false">
      <c r="A29" s="46" t="n">
        <v>14</v>
      </c>
      <c r="B29" s="110" t="s">
        <v>2254</v>
      </c>
      <c r="C29" s="46" t="s">
        <v>752</v>
      </c>
      <c r="D29" s="110" t="s">
        <v>2255</v>
      </c>
      <c r="E29" s="46" t="s">
        <v>99</v>
      </c>
      <c r="F29" s="46" t="s">
        <v>2256</v>
      </c>
      <c r="G29" s="142" t="n">
        <v>45781</v>
      </c>
      <c r="H29" s="46" t="s">
        <v>529</v>
      </c>
      <c r="I29" s="138" t="str">
        <f aca="false">IFERROR(VLOOKUP(TEXT(H29,"0"),IPRESS!$A$3:$B$212,2,0),"")</f>
        <v>MARIA AUXILIADORA</v>
      </c>
      <c r="J29" s="46" t="s">
        <v>755</v>
      </c>
      <c r="K29" s="138" t="str">
        <f aca="false">IFERROR(VLOOKUP(TEXT(O29,"0"),CONDUCTORES!$A$3:$G$100,7,0),"")</f>
        <v/>
      </c>
      <c r="L29" s="44" t="n">
        <v>20.25</v>
      </c>
      <c r="M29" s="44" t="n">
        <v>6</v>
      </c>
      <c r="N29" s="139" t="n">
        <f aca="false">IFERROR(IF(L29*M29=0,"",L29*M29),"")</f>
        <v>121.5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85" t="s">
        <v>1317</v>
      </c>
      <c r="S29" s="110" t="s">
        <v>2257</v>
      </c>
      <c r="T29" s="46"/>
      <c r="U29" s="85"/>
      <c r="V29" s="46"/>
      <c r="W29" s="46" t="s">
        <v>760</v>
      </c>
      <c r="X29" s="46" t="s">
        <v>761</v>
      </c>
      <c r="Y29" s="85"/>
    </row>
    <row r="30" customFormat="false" ht="15.75" hidden="false" customHeight="true" outlineLevel="0" collapsed="false">
      <c r="A30" s="106" t="n">
        <v>15</v>
      </c>
      <c r="B30" s="107" t="s">
        <v>2258</v>
      </c>
      <c r="C30" s="106" t="s">
        <v>752</v>
      </c>
      <c r="D30" s="107" t="s">
        <v>2259</v>
      </c>
      <c r="E30" s="136" t="s">
        <v>99</v>
      </c>
      <c r="F30" s="106" t="s">
        <v>2260</v>
      </c>
      <c r="G30" s="137" t="n">
        <v>45782</v>
      </c>
      <c r="H30" s="106" t="s">
        <v>529</v>
      </c>
      <c r="I30" s="138" t="str">
        <f aca="false">IFERROR(VLOOKUP(TEXT(H30,"0"),IPRESS!$A$3:$B$212,2,0),"")</f>
        <v>MARIA AUXILIADORA</v>
      </c>
      <c r="J30" s="106" t="s">
        <v>755</v>
      </c>
      <c r="K30" s="138" t="str">
        <f aca="false">IFERROR(VLOOKUP(TEXT(O30,"0"),CONDUCTORES!$A$3:$G$100,7,0),"")</f>
        <v/>
      </c>
      <c r="L30" s="50" t="n">
        <v>20.25</v>
      </c>
      <c r="M30" s="50" t="n">
        <v>10</v>
      </c>
      <c r="N30" s="139" t="n">
        <f aca="false">IFERROR(IF(L30*M30=0,"",L30*M30),"")</f>
        <v>202.5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40" t="s">
        <v>1317</v>
      </c>
      <c r="S30" s="107" t="s">
        <v>2261</v>
      </c>
      <c r="T30" s="136"/>
      <c r="U30" s="140"/>
      <c r="V30" s="106"/>
      <c r="W30" s="106" t="s">
        <v>760</v>
      </c>
      <c r="X30" s="106" t="s">
        <v>761</v>
      </c>
      <c r="Y30" s="85"/>
    </row>
    <row r="31" customFormat="false" ht="15.75" hidden="false" customHeight="true" outlineLevel="0" collapsed="false">
      <c r="A31" s="46" t="n">
        <v>16</v>
      </c>
      <c r="B31" s="110" t="s">
        <v>2262</v>
      </c>
      <c r="C31" s="46" t="s">
        <v>752</v>
      </c>
      <c r="D31" s="110" t="s">
        <v>2263</v>
      </c>
      <c r="E31" s="46" t="s">
        <v>99</v>
      </c>
      <c r="F31" s="46" t="s">
        <v>2264</v>
      </c>
      <c r="G31" s="142" t="n">
        <v>45782</v>
      </c>
      <c r="H31" s="46" t="s">
        <v>529</v>
      </c>
      <c r="I31" s="138" t="str">
        <f aca="false">IFERROR(VLOOKUP(TEXT(H31,"0"),IPRESS!$A$3:$B$212,2,0),"")</f>
        <v>MARIA AUXILIADORA</v>
      </c>
      <c r="J31" s="46" t="s">
        <v>755</v>
      </c>
      <c r="K31" s="138" t="str">
        <f aca="false">IFERROR(VLOOKUP(TEXT(O31,"0"),CONDUCTORES!$A$3:$G$100,7,0),"")</f>
        <v/>
      </c>
      <c r="L31" s="44" t="n">
        <v>20.25</v>
      </c>
      <c r="M31" s="44" t="n">
        <v>7</v>
      </c>
      <c r="N31" s="139" t="n">
        <f aca="false">IFERROR(IF(L31*M31=0,"",L31*M31),"")</f>
        <v>141.75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85" t="s">
        <v>1317</v>
      </c>
      <c r="S31" s="110" t="s">
        <v>917</v>
      </c>
      <c r="T31" s="46"/>
      <c r="U31" s="85"/>
      <c r="V31" s="46"/>
      <c r="W31" s="46" t="s">
        <v>760</v>
      </c>
      <c r="X31" s="46" t="s">
        <v>761</v>
      </c>
      <c r="Y31" s="85"/>
    </row>
    <row r="32" customFormat="false" ht="15.75" hidden="false" customHeight="true" outlineLevel="0" collapsed="false">
      <c r="A32" s="106" t="n">
        <v>17</v>
      </c>
      <c r="B32" s="107" t="s">
        <v>2265</v>
      </c>
      <c r="C32" s="106" t="s">
        <v>752</v>
      </c>
      <c r="D32" s="107" t="s">
        <v>2266</v>
      </c>
      <c r="E32" s="136" t="s">
        <v>99</v>
      </c>
      <c r="F32" s="106" t="s">
        <v>2267</v>
      </c>
      <c r="G32" s="137" t="n">
        <v>45785</v>
      </c>
      <c r="H32" s="106" t="s">
        <v>529</v>
      </c>
      <c r="I32" s="138" t="str">
        <f aca="false">IFERROR(VLOOKUP(TEXT(H32,"0"),IPRESS!$A$3:$B$212,2,0),"")</f>
        <v>MARIA AUXILIADORA</v>
      </c>
      <c r="J32" s="106" t="s">
        <v>755</v>
      </c>
      <c r="K32" s="138" t="str">
        <f aca="false">IFERROR(VLOOKUP(TEXT(O32,"0"),CONDUCTORES!$A$3:$G$100,7,0),"")</f>
        <v/>
      </c>
      <c r="L32" s="50" t="n">
        <v>20.25</v>
      </c>
      <c r="M32" s="50" t="n">
        <v>6</v>
      </c>
      <c r="N32" s="139" t="n">
        <f aca="false">IFERROR(IF(L32*M32=0,"",L32*M32),"")</f>
        <v>121.5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40" t="s">
        <v>1317</v>
      </c>
      <c r="S32" s="107" t="s">
        <v>2268</v>
      </c>
      <c r="T32" s="136"/>
      <c r="U32" s="140"/>
      <c r="V32" s="106"/>
      <c r="W32" s="106" t="s">
        <v>760</v>
      </c>
      <c r="X32" s="106" t="s">
        <v>761</v>
      </c>
      <c r="Y32" s="85"/>
    </row>
    <row r="33" customFormat="false" ht="15.75" hidden="false" customHeight="true" outlineLevel="0" collapsed="false">
      <c r="A33" s="46" t="n">
        <v>18</v>
      </c>
      <c r="B33" s="110" t="s">
        <v>2269</v>
      </c>
      <c r="C33" s="46" t="s">
        <v>752</v>
      </c>
      <c r="D33" s="110" t="s">
        <v>2270</v>
      </c>
      <c r="E33" s="46" t="s">
        <v>99</v>
      </c>
      <c r="F33" s="46" t="s">
        <v>2271</v>
      </c>
      <c r="G33" s="142" t="n">
        <v>45786</v>
      </c>
      <c r="H33" s="46" t="s">
        <v>529</v>
      </c>
      <c r="I33" s="138" t="str">
        <f aca="false">IFERROR(VLOOKUP(TEXT(H33,"0"),IPRESS!$A$3:$B$212,2,0),"")</f>
        <v>MARIA AUXILIADORA</v>
      </c>
      <c r="J33" s="46" t="s">
        <v>755</v>
      </c>
      <c r="K33" s="138" t="str">
        <f aca="false">IFERROR(VLOOKUP(TEXT(O33,"0"),CONDUCTORES!$A$3:$G$100,7,0),"")</f>
        <v/>
      </c>
      <c r="L33" s="44" t="n">
        <v>20.25</v>
      </c>
      <c r="M33" s="44" t="n">
        <v>7</v>
      </c>
      <c r="N33" s="139" t="n">
        <f aca="false">IFERROR(IF(L33*M33=0,"",L33*M33),"")</f>
        <v>141.75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85" t="s">
        <v>1317</v>
      </c>
      <c r="S33" s="110" t="s">
        <v>2105</v>
      </c>
      <c r="T33" s="46"/>
      <c r="U33" s="85"/>
      <c r="V33" s="46"/>
      <c r="W33" s="46" t="s">
        <v>760</v>
      </c>
      <c r="X33" s="46" t="s">
        <v>761</v>
      </c>
      <c r="Y33" s="85"/>
    </row>
    <row r="34" customFormat="false" ht="15.75" hidden="false" customHeight="true" outlineLevel="0" collapsed="false">
      <c r="A34" s="106" t="n">
        <v>19</v>
      </c>
      <c r="B34" s="107" t="s">
        <v>2272</v>
      </c>
      <c r="C34" s="106" t="s">
        <v>752</v>
      </c>
      <c r="D34" s="107" t="s">
        <v>2273</v>
      </c>
      <c r="E34" s="136" t="s">
        <v>99</v>
      </c>
      <c r="F34" s="106" t="s">
        <v>2274</v>
      </c>
      <c r="G34" s="137" t="n">
        <v>45788</v>
      </c>
      <c r="H34" s="106" t="s">
        <v>529</v>
      </c>
      <c r="I34" s="138" t="str">
        <f aca="false">IFERROR(VLOOKUP(TEXT(H34,"0"),IPRESS!$A$3:$B$212,2,0),"")</f>
        <v>MARIA AUXILIADORA</v>
      </c>
      <c r="J34" s="106" t="s">
        <v>755</v>
      </c>
      <c r="K34" s="138" t="str">
        <f aca="false">IFERROR(VLOOKUP(TEXT(O34,"0"),CONDUCTORES!$A$3:$G$100,7,0),"")</f>
        <v/>
      </c>
      <c r="L34" s="50" t="n">
        <v>20.25</v>
      </c>
      <c r="M34" s="50" t="n">
        <v>7</v>
      </c>
      <c r="N34" s="139" t="n">
        <f aca="false">IFERROR(IF(L34*M34=0,"",L34*M34),"")</f>
        <v>141.75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40" t="s">
        <v>1317</v>
      </c>
      <c r="S34" s="107" t="s">
        <v>2275</v>
      </c>
      <c r="T34" s="136"/>
      <c r="U34" s="140"/>
      <c r="V34" s="106"/>
      <c r="W34" s="106" t="s">
        <v>760</v>
      </c>
      <c r="X34" s="106" t="s">
        <v>761</v>
      </c>
      <c r="Y34" s="85"/>
    </row>
    <row r="35" customFormat="false" ht="15.75" hidden="false" customHeight="true" outlineLevel="0" collapsed="false">
      <c r="A35" s="46" t="n">
        <v>20</v>
      </c>
      <c r="B35" s="110" t="s">
        <v>2276</v>
      </c>
      <c r="C35" s="46" t="s">
        <v>752</v>
      </c>
      <c r="D35" s="110" t="s">
        <v>2277</v>
      </c>
      <c r="E35" s="46" t="s">
        <v>99</v>
      </c>
      <c r="F35" s="46" t="s">
        <v>2278</v>
      </c>
      <c r="G35" s="142" t="n">
        <v>45789</v>
      </c>
      <c r="H35" s="46" t="s">
        <v>529</v>
      </c>
      <c r="I35" s="138" t="str">
        <f aca="false">IFERROR(VLOOKUP(TEXT(H35,"0"),IPRESS!$A$3:$B$212,2,0),"")</f>
        <v>MARIA AUXILIADORA</v>
      </c>
      <c r="J35" s="46" t="s">
        <v>755</v>
      </c>
      <c r="K35" s="138" t="str">
        <f aca="false">IFERROR(VLOOKUP(TEXT(O35,"0"),CONDUCTORES!$A$3:$G$100,7,0),"")</f>
        <v/>
      </c>
      <c r="L35" s="44" t="n">
        <v>20.25</v>
      </c>
      <c r="M35" s="44" t="n">
        <v>10</v>
      </c>
      <c r="N35" s="139" t="n">
        <f aca="false">IFERROR(IF(L35*M35=0,"",L35*M35),"")</f>
        <v>202.5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85" t="s">
        <v>1317</v>
      </c>
      <c r="S35" s="110" t="s">
        <v>1803</v>
      </c>
      <c r="T35" s="46"/>
      <c r="U35" s="85"/>
      <c r="V35" s="46"/>
      <c r="W35" s="46" t="s">
        <v>760</v>
      </c>
      <c r="X35" s="46" t="s">
        <v>761</v>
      </c>
      <c r="Y35" s="85"/>
    </row>
    <row r="36" customFormat="false" ht="15.75" hidden="false" customHeight="true" outlineLevel="0" collapsed="false">
      <c r="A36" s="106" t="n">
        <v>16</v>
      </c>
      <c r="B36" s="107" t="s">
        <v>2279</v>
      </c>
      <c r="C36" s="106" t="s">
        <v>752</v>
      </c>
      <c r="D36" s="107" t="s">
        <v>2280</v>
      </c>
      <c r="E36" s="136" t="s">
        <v>99</v>
      </c>
      <c r="F36" s="106" t="s">
        <v>2281</v>
      </c>
      <c r="G36" s="137" t="n">
        <v>45789</v>
      </c>
      <c r="H36" s="106" t="s">
        <v>529</v>
      </c>
      <c r="I36" s="138" t="str">
        <f aca="false">IFERROR(VLOOKUP(TEXT(H36,"0"),IPRESS!$A$3:$B$212,2,0),"")</f>
        <v>MARIA AUXILIADORA</v>
      </c>
      <c r="J36" s="106" t="s">
        <v>755</v>
      </c>
      <c r="K36" s="138" t="str">
        <f aca="false">IFERROR(VLOOKUP(TEXT(O36,"0"),CONDUCTORES!$A$3:$G$100,7,0),"")</f>
        <v/>
      </c>
      <c r="L36" s="50" t="n">
        <v>20.25</v>
      </c>
      <c r="M36" s="50" t="n">
        <v>7</v>
      </c>
      <c r="N36" s="139" t="n">
        <f aca="false">IFERROR(IF(L36*M36=0,"",L36*M36),"")</f>
        <v>141.75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40" t="s">
        <v>1317</v>
      </c>
      <c r="S36" s="107" t="s">
        <v>2282</v>
      </c>
      <c r="T36" s="136"/>
      <c r="U36" s="140"/>
      <c r="V36" s="106"/>
      <c r="W36" s="106" t="s">
        <v>760</v>
      </c>
      <c r="X36" s="106" t="s">
        <v>761</v>
      </c>
      <c r="Y36" s="85"/>
    </row>
    <row r="37" customFormat="false" ht="15.75" hidden="false" customHeight="true" outlineLevel="0" collapsed="false">
      <c r="A37" s="46" t="n">
        <v>17</v>
      </c>
      <c r="B37" s="110" t="s">
        <v>2283</v>
      </c>
      <c r="C37" s="46" t="s">
        <v>752</v>
      </c>
      <c r="D37" s="110" t="s">
        <v>2284</v>
      </c>
      <c r="E37" s="46" t="s">
        <v>99</v>
      </c>
      <c r="F37" s="46" t="s">
        <v>2285</v>
      </c>
      <c r="G37" s="142" t="n">
        <v>45791</v>
      </c>
      <c r="H37" s="46" t="s">
        <v>529</v>
      </c>
      <c r="I37" s="138" t="str">
        <f aca="false">IFERROR(VLOOKUP(TEXT(H37,"0"),IPRESS!$A$3:$B$212,2,0),"")</f>
        <v>MARIA AUXILIADORA</v>
      </c>
      <c r="J37" s="46" t="s">
        <v>755</v>
      </c>
      <c r="K37" s="138" t="str">
        <f aca="false">IFERROR(VLOOKUP(TEXT(O37,"0"),CONDUCTORES!$A$3:$G$100,7,0),"")</f>
        <v/>
      </c>
      <c r="L37" s="44" t="n">
        <v>20.25</v>
      </c>
      <c r="M37" s="44" t="n">
        <v>7</v>
      </c>
      <c r="N37" s="139" t="n">
        <f aca="false">IFERROR(IF(L37*M37=0,"",L37*M37),"")</f>
        <v>141.75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85" t="s">
        <v>1317</v>
      </c>
      <c r="S37" s="110" t="s">
        <v>2286</v>
      </c>
      <c r="T37" s="46"/>
      <c r="U37" s="85"/>
      <c r="V37" s="46"/>
      <c r="W37" s="46" t="s">
        <v>760</v>
      </c>
      <c r="X37" s="46" t="s">
        <v>761</v>
      </c>
      <c r="Y37" s="85"/>
    </row>
    <row r="38" customFormat="false" ht="15.75" hidden="false" customHeight="true" outlineLevel="0" collapsed="false">
      <c r="A38" s="106" t="n">
        <v>18</v>
      </c>
      <c r="B38" s="107" t="s">
        <v>2287</v>
      </c>
      <c r="C38" s="106" t="s">
        <v>752</v>
      </c>
      <c r="D38" s="107" t="s">
        <v>2288</v>
      </c>
      <c r="E38" s="136" t="s">
        <v>99</v>
      </c>
      <c r="F38" s="106" t="s">
        <v>2289</v>
      </c>
      <c r="G38" s="137" t="n">
        <v>45792</v>
      </c>
      <c r="H38" s="106" t="s">
        <v>529</v>
      </c>
      <c r="I38" s="138" t="str">
        <f aca="false">IFERROR(VLOOKUP(TEXT(H38,"0"),IPRESS!$A$3:$B$212,2,0),"")</f>
        <v>MARIA AUXILIADORA</v>
      </c>
      <c r="J38" s="106" t="s">
        <v>755</v>
      </c>
      <c r="K38" s="138" t="str">
        <f aca="false">IFERROR(VLOOKUP(TEXT(O38,"0"),CONDUCTORES!$A$3:$G$100,7,0),"")</f>
        <v/>
      </c>
      <c r="L38" s="50" t="n">
        <v>20.25</v>
      </c>
      <c r="M38" s="50" t="n">
        <v>7</v>
      </c>
      <c r="N38" s="139" t="n">
        <f aca="false">IFERROR(IF(L38*M38=0,"",L38*M38),"")</f>
        <v>141.75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40" t="s">
        <v>1317</v>
      </c>
      <c r="S38" s="107" t="s">
        <v>2290</v>
      </c>
      <c r="T38" s="136"/>
      <c r="U38" s="140"/>
      <c r="V38" s="106"/>
      <c r="W38" s="106" t="s">
        <v>760</v>
      </c>
      <c r="X38" s="106" t="s">
        <v>761</v>
      </c>
      <c r="Y38" s="85"/>
    </row>
    <row r="39" customFormat="false" ht="15.75" hidden="false" customHeight="true" outlineLevel="0" collapsed="false">
      <c r="A39" s="46" t="n">
        <v>19</v>
      </c>
      <c r="B39" s="110" t="s">
        <v>2291</v>
      </c>
      <c r="C39" s="46" t="s">
        <v>752</v>
      </c>
      <c r="D39" s="110" t="s">
        <v>2292</v>
      </c>
      <c r="E39" s="46" t="s">
        <v>99</v>
      </c>
      <c r="F39" s="46" t="s">
        <v>2293</v>
      </c>
      <c r="G39" s="142" t="n">
        <v>45795</v>
      </c>
      <c r="H39" s="46" t="s">
        <v>529</v>
      </c>
      <c r="I39" s="138" t="str">
        <f aca="false">IFERROR(VLOOKUP(TEXT(H39,"0"),IPRESS!$A$3:$B$212,2,0),"")</f>
        <v>MARIA AUXILIADORA</v>
      </c>
      <c r="J39" s="46" t="s">
        <v>755</v>
      </c>
      <c r="K39" s="138" t="str">
        <f aca="false">IFERROR(VLOOKUP(TEXT(O39,"0"),CONDUCTORES!$A$3:$G$100,7,0),"")</f>
        <v/>
      </c>
      <c r="L39" s="44" t="n">
        <v>20.25</v>
      </c>
      <c r="M39" s="44" t="n">
        <v>7</v>
      </c>
      <c r="N39" s="139" t="n">
        <f aca="false">IFERROR(IF(L39*M39=0,"",L39*M39),"")</f>
        <v>141.75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85" t="s">
        <v>1317</v>
      </c>
      <c r="S39" s="110" t="s">
        <v>2294</v>
      </c>
      <c r="T39" s="46"/>
      <c r="U39" s="85"/>
      <c r="V39" s="46"/>
      <c r="W39" s="46" t="s">
        <v>760</v>
      </c>
      <c r="X39" s="46" t="s">
        <v>761</v>
      </c>
      <c r="Y39" s="85"/>
    </row>
    <row r="40" customFormat="false" ht="15.75" hidden="false" customHeight="true" outlineLevel="0" collapsed="false">
      <c r="A40" s="106" t="n">
        <v>20</v>
      </c>
      <c r="B40" s="107" t="s">
        <v>2295</v>
      </c>
      <c r="C40" s="106" t="s">
        <v>752</v>
      </c>
      <c r="D40" s="107" t="s">
        <v>2296</v>
      </c>
      <c r="E40" s="136" t="s">
        <v>99</v>
      </c>
      <c r="F40" s="106" t="s">
        <v>2297</v>
      </c>
      <c r="G40" s="137" t="n">
        <v>45796</v>
      </c>
      <c r="H40" s="106" t="s">
        <v>529</v>
      </c>
      <c r="I40" s="138" t="str">
        <f aca="false">IFERROR(VLOOKUP(TEXT(H40,"0"),IPRESS!$A$3:$B$212,2,0),"")</f>
        <v>MARIA AUXILIADORA</v>
      </c>
      <c r="J40" s="106" t="s">
        <v>755</v>
      </c>
      <c r="K40" s="138" t="str">
        <f aca="false">IFERROR(VLOOKUP(TEXT(O40,"0"),CONDUCTORES!$A$3:$G$100,7,0),"")</f>
        <v/>
      </c>
      <c r="L40" s="50" t="n">
        <v>20.25</v>
      </c>
      <c r="M40" s="50" t="n">
        <v>7</v>
      </c>
      <c r="N40" s="139" t="n">
        <f aca="false">IFERROR(IF(L40*M40=0,"",L40*M40),"")</f>
        <v>141.75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40" t="s">
        <v>1317</v>
      </c>
      <c r="S40" s="107" t="s">
        <v>2298</v>
      </c>
      <c r="T40" s="136"/>
      <c r="U40" s="140"/>
      <c r="V40" s="106"/>
      <c r="W40" s="106" t="s">
        <v>760</v>
      </c>
      <c r="X40" s="106" t="s">
        <v>761</v>
      </c>
      <c r="Y40" s="85"/>
    </row>
    <row r="41" customFormat="false" ht="15.75" hidden="false" customHeight="true" outlineLevel="0" collapsed="false">
      <c r="A41" s="46" t="n">
        <v>21</v>
      </c>
      <c r="B41" s="110" t="s">
        <v>2299</v>
      </c>
      <c r="C41" s="46" t="s">
        <v>752</v>
      </c>
      <c r="D41" s="110" t="s">
        <v>1949</v>
      </c>
      <c r="E41" s="46" t="s">
        <v>99</v>
      </c>
      <c r="F41" s="46" t="s">
        <v>1950</v>
      </c>
      <c r="G41" s="142" t="n">
        <v>45796</v>
      </c>
      <c r="H41" s="46" t="s">
        <v>529</v>
      </c>
      <c r="I41" s="138" t="str">
        <f aca="false">IFERROR(VLOOKUP(TEXT(H41,"0"),IPRESS!$A$3:$B$212,2,0),"")</f>
        <v>MARIA AUXILIADORA</v>
      </c>
      <c r="J41" s="46" t="s">
        <v>755</v>
      </c>
      <c r="K41" s="138" t="str">
        <f aca="false">IFERROR(VLOOKUP(TEXT(O41,"0"),CONDUCTORES!$A$3:$G$100,7,0),"")</f>
        <v/>
      </c>
      <c r="L41" s="44" t="n">
        <v>20.25</v>
      </c>
      <c r="M41" s="44" t="n">
        <v>7</v>
      </c>
      <c r="N41" s="139" t="n">
        <f aca="false">IFERROR(IF(L41*M41=0,"",L41*M41),"")</f>
        <v>141.75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85" t="s">
        <v>1317</v>
      </c>
      <c r="S41" s="110" t="s">
        <v>2300</v>
      </c>
      <c r="T41" s="46"/>
      <c r="U41" s="85"/>
      <c r="V41" s="46"/>
      <c r="W41" s="46" t="s">
        <v>760</v>
      </c>
      <c r="X41" s="46" t="s">
        <v>761</v>
      </c>
      <c r="Y41" s="85"/>
    </row>
    <row r="42" customFormat="false" ht="15.75" hidden="false" customHeight="true" outlineLevel="0" collapsed="false">
      <c r="A42" s="106" t="n">
        <v>22</v>
      </c>
      <c r="B42" s="107" t="s">
        <v>2301</v>
      </c>
      <c r="C42" s="106" t="s">
        <v>752</v>
      </c>
      <c r="D42" s="107" t="s">
        <v>2302</v>
      </c>
      <c r="E42" s="136" t="s">
        <v>99</v>
      </c>
      <c r="F42" s="106" t="s">
        <v>2303</v>
      </c>
      <c r="G42" s="137" t="n">
        <v>45797</v>
      </c>
      <c r="H42" s="106" t="s">
        <v>529</v>
      </c>
      <c r="I42" s="138" t="str">
        <f aca="false">IFERROR(VLOOKUP(TEXT(H42,"0"),IPRESS!$A$3:$B$212,2,0),"")</f>
        <v>MARIA AUXILIADORA</v>
      </c>
      <c r="J42" s="106" t="s">
        <v>755</v>
      </c>
      <c r="K42" s="138" t="str">
        <f aca="false">IFERROR(VLOOKUP(TEXT(O42,"0"),CONDUCTORES!$A$3:$G$100,7,0),"")</f>
        <v/>
      </c>
      <c r="L42" s="50" t="n">
        <v>20.25</v>
      </c>
      <c r="M42" s="50" t="n">
        <v>7</v>
      </c>
      <c r="N42" s="139" t="n">
        <f aca="false">IFERROR(IF(L42*M42=0,"",L42*M42),"")</f>
        <v>141.75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40" t="s">
        <v>1317</v>
      </c>
      <c r="S42" s="107" t="s">
        <v>2304</v>
      </c>
      <c r="T42" s="136"/>
      <c r="U42" s="140"/>
      <c r="V42" s="106"/>
      <c r="W42" s="106" t="s">
        <v>760</v>
      </c>
      <c r="X42" s="106" t="s">
        <v>761</v>
      </c>
      <c r="Y42" s="85"/>
    </row>
    <row r="43" customFormat="false" ht="15.75" hidden="false" customHeight="true" outlineLevel="0" collapsed="false">
      <c r="A43" s="46" t="n">
        <v>23</v>
      </c>
      <c r="B43" s="110" t="s">
        <v>2305</v>
      </c>
      <c r="C43" s="46" t="s">
        <v>752</v>
      </c>
      <c r="D43" s="110" t="s">
        <v>2306</v>
      </c>
      <c r="E43" s="46" t="s">
        <v>99</v>
      </c>
      <c r="F43" s="46" t="s">
        <v>2307</v>
      </c>
      <c r="G43" s="142" t="n">
        <v>45798</v>
      </c>
      <c r="H43" s="46" t="s">
        <v>529</v>
      </c>
      <c r="I43" s="138" t="str">
        <f aca="false">IFERROR(VLOOKUP(TEXT(H43,"0"),IPRESS!$A$3:$B$212,2,0),"")</f>
        <v>MARIA AUXILIADORA</v>
      </c>
      <c r="J43" s="46" t="s">
        <v>755</v>
      </c>
      <c r="K43" s="138" t="str">
        <f aca="false">IFERROR(VLOOKUP(TEXT(O43,"0"),CONDUCTORES!$A$3:$G$100,7,0),"")</f>
        <v/>
      </c>
      <c r="L43" s="44" t="n">
        <v>20.25</v>
      </c>
      <c r="M43" s="44" t="n">
        <v>7</v>
      </c>
      <c r="N43" s="139" t="n">
        <f aca="false">IFERROR(IF(L43*M43=0,"",L43*M43),"")</f>
        <v>141.75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85" t="s">
        <v>1317</v>
      </c>
      <c r="S43" s="110" t="s">
        <v>2308</v>
      </c>
      <c r="T43" s="46"/>
      <c r="U43" s="85"/>
      <c r="V43" s="46"/>
      <c r="W43" s="46" t="s">
        <v>760</v>
      </c>
      <c r="X43" s="46" t="s">
        <v>761</v>
      </c>
      <c r="Y43" s="85"/>
    </row>
    <row r="44" customFormat="false" ht="15.75" hidden="false" customHeight="true" outlineLevel="0" collapsed="false">
      <c r="A44" s="106" t="n">
        <v>24</v>
      </c>
      <c r="B44" s="107" t="s">
        <v>2309</v>
      </c>
      <c r="C44" s="106" t="s">
        <v>752</v>
      </c>
      <c r="D44" s="107" t="s">
        <v>2310</v>
      </c>
      <c r="E44" s="136" t="s">
        <v>99</v>
      </c>
      <c r="F44" s="106" t="s">
        <v>2311</v>
      </c>
      <c r="G44" s="137" t="n">
        <v>45800</v>
      </c>
      <c r="H44" s="106" t="s">
        <v>529</v>
      </c>
      <c r="I44" s="138" t="str">
        <f aca="false">IFERROR(VLOOKUP(TEXT(H44,"0"),IPRESS!$A$3:$B$212,2,0),"")</f>
        <v>MARIA AUXILIADORA</v>
      </c>
      <c r="J44" s="106" t="s">
        <v>755</v>
      </c>
      <c r="K44" s="138" t="str">
        <f aca="false">IFERROR(VLOOKUP(TEXT(O44,"0"),CONDUCTORES!$A$3:$G$100,7,0),"")</f>
        <v/>
      </c>
      <c r="L44" s="50" t="n">
        <v>20.25</v>
      </c>
      <c r="M44" s="50" t="n">
        <v>6</v>
      </c>
      <c r="N44" s="139" t="n">
        <f aca="false">IFERROR(IF(L44*M44=0,"",L44*M44),"")</f>
        <v>121.5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40" t="s">
        <v>1317</v>
      </c>
      <c r="S44" s="107" t="s">
        <v>2312</v>
      </c>
      <c r="T44" s="136"/>
      <c r="U44" s="140"/>
      <c r="V44" s="106"/>
      <c r="W44" s="106" t="s">
        <v>760</v>
      </c>
      <c r="X44" s="106" t="s">
        <v>761</v>
      </c>
      <c r="Y44" s="85"/>
    </row>
    <row r="45" customFormat="false" ht="15.75" hidden="false" customHeight="true" outlineLevel="0" collapsed="false">
      <c r="A45" s="46" t="n">
        <v>25</v>
      </c>
      <c r="B45" s="110" t="s">
        <v>2313</v>
      </c>
      <c r="C45" s="46" t="s">
        <v>752</v>
      </c>
      <c r="D45" s="110" t="s">
        <v>2314</v>
      </c>
      <c r="E45" s="46" t="s">
        <v>99</v>
      </c>
      <c r="F45" s="46" t="s">
        <v>2315</v>
      </c>
      <c r="G45" s="142" t="n">
        <v>45804</v>
      </c>
      <c r="H45" s="46" t="s">
        <v>529</v>
      </c>
      <c r="I45" s="138" t="str">
        <f aca="false">IFERROR(VLOOKUP(TEXT(H45,"0"),IPRESS!$A$3:$B$212,2,0),"")</f>
        <v>MARIA AUXILIADORA</v>
      </c>
      <c r="J45" s="46" t="s">
        <v>755</v>
      </c>
      <c r="K45" s="138" t="str">
        <f aca="false">IFERROR(VLOOKUP(TEXT(O45,"0"),CONDUCTORES!$A$3:$G$100,7,0),"")</f>
        <v/>
      </c>
      <c r="L45" s="44" t="n">
        <v>20.25</v>
      </c>
      <c r="M45" s="44" t="n">
        <v>6</v>
      </c>
      <c r="N45" s="139" t="n">
        <f aca="false">IFERROR(IF(L45*M45=0,"",L45*M45),"")</f>
        <v>121.5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85" t="s">
        <v>1317</v>
      </c>
      <c r="S45" s="110" t="s">
        <v>2316</v>
      </c>
      <c r="T45" s="46"/>
      <c r="U45" s="85"/>
      <c r="V45" s="46"/>
      <c r="W45" s="46" t="s">
        <v>760</v>
      </c>
      <c r="X45" s="46" t="s">
        <v>761</v>
      </c>
      <c r="Y45" s="85"/>
    </row>
    <row r="46" customFormat="false" ht="15.75" hidden="false" customHeight="true" outlineLevel="0" collapsed="false">
      <c r="A46" s="106" t="n">
        <v>21</v>
      </c>
      <c r="B46" s="107" t="s">
        <v>2317</v>
      </c>
      <c r="C46" s="106" t="s">
        <v>752</v>
      </c>
      <c r="D46" s="107" t="s">
        <v>2318</v>
      </c>
      <c r="E46" s="136" t="s">
        <v>99</v>
      </c>
      <c r="F46" s="106" t="s">
        <v>2319</v>
      </c>
      <c r="G46" s="137" t="n">
        <v>45806</v>
      </c>
      <c r="H46" s="106" t="s">
        <v>529</v>
      </c>
      <c r="I46" s="138" t="str">
        <f aca="false">IFERROR(VLOOKUP(TEXT(H46,"0"),IPRESS!$A$3:$B$212,2,0),"")</f>
        <v>MARIA AUXILIADORA</v>
      </c>
      <c r="J46" s="106" t="s">
        <v>755</v>
      </c>
      <c r="K46" s="138" t="str">
        <f aca="false">IFERROR(VLOOKUP(TEXT(O46,"0"),CONDUCTORES!$A$3:$G$100,7,0),"")</f>
        <v/>
      </c>
      <c r="L46" s="50" t="n">
        <v>20.25</v>
      </c>
      <c r="M46" s="50" t="n">
        <v>6</v>
      </c>
      <c r="N46" s="139" t="n">
        <f aca="false">IFERROR(IF(L46*M46=0,"",L46*M46),"")</f>
        <v>121.5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40" t="s">
        <v>1317</v>
      </c>
      <c r="S46" s="107" t="s">
        <v>2320</v>
      </c>
      <c r="T46" s="136"/>
      <c r="U46" s="140"/>
      <c r="V46" s="106"/>
      <c r="W46" s="106" t="s">
        <v>760</v>
      </c>
      <c r="X46" s="106" t="s">
        <v>761</v>
      </c>
      <c r="Y46" s="85"/>
    </row>
    <row r="47" customFormat="false" ht="15.75" hidden="false" customHeight="true" outlineLevel="0" collapsed="false">
      <c r="A47" s="46" t="n">
        <v>22</v>
      </c>
      <c r="B47" s="110" t="s">
        <v>2321</v>
      </c>
      <c r="C47" s="46" t="s">
        <v>752</v>
      </c>
      <c r="D47" s="110" t="s">
        <v>2322</v>
      </c>
      <c r="E47" s="46" t="s">
        <v>99</v>
      </c>
      <c r="F47" s="46" t="s">
        <v>2323</v>
      </c>
      <c r="G47" s="142" t="n">
        <v>45807</v>
      </c>
      <c r="H47" s="46" t="s">
        <v>529</v>
      </c>
      <c r="I47" s="138" t="str">
        <f aca="false">IFERROR(VLOOKUP(TEXT(H47,"0"),IPRESS!$A$3:$B$212,2,0),"")</f>
        <v>MARIA AUXILIADORA</v>
      </c>
      <c r="J47" s="46" t="s">
        <v>755</v>
      </c>
      <c r="K47" s="138" t="str">
        <f aca="false">IFERROR(VLOOKUP(TEXT(O47,"0"),CONDUCTORES!$A$3:$G$100,7,0),"")</f>
        <v/>
      </c>
      <c r="L47" s="44" t="n">
        <v>20.25</v>
      </c>
      <c r="M47" s="44" t="n">
        <v>7</v>
      </c>
      <c r="N47" s="139" t="n">
        <f aca="false">IFERROR(IF(L47*M47=0,"",L47*M47),"")</f>
        <v>141.75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85" t="s">
        <v>1317</v>
      </c>
      <c r="S47" s="110" t="s">
        <v>2324</v>
      </c>
      <c r="T47" s="46"/>
      <c r="U47" s="85"/>
      <c r="V47" s="46"/>
      <c r="W47" s="46" t="s">
        <v>760</v>
      </c>
      <c r="X47" s="46" t="s">
        <v>761</v>
      </c>
      <c r="Y47" s="85"/>
    </row>
    <row r="48" customFormat="false" ht="15.75" hidden="false" customHeight="true" outlineLevel="0" collapsed="false">
      <c r="A48" s="106" t="n">
        <v>23</v>
      </c>
      <c r="B48" s="107" t="s">
        <v>1306</v>
      </c>
      <c r="C48" s="106" t="s">
        <v>752</v>
      </c>
      <c r="D48" s="107" t="s">
        <v>2292</v>
      </c>
      <c r="E48" s="136" t="s">
        <v>99</v>
      </c>
      <c r="F48" s="106" t="s">
        <v>2293</v>
      </c>
      <c r="G48" s="137" t="n">
        <v>45795</v>
      </c>
      <c r="H48" s="106" t="s">
        <v>466</v>
      </c>
      <c r="I48" s="138" t="str">
        <f aca="false">IFERROR(VLOOKUP(TEXT(H48,"0"),IPRESS!$A$3:$B$212,2,0),"")</f>
        <v>HUAMBO</v>
      </c>
      <c r="J48" s="106" t="s">
        <v>529</v>
      </c>
      <c r="K48" s="138" t="str">
        <f aca="false">IFERROR(VLOOKUP(TEXT(O48,"0"),CONDUCTORES!$A$3:$G$100,7,0),"")</f>
        <v/>
      </c>
      <c r="L48" s="50" t="n">
        <v>20.25</v>
      </c>
      <c r="M48" s="50" t="n">
        <v>3</v>
      </c>
      <c r="N48" s="139" t="n">
        <f aca="false">IFERROR(IF(L48*M48=0,"",L48*M48),"")</f>
        <v>60.75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37" t="n">
        <v>46010</v>
      </c>
      <c r="S48" s="107" t="s">
        <v>1044</v>
      </c>
      <c r="T48" s="136"/>
      <c r="U48" s="140"/>
      <c r="V48" s="106"/>
      <c r="W48" s="106"/>
      <c r="X48" s="106"/>
      <c r="Y48" s="85"/>
    </row>
    <row r="49" customFormat="false" ht="15.75" hidden="false" customHeight="true" outlineLevel="0" collapsed="false">
      <c r="A49" s="46" t="n">
        <v>24</v>
      </c>
      <c r="B49" s="110" t="s">
        <v>836</v>
      </c>
      <c r="C49" s="46" t="s">
        <v>752</v>
      </c>
      <c r="D49" s="110" t="s">
        <v>2325</v>
      </c>
      <c r="E49" s="46" t="s">
        <v>99</v>
      </c>
      <c r="F49" s="46" t="s">
        <v>2326</v>
      </c>
      <c r="G49" s="142" t="n">
        <v>45799</v>
      </c>
      <c r="H49" s="46" t="s">
        <v>483</v>
      </c>
      <c r="I49" s="138" t="str">
        <f aca="false">IFERROR(VLOOKUP(TEXT(H49,"0"),IPRESS!$A$3:$B$212,2,0),"")</f>
        <v>JUMBILLA</v>
      </c>
      <c r="J49" s="46" t="s">
        <v>755</v>
      </c>
      <c r="K49" s="138" t="str">
        <f aca="false">IFERROR(VLOOKUP(TEXT(O49,"0"),CONDUCTORES!$A$3:$G$100,7,0),"")</f>
        <v/>
      </c>
      <c r="L49" s="44" t="n">
        <v>18.18</v>
      </c>
      <c r="M49" s="44" t="n">
        <v>12</v>
      </c>
      <c r="N49" s="139" t="n">
        <f aca="false">IFERROR(IF(L49*M49=0,"",L49*M49),"")</f>
        <v>218.16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142" t="n">
        <v>45828</v>
      </c>
      <c r="S49" s="110" t="s">
        <v>2327</v>
      </c>
      <c r="T49" s="46"/>
      <c r="U49" s="85"/>
      <c r="V49" s="46"/>
      <c r="W49" s="46"/>
      <c r="X49" s="46"/>
      <c r="Y49" s="85"/>
    </row>
    <row r="50" customFormat="false" ht="15.75" hidden="false" customHeight="true" outlineLevel="0" collapsed="false">
      <c r="A50" s="106" t="n">
        <v>25</v>
      </c>
      <c r="B50" s="107" t="s">
        <v>873</v>
      </c>
      <c r="C50" s="106" t="s">
        <v>752</v>
      </c>
      <c r="D50" s="107" t="s">
        <v>2328</v>
      </c>
      <c r="E50" s="136" t="s">
        <v>99</v>
      </c>
      <c r="F50" s="106" t="s">
        <v>2329</v>
      </c>
      <c r="G50" s="137" t="n">
        <v>45808</v>
      </c>
      <c r="H50" s="106" t="s">
        <v>483</v>
      </c>
      <c r="I50" s="138" t="str">
        <f aca="false">IFERROR(VLOOKUP(TEXT(H50,"0"),IPRESS!$A$3:$B$212,2,0),"")</f>
        <v>JUMBILLA</v>
      </c>
      <c r="J50" s="106" t="s">
        <v>755</v>
      </c>
      <c r="K50" s="138" t="str">
        <f aca="false">IFERROR(VLOOKUP(TEXT(O50,"0"),CONDUCTORES!$A$3:$G$100,7,0),"")</f>
        <v/>
      </c>
      <c r="L50" s="50" t="n">
        <v>18.18</v>
      </c>
      <c r="M50" s="50" t="n">
        <v>12</v>
      </c>
      <c r="N50" s="139" t="n">
        <f aca="false">IFERROR(IF(L50*M50=0,"",L50*M50),"")</f>
        <v>218.16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37" t="n">
        <v>45828</v>
      </c>
      <c r="S50" s="107" t="s">
        <v>2330</v>
      </c>
      <c r="T50" s="136"/>
      <c r="U50" s="140"/>
      <c r="V50" s="106"/>
      <c r="W50" s="106"/>
      <c r="X50" s="106"/>
      <c r="Y50" s="85"/>
    </row>
    <row r="51" customFormat="false" ht="15.75" hidden="false" customHeight="true" outlineLevel="0" collapsed="false">
      <c r="A51" s="46" t="n">
        <v>26</v>
      </c>
      <c r="B51" s="110" t="s">
        <v>1207</v>
      </c>
      <c r="C51" s="46" t="s">
        <v>752</v>
      </c>
      <c r="D51" s="110" t="s">
        <v>2331</v>
      </c>
      <c r="E51" s="46" t="s">
        <v>99</v>
      </c>
      <c r="F51" s="46" t="s">
        <v>2332</v>
      </c>
      <c r="G51" s="142" t="n">
        <v>45796</v>
      </c>
      <c r="H51" s="46" t="s">
        <v>480</v>
      </c>
      <c r="I51" s="138" t="str">
        <f aca="false">IFERROR(VLOOKUP(TEXT(H51,"0"),IPRESS!$A$3:$B$212,2,0),"")</f>
        <v>JALCA GRANDE</v>
      </c>
      <c r="J51" s="46" t="s">
        <v>755</v>
      </c>
      <c r="K51" s="138" t="str">
        <f aca="false">IFERROR(VLOOKUP(TEXT(O51,"0"),CONDUCTORES!$A$3:$G$100,7,0),"")</f>
        <v/>
      </c>
      <c r="L51" s="44" t="n">
        <v>18.18</v>
      </c>
      <c r="M51" s="44" t="n">
        <v>8</v>
      </c>
      <c r="N51" s="139" t="n">
        <f aca="false">IFERROR(IF(L51*M51=0,"",L51*M51),"")</f>
        <v>145.44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85" t="s">
        <v>972</v>
      </c>
      <c r="S51" s="110" t="s">
        <v>2333</v>
      </c>
      <c r="T51" s="46"/>
      <c r="U51" s="85"/>
      <c r="V51" s="46"/>
      <c r="W51" s="46"/>
      <c r="X51" s="46"/>
      <c r="Y51" s="85"/>
    </row>
    <row r="52" customFormat="false" ht="15.75" hidden="false" customHeight="true" outlineLevel="0" collapsed="false">
      <c r="A52" s="106" t="n">
        <v>27</v>
      </c>
      <c r="B52" s="107" t="s">
        <v>1197</v>
      </c>
      <c r="C52" s="106" t="s">
        <v>752</v>
      </c>
      <c r="D52" s="107" t="s">
        <v>2334</v>
      </c>
      <c r="E52" s="136" t="s">
        <v>99</v>
      </c>
      <c r="F52" s="106" t="s">
        <v>2335</v>
      </c>
      <c r="G52" s="137" t="n">
        <v>45803</v>
      </c>
      <c r="H52" s="106" t="s">
        <v>480</v>
      </c>
      <c r="I52" s="138" t="str">
        <f aca="false">IFERROR(VLOOKUP(TEXT(H52,"0"),IPRESS!$A$3:$B$212,2,0),"")</f>
        <v>JALCA GRANDE</v>
      </c>
      <c r="J52" s="106" t="s">
        <v>755</v>
      </c>
      <c r="K52" s="138" t="str">
        <f aca="false">IFERROR(VLOOKUP(TEXT(O52,"0"),CONDUCTORES!$A$3:$G$100,7,0),"")</f>
        <v/>
      </c>
      <c r="L52" s="50" t="n">
        <v>18.18</v>
      </c>
      <c r="M52" s="50" t="n">
        <v>8</v>
      </c>
      <c r="N52" s="139" t="n">
        <f aca="false">IFERROR(IF(L52*M52=0,"",L52*M52),"")</f>
        <v>145.44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40" t="s">
        <v>972</v>
      </c>
      <c r="S52" s="107" t="s">
        <v>2336</v>
      </c>
      <c r="T52" s="136"/>
      <c r="U52" s="140"/>
      <c r="V52" s="106"/>
      <c r="W52" s="106"/>
      <c r="X52" s="106"/>
      <c r="Y52" s="85"/>
    </row>
    <row r="53" customFormat="false" ht="15.75" hidden="false" customHeight="true" outlineLevel="0" collapsed="false">
      <c r="A53" s="46" t="n">
        <v>28</v>
      </c>
      <c r="B53" s="110" t="s">
        <v>844</v>
      </c>
      <c r="C53" s="46" t="s">
        <v>752</v>
      </c>
      <c r="D53" s="110" t="s">
        <v>2337</v>
      </c>
      <c r="E53" s="46" t="s">
        <v>99</v>
      </c>
      <c r="F53" s="46" t="s">
        <v>2338</v>
      </c>
      <c r="G53" s="142" t="n">
        <v>45808</v>
      </c>
      <c r="H53" s="46" t="s">
        <v>480</v>
      </c>
      <c r="I53" s="138" t="str">
        <f aca="false">IFERROR(VLOOKUP(TEXT(H53,"0"),IPRESS!$A$3:$B$212,2,0),"")</f>
        <v>JALCA GRANDE</v>
      </c>
      <c r="J53" s="46" t="s">
        <v>755</v>
      </c>
      <c r="K53" s="138" t="str">
        <f aca="false">IFERROR(VLOOKUP(TEXT(O53,"0"),CONDUCTORES!$A$3:$G$100,7,0),"")</f>
        <v/>
      </c>
      <c r="L53" s="44" t="n">
        <v>18.18</v>
      </c>
      <c r="M53" s="44" t="n">
        <v>8</v>
      </c>
      <c r="N53" s="139" t="n">
        <f aca="false">IFERROR(IF(L53*M53=0,"",L53*M53),"")</f>
        <v>145.44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85" t="s">
        <v>972</v>
      </c>
      <c r="S53" s="110" t="s">
        <v>2339</v>
      </c>
      <c r="T53" s="46"/>
      <c r="U53" s="85"/>
      <c r="V53" s="46"/>
      <c r="W53" s="46"/>
      <c r="X53" s="46"/>
      <c r="Y53" s="85"/>
    </row>
    <row r="54" customFormat="false" ht="15.75" hidden="false" customHeight="true" outlineLevel="0" collapsed="false">
      <c r="A54" s="106" t="n">
        <v>29</v>
      </c>
      <c r="B54" s="107" t="s">
        <v>840</v>
      </c>
      <c r="C54" s="106" t="s">
        <v>752</v>
      </c>
      <c r="D54" s="107" t="s">
        <v>2340</v>
      </c>
      <c r="E54" s="136" t="s">
        <v>99</v>
      </c>
      <c r="F54" s="106" t="s">
        <v>2341</v>
      </c>
      <c r="G54" s="137" t="n">
        <v>45807</v>
      </c>
      <c r="H54" s="106" t="s">
        <v>480</v>
      </c>
      <c r="I54" s="138" t="str">
        <f aca="false">IFERROR(VLOOKUP(TEXT(H54,"0"),IPRESS!$A$3:$B$212,2,0),"")</f>
        <v>JALCA GRANDE</v>
      </c>
      <c r="J54" s="106" t="s">
        <v>755</v>
      </c>
      <c r="K54" s="138" t="str">
        <f aca="false">IFERROR(VLOOKUP(TEXT(O54,"0"),CONDUCTORES!$A$3:$G$100,7,0),"")</f>
        <v/>
      </c>
      <c r="L54" s="50" t="n">
        <v>18.18</v>
      </c>
      <c r="M54" s="50" t="n">
        <v>8</v>
      </c>
      <c r="N54" s="139" t="n">
        <f aca="false">IFERROR(IF(L54*M54=0,"",L54*M54),"")</f>
        <v>145.44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40" t="s">
        <v>972</v>
      </c>
      <c r="S54" s="107" t="s">
        <v>2342</v>
      </c>
      <c r="T54" s="136"/>
      <c r="U54" s="140"/>
      <c r="V54" s="106"/>
      <c r="W54" s="106"/>
      <c r="X54" s="106"/>
      <c r="Y54" s="85"/>
    </row>
    <row r="55" customFormat="false" ht="15.75" hidden="false" customHeight="true" outlineLevel="0" collapsed="false">
      <c r="A55" s="46" t="n">
        <v>30</v>
      </c>
      <c r="B55" s="110" t="s">
        <v>1425</v>
      </c>
      <c r="C55" s="46" t="s">
        <v>752</v>
      </c>
      <c r="D55" s="110" t="s">
        <v>2343</v>
      </c>
      <c r="E55" s="46" t="s">
        <v>99</v>
      </c>
      <c r="F55" s="46" t="s">
        <v>2344</v>
      </c>
      <c r="G55" s="142" t="n">
        <v>45785</v>
      </c>
      <c r="H55" s="46" t="s">
        <v>500</v>
      </c>
      <c r="I55" s="138" t="str">
        <f aca="false">IFERROR(VLOOKUP(TEXT(H55,"0"),IPRESS!$A$3:$B$212,2,0),"")</f>
        <v>LAMUD</v>
      </c>
      <c r="J55" s="46" t="s">
        <v>755</v>
      </c>
      <c r="K55" s="138" t="str">
        <f aca="false">IFERROR(VLOOKUP(TEXT(O55,"0"),CONDUCTORES!$A$3:$G$100,7,0),"")</f>
        <v/>
      </c>
      <c r="L55" s="44" t="n">
        <v>18.18</v>
      </c>
      <c r="M55" s="44" t="n">
        <v>4</v>
      </c>
      <c r="N55" s="139" t="n">
        <f aca="false">IFERROR(IF(L55*M55=0,"",L55*M55),"")</f>
        <v>72.72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142" t="n">
        <v>45828</v>
      </c>
      <c r="S55" s="110" t="s">
        <v>2345</v>
      </c>
      <c r="T55" s="46"/>
      <c r="U55" s="85"/>
      <c r="V55" s="46"/>
      <c r="W55" s="46"/>
      <c r="X55" s="46"/>
      <c r="Y55" s="85"/>
    </row>
    <row r="56" customFormat="false" ht="15.75" hidden="false" customHeight="true" outlineLevel="0" collapsed="false">
      <c r="A56" s="106" t="n">
        <v>26</v>
      </c>
      <c r="B56" s="107" t="s">
        <v>888</v>
      </c>
      <c r="C56" s="106" t="s">
        <v>752</v>
      </c>
      <c r="D56" s="107" t="s">
        <v>2346</v>
      </c>
      <c r="E56" s="136" t="s">
        <v>99</v>
      </c>
      <c r="F56" s="106" t="s">
        <v>2347</v>
      </c>
      <c r="G56" s="137" t="n">
        <v>45796</v>
      </c>
      <c r="H56" s="106" t="s">
        <v>500</v>
      </c>
      <c r="I56" s="138" t="str">
        <f aca="false">IFERROR(VLOOKUP(TEXT(H56,"0"),IPRESS!$A$3:$B$212,2,0),"")</f>
        <v>LAMUD</v>
      </c>
      <c r="J56" s="106" t="s">
        <v>755</v>
      </c>
      <c r="K56" s="138" t="str">
        <f aca="false">IFERROR(VLOOKUP(TEXT(O56,"0"),CONDUCTORES!$A$3:$G$100,7,0),"")</f>
        <v/>
      </c>
      <c r="L56" s="50" t="n">
        <v>18.18</v>
      </c>
      <c r="M56" s="50" t="n">
        <v>4</v>
      </c>
      <c r="N56" s="139" t="n">
        <f aca="false">IFERROR(IF(L56*M56=0,"",L56*M56),"")</f>
        <v>72.72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37" t="n">
        <v>45987</v>
      </c>
      <c r="S56" s="107" t="s">
        <v>2348</v>
      </c>
      <c r="T56" s="136"/>
      <c r="U56" s="140"/>
      <c r="V56" s="106" t="s">
        <v>2349</v>
      </c>
      <c r="W56" s="106" t="s">
        <v>2350</v>
      </c>
      <c r="X56" s="106" t="s">
        <v>2351</v>
      </c>
      <c r="Y56" s="85"/>
    </row>
    <row r="57" customFormat="false" ht="15.75" hidden="false" customHeight="true" outlineLevel="0" collapsed="false">
      <c r="A57" s="46" t="n">
        <v>27</v>
      </c>
      <c r="B57" s="110" t="s">
        <v>892</v>
      </c>
      <c r="C57" s="46" t="s">
        <v>752</v>
      </c>
      <c r="D57" s="110" t="s">
        <v>2352</v>
      </c>
      <c r="E57" s="46" t="s">
        <v>99</v>
      </c>
      <c r="F57" s="46" t="s">
        <v>2353</v>
      </c>
      <c r="G57" s="142" t="n">
        <v>45800</v>
      </c>
      <c r="H57" s="46" t="s">
        <v>500</v>
      </c>
      <c r="I57" s="138" t="str">
        <f aca="false">IFERROR(VLOOKUP(TEXT(H57,"0"),IPRESS!$A$3:$B$212,2,0),"")</f>
        <v>LAMUD</v>
      </c>
      <c r="J57" s="46" t="s">
        <v>755</v>
      </c>
      <c r="K57" s="138" t="str">
        <f aca="false">IFERROR(VLOOKUP(TEXT(O57,"0"),CONDUCTORES!$A$3:$G$100,7,0),"")</f>
        <v/>
      </c>
      <c r="L57" s="44" t="n">
        <v>18.18</v>
      </c>
      <c r="M57" s="44" t="n">
        <v>4</v>
      </c>
      <c r="N57" s="139" t="n">
        <f aca="false">IFERROR(IF(L57*M57=0,"",L57*M57),"")</f>
        <v>72.72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142" t="n">
        <v>45987</v>
      </c>
      <c r="S57" s="110" t="s">
        <v>2354</v>
      </c>
      <c r="T57" s="46"/>
      <c r="U57" s="85"/>
      <c r="V57" s="46" t="s">
        <v>2349</v>
      </c>
      <c r="W57" s="46" t="s">
        <v>2350</v>
      </c>
      <c r="X57" s="46" t="s">
        <v>2351</v>
      </c>
      <c r="Y57" s="85"/>
    </row>
    <row r="58" customFormat="false" ht="15.75" hidden="false" customHeight="true" outlineLevel="0" collapsed="false">
      <c r="A58" s="106" t="n">
        <v>28</v>
      </c>
      <c r="B58" s="107" t="s">
        <v>2355</v>
      </c>
      <c r="C58" s="106" t="s">
        <v>752</v>
      </c>
      <c r="D58" s="107" t="s">
        <v>1648</v>
      </c>
      <c r="E58" s="136" t="s">
        <v>99</v>
      </c>
      <c r="F58" s="106" t="s">
        <v>1649</v>
      </c>
      <c r="G58" s="137" t="n">
        <v>45791</v>
      </c>
      <c r="H58" s="106" t="s">
        <v>500</v>
      </c>
      <c r="I58" s="138" t="str">
        <f aca="false">IFERROR(VLOOKUP(TEXT(H58,"0"),IPRESS!$A$3:$B$212,2,0),"")</f>
        <v>LAMUD</v>
      </c>
      <c r="J58" s="106" t="s">
        <v>755</v>
      </c>
      <c r="K58" s="138" t="str">
        <f aca="false">IFERROR(VLOOKUP(TEXT(O58,"0"),CONDUCTORES!$A$3:$G$100,7,0),"")</f>
        <v/>
      </c>
      <c r="L58" s="50" t="n">
        <v>18.18</v>
      </c>
      <c r="M58" s="50" t="n">
        <v>4</v>
      </c>
      <c r="N58" s="139" t="n">
        <f aca="false">IFERROR(IF(L58*M58=0,"",L58*M58),"")</f>
        <v>72.72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37" t="n">
        <v>45828</v>
      </c>
      <c r="S58" s="107" t="s">
        <v>2356</v>
      </c>
      <c r="T58" s="136"/>
      <c r="U58" s="140"/>
      <c r="V58" s="106"/>
      <c r="W58" s="106"/>
      <c r="X58" s="106"/>
      <c r="Y58" s="85"/>
    </row>
    <row r="59" customFormat="false" ht="15.75" hidden="false" customHeight="true" outlineLevel="0" collapsed="false">
      <c r="A59" s="46" t="n">
        <v>29</v>
      </c>
      <c r="B59" s="110" t="s">
        <v>1128</v>
      </c>
      <c r="C59" s="46" t="s">
        <v>752</v>
      </c>
      <c r="D59" s="110" t="s">
        <v>2357</v>
      </c>
      <c r="E59" s="46" t="s">
        <v>99</v>
      </c>
      <c r="F59" s="46" t="s">
        <v>2358</v>
      </c>
      <c r="G59" s="142" t="n">
        <v>45792</v>
      </c>
      <c r="H59" s="46" t="s">
        <v>500</v>
      </c>
      <c r="I59" s="138" t="str">
        <f aca="false">IFERROR(VLOOKUP(TEXT(H59,"0"),IPRESS!$A$3:$B$212,2,0),"")</f>
        <v>LAMUD</v>
      </c>
      <c r="J59" s="46" t="s">
        <v>755</v>
      </c>
      <c r="K59" s="138" t="str">
        <f aca="false">IFERROR(VLOOKUP(TEXT(O59,"0"),CONDUCTORES!$A$3:$G$100,7,0),"")</f>
        <v/>
      </c>
      <c r="L59" s="44" t="n">
        <v>18.18</v>
      </c>
      <c r="M59" s="44" t="n">
        <v>4</v>
      </c>
      <c r="N59" s="139" t="n">
        <f aca="false">IFERROR(IF(L59*M59=0,"",L59*M59),"")</f>
        <v>72.72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142" t="n">
        <v>45828</v>
      </c>
      <c r="S59" s="110" t="s">
        <v>2359</v>
      </c>
      <c r="T59" s="46"/>
      <c r="U59" s="85"/>
      <c r="V59" s="46"/>
      <c r="W59" s="46"/>
      <c r="X59" s="46"/>
      <c r="Y59" s="85"/>
    </row>
    <row r="60" customFormat="false" ht="15.75" hidden="false" customHeight="true" outlineLevel="0" collapsed="false">
      <c r="A60" s="106" t="n">
        <v>30</v>
      </c>
      <c r="B60" s="107" t="s">
        <v>1134</v>
      </c>
      <c r="C60" s="106" t="s">
        <v>752</v>
      </c>
      <c r="D60" s="107" t="s">
        <v>2360</v>
      </c>
      <c r="E60" s="136" t="s">
        <v>99</v>
      </c>
      <c r="F60" s="106" t="s">
        <v>2361</v>
      </c>
      <c r="G60" s="137" t="n">
        <v>45793</v>
      </c>
      <c r="H60" s="106" t="s">
        <v>500</v>
      </c>
      <c r="I60" s="138" t="str">
        <f aca="false">IFERROR(VLOOKUP(TEXT(H60,"0"),IPRESS!$A$3:$B$212,2,0),"")</f>
        <v>LAMUD</v>
      </c>
      <c r="J60" s="106" t="s">
        <v>755</v>
      </c>
      <c r="K60" s="138" t="str">
        <f aca="false">IFERROR(VLOOKUP(TEXT(O60,"0"),CONDUCTORES!$A$3:$G$100,7,0),"")</f>
        <v/>
      </c>
      <c r="L60" s="50" t="n">
        <v>18.18</v>
      </c>
      <c r="M60" s="50" t="n">
        <v>4</v>
      </c>
      <c r="N60" s="139" t="n">
        <f aca="false">IFERROR(IF(L60*M60=0,"",L60*M60),"")</f>
        <v>72.72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37" t="n">
        <v>45828</v>
      </c>
      <c r="S60" s="107" t="s">
        <v>2362</v>
      </c>
      <c r="T60" s="136"/>
      <c r="U60" s="140"/>
      <c r="V60" s="106"/>
      <c r="W60" s="106"/>
      <c r="X60" s="106"/>
      <c r="Y60" s="85"/>
    </row>
    <row r="61" customFormat="false" ht="15.75" hidden="false" customHeight="true" outlineLevel="0" collapsed="false">
      <c r="A61" s="46" t="n">
        <v>31</v>
      </c>
      <c r="B61" s="110" t="s">
        <v>883</v>
      </c>
      <c r="C61" s="46" t="s">
        <v>752</v>
      </c>
      <c r="D61" s="110" t="s">
        <v>2363</v>
      </c>
      <c r="E61" s="46" t="s">
        <v>99</v>
      </c>
      <c r="F61" s="46" t="s">
        <v>2364</v>
      </c>
      <c r="G61" s="142" t="n">
        <v>45793</v>
      </c>
      <c r="H61" s="46" t="s">
        <v>500</v>
      </c>
      <c r="I61" s="138" t="str">
        <f aca="false">IFERROR(VLOOKUP(TEXT(H61,"0"),IPRESS!$A$3:$B$212,2,0),"")</f>
        <v>LAMUD</v>
      </c>
      <c r="J61" s="46" t="s">
        <v>755</v>
      </c>
      <c r="K61" s="138" t="str">
        <f aca="false">IFERROR(VLOOKUP(TEXT(O61,"0"),CONDUCTORES!$A$3:$G$100,7,0),"")</f>
        <v/>
      </c>
      <c r="L61" s="44" t="n">
        <v>18.18</v>
      </c>
      <c r="M61" s="44" t="n">
        <v>4</v>
      </c>
      <c r="N61" s="139" t="n">
        <f aca="false">IFERROR(IF(L61*M61=0,"",L61*M61),"")</f>
        <v>72.72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142" t="n">
        <v>45828</v>
      </c>
      <c r="S61" s="110" t="s">
        <v>2365</v>
      </c>
      <c r="T61" s="46"/>
      <c r="U61" s="85"/>
      <c r="V61" s="46"/>
      <c r="W61" s="46"/>
      <c r="X61" s="46"/>
      <c r="Y61" s="85"/>
    </row>
    <row r="62" customFormat="false" ht="15.75" hidden="false" customHeight="true" outlineLevel="0" collapsed="false">
      <c r="A62" s="106" t="n">
        <v>32</v>
      </c>
      <c r="B62" s="107" t="s">
        <v>1679</v>
      </c>
      <c r="C62" s="106" t="s">
        <v>752</v>
      </c>
      <c r="D62" s="107" t="s">
        <v>2366</v>
      </c>
      <c r="E62" s="136" t="s">
        <v>99</v>
      </c>
      <c r="F62" s="106" t="s">
        <v>2367</v>
      </c>
      <c r="G62" s="137" t="n">
        <v>45804</v>
      </c>
      <c r="H62" s="106" t="s">
        <v>500</v>
      </c>
      <c r="I62" s="138" t="str">
        <f aca="false">IFERROR(VLOOKUP(TEXT(H62,"0"),IPRESS!$A$3:$B$212,2,0),"")</f>
        <v>LAMUD</v>
      </c>
      <c r="J62" s="106" t="s">
        <v>755</v>
      </c>
      <c r="K62" s="138" t="str">
        <f aca="false">IFERROR(VLOOKUP(TEXT(O62,"0"),CONDUCTORES!$A$3:$G$100,7,0),"")</f>
        <v/>
      </c>
      <c r="L62" s="50" t="n">
        <v>18.18</v>
      </c>
      <c r="M62" s="50" t="n">
        <v>4</v>
      </c>
      <c r="N62" s="139" t="n">
        <f aca="false">IFERROR(IF(L62*M62=0,"",L62*M62),"")</f>
        <v>72.72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37" t="n">
        <v>45987</v>
      </c>
      <c r="S62" s="107" t="s">
        <v>2368</v>
      </c>
      <c r="T62" s="136"/>
      <c r="U62" s="140"/>
      <c r="V62" s="106" t="s">
        <v>2349</v>
      </c>
      <c r="W62" s="106" t="s">
        <v>2350</v>
      </c>
      <c r="X62" s="106" t="s">
        <v>2351</v>
      </c>
      <c r="Y62" s="85"/>
    </row>
    <row r="63" customFormat="false" ht="15.75" hidden="false" customHeight="true" outlineLevel="0" collapsed="false">
      <c r="A63" s="46" t="n">
        <v>33</v>
      </c>
      <c r="B63" s="110" t="s">
        <v>1684</v>
      </c>
      <c r="C63" s="46" t="s">
        <v>752</v>
      </c>
      <c r="D63" s="110" t="s">
        <v>2369</v>
      </c>
      <c r="E63" s="46" t="s">
        <v>99</v>
      </c>
      <c r="F63" s="46" t="s">
        <v>2370</v>
      </c>
      <c r="G63" s="142" t="n">
        <v>45807</v>
      </c>
      <c r="H63" s="46" t="s">
        <v>500</v>
      </c>
      <c r="I63" s="138" t="str">
        <f aca="false">IFERROR(VLOOKUP(TEXT(H63,"0"),IPRESS!$A$3:$B$212,2,0),"")</f>
        <v>LAMUD</v>
      </c>
      <c r="J63" s="46" t="s">
        <v>755</v>
      </c>
      <c r="K63" s="138" t="str">
        <f aca="false">IFERROR(VLOOKUP(TEXT(O63,"0"),CONDUCTORES!$A$3:$G$100,7,0),"")</f>
        <v/>
      </c>
      <c r="L63" s="44" t="n">
        <v>18.18</v>
      </c>
      <c r="M63" s="44" t="n">
        <v>4</v>
      </c>
      <c r="N63" s="139" t="n">
        <f aca="false">IFERROR(IF(L63*M63=0,"",L63*M63),"")</f>
        <v>72.72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142" t="n">
        <v>45987</v>
      </c>
      <c r="S63" s="110" t="s">
        <v>2371</v>
      </c>
      <c r="T63" s="46"/>
      <c r="U63" s="85"/>
      <c r="V63" s="46" t="s">
        <v>2349</v>
      </c>
      <c r="W63" s="46" t="s">
        <v>2350</v>
      </c>
      <c r="X63" s="46" t="s">
        <v>2351</v>
      </c>
      <c r="Y63" s="85"/>
    </row>
    <row r="64" customFormat="false" ht="15.75" hidden="false" customHeight="true" outlineLevel="0" collapsed="false">
      <c r="A64" s="106" t="n">
        <v>34</v>
      </c>
      <c r="B64" s="107" t="s">
        <v>1207</v>
      </c>
      <c r="C64" s="106" t="s">
        <v>752</v>
      </c>
      <c r="D64" s="107" t="s">
        <v>2372</v>
      </c>
      <c r="E64" s="136" t="s">
        <v>99</v>
      </c>
      <c r="F64" s="106" t="s">
        <v>2373</v>
      </c>
      <c r="G64" s="137" t="n">
        <v>45791</v>
      </c>
      <c r="H64" s="106" t="s">
        <v>507</v>
      </c>
      <c r="I64" s="138" t="str">
        <f aca="false">IFERROR(VLOOKUP(TEXT(H64,"0"),IPRESS!$A$3:$B$212,2,0),"")</f>
        <v>LEYMEBAMBA</v>
      </c>
      <c r="J64" s="106" t="s">
        <v>755</v>
      </c>
      <c r="K64" s="138" t="str">
        <f aca="false">IFERROR(VLOOKUP(TEXT(O64,"0"),CONDUCTORES!$A$3:$G$100,7,0),"")</f>
        <v/>
      </c>
      <c r="L64" s="50" t="n">
        <v>18.18</v>
      </c>
      <c r="M64" s="50" t="n">
        <v>7.5</v>
      </c>
      <c r="N64" s="139" t="n">
        <f aca="false">IFERROR(IF(L64*M64=0,"",L64*M64),"")</f>
        <v>136.35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40" t="s">
        <v>1317</v>
      </c>
      <c r="S64" s="107" t="s">
        <v>2374</v>
      </c>
      <c r="T64" s="136"/>
      <c r="U64" s="140"/>
      <c r="V64" s="106"/>
      <c r="W64" s="106" t="s">
        <v>785</v>
      </c>
      <c r="X64" s="106" t="s">
        <v>918</v>
      </c>
      <c r="Y64" s="85"/>
    </row>
    <row r="65" customFormat="false" ht="15.75" hidden="false" customHeight="true" outlineLevel="0" collapsed="false">
      <c r="A65" s="46" t="n">
        <v>35</v>
      </c>
      <c r="B65" s="110" t="s">
        <v>1302</v>
      </c>
      <c r="C65" s="46" t="s">
        <v>752</v>
      </c>
      <c r="D65" s="110" t="s">
        <v>2375</v>
      </c>
      <c r="E65" s="46" t="s">
        <v>99</v>
      </c>
      <c r="F65" s="46" t="s">
        <v>2376</v>
      </c>
      <c r="G65" s="142" t="n">
        <v>45805</v>
      </c>
      <c r="H65" s="46" t="s">
        <v>507</v>
      </c>
      <c r="I65" s="138" t="str">
        <f aca="false">IFERROR(VLOOKUP(TEXT(H65,"0"),IPRESS!$A$3:$B$212,2,0),"")</f>
        <v>LEYMEBAMBA</v>
      </c>
      <c r="J65" s="46" t="s">
        <v>755</v>
      </c>
      <c r="K65" s="138" t="str">
        <f aca="false">IFERROR(VLOOKUP(TEXT(O65,"0"),CONDUCTORES!$A$3:$G$100,7,0),"")</f>
        <v/>
      </c>
      <c r="L65" s="44" t="n">
        <v>18.18</v>
      </c>
      <c r="M65" s="44" t="n">
        <v>7.5</v>
      </c>
      <c r="N65" s="139" t="n">
        <f aca="false">IFERROR(IF(L65*M65=0,"",L65*M65),"")</f>
        <v>136.35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85" t="s">
        <v>1317</v>
      </c>
      <c r="S65" s="110" t="s">
        <v>1375</v>
      </c>
      <c r="T65" s="46"/>
      <c r="U65" s="85"/>
      <c r="V65" s="46"/>
      <c r="W65" s="46" t="s">
        <v>785</v>
      </c>
      <c r="X65" s="46" t="s">
        <v>918</v>
      </c>
      <c r="Y65" s="85"/>
    </row>
    <row r="66" customFormat="false" ht="15.75" hidden="false" customHeight="true" outlineLevel="0" collapsed="false">
      <c r="A66" s="106" t="n">
        <v>31</v>
      </c>
      <c r="B66" s="107" t="s">
        <v>1197</v>
      </c>
      <c r="C66" s="106" t="s">
        <v>752</v>
      </c>
      <c r="D66" s="107" t="s">
        <v>2377</v>
      </c>
      <c r="E66" s="136" t="s">
        <v>99</v>
      </c>
      <c r="F66" s="106" t="s">
        <v>2378</v>
      </c>
      <c r="G66" s="137" t="n">
        <v>45792</v>
      </c>
      <c r="H66" s="106" t="s">
        <v>507</v>
      </c>
      <c r="I66" s="138" t="str">
        <f aca="false">IFERROR(VLOOKUP(TEXT(H66,"0"),IPRESS!$A$3:$B$212,2,0),"")</f>
        <v>LEYMEBAMBA</v>
      </c>
      <c r="J66" s="106" t="s">
        <v>755</v>
      </c>
      <c r="K66" s="138" t="str">
        <f aca="false">IFERROR(VLOOKUP(TEXT(O66,"0"),CONDUCTORES!$A$3:$G$100,7,0),"")</f>
        <v/>
      </c>
      <c r="L66" s="50" t="n">
        <v>18.18</v>
      </c>
      <c r="M66" s="50" t="n">
        <v>7.5</v>
      </c>
      <c r="N66" s="139" t="n">
        <f aca="false">IFERROR(IF(L66*M66=0,"",L66*M66),"")</f>
        <v>136.35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37" t="n">
        <v>45873</v>
      </c>
      <c r="S66" s="107" t="s">
        <v>2379</v>
      </c>
      <c r="T66" s="136"/>
      <c r="U66" s="140"/>
      <c r="V66" s="106"/>
      <c r="W66" s="106"/>
      <c r="X66" s="106"/>
      <c r="Y66" s="85"/>
    </row>
    <row r="67" customFormat="false" ht="15.75" hidden="false" customHeight="true" outlineLevel="0" collapsed="false">
      <c r="A67" s="46" t="n">
        <v>32</v>
      </c>
      <c r="B67" s="110" t="s">
        <v>1306</v>
      </c>
      <c r="C67" s="46" t="s">
        <v>752</v>
      </c>
      <c r="D67" s="110" t="s">
        <v>2380</v>
      </c>
      <c r="E67" s="46" t="s">
        <v>99</v>
      </c>
      <c r="F67" s="46" t="s">
        <v>2381</v>
      </c>
      <c r="G67" s="142" t="n">
        <v>45806</v>
      </c>
      <c r="H67" s="46" t="s">
        <v>507</v>
      </c>
      <c r="I67" s="138" t="str">
        <f aca="false">IFERROR(VLOOKUP(TEXT(H67,"0"),IPRESS!$A$3:$B$212,2,0),"")</f>
        <v>LEYMEBAMBA</v>
      </c>
      <c r="J67" s="46" t="s">
        <v>755</v>
      </c>
      <c r="K67" s="138" t="str">
        <f aca="false">IFERROR(VLOOKUP(TEXT(O67,"0"),CONDUCTORES!$A$3:$G$100,7,0),"")</f>
        <v/>
      </c>
      <c r="L67" s="44" t="n">
        <v>18.18</v>
      </c>
      <c r="M67" s="44" t="n">
        <v>7.5</v>
      </c>
      <c r="N67" s="139" t="n">
        <f aca="false">IFERROR(IF(L67*M67=0,"",L67*M67),"")</f>
        <v>136.35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142" t="n">
        <v>45873</v>
      </c>
      <c r="S67" s="110" t="s">
        <v>1602</v>
      </c>
      <c r="T67" s="46"/>
      <c r="U67" s="85"/>
      <c r="V67" s="46"/>
      <c r="W67" s="46"/>
      <c r="X67" s="46"/>
      <c r="Y67" s="85"/>
    </row>
    <row r="68" customFormat="false" ht="15.75" hidden="false" customHeight="true" outlineLevel="0" collapsed="false">
      <c r="A68" s="106" t="n">
        <v>33</v>
      </c>
      <c r="B68" s="107" t="s">
        <v>1306</v>
      </c>
      <c r="C68" s="106" t="s">
        <v>752</v>
      </c>
      <c r="D68" s="107" t="s">
        <v>2382</v>
      </c>
      <c r="E68" s="136" t="s">
        <v>99</v>
      </c>
      <c r="F68" s="106" t="s">
        <v>2383</v>
      </c>
      <c r="G68" s="137" t="n">
        <v>45791</v>
      </c>
      <c r="H68" s="106" t="s">
        <v>528</v>
      </c>
      <c r="I68" s="138" t="str">
        <f aca="false">IFERROR(VLOOKUP(TEXT(H68,"0"),IPRESS!$A$3:$B$212,2,0),"")</f>
        <v>MARIA</v>
      </c>
      <c r="J68" s="106" t="s">
        <v>755</v>
      </c>
      <c r="K68" s="138" t="str">
        <f aca="false">IFERROR(VLOOKUP(TEXT(O68,"0"),CONDUCTORES!$A$3:$G$100,7,0),"")</f>
        <v/>
      </c>
      <c r="L68" s="50" t="n">
        <v>18.18</v>
      </c>
      <c r="M68" s="50" t="n">
        <v>25</v>
      </c>
      <c r="N68" s="139" t="n">
        <f aca="false">IFERROR(IF(L68*M68=0,"",L68*M68),"")</f>
        <v>454.5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37" t="n">
        <v>45827</v>
      </c>
      <c r="S68" s="107" t="s">
        <v>2384</v>
      </c>
      <c r="T68" s="136"/>
      <c r="U68" s="140"/>
      <c r="V68" s="106"/>
      <c r="W68" s="106"/>
      <c r="X68" s="106"/>
      <c r="Y68" s="85"/>
    </row>
    <row r="69" customFormat="false" ht="15.75" hidden="false" customHeight="true" outlineLevel="0" collapsed="false">
      <c r="A69" s="143" t="n">
        <v>34</v>
      </c>
      <c r="B69" s="144" t="s">
        <v>883</v>
      </c>
      <c r="C69" s="143" t="s">
        <v>752</v>
      </c>
      <c r="D69" s="144" t="s">
        <v>2385</v>
      </c>
      <c r="E69" s="143" t="s">
        <v>99</v>
      </c>
      <c r="F69" s="143" t="s">
        <v>2386</v>
      </c>
      <c r="G69" s="145" t="n">
        <v>45781</v>
      </c>
      <c r="H69" s="143" t="s">
        <v>547</v>
      </c>
      <c r="I69" s="138" t="str">
        <f aca="false">IFERROR(VLOOKUP(TEXT(H69,"0"),IPRESS!$A$3:$B$212,2,0),"")</f>
        <v>MOLINOPAMPA</v>
      </c>
      <c r="J69" s="143" t="s">
        <v>755</v>
      </c>
      <c r="K69" s="138" t="str">
        <f aca="false">IFERROR(VLOOKUP(TEXT(O69,"0"),CONDUCTORES!$A$3:$G$100,7,0),"")</f>
        <v/>
      </c>
      <c r="L69" s="146" t="n">
        <v>17.95</v>
      </c>
      <c r="M69" s="146" t="n">
        <v>8</v>
      </c>
      <c r="N69" s="139" t="n">
        <f aca="false">IFERROR(IF(L69*M69=0,"",L69*M69),"")</f>
        <v>143.6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145" t="n">
        <v>45835</v>
      </c>
      <c r="S69" s="144" t="s">
        <v>2387</v>
      </c>
      <c r="T69" s="143"/>
      <c r="U69" s="147"/>
      <c r="V69" s="143"/>
      <c r="W69" s="143"/>
      <c r="X69" s="143"/>
      <c r="Y69" s="85"/>
    </row>
    <row r="70" customFormat="false" ht="15.75" hidden="false" customHeight="true" outlineLevel="0" collapsed="false">
      <c r="A70" s="143" t="n">
        <v>35</v>
      </c>
      <c r="B70" s="144" t="s">
        <v>888</v>
      </c>
      <c r="C70" s="143" t="s">
        <v>752</v>
      </c>
      <c r="D70" s="144" t="s">
        <v>2388</v>
      </c>
      <c r="E70" s="143" t="s">
        <v>99</v>
      </c>
      <c r="F70" s="143" t="s">
        <v>2389</v>
      </c>
      <c r="G70" s="145" t="n">
        <v>45781</v>
      </c>
      <c r="H70" s="143" t="s">
        <v>547</v>
      </c>
      <c r="I70" s="138" t="str">
        <f aca="false">IFERROR(VLOOKUP(TEXT(H70,"0"),IPRESS!$A$3:$B$212,2,0),"")</f>
        <v>MOLINOPAMPA</v>
      </c>
      <c r="J70" s="143" t="s">
        <v>755</v>
      </c>
      <c r="K70" s="138" t="str">
        <f aca="false">IFERROR(VLOOKUP(TEXT(O70,"0"),CONDUCTORES!$A$3:$G$100,7,0),"")</f>
        <v/>
      </c>
      <c r="L70" s="146" t="n">
        <v>17.95</v>
      </c>
      <c r="M70" s="146" t="n">
        <v>8</v>
      </c>
      <c r="N70" s="139" t="n">
        <f aca="false">IFERROR(IF(L70*M70=0,"",L70*M70),"")</f>
        <v>143.6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45" t="n">
        <v>45835</v>
      </c>
      <c r="S70" s="144" t="s">
        <v>2390</v>
      </c>
      <c r="T70" s="143"/>
      <c r="U70" s="147"/>
      <c r="V70" s="143"/>
      <c r="W70" s="143"/>
      <c r="X70" s="143"/>
      <c r="Y70" s="85"/>
    </row>
    <row r="71" customFormat="false" ht="15.75" hidden="false" customHeight="true" outlineLevel="0" collapsed="false">
      <c r="A71" s="143" t="n">
        <v>36</v>
      </c>
      <c r="B71" s="144" t="s">
        <v>892</v>
      </c>
      <c r="C71" s="143" t="s">
        <v>752</v>
      </c>
      <c r="D71" s="144" t="s">
        <v>2391</v>
      </c>
      <c r="E71" s="143" t="s">
        <v>99</v>
      </c>
      <c r="F71" s="143" t="s">
        <v>2392</v>
      </c>
      <c r="G71" s="145" t="n">
        <v>45793</v>
      </c>
      <c r="H71" s="143" t="s">
        <v>547</v>
      </c>
      <c r="I71" s="138" t="str">
        <f aca="false">IFERROR(VLOOKUP(TEXT(H71,"0"),IPRESS!$A$3:$B$212,2,0),"")</f>
        <v>MOLINOPAMPA</v>
      </c>
      <c r="J71" s="143" t="s">
        <v>755</v>
      </c>
      <c r="K71" s="138" t="str">
        <f aca="false">IFERROR(VLOOKUP(TEXT(O71,"0"),CONDUCTORES!$A$3:$G$100,7,0),"")</f>
        <v/>
      </c>
      <c r="L71" s="146" t="n">
        <v>17.95</v>
      </c>
      <c r="M71" s="146" t="n">
        <v>8</v>
      </c>
      <c r="N71" s="139" t="n">
        <f aca="false">IFERROR(IF(L71*M71=0,"",L71*M71),"")</f>
        <v>143.6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145" t="n">
        <v>45835</v>
      </c>
      <c r="S71" s="144" t="s">
        <v>2393</v>
      </c>
      <c r="T71" s="143"/>
      <c r="U71" s="147"/>
      <c r="V71" s="143"/>
      <c r="W71" s="143"/>
      <c r="X71" s="143"/>
      <c r="Y71" s="85"/>
    </row>
    <row r="72" customFormat="false" ht="15.75" hidden="false" customHeight="true" outlineLevel="0" collapsed="false">
      <c r="A72" s="143" t="n">
        <v>37</v>
      </c>
      <c r="B72" s="144" t="s">
        <v>1679</v>
      </c>
      <c r="C72" s="143" t="s">
        <v>752</v>
      </c>
      <c r="D72" s="144" t="s">
        <v>2394</v>
      </c>
      <c r="E72" s="143" t="s">
        <v>99</v>
      </c>
      <c r="F72" s="143" t="s">
        <v>2395</v>
      </c>
      <c r="G72" s="145" t="n">
        <v>45804</v>
      </c>
      <c r="H72" s="143" t="s">
        <v>547</v>
      </c>
      <c r="I72" s="138" t="str">
        <f aca="false">IFERROR(VLOOKUP(TEXT(H72,"0"),IPRESS!$A$3:$B$212,2,0),"")</f>
        <v>MOLINOPAMPA</v>
      </c>
      <c r="J72" s="143" t="s">
        <v>755</v>
      </c>
      <c r="K72" s="138" t="str">
        <f aca="false">IFERROR(VLOOKUP(TEXT(O72,"0"),CONDUCTORES!$A$3:$G$100,7,0),"")</f>
        <v/>
      </c>
      <c r="L72" s="146" t="n">
        <v>17.95</v>
      </c>
      <c r="M72" s="146" t="n">
        <v>8</v>
      </c>
      <c r="N72" s="139" t="n">
        <f aca="false">IFERROR(IF(L72*M72=0,"",L72*M72),"")</f>
        <v>143.6</v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45" t="n">
        <v>45835</v>
      </c>
      <c r="S72" s="144" t="s">
        <v>2396</v>
      </c>
      <c r="T72" s="143"/>
      <c r="U72" s="147"/>
      <c r="V72" s="143"/>
      <c r="W72" s="143"/>
      <c r="X72" s="143"/>
      <c r="Y72" s="85"/>
    </row>
    <row r="73" customFormat="false" ht="15.75" hidden="false" customHeight="true" outlineLevel="0" collapsed="false">
      <c r="A73" s="46" t="n">
        <v>38</v>
      </c>
      <c r="B73" s="110" t="s">
        <v>787</v>
      </c>
      <c r="C73" s="46" t="s">
        <v>752</v>
      </c>
      <c r="D73" s="110" t="s">
        <v>2277</v>
      </c>
      <c r="E73" s="46" t="s">
        <v>99</v>
      </c>
      <c r="F73" s="46" t="s">
        <v>2278</v>
      </c>
      <c r="G73" s="142" t="n">
        <v>45789</v>
      </c>
      <c r="H73" s="46" t="s">
        <v>552</v>
      </c>
      <c r="I73" s="138" t="str">
        <f aca="false">IFERROR(VLOOKUP(TEXT(H73,"0"),IPRESS!$A$3:$B$212,2,0),"")</f>
        <v>NUEVA ESPERANZA</v>
      </c>
      <c r="J73" s="46" t="s">
        <v>529</v>
      </c>
      <c r="K73" s="138" t="str">
        <f aca="false">IFERROR(VLOOKUP(TEXT(O73,"0"),CONDUCTORES!$A$3:$G$100,7,0),"")</f>
        <v/>
      </c>
      <c r="L73" s="44" t="n">
        <v>20.25</v>
      </c>
      <c r="M73" s="44" t="n">
        <v>10</v>
      </c>
      <c r="N73" s="139" t="n">
        <f aca="false">IFERROR(IF(L73*M73=0,"",L73*M73),"")</f>
        <v>202.5</v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142" t="n">
        <v>45828</v>
      </c>
      <c r="S73" s="110" t="s">
        <v>2397</v>
      </c>
      <c r="T73" s="46"/>
      <c r="U73" s="85"/>
      <c r="V73" s="46"/>
      <c r="W73" s="46"/>
      <c r="X73" s="46"/>
      <c r="Y73" s="85"/>
    </row>
    <row r="74" customFormat="false" ht="15.75" hidden="false" customHeight="true" outlineLevel="0" collapsed="false">
      <c r="A74" s="106" t="n">
        <v>39</v>
      </c>
      <c r="B74" s="107" t="s">
        <v>1262</v>
      </c>
      <c r="C74" s="106" t="s">
        <v>752</v>
      </c>
      <c r="D74" s="107" t="s">
        <v>2280</v>
      </c>
      <c r="E74" s="136" t="s">
        <v>99</v>
      </c>
      <c r="F74" s="106" t="s">
        <v>2281</v>
      </c>
      <c r="G74" s="137" t="n">
        <v>45788</v>
      </c>
      <c r="H74" s="106" t="s">
        <v>556</v>
      </c>
      <c r="I74" s="138" t="str">
        <f aca="false">IFERROR(VLOOKUP(TEXT(H74,"0"),IPRESS!$A$3:$B$212,2,0),"")</f>
        <v>NUEVO CHIRIMOTO</v>
      </c>
      <c r="J74" s="106" t="s">
        <v>529</v>
      </c>
      <c r="K74" s="138" t="str">
        <f aca="false">IFERROR(VLOOKUP(TEXT(O74,"0"),CONDUCTORES!$A$3:$G$100,7,0),"")</f>
        <v/>
      </c>
      <c r="L74" s="50" t="n">
        <v>20.25</v>
      </c>
      <c r="M74" s="50" t="n">
        <v>10</v>
      </c>
      <c r="N74" s="139" t="n">
        <f aca="false">IFERROR(IF(L74*M74=0,"",L74*M74),"")</f>
        <v>202.5</v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37" t="n">
        <v>45828</v>
      </c>
      <c r="S74" s="107" t="s">
        <v>2398</v>
      </c>
      <c r="T74" s="136"/>
      <c r="U74" s="140"/>
      <c r="V74" s="106" t="s">
        <v>2399</v>
      </c>
      <c r="W74" s="106"/>
      <c r="X74" s="106"/>
      <c r="Y74" s="85"/>
    </row>
    <row r="75" customFormat="false" ht="15.75" hidden="false" customHeight="true" outlineLevel="0" collapsed="false">
      <c r="A75" s="46" t="n">
        <v>40</v>
      </c>
      <c r="B75" s="110" t="s">
        <v>1202</v>
      </c>
      <c r="C75" s="46" t="s">
        <v>752</v>
      </c>
      <c r="D75" s="110" t="s">
        <v>2296</v>
      </c>
      <c r="E75" s="46" t="s">
        <v>99</v>
      </c>
      <c r="F75" s="46" t="s">
        <v>2297</v>
      </c>
      <c r="G75" s="142" t="n">
        <v>45795</v>
      </c>
      <c r="H75" s="46" t="s">
        <v>556</v>
      </c>
      <c r="I75" s="138" t="str">
        <f aca="false">IFERROR(VLOOKUP(TEXT(H75,"0"),IPRESS!$A$3:$B$212,2,0),"")</f>
        <v>NUEVO CHIRIMOTO</v>
      </c>
      <c r="J75" s="46" t="s">
        <v>529</v>
      </c>
      <c r="K75" s="138" t="str">
        <f aca="false">IFERROR(VLOOKUP(TEXT(O75,"0"),CONDUCTORES!$A$3:$G$100,7,0),"")</f>
        <v/>
      </c>
      <c r="L75" s="44" t="n">
        <v>20.25</v>
      </c>
      <c r="M75" s="44" t="n">
        <v>10</v>
      </c>
      <c r="N75" s="139" t="n">
        <f aca="false">IFERROR(IF(L75*M75=0,"",L75*M75),"")</f>
        <v>202.5</v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142" t="n">
        <v>45987</v>
      </c>
      <c r="S75" s="110" t="s">
        <v>2400</v>
      </c>
      <c r="T75" s="46"/>
      <c r="U75" s="85"/>
      <c r="V75" s="46" t="s">
        <v>2399</v>
      </c>
      <c r="W75" s="46" t="s">
        <v>760</v>
      </c>
      <c r="X75" s="46" t="s">
        <v>761</v>
      </c>
      <c r="Y75" s="85"/>
    </row>
    <row r="76" customFormat="false" ht="15.75" hidden="false" customHeight="true" outlineLevel="0" collapsed="false">
      <c r="A76" s="106" t="n">
        <v>36</v>
      </c>
      <c r="B76" s="107" t="s">
        <v>1227</v>
      </c>
      <c r="C76" s="106" t="s">
        <v>752</v>
      </c>
      <c r="D76" s="107" t="s">
        <v>2401</v>
      </c>
      <c r="E76" s="136" t="s">
        <v>99</v>
      </c>
      <c r="F76" s="106" t="s">
        <v>2402</v>
      </c>
      <c r="G76" s="137" t="n">
        <v>45798</v>
      </c>
      <c r="H76" s="106" t="s">
        <v>556</v>
      </c>
      <c r="I76" s="138" t="str">
        <f aca="false">IFERROR(VLOOKUP(TEXT(H76,"0"),IPRESS!$A$3:$B$212,2,0),"")</f>
        <v>NUEVO CHIRIMOTO</v>
      </c>
      <c r="J76" s="106" t="s">
        <v>529</v>
      </c>
      <c r="K76" s="138" t="str">
        <f aca="false">IFERROR(VLOOKUP(TEXT(O76,"0"),CONDUCTORES!$A$3:$G$100,7,0),"")</f>
        <v/>
      </c>
      <c r="L76" s="50" t="n">
        <v>20.25</v>
      </c>
      <c r="M76" s="50" t="n">
        <v>10</v>
      </c>
      <c r="N76" s="139" t="n">
        <f aca="false">IFERROR(IF(L76*M76=0,"",L76*M76),"")</f>
        <v>202.5</v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37" t="n">
        <v>45987</v>
      </c>
      <c r="S76" s="107" t="s">
        <v>2403</v>
      </c>
      <c r="T76" s="136"/>
      <c r="U76" s="140"/>
      <c r="V76" s="106" t="s">
        <v>2399</v>
      </c>
      <c r="W76" s="106" t="s">
        <v>760</v>
      </c>
      <c r="X76" s="106" t="s">
        <v>761</v>
      </c>
      <c r="Y76" s="85"/>
    </row>
    <row r="77" customFormat="false" ht="15.75" hidden="false" customHeight="true" outlineLevel="0" collapsed="false">
      <c r="A77" s="46" t="n">
        <v>37</v>
      </c>
      <c r="B77" s="110" t="s">
        <v>1372</v>
      </c>
      <c r="C77" s="46" t="s">
        <v>752</v>
      </c>
      <c r="D77" s="110" t="s">
        <v>2404</v>
      </c>
      <c r="E77" s="46" t="s">
        <v>99</v>
      </c>
      <c r="F77" s="46" t="s">
        <v>2405</v>
      </c>
      <c r="G77" s="142" t="n">
        <v>45780</v>
      </c>
      <c r="H77" s="46" t="s">
        <v>569</v>
      </c>
      <c r="I77" s="138" t="str">
        <f aca="false">IFERROR(VLOOKUP(TEXT(H77,"0"),IPRESS!$A$3:$B$212,2,0),"")</f>
        <v>OCALLI</v>
      </c>
      <c r="J77" s="46" t="s">
        <v>755</v>
      </c>
      <c r="K77" s="138" t="str">
        <f aca="false">IFERROR(VLOOKUP(TEXT(O77,"0"),CONDUCTORES!$A$3:$G$100,7,0),"")</f>
        <v/>
      </c>
      <c r="L77" s="44" t="n">
        <v>18.18</v>
      </c>
      <c r="M77" s="44" t="n">
        <v>20</v>
      </c>
      <c r="N77" s="139" t="n">
        <f aca="false">IFERROR(IF(L77*M77=0,"",L77*M77),"")</f>
        <v>363.6</v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142" t="n">
        <v>45825</v>
      </c>
      <c r="S77" s="110" t="s">
        <v>2406</v>
      </c>
      <c r="T77" s="46"/>
      <c r="U77" s="85"/>
      <c r="V77" s="46"/>
      <c r="W77" s="46"/>
      <c r="X77" s="46"/>
      <c r="Y77" s="85"/>
    </row>
    <row r="78" customFormat="false" ht="15.75" hidden="false" customHeight="true" outlineLevel="0" collapsed="false">
      <c r="A78" s="106" t="n">
        <v>38</v>
      </c>
      <c r="B78" s="107" t="s">
        <v>919</v>
      </c>
      <c r="C78" s="106" t="s">
        <v>752</v>
      </c>
      <c r="D78" s="107" t="s">
        <v>2407</v>
      </c>
      <c r="E78" s="136" t="s">
        <v>99</v>
      </c>
      <c r="F78" s="106" t="s">
        <v>2076</v>
      </c>
      <c r="G78" s="137" t="n">
        <v>45796</v>
      </c>
      <c r="H78" s="106" t="s">
        <v>572</v>
      </c>
      <c r="I78" s="138" t="str">
        <f aca="false">IFERROR(VLOOKUP(TEXT(H78,"0"),IPRESS!$A$3:$B$212,2,0),"")</f>
        <v>OMIA</v>
      </c>
      <c r="J78" s="106" t="s">
        <v>529</v>
      </c>
      <c r="K78" s="138" t="str">
        <f aca="false">IFERROR(VLOOKUP(TEXT(O78,"0"),CONDUCTORES!$A$3:$G$100,7,0),"")</f>
        <v/>
      </c>
      <c r="L78" s="50" t="n">
        <v>20.25</v>
      </c>
      <c r="M78" s="50" t="n">
        <v>3</v>
      </c>
      <c r="N78" s="139" t="n">
        <f aca="false">IFERROR(IF(L78*M78=0,"",L78*M78),"")</f>
        <v>60.75</v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37" t="n">
        <v>45839</v>
      </c>
      <c r="S78" s="107" t="s">
        <v>2408</v>
      </c>
      <c r="T78" s="136"/>
      <c r="U78" s="140"/>
      <c r="V78" s="106"/>
      <c r="W78" s="106"/>
      <c r="X78" s="106"/>
      <c r="Y78" s="85"/>
    </row>
    <row r="79" customFormat="false" ht="15.75" hidden="false" customHeight="true" outlineLevel="0" collapsed="false">
      <c r="A79" s="46" t="n">
        <v>39</v>
      </c>
      <c r="B79" s="110" t="s">
        <v>1346</v>
      </c>
      <c r="C79" s="46" t="s">
        <v>752</v>
      </c>
      <c r="D79" s="110" t="s">
        <v>2409</v>
      </c>
      <c r="E79" s="46" t="s">
        <v>99</v>
      </c>
      <c r="F79" s="46" t="s">
        <v>2410</v>
      </c>
      <c r="G79" s="142" t="n">
        <v>45791</v>
      </c>
      <c r="H79" s="46" t="s">
        <v>581</v>
      </c>
      <c r="I79" s="138" t="str">
        <f aca="false">IFERROR(VLOOKUP(TEXT(H79,"0"),IPRESS!$A$3:$B$212,2,0),"")</f>
        <v>PEDRO RUIZ GALLO</v>
      </c>
      <c r="J79" s="46" t="s">
        <v>755</v>
      </c>
      <c r="K79" s="138" t="str">
        <f aca="false">IFERROR(VLOOKUP(TEXT(O79,"0"),CONDUCTORES!$A$3:$G$100,7,0),"")</f>
        <v/>
      </c>
      <c r="L79" s="44" t="n">
        <v>18.18</v>
      </c>
      <c r="M79" s="44" t="n">
        <v>5</v>
      </c>
      <c r="N79" s="139" t="n">
        <f aca="false">IFERROR(IF(L79*M79=0,"",L79*M79),"")</f>
        <v>90.9</v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85" t="s">
        <v>886</v>
      </c>
      <c r="S79" s="110" t="s">
        <v>2411</v>
      </c>
      <c r="T79" s="46"/>
      <c r="U79" s="85"/>
      <c r="V79" s="46"/>
      <c r="W79" s="46"/>
      <c r="X79" s="46"/>
      <c r="Y79" s="85"/>
    </row>
    <row r="80" customFormat="false" ht="15.75" hidden="false" customHeight="true" outlineLevel="0" collapsed="false">
      <c r="A80" s="106" t="n">
        <v>40</v>
      </c>
      <c r="B80" s="107" t="s">
        <v>1350</v>
      </c>
      <c r="C80" s="106" t="s">
        <v>752</v>
      </c>
      <c r="D80" s="107" t="s">
        <v>2412</v>
      </c>
      <c r="E80" s="136" t="s">
        <v>99</v>
      </c>
      <c r="F80" s="106" t="s">
        <v>2413</v>
      </c>
      <c r="G80" s="137" t="n">
        <v>45792</v>
      </c>
      <c r="H80" s="106" t="s">
        <v>581</v>
      </c>
      <c r="I80" s="138" t="str">
        <f aca="false">IFERROR(VLOOKUP(TEXT(H80,"0"),IPRESS!$A$3:$B$212,2,0),"")</f>
        <v>PEDRO RUIZ GALLO</v>
      </c>
      <c r="J80" s="106" t="s">
        <v>755</v>
      </c>
      <c r="K80" s="138" t="str">
        <f aca="false">IFERROR(VLOOKUP(TEXT(O80,"0"),CONDUCTORES!$A$3:$G$100,7,0),"")</f>
        <v/>
      </c>
      <c r="L80" s="50" t="n">
        <v>18.18</v>
      </c>
      <c r="M80" s="50" t="n">
        <v>5</v>
      </c>
      <c r="N80" s="139" t="n">
        <f aca="false">IFERROR(IF(L80*M80=0,"",L80*M80),"")</f>
        <v>90.9</v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40" t="s">
        <v>886</v>
      </c>
      <c r="S80" s="107" t="s">
        <v>1008</v>
      </c>
      <c r="T80" s="136"/>
      <c r="U80" s="140"/>
      <c r="V80" s="106"/>
      <c r="W80" s="106"/>
      <c r="X80" s="106"/>
      <c r="Y80" s="85"/>
    </row>
    <row r="81" customFormat="false" ht="15.75" hidden="false" customHeight="true" outlineLevel="0" collapsed="false">
      <c r="A81" s="46" t="n">
        <v>41</v>
      </c>
      <c r="B81" s="110" t="s">
        <v>1310</v>
      </c>
      <c r="C81" s="46" t="s">
        <v>752</v>
      </c>
      <c r="D81" s="110" t="s">
        <v>2414</v>
      </c>
      <c r="E81" s="46" t="s">
        <v>99</v>
      </c>
      <c r="F81" s="46" t="s">
        <v>2415</v>
      </c>
      <c r="G81" s="142" t="n">
        <v>45795</v>
      </c>
      <c r="H81" s="46" t="s">
        <v>581</v>
      </c>
      <c r="I81" s="138" t="str">
        <f aca="false">IFERROR(VLOOKUP(TEXT(H81,"0"),IPRESS!$A$3:$B$212,2,0),"")</f>
        <v>PEDRO RUIZ GALLO</v>
      </c>
      <c r="J81" s="46" t="s">
        <v>755</v>
      </c>
      <c r="K81" s="138" t="str">
        <f aca="false">IFERROR(VLOOKUP(TEXT(O81,"0"),CONDUCTORES!$A$3:$G$100,7,0),"")</f>
        <v/>
      </c>
      <c r="L81" s="44" t="n">
        <v>18.18</v>
      </c>
      <c r="M81" s="44" t="n">
        <v>5</v>
      </c>
      <c r="N81" s="139" t="n">
        <f aca="false">IFERROR(IF(L81*M81=0,"",L81*M81),"")</f>
        <v>90.9</v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85" t="s">
        <v>886</v>
      </c>
      <c r="S81" s="110" t="s">
        <v>2416</v>
      </c>
      <c r="T81" s="46"/>
      <c r="U81" s="85"/>
      <c r="V81" s="46"/>
      <c r="W81" s="46"/>
      <c r="X81" s="46"/>
      <c r="Y81" s="85"/>
    </row>
    <row r="82" customFormat="false" ht="15.75" hidden="false" customHeight="true" outlineLevel="0" collapsed="false">
      <c r="A82" s="143" t="n">
        <v>42</v>
      </c>
      <c r="B82" s="144" t="s">
        <v>1338</v>
      </c>
      <c r="C82" s="143" t="s">
        <v>752</v>
      </c>
      <c r="D82" s="144" t="s">
        <v>2417</v>
      </c>
      <c r="E82" s="143" t="s">
        <v>99</v>
      </c>
      <c r="F82" s="143" t="s">
        <v>2418</v>
      </c>
      <c r="G82" s="145" t="n">
        <v>45781</v>
      </c>
      <c r="H82" s="143" t="s">
        <v>581</v>
      </c>
      <c r="I82" s="138" t="str">
        <f aca="false">IFERROR(VLOOKUP(TEXT(H82,"0"),IPRESS!$A$3:$B$212,2,0),"")</f>
        <v>PEDRO RUIZ GALLO</v>
      </c>
      <c r="J82" s="143" t="s">
        <v>755</v>
      </c>
      <c r="K82" s="138" t="str">
        <f aca="false">IFERROR(VLOOKUP(TEXT(O82,"0"),CONDUCTORES!$A$3:$G$100,7,0),"")</f>
        <v/>
      </c>
      <c r="L82" s="146" t="n">
        <v>17.95</v>
      </c>
      <c r="M82" s="146" t="n">
        <v>6</v>
      </c>
      <c r="N82" s="139" t="n">
        <f aca="false">IFERROR(IF(L82*M82=0,"",L82*M82),"")</f>
        <v>107.7</v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45" t="n">
        <v>45870</v>
      </c>
      <c r="S82" s="144" t="s">
        <v>2419</v>
      </c>
      <c r="T82" s="143"/>
      <c r="U82" s="147"/>
      <c r="V82" s="143"/>
      <c r="W82" s="143"/>
      <c r="X82" s="143"/>
      <c r="Y82" s="85"/>
    </row>
    <row r="83" customFormat="false" ht="15.75" hidden="false" customHeight="true" outlineLevel="0" collapsed="false">
      <c r="A83" s="143" t="n">
        <v>43</v>
      </c>
      <c r="B83" s="144" t="s">
        <v>1342</v>
      </c>
      <c r="C83" s="143" t="s">
        <v>752</v>
      </c>
      <c r="D83" s="144" t="s">
        <v>2420</v>
      </c>
      <c r="E83" s="143" t="s">
        <v>99</v>
      </c>
      <c r="F83" s="143" t="s">
        <v>2421</v>
      </c>
      <c r="G83" s="145" t="n">
        <v>45790</v>
      </c>
      <c r="H83" s="143" t="s">
        <v>581</v>
      </c>
      <c r="I83" s="138" t="str">
        <f aca="false">IFERROR(VLOOKUP(TEXT(H83,"0"),IPRESS!$A$3:$B$212,2,0),"")</f>
        <v>PEDRO RUIZ GALLO</v>
      </c>
      <c r="J83" s="143" t="s">
        <v>755</v>
      </c>
      <c r="K83" s="138" t="str">
        <f aca="false">IFERROR(VLOOKUP(TEXT(O83,"0"),CONDUCTORES!$A$3:$G$100,7,0),"")</f>
        <v/>
      </c>
      <c r="L83" s="146" t="n">
        <v>17.95</v>
      </c>
      <c r="M83" s="146" t="n">
        <v>6</v>
      </c>
      <c r="N83" s="139" t="n">
        <f aca="false">IFERROR(IF(L83*M83=0,"",L83*M83),"")</f>
        <v>107.7</v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145" t="n">
        <v>45870</v>
      </c>
      <c r="S83" s="144" t="s">
        <v>2422</v>
      </c>
      <c r="T83" s="143"/>
      <c r="U83" s="147"/>
      <c r="V83" s="143"/>
      <c r="W83" s="143"/>
      <c r="X83" s="143"/>
      <c r="Y83" s="85"/>
    </row>
    <row r="84" customFormat="false" ht="15.75" hidden="false" customHeight="true" outlineLevel="0" collapsed="false">
      <c r="A84" s="143" t="n">
        <v>44</v>
      </c>
      <c r="B84" s="144" t="s">
        <v>1364</v>
      </c>
      <c r="C84" s="143" t="s">
        <v>752</v>
      </c>
      <c r="D84" s="144" t="s">
        <v>2423</v>
      </c>
      <c r="E84" s="143" t="s">
        <v>99</v>
      </c>
      <c r="F84" s="143" t="s">
        <v>2424</v>
      </c>
      <c r="G84" s="145" t="n">
        <v>45806</v>
      </c>
      <c r="H84" s="143" t="s">
        <v>581</v>
      </c>
      <c r="I84" s="138" t="str">
        <f aca="false">IFERROR(VLOOKUP(TEXT(H84,"0"),IPRESS!$A$3:$B$212,2,0),"")</f>
        <v>PEDRO RUIZ GALLO</v>
      </c>
      <c r="J84" s="143" t="s">
        <v>755</v>
      </c>
      <c r="K84" s="138" t="str">
        <f aca="false">IFERROR(VLOOKUP(TEXT(O84,"0"),CONDUCTORES!$A$3:$G$100,7,0),"")</f>
        <v/>
      </c>
      <c r="L84" s="146" t="n">
        <v>17.95</v>
      </c>
      <c r="M84" s="146" t="n">
        <v>6</v>
      </c>
      <c r="N84" s="139" t="n">
        <f aca="false">IFERROR(IF(L84*M84=0,"",L84*M84),"")</f>
        <v>107.7</v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45" t="n">
        <v>45870</v>
      </c>
      <c r="S84" s="144" t="s">
        <v>2425</v>
      </c>
      <c r="T84" s="143"/>
      <c r="U84" s="147"/>
      <c r="V84" s="143"/>
      <c r="W84" s="143"/>
      <c r="X84" s="143"/>
      <c r="Y84" s="85"/>
    </row>
    <row r="85" customFormat="false" ht="15.75" hidden="false" customHeight="true" outlineLevel="0" collapsed="false">
      <c r="A85" s="46" t="n">
        <v>45</v>
      </c>
      <c r="B85" s="110" t="s">
        <v>1357</v>
      </c>
      <c r="C85" s="46" t="s">
        <v>752</v>
      </c>
      <c r="D85" s="110" t="s">
        <v>2426</v>
      </c>
      <c r="E85" s="46" t="s">
        <v>99</v>
      </c>
      <c r="F85" s="46" t="s">
        <v>2427</v>
      </c>
      <c r="G85" s="142" t="n">
        <v>45796</v>
      </c>
      <c r="H85" s="46" t="s">
        <v>581</v>
      </c>
      <c r="I85" s="138" t="str">
        <f aca="false">IFERROR(VLOOKUP(TEXT(H85,"0"),IPRESS!$A$3:$B$212,2,0),"")</f>
        <v>PEDRO RUIZ GALLO</v>
      </c>
      <c r="J85" s="46" t="s">
        <v>755</v>
      </c>
      <c r="K85" s="138" t="str">
        <f aca="false">IFERROR(VLOOKUP(TEXT(O85,"0"),CONDUCTORES!$A$3:$G$100,7,0),"")</f>
        <v/>
      </c>
      <c r="L85" s="44" t="n">
        <v>18.18</v>
      </c>
      <c r="M85" s="44" t="n">
        <v>5</v>
      </c>
      <c r="N85" s="139" t="n">
        <f aca="false">IFERROR(IF(L85*M85=0,"",L85*M85),"")</f>
        <v>90.9</v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142" t="n">
        <v>45853</v>
      </c>
      <c r="S85" s="110" t="s">
        <v>2428</v>
      </c>
      <c r="T85" s="46"/>
      <c r="U85" s="85"/>
      <c r="V85" s="46"/>
      <c r="W85" s="46"/>
      <c r="X85" s="46"/>
      <c r="Y85" s="85"/>
    </row>
    <row r="86" customFormat="false" ht="15.75" hidden="false" customHeight="true" outlineLevel="0" collapsed="false">
      <c r="A86" s="106" t="n">
        <v>41</v>
      </c>
      <c r="B86" s="107" t="s">
        <v>1360</v>
      </c>
      <c r="C86" s="106" t="s">
        <v>752</v>
      </c>
      <c r="D86" s="107" t="s">
        <v>2429</v>
      </c>
      <c r="E86" s="136" t="s">
        <v>99</v>
      </c>
      <c r="F86" s="106" t="s">
        <v>2430</v>
      </c>
      <c r="G86" s="137" t="n">
        <v>45797</v>
      </c>
      <c r="H86" s="106" t="s">
        <v>581</v>
      </c>
      <c r="I86" s="138" t="str">
        <f aca="false">IFERROR(VLOOKUP(TEXT(H86,"0"),IPRESS!$A$3:$B$212,2,0),"")</f>
        <v>PEDRO RUIZ GALLO</v>
      </c>
      <c r="J86" s="106" t="s">
        <v>755</v>
      </c>
      <c r="K86" s="138" t="str">
        <f aca="false">IFERROR(VLOOKUP(TEXT(O86,"0"),CONDUCTORES!$A$3:$G$100,7,0),"")</f>
        <v/>
      </c>
      <c r="L86" s="50" t="n">
        <v>18.18</v>
      </c>
      <c r="M86" s="50" t="n">
        <v>5</v>
      </c>
      <c r="N86" s="139" t="n">
        <f aca="false">IFERROR(IF(L86*M86=0,"",L86*M86),"")</f>
        <v>90.9</v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37" t="n">
        <v>45853</v>
      </c>
      <c r="S86" s="107" t="s">
        <v>1487</v>
      </c>
      <c r="T86" s="136"/>
      <c r="U86" s="140"/>
      <c r="V86" s="106"/>
      <c r="W86" s="106"/>
      <c r="X86" s="106"/>
      <c r="Y86" s="85"/>
    </row>
    <row r="87" customFormat="false" ht="15.75" hidden="false" customHeight="true" outlineLevel="0" collapsed="false">
      <c r="A87" s="46" t="n">
        <v>42</v>
      </c>
      <c r="B87" s="110" t="s">
        <v>1227</v>
      </c>
      <c r="C87" s="46" t="s">
        <v>752</v>
      </c>
      <c r="D87" s="110" t="s">
        <v>2187</v>
      </c>
      <c r="E87" s="46" t="s">
        <v>99</v>
      </c>
      <c r="F87" s="46" t="s">
        <v>2188</v>
      </c>
      <c r="G87" s="142" t="n">
        <v>45784</v>
      </c>
      <c r="H87" s="46" t="s">
        <v>595</v>
      </c>
      <c r="I87" s="138" t="str">
        <f aca="false">IFERROR(VLOOKUP(TEXT(H87,"0"),IPRESS!$A$3:$B$212,2,0),"")</f>
        <v>POMACOCHAS</v>
      </c>
      <c r="J87" s="46" t="s">
        <v>755</v>
      </c>
      <c r="K87" s="138" t="str">
        <f aca="false">IFERROR(VLOOKUP(TEXT(O87,"0"),CONDUCTORES!$A$3:$G$100,7,0),"")</f>
        <v/>
      </c>
      <c r="L87" s="44" t="n">
        <v>18.18</v>
      </c>
      <c r="M87" s="44" t="n">
        <v>8</v>
      </c>
      <c r="N87" s="139" t="n">
        <f aca="false">IFERROR(IF(L87*M87=0,"",L87*M87),"")</f>
        <v>145.44</v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85" t="s">
        <v>2431</v>
      </c>
      <c r="S87" s="110" t="s">
        <v>2432</v>
      </c>
      <c r="T87" s="46"/>
      <c r="U87" s="85"/>
      <c r="V87" s="46"/>
      <c r="W87" s="46"/>
      <c r="X87" s="46"/>
      <c r="Y87" s="85"/>
    </row>
    <row r="88" customFormat="false" ht="15.75" hidden="false" customHeight="true" outlineLevel="0" collapsed="false">
      <c r="A88" s="106" t="n">
        <v>43</v>
      </c>
      <c r="B88" s="107" t="s">
        <v>1207</v>
      </c>
      <c r="C88" s="106" t="s">
        <v>752</v>
      </c>
      <c r="D88" s="107" t="s">
        <v>2433</v>
      </c>
      <c r="E88" s="136" t="s">
        <v>99</v>
      </c>
      <c r="F88" s="106" t="s">
        <v>2434</v>
      </c>
      <c r="G88" s="137" t="n">
        <v>45785</v>
      </c>
      <c r="H88" s="106" t="s">
        <v>595</v>
      </c>
      <c r="I88" s="138" t="str">
        <f aca="false">IFERROR(VLOOKUP(TEXT(H88,"0"),IPRESS!$A$3:$B$212,2,0),"")</f>
        <v>POMACOCHAS</v>
      </c>
      <c r="J88" s="106" t="s">
        <v>755</v>
      </c>
      <c r="K88" s="138" t="str">
        <f aca="false">IFERROR(VLOOKUP(TEXT(O88,"0"),CONDUCTORES!$A$3:$G$100,7,0),"")</f>
        <v/>
      </c>
      <c r="L88" s="50" t="n">
        <v>18.18</v>
      </c>
      <c r="M88" s="50" t="n">
        <v>8</v>
      </c>
      <c r="N88" s="139" t="n">
        <f aca="false">IFERROR(IF(L88*M88=0,"",L88*M88),"")</f>
        <v>145.44</v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40" t="s">
        <v>2431</v>
      </c>
      <c r="S88" s="107" t="s">
        <v>2435</v>
      </c>
      <c r="T88" s="136"/>
      <c r="U88" s="140"/>
      <c r="V88" s="106"/>
      <c r="W88" s="106"/>
      <c r="X88" s="106"/>
      <c r="Y88" s="85"/>
    </row>
    <row r="89" customFormat="false" ht="15.75" hidden="false" customHeight="true" outlineLevel="0" collapsed="false">
      <c r="A89" s="46" t="n">
        <v>44</v>
      </c>
      <c r="B89" s="110" t="s">
        <v>1197</v>
      </c>
      <c r="C89" s="46" t="s">
        <v>752</v>
      </c>
      <c r="D89" s="110" t="s">
        <v>2436</v>
      </c>
      <c r="E89" s="46" t="s">
        <v>99</v>
      </c>
      <c r="F89" s="46" t="s">
        <v>2437</v>
      </c>
      <c r="G89" s="142" t="n">
        <v>45786</v>
      </c>
      <c r="H89" s="46" t="s">
        <v>595</v>
      </c>
      <c r="I89" s="138" t="str">
        <f aca="false">IFERROR(VLOOKUP(TEXT(H89,"0"),IPRESS!$A$3:$B$212,2,0),"")</f>
        <v>POMACOCHAS</v>
      </c>
      <c r="J89" s="46" t="s">
        <v>755</v>
      </c>
      <c r="K89" s="138" t="str">
        <f aca="false">IFERROR(VLOOKUP(TEXT(O89,"0"),CONDUCTORES!$A$3:$G$100,7,0),"")</f>
        <v/>
      </c>
      <c r="L89" s="44" t="n">
        <v>18.18</v>
      </c>
      <c r="M89" s="44" t="n">
        <v>8</v>
      </c>
      <c r="N89" s="139" t="n">
        <f aca="false">IFERROR(IF(L89*M89=0,"",L89*M89),"")</f>
        <v>145.44</v>
      </c>
      <c r="O89" s="140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85" t="s">
        <v>2431</v>
      </c>
      <c r="S89" s="110" t="s">
        <v>1867</v>
      </c>
      <c r="T89" s="46"/>
      <c r="U89" s="85"/>
      <c r="V89" s="46"/>
      <c r="W89" s="46"/>
      <c r="X89" s="46"/>
      <c r="Y89" s="85"/>
    </row>
    <row r="90" customFormat="false" ht="15.75" hidden="false" customHeight="true" outlineLevel="0" collapsed="false">
      <c r="A90" s="106" t="n">
        <v>45</v>
      </c>
      <c r="B90" s="107" t="s">
        <v>1302</v>
      </c>
      <c r="C90" s="106" t="s">
        <v>752</v>
      </c>
      <c r="D90" s="107" t="s">
        <v>2438</v>
      </c>
      <c r="E90" s="136" t="s">
        <v>99</v>
      </c>
      <c r="F90" s="106" t="s">
        <v>2439</v>
      </c>
      <c r="G90" s="137" t="n">
        <v>45788</v>
      </c>
      <c r="H90" s="106" t="s">
        <v>595</v>
      </c>
      <c r="I90" s="138" t="str">
        <f aca="false">IFERROR(VLOOKUP(TEXT(H90,"0"),IPRESS!$A$3:$B$212,2,0),"")</f>
        <v>POMACOCHAS</v>
      </c>
      <c r="J90" s="106" t="s">
        <v>755</v>
      </c>
      <c r="K90" s="138" t="str">
        <f aca="false">IFERROR(VLOOKUP(TEXT(O90,"0"),CONDUCTORES!$A$3:$G$100,7,0),"")</f>
        <v/>
      </c>
      <c r="L90" s="50" t="n">
        <v>18.18</v>
      </c>
      <c r="M90" s="50" t="n">
        <v>8</v>
      </c>
      <c r="N90" s="139" t="n">
        <f aca="false">IFERROR(IF(L90*M90=0,"",L90*M90),"")</f>
        <v>145.44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40" t="s">
        <v>2431</v>
      </c>
      <c r="S90" s="107" t="s">
        <v>2440</v>
      </c>
      <c r="T90" s="136"/>
      <c r="U90" s="140"/>
      <c r="V90" s="106"/>
      <c r="W90" s="106"/>
      <c r="X90" s="106"/>
      <c r="Y90" s="85"/>
    </row>
    <row r="91" customFormat="false" ht="15.75" hidden="false" customHeight="true" outlineLevel="0" collapsed="false">
      <c r="A91" s="46" t="n">
        <v>46</v>
      </c>
      <c r="B91" s="110" t="s">
        <v>1306</v>
      </c>
      <c r="C91" s="46" t="s">
        <v>752</v>
      </c>
      <c r="D91" s="110" t="s">
        <v>2192</v>
      </c>
      <c r="E91" s="46" t="s">
        <v>99</v>
      </c>
      <c r="F91" s="46" t="s">
        <v>2193</v>
      </c>
      <c r="G91" s="142" t="n">
        <v>45790</v>
      </c>
      <c r="H91" s="46" t="s">
        <v>595</v>
      </c>
      <c r="I91" s="138" t="str">
        <f aca="false">IFERROR(VLOOKUP(TEXT(H91,"0"),IPRESS!$A$3:$B$212,2,0),"")</f>
        <v>POMACOCHAS</v>
      </c>
      <c r="J91" s="46" t="s">
        <v>755</v>
      </c>
      <c r="K91" s="138" t="str">
        <f aca="false">IFERROR(VLOOKUP(TEXT(O91,"0"),CONDUCTORES!$A$3:$G$100,7,0),"")</f>
        <v/>
      </c>
      <c r="L91" s="44" t="n">
        <v>18.18</v>
      </c>
      <c r="M91" s="44" t="n">
        <v>8</v>
      </c>
      <c r="N91" s="139" t="n">
        <f aca="false">IFERROR(IF(L91*M91=0,"",L91*M91),"")</f>
        <v>145.44</v>
      </c>
      <c r="O91" s="140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85" t="s">
        <v>2431</v>
      </c>
      <c r="S91" s="110" t="s">
        <v>2362</v>
      </c>
      <c r="T91" s="46"/>
      <c r="U91" s="85"/>
      <c r="V91" s="46"/>
      <c r="W91" s="46"/>
      <c r="X91" s="46"/>
      <c r="Y91" s="85"/>
    </row>
    <row r="92" customFormat="false" ht="15.75" hidden="false" customHeight="true" outlineLevel="0" collapsed="false">
      <c r="A92" s="106" t="n">
        <v>47</v>
      </c>
      <c r="B92" s="107" t="s">
        <v>1412</v>
      </c>
      <c r="C92" s="106" t="s">
        <v>752</v>
      </c>
      <c r="D92" s="107" t="s">
        <v>2441</v>
      </c>
      <c r="E92" s="136" t="s">
        <v>99</v>
      </c>
      <c r="F92" s="106" t="s">
        <v>2442</v>
      </c>
      <c r="G92" s="137" t="n">
        <v>45790</v>
      </c>
      <c r="H92" s="106" t="s">
        <v>595</v>
      </c>
      <c r="I92" s="138" t="str">
        <f aca="false">IFERROR(VLOOKUP(TEXT(H92,"0"),IPRESS!$A$3:$B$212,2,0),"")</f>
        <v>POMACOCHAS</v>
      </c>
      <c r="J92" s="106" t="s">
        <v>755</v>
      </c>
      <c r="K92" s="138" t="str">
        <f aca="false">IFERROR(VLOOKUP(TEXT(O92,"0"),CONDUCTORES!$A$3:$G$100,7,0),"")</f>
        <v/>
      </c>
      <c r="L92" s="50" t="n">
        <v>18.18</v>
      </c>
      <c r="M92" s="50" t="n">
        <v>8</v>
      </c>
      <c r="N92" s="139" t="n">
        <f aca="false">IFERROR(IF(L92*M92=0,"",L92*M92),"")</f>
        <v>145.44</v>
      </c>
      <c r="O92" s="85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40" t="s">
        <v>2431</v>
      </c>
      <c r="S92" s="107" t="s">
        <v>2443</v>
      </c>
      <c r="T92" s="136"/>
      <c r="U92" s="140"/>
      <c r="V92" s="106"/>
      <c r="W92" s="106"/>
      <c r="X92" s="106"/>
      <c r="Y92" s="85"/>
    </row>
    <row r="93" customFormat="false" ht="15.75" hidden="false" customHeight="true" outlineLevel="0" collapsed="false">
      <c r="A93" s="46" t="n">
        <v>48</v>
      </c>
      <c r="B93" s="110" t="s">
        <v>1425</v>
      </c>
      <c r="C93" s="46" t="s">
        <v>752</v>
      </c>
      <c r="D93" s="110" t="s">
        <v>2444</v>
      </c>
      <c r="E93" s="46" t="s">
        <v>99</v>
      </c>
      <c r="F93" s="46" t="s">
        <v>2445</v>
      </c>
      <c r="G93" s="142" t="n">
        <v>45791</v>
      </c>
      <c r="H93" s="46" t="s">
        <v>595</v>
      </c>
      <c r="I93" s="138" t="str">
        <f aca="false">IFERROR(VLOOKUP(TEXT(H93,"0"),IPRESS!$A$3:$B$212,2,0),"")</f>
        <v>POMACOCHAS</v>
      </c>
      <c r="J93" s="46" t="s">
        <v>755</v>
      </c>
      <c r="K93" s="138" t="str">
        <f aca="false">IFERROR(VLOOKUP(TEXT(O93,"0"),CONDUCTORES!$A$3:$G$100,7,0),"")</f>
        <v/>
      </c>
      <c r="L93" s="44" t="n">
        <v>18.18</v>
      </c>
      <c r="M93" s="44" t="n">
        <v>8</v>
      </c>
      <c r="N93" s="139" t="n">
        <f aca="false">IFERROR(IF(L93*M93=0,"",L93*M93),"")</f>
        <v>145.44</v>
      </c>
      <c r="O93" s="140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85" t="s">
        <v>2431</v>
      </c>
      <c r="S93" s="110" t="s">
        <v>1157</v>
      </c>
      <c r="T93" s="46"/>
      <c r="U93" s="85"/>
      <c r="V93" s="46"/>
      <c r="W93" s="46"/>
      <c r="X93" s="46"/>
      <c r="Y93" s="85"/>
    </row>
    <row r="94" customFormat="false" ht="15.75" hidden="false" customHeight="true" outlineLevel="0" collapsed="false">
      <c r="A94" s="106" t="n">
        <v>49</v>
      </c>
      <c r="B94" s="107"/>
      <c r="C94" s="106" t="s">
        <v>752</v>
      </c>
      <c r="D94" s="107" t="s">
        <v>2198</v>
      </c>
      <c r="E94" s="136" t="s">
        <v>99</v>
      </c>
      <c r="F94" s="106" t="s">
        <v>2199</v>
      </c>
      <c r="G94" s="137" t="n">
        <v>45794</v>
      </c>
      <c r="H94" s="106" t="s">
        <v>595</v>
      </c>
      <c r="I94" s="138" t="str">
        <f aca="false">IFERROR(VLOOKUP(TEXT(H94,"0"),IPRESS!$A$3:$B$212,2,0),"")</f>
        <v>POMACOCHAS</v>
      </c>
      <c r="J94" s="106" t="s">
        <v>755</v>
      </c>
      <c r="K94" s="138" t="str">
        <f aca="false">IFERROR(VLOOKUP(TEXT(O94,"0"),CONDUCTORES!$A$3:$G$100,7,0),"")</f>
        <v/>
      </c>
      <c r="L94" s="50" t="n">
        <v>18.18</v>
      </c>
      <c r="M94" s="50" t="n">
        <v>8</v>
      </c>
      <c r="N94" s="139" t="n">
        <f aca="false">IFERROR(IF(L94*M94=0,"",L94*M94),"")</f>
        <v>145.44</v>
      </c>
      <c r="O94" s="85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40" t="s">
        <v>2431</v>
      </c>
      <c r="S94" s="107" t="s">
        <v>1375</v>
      </c>
      <c r="T94" s="136"/>
      <c r="U94" s="140"/>
      <c r="V94" s="106"/>
      <c r="W94" s="106"/>
      <c r="X94" s="106"/>
      <c r="Y94" s="85"/>
    </row>
    <row r="95" customFormat="false" ht="15.75" hidden="false" customHeight="true" outlineLevel="0" collapsed="false">
      <c r="A95" s="46" t="n">
        <v>50</v>
      </c>
      <c r="B95" s="110" t="s">
        <v>2355</v>
      </c>
      <c r="C95" s="46" t="s">
        <v>752</v>
      </c>
      <c r="D95" s="110" t="s">
        <v>2446</v>
      </c>
      <c r="E95" s="46" t="s">
        <v>99</v>
      </c>
      <c r="F95" s="46" t="s">
        <v>2447</v>
      </c>
      <c r="G95" s="142" t="n">
        <v>45798</v>
      </c>
      <c r="H95" s="46" t="s">
        <v>595</v>
      </c>
      <c r="I95" s="138" t="str">
        <f aca="false">IFERROR(VLOOKUP(TEXT(H95,"0"),IPRESS!$A$3:$B$212,2,0),"")</f>
        <v>POMACOCHAS</v>
      </c>
      <c r="J95" s="46" t="s">
        <v>755</v>
      </c>
      <c r="K95" s="138" t="str">
        <f aca="false">IFERROR(VLOOKUP(TEXT(O95,"0"),CONDUCTORES!$A$3:$G$100,7,0),"")</f>
        <v/>
      </c>
      <c r="L95" s="44" t="n">
        <v>18.18</v>
      </c>
      <c r="M95" s="44" t="n">
        <v>8</v>
      </c>
      <c r="N95" s="139" t="n">
        <f aca="false">IFERROR(IF(L95*M95=0,"",L95*M95),"")</f>
        <v>145.44</v>
      </c>
      <c r="O95" s="140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85" t="s">
        <v>2431</v>
      </c>
      <c r="S95" s="110" t="s">
        <v>2448</v>
      </c>
      <c r="T95" s="46"/>
      <c r="U95" s="85"/>
      <c r="V95" s="46"/>
      <c r="W95" s="46"/>
      <c r="X95" s="46"/>
      <c r="Y95" s="85"/>
    </row>
    <row r="96" customFormat="false" ht="15.75" hidden="false" customHeight="true" outlineLevel="0" collapsed="false">
      <c r="A96" s="106" t="n">
        <v>46</v>
      </c>
      <c r="B96" s="107" t="s">
        <v>1128</v>
      </c>
      <c r="C96" s="106" t="s">
        <v>752</v>
      </c>
      <c r="D96" s="107" t="s">
        <v>2449</v>
      </c>
      <c r="E96" s="136" t="s">
        <v>99</v>
      </c>
      <c r="F96" s="106" t="s">
        <v>2450</v>
      </c>
      <c r="G96" s="137" t="n">
        <v>45799</v>
      </c>
      <c r="H96" s="106" t="s">
        <v>595</v>
      </c>
      <c r="I96" s="138" t="str">
        <f aca="false">IFERROR(VLOOKUP(TEXT(H96,"0"),IPRESS!$A$3:$B$212,2,0),"")</f>
        <v>POMACOCHAS</v>
      </c>
      <c r="J96" s="106" t="s">
        <v>755</v>
      </c>
      <c r="K96" s="138" t="str">
        <f aca="false">IFERROR(VLOOKUP(TEXT(O96,"0"),CONDUCTORES!$A$3:$G$100,7,0),"")</f>
        <v/>
      </c>
      <c r="L96" s="50" t="n">
        <v>18.18</v>
      </c>
      <c r="M96" s="50" t="n">
        <v>8</v>
      </c>
      <c r="N96" s="139" t="n">
        <f aca="false">IFERROR(IF(L96*M96=0,"",L96*M96),"")</f>
        <v>145.44</v>
      </c>
      <c r="O96" s="85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40" t="s">
        <v>2431</v>
      </c>
      <c r="S96" s="107" t="s">
        <v>2451</v>
      </c>
      <c r="T96" s="136"/>
      <c r="U96" s="140"/>
      <c r="V96" s="106"/>
      <c r="W96" s="106"/>
      <c r="X96" s="106"/>
      <c r="Y96" s="85"/>
    </row>
    <row r="97" customFormat="false" ht="15.75" hidden="false" customHeight="true" outlineLevel="0" collapsed="false">
      <c r="A97" s="46" t="n">
        <v>47</v>
      </c>
      <c r="B97" s="110" t="s">
        <v>1134</v>
      </c>
      <c r="C97" s="46" t="s">
        <v>752</v>
      </c>
      <c r="D97" s="110" t="s">
        <v>2452</v>
      </c>
      <c r="E97" s="46" t="s">
        <v>99</v>
      </c>
      <c r="F97" s="46" t="s">
        <v>2453</v>
      </c>
      <c r="G97" s="142" t="n">
        <v>45802</v>
      </c>
      <c r="H97" s="46" t="s">
        <v>595</v>
      </c>
      <c r="I97" s="138" t="str">
        <f aca="false">IFERROR(VLOOKUP(TEXT(H97,"0"),IPRESS!$A$3:$B$212,2,0),"")</f>
        <v>POMACOCHAS</v>
      </c>
      <c r="J97" s="46" t="s">
        <v>755</v>
      </c>
      <c r="K97" s="138" t="str">
        <f aca="false">IFERROR(VLOOKUP(TEXT(O97,"0"),CONDUCTORES!$A$3:$G$100,7,0),"")</f>
        <v/>
      </c>
      <c r="L97" s="44" t="n">
        <v>18.18</v>
      </c>
      <c r="M97" s="44" t="n">
        <v>8</v>
      </c>
      <c r="N97" s="139" t="n">
        <f aca="false">IFERROR(IF(L97*M97=0,"",L97*M97),"")</f>
        <v>145.44</v>
      </c>
      <c r="O97" s="140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85" t="s">
        <v>2431</v>
      </c>
      <c r="S97" s="110" t="s">
        <v>2454</v>
      </c>
      <c r="T97" s="46"/>
      <c r="U97" s="85"/>
      <c r="V97" s="46"/>
      <c r="W97" s="46"/>
      <c r="X97" s="46"/>
      <c r="Y97" s="85"/>
    </row>
    <row r="98" customFormat="false" ht="15.75" hidden="false" customHeight="true" outlineLevel="0" collapsed="false">
      <c r="A98" s="106" t="n">
        <v>48</v>
      </c>
      <c r="B98" s="107" t="s">
        <v>888</v>
      </c>
      <c r="C98" s="106" t="s">
        <v>752</v>
      </c>
      <c r="D98" s="107" t="s">
        <v>2455</v>
      </c>
      <c r="E98" s="136" t="s">
        <v>99</v>
      </c>
      <c r="F98" s="106" t="s">
        <v>2456</v>
      </c>
      <c r="G98" s="137" t="n">
        <v>45805</v>
      </c>
      <c r="H98" s="106" t="s">
        <v>595</v>
      </c>
      <c r="I98" s="138" t="str">
        <f aca="false">IFERROR(VLOOKUP(TEXT(H98,"0"),IPRESS!$A$3:$B$212,2,0),"")</f>
        <v>POMACOCHAS</v>
      </c>
      <c r="J98" s="106" t="s">
        <v>755</v>
      </c>
      <c r="K98" s="138" t="str">
        <f aca="false">IFERROR(VLOOKUP(TEXT(O98,"0"),CONDUCTORES!$A$3:$G$100,7,0),"")</f>
        <v/>
      </c>
      <c r="L98" s="50" t="n">
        <v>18.18</v>
      </c>
      <c r="M98" s="50" t="n">
        <v>8</v>
      </c>
      <c r="N98" s="139" t="n">
        <f aca="false">IFERROR(IF(L98*M98=0,"",L98*M98),"")</f>
        <v>145.44</v>
      </c>
      <c r="O98" s="85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40" t="s">
        <v>2431</v>
      </c>
      <c r="S98" s="107" t="s">
        <v>2457</v>
      </c>
      <c r="T98" s="136"/>
      <c r="U98" s="140"/>
      <c r="V98" s="106"/>
      <c r="W98" s="106"/>
      <c r="X98" s="106"/>
      <c r="Y98" s="85"/>
    </row>
    <row r="99" customFormat="false" ht="15.75" hidden="false" customHeight="true" outlineLevel="0" collapsed="false">
      <c r="A99" s="46" t="n">
        <v>49</v>
      </c>
      <c r="B99" s="110" t="s">
        <v>1679</v>
      </c>
      <c r="C99" s="46" t="s">
        <v>752</v>
      </c>
      <c r="D99" s="110" t="s">
        <v>2458</v>
      </c>
      <c r="E99" s="46" t="s">
        <v>99</v>
      </c>
      <c r="F99" s="46" t="s">
        <v>2459</v>
      </c>
      <c r="G99" s="142" t="n">
        <v>45806</v>
      </c>
      <c r="H99" s="46" t="s">
        <v>595</v>
      </c>
      <c r="I99" s="138" t="str">
        <f aca="false">IFERROR(VLOOKUP(TEXT(H99,"0"),IPRESS!$A$3:$B$212,2,0),"")</f>
        <v>POMACOCHAS</v>
      </c>
      <c r="J99" s="46" t="s">
        <v>755</v>
      </c>
      <c r="K99" s="138" t="str">
        <f aca="false">IFERROR(VLOOKUP(TEXT(O99,"0"),CONDUCTORES!$A$3:$G$100,7,0),"")</f>
        <v/>
      </c>
      <c r="L99" s="44" t="n">
        <v>18.18</v>
      </c>
      <c r="M99" s="44" t="n">
        <v>8</v>
      </c>
      <c r="N99" s="139" t="n">
        <f aca="false">IFERROR(IF(L99*M99=0,"",L99*M99),"")</f>
        <v>145.44</v>
      </c>
      <c r="O99" s="140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85" t="s">
        <v>2431</v>
      </c>
      <c r="S99" s="110" t="s">
        <v>1756</v>
      </c>
      <c r="T99" s="46"/>
      <c r="U99" s="85"/>
      <c r="V99" s="46"/>
      <c r="W99" s="46"/>
      <c r="X99" s="46"/>
      <c r="Y99" s="85"/>
    </row>
    <row r="100" customFormat="false" ht="15.75" hidden="false" customHeight="true" outlineLevel="0" collapsed="false">
      <c r="A100" s="106" t="n">
        <v>50</v>
      </c>
      <c r="B100" s="107" t="s">
        <v>883</v>
      </c>
      <c r="C100" s="106" t="s">
        <v>752</v>
      </c>
      <c r="D100" s="107" t="s">
        <v>2460</v>
      </c>
      <c r="E100" s="136" t="s">
        <v>99</v>
      </c>
      <c r="F100" s="106" t="s">
        <v>2461</v>
      </c>
      <c r="G100" s="137" t="n">
        <v>45795</v>
      </c>
      <c r="H100" s="106" t="s">
        <v>595</v>
      </c>
      <c r="I100" s="138" t="str">
        <f aca="false">IFERROR(VLOOKUP(TEXT(H100,"0"),IPRESS!$A$3:$B$212,2,0),"")</f>
        <v>POMACOCHAS</v>
      </c>
      <c r="J100" s="106" t="s">
        <v>755</v>
      </c>
      <c r="K100" s="138" t="str">
        <f aca="false">IFERROR(VLOOKUP(TEXT(O100,"0"),CONDUCTORES!$A$3:$G$100,7,0),"")</f>
        <v/>
      </c>
      <c r="L100" s="50" t="n">
        <v>18.18</v>
      </c>
      <c r="M100" s="50" t="n">
        <v>8</v>
      </c>
      <c r="N100" s="139" t="n">
        <f aca="false">IFERROR(IF(L100*M100=0,"",L100*M100),"")</f>
        <v>145.44</v>
      </c>
      <c r="O100" s="85"/>
      <c r="P100" s="138" t="str">
        <f aca="false">IFERROR(VLOOKUP(TEXT(O100,"0"),CONDUCTORES!$A$3:$G$100,2,0),"")</f>
        <v/>
      </c>
      <c r="Q100" s="138" t="str">
        <f aca="false">IFERROR(VLOOKUP(TEXT(O100,"0"),CONDUCTORES!$A$3:$H$100,6,0),"")</f>
        <v/>
      </c>
      <c r="R100" s="140" t="s">
        <v>2118</v>
      </c>
      <c r="S100" s="107" t="s">
        <v>847</v>
      </c>
      <c r="T100" s="136"/>
      <c r="U100" s="140"/>
      <c r="V100" s="106"/>
      <c r="W100" s="106"/>
      <c r="X100" s="106"/>
      <c r="Y100" s="85"/>
    </row>
    <row r="101" customFormat="false" ht="15.75" hidden="false" customHeight="true" outlineLevel="0" collapsed="false">
      <c r="A101" s="46" t="n">
        <v>51</v>
      </c>
      <c r="B101" s="110" t="s">
        <v>892</v>
      </c>
      <c r="C101" s="46" t="s">
        <v>752</v>
      </c>
      <c r="D101" s="110" t="s">
        <v>2462</v>
      </c>
      <c r="E101" s="46" t="s">
        <v>99</v>
      </c>
      <c r="F101" s="46" t="s">
        <v>2463</v>
      </c>
      <c r="G101" s="142" t="n">
        <v>45801</v>
      </c>
      <c r="H101" s="46" t="s">
        <v>595</v>
      </c>
      <c r="I101" s="138" t="str">
        <f aca="false">IFERROR(VLOOKUP(TEXT(H101,"0"),IPRESS!$A$3:$B$212,2,0),"")</f>
        <v>POMACOCHAS</v>
      </c>
      <c r="J101" s="46" t="s">
        <v>755</v>
      </c>
      <c r="K101" s="138" t="str">
        <f aca="false">IFERROR(VLOOKUP(TEXT(O101,"0"),CONDUCTORES!$A$3:$G$100,7,0),"")</f>
        <v/>
      </c>
      <c r="L101" s="44" t="n">
        <v>18.18</v>
      </c>
      <c r="M101" s="44" t="n">
        <v>8</v>
      </c>
      <c r="N101" s="139" t="n">
        <f aca="false">IFERROR(IF(L101*M101=0,"",L101*M101),"")</f>
        <v>145.44</v>
      </c>
      <c r="O101" s="140"/>
      <c r="P101" s="138" t="str">
        <f aca="false">IFERROR(VLOOKUP(TEXT(O101,"0"),CONDUCTORES!$A$3:$G$100,2,0),"")</f>
        <v/>
      </c>
      <c r="Q101" s="138" t="str">
        <f aca="false">IFERROR(VLOOKUP(TEXT(O101,"0"),CONDUCTORES!$A$3:$H$100,6,0),"")</f>
        <v/>
      </c>
      <c r="R101" s="85" t="s">
        <v>2118</v>
      </c>
      <c r="S101" s="110" t="s">
        <v>2464</v>
      </c>
      <c r="T101" s="46"/>
      <c r="U101" s="85"/>
      <c r="V101" s="46"/>
      <c r="W101" s="46"/>
      <c r="X101" s="46"/>
      <c r="Y101" s="85"/>
    </row>
    <row r="102" customFormat="false" ht="15.75" hidden="false" customHeight="true" outlineLevel="0" collapsed="false">
      <c r="A102" s="106" t="n">
        <v>52</v>
      </c>
      <c r="B102" s="107" t="s">
        <v>1202</v>
      </c>
      <c r="C102" s="106" t="s">
        <v>752</v>
      </c>
      <c r="D102" s="107" t="s">
        <v>2465</v>
      </c>
      <c r="E102" s="136" t="s">
        <v>99</v>
      </c>
      <c r="F102" s="106" t="s">
        <v>2466</v>
      </c>
      <c r="G102" s="137" t="n">
        <v>45778</v>
      </c>
      <c r="H102" s="106" t="s">
        <v>595</v>
      </c>
      <c r="I102" s="138" t="str">
        <f aca="false">IFERROR(VLOOKUP(TEXT(H102,"0"),IPRESS!$A$3:$B$212,2,0),"")</f>
        <v>POMACOCHAS</v>
      </c>
      <c r="J102" s="106" t="s">
        <v>755</v>
      </c>
      <c r="K102" s="138" t="str">
        <f aca="false">IFERROR(VLOOKUP(TEXT(O102,"0"),CONDUCTORES!$A$3:$G$100,7,0),"")</f>
        <v/>
      </c>
      <c r="L102" s="50" t="n">
        <v>18.18</v>
      </c>
      <c r="M102" s="50" t="n">
        <v>8</v>
      </c>
      <c r="N102" s="139" t="n">
        <f aca="false">IFERROR(IF(L102*M102=0,"",L102*M102),"")</f>
        <v>145.44</v>
      </c>
      <c r="O102" s="85"/>
      <c r="P102" s="138" t="str">
        <f aca="false">IFERROR(VLOOKUP(TEXT(O102,"0"),CONDUCTORES!$A$3:$G$100,2,0),"")</f>
        <v/>
      </c>
      <c r="Q102" s="138" t="str">
        <f aca="false">IFERROR(VLOOKUP(TEXT(O102,"0"),CONDUCTORES!$A$3:$H$100,6,0),"")</f>
        <v/>
      </c>
      <c r="R102" s="140" t="s">
        <v>2431</v>
      </c>
      <c r="S102" s="107" t="s">
        <v>1375</v>
      </c>
      <c r="T102" s="136"/>
      <c r="U102" s="140"/>
      <c r="V102" s="106"/>
      <c r="W102" s="106"/>
      <c r="X102" s="106"/>
      <c r="Y102" s="85"/>
    </row>
    <row r="103" customFormat="false" ht="15.75" hidden="false" customHeight="true" outlineLevel="0" collapsed="false">
      <c r="A103" s="143" t="n">
        <v>53</v>
      </c>
      <c r="B103" s="144" t="s">
        <v>1425</v>
      </c>
      <c r="C103" s="143" t="s">
        <v>752</v>
      </c>
      <c r="D103" s="144" t="s">
        <v>2467</v>
      </c>
      <c r="E103" s="143" t="s">
        <v>99</v>
      </c>
      <c r="F103" s="143" t="s">
        <v>2468</v>
      </c>
      <c r="G103" s="145" t="n">
        <v>45781</v>
      </c>
      <c r="H103" s="143" t="s">
        <v>622</v>
      </c>
      <c r="I103" s="138" t="str">
        <f aca="false">IFERROR(VLOOKUP(TEXT(H103,"0"),IPRESS!$A$3:$B$212,2,0),"")</f>
        <v>SALAZAR</v>
      </c>
      <c r="J103" s="143" t="s">
        <v>1216</v>
      </c>
      <c r="K103" s="138" t="str">
        <f aca="false">IFERROR(VLOOKUP(TEXT(O103,"0"),CONDUCTORES!$A$3:$G$100,7,0),"")</f>
        <v/>
      </c>
      <c r="L103" s="146" t="n">
        <v>17.95</v>
      </c>
      <c r="M103" s="146" t="n">
        <v>14</v>
      </c>
      <c r="N103" s="139" t="n">
        <f aca="false">IFERROR(IF(L103*M103=0,"",L103*M103),"")</f>
        <v>251.3</v>
      </c>
      <c r="O103" s="140"/>
      <c r="P103" s="138" t="str">
        <f aca="false">IFERROR(VLOOKUP(TEXT(O103,"0"),CONDUCTORES!$A$3:$G$100,2,0),"")</f>
        <v/>
      </c>
      <c r="Q103" s="138" t="str">
        <f aca="false">IFERROR(VLOOKUP(TEXT(O103,"0"),CONDUCTORES!$A$3:$H$100,6,0),"")</f>
        <v/>
      </c>
      <c r="R103" s="145" t="n">
        <v>45994</v>
      </c>
      <c r="S103" s="144" t="s">
        <v>847</v>
      </c>
      <c r="T103" s="143"/>
      <c r="U103" s="147"/>
      <c r="V103" s="143"/>
      <c r="W103" s="143"/>
      <c r="X103" s="143"/>
      <c r="Y103" s="85"/>
    </row>
    <row r="104" customFormat="false" ht="15.75" hidden="false" customHeight="true" outlineLevel="0" collapsed="false">
      <c r="A104" s="106" t="n">
        <v>54</v>
      </c>
      <c r="B104" s="107" t="s">
        <v>1412</v>
      </c>
      <c r="C104" s="106" t="s">
        <v>752</v>
      </c>
      <c r="D104" s="107" t="s">
        <v>2469</v>
      </c>
      <c r="E104" s="136" t="s">
        <v>99</v>
      </c>
      <c r="F104" s="106" t="s">
        <v>2470</v>
      </c>
      <c r="G104" s="137" t="n">
        <v>45789</v>
      </c>
      <c r="H104" s="106" t="s">
        <v>665</v>
      </c>
      <c r="I104" s="138" t="str">
        <f aca="false">IFERROR(VLOOKUP(TEXT(H104,"0"),IPRESS!$A$3:$B$212,2,0),"")</f>
        <v>SANTO TOMAS</v>
      </c>
      <c r="J104" s="106" t="s">
        <v>755</v>
      </c>
      <c r="K104" s="138" t="str">
        <f aca="false">IFERROR(VLOOKUP(TEXT(O104,"0"),CONDUCTORES!$A$3:$G$100,7,0),"")</f>
        <v/>
      </c>
      <c r="L104" s="50" t="n">
        <v>18.18</v>
      </c>
      <c r="M104" s="50" t="n">
        <v>10</v>
      </c>
      <c r="N104" s="139" t="n">
        <f aca="false">IFERROR(IF(L104*M104=0,"",L104*M104),"")</f>
        <v>181.8</v>
      </c>
      <c r="O104" s="85"/>
      <c r="P104" s="138" t="str">
        <f aca="false">IFERROR(VLOOKUP(TEXT(O104,"0"),CONDUCTORES!$A$3:$G$100,2,0),"")</f>
        <v/>
      </c>
      <c r="Q104" s="138" t="str">
        <f aca="false">IFERROR(VLOOKUP(TEXT(O104,"0"),CONDUCTORES!$A$3:$H$100,6,0),"")</f>
        <v/>
      </c>
      <c r="R104" s="137" t="n">
        <v>45939</v>
      </c>
      <c r="S104" s="107" t="s">
        <v>2471</v>
      </c>
      <c r="T104" s="136"/>
      <c r="U104" s="140"/>
      <c r="V104" s="106"/>
      <c r="W104" s="106"/>
      <c r="X104" s="106"/>
      <c r="Y104" s="85"/>
    </row>
    <row r="105" customFormat="false" ht="15.75" hidden="false" customHeight="true" outlineLevel="0" collapsed="false">
      <c r="A105" s="46" t="n">
        <v>55</v>
      </c>
      <c r="B105" s="110" t="s">
        <v>2472</v>
      </c>
      <c r="C105" s="46" t="s">
        <v>752</v>
      </c>
      <c r="D105" s="110" t="s">
        <v>2473</v>
      </c>
      <c r="E105" s="46" t="s">
        <v>99</v>
      </c>
      <c r="F105" s="46" t="s">
        <v>2474</v>
      </c>
      <c r="G105" s="142" t="n">
        <v>45785</v>
      </c>
      <c r="H105" s="46" t="s">
        <v>692</v>
      </c>
      <c r="I105" s="138" t="str">
        <f aca="false">IFERROR(VLOOKUP(TEXT(H105,"0"),IPRESS!$A$3:$B$212,2,0),"")</f>
        <v>TINGO</v>
      </c>
      <c r="J105" s="46" t="s">
        <v>755</v>
      </c>
      <c r="K105" s="138" t="str">
        <f aca="false">IFERROR(VLOOKUP(TEXT(O105,"0"),CONDUCTORES!$A$3:$G$100,7,0),"")</f>
        <v/>
      </c>
      <c r="L105" s="44" t="n">
        <v>18.18</v>
      </c>
      <c r="M105" s="44" t="n">
        <v>5</v>
      </c>
      <c r="N105" s="139" t="n">
        <f aca="false">IFERROR(IF(L105*M105=0,"",L105*M105),"")</f>
        <v>90.9</v>
      </c>
      <c r="O105" s="140"/>
      <c r="P105" s="138" t="str">
        <f aca="false">IFERROR(VLOOKUP(TEXT(O105,"0"),CONDUCTORES!$A$3:$G$100,2,0),"")</f>
        <v/>
      </c>
      <c r="Q105" s="138" t="str">
        <f aca="false">IFERROR(VLOOKUP(TEXT(O105,"0"),CONDUCTORES!$A$3:$H$100,6,0),"")</f>
        <v/>
      </c>
      <c r="R105" s="142" t="n">
        <v>45827</v>
      </c>
      <c r="S105" s="110" t="s">
        <v>2475</v>
      </c>
      <c r="T105" s="46"/>
      <c r="U105" s="85"/>
      <c r="V105" s="46"/>
      <c r="W105" s="46"/>
      <c r="X105" s="46"/>
      <c r="Y105" s="85"/>
    </row>
    <row r="106" customFormat="false" ht="15.75" hidden="false" customHeight="true" outlineLevel="0" collapsed="false">
      <c r="A106" s="106" t="n">
        <v>51</v>
      </c>
      <c r="B106" s="107" t="s">
        <v>2476</v>
      </c>
      <c r="C106" s="106" t="s">
        <v>752</v>
      </c>
      <c r="D106" s="107" t="s">
        <v>2477</v>
      </c>
      <c r="E106" s="136" t="s">
        <v>99</v>
      </c>
      <c r="F106" s="106" t="s">
        <v>2478</v>
      </c>
      <c r="G106" s="137" t="n">
        <v>45787</v>
      </c>
      <c r="H106" s="106" t="s">
        <v>692</v>
      </c>
      <c r="I106" s="138" t="str">
        <f aca="false">IFERROR(VLOOKUP(TEXT(H106,"0"),IPRESS!$A$3:$B$212,2,0),"")</f>
        <v>TINGO</v>
      </c>
      <c r="J106" s="106" t="s">
        <v>755</v>
      </c>
      <c r="K106" s="138" t="str">
        <f aca="false">IFERROR(VLOOKUP(TEXT(O106,"0"),CONDUCTORES!$A$3:$G$100,7,0),"")</f>
        <v/>
      </c>
      <c r="L106" s="50" t="n">
        <v>18.18</v>
      </c>
      <c r="M106" s="50" t="n">
        <v>8</v>
      </c>
      <c r="N106" s="139" t="n">
        <f aca="false">IFERROR(IF(L106*M106=0,"",L106*M106),"")</f>
        <v>145.44</v>
      </c>
      <c r="O106" s="85"/>
      <c r="P106" s="138" t="str">
        <f aca="false">IFERROR(VLOOKUP(TEXT(O106,"0"),CONDUCTORES!$A$3:$G$100,2,0),"")</f>
        <v/>
      </c>
      <c r="Q106" s="138" t="str">
        <f aca="false">IFERROR(VLOOKUP(TEXT(O106,"0"),CONDUCTORES!$A$3:$H$100,6,0),"")</f>
        <v/>
      </c>
      <c r="R106" s="137" t="n">
        <v>45827</v>
      </c>
      <c r="S106" s="107" t="s">
        <v>2479</v>
      </c>
      <c r="T106" s="136"/>
      <c r="U106" s="140"/>
      <c r="V106" s="106"/>
      <c r="W106" s="106"/>
      <c r="X106" s="106"/>
      <c r="Y106" s="85"/>
    </row>
    <row r="107" customFormat="false" ht="15.75" hidden="false" customHeight="true" outlineLevel="0" collapsed="false">
      <c r="A107" s="46" t="n">
        <v>52</v>
      </c>
      <c r="B107" s="110" t="s">
        <v>2480</v>
      </c>
      <c r="C107" s="46" t="s">
        <v>752</v>
      </c>
      <c r="D107" s="110" t="s">
        <v>2481</v>
      </c>
      <c r="E107" s="46" t="s">
        <v>99</v>
      </c>
      <c r="F107" s="46" t="s">
        <v>2482</v>
      </c>
      <c r="G107" s="142" t="n">
        <v>45788</v>
      </c>
      <c r="H107" s="46" t="s">
        <v>692</v>
      </c>
      <c r="I107" s="138" t="str">
        <f aca="false">IFERROR(VLOOKUP(TEXT(H107,"0"),IPRESS!$A$3:$B$212,2,0),"")</f>
        <v>TINGO</v>
      </c>
      <c r="J107" s="46" t="s">
        <v>755</v>
      </c>
      <c r="K107" s="138" t="str">
        <f aca="false">IFERROR(VLOOKUP(TEXT(O107,"0"),CONDUCTORES!$A$3:$G$100,7,0),"")</f>
        <v/>
      </c>
      <c r="L107" s="44" t="n">
        <v>18.18</v>
      </c>
      <c r="M107" s="44" t="n">
        <v>5</v>
      </c>
      <c r="N107" s="139" t="n">
        <f aca="false">IFERROR(IF(L107*M107=0,"",L107*M107),"")</f>
        <v>90.9</v>
      </c>
      <c r="O107" s="140"/>
      <c r="P107" s="138" t="str">
        <f aca="false">IFERROR(VLOOKUP(TEXT(O107,"0"),CONDUCTORES!$A$3:$G$100,2,0),"")</f>
        <v/>
      </c>
      <c r="Q107" s="138" t="str">
        <f aca="false">IFERROR(VLOOKUP(TEXT(O107,"0"),CONDUCTORES!$A$3:$H$100,6,0),"")</f>
        <v/>
      </c>
      <c r="R107" s="142" t="n">
        <v>45827</v>
      </c>
      <c r="S107" s="110" t="s">
        <v>2483</v>
      </c>
      <c r="T107" s="46"/>
      <c r="U107" s="85"/>
      <c r="V107" s="46"/>
      <c r="W107" s="46"/>
      <c r="X107" s="46"/>
      <c r="Y107" s="85"/>
    </row>
    <row r="108" customFormat="false" ht="15.75" hidden="false" customHeight="true" outlineLevel="0" collapsed="false">
      <c r="A108" s="106" t="n">
        <v>53</v>
      </c>
      <c r="B108" s="107" t="s">
        <v>1380</v>
      </c>
      <c r="C108" s="106" t="s">
        <v>752</v>
      </c>
      <c r="D108" s="107" t="s">
        <v>2484</v>
      </c>
      <c r="E108" s="136" t="s">
        <v>99</v>
      </c>
      <c r="F108" s="106" t="s">
        <v>2485</v>
      </c>
      <c r="G108" s="137" t="n">
        <v>45789</v>
      </c>
      <c r="H108" s="106" t="s">
        <v>692</v>
      </c>
      <c r="I108" s="138" t="str">
        <f aca="false">IFERROR(VLOOKUP(TEXT(H108,"0"),IPRESS!$A$3:$B$212,2,0),"")</f>
        <v>TINGO</v>
      </c>
      <c r="J108" s="106" t="s">
        <v>755</v>
      </c>
      <c r="K108" s="138" t="str">
        <f aca="false">IFERROR(VLOOKUP(TEXT(O108,"0"),CONDUCTORES!$A$3:$G$100,7,0),"")</f>
        <v/>
      </c>
      <c r="L108" s="50" t="n">
        <v>18.18</v>
      </c>
      <c r="M108" s="50" t="n">
        <v>5</v>
      </c>
      <c r="N108" s="139" t="n">
        <f aca="false">IFERROR(IF(L108*M108=0,"",L108*M108),"")</f>
        <v>90.9</v>
      </c>
      <c r="O108" s="85"/>
      <c r="P108" s="138" t="str">
        <f aca="false">IFERROR(VLOOKUP(TEXT(O108,"0"),CONDUCTORES!$A$3:$G$100,2,0),"")</f>
        <v/>
      </c>
      <c r="Q108" s="138" t="str">
        <f aca="false">IFERROR(VLOOKUP(TEXT(O108,"0"),CONDUCTORES!$A$3:$H$100,6,0),"")</f>
        <v/>
      </c>
      <c r="R108" s="137" t="n">
        <v>45827</v>
      </c>
      <c r="S108" s="107" t="s">
        <v>2486</v>
      </c>
      <c r="T108" s="136"/>
      <c r="U108" s="140"/>
      <c r="V108" s="106"/>
      <c r="W108" s="106"/>
      <c r="X108" s="106"/>
      <c r="Y108" s="85"/>
    </row>
    <row r="109" customFormat="false" ht="15.75" hidden="false" customHeight="true" outlineLevel="0" collapsed="false">
      <c r="A109" s="46" t="n">
        <v>54</v>
      </c>
      <c r="B109" s="110" t="s">
        <v>2487</v>
      </c>
      <c r="C109" s="46" t="s">
        <v>752</v>
      </c>
      <c r="D109" s="110" t="s">
        <v>2488</v>
      </c>
      <c r="E109" s="46" t="s">
        <v>99</v>
      </c>
      <c r="F109" s="46" t="s">
        <v>2489</v>
      </c>
      <c r="G109" s="142" t="n">
        <v>45790</v>
      </c>
      <c r="H109" s="46" t="s">
        <v>692</v>
      </c>
      <c r="I109" s="138" t="str">
        <f aca="false">IFERROR(VLOOKUP(TEXT(H109,"0"),IPRESS!$A$3:$B$212,2,0),"")</f>
        <v>TINGO</v>
      </c>
      <c r="J109" s="46" t="s">
        <v>755</v>
      </c>
      <c r="K109" s="138" t="str">
        <f aca="false">IFERROR(VLOOKUP(TEXT(O109,"0"),CONDUCTORES!$A$3:$G$100,7,0),"")</f>
        <v/>
      </c>
      <c r="L109" s="44" t="n">
        <v>18.18</v>
      </c>
      <c r="M109" s="44" t="n">
        <v>5</v>
      </c>
      <c r="N109" s="139" t="n">
        <f aca="false">IFERROR(IF(L109*M109=0,"",L109*M109),"")</f>
        <v>90.9</v>
      </c>
      <c r="O109" s="140"/>
      <c r="P109" s="138" t="str">
        <f aca="false">IFERROR(VLOOKUP(TEXT(O109,"0"),CONDUCTORES!$A$3:$G$100,2,0),"")</f>
        <v/>
      </c>
      <c r="Q109" s="138" t="str">
        <f aca="false">IFERROR(VLOOKUP(TEXT(O109,"0"),CONDUCTORES!$A$3:$H$100,6,0),"")</f>
        <v/>
      </c>
      <c r="R109" s="142" t="n">
        <v>45827</v>
      </c>
      <c r="S109" s="110" t="s">
        <v>2336</v>
      </c>
      <c r="T109" s="46"/>
      <c r="U109" s="85"/>
      <c r="V109" s="46"/>
      <c r="W109" s="46"/>
      <c r="X109" s="46"/>
      <c r="Y109" s="85"/>
    </row>
    <row r="110" customFormat="false" ht="15.75" hidden="false" customHeight="true" outlineLevel="0" collapsed="false">
      <c r="A110" s="106" t="n">
        <v>55</v>
      </c>
      <c r="B110" s="107" t="s">
        <v>2490</v>
      </c>
      <c r="C110" s="106" t="s">
        <v>752</v>
      </c>
      <c r="D110" s="107" t="s">
        <v>2491</v>
      </c>
      <c r="E110" s="136" t="s">
        <v>99</v>
      </c>
      <c r="F110" s="106" t="s">
        <v>2492</v>
      </c>
      <c r="G110" s="137" t="n">
        <v>45796</v>
      </c>
      <c r="H110" s="106" t="s">
        <v>692</v>
      </c>
      <c r="I110" s="138" t="str">
        <f aca="false">IFERROR(VLOOKUP(TEXT(H110,"0"),IPRESS!$A$3:$B$212,2,0),"")</f>
        <v>TINGO</v>
      </c>
      <c r="J110" s="106" t="s">
        <v>755</v>
      </c>
      <c r="K110" s="138" t="str">
        <f aca="false">IFERROR(VLOOKUP(TEXT(O110,"0"),CONDUCTORES!$A$3:$G$100,7,0),"")</f>
        <v/>
      </c>
      <c r="L110" s="50" t="n">
        <v>18.18</v>
      </c>
      <c r="M110" s="50" t="n">
        <v>5</v>
      </c>
      <c r="N110" s="139" t="n">
        <f aca="false">IFERROR(IF(L110*M110=0,"",L110*M110),"")</f>
        <v>90.9</v>
      </c>
      <c r="O110" s="85"/>
      <c r="P110" s="138" t="str">
        <f aca="false">IFERROR(VLOOKUP(TEXT(O110,"0"),CONDUCTORES!$A$3:$G$100,2,0),"")</f>
        <v/>
      </c>
      <c r="Q110" s="138" t="str">
        <f aca="false">IFERROR(VLOOKUP(TEXT(O110,"0"),CONDUCTORES!$A$3:$H$100,6,0),"")</f>
        <v/>
      </c>
      <c r="R110" s="137" t="n">
        <v>45827</v>
      </c>
      <c r="S110" s="107" t="s">
        <v>2493</v>
      </c>
      <c r="T110" s="136"/>
      <c r="U110" s="140"/>
      <c r="V110" s="106"/>
      <c r="W110" s="106"/>
      <c r="X110" s="106"/>
      <c r="Y110" s="85"/>
    </row>
    <row r="111" customFormat="false" ht="15.75" hidden="false" customHeight="true" outlineLevel="0" collapsed="false">
      <c r="A111" s="46" t="n">
        <v>56</v>
      </c>
      <c r="B111" s="110" t="s">
        <v>2494</v>
      </c>
      <c r="C111" s="46" t="s">
        <v>752</v>
      </c>
      <c r="D111" s="110" t="s">
        <v>2495</v>
      </c>
      <c r="E111" s="46" t="s">
        <v>99</v>
      </c>
      <c r="F111" s="46" t="s">
        <v>2496</v>
      </c>
      <c r="G111" s="142" t="n">
        <v>45797</v>
      </c>
      <c r="H111" s="46" t="s">
        <v>692</v>
      </c>
      <c r="I111" s="138" t="str">
        <f aca="false">IFERROR(VLOOKUP(TEXT(H111,"0"),IPRESS!$A$3:$B$212,2,0),"")</f>
        <v>TINGO</v>
      </c>
      <c r="J111" s="46" t="s">
        <v>755</v>
      </c>
      <c r="K111" s="138" t="str">
        <f aca="false">IFERROR(VLOOKUP(TEXT(O111,"0"),CONDUCTORES!$A$3:$G$100,7,0),"")</f>
        <v/>
      </c>
      <c r="L111" s="44" t="n">
        <v>18.18</v>
      </c>
      <c r="M111" s="44" t="n">
        <v>5</v>
      </c>
      <c r="N111" s="139" t="n">
        <f aca="false">IFERROR(IF(L111*M111=0,"",L111*M111),"")</f>
        <v>90.9</v>
      </c>
      <c r="O111" s="140"/>
      <c r="P111" s="138" t="str">
        <f aca="false">IFERROR(VLOOKUP(TEXT(O111,"0"),CONDUCTORES!$A$3:$G$100,2,0),"")</f>
        <v/>
      </c>
      <c r="Q111" s="138" t="str">
        <f aca="false">IFERROR(VLOOKUP(TEXT(O111,"0"),CONDUCTORES!$A$3:$H$100,6,0),"")</f>
        <v/>
      </c>
      <c r="R111" s="142" t="n">
        <v>45827</v>
      </c>
      <c r="S111" s="110" t="s">
        <v>2379</v>
      </c>
      <c r="T111" s="46"/>
      <c r="U111" s="85"/>
      <c r="V111" s="46"/>
      <c r="W111" s="46"/>
      <c r="X111" s="46"/>
      <c r="Y111" s="85"/>
    </row>
    <row r="112" customFormat="false" ht="15.75" hidden="false" customHeight="true" outlineLevel="0" collapsed="false">
      <c r="A112" s="106" t="n">
        <v>57</v>
      </c>
      <c r="B112" s="107" t="s">
        <v>2497</v>
      </c>
      <c r="C112" s="106" t="s">
        <v>752</v>
      </c>
      <c r="D112" s="107" t="s">
        <v>2498</v>
      </c>
      <c r="E112" s="136" t="s">
        <v>99</v>
      </c>
      <c r="F112" s="106" t="s">
        <v>2499</v>
      </c>
      <c r="G112" s="137" t="n">
        <v>45797</v>
      </c>
      <c r="H112" s="106" t="s">
        <v>692</v>
      </c>
      <c r="I112" s="138" t="str">
        <f aca="false">IFERROR(VLOOKUP(TEXT(H112,"0"),IPRESS!$A$3:$B$212,2,0),"")</f>
        <v>TINGO</v>
      </c>
      <c r="J112" s="106" t="s">
        <v>755</v>
      </c>
      <c r="K112" s="138" t="str">
        <f aca="false">IFERROR(VLOOKUP(TEXT(O112,"0"),CONDUCTORES!$A$3:$G$100,7,0),"")</f>
        <v/>
      </c>
      <c r="L112" s="50" t="n">
        <v>18.18</v>
      </c>
      <c r="M112" s="50" t="n">
        <v>5</v>
      </c>
      <c r="N112" s="139" t="n">
        <f aca="false">IFERROR(IF(L112*M112=0,"",L112*M112),"")</f>
        <v>90.9</v>
      </c>
      <c r="O112" s="85"/>
      <c r="P112" s="138" t="str">
        <f aca="false">IFERROR(VLOOKUP(TEXT(O112,"0"),CONDUCTORES!$A$3:$G$100,2,0),"")</f>
        <v/>
      </c>
      <c r="Q112" s="138" t="str">
        <f aca="false">IFERROR(VLOOKUP(TEXT(O112,"0"),CONDUCTORES!$A$3:$H$100,6,0),"")</f>
        <v/>
      </c>
      <c r="R112" s="137" t="n">
        <v>45827</v>
      </c>
      <c r="S112" s="107" t="s">
        <v>2500</v>
      </c>
      <c r="T112" s="136"/>
      <c r="U112" s="140"/>
      <c r="V112" s="106"/>
      <c r="W112" s="106"/>
      <c r="X112" s="106"/>
      <c r="Y112" s="85"/>
    </row>
    <row r="113" customFormat="false" ht="15.75" hidden="false" customHeight="true" outlineLevel="0" collapsed="false">
      <c r="A113" s="46" t="n">
        <v>58</v>
      </c>
      <c r="B113" s="110" t="s">
        <v>2501</v>
      </c>
      <c r="C113" s="46" t="s">
        <v>752</v>
      </c>
      <c r="D113" s="110" t="s">
        <v>2502</v>
      </c>
      <c r="E113" s="46" t="s">
        <v>99</v>
      </c>
      <c r="F113" s="46" t="s">
        <v>2503</v>
      </c>
      <c r="G113" s="142" t="n">
        <v>45800</v>
      </c>
      <c r="H113" s="46" t="s">
        <v>692</v>
      </c>
      <c r="I113" s="138" t="str">
        <f aca="false">IFERROR(VLOOKUP(TEXT(H113,"0"),IPRESS!$A$3:$B$212,2,0),"")</f>
        <v>TINGO</v>
      </c>
      <c r="J113" s="46" t="s">
        <v>755</v>
      </c>
      <c r="K113" s="138" t="str">
        <f aca="false">IFERROR(VLOOKUP(TEXT(O113,"0"),CONDUCTORES!$A$3:$G$100,7,0),"")</f>
        <v/>
      </c>
      <c r="L113" s="44" t="n">
        <v>18.18</v>
      </c>
      <c r="M113" s="44" t="n">
        <v>5</v>
      </c>
      <c r="N113" s="139" t="n">
        <f aca="false">IFERROR(IF(L113*M113=0,"",L113*M113),"")</f>
        <v>90.9</v>
      </c>
      <c r="O113" s="140"/>
      <c r="P113" s="138" t="str">
        <f aca="false">IFERROR(VLOOKUP(TEXT(O113,"0"),CONDUCTORES!$A$3:$G$100,2,0),"")</f>
        <v/>
      </c>
      <c r="Q113" s="138" t="str">
        <f aca="false">IFERROR(VLOOKUP(TEXT(O113,"0"),CONDUCTORES!$A$3:$H$100,6,0),"")</f>
        <v/>
      </c>
      <c r="R113" s="142" t="n">
        <v>45827</v>
      </c>
      <c r="S113" s="110" t="s">
        <v>2504</v>
      </c>
      <c r="T113" s="46"/>
      <c r="U113" s="85"/>
      <c r="V113" s="46"/>
      <c r="W113" s="46"/>
      <c r="X113" s="46"/>
      <c r="Y113" s="85"/>
    </row>
    <row r="114" customFormat="false" ht="15.75" hidden="false" customHeight="true" outlineLevel="0" collapsed="false">
      <c r="A114" s="106" t="n">
        <v>59</v>
      </c>
      <c r="B114" s="107" t="s">
        <v>2505</v>
      </c>
      <c r="C114" s="106" t="s">
        <v>752</v>
      </c>
      <c r="D114" s="107" t="s">
        <v>2506</v>
      </c>
      <c r="E114" s="136" t="s">
        <v>99</v>
      </c>
      <c r="F114" s="106" t="s">
        <v>2507</v>
      </c>
      <c r="G114" s="137" t="n">
        <v>45805</v>
      </c>
      <c r="H114" s="106" t="s">
        <v>692</v>
      </c>
      <c r="I114" s="138" t="str">
        <f aca="false">IFERROR(VLOOKUP(TEXT(H114,"0"),IPRESS!$A$3:$B$212,2,0),"")</f>
        <v>TINGO</v>
      </c>
      <c r="J114" s="106" t="s">
        <v>755</v>
      </c>
      <c r="K114" s="138" t="str">
        <f aca="false">IFERROR(VLOOKUP(TEXT(O114,"0"),CONDUCTORES!$A$3:$G$100,7,0),"")</f>
        <v/>
      </c>
      <c r="L114" s="50" t="n">
        <v>18.18</v>
      </c>
      <c r="M114" s="50" t="n">
        <v>5</v>
      </c>
      <c r="N114" s="139" t="n">
        <f aca="false">IFERROR(IF(L114*M114=0,"",L114*M114),"")</f>
        <v>90.9</v>
      </c>
      <c r="O114" s="85"/>
      <c r="P114" s="138" t="str">
        <f aca="false">IFERROR(VLOOKUP(TEXT(O114,"0"),CONDUCTORES!$A$3:$G$100,2,0),"")</f>
        <v/>
      </c>
      <c r="Q114" s="138" t="str">
        <f aca="false">IFERROR(VLOOKUP(TEXT(O114,"0"),CONDUCTORES!$A$3:$H$100,6,0),"")</f>
        <v/>
      </c>
      <c r="R114" s="137" t="n">
        <v>45827</v>
      </c>
      <c r="S114" s="107" t="s">
        <v>1737</v>
      </c>
      <c r="T114" s="136"/>
      <c r="U114" s="140"/>
      <c r="V114" s="106"/>
      <c r="W114" s="106"/>
      <c r="X114" s="106"/>
      <c r="Y114" s="85"/>
    </row>
    <row r="115" customFormat="false" ht="15.75" hidden="false" customHeight="true" outlineLevel="0" collapsed="false">
      <c r="A115" s="46" t="n">
        <v>60</v>
      </c>
      <c r="B115" s="110" t="s">
        <v>844</v>
      </c>
      <c r="C115" s="46" t="s">
        <v>752</v>
      </c>
      <c r="D115" s="110" t="s">
        <v>2508</v>
      </c>
      <c r="E115" s="46" t="s">
        <v>99</v>
      </c>
      <c r="F115" s="46" t="s">
        <v>2509</v>
      </c>
      <c r="G115" s="142" t="n">
        <v>45803</v>
      </c>
      <c r="H115" s="46" t="s">
        <v>692</v>
      </c>
      <c r="I115" s="138" t="str">
        <f aca="false">IFERROR(VLOOKUP(TEXT(H115,"0"),IPRESS!$A$3:$B$212,2,0),"")</f>
        <v>TINGO</v>
      </c>
      <c r="J115" s="46" t="s">
        <v>755</v>
      </c>
      <c r="K115" s="138" t="str">
        <f aca="false">IFERROR(VLOOKUP(TEXT(O115,"0"),CONDUCTORES!$A$3:$G$100,7,0),"")</f>
        <v/>
      </c>
      <c r="L115" s="44" t="n">
        <v>18.18</v>
      </c>
      <c r="M115" s="44" t="n">
        <v>5</v>
      </c>
      <c r="N115" s="139" t="n">
        <f aca="false">IFERROR(IF(L115*M115=0,"",L115*M115),"")</f>
        <v>90.9</v>
      </c>
      <c r="O115" s="140"/>
      <c r="P115" s="138" t="str">
        <f aca="false">IFERROR(VLOOKUP(TEXT(O115,"0"),CONDUCTORES!$A$3:$G$100,2,0),"")</f>
        <v/>
      </c>
      <c r="Q115" s="138" t="str">
        <f aca="false">IFERROR(VLOOKUP(TEXT(O115,"0"),CONDUCTORES!$A$3:$H$100,6,0),"")</f>
        <v/>
      </c>
      <c r="R115" s="142" t="n">
        <v>45939</v>
      </c>
      <c r="S115" s="110" t="s">
        <v>2486</v>
      </c>
      <c r="T115" s="46"/>
      <c r="U115" s="85"/>
      <c r="V115" s="46"/>
      <c r="W115" s="46"/>
      <c r="X115" s="46"/>
      <c r="Y115" s="85"/>
    </row>
    <row r="116" customFormat="false" ht="15.75" hidden="false" customHeight="true" outlineLevel="0" collapsed="false">
      <c r="A116" s="106" t="n">
        <v>56</v>
      </c>
      <c r="B116" s="107" t="s">
        <v>836</v>
      </c>
      <c r="C116" s="106" t="s">
        <v>752</v>
      </c>
      <c r="D116" s="107" t="s">
        <v>2510</v>
      </c>
      <c r="E116" s="136" t="s">
        <v>99</v>
      </c>
      <c r="F116" s="106" t="s">
        <v>2511</v>
      </c>
      <c r="G116" s="137" t="n">
        <v>45808</v>
      </c>
      <c r="H116" s="106" t="s">
        <v>692</v>
      </c>
      <c r="I116" s="138" t="str">
        <f aca="false">IFERROR(VLOOKUP(TEXT(H116,"0"),IPRESS!$A$3:$B$212,2,0),"")</f>
        <v>TINGO</v>
      </c>
      <c r="J116" s="106" t="s">
        <v>755</v>
      </c>
      <c r="K116" s="138" t="str">
        <f aca="false">IFERROR(VLOOKUP(TEXT(O116,"0"),CONDUCTORES!$A$3:$G$100,7,0),"")</f>
        <v/>
      </c>
      <c r="L116" s="50" t="n">
        <v>18.18</v>
      </c>
      <c r="M116" s="50" t="n">
        <v>5</v>
      </c>
      <c r="N116" s="139" t="n">
        <f aca="false">IFERROR(IF(L116*M116=0,"",L116*M116),"")</f>
        <v>90.9</v>
      </c>
      <c r="O116" s="85"/>
      <c r="P116" s="138" t="str">
        <f aca="false">IFERROR(VLOOKUP(TEXT(O116,"0"),CONDUCTORES!$A$3:$G$100,2,0),"")</f>
        <v/>
      </c>
      <c r="Q116" s="138" t="str">
        <f aca="false">IFERROR(VLOOKUP(TEXT(O116,"0"),CONDUCTORES!$A$3:$H$100,6,0),"")</f>
        <v/>
      </c>
      <c r="R116" s="137" t="n">
        <v>45939</v>
      </c>
      <c r="S116" s="107" t="s">
        <v>2512</v>
      </c>
      <c r="T116" s="136"/>
      <c r="U116" s="140"/>
      <c r="V116" s="106"/>
      <c r="W116" s="106"/>
      <c r="X116" s="106"/>
      <c r="Y116" s="85"/>
    </row>
    <row r="117" customFormat="false" ht="15.75" hidden="false" customHeight="true" outlineLevel="0" collapsed="false">
      <c r="A117" s="46" t="n">
        <v>57</v>
      </c>
      <c r="B117" s="110" t="s">
        <v>1227</v>
      </c>
      <c r="C117" s="46" t="s">
        <v>752</v>
      </c>
      <c r="D117" s="110" t="s">
        <v>2513</v>
      </c>
      <c r="E117" s="46" t="s">
        <v>99</v>
      </c>
      <c r="F117" s="46" t="s">
        <v>2514</v>
      </c>
      <c r="G117" s="142" t="n">
        <v>45788</v>
      </c>
      <c r="H117" s="46" t="s">
        <v>717</v>
      </c>
      <c r="I117" s="138" t="str">
        <f aca="false">IFERROR(VLOOKUP(TEXT(H117,"0"),IPRESS!$A$3:$B$212,2,0),"")</f>
        <v>YERBABUENA</v>
      </c>
      <c r="J117" s="46" t="s">
        <v>755</v>
      </c>
      <c r="K117" s="138" t="str">
        <f aca="false">IFERROR(VLOOKUP(TEXT(O117,"0"),CONDUCTORES!$A$3:$G$100,7,0),"")</f>
        <v/>
      </c>
      <c r="L117" s="44" t="n">
        <v>18.18</v>
      </c>
      <c r="M117" s="44" t="n">
        <v>6</v>
      </c>
      <c r="N117" s="139" t="n">
        <f aca="false">IFERROR(IF(L117*M117=0,"",L117*M117),"")</f>
        <v>109.08</v>
      </c>
      <c r="O117" s="140"/>
      <c r="P117" s="138" t="str">
        <f aca="false">IFERROR(VLOOKUP(TEXT(O117,"0"),CONDUCTORES!$A$3:$G$100,2,0),"")</f>
        <v/>
      </c>
      <c r="Q117" s="138" t="str">
        <f aca="false">IFERROR(VLOOKUP(TEXT(O117,"0"),CONDUCTORES!$A$3:$H$100,6,0),"")</f>
        <v/>
      </c>
      <c r="R117" s="142" t="n">
        <v>45828</v>
      </c>
      <c r="S117" s="110" t="s">
        <v>2515</v>
      </c>
      <c r="T117" s="46"/>
      <c r="U117" s="85"/>
      <c r="V117" s="46"/>
      <c r="W117" s="46"/>
      <c r="X117" s="46"/>
      <c r="Y117" s="85"/>
    </row>
    <row r="118" customFormat="false" ht="15.75" hidden="false" customHeight="true" outlineLevel="0" collapsed="false">
      <c r="A118" s="106" t="n">
        <v>58</v>
      </c>
      <c r="B118" s="107" t="s">
        <v>1197</v>
      </c>
      <c r="C118" s="106" t="s">
        <v>752</v>
      </c>
      <c r="D118" s="107" t="s">
        <v>2516</v>
      </c>
      <c r="E118" s="136" t="s">
        <v>99</v>
      </c>
      <c r="F118" s="106" t="s">
        <v>2517</v>
      </c>
      <c r="G118" s="137" t="n">
        <v>45805</v>
      </c>
      <c r="H118" s="106" t="s">
        <v>717</v>
      </c>
      <c r="I118" s="138" t="str">
        <f aca="false">IFERROR(VLOOKUP(TEXT(H118,"0"),IPRESS!$A$3:$B$212,2,0),"")</f>
        <v>YERBABUENA</v>
      </c>
      <c r="J118" s="106" t="s">
        <v>755</v>
      </c>
      <c r="K118" s="138" t="str">
        <f aca="false">IFERROR(VLOOKUP(TEXT(O118,"0"),CONDUCTORES!$A$3:$G$100,7,0),"")</f>
        <v/>
      </c>
      <c r="L118" s="50" t="n">
        <v>18.18</v>
      </c>
      <c r="M118" s="50" t="n">
        <v>6</v>
      </c>
      <c r="N118" s="139" t="n">
        <f aca="false">IFERROR(IF(L118*M118=0,"",L118*M118),"")</f>
        <v>109.08</v>
      </c>
      <c r="O118" s="85"/>
      <c r="P118" s="138" t="str">
        <f aca="false">IFERROR(VLOOKUP(TEXT(O118,"0"),CONDUCTORES!$A$3:$G$100,2,0),"")</f>
        <v/>
      </c>
      <c r="Q118" s="138" t="str">
        <f aca="false">IFERROR(VLOOKUP(TEXT(O118,"0"),CONDUCTORES!$A$3:$H$100,6,0),"")</f>
        <v/>
      </c>
      <c r="R118" s="137" t="n">
        <v>45828</v>
      </c>
      <c r="S118" s="107" t="s">
        <v>1154</v>
      </c>
      <c r="T118" s="136"/>
      <c r="U118" s="140"/>
      <c r="V118" s="106"/>
      <c r="W118" s="106"/>
      <c r="X118" s="106"/>
      <c r="Y118" s="85"/>
    </row>
    <row r="119" customFormat="false" ht="15" hidden="false" customHeight="tru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38" t="str">
        <f aca="false">IFERROR(VLOOKUP(TEXT(H119,"0"),IPRESS!$A$3:$B$212,2,0),"")</f>
        <v/>
      </c>
      <c r="J119" s="140"/>
      <c r="K119" s="138" t="str">
        <f aca="false">IFERROR(VLOOKUP(TEXT(O119,"0"),CONDUCTORES!$A$3:$G$54,7,0),"")</f>
        <v/>
      </c>
      <c r="L119" s="140"/>
      <c r="M119" s="140"/>
      <c r="N119" s="139" t="str">
        <f aca="false">IFERROR(IF(L119*M119=0,"",L119*M119),"")</f>
        <v/>
      </c>
      <c r="O119" s="140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140"/>
      <c r="S119" s="140"/>
      <c r="T119" s="140"/>
      <c r="U119" s="140"/>
      <c r="V119" s="140"/>
      <c r="W119" s="140"/>
      <c r="X119" s="140"/>
      <c r="Y119" s="140"/>
    </row>
    <row r="120" customFormat="false" ht="24" hidden="false" customHeight="true" outlineLevel="0" collapsed="false">
      <c r="A120" s="148" t="s">
        <v>1177</v>
      </c>
      <c r="B120" s="148"/>
      <c r="C120" s="148"/>
      <c r="D120" s="148"/>
      <c r="E120" s="148"/>
      <c r="F120" s="148"/>
      <c r="G120" s="148"/>
      <c r="H120" s="148"/>
      <c r="I120" s="148"/>
      <c r="J120" s="148"/>
      <c r="K120" s="149"/>
      <c r="L120" s="85"/>
      <c r="M120" s="150" t="n">
        <f aca="false">SUBTOTAL(9,M4:M118)</f>
        <v>901</v>
      </c>
      <c r="N120" s="150" t="n">
        <f aca="false">SUBTOTAL(9,N4:N118)</f>
        <v>16759.91</v>
      </c>
      <c r="O120" s="85"/>
      <c r="P120" s="138" t="str">
        <f aca="false">IFERROR(VLOOKUP(TEXT(O120,"0"),CONDUCTORES!$A$3:$G$100,2,0),"")</f>
        <v/>
      </c>
      <c r="Q120" s="138" t="str">
        <f aca="false">IFERROR(VLOOKUP(TEXT(O120,"0"),CONDUCTORES!$A$3:$H$100,6,0),"")</f>
        <v/>
      </c>
      <c r="R120" s="85"/>
      <c r="S120" s="85"/>
      <c r="T120" s="85"/>
      <c r="U120" s="85"/>
      <c r="V120" s="85"/>
      <c r="W120" s="85"/>
      <c r="X120" s="85"/>
      <c r="Y120" s="85"/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49"/>
      <c r="J121" s="140"/>
      <c r="K121" s="149"/>
      <c r="L121" s="140"/>
      <c r="M121" s="140"/>
      <c r="N121" s="151"/>
      <c r="O121" s="140"/>
      <c r="P121" s="149"/>
      <c r="Q121" s="149"/>
      <c r="R121" s="140"/>
      <c r="S121" s="140"/>
      <c r="T121" s="140"/>
      <c r="U121" s="140"/>
      <c r="V121" s="140"/>
      <c r="W121" s="140"/>
      <c r="X121" s="140"/>
      <c r="Y121" s="140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49"/>
      <c r="J122" s="85"/>
      <c r="K122" s="149"/>
      <c r="L122" s="85"/>
      <c r="M122" s="85"/>
      <c r="N122" s="151"/>
      <c r="O122" s="85"/>
      <c r="P122" s="149"/>
      <c r="Q122" s="149"/>
      <c r="R122" s="85"/>
      <c r="S122" s="85"/>
      <c r="T122" s="85"/>
      <c r="U122" s="85"/>
      <c r="V122" s="85"/>
      <c r="W122" s="85"/>
      <c r="X122" s="85"/>
      <c r="Y122" s="85"/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49"/>
      <c r="J123" s="140"/>
      <c r="K123" s="149"/>
      <c r="L123" s="140"/>
      <c r="M123" s="140"/>
      <c r="N123" s="151"/>
      <c r="O123" s="140"/>
      <c r="P123" s="149"/>
      <c r="Q123" s="149"/>
      <c r="R123" s="140"/>
      <c r="S123" s="140"/>
      <c r="T123" s="140"/>
      <c r="U123" s="140"/>
      <c r="V123" s="140"/>
      <c r="W123" s="140"/>
      <c r="X123" s="140"/>
      <c r="Y123" s="140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49"/>
      <c r="J124" s="85"/>
      <c r="K124" s="149"/>
      <c r="L124" s="85"/>
      <c r="M124" s="85"/>
      <c r="N124" s="151"/>
      <c r="O124" s="85"/>
      <c r="P124" s="149"/>
      <c r="Q124" s="149"/>
      <c r="R124" s="85"/>
      <c r="S124" s="85"/>
      <c r="T124" s="85"/>
      <c r="U124" s="85"/>
      <c r="V124" s="85"/>
      <c r="W124" s="85"/>
      <c r="X124" s="85"/>
      <c r="Y124" s="85"/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1802</v>
      </c>
      <c r="N506" s="153" t="n">
        <f aca="false">SUM(N6:N505)</f>
        <v>33519.82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20:J120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19 E121:E505" type="list">
      <formula1>"DNI,CE,PASAPORTE"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2518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IFERROR(SUMPRODUCT((K4:K113="PETROLEO")*ISNUMBER(M4:M113)*M4:M113),0)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IFERROR(SUMPRODUCT((K4:K113="GASOLINA")*ISNUMBER(M4:M113)*M4:M113),0)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IFERROR(SUMPRODUCT(ISNUMBER(M4:M113)*L4:L113*M4:M113),0)</f>
        <v>0</v>
      </c>
      <c r="Q2" s="125"/>
      <c r="R2" s="125"/>
      <c r="S2" s="123" t="s">
        <v>727</v>
      </c>
      <c r="T2" s="123"/>
      <c r="U2" s="126" t="n">
        <f aca="false">SUBTOTAL(2,A4:A113)</f>
        <v>106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43" t="n">
        <v>1</v>
      </c>
      <c r="B6" s="144" t="s">
        <v>1227</v>
      </c>
      <c r="C6" s="143" t="s">
        <v>752</v>
      </c>
      <c r="D6" s="144" t="s">
        <v>2519</v>
      </c>
      <c r="E6" s="143" t="s">
        <v>99</v>
      </c>
      <c r="F6" s="143" t="s">
        <v>2196</v>
      </c>
      <c r="G6" s="145" t="n">
        <v>45809</v>
      </c>
      <c r="H6" s="143" t="s">
        <v>350</v>
      </c>
      <c r="I6" s="138" t="str">
        <f aca="false">IFERROR(VLOOKUP(TEXT(H6,"0"),IPRESS!$A$3:$B$212,2,0),"")</f>
        <v>BUENOS AIRES</v>
      </c>
      <c r="J6" s="143" t="s">
        <v>595</v>
      </c>
      <c r="K6" s="138" t="str">
        <f aca="false">IFERROR(VLOOKUP(TEXT(O6,"0"),CONDUCTORES!$A$3:$G$100,7,0),"")</f>
        <v/>
      </c>
      <c r="L6" s="146" t="n">
        <v>17.95</v>
      </c>
      <c r="M6" s="146" t="n">
        <v>5</v>
      </c>
      <c r="N6" s="139" t="n">
        <f aca="false">IFERROR(IF(L6*M6=0,"",L6*M6),"")</f>
        <v>89.75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45" t="n">
        <v>45874</v>
      </c>
      <c r="S6" s="144" t="s">
        <v>2520</v>
      </c>
      <c r="T6" s="143"/>
      <c r="U6" s="147"/>
      <c r="V6" s="143" t="s">
        <v>2521</v>
      </c>
      <c r="W6" s="143" t="s">
        <v>2522</v>
      </c>
      <c r="X6" s="143" t="s">
        <v>2523</v>
      </c>
      <c r="Y6" s="85"/>
    </row>
    <row r="7" customFormat="false" ht="15.75" hidden="false" customHeight="true" outlineLevel="0" collapsed="false">
      <c r="A7" s="143" t="n">
        <v>2</v>
      </c>
      <c r="B7" s="144" t="s">
        <v>1207</v>
      </c>
      <c r="C7" s="143" t="s">
        <v>752</v>
      </c>
      <c r="D7" s="144" t="s">
        <v>2524</v>
      </c>
      <c r="E7" s="143" t="s">
        <v>99</v>
      </c>
      <c r="F7" s="143" t="s">
        <v>2525</v>
      </c>
      <c r="G7" s="145" t="n">
        <v>45812</v>
      </c>
      <c r="H7" s="143" t="s">
        <v>350</v>
      </c>
      <c r="I7" s="138" t="str">
        <f aca="false">IFERROR(VLOOKUP(TEXT(H7,"0"),IPRESS!$A$3:$B$212,2,0),"")</f>
        <v>BUENOS AIRES</v>
      </c>
      <c r="J7" s="143" t="s">
        <v>595</v>
      </c>
      <c r="K7" s="138" t="str">
        <f aca="false">IFERROR(VLOOKUP(TEXT(O7,"0"),CONDUCTORES!$A$3:$G$100,7,0),"")</f>
        <v/>
      </c>
      <c r="L7" s="146" t="n">
        <v>17.95</v>
      </c>
      <c r="M7" s="146" t="n">
        <v>5</v>
      </c>
      <c r="N7" s="139" t="n">
        <f aca="false">IFERROR(IF(L7*M7=0,"",L7*M7),"")</f>
        <v>89.75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145" t="n">
        <v>45874</v>
      </c>
      <c r="S7" s="144" t="s">
        <v>2203</v>
      </c>
      <c r="T7" s="143"/>
      <c r="U7" s="147"/>
      <c r="V7" s="143" t="s">
        <v>2521</v>
      </c>
      <c r="W7" s="143" t="s">
        <v>2522</v>
      </c>
      <c r="X7" s="143" t="s">
        <v>2523</v>
      </c>
      <c r="Y7" s="85"/>
    </row>
    <row r="8" customFormat="false" ht="15.75" hidden="false" customHeight="true" outlineLevel="0" collapsed="false">
      <c r="A8" s="143" t="n">
        <v>3</v>
      </c>
      <c r="B8" s="144" t="s">
        <v>1302</v>
      </c>
      <c r="C8" s="143" t="s">
        <v>752</v>
      </c>
      <c r="D8" s="144" t="s">
        <v>2526</v>
      </c>
      <c r="E8" s="143" t="s">
        <v>99</v>
      </c>
      <c r="F8" s="143" t="s">
        <v>2527</v>
      </c>
      <c r="G8" s="145" t="n">
        <v>45821</v>
      </c>
      <c r="H8" s="143" t="s">
        <v>350</v>
      </c>
      <c r="I8" s="138" t="str">
        <f aca="false">IFERROR(VLOOKUP(TEXT(H8,"0"),IPRESS!$A$3:$B$212,2,0),"")</f>
        <v>BUENOS AIRES</v>
      </c>
      <c r="J8" s="143" t="s">
        <v>595</v>
      </c>
      <c r="K8" s="138" t="str">
        <f aca="false">IFERROR(VLOOKUP(TEXT(O8,"0"),CONDUCTORES!$A$3:$G$100,7,0),"")</f>
        <v/>
      </c>
      <c r="L8" s="146" t="n">
        <v>17.95</v>
      </c>
      <c r="M8" s="146" t="n">
        <v>7</v>
      </c>
      <c r="N8" s="139" t="n">
        <f aca="false">IFERROR(IF(L8*M8=0,"",L8*M8),"")</f>
        <v>125.65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45" t="n">
        <v>45874</v>
      </c>
      <c r="S8" s="144" t="s">
        <v>2203</v>
      </c>
      <c r="T8" s="143"/>
      <c r="U8" s="147"/>
      <c r="V8" s="143" t="s">
        <v>2521</v>
      </c>
      <c r="W8" s="143" t="s">
        <v>2522</v>
      </c>
      <c r="X8" s="143" t="s">
        <v>2523</v>
      </c>
      <c r="Y8" s="85"/>
    </row>
    <row r="9" customFormat="false" ht="15.75" hidden="false" customHeight="true" outlineLevel="0" collapsed="false">
      <c r="A9" s="143" t="n">
        <v>4</v>
      </c>
      <c r="B9" s="144" t="s">
        <v>1197</v>
      </c>
      <c r="C9" s="143" t="s">
        <v>752</v>
      </c>
      <c r="D9" s="144" t="s">
        <v>2528</v>
      </c>
      <c r="E9" s="143" t="s">
        <v>99</v>
      </c>
      <c r="F9" s="143" t="s">
        <v>2529</v>
      </c>
      <c r="G9" s="145" t="n">
        <v>45818</v>
      </c>
      <c r="H9" s="143" t="s">
        <v>350</v>
      </c>
      <c r="I9" s="138" t="str">
        <f aca="false">IFERROR(VLOOKUP(TEXT(H9,"0"),IPRESS!$A$3:$B$212,2,0),"")</f>
        <v>BUENOS AIRES</v>
      </c>
      <c r="J9" s="143" t="s">
        <v>595</v>
      </c>
      <c r="K9" s="138" t="str">
        <f aca="false">IFERROR(VLOOKUP(TEXT(O9,"0"),CONDUCTORES!$A$3:$G$100,7,0),"")</f>
        <v/>
      </c>
      <c r="L9" s="146" t="n">
        <v>17.95</v>
      </c>
      <c r="M9" s="146" t="n">
        <v>5</v>
      </c>
      <c r="N9" s="139" t="n">
        <f aca="false">IFERROR(IF(L9*M9=0,"",L9*M9),"")</f>
        <v>89.75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145" t="n">
        <v>45874</v>
      </c>
      <c r="S9" s="144" t="s">
        <v>2203</v>
      </c>
      <c r="T9" s="143"/>
      <c r="U9" s="147"/>
      <c r="V9" s="143" t="s">
        <v>2521</v>
      </c>
      <c r="W9" s="143" t="s">
        <v>2522</v>
      </c>
      <c r="X9" s="143" t="s">
        <v>2523</v>
      </c>
      <c r="Y9" s="85"/>
    </row>
    <row r="10" customFormat="false" ht="15.75" hidden="false" customHeight="true" outlineLevel="0" collapsed="false">
      <c r="A10" s="143" t="n">
        <v>5</v>
      </c>
      <c r="B10" s="144" t="s">
        <v>1306</v>
      </c>
      <c r="C10" s="143" t="s">
        <v>752</v>
      </c>
      <c r="D10" s="144" t="s">
        <v>2530</v>
      </c>
      <c r="E10" s="143" t="s">
        <v>99</v>
      </c>
      <c r="F10" s="143" t="s">
        <v>2531</v>
      </c>
      <c r="G10" s="145" t="n">
        <v>45831</v>
      </c>
      <c r="H10" s="143" t="s">
        <v>350</v>
      </c>
      <c r="I10" s="138" t="str">
        <f aca="false">IFERROR(VLOOKUP(TEXT(H10,"0"),IPRESS!$A$3:$B$212,2,0),"")</f>
        <v>BUENOS AIRES</v>
      </c>
      <c r="J10" s="143" t="s">
        <v>595</v>
      </c>
      <c r="K10" s="138" t="str">
        <f aca="false">IFERROR(VLOOKUP(TEXT(O10,"0"),CONDUCTORES!$A$3:$G$100,7,0),"")</f>
        <v/>
      </c>
      <c r="L10" s="146" t="n">
        <v>17.95</v>
      </c>
      <c r="M10" s="146" t="n">
        <v>5</v>
      </c>
      <c r="N10" s="139" t="n">
        <f aca="false">IFERROR(IF(L10*M10=0,"",L10*M10),"")</f>
        <v>89.75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45" t="n">
        <v>45874</v>
      </c>
      <c r="S10" s="144" t="s">
        <v>2532</v>
      </c>
      <c r="T10" s="143"/>
      <c r="U10" s="147"/>
      <c r="V10" s="143" t="s">
        <v>2521</v>
      </c>
      <c r="W10" s="143" t="s">
        <v>2522</v>
      </c>
      <c r="X10" s="143" t="s">
        <v>2523</v>
      </c>
      <c r="Y10" s="85"/>
    </row>
    <row r="11" customFormat="false" ht="15.75" hidden="false" customHeight="true" outlineLevel="0" collapsed="false">
      <c r="A11" s="143" t="n">
        <v>6</v>
      </c>
      <c r="B11" s="144" t="s">
        <v>1412</v>
      </c>
      <c r="C11" s="143" t="s">
        <v>752</v>
      </c>
      <c r="D11" s="144" t="s">
        <v>2533</v>
      </c>
      <c r="E11" s="143" t="s">
        <v>99</v>
      </c>
      <c r="F11" s="143" t="s">
        <v>2534</v>
      </c>
      <c r="G11" s="145" t="n">
        <v>45832</v>
      </c>
      <c r="H11" s="143" t="s">
        <v>350</v>
      </c>
      <c r="I11" s="138" t="str">
        <f aca="false">IFERROR(VLOOKUP(TEXT(H11,"0"),IPRESS!$A$3:$B$212,2,0),"")</f>
        <v>BUENOS AIRES</v>
      </c>
      <c r="J11" s="143" t="s">
        <v>595</v>
      </c>
      <c r="K11" s="138" t="str">
        <f aca="false">IFERROR(VLOOKUP(TEXT(O11,"0"),CONDUCTORES!$A$3:$G$100,7,0),"")</f>
        <v/>
      </c>
      <c r="L11" s="146" t="n">
        <v>17.95</v>
      </c>
      <c r="M11" s="146" t="n">
        <v>5</v>
      </c>
      <c r="N11" s="139" t="n">
        <f aca="false">IFERROR(IF(L11*M11=0,"",L11*M11),"")</f>
        <v>89.75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145" t="n">
        <v>45874</v>
      </c>
      <c r="S11" s="144" t="s">
        <v>2535</v>
      </c>
      <c r="T11" s="143"/>
      <c r="U11" s="147"/>
      <c r="V11" s="143" t="s">
        <v>2521</v>
      </c>
      <c r="W11" s="143" t="s">
        <v>2522</v>
      </c>
      <c r="X11" s="143" t="s">
        <v>2523</v>
      </c>
      <c r="Y11" s="85"/>
    </row>
    <row r="12" customFormat="false" ht="15.75" hidden="false" customHeight="true" outlineLevel="0" collapsed="false">
      <c r="A12" s="143" t="n">
        <v>7</v>
      </c>
      <c r="B12" s="144" t="s">
        <v>1425</v>
      </c>
      <c r="C12" s="143" t="s">
        <v>752</v>
      </c>
      <c r="D12" s="144" t="s">
        <v>2536</v>
      </c>
      <c r="E12" s="143" t="s">
        <v>99</v>
      </c>
      <c r="F12" s="143" t="s">
        <v>2537</v>
      </c>
      <c r="G12" s="145" t="n">
        <v>45832</v>
      </c>
      <c r="H12" s="143" t="s">
        <v>350</v>
      </c>
      <c r="I12" s="138" t="str">
        <f aca="false">IFERROR(VLOOKUP(TEXT(H12,"0"),IPRESS!$A$3:$B$212,2,0),"")</f>
        <v>BUENOS AIRES</v>
      </c>
      <c r="J12" s="143" t="s">
        <v>595</v>
      </c>
      <c r="K12" s="138" t="str">
        <f aca="false">IFERROR(VLOOKUP(TEXT(O12,"0"),CONDUCTORES!$A$3:$G$100,7,0),"")</f>
        <v/>
      </c>
      <c r="L12" s="146" t="n">
        <v>17.95</v>
      </c>
      <c r="M12" s="146" t="n">
        <v>5</v>
      </c>
      <c r="N12" s="139" t="n">
        <f aca="false">IFERROR(IF(L12*M12=0,"",L12*M12),"")</f>
        <v>89.75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45" t="n">
        <v>45874</v>
      </c>
      <c r="S12" s="144" t="s">
        <v>2203</v>
      </c>
      <c r="T12" s="143"/>
      <c r="U12" s="147"/>
      <c r="V12" s="143" t="s">
        <v>2521</v>
      </c>
      <c r="W12" s="143" t="s">
        <v>2522</v>
      </c>
      <c r="X12" s="143" t="s">
        <v>2523</v>
      </c>
      <c r="Y12" s="85"/>
    </row>
    <row r="13" customFormat="false" ht="15.75" hidden="false" customHeight="true" outlineLevel="0" collapsed="false">
      <c r="A13" s="46" t="n">
        <v>8</v>
      </c>
      <c r="B13" s="110" t="s">
        <v>919</v>
      </c>
      <c r="C13" s="46" t="s">
        <v>752</v>
      </c>
      <c r="D13" s="110" t="s">
        <v>2538</v>
      </c>
      <c r="E13" s="46" t="s">
        <v>99</v>
      </c>
      <c r="F13" s="46" t="s">
        <v>2539</v>
      </c>
      <c r="G13" s="142" t="n">
        <v>45817</v>
      </c>
      <c r="H13" s="46" t="s">
        <v>357</v>
      </c>
      <c r="I13" s="138" t="str">
        <f aca="false">IFERROR(VLOOKUP(TEXT(H13,"0"),IPRESS!$A$3:$B$212,2,0),"")</f>
        <v>CAMPORREDONDO</v>
      </c>
      <c r="J13" s="46" t="s">
        <v>1216</v>
      </c>
      <c r="K13" s="138" t="str">
        <f aca="false">IFERROR(VLOOKUP(TEXT(O13,"0"),CONDUCTORES!$A$3:$G$100,7,0),"")</f>
        <v/>
      </c>
      <c r="L13" s="44" t="n">
        <v>18.18</v>
      </c>
      <c r="M13" s="44" t="n">
        <v>20</v>
      </c>
      <c r="N13" s="139" t="n">
        <f aca="false">IFERROR(IF(L13*M13=0,"",L13*M13),"")</f>
        <v>363.6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142" t="n">
        <v>45841</v>
      </c>
      <c r="S13" s="110" t="s">
        <v>2540</v>
      </c>
      <c r="T13" s="46"/>
      <c r="U13" s="85"/>
      <c r="V13" s="46"/>
      <c r="W13" s="46"/>
      <c r="X13" s="46"/>
      <c r="Y13" s="85"/>
    </row>
    <row r="14" customFormat="false" ht="15.75" hidden="false" customHeight="true" outlineLevel="0" collapsed="false">
      <c r="A14" s="106" t="n">
        <v>9</v>
      </c>
      <c r="B14" s="107" t="s">
        <v>919</v>
      </c>
      <c r="C14" s="106" t="s">
        <v>752</v>
      </c>
      <c r="D14" s="107" t="s">
        <v>2541</v>
      </c>
      <c r="E14" s="136" t="s">
        <v>99</v>
      </c>
      <c r="F14" s="106" t="s">
        <v>2542</v>
      </c>
      <c r="G14" s="137" t="n">
        <v>45814</v>
      </c>
      <c r="H14" s="106" t="s">
        <v>395</v>
      </c>
      <c r="I14" s="138" t="str">
        <f aca="false">IFERROR(VLOOKUP(TEXT(H14,"0"),IPRESS!$A$3:$B$212,2,0),"")</f>
        <v>CHUQUIBAMBA</v>
      </c>
      <c r="J14" s="106" t="s">
        <v>755</v>
      </c>
      <c r="K14" s="138" t="str">
        <f aca="false">IFERROR(VLOOKUP(TEXT(O14,"0"),CONDUCTORES!$A$3:$G$100,7,0),"")</f>
        <v/>
      </c>
      <c r="L14" s="50" t="n">
        <v>18.18</v>
      </c>
      <c r="M14" s="50" t="n">
        <v>15</v>
      </c>
      <c r="N14" s="139" t="n">
        <f aca="false">IFERROR(IF(L14*M14=0,"",L14*M14),"")</f>
        <v>272.7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37" t="n">
        <v>45827</v>
      </c>
      <c r="S14" s="107" t="s">
        <v>2543</v>
      </c>
      <c r="T14" s="136"/>
      <c r="U14" s="140"/>
      <c r="V14" s="106"/>
      <c r="W14" s="106"/>
      <c r="X14" s="106"/>
      <c r="Y14" s="85"/>
    </row>
    <row r="15" customFormat="false" ht="15.75" hidden="false" customHeight="true" outlineLevel="0" collapsed="false">
      <c r="A15" s="46" t="n">
        <v>10</v>
      </c>
      <c r="B15" s="110" t="s">
        <v>818</v>
      </c>
      <c r="C15" s="46" t="s">
        <v>752</v>
      </c>
      <c r="D15" s="110" t="s">
        <v>2544</v>
      </c>
      <c r="E15" s="46" t="s">
        <v>99</v>
      </c>
      <c r="F15" s="46" t="s">
        <v>2545</v>
      </c>
      <c r="G15" s="142" t="n">
        <v>45833</v>
      </c>
      <c r="H15" s="46" t="s">
        <v>395</v>
      </c>
      <c r="I15" s="138" t="str">
        <f aca="false">IFERROR(VLOOKUP(TEXT(H15,"0"),IPRESS!$A$3:$B$212,2,0),"")</f>
        <v>CHUQUIBAMBA</v>
      </c>
      <c r="J15" s="46" t="s">
        <v>755</v>
      </c>
      <c r="K15" s="138" t="str">
        <f aca="false">IFERROR(VLOOKUP(TEXT(O15,"0"),CONDUCTORES!$A$3:$G$100,7,0),"")</f>
        <v/>
      </c>
      <c r="L15" s="44" t="n">
        <v>18.18</v>
      </c>
      <c r="M15" s="44" t="n">
        <v>15</v>
      </c>
      <c r="N15" s="139" t="n">
        <f aca="false">IFERROR(IF(L15*M15=0,"",L15*M15),"")</f>
        <v>272.7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85" t="s">
        <v>2546</v>
      </c>
      <c r="S15" s="110" t="s">
        <v>2547</v>
      </c>
      <c r="T15" s="46"/>
      <c r="U15" s="85"/>
      <c r="V15" s="46"/>
      <c r="W15" s="46"/>
      <c r="X15" s="46"/>
      <c r="Y15" s="85"/>
    </row>
    <row r="16" customFormat="false" ht="15.75" hidden="false" customHeight="true" outlineLevel="0" collapsed="false">
      <c r="A16" s="143" t="n">
        <v>11</v>
      </c>
      <c r="B16" s="144" t="s">
        <v>818</v>
      </c>
      <c r="C16" s="143" t="s">
        <v>752</v>
      </c>
      <c r="D16" s="144" t="s">
        <v>2548</v>
      </c>
      <c r="E16" s="143" t="s">
        <v>99</v>
      </c>
      <c r="F16" s="143" t="s">
        <v>2549</v>
      </c>
      <c r="G16" s="145" t="n">
        <v>45827</v>
      </c>
      <c r="H16" s="143" t="s">
        <v>398</v>
      </c>
      <c r="I16" s="138" t="str">
        <f aca="false">IFERROR(VLOOKUP(TEXT(H16,"0"),IPRESS!$A$3:$B$212,2,0),"")</f>
        <v>COCABAMBA</v>
      </c>
      <c r="J16" s="143" t="s">
        <v>755</v>
      </c>
      <c r="K16" s="138" t="str">
        <f aca="false">IFERROR(VLOOKUP(TEXT(O16,"0"),CONDUCTORES!$A$3:$G$100,7,0),"")</f>
        <v/>
      </c>
      <c r="L16" s="146" t="n">
        <v>17.95</v>
      </c>
      <c r="M16" s="146" t="n">
        <v>21</v>
      </c>
      <c r="N16" s="139" t="n">
        <f aca="false">IFERROR(IF(L16*M16=0,"",L16*M16),"")</f>
        <v>376.95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47"/>
      <c r="S16" s="144" t="s">
        <v>1292</v>
      </c>
      <c r="T16" s="143"/>
      <c r="U16" s="147"/>
      <c r="V16" s="143"/>
      <c r="W16" s="143"/>
      <c r="X16" s="143"/>
      <c r="Y16" s="85"/>
    </row>
    <row r="17" customFormat="false" ht="15.75" hidden="false" customHeight="true" outlineLevel="0" collapsed="false">
      <c r="A17" s="46" t="n">
        <v>12</v>
      </c>
      <c r="B17" s="110" t="s">
        <v>787</v>
      </c>
      <c r="C17" s="46" t="s">
        <v>752</v>
      </c>
      <c r="D17" s="110" t="s">
        <v>2550</v>
      </c>
      <c r="E17" s="46" t="s">
        <v>99</v>
      </c>
      <c r="F17" s="46" t="s">
        <v>2551</v>
      </c>
      <c r="G17" s="142" t="n">
        <v>45830</v>
      </c>
      <c r="H17" s="46" t="s">
        <v>424</v>
      </c>
      <c r="I17" s="138" t="str">
        <f aca="false">IFERROR(VLOOKUP(TEXT(H17,"0"),IPRESS!$A$3:$B$212,2,0),"")</f>
        <v>CUEMAL</v>
      </c>
      <c r="J17" s="46" t="s">
        <v>755</v>
      </c>
      <c r="K17" s="138" t="str">
        <f aca="false">IFERROR(VLOOKUP(TEXT(O17,"0"),CONDUCTORES!$A$3:$G$100,7,0),"")</f>
        <v/>
      </c>
      <c r="L17" s="44" t="n">
        <v>18.18</v>
      </c>
      <c r="M17" s="44" t="n">
        <v>6</v>
      </c>
      <c r="N17" s="139" t="n">
        <f aca="false">IFERROR(IF(L17*M17=0,"",L17*M17),"")</f>
        <v>109.08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142" t="n">
        <v>45950</v>
      </c>
      <c r="S17" s="110" t="s">
        <v>2552</v>
      </c>
      <c r="T17" s="46"/>
      <c r="U17" s="85"/>
      <c r="V17" s="46" t="s">
        <v>2553</v>
      </c>
      <c r="W17" s="46" t="s">
        <v>2554</v>
      </c>
      <c r="X17" s="46" t="s">
        <v>2351</v>
      </c>
      <c r="Y17" s="85"/>
    </row>
    <row r="18" customFormat="false" ht="15.75" hidden="false" customHeight="true" outlineLevel="0" collapsed="false">
      <c r="A18" s="106" t="n">
        <v>13</v>
      </c>
      <c r="B18" s="107" t="s">
        <v>2555</v>
      </c>
      <c r="C18" s="106" t="s">
        <v>752</v>
      </c>
      <c r="D18" s="107" t="s">
        <v>2556</v>
      </c>
      <c r="E18" s="136" t="s">
        <v>99</v>
      </c>
      <c r="F18" s="106" t="s">
        <v>2557</v>
      </c>
      <c r="G18" s="137" t="n">
        <v>45809</v>
      </c>
      <c r="H18" s="106" t="s">
        <v>529</v>
      </c>
      <c r="I18" s="138" t="str">
        <f aca="false">IFERROR(VLOOKUP(TEXT(H18,"0"),IPRESS!$A$3:$B$212,2,0),"")</f>
        <v>MARIA AUXILIADORA</v>
      </c>
      <c r="J18" s="106" t="s">
        <v>755</v>
      </c>
      <c r="K18" s="138" t="str">
        <f aca="false">IFERROR(VLOOKUP(TEXT(O18,"0"),CONDUCTORES!$A$3:$G$100,7,0),"")</f>
        <v/>
      </c>
      <c r="L18" s="50" t="n">
        <v>20.25</v>
      </c>
      <c r="M18" s="50" t="n">
        <v>7</v>
      </c>
      <c r="N18" s="139" t="n">
        <f aca="false">IFERROR(IF(L18*M18=0,"",L18*M18),"")</f>
        <v>141.75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40" t="s">
        <v>1317</v>
      </c>
      <c r="S18" s="107" t="s">
        <v>2558</v>
      </c>
      <c r="T18" s="136"/>
      <c r="U18" s="140"/>
      <c r="V18" s="106"/>
      <c r="W18" s="106" t="s">
        <v>760</v>
      </c>
      <c r="X18" s="106" t="s">
        <v>761</v>
      </c>
      <c r="Y18" s="85"/>
    </row>
    <row r="19" customFormat="false" ht="15.75" hidden="false" customHeight="true" outlineLevel="0" collapsed="false">
      <c r="A19" s="46" t="n">
        <v>14</v>
      </c>
      <c r="B19" s="110" t="s">
        <v>2559</v>
      </c>
      <c r="C19" s="46" t="s">
        <v>752</v>
      </c>
      <c r="D19" s="110" t="s">
        <v>2560</v>
      </c>
      <c r="E19" s="46" t="s">
        <v>99</v>
      </c>
      <c r="F19" s="46" t="s">
        <v>2561</v>
      </c>
      <c r="G19" s="142" t="n">
        <v>45809</v>
      </c>
      <c r="H19" s="46" t="s">
        <v>529</v>
      </c>
      <c r="I19" s="138" t="str">
        <f aca="false">IFERROR(VLOOKUP(TEXT(H19,"0"),IPRESS!$A$3:$B$212,2,0),"")</f>
        <v>MARIA AUXILIADORA</v>
      </c>
      <c r="J19" s="46" t="s">
        <v>755</v>
      </c>
      <c r="K19" s="138" t="str">
        <f aca="false">IFERROR(VLOOKUP(TEXT(O19,"0"),CONDUCTORES!$A$3:$G$100,7,0),"")</f>
        <v/>
      </c>
      <c r="L19" s="44" t="n">
        <v>20.25</v>
      </c>
      <c r="M19" s="44" t="n">
        <v>7</v>
      </c>
      <c r="N19" s="139" t="n">
        <f aca="false">IFERROR(IF(L19*M19=0,"",L19*M19),"")</f>
        <v>141.75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85" t="s">
        <v>1317</v>
      </c>
      <c r="S19" s="110" t="s">
        <v>2562</v>
      </c>
      <c r="T19" s="46"/>
      <c r="U19" s="85"/>
      <c r="V19" s="46"/>
      <c r="W19" s="46" t="s">
        <v>760</v>
      </c>
      <c r="X19" s="46" t="s">
        <v>761</v>
      </c>
      <c r="Y19" s="85"/>
    </row>
    <row r="20" customFormat="false" ht="15.75" hidden="false" customHeight="true" outlineLevel="0" collapsed="false">
      <c r="A20" s="106" t="n">
        <v>15</v>
      </c>
      <c r="B20" s="107" t="s">
        <v>2563</v>
      </c>
      <c r="C20" s="106" t="s">
        <v>752</v>
      </c>
      <c r="D20" s="107" t="s">
        <v>2564</v>
      </c>
      <c r="E20" s="136" t="s">
        <v>99</v>
      </c>
      <c r="F20" s="106" t="s">
        <v>2565</v>
      </c>
      <c r="G20" s="137" t="n">
        <v>45810</v>
      </c>
      <c r="H20" s="106" t="s">
        <v>529</v>
      </c>
      <c r="I20" s="138" t="str">
        <f aca="false">IFERROR(VLOOKUP(TEXT(H20,"0"),IPRESS!$A$3:$B$212,2,0),"")</f>
        <v>MARIA AUXILIADORA</v>
      </c>
      <c r="J20" s="106" t="s">
        <v>755</v>
      </c>
      <c r="K20" s="138" t="str">
        <f aca="false">IFERROR(VLOOKUP(TEXT(O20,"0"),CONDUCTORES!$A$3:$G$100,7,0),"")</f>
        <v/>
      </c>
      <c r="L20" s="50" t="n">
        <v>20.25</v>
      </c>
      <c r="M20" s="50" t="n">
        <v>10</v>
      </c>
      <c r="N20" s="139" t="n">
        <f aca="false">IFERROR(IF(L20*M20=0,"",L20*M20),"")</f>
        <v>202.5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40" t="s">
        <v>1317</v>
      </c>
      <c r="S20" s="107" t="s">
        <v>1756</v>
      </c>
      <c r="T20" s="136"/>
      <c r="U20" s="140"/>
      <c r="V20" s="106"/>
      <c r="W20" s="106" t="s">
        <v>760</v>
      </c>
      <c r="X20" s="106" t="s">
        <v>761</v>
      </c>
      <c r="Y20" s="85"/>
    </row>
    <row r="21" customFormat="false" ht="15.75" hidden="false" customHeight="true" outlineLevel="0" collapsed="false">
      <c r="A21" s="46" t="n">
        <v>16</v>
      </c>
      <c r="B21" s="110" t="s">
        <v>2566</v>
      </c>
      <c r="C21" s="46" t="s">
        <v>752</v>
      </c>
      <c r="D21" s="110" t="s">
        <v>2567</v>
      </c>
      <c r="E21" s="46" t="s">
        <v>99</v>
      </c>
      <c r="F21" s="46" t="s">
        <v>2568</v>
      </c>
      <c r="G21" s="142" t="n">
        <v>45812</v>
      </c>
      <c r="H21" s="46" t="s">
        <v>529</v>
      </c>
      <c r="I21" s="138" t="str">
        <f aca="false">IFERROR(VLOOKUP(TEXT(H21,"0"),IPRESS!$A$3:$B$212,2,0),"")</f>
        <v>MARIA AUXILIADORA</v>
      </c>
      <c r="J21" s="46" t="s">
        <v>755</v>
      </c>
      <c r="K21" s="138" t="str">
        <f aca="false">IFERROR(VLOOKUP(TEXT(O21,"0"),CONDUCTORES!$A$3:$G$100,7,0),"")</f>
        <v/>
      </c>
      <c r="L21" s="44" t="n">
        <v>20.25</v>
      </c>
      <c r="M21" s="44" t="n">
        <v>6</v>
      </c>
      <c r="N21" s="139" t="n">
        <f aca="false">IFERROR(IF(L21*M21=0,"",L21*M21),"")</f>
        <v>121.5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85" t="s">
        <v>1317</v>
      </c>
      <c r="S21" s="110" t="s">
        <v>2569</v>
      </c>
      <c r="T21" s="46"/>
      <c r="U21" s="85"/>
      <c r="V21" s="46"/>
      <c r="W21" s="46" t="s">
        <v>760</v>
      </c>
      <c r="X21" s="46" t="s">
        <v>761</v>
      </c>
      <c r="Y21" s="85"/>
    </row>
    <row r="22" customFormat="false" ht="15.75" hidden="false" customHeight="true" outlineLevel="0" collapsed="false">
      <c r="A22" s="106" t="n">
        <v>17</v>
      </c>
      <c r="B22" s="107" t="s">
        <v>2570</v>
      </c>
      <c r="C22" s="106" t="s">
        <v>752</v>
      </c>
      <c r="D22" s="107" t="s">
        <v>2571</v>
      </c>
      <c r="E22" s="136" t="s">
        <v>99</v>
      </c>
      <c r="F22" s="106" t="s">
        <v>2572</v>
      </c>
      <c r="G22" s="137" t="n">
        <v>45816</v>
      </c>
      <c r="H22" s="106" t="s">
        <v>755</v>
      </c>
      <c r="I22" s="138" t="str">
        <f aca="false">IFERROR(VLOOKUP(TEXT(H22,"0"),IPRESS!$A$3:$B$212,2,0),"")</f>
        <v/>
      </c>
      <c r="J22" s="106" t="s">
        <v>755</v>
      </c>
      <c r="K22" s="138" t="str">
        <f aca="false">IFERROR(VLOOKUP(TEXT(O22,"0"),CONDUCTORES!$A$3:$G$100,7,0),"")</f>
        <v/>
      </c>
      <c r="L22" s="50" t="n">
        <v>20.25</v>
      </c>
      <c r="M22" s="50" t="n">
        <v>6</v>
      </c>
      <c r="N22" s="139" t="n">
        <f aca="false">IFERROR(IF(L22*M22=0,"",L22*M22),"")</f>
        <v>121.5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40" t="s">
        <v>1317</v>
      </c>
      <c r="S22" s="107" t="s">
        <v>891</v>
      </c>
      <c r="T22" s="136"/>
      <c r="U22" s="140"/>
      <c r="V22" s="106"/>
      <c r="W22" s="106" t="s">
        <v>760</v>
      </c>
      <c r="X22" s="106" t="s">
        <v>761</v>
      </c>
      <c r="Y22" s="85"/>
    </row>
    <row r="23" customFormat="false" ht="15.75" hidden="false" customHeight="true" outlineLevel="0" collapsed="false">
      <c r="A23" s="46" t="n">
        <v>18</v>
      </c>
      <c r="B23" s="110" t="s">
        <v>2573</v>
      </c>
      <c r="C23" s="46" t="s">
        <v>752</v>
      </c>
      <c r="D23" s="110" t="s">
        <v>2574</v>
      </c>
      <c r="E23" s="46" t="s">
        <v>99</v>
      </c>
      <c r="F23" s="46" t="s">
        <v>2575</v>
      </c>
      <c r="G23" s="142" t="n">
        <v>45818</v>
      </c>
      <c r="H23" s="46" t="s">
        <v>755</v>
      </c>
      <c r="I23" s="138" t="str">
        <f aca="false">IFERROR(VLOOKUP(TEXT(H23,"0"),IPRESS!$A$3:$B$212,2,0),"")</f>
        <v/>
      </c>
      <c r="J23" s="46" t="s">
        <v>755</v>
      </c>
      <c r="K23" s="138" t="str">
        <f aca="false">IFERROR(VLOOKUP(TEXT(O23,"0"),CONDUCTORES!$A$3:$G$100,7,0),"")</f>
        <v/>
      </c>
      <c r="L23" s="44" t="n">
        <v>20.25</v>
      </c>
      <c r="M23" s="44" t="n">
        <v>7</v>
      </c>
      <c r="N23" s="139" t="n">
        <f aca="false">IFERROR(IF(L23*M23=0,"",L23*M23),"")</f>
        <v>141.75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85" t="s">
        <v>1317</v>
      </c>
      <c r="S23" s="110" t="s">
        <v>2576</v>
      </c>
      <c r="T23" s="46"/>
      <c r="U23" s="85"/>
      <c r="V23" s="46"/>
      <c r="W23" s="46" t="s">
        <v>760</v>
      </c>
      <c r="X23" s="46" t="s">
        <v>761</v>
      </c>
      <c r="Y23" s="85"/>
    </row>
    <row r="24" customFormat="false" ht="15.75" hidden="false" customHeight="true" outlineLevel="0" collapsed="false">
      <c r="A24" s="106" t="n">
        <v>19</v>
      </c>
      <c r="B24" s="107" t="s">
        <v>2577</v>
      </c>
      <c r="C24" s="106" t="s">
        <v>752</v>
      </c>
      <c r="D24" s="107" t="s">
        <v>2578</v>
      </c>
      <c r="E24" s="136" t="s">
        <v>99</v>
      </c>
      <c r="F24" s="106" t="s">
        <v>2579</v>
      </c>
      <c r="G24" s="137" t="n">
        <v>45821</v>
      </c>
      <c r="H24" s="106" t="s">
        <v>529</v>
      </c>
      <c r="I24" s="138" t="str">
        <f aca="false">IFERROR(VLOOKUP(TEXT(H24,"0"),IPRESS!$A$3:$B$212,2,0),"")</f>
        <v>MARIA AUXILIADORA</v>
      </c>
      <c r="J24" s="106" t="s">
        <v>755</v>
      </c>
      <c r="K24" s="138" t="str">
        <f aca="false">IFERROR(VLOOKUP(TEXT(O24,"0"),CONDUCTORES!$A$3:$G$100,7,0),"")</f>
        <v/>
      </c>
      <c r="L24" s="50" t="n">
        <v>20.25</v>
      </c>
      <c r="M24" s="50" t="n">
        <v>6.7</v>
      </c>
      <c r="N24" s="139" t="n">
        <f aca="false">IFERROR(IF(L24*M24=0,"",L24*M24),"")</f>
        <v>135.675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37" t="n">
        <v>45968</v>
      </c>
      <c r="S24" s="107" t="s">
        <v>2580</v>
      </c>
      <c r="T24" s="136"/>
      <c r="U24" s="140"/>
      <c r="V24" s="106"/>
      <c r="W24" s="106"/>
      <c r="X24" s="106"/>
      <c r="Y24" s="85"/>
    </row>
    <row r="25" customFormat="false" ht="15.75" hidden="false" customHeight="true" outlineLevel="0" collapsed="false">
      <c r="A25" s="46" t="n">
        <v>20</v>
      </c>
      <c r="B25" s="110" t="s">
        <v>2581</v>
      </c>
      <c r="C25" s="46" t="s">
        <v>752</v>
      </c>
      <c r="D25" s="110" t="s">
        <v>2582</v>
      </c>
      <c r="E25" s="46" t="s">
        <v>99</v>
      </c>
      <c r="F25" s="46" t="s">
        <v>2583</v>
      </c>
      <c r="G25" s="142" t="n">
        <v>45822</v>
      </c>
      <c r="H25" s="46" t="s">
        <v>529</v>
      </c>
      <c r="I25" s="138" t="str">
        <f aca="false">IFERROR(VLOOKUP(TEXT(H25,"0"),IPRESS!$A$3:$B$212,2,0),"")</f>
        <v>MARIA AUXILIADORA</v>
      </c>
      <c r="J25" s="46" t="s">
        <v>755</v>
      </c>
      <c r="K25" s="138" t="str">
        <f aca="false">IFERROR(VLOOKUP(TEXT(O25,"0"),CONDUCTORES!$A$3:$G$100,7,0),"")</f>
        <v/>
      </c>
      <c r="L25" s="44" t="n">
        <v>20.25</v>
      </c>
      <c r="M25" s="44" t="n">
        <v>5.7</v>
      </c>
      <c r="N25" s="139" t="n">
        <f aca="false">IFERROR(IF(L25*M25=0,"",L25*M25),"")</f>
        <v>115.425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142" t="n">
        <v>45968</v>
      </c>
      <c r="S25" s="110" t="s">
        <v>2584</v>
      </c>
      <c r="T25" s="46"/>
      <c r="U25" s="85"/>
      <c r="V25" s="46"/>
      <c r="W25" s="46"/>
      <c r="X25" s="46"/>
      <c r="Y25" s="85"/>
    </row>
    <row r="26" customFormat="false" ht="15.75" hidden="false" customHeight="true" outlineLevel="0" collapsed="false">
      <c r="A26" s="106" t="n">
        <v>21</v>
      </c>
      <c r="B26" s="107" t="s">
        <v>2585</v>
      </c>
      <c r="C26" s="106" t="s">
        <v>752</v>
      </c>
      <c r="D26" s="107" t="s">
        <v>2586</v>
      </c>
      <c r="E26" s="136" t="s">
        <v>99</v>
      </c>
      <c r="F26" s="106" t="s">
        <v>2587</v>
      </c>
      <c r="G26" s="137" t="n">
        <v>45819</v>
      </c>
      <c r="H26" s="106" t="s">
        <v>529</v>
      </c>
      <c r="I26" s="138" t="str">
        <f aca="false">IFERROR(VLOOKUP(TEXT(H26,"0"),IPRESS!$A$3:$B$212,2,0),"")</f>
        <v>MARIA AUXILIADORA</v>
      </c>
      <c r="J26" s="106" t="s">
        <v>755</v>
      </c>
      <c r="K26" s="138" t="str">
        <f aca="false">IFERROR(VLOOKUP(TEXT(O26,"0"),CONDUCTORES!$A$3:$G$100,7,0),"")</f>
        <v/>
      </c>
      <c r="L26" s="50" t="n">
        <v>20.25</v>
      </c>
      <c r="M26" s="50" t="n">
        <v>7</v>
      </c>
      <c r="N26" s="139" t="n">
        <f aca="false">IFERROR(IF(L26*M26=0,"",L26*M26),"")</f>
        <v>141.75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37" t="n">
        <v>45968</v>
      </c>
      <c r="S26" s="107" t="s">
        <v>2588</v>
      </c>
      <c r="T26" s="136"/>
      <c r="U26" s="140"/>
      <c r="V26" s="106"/>
      <c r="W26" s="106"/>
      <c r="X26" s="106"/>
      <c r="Y26" s="85"/>
    </row>
    <row r="27" customFormat="false" ht="15.75" hidden="false" customHeight="true" outlineLevel="0" collapsed="false">
      <c r="A27" s="46" t="n">
        <v>22</v>
      </c>
      <c r="B27" s="110" t="s">
        <v>2589</v>
      </c>
      <c r="C27" s="46" t="s">
        <v>752</v>
      </c>
      <c r="D27" s="110" t="s">
        <v>2590</v>
      </c>
      <c r="E27" s="46" t="s">
        <v>99</v>
      </c>
      <c r="F27" s="46" t="s">
        <v>2591</v>
      </c>
      <c r="G27" s="142" t="n">
        <v>45820</v>
      </c>
      <c r="H27" s="46" t="s">
        <v>529</v>
      </c>
      <c r="I27" s="138" t="str">
        <f aca="false">IFERROR(VLOOKUP(TEXT(H27,"0"),IPRESS!$A$3:$B$212,2,0),"")</f>
        <v>MARIA AUXILIADORA</v>
      </c>
      <c r="J27" s="46" t="s">
        <v>755</v>
      </c>
      <c r="K27" s="138" t="str">
        <f aca="false">IFERROR(VLOOKUP(TEXT(O27,"0"),CONDUCTORES!$A$3:$G$100,7,0),"")</f>
        <v/>
      </c>
      <c r="L27" s="44" t="n">
        <v>20.25</v>
      </c>
      <c r="M27" s="44" t="n">
        <v>6</v>
      </c>
      <c r="N27" s="139" t="n">
        <f aca="false">IFERROR(IF(L27*M27=0,"",L27*M27),"")</f>
        <v>121.5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142" t="n">
        <v>45968</v>
      </c>
      <c r="S27" s="110" t="s">
        <v>2592</v>
      </c>
      <c r="T27" s="46"/>
      <c r="U27" s="85"/>
      <c r="V27" s="46"/>
      <c r="W27" s="46"/>
      <c r="X27" s="46"/>
      <c r="Y27" s="85"/>
    </row>
    <row r="28" customFormat="false" ht="15.75" hidden="false" customHeight="true" outlineLevel="0" collapsed="false">
      <c r="A28" s="106" t="n">
        <v>23</v>
      </c>
      <c r="B28" s="107" t="s">
        <v>2593</v>
      </c>
      <c r="C28" s="106" t="s">
        <v>752</v>
      </c>
      <c r="D28" s="107" t="s">
        <v>2594</v>
      </c>
      <c r="E28" s="136" t="s">
        <v>99</v>
      </c>
      <c r="F28" s="106" t="s">
        <v>2595</v>
      </c>
      <c r="G28" s="137" t="n">
        <v>45820</v>
      </c>
      <c r="H28" s="106" t="s">
        <v>529</v>
      </c>
      <c r="I28" s="138" t="str">
        <f aca="false">IFERROR(VLOOKUP(TEXT(H28,"0"),IPRESS!$A$3:$B$212,2,0),"")</f>
        <v>MARIA AUXILIADORA</v>
      </c>
      <c r="J28" s="106" t="s">
        <v>755</v>
      </c>
      <c r="K28" s="138" t="str">
        <f aca="false">IFERROR(VLOOKUP(TEXT(O28,"0"),CONDUCTORES!$A$3:$G$100,7,0),"")</f>
        <v/>
      </c>
      <c r="L28" s="50" t="n">
        <v>20.25</v>
      </c>
      <c r="M28" s="50" t="n">
        <v>7</v>
      </c>
      <c r="N28" s="139" t="n">
        <f aca="false">IFERROR(IF(L28*M28=0,"",L28*M28),"")</f>
        <v>141.75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37" t="n">
        <v>45968</v>
      </c>
      <c r="S28" s="107" t="s">
        <v>2596</v>
      </c>
      <c r="T28" s="136"/>
      <c r="U28" s="140"/>
      <c r="V28" s="106"/>
      <c r="W28" s="106"/>
      <c r="X28" s="106"/>
      <c r="Y28" s="85"/>
    </row>
    <row r="29" customFormat="false" ht="15.75" hidden="false" customHeight="true" outlineLevel="0" collapsed="false">
      <c r="A29" s="46" t="n">
        <v>24</v>
      </c>
      <c r="B29" s="110" t="s">
        <v>2597</v>
      </c>
      <c r="C29" s="46" t="s">
        <v>752</v>
      </c>
      <c r="D29" s="110" t="s">
        <v>2598</v>
      </c>
      <c r="E29" s="46" t="s">
        <v>99</v>
      </c>
      <c r="F29" s="46" t="s">
        <v>2599</v>
      </c>
      <c r="G29" s="142" t="n">
        <v>45825</v>
      </c>
      <c r="H29" s="46" t="s">
        <v>529</v>
      </c>
      <c r="I29" s="138" t="str">
        <f aca="false">IFERROR(VLOOKUP(TEXT(H29,"0"),IPRESS!$A$3:$B$212,2,0),"")</f>
        <v>MARIA AUXILIADORA</v>
      </c>
      <c r="J29" s="46" t="s">
        <v>755</v>
      </c>
      <c r="K29" s="138" t="str">
        <f aca="false">IFERROR(VLOOKUP(TEXT(O29,"0"),CONDUCTORES!$A$3:$G$100,7,0),"")</f>
        <v/>
      </c>
      <c r="L29" s="44" t="n">
        <v>20.25</v>
      </c>
      <c r="M29" s="44" t="n">
        <v>7</v>
      </c>
      <c r="N29" s="139" t="n">
        <f aca="false">IFERROR(IF(L29*M29=0,"",L29*M29),"")</f>
        <v>141.75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142" t="n">
        <v>45968</v>
      </c>
      <c r="S29" s="110" t="s">
        <v>1292</v>
      </c>
      <c r="T29" s="46"/>
      <c r="U29" s="85"/>
      <c r="V29" s="46"/>
      <c r="W29" s="46"/>
      <c r="X29" s="46"/>
      <c r="Y29" s="85"/>
    </row>
    <row r="30" customFormat="false" ht="15.75" hidden="false" customHeight="true" outlineLevel="0" collapsed="false">
      <c r="A30" s="106" t="n">
        <v>25</v>
      </c>
      <c r="B30" s="107" t="s">
        <v>2600</v>
      </c>
      <c r="C30" s="106" t="s">
        <v>752</v>
      </c>
      <c r="D30" s="107" t="s">
        <v>2601</v>
      </c>
      <c r="E30" s="136" t="s">
        <v>99</v>
      </c>
      <c r="F30" s="106" t="s">
        <v>2602</v>
      </c>
      <c r="G30" s="137" t="n">
        <v>45828</v>
      </c>
      <c r="H30" s="106" t="s">
        <v>529</v>
      </c>
      <c r="I30" s="138" t="str">
        <f aca="false">IFERROR(VLOOKUP(TEXT(H30,"0"),IPRESS!$A$3:$B$212,2,0),"")</f>
        <v>MARIA AUXILIADORA</v>
      </c>
      <c r="J30" s="106" t="s">
        <v>755</v>
      </c>
      <c r="K30" s="138" t="str">
        <f aca="false">IFERROR(VLOOKUP(TEXT(O30,"0"),CONDUCTORES!$A$3:$G$100,7,0),"")</f>
        <v/>
      </c>
      <c r="L30" s="50" t="n">
        <v>20.25</v>
      </c>
      <c r="M30" s="50" t="n">
        <v>7</v>
      </c>
      <c r="N30" s="139" t="n">
        <f aca="false">IFERROR(IF(L30*M30=0,"",L30*M30),"")</f>
        <v>141.75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37" t="n">
        <v>45968</v>
      </c>
      <c r="S30" s="107" t="s">
        <v>2603</v>
      </c>
      <c r="T30" s="136"/>
      <c r="U30" s="140"/>
      <c r="V30" s="106"/>
      <c r="W30" s="106"/>
      <c r="X30" s="106"/>
      <c r="Y30" s="85"/>
    </row>
    <row r="31" customFormat="false" ht="15.75" hidden="false" customHeight="true" outlineLevel="0" collapsed="false">
      <c r="A31" s="46" t="n">
        <v>26</v>
      </c>
      <c r="B31" s="110" t="s">
        <v>2604</v>
      </c>
      <c r="C31" s="46" t="s">
        <v>752</v>
      </c>
      <c r="D31" s="110" t="s">
        <v>2605</v>
      </c>
      <c r="E31" s="46" t="s">
        <v>99</v>
      </c>
      <c r="F31" s="46" t="s">
        <v>2606</v>
      </c>
      <c r="G31" s="142" t="n">
        <v>45829</v>
      </c>
      <c r="H31" s="46" t="s">
        <v>529</v>
      </c>
      <c r="I31" s="138" t="str">
        <f aca="false">IFERROR(VLOOKUP(TEXT(H31,"0"),IPRESS!$A$3:$B$212,2,0),"")</f>
        <v>MARIA AUXILIADORA</v>
      </c>
      <c r="J31" s="46" t="s">
        <v>755</v>
      </c>
      <c r="K31" s="138" t="str">
        <f aca="false">IFERROR(VLOOKUP(TEXT(O31,"0"),CONDUCTORES!$A$3:$G$100,7,0),"")</f>
        <v/>
      </c>
      <c r="L31" s="44" t="n">
        <v>20.25</v>
      </c>
      <c r="M31" s="44" t="n">
        <v>6.5</v>
      </c>
      <c r="N31" s="139" t="n">
        <f aca="false">IFERROR(IF(L31*M31=0,"",L31*M31),"")</f>
        <v>131.625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142" t="n">
        <v>45968</v>
      </c>
      <c r="S31" s="110" t="s">
        <v>2607</v>
      </c>
      <c r="T31" s="46"/>
      <c r="U31" s="85"/>
      <c r="V31" s="46"/>
      <c r="W31" s="46"/>
      <c r="X31" s="46"/>
      <c r="Y31" s="85"/>
    </row>
    <row r="32" customFormat="false" ht="15.75" hidden="false" customHeight="true" outlineLevel="0" collapsed="false">
      <c r="A32" s="106" t="n">
        <v>27</v>
      </c>
      <c r="B32" s="107" t="s">
        <v>2608</v>
      </c>
      <c r="C32" s="106" t="s">
        <v>752</v>
      </c>
      <c r="D32" s="107" t="s">
        <v>2609</v>
      </c>
      <c r="E32" s="136" t="s">
        <v>99</v>
      </c>
      <c r="F32" s="106" t="s">
        <v>2610</v>
      </c>
      <c r="G32" s="137" t="n">
        <v>45830</v>
      </c>
      <c r="H32" s="106" t="s">
        <v>529</v>
      </c>
      <c r="I32" s="138" t="str">
        <f aca="false">IFERROR(VLOOKUP(TEXT(H32,"0"),IPRESS!$A$3:$B$212,2,0),"")</f>
        <v>MARIA AUXILIADORA</v>
      </c>
      <c r="J32" s="106" t="s">
        <v>755</v>
      </c>
      <c r="K32" s="138" t="str">
        <f aca="false">IFERROR(VLOOKUP(TEXT(O32,"0"),CONDUCTORES!$A$3:$G$100,7,0),"")</f>
        <v/>
      </c>
      <c r="L32" s="50" t="n">
        <v>20.25</v>
      </c>
      <c r="M32" s="50" t="n">
        <v>6</v>
      </c>
      <c r="N32" s="139" t="n">
        <f aca="false">IFERROR(IF(L32*M32=0,"",L32*M32),"")</f>
        <v>121.5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37" t="n">
        <v>45968</v>
      </c>
      <c r="S32" s="107" t="s">
        <v>917</v>
      </c>
      <c r="T32" s="136"/>
      <c r="U32" s="140"/>
      <c r="V32" s="106"/>
      <c r="W32" s="106"/>
      <c r="X32" s="106"/>
      <c r="Y32" s="85"/>
    </row>
    <row r="33" customFormat="false" ht="15.75" hidden="false" customHeight="true" outlineLevel="0" collapsed="false">
      <c r="A33" s="46" t="n">
        <v>28</v>
      </c>
      <c r="B33" s="110" t="s">
        <v>2611</v>
      </c>
      <c r="C33" s="46" t="s">
        <v>752</v>
      </c>
      <c r="D33" s="110" t="s">
        <v>2612</v>
      </c>
      <c r="E33" s="46" t="s">
        <v>99</v>
      </c>
      <c r="F33" s="46" t="s">
        <v>2613</v>
      </c>
      <c r="G33" s="142" t="n">
        <v>45830</v>
      </c>
      <c r="H33" s="46" t="s">
        <v>529</v>
      </c>
      <c r="I33" s="138" t="str">
        <f aca="false">IFERROR(VLOOKUP(TEXT(H33,"0"),IPRESS!$A$3:$B$212,2,0),"")</f>
        <v>MARIA AUXILIADORA</v>
      </c>
      <c r="J33" s="46" t="s">
        <v>755</v>
      </c>
      <c r="K33" s="138" t="str">
        <f aca="false">IFERROR(VLOOKUP(TEXT(O33,"0"),CONDUCTORES!$A$3:$G$100,7,0),"")</f>
        <v/>
      </c>
      <c r="L33" s="44" t="n">
        <v>20.25</v>
      </c>
      <c r="M33" s="44" t="n">
        <v>6</v>
      </c>
      <c r="N33" s="139" t="n">
        <f aca="false">IFERROR(IF(L33*M33=0,"",L33*M33),"")</f>
        <v>121.5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142" t="n">
        <v>45968</v>
      </c>
      <c r="S33" s="110" t="s">
        <v>1289</v>
      </c>
      <c r="T33" s="46"/>
      <c r="U33" s="85"/>
      <c r="V33" s="46"/>
      <c r="W33" s="46"/>
      <c r="X33" s="46"/>
      <c r="Y33" s="85"/>
    </row>
    <row r="34" customFormat="false" ht="15.75" hidden="false" customHeight="true" outlineLevel="0" collapsed="false">
      <c r="A34" s="106" t="n">
        <v>29</v>
      </c>
      <c r="B34" s="107" t="s">
        <v>2614</v>
      </c>
      <c r="C34" s="106" t="s">
        <v>752</v>
      </c>
      <c r="D34" s="107" t="s">
        <v>2615</v>
      </c>
      <c r="E34" s="136" t="s">
        <v>99</v>
      </c>
      <c r="F34" s="106" t="s">
        <v>2616</v>
      </c>
      <c r="G34" s="137" t="n">
        <v>45832</v>
      </c>
      <c r="H34" s="106" t="s">
        <v>529</v>
      </c>
      <c r="I34" s="138" t="str">
        <f aca="false">IFERROR(VLOOKUP(TEXT(H34,"0"),IPRESS!$A$3:$B$212,2,0),"")</f>
        <v>MARIA AUXILIADORA</v>
      </c>
      <c r="J34" s="106" t="s">
        <v>755</v>
      </c>
      <c r="K34" s="138" t="str">
        <f aca="false">IFERROR(VLOOKUP(TEXT(O34,"0"),CONDUCTORES!$A$3:$G$100,7,0),"")</f>
        <v/>
      </c>
      <c r="L34" s="50" t="n">
        <v>20.25</v>
      </c>
      <c r="M34" s="50" t="n">
        <v>7</v>
      </c>
      <c r="N34" s="139" t="n">
        <f aca="false">IFERROR(IF(L34*M34=0,"",L34*M34),"")</f>
        <v>141.75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37" t="n">
        <v>45968</v>
      </c>
      <c r="S34" s="107" t="s">
        <v>2617</v>
      </c>
      <c r="T34" s="136"/>
      <c r="U34" s="140"/>
      <c r="V34" s="106"/>
      <c r="W34" s="106"/>
      <c r="X34" s="106"/>
      <c r="Y34" s="85"/>
    </row>
    <row r="35" customFormat="false" ht="15.75" hidden="false" customHeight="true" outlineLevel="0" collapsed="false">
      <c r="A35" s="46" t="n">
        <v>30</v>
      </c>
      <c r="B35" s="110" t="s">
        <v>2618</v>
      </c>
      <c r="C35" s="46" t="s">
        <v>752</v>
      </c>
      <c r="D35" s="110" t="s">
        <v>2619</v>
      </c>
      <c r="E35" s="46" t="s">
        <v>99</v>
      </c>
      <c r="F35" s="46" t="s">
        <v>2620</v>
      </c>
      <c r="G35" s="142" t="n">
        <v>45833</v>
      </c>
      <c r="H35" s="46" t="s">
        <v>529</v>
      </c>
      <c r="I35" s="138" t="str">
        <f aca="false">IFERROR(VLOOKUP(TEXT(H35,"0"),IPRESS!$A$3:$B$212,2,0),"")</f>
        <v>MARIA AUXILIADORA</v>
      </c>
      <c r="J35" s="46" t="s">
        <v>755</v>
      </c>
      <c r="K35" s="138" t="str">
        <f aca="false">IFERROR(VLOOKUP(TEXT(O35,"0"),CONDUCTORES!$A$3:$G$100,7,0),"")</f>
        <v/>
      </c>
      <c r="L35" s="44" t="n">
        <v>20.25</v>
      </c>
      <c r="M35" s="44" t="n">
        <v>7</v>
      </c>
      <c r="N35" s="139" t="n">
        <f aca="false">IFERROR(IF(L35*M35=0,"",L35*M35),"")</f>
        <v>141.75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142" t="n">
        <v>45968</v>
      </c>
      <c r="S35" s="110" t="s">
        <v>891</v>
      </c>
      <c r="T35" s="46"/>
      <c r="U35" s="85"/>
      <c r="V35" s="46"/>
      <c r="W35" s="46"/>
      <c r="X35" s="46"/>
      <c r="Y35" s="85"/>
    </row>
    <row r="36" customFormat="false" ht="15.75" hidden="false" customHeight="true" outlineLevel="0" collapsed="false">
      <c r="A36" s="106" t="n">
        <v>31</v>
      </c>
      <c r="B36" s="107" t="s">
        <v>2621</v>
      </c>
      <c r="C36" s="106" t="s">
        <v>752</v>
      </c>
      <c r="D36" s="107" t="s">
        <v>2622</v>
      </c>
      <c r="E36" s="136" t="s">
        <v>99</v>
      </c>
      <c r="F36" s="106" t="s">
        <v>2623</v>
      </c>
      <c r="G36" s="137" t="n">
        <v>45837</v>
      </c>
      <c r="H36" s="106" t="s">
        <v>529</v>
      </c>
      <c r="I36" s="138" t="str">
        <f aca="false">IFERROR(VLOOKUP(TEXT(H36,"0"),IPRESS!$A$3:$B$212,2,0),"")</f>
        <v>MARIA AUXILIADORA</v>
      </c>
      <c r="J36" s="106" t="s">
        <v>755</v>
      </c>
      <c r="K36" s="138" t="str">
        <f aca="false">IFERROR(VLOOKUP(TEXT(O36,"0"),CONDUCTORES!$A$3:$G$100,7,0),"")</f>
        <v/>
      </c>
      <c r="L36" s="50" t="n">
        <v>20.25</v>
      </c>
      <c r="M36" s="50" t="n">
        <v>7</v>
      </c>
      <c r="N36" s="139" t="n">
        <f aca="false">IFERROR(IF(L36*M36=0,"",L36*M36),"")</f>
        <v>141.75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37" t="n">
        <v>45968</v>
      </c>
      <c r="S36" s="107" t="s">
        <v>1154</v>
      </c>
      <c r="T36" s="136"/>
      <c r="U36" s="140"/>
      <c r="V36" s="106"/>
      <c r="W36" s="106"/>
      <c r="X36" s="106"/>
      <c r="Y36" s="85"/>
    </row>
    <row r="37" customFormat="false" ht="15.75" hidden="false" customHeight="true" outlineLevel="0" collapsed="false">
      <c r="A37" s="46" t="n">
        <v>32</v>
      </c>
      <c r="B37" s="110" t="s">
        <v>2624</v>
      </c>
      <c r="C37" s="46" t="s">
        <v>752</v>
      </c>
      <c r="D37" s="110" t="s">
        <v>2625</v>
      </c>
      <c r="E37" s="46" t="s">
        <v>99</v>
      </c>
      <c r="F37" s="46" t="s">
        <v>2626</v>
      </c>
      <c r="G37" s="142" t="n">
        <v>45838</v>
      </c>
      <c r="H37" s="46" t="s">
        <v>529</v>
      </c>
      <c r="I37" s="138" t="str">
        <f aca="false">IFERROR(VLOOKUP(TEXT(H37,"0"),IPRESS!$A$3:$B$212,2,0),"")</f>
        <v>MARIA AUXILIADORA</v>
      </c>
      <c r="J37" s="46" t="s">
        <v>755</v>
      </c>
      <c r="K37" s="138" t="str">
        <f aca="false">IFERROR(VLOOKUP(TEXT(O37,"0"),CONDUCTORES!$A$3:$G$100,7,0),"")</f>
        <v/>
      </c>
      <c r="L37" s="44" t="n">
        <v>20.25</v>
      </c>
      <c r="M37" s="44" t="n">
        <v>7</v>
      </c>
      <c r="N37" s="139" t="n">
        <f aca="false">IFERROR(IF(L37*M37=0,"",L37*M37),"")</f>
        <v>141.75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142" t="n">
        <v>45968</v>
      </c>
      <c r="S37" s="110" t="s">
        <v>2627</v>
      </c>
      <c r="T37" s="46"/>
      <c r="U37" s="85"/>
      <c r="V37" s="46"/>
      <c r="W37" s="46"/>
      <c r="X37" s="46"/>
      <c r="Y37" s="85"/>
    </row>
    <row r="38" customFormat="false" ht="15.75" hidden="false" customHeight="true" outlineLevel="0" collapsed="false">
      <c r="A38" s="106" t="n">
        <v>33</v>
      </c>
      <c r="B38" s="107" t="s">
        <v>2628</v>
      </c>
      <c r="C38" s="106" t="s">
        <v>752</v>
      </c>
      <c r="D38" s="107" t="s">
        <v>2629</v>
      </c>
      <c r="E38" s="136" t="s">
        <v>99</v>
      </c>
      <c r="F38" s="106" t="s">
        <v>2630</v>
      </c>
      <c r="G38" s="137" t="n">
        <v>45834</v>
      </c>
      <c r="H38" s="106" t="s">
        <v>529</v>
      </c>
      <c r="I38" s="138" t="str">
        <f aca="false">IFERROR(VLOOKUP(TEXT(H38,"0"),IPRESS!$A$3:$B$212,2,0),"")</f>
        <v>MARIA AUXILIADORA</v>
      </c>
      <c r="J38" s="106" t="s">
        <v>755</v>
      </c>
      <c r="K38" s="138" t="str">
        <f aca="false">IFERROR(VLOOKUP(TEXT(O38,"0"),CONDUCTORES!$A$3:$G$100,7,0),"")</f>
        <v/>
      </c>
      <c r="L38" s="50" t="n">
        <v>20.25</v>
      </c>
      <c r="M38" s="50" t="n">
        <v>10</v>
      </c>
      <c r="N38" s="139" t="n">
        <f aca="false">IFERROR(IF(L38*M38=0,"",L38*M38),"")</f>
        <v>202.5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37" t="n">
        <v>45988</v>
      </c>
      <c r="S38" s="107" t="s">
        <v>2631</v>
      </c>
      <c r="T38" s="136" t="s">
        <v>2632</v>
      </c>
      <c r="U38" s="140"/>
      <c r="V38" s="106" t="s">
        <v>2633</v>
      </c>
      <c r="W38" s="106" t="s">
        <v>760</v>
      </c>
      <c r="X38" s="106" t="s">
        <v>761</v>
      </c>
      <c r="Y38" s="85"/>
    </row>
    <row r="39" customFormat="false" ht="15.75" hidden="false" customHeight="true" outlineLevel="0" collapsed="false">
      <c r="A39" s="46" t="n">
        <v>34</v>
      </c>
      <c r="B39" s="110" t="s">
        <v>2634</v>
      </c>
      <c r="C39" s="46" t="s">
        <v>752</v>
      </c>
      <c r="D39" s="110" t="s">
        <v>2635</v>
      </c>
      <c r="E39" s="46" t="s">
        <v>99</v>
      </c>
      <c r="F39" s="46" t="s">
        <v>2636</v>
      </c>
      <c r="G39" s="142" t="n">
        <v>45834</v>
      </c>
      <c r="H39" s="46" t="s">
        <v>529</v>
      </c>
      <c r="I39" s="138" t="str">
        <f aca="false">IFERROR(VLOOKUP(TEXT(H39,"0"),IPRESS!$A$3:$B$212,2,0),"")</f>
        <v>MARIA AUXILIADORA</v>
      </c>
      <c r="J39" s="46" t="s">
        <v>755</v>
      </c>
      <c r="K39" s="138" t="str">
        <f aca="false">IFERROR(VLOOKUP(TEXT(O39,"0"),CONDUCTORES!$A$3:$G$100,7,0),"")</f>
        <v/>
      </c>
      <c r="L39" s="44" t="n">
        <v>20.25</v>
      </c>
      <c r="M39" s="44" t="n">
        <v>10</v>
      </c>
      <c r="N39" s="139" t="n">
        <f aca="false">IFERROR(IF(L39*M39=0,"",L39*M39),"")</f>
        <v>202.5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142" t="n">
        <v>45988</v>
      </c>
      <c r="S39" s="110" t="s">
        <v>2336</v>
      </c>
      <c r="T39" s="46" t="s">
        <v>2637</v>
      </c>
      <c r="U39" s="85"/>
      <c r="V39" s="46" t="s">
        <v>2633</v>
      </c>
      <c r="W39" s="46" t="s">
        <v>760</v>
      </c>
      <c r="X39" s="46" t="s">
        <v>761</v>
      </c>
      <c r="Y39" s="85"/>
    </row>
    <row r="40" customFormat="false" ht="15.75" hidden="false" customHeight="true" outlineLevel="0" collapsed="false">
      <c r="A40" s="106" t="n">
        <v>35</v>
      </c>
      <c r="B40" s="107" t="s">
        <v>919</v>
      </c>
      <c r="C40" s="106" t="s">
        <v>752</v>
      </c>
      <c r="D40" s="107" t="s">
        <v>2638</v>
      </c>
      <c r="E40" s="136" t="s">
        <v>99</v>
      </c>
      <c r="F40" s="106" t="s">
        <v>2639</v>
      </c>
      <c r="G40" s="137" t="n">
        <v>45809</v>
      </c>
      <c r="H40" s="106" t="s">
        <v>466</v>
      </c>
      <c r="I40" s="138" t="str">
        <f aca="false">IFERROR(VLOOKUP(TEXT(H40,"0"),IPRESS!$A$3:$B$212,2,0),"")</f>
        <v>HUAMBO</v>
      </c>
      <c r="J40" s="106" t="s">
        <v>529</v>
      </c>
      <c r="K40" s="138" t="str">
        <f aca="false">IFERROR(VLOOKUP(TEXT(O40,"0"),CONDUCTORES!$A$3:$G$100,7,0),"")</f>
        <v/>
      </c>
      <c r="L40" s="50" t="n">
        <v>20.25</v>
      </c>
      <c r="M40" s="50" t="n">
        <v>3</v>
      </c>
      <c r="N40" s="139" t="n">
        <f aca="false">IFERROR(IF(L40*M40=0,"",L40*M40),"")</f>
        <v>60.75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37" t="n">
        <v>46010</v>
      </c>
      <c r="S40" s="107" t="s">
        <v>2640</v>
      </c>
      <c r="T40" s="136"/>
      <c r="U40" s="140"/>
      <c r="V40" s="106"/>
      <c r="W40" s="106"/>
      <c r="X40" s="106"/>
      <c r="Y40" s="85"/>
    </row>
    <row r="41" customFormat="false" ht="15.75" hidden="false" customHeight="true" outlineLevel="0" collapsed="false">
      <c r="A41" s="46" t="n">
        <v>36</v>
      </c>
      <c r="B41" s="110" t="s">
        <v>818</v>
      </c>
      <c r="C41" s="46" t="s">
        <v>752</v>
      </c>
      <c r="D41" s="110" t="s">
        <v>1563</v>
      </c>
      <c r="E41" s="46" t="s">
        <v>99</v>
      </c>
      <c r="F41" s="46" t="s">
        <v>1564</v>
      </c>
      <c r="G41" s="142" t="n">
        <v>45811</v>
      </c>
      <c r="H41" s="46" t="s">
        <v>466</v>
      </c>
      <c r="I41" s="138" t="str">
        <f aca="false">IFERROR(VLOOKUP(TEXT(H41,"0"),IPRESS!$A$3:$B$212,2,0),"")</f>
        <v>HUAMBO</v>
      </c>
      <c r="J41" s="46" t="s">
        <v>529</v>
      </c>
      <c r="K41" s="138" t="str">
        <f aca="false">IFERROR(VLOOKUP(TEXT(O41,"0"),CONDUCTORES!$A$3:$G$100,7,0),"")</f>
        <v/>
      </c>
      <c r="L41" s="44" t="n">
        <v>20.25</v>
      </c>
      <c r="M41" s="44" t="n">
        <v>3</v>
      </c>
      <c r="N41" s="139" t="n">
        <f aca="false">IFERROR(IF(L41*M41=0,"",L41*M41),"")</f>
        <v>60.75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142" t="n">
        <v>46010</v>
      </c>
      <c r="S41" s="110" t="s">
        <v>2641</v>
      </c>
      <c r="T41" s="46"/>
      <c r="U41" s="85"/>
      <c r="V41" s="46"/>
      <c r="W41" s="46"/>
      <c r="X41" s="46"/>
      <c r="Y41" s="85"/>
    </row>
    <row r="42" customFormat="false" ht="15.75" hidden="false" customHeight="true" outlineLevel="0" collapsed="false">
      <c r="A42" s="106" t="n">
        <v>37</v>
      </c>
      <c r="B42" s="107" t="s">
        <v>827</v>
      </c>
      <c r="C42" s="106" t="s">
        <v>752</v>
      </c>
      <c r="D42" s="107" t="s">
        <v>2642</v>
      </c>
      <c r="E42" s="136" t="s">
        <v>99</v>
      </c>
      <c r="F42" s="106" t="s">
        <v>2643</v>
      </c>
      <c r="G42" s="137" t="n">
        <v>45815</v>
      </c>
      <c r="H42" s="106" t="s">
        <v>466</v>
      </c>
      <c r="I42" s="138" t="str">
        <f aca="false">IFERROR(VLOOKUP(TEXT(H42,"0"),IPRESS!$A$3:$B$212,2,0),"")</f>
        <v>HUAMBO</v>
      </c>
      <c r="J42" s="106" t="s">
        <v>529</v>
      </c>
      <c r="K42" s="138" t="str">
        <f aca="false">IFERROR(VLOOKUP(TEXT(O42,"0"),CONDUCTORES!$A$3:$G$100,7,0),"")</f>
        <v/>
      </c>
      <c r="L42" s="50" t="n">
        <v>20.25</v>
      </c>
      <c r="M42" s="50" t="n">
        <v>3</v>
      </c>
      <c r="N42" s="139" t="n">
        <f aca="false">IFERROR(IF(L42*M42=0,"",L42*M42),"")</f>
        <v>60.75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37" t="n">
        <v>46010</v>
      </c>
      <c r="S42" s="107" t="s">
        <v>2644</v>
      </c>
      <c r="T42" s="136"/>
      <c r="U42" s="140"/>
      <c r="V42" s="106"/>
      <c r="W42" s="106"/>
      <c r="X42" s="106"/>
      <c r="Y42" s="85"/>
    </row>
    <row r="43" customFormat="false" ht="15.75" hidden="false" customHeight="true" outlineLevel="0" collapsed="false">
      <c r="A43" s="46" t="n">
        <v>38</v>
      </c>
      <c r="B43" s="110" t="s">
        <v>926</v>
      </c>
      <c r="C43" s="46" t="s">
        <v>752</v>
      </c>
      <c r="D43" s="110" t="s">
        <v>2571</v>
      </c>
      <c r="E43" s="46" t="s">
        <v>99</v>
      </c>
      <c r="F43" s="46" t="s">
        <v>2572</v>
      </c>
      <c r="G43" s="142" t="n">
        <v>45815</v>
      </c>
      <c r="H43" s="46" t="s">
        <v>466</v>
      </c>
      <c r="I43" s="138" t="str">
        <f aca="false">IFERROR(VLOOKUP(TEXT(H43,"0"),IPRESS!$A$3:$B$212,2,0),"")</f>
        <v>HUAMBO</v>
      </c>
      <c r="J43" s="46" t="s">
        <v>529</v>
      </c>
      <c r="K43" s="138" t="str">
        <f aca="false">IFERROR(VLOOKUP(TEXT(O43,"0"),CONDUCTORES!$A$3:$G$100,7,0),"")</f>
        <v/>
      </c>
      <c r="L43" s="44" t="n">
        <v>20.25</v>
      </c>
      <c r="M43" s="44" t="n">
        <v>3</v>
      </c>
      <c r="N43" s="139" t="n">
        <f aca="false">IFERROR(IF(L43*M43=0,"",L43*M43),"")</f>
        <v>60.75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142" t="n">
        <v>46010</v>
      </c>
      <c r="S43" s="110" t="s">
        <v>891</v>
      </c>
      <c r="T43" s="46"/>
      <c r="U43" s="85"/>
      <c r="V43" s="46"/>
      <c r="W43" s="46"/>
      <c r="X43" s="46"/>
      <c r="Y43" s="85"/>
    </row>
    <row r="44" customFormat="false" ht="15.75" hidden="false" customHeight="true" outlineLevel="0" collapsed="false">
      <c r="A44" s="106" t="n">
        <v>39</v>
      </c>
      <c r="B44" s="107" t="s">
        <v>836</v>
      </c>
      <c r="C44" s="106" t="s">
        <v>752</v>
      </c>
      <c r="D44" s="107" t="s">
        <v>2645</v>
      </c>
      <c r="E44" s="136" t="s">
        <v>99</v>
      </c>
      <c r="F44" s="106" t="s">
        <v>2646</v>
      </c>
      <c r="G44" s="137" t="n">
        <v>45813</v>
      </c>
      <c r="H44" s="106" t="s">
        <v>480</v>
      </c>
      <c r="I44" s="138" t="str">
        <f aca="false">IFERROR(VLOOKUP(TEXT(H44,"0"),IPRESS!$A$3:$B$212,2,0),"")</f>
        <v>JALCA GRANDE</v>
      </c>
      <c r="J44" s="106" t="s">
        <v>755</v>
      </c>
      <c r="K44" s="138" t="str">
        <f aca="false">IFERROR(VLOOKUP(TEXT(O44,"0"),CONDUCTORES!$A$3:$G$100,7,0),"")</f>
        <v/>
      </c>
      <c r="L44" s="50" t="n">
        <v>18.18</v>
      </c>
      <c r="M44" s="50" t="n">
        <v>8</v>
      </c>
      <c r="N44" s="139" t="n">
        <f aca="false">IFERROR(IF(L44*M44=0,"",L44*M44),"")</f>
        <v>145.44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37" t="n">
        <v>45891</v>
      </c>
      <c r="S44" s="107" t="s">
        <v>1295</v>
      </c>
      <c r="T44" s="136"/>
      <c r="U44" s="140"/>
      <c r="V44" s="106" t="s">
        <v>2647</v>
      </c>
      <c r="W44" s="106" t="s">
        <v>2648</v>
      </c>
      <c r="X44" s="106" t="s">
        <v>2649</v>
      </c>
      <c r="Y44" s="85"/>
    </row>
    <row r="45" customFormat="false" ht="15.75" hidden="false" customHeight="true" outlineLevel="0" collapsed="false">
      <c r="A45" s="46" t="n">
        <v>40</v>
      </c>
      <c r="B45" s="110" t="s">
        <v>873</v>
      </c>
      <c r="C45" s="46" t="s">
        <v>752</v>
      </c>
      <c r="D45" s="110" t="s">
        <v>2650</v>
      </c>
      <c r="E45" s="46" t="s">
        <v>99</v>
      </c>
      <c r="F45" s="46" t="s">
        <v>2651</v>
      </c>
      <c r="G45" s="142" t="n">
        <v>45820</v>
      </c>
      <c r="H45" s="46" t="s">
        <v>480</v>
      </c>
      <c r="I45" s="138" t="str">
        <f aca="false">IFERROR(VLOOKUP(TEXT(H45,"0"),IPRESS!$A$3:$B$212,2,0),"")</f>
        <v>JALCA GRANDE</v>
      </c>
      <c r="J45" s="46" t="s">
        <v>755</v>
      </c>
      <c r="K45" s="138" t="str">
        <f aca="false">IFERROR(VLOOKUP(TEXT(O45,"0"),CONDUCTORES!$A$3:$G$100,7,0),"")</f>
        <v/>
      </c>
      <c r="L45" s="44" t="n">
        <v>18.18</v>
      </c>
      <c r="M45" s="44" t="n">
        <v>8</v>
      </c>
      <c r="N45" s="139" t="n">
        <f aca="false">IFERROR(IF(L45*M45=0,"",L45*M45),"")</f>
        <v>145.44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142" t="n">
        <v>45891</v>
      </c>
      <c r="S45" s="110" t="s">
        <v>2652</v>
      </c>
      <c r="T45" s="46"/>
      <c r="U45" s="85"/>
      <c r="V45" s="46" t="s">
        <v>2647</v>
      </c>
      <c r="W45" s="46" t="s">
        <v>2648</v>
      </c>
      <c r="X45" s="46" t="s">
        <v>2649</v>
      </c>
      <c r="Y45" s="85"/>
    </row>
    <row r="46" customFormat="false" ht="15.75" hidden="false" customHeight="true" outlineLevel="0" collapsed="false">
      <c r="A46" s="106" t="n">
        <v>41</v>
      </c>
      <c r="B46" s="107" t="s">
        <v>866</v>
      </c>
      <c r="C46" s="106" t="s">
        <v>752</v>
      </c>
      <c r="D46" s="107" t="s">
        <v>2653</v>
      </c>
      <c r="E46" s="136" t="s">
        <v>99</v>
      </c>
      <c r="F46" s="106" t="s">
        <v>2654</v>
      </c>
      <c r="G46" s="137" t="n">
        <v>45824</v>
      </c>
      <c r="H46" s="106" t="s">
        <v>480</v>
      </c>
      <c r="I46" s="138" t="str">
        <f aca="false">IFERROR(VLOOKUP(TEXT(H46,"0"),IPRESS!$A$3:$B$212,2,0),"")</f>
        <v>JALCA GRANDE</v>
      </c>
      <c r="J46" s="106" t="s">
        <v>755</v>
      </c>
      <c r="K46" s="138" t="str">
        <f aca="false">IFERROR(VLOOKUP(TEXT(O46,"0"),CONDUCTORES!$A$3:$G$100,7,0),"")</f>
        <v/>
      </c>
      <c r="L46" s="50" t="n">
        <v>18.18</v>
      </c>
      <c r="M46" s="50" t="n">
        <v>8</v>
      </c>
      <c r="N46" s="139" t="n">
        <f aca="false">IFERROR(IF(L46*M46=0,"",L46*M46),"")</f>
        <v>145.44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37" t="n">
        <v>45891</v>
      </c>
      <c r="S46" s="107" t="s">
        <v>2655</v>
      </c>
      <c r="T46" s="136"/>
      <c r="U46" s="140"/>
      <c r="V46" s="106" t="s">
        <v>2647</v>
      </c>
      <c r="W46" s="106" t="s">
        <v>2648</v>
      </c>
      <c r="X46" s="106" t="s">
        <v>2649</v>
      </c>
      <c r="Y46" s="85"/>
    </row>
    <row r="47" customFormat="false" ht="15.75" hidden="false" customHeight="true" outlineLevel="0" collapsed="false">
      <c r="A47" s="46" t="n">
        <v>42</v>
      </c>
      <c r="B47" s="110" t="s">
        <v>1262</v>
      </c>
      <c r="C47" s="46" t="s">
        <v>752</v>
      </c>
      <c r="D47" s="110" t="s">
        <v>2656</v>
      </c>
      <c r="E47" s="46" t="s">
        <v>99</v>
      </c>
      <c r="F47" s="46" t="s">
        <v>2657</v>
      </c>
      <c r="G47" s="142" t="n">
        <v>45817</v>
      </c>
      <c r="H47" s="46" t="s">
        <v>483</v>
      </c>
      <c r="I47" s="138" t="str">
        <f aca="false">IFERROR(VLOOKUP(TEXT(H47,"0"),IPRESS!$A$3:$B$212,2,0),"")</f>
        <v>JUMBILLA</v>
      </c>
      <c r="J47" s="46" t="s">
        <v>755</v>
      </c>
      <c r="K47" s="138" t="str">
        <f aca="false">IFERROR(VLOOKUP(TEXT(O47,"0"),CONDUCTORES!$A$3:$G$100,7,0),"")</f>
        <v/>
      </c>
      <c r="L47" s="44" t="n">
        <v>18.18</v>
      </c>
      <c r="M47" s="44" t="n">
        <v>12</v>
      </c>
      <c r="N47" s="139" t="n">
        <f aca="false">IFERROR(IF(L47*M47=0,"",L47*M47),"")</f>
        <v>218.16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142" t="n">
        <v>45978</v>
      </c>
      <c r="S47" s="110" t="s">
        <v>2105</v>
      </c>
      <c r="T47" s="46"/>
      <c r="U47" s="85"/>
      <c r="V47" s="46" t="s">
        <v>2658</v>
      </c>
      <c r="W47" s="46" t="s">
        <v>2648</v>
      </c>
      <c r="X47" s="46" t="s">
        <v>2351</v>
      </c>
      <c r="Y47" s="85"/>
    </row>
    <row r="48" customFormat="false" ht="15.75" hidden="false" customHeight="true" outlineLevel="0" collapsed="false">
      <c r="A48" s="106" t="n">
        <v>43</v>
      </c>
      <c r="B48" s="107" t="s">
        <v>1202</v>
      </c>
      <c r="C48" s="106" t="s">
        <v>752</v>
      </c>
      <c r="D48" s="107" t="s">
        <v>1572</v>
      </c>
      <c r="E48" s="136" t="s">
        <v>99</v>
      </c>
      <c r="F48" s="106" t="s">
        <v>1573</v>
      </c>
      <c r="G48" s="137" t="n">
        <v>45835</v>
      </c>
      <c r="H48" s="106" t="s">
        <v>483</v>
      </c>
      <c r="I48" s="138" t="str">
        <f aca="false">IFERROR(VLOOKUP(TEXT(H48,"0"),IPRESS!$A$3:$B$212,2,0),"")</f>
        <v>JUMBILLA</v>
      </c>
      <c r="J48" s="106" t="s">
        <v>755</v>
      </c>
      <c r="K48" s="138" t="str">
        <f aca="false">IFERROR(VLOOKUP(TEXT(O48,"0"),CONDUCTORES!$A$3:$G$100,7,0),"")</f>
        <v/>
      </c>
      <c r="L48" s="50" t="n">
        <v>18.18</v>
      </c>
      <c r="M48" s="50" t="n">
        <v>12</v>
      </c>
      <c r="N48" s="139" t="n">
        <f aca="false">IFERROR(IF(L48*M48=0,"",L48*M48),"")</f>
        <v>218.16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37" t="n">
        <v>45978</v>
      </c>
      <c r="S48" s="107" t="s">
        <v>2659</v>
      </c>
      <c r="T48" s="136"/>
      <c r="U48" s="140"/>
      <c r="V48" s="106" t="s">
        <v>2658</v>
      </c>
      <c r="W48" s="106" t="s">
        <v>2648</v>
      </c>
      <c r="X48" s="106" t="s">
        <v>2351</v>
      </c>
      <c r="Y48" s="85"/>
    </row>
    <row r="49" customFormat="false" ht="15.75" hidden="false" customHeight="true" outlineLevel="0" collapsed="false">
      <c r="A49" s="46" t="n">
        <v>44</v>
      </c>
      <c r="B49" s="110" t="s">
        <v>896</v>
      </c>
      <c r="C49" s="46" t="s">
        <v>752</v>
      </c>
      <c r="D49" s="110" t="s">
        <v>2660</v>
      </c>
      <c r="E49" s="46" t="s">
        <v>99</v>
      </c>
      <c r="F49" s="46" t="s">
        <v>2661</v>
      </c>
      <c r="G49" s="142" t="n">
        <v>45810</v>
      </c>
      <c r="H49" s="46" t="s">
        <v>500</v>
      </c>
      <c r="I49" s="138" t="str">
        <f aca="false">IFERROR(VLOOKUP(TEXT(H49,"0"),IPRESS!$A$3:$B$212,2,0),"")</f>
        <v>LAMUD</v>
      </c>
      <c r="J49" s="46" t="s">
        <v>755</v>
      </c>
      <c r="K49" s="138" t="str">
        <f aca="false">IFERROR(VLOOKUP(TEXT(O49,"0"),CONDUCTORES!$A$3:$G$100,7,0),"")</f>
        <v/>
      </c>
      <c r="L49" s="44" t="n">
        <v>18.18</v>
      </c>
      <c r="M49" s="44" t="n">
        <v>4</v>
      </c>
      <c r="N49" s="139" t="n">
        <f aca="false">IFERROR(IF(L49*M49=0,"",L49*M49),"")</f>
        <v>72.72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142" t="n">
        <v>45950</v>
      </c>
      <c r="S49" s="110" t="s">
        <v>2662</v>
      </c>
      <c r="T49" s="46"/>
      <c r="U49" s="85"/>
      <c r="V49" s="46" t="s">
        <v>2553</v>
      </c>
      <c r="W49" s="46" t="s">
        <v>2554</v>
      </c>
      <c r="X49" s="46" t="s">
        <v>2351</v>
      </c>
      <c r="Y49" s="85"/>
    </row>
    <row r="50" customFormat="false" ht="15.75" hidden="false" customHeight="true" outlineLevel="0" collapsed="false">
      <c r="A50" s="106" t="n">
        <v>45</v>
      </c>
      <c r="B50" s="107" t="s">
        <v>1807</v>
      </c>
      <c r="C50" s="106" t="s">
        <v>752</v>
      </c>
      <c r="D50" s="107" t="s">
        <v>2663</v>
      </c>
      <c r="E50" s="136" t="s">
        <v>99</v>
      </c>
      <c r="F50" s="106" t="s">
        <v>2664</v>
      </c>
      <c r="G50" s="137" t="n">
        <v>45812</v>
      </c>
      <c r="H50" s="106" t="s">
        <v>500</v>
      </c>
      <c r="I50" s="138" t="str">
        <f aca="false">IFERROR(VLOOKUP(TEXT(H50,"0"),IPRESS!$A$3:$B$212,2,0),"")</f>
        <v>LAMUD</v>
      </c>
      <c r="J50" s="106" t="s">
        <v>755</v>
      </c>
      <c r="K50" s="138" t="str">
        <f aca="false">IFERROR(VLOOKUP(TEXT(O50,"0"),CONDUCTORES!$A$3:$G$100,7,0),"")</f>
        <v/>
      </c>
      <c r="L50" s="50" t="n">
        <v>18.18</v>
      </c>
      <c r="M50" s="50" t="n">
        <v>4</v>
      </c>
      <c r="N50" s="139" t="n">
        <f aca="false">IFERROR(IF(L50*M50=0,"",L50*M50),"")</f>
        <v>72.72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37" t="n">
        <v>45950</v>
      </c>
      <c r="S50" s="107" t="s">
        <v>2665</v>
      </c>
      <c r="T50" s="136"/>
      <c r="U50" s="140"/>
      <c r="V50" s="106" t="s">
        <v>2553</v>
      </c>
      <c r="W50" s="106" t="s">
        <v>2554</v>
      </c>
      <c r="X50" s="106" t="s">
        <v>2351</v>
      </c>
      <c r="Y50" s="85"/>
    </row>
    <row r="51" customFormat="false" ht="15.75" hidden="false" customHeight="true" outlineLevel="0" collapsed="false">
      <c r="A51" s="46" t="n">
        <v>46</v>
      </c>
      <c r="B51" s="110" t="s">
        <v>2087</v>
      </c>
      <c r="C51" s="46" t="s">
        <v>752</v>
      </c>
      <c r="D51" s="110" t="s">
        <v>2666</v>
      </c>
      <c r="E51" s="46" t="s">
        <v>99</v>
      </c>
      <c r="F51" s="46" t="s">
        <v>2667</v>
      </c>
      <c r="G51" s="142" t="n">
        <v>45817</v>
      </c>
      <c r="H51" s="46" t="s">
        <v>500</v>
      </c>
      <c r="I51" s="138" t="str">
        <f aca="false">IFERROR(VLOOKUP(TEXT(H51,"0"),IPRESS!$A$3:$B$212,2,0),"")</f>
        <v>LAMUD</v>
      </c>
      <c r="J51" s="46" t="s">
        <v>755</v>
      </c>
      <c r="K51" s="138" t="str">
        <f aca="false">IFERROR(VLOOKUP(TEXT(O51,"0"),CONDUCTORES!$A$3:$G$100,7,0),"")</f>
        <v/>
      </c>
      <c r="L51" s="44" t="n">
        <v>18.18</v>
      </c>
      <c r="M51" s="44" t="n">
        <v>4</v>
      </c>
      <c r="N51" s="139" t="n">
        <f aca="false">IFERROR(IF(L51*M51=0,"",L51*M51),"")</f>
        <v>72.72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142" t="n">
        <v>45950</v>
      </c>
      <c r="S51" s="110" t="s">
        <v>2668</v>
      </c>
      <c r="T51" s="46"/>
      <c r="U51" s="85"/>
      <c r="V51" s="46" t="s">
        <v>2553</v>
      </c>
      <c r="W51" s="46" t="s">
        <v>2554</v>
      </c>
      <c r="X51" s="46" t="s">
        <v>2351</v>
      </c>
      <c r="Y51" s="85"/>
    </row>
    <row r="52" customFormat="false" ht="15.75" hidden="false" customHeight="true" outlineLevel="0" collapsed="false">
      <c r="A52" s="106" t="n">
        <v>47</v>
      </c>
      <c r="B52" s="107" t="s">
        <v>2090</v>
      </c>
      <c r="C52" s="106" t="s">
        <v>752</v>
      </c>
      <c r="D52" s="107" t="s">
        <v>2669</v>
      </c>
      <c r="E52" s="136" t="s">
        <v>99</v>
      </c>
      <c r="F52" s="106" t="s">
        <v>2670</v>
      </c>
      <c r="G52" s="137" t="n">
        <v>45819</v>
      </c>
      <c r="H52" s="106" t="s">
        <v>500</v>
      </c>
      <c r="I52" s="138" t="str">
        <f aca="false">IFERROR(VLOOKUP(TEXT(H52,"0"),IPRESS!$A$3:$B$212,2,0),"")</f>
        <v>LAMUD</v>
      </c>
      <c r="J52" s="106" t="s">
        <v>755</v>
      </c>
      <c r="K52" s="138" t="str">
        <f aca="false">IFERROR(VLOOKUP(TEXT(O52,"0"),CONDUCTORES!$A$3:$G$100,7,0),"")</f>
        <v/>
      </c>
      <c r="L52" s="50" t="n">
        <v>18.18</v>
      </c>
      <c r="M52" s="50" t="n">
        <v>4</v>
      </c>
      <c r="N52" s="139" t="n">
        <f aca="false">IFERROR(IF(L52*M52=0,"",L52*M52),"")</f>
        <v>72.72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37" t="n">
        <v>45950</v>
      </c>
      <c r="S52" s="107" t="s">
        <v>1845</v>
      </c>
      <c r="T52" s="136"/>
      <c r="U52" s="140"/>
      <c r="V52" s="106" t="s">
        <v>2553</v>
      </c>
      <c r="W52" s="106" t="s">
        <v>2554</v>
      </c>
      <c r="X52" s="106" t="s">
        <v>2351</v>
      </c>
      <c r="Y52" s="85"/>
    </row>
    <row r="53" customFormat="false" ht="15.75" hidden="false" customHeight="true" outlineLevel="0" collapsed="false">
      <c r="A53" s="46" t="n">
        <v>48</v>
      </c>
      <c r="B53" s="110" t="s">
        <v>2093</v>
      </c>
      <c r="C53" s="46" t="s">
        <v>752</v>
      </c>
      <c r="D53" s="110" t="s">
        <v>2671</v>
      </c>
      <c r="E53" s="46" t="s">
        <v>99</v>
      </c>
      <c r="F53" s="46" t="s">
        <v>2672</v>
      </c>
      <c r="G53" s="142" t="n">
        <v>45832</v>
      </c>
      <c r="H53" s="46" t="s">
        <v>500</v>
      </c>
      <c r="I53" s="138" t="str">
        <f aca="false">IFERROR(VLOOKUP(TEXT(H53,"0"),IPRESS!$A$3:$B$212,2,0),"")</f>
        <v>LAMUD</v>
      </c>
      <c r="J53" s="46" t="s">
        <v>755</v>
      </c>
      <c r="K53" s="138" t="str">
        <f aca="false">IFERROR(VLOOKUP(TEXT(O53,"0"),CONDUCTORES!$A$3:$G$100,7,0),"")</f>
        <v/>
      </c>
      <c r="L53" s="44" t="n">
        <v>18.18</v>
      </c>
      <c r="M53" s="44" t="n">
        <v>4</v>
      </c>
      <c r="N53" s="139" t="n">
        <f aca="false">IFERROR(IF(L53*M53=0,"",L53*M53),"")</f>
        <v>72.72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142" t="n">
        <v>45950</v>
      </c>
      <c r="S53" s="110" t="s">
        <v>2673</v>
      </c>
      <c r="T53" s="46"/>
      <c r="U53" s="85"/>
      <c r="V53" s="46" t="s">
        <v>2553</v>
      </c>
      <c r="W53" s="46" t="s">
        <v>2554</v>
      </c>
      <c r="X53" s="46" t="s">
        <v>2351</v>
      </c>
      <c r="Y53" s="85"/>
    </row>
    <row r="54" customFormat="false" ht="15.75" hidden="false" customHeight="true" outlineLevel="0" collapsed="false">
      <c r="A54" s="106" t="n">
        <v>49</v>
      </c>
      <c r="B54" s="107" t="s">
        <v>1329</v>
      </c>
      <c r="C54" s="106" t="s">
        <v>752</v>
      </c>
      <c r="D54" s="107" t="s">
        <v>2674</v>
      </c>
      <c r="E54" s="136" t="s">
        <v>99</v>
      </c>
      <c r="F54" s="106" t="s">
        <v>2675</v>
      </c>
      <c r="G54" s="137" t="n">
        <v>45832</v>
      </c>
      <c r="H54" s="106" t="s">
        <v>500</v>
      </c>
      <c r="I54" s="138" t="str">
        <f aca="false">IFERROR(VLOOKUP(TEXT(H54,"0"),IPRESS!$A$3:$B$212,2,0),"")</f>
        <v>LAMUD</v>
      </c>
      <c r="J54" s="106" t="s">
        <v>755</v>
      </c>
      <c r="K54" s="138" t="str">
        <f aca="false">IFERROR(VLOOKUP(TEXT(O54,"0"),CONDUCTORES!$A$3:$G$100,7,0),"")</f>
        <v/>
      </c>
      <c r="L54" s="50" t="n">
        <v>18.18</v>
      </c>
      <c r="M54" s="50" t="n">
        <v>4</v>
      </c>
      <c r="N54" s="139" t="n">
        <f aca="false">IFERROR(IF(L54*M54=0,"",L54*M54),"")</f>
        <v>72.72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37" t="n">
        <v>45950</v>
      </c>
      <c r="S54" s="107" t="s">
        <v>2676</v>
      </c>
      <c r="T54" s="136"/>
      <c r="U54" s="140"/>
      <c r="V54" s="106" t="s">
        <v>2553</v>
      </c>
      <c r="W54" s="106" t="s">
        <v>2554</v>
      </c>
      <c r="X54" s="106" t="s">
        <v>2351</v>
      </c>
      <c r="Y54" s="85"/>
    </row>
    <row r="55" customFormat="false" ht="15.75" hidden="false" customHeight="true" outlineLevel="0" collapsed="false">
      <c r="A55" s="46" t="n">
        <v>50</v>
      </c>
      <c r="B55" s="110" t="s">
        <v>1319</v>
      </c>
      <c r="C55" s="46" t="s">
        <v>752</v>
      </c>
      <c r="D55" s="110" t="s">
        <v>2677</v>
      </c>
      <c r="E55" s="46" t="s">
        <v>99</v>
      </c>
      <c r="F55" s="46" t="s">
        <v>2678</v>
      </c>
      <c r="G55" s="142" t="n">
        <v>45837</v>
      </c>
      <c r="H55" s="46" t="s">
        <v>500</v>
      </c>
      <c r="I55" s="138" t="str">
        <f aca="false">IFERROR(VLOOKUP(TEXT(H55,"0"),IPRESS!$A$3:$B$212,2,0),"")</f>
        <v>LAMUD</v>
      </c>
      <c r="J55" s="46" t="s">
        <v>755</v>
      </c>
      <c r="K55" s="138" t="str">
        <f aca="false">IFERROR(VLOOKUP(TEXT(O55,"0"),CONDUCTORES!$A$3:$G$100,7,0),"")</f>
        <v/>
      </c>
      <c r="L55" s="44" t="n">
        <v>18.18</v>
      </c>
      <c r="M55" s="44" t="n">
        <v>4</v>
      </c>
      <c r="N55" s="139" t="n">
        <f aca="false">IFERROR(IF(L55*M55=0,"",L55*M55),"")</f>
        <v>72.72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142" t="n">
        <v>45950</v>
      </c>
      <c r="S55" s="110" t="s">
        <v>1292</v>
      </c>
      <c r="T55" s="46"/>
      <c r="U55" s="85"/>
      <c r="V55" s="46" t="s">
        <v>2553</v>
      </c>
      <c r="W55" s="46" t="s">
        <v>2554</v>
      </c>
      <c r="X55" s="46" t="s">
        <v>2351</v>
      </c>
      <c r="Y55" s="85"/>
    </row>
    <row r="56" customFormat="false" ht="15.75" hidden="false" customHeight="true" outlineLevel="0" collapsed="false">
      <c r="A56" s="106" t="n">
        <v>51</v>
      </c>
      <c r="B56" s="107" t="s">
        <v>1321</v>
      </c>
      <c r="C56" s="106" t="s">
        <v>752</v>
      </c>
      <c r="D56" s="107" t="s">
        <v>2679</v>
      </c>
      <c r="E56" s="136" t="s">
        <v>99</v>
      </c>
      <c r="F56" s="106" t="s">
        <v>2680</v>
      </c>
      <c r="G56" s="137" t="n">
        <v>45838</v>
      </c>
      <c r="H56" s="106" t="s">
        <v>500</v>
      </c>
      <c r="I56" s="138" t="str">
        <f aca="false">IFERROR(VLOOKUP(TEXT(H56,"0"),IPRESS!$A$3:$B$212,2,0),"")</f>
        <v>LAMUD</v>
      </c>
      <c r="J56" s="106" t="s">
        <v>755</v>
      </c>
      <c r="K56" s="138" t="str">
        <f aca="false">IFERROR(VLOOKUP(TEXT(O56,"0"),CONDUCTORES!$A$3:$G$100,7,0),"")</f>
        <v/>
      </c>
      <c r="L56" s="50" t="n">
        <v>18.18</v>
      </c>
      <c r="M56" s="50" t="n">
        <v>4</v>
      </c>
      <c r="N56" s="139" t="n">
        <f aca="false">IFERROR(IF(L56*M56=0,"",L56*M56),"")</f>
        <v>72.72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37" t="n">
        <v>45950</v>
      </c>
      <c r="S56" s="107" t="s">
        <v>1243</v>
      </c>
      <c r="T56" s="136"/>
      <c r="U56" s="140"/>
      <c r="V56" s="106" t="s">
        <v>2553</v>
      </c>
      <c r="W56" s="106" t="s">
        <v>2554</v>
      </c>
      <c r="X56" s="106" t="s">
        <v>2351</v>
      </c>
      <c r="Y56" s="85"/>
    </row>
    <row r="57" customFormat="false" ht="15.75" hidden="false" customHeight="true" outlineLevel="0" collapsed="false">
      <c r="A57" s="46" t="n">
        <v>52</v>
      </c>
      <c r="B57" s="110" t="s">
        <v>1325</v>
      </c>
      <c r="C57" s="46" t="s">
        <v>752</v>
      </c>
      <c r="D57" s="110" t="s">
        <v>2681</v>
      </c>
      <c r="E57" s="46" t="s">
        <v>99</v>
      </c>
      <c r="F57" s="46" t="s">
        <v>2682</v>
      </c>
      <c r="G57" s="142" t="n">
        <v>45838</v>
      </c>
      <c r="H57" s="46" t="s">
        <v>500</v>
      </c>
      <c r="I57" s="138" t="str">
        <f aca="false">IFERROR(VLOOKUP(TEXT(H57,"0"),IPRESS!$A$3:$B$212,2,0),"")</f>
        <v>LAMUD</v>
      </c>
      <c r="J57" s="46" t="s">
        <v>755</v>
      </c>
      <c r="K57" s="138" t="str">
        <f aca="false">IFERROR(VLOOKUP(TEXT(O57,"0"),CONDUCTORES!$A$3:$G$100,7,0),"")</f>
        <v/>
      </c>
      <c r="L57" s="44" t="n">
        <v>18.18</v>
      </c>
      <c r="M57" s="44" t="n">
        <v>4</v>
      </c>
      <c r="N57" s="139" t="n">
        <f aca="false">IFERROR(IF(L57*M57=0,"",L57*M57),"")</f>
        <v>72.72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142" t="n">
        <v>45950</v>
      </c>
      <c r="S57" s="110" t="s">
        <v>2683</v>
      </c>
      <c r="T57" s="46"/>
      <c r="U57" s="85"/>
      <c r="V57" s="46" t="s">
        <v>2553</v>
      </c>
      <c r="W57" s="46" t="s">
        <v>2554</v>
      </c>
      <c r="X57" s="46" t="s">
        <v>2351</v>
      </c>
      <c r="Y57" s="85"/>
    </row>
    <row r="58" customFormat="false" ht="15.75" hidden="false" customHeight="true" outlineLevel="0" collapsed="false">
      <c r="A58" s="106" t="n">
        <v>53</v>
      </c>
      <c r="B58" s="107" t="s">
        <v>1425</v>
      </c>
      <c r="C58" s="106" t="s">
        <v>752</v>
      </c>
      <c r="D58" s="107" t="s">
        <v>2684</v>
      </c>
      <c r="E58" s="136" t="s">
        <v>99</v>
      </c>
      <c r="F58" s="106" t="s">
        <v>2685</v>
      </c>
      <c r="G58" s="137" t="n">
        <v>45812</v>
      </c>
      <c r="H58" s="106" t="s">
        <v>507</v>
      </c>
      <c r="I58" s="138" t="str">
        <f aca="false">IFERROR(VLOOKUP(TEXT(H58,"0"),IPRESS!$A$3:$B$212,2,0),"")</f>
        <v>LEYMEBAMBA</v>
      </c>
      <c r="J58" s="106" t="s">
        <v>755</v>
      </c>
      <c r="K58" s="138" t="str">
        <f aca="false">IFERROR(VLOOKUP(TEXT(O58,"0"),CONDUCTORES!$A$3:$G$100,7,0),"")</f>
        <v/>
      </c>
      <c r="L58" s="50" t="n">
        <v>18.18</v>
      </c>
      <c r="M58" s="50" t="n">
        <v>7.5</v>
      </c>
      <c r="N58" s="139" t="n">
        <f aca="false">IFERROR(IF(L58*M58=0,"",L58*M58),"")</f>
        <v>136.35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37" t="n">
        <v>45873</v>
      </c>
      <c r="S58" s="107" t="s">
        <v>1612</v>
      </c>
      <c r="T58" s="136"/>
      <c r="U58" s="140"/>
      <c r="V58" s="106"/>
      <c r="W58" s="106"/>
      <c r="X58" s="106"/>
      <c r="Y58" s="85"/>
    </row>
    <row r="59" customFormat="false" ht="15.75" hidden="false" customHeight="true" outlineLevel="0" collapsed="false">
      <c r="A59" s="46" t="n">
        <v>54</v>
      </c>
      <c r="B59" s="110" t="s">
        <v>1128</v>
      </c>
      <c r="C59" s="46" t="s">
        <v>752</v>
      </c>
      <c r="D59" s="110" t="s">
        <v>2686</v>
      </c>
      <c r="E59" s="46" t="s">
        <v>99</v>
      </c>
      <c r="F59" s="46" t="s">
        <v>2687</v>
      </c>
      <c r="G59" s="142" t="n">
        <v>45825</v>
      </c>
      <c r="H59" s="46" t="s">
        <v>507</v>
      </c>
      <c r="I59" s="138" t="str">
        <f aca="false">IFERROR(VLOOKUP(TEXT(H59,"0"),IPRESS!$A$3:$B$212,2,0),"")</f>
        <v>LEYMEBAMBA</v>
      </c>
      <c r="J59" s="46" t="s">
        <v>755</v>
      </c>
      <c r="K59" s="138" t="str">
        <f aca="false">IFERROR(VLOOKUP(TEXT(O59,"0"),CONDUCTORES!$A$3:$G$100,7,0),"")</f>
        <v/>
      </c>
      <c r="L59" s="44" t="n">
        <v>18.18</v>
      </c>
      <c r="M59" s="44" t="n">
        <v>7.5</v>
      </c>
      <c r="N59" s="139" t="n">
        <f aca="false">IFERROR(IF(L59*M59=0,"",L59*M59),"")</f>
        <v>136.35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142" t="n">
        <v>45873</v>
      </c>
      <c r="S59" s="110" t="s">
        <v>1602</v>
      </c>
      <c r="T59" s="46"/>
      <c r="U59" s="85"/>
      <c r="V59" s="46"/>
      <c r="W59" s="46"/>
      <c r="X59" s="46"/>
      <c r="Y59" s="85"/>
    </row>
    <row r="60" customFormat="false" ht="15.75" hidden="false" customHeight="true" outlineLevel="0" collapsed="false">
      <c r="A60" s="106" t="n">
        <v>55</v>
      </c>
      <c r="B60" s="107" t="s">
        <v>1134</v>
      </c>
      <c r="C60" s="106" t="s">
        <v>752</v>
      </c>
      <c r="D60" s="107" t="s">
        <v>2688</v>
      </c>
      <c r="E60" s="136" t="s">
        <v>99</v>
      </c>
      <c r="F60" s="106" t="s">
        <v>2689</v>
      </c>
      <c r="G60" s="137" t="n">
        <v>45828</v>
      </c>
      <c r="H60" s="106" t="s">
        <v>507</v>
      </c>
      <c r="I60" s="138" t="str">
        <f aca="false">IFERROR(VLOOKUP(TEXT(H60,"0"),IPRESS!$A$3:$B$212,2,0),"")</f>
        <v>LEYMEBAMBA</v>
      </c>
      <c r="J60" s="106" t="s">
        <v>755</v>
      </c>
      <c r="K60" s="138" t="str">
        <f aca="false">IFERROR(VLOOKUP(TEXT(O60,"0"),CONDUCTORES!$A$3:$G$100,7,0),"")</f>
        <v/>
      </c>
      <c r="L60" s="50" t="n">
        <v>18.18</v>
      </c>
      <c r="M60" s="50" t="n">
        <v>7.5</v>
      </c>
      <c r="N60" s="139" t="n">
        <f aca="false">IFERROR(IF(L60*M60=0,"",L60*M60),"")</f>
        <v>136.35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37" t="n">
        <v>45873</v>
      </c>
      <c r="S60" s="107" t="s">
        <v>2690</v>
      </c>
      <c r="T60" s="136"/>
      <c r="U60" s="140"/>
      <c r="V60" s="106"/>
      <c r="W60" s="106"/>
      <c r="X60" s="106"/>
      <c r="Y60" s="85"/>
    </row>
    <row r="61" customFormat="false" ht="15.75" hidden="false" customHeight="true" outlineLevel="0" collapsed="false">
      <c r="A61" s="46" t="n">
        <v>56</v>
      </c>
      <c r="B61" s="110" t="s">
        <v>883</v>
      </c>
      <c r="C61" s="46" t="s">
        <v>752</v>
      </c>
      <c r="D61" s="110" t="s">
        <v>2691</v>
      </c>
      <c r="E61" s="46" t="s">
        <v>99</v>
      </c>
      <c r="F61" s="46" t="s">
        <v>2692</v>
      </c>
      <c r="G61" s="142" t="n">
        <v>45829</v>
      </c>
      <c r="H61" s="46" t="s">
        <v>507</v>
      </c>
      <c r="I61" s="138" t="str">
        <f aca="false">IFERROR(VLOOKUP(TEXT(H61,"0"),IPRESS!$A$3:$B$212,2,0),"")</f>
        <v>LEYMEBAMBA</v>
      </c>
      <c r="J61" s="46" t="s">
        <v>755</v>
      </c>
      <c r="K61" s="138" t="str">
        <f aca="false">IFERROR(VLOOKUP(TEXT(O61,"0"),CONDUCTORES!$A$3:$G$100,7,0),"")</f>
        <v/>
      </c>
      <c r="L61" s="44" t="n">
        <v>18.18</v>
      </c>
      <c r="M61" s="44" t="n">
        <v>7.5</v>
      </c>
      <c r="N61" s="139" t="n">
        <f aca="false">IFERROR(IF(L61*M61=0,"",L61*M61),"")</f>
        <v>136.35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142" t="n">
        <v>45873</v>
      </c>
      <c r="S61" s="110" t="s">
        <v>1683</v>
      </c>
      <c r="T61" s="46"/>
      <c r="U61" s="85"/>
      <c r="V61" s="46"/>
      <c r="W61" s="46"/>
      <c r="X61" s="46"/>
      <c r="Y61" s="85"/>
    </row>
    <row r="62" customFormat="false" ht="15.75" hidden="false" customHeight="true" outlineLevel="0" collapsed="false">
      <c r="A62" s="106" t="n">
        <v>57</v>
      </c>
      <c r="B62" s="107" t="s">
        <v>888</v>
      </c>
      <c r="C62" s="106" t="s">
        <v>752</v>
      </c>
      <c r="D62" s="107" t="s">
        <v>2693</v>
      </c>
      <c r="E62" s="136" t="s">
        <v>99</v>
      </c>
      <c r="F62" s="106" t="s">
        <v>2694</v>
      </c>
      <c r="G62" s="137" t="n">
        <v>45830</v>
      </c>
      <c r="H62" s="106" t="s">
        <v>507</v>
      </c>
      <c r="I62" s="138" t="str">
        <f aca="false">IFERROR(VLOOKUP(TEXT(H62,"0"),IPRESS!$A$3:$B$212,2,0),"")</f>
        <v>LEYMEBAMBA</v>
      </c>
      <c r="J62" s="106" t="s">
        <v>755</v>
      </c>
      <c r="K62" s="138" t="str">
        <f aca="false">IFERROR(VLOOKUP(TEXT(O62,"0"),CONDUCTORES!$A$3:$G$100,7,0),"")</f>
        <v/>
      </c>
      <c r="L62" s="50" t="n">
        <v>18.18</v>
      </c>
      <c r="M62" s="50" t="n">
        <v>7.5</v>
      </c>
      <c r="N62" s="139" t="n">
        <f aca="false">IFERROR(IF(L62*M62=0,"",L62*M62),"")</f>
        <v>136.35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37" t="n">
        <v>45873</v>
      </c>
      <c r="S62" s="107" t="s">
        <v>2695</v>
      </c>
      <c r="T62" s="136"/>
      <c r="U62" s="140"/>
      <c r="V62" s="106"/>
      <c r="W62" s="106"/>
      <c r="X62" s="106"/>
      <c r="Y62" s="85"/>
    </row>
    <row r="63" customFormat="false" ht="15.75" hidden="false" customHeight="true" outlineLevel="0" collapsed="false">
      <c r="A63" s="46" t="n">
        <v>58</v>
      </c>
      <c r="B63" s="110" t="s">
        <v>892</v>
      </c>
      <c r="C63" s="46" t="s">
        <v>752</v>
      </c>
      <c r="D63" s="110" t="s">
        <v>2696</v>
      </c>
      <c r="E63" s="46" t="s">
        <v>99</v>
      </c>
      <c r="F63" s="46" t="s">
        <v>2697</v>
      </c>
      <c r="G63" s="142" t="n">
        <v>45832</v>
      </c>
      <c r="H63" s="46" t="s">
        <v>507</v>
      </c>
      <c r="I63" s="138" t="str">
        <f aca="false">IFERROR(VLOOKUP(TEXT(H63,"0"),IPRESS!$A$3:$B$212,2,0),"")</f>
        <v>LEYMEBAMBA</v>
      </c>
      <c r="J63" s="46" t="s">
        <v>755</v>
      </c>
      <c r="K63" s="138" t="str">
        <f aca="false">IFERROR(VLOOKUP(TEXT(O63,"0"),CONDUCTORES!$A$3:$G$100,7,0),"")</f>
        <v/>
      </c>
      <c r="L63" s="44" t="n">
        <v>18.18</v>
      </c>
      <c r="M63" s="44" t="n">
        <v>7.5</v>
      </c>
      <c r="N63" s="139" t="n">
        <f aca="false">IFERROR(IF(L63*M63=0,"",L63*M63),"")</f>
        <v>136.35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142" t="n">
        <v>45873</v>
      </c>
      <c r="S63" s="110" t="s">
        <v>1683</v>
      </c>
      <c r="T63" s="46"/>
      <c r="U63" s="85"/>
      <c r="V63" s="46"/>
      <c r="W63" s="46"/>
      <c r="X63" s="46"/>
      <c r="Y63" s="85"/>
    </row>
    <row r="64" customFormat="false" ht="15.75" hidden="false" customHeight="true" outlineLevel="0" collapsed="false">
      <c r="A64" s="106" t="n">
        <v>59</v>
      </c>
      <c r="B64" s="107" t="s">
        <v>1684</v>
      </c>
      <c r="C64" s="106" t="s">
        <v>752</v>
      </c>
      <c r="D64" s="107" t="s">
        <v>2698</v>
      </c>
      <c r="E64" s="136" t="s">
        <v>99</v>
      </c>
      <c r="F64" s="106" t="s">
        <v>2699</v>
      </c>
      <c r="G64" s="137" t="n">
        <v>45833</v>
      </c>
      <c r="H64" s="106" t="s">
        <v>507</v>
      </c>
      <c r="I64" s="138" t="str">
        <f aca="false">IFERROR(VLOOKUP(TEXT(H64,"0"),IPRESS!$A$3:$B$212,2,0),"")</f>
        <v>LEYMEBAMBA</v>
      </c>
      <c r="J64" s="106" t="s">
        <v>755</v>
      </c>
      <c r="K64" s="138" t="str">
        <f aca="false">IFERROR(VLOOKUP(TEXT(O64,"0"),CONDUCTORES!$A$3:$G$100,7,0),"")</f>
        <v/>
      </c>
      <c r="L64" s="50" t="n">
        <v>18.18</v>
      </c>
      <c r="M64" s="50" t="n">
        <v>7</v>
      </c>
      <c r="N64" s="139" t="n">
        <f aca="false">IFERROR(IF(L64*M64=0,"",L64*M64),"")</f>
        <v>127.26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37" t="n">
        <v>45873</v>
      </c>
      <c r="S64" s="107" t="s">
        <v>2700</v>
      </c>
      <c r="T64" s="136"/>
      <c r="U64" s="140"/>
      <c r="V64" s="106"/>
      <c r="W64" s="106"/>
      <c r="X64" s="106"/>
      <c r="Y64" s="85"/>
    </row>
    <row r="65" customFormat="false" ht="15.75" hidden="false" customHeight="true" outlineLevel="0" collapsed="false">
      <c r="A65" s="46" t="n">
        <v>60</v>
      </c>
      <c r="B65" s="110" t="s">
        <v>896</v>
      </c>
      <c r="C65" s="46" t="s">
        <v>752</v>
      </c>
      <c r="D65" s="110" t="s">
        <v>2701</v>
      </c>
      <c r="E65" s="46" t="s">
        <v>99</v>
      </c>
      <c r="F65" s="46" t="s">
        <v>2702</v>
      </c>
      <c r="G65" s="142" t="n">
        <v>45817</v>
      </c>
      <c r="H65" s="46" t="s">
        <v>517</v>
      </c>
      <c r="I65" s="138" t="str">
        <f aca="false">IFERROR(VLOOKUP(TEXT(H65,"0"),IPRESS!$A$3:$B$212,2,0),"")</f>
        <v>LUYA</v>
      </c>
      <c r="J65" s="46" t="s">
        <v>755</v>
      </c>
      <c r="K65" s="138" t="str">
        <f aca="false">IFERROR(VLOOKUP(TEXT(O65,"0"),CONDUCTORES!$A$3:$G$100,7,0),"")</f>
        <v/>
      </c>
      <c r="L65" s="44" t="n">
        <v>18.18</v>
      </c>
      <c r="M65" s="44" t="n">
        <v>4</v>
      </c>
      <c r="N65" s="139" t="n">
        <f aca="false">IFERROR(IF(L65*M65=0,"",L65*M65),"")</f>
        <v>72.72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142" t="n">
        <v>45887</v>
      </c>
      <c r="S65" s="110" t="s">
        <v>2703</v>
      </c>
      <c r="T65" s="46"/>
      <c r="U65" s="85"/>
      <c r="V65" s="46" t="s">
        <v>2704</v>
      </c>
      <c r="W65" s="46" t="s">
        <v>2705</v>
      </c>
      <c r="X65" s="46" t="s">
        <v>2649</v>
      </c>
      <c r="Y65" s="85"/>
    </row>
    <row r="66" customFormat="false" ht="15.75" hidden="false" customHeight="true" outlineLevel="0" collapsed="false">
      <c r="A66" s="106" t="n">
        <v>61</v>
      </c>
      <c r="B66" s="107" t="s">
        <v>1807</v>
      </c>
      <c r="C66" s="106" t="s">
        <v>752</v>
      </c>
      <c r="D66" s="107" t="s">
        <v>2706</v>
      </c>
      <c r="E66" s="136" t="s">
        <v>99</v>
      </c>
      <c r="F66" s="106" t="s">
        <v>2707</v>
      </c>
      <c r="G66" s="137" t="n">
        <v>45819</v>
      </c>
      <c r="H66" s="106" t="s">
        <v>517</v>
      </c>
      <c r="I66" s="138" t="str">
        <f aca="false">IFERROR(VLOOKUP(TEXT(H66,"0"),IPRESS!$A$3:$B$212,2,0),"")</f>
        <v>LUYA</v>
      </c>
      <c r="J66" s="106" t="s">
        <v>755</v>
      </c>
      <c r="K66" s="138" t="str">
        <f aca="false">IFERROR(VLOOKUP(TEXT(O66,"0"),CONDUCTORES!$A$3:$G$100,7,0),"")</f>
        <v/>
      </c>
      <c r="L66" s="50" t="n">
        <v>18.18</v>
      </c>
      <c r="M66" s="50" t="n">
        <v>4</v>
      </c>
      <c r="N66" s="139" t="n">
        <f aca="false">IFERROR(IF(L66*M66=0,"",L66*M66),"")</f>
        <v>72.72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37" t="n">
        <v>45887</v>
      </c>
      <c r="S66" s="107" t="s">
        <v>2708</v>
      </c>
      <c r="T66" s="136"/>
      <c r="U66" s="140"/>
      <c r="V66" s="106" t="s">
        <v>2704</v>
      </c>
      <c r="W66" s="106" t="s">
        <v>2705</v>
      </c>
      <c r="X66" s="106" t="s">
        <v>2649</v>
      </c>
      <c r="Y66" s="85"/>
    </row>
    <row r="67" customFormat="false" ht="15.75" hidden="false" customHeight="true" outlineLevel="0" collapsed="false">
      <c r="A67" s="46" t="n">
        <v>62</v>
      </c>
      <c r="B67" s="110" t="s">
        <v>2087</v>
      </c>
      <c r="C67" s="46" t="s">
        <v>752</v>
      </c>
      <c r="D67" s="110" t="s">
        <v>2709</v>
      </c>
      <c r="E67" s="46" t="s">
        <v>99</v>
      </c>
      <c r="F67" s="46" t="s">
        <v>2710</v>
      </c>
      <c r="G67" s="142" t="n">
        <v>45822</v>
      </c>
      <c r="H67" s="46" t="s">
        <v>517</v>
      </c>
      <c r="I67" s="138" t="str">
        <f aca="false">IFERROR(VLOOKUP(TEXT(H67,"0"),IPRESS!$A$3:$B$212,2,0),"")</f>
        <v>LUYA</v>
      </c>
      <c r="J67" s="46" t="s">
        <v>755</v>
      </c>
      <c r="K67" s="138" t="str">
        <f aca="false">IFERROR(VLOOKUP(TEXT(O67,"0"),CONDUCTORES!$A$3:$G$100,7,0),"")</f>
        <v/>
      </c>
      <c r="L67" s="44" t="n">
        <v>18.18</v>
      </c>
      <c r="M67" s="44" t="n">
        <v>4</v>
      </c>
      <c r="N67" s="139" t="n">
        <f aca="false">IFERROR(IF(L67*M67=0,"",L67*M67),"")</f>
        <v>72.72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142" t="n">
        <v>45887</v>
      </c>
      <c r="S67" s="110" t="s">
        <v>2711</v>
      </c>
      <c r="T67" s="46"/>
      <c r="U67" s="85"/>
      <c r="V67" s="46" t="s">
        <v>2704</v>
      </c>
      <c r="W67" s="46" t="s">
        <v>2705</v>
      </c>
      <c r="X67" s="46" t="s">
        <v>2649</v>
      </c>
      <c r="Y67" s="85"/>
    </row>
    <row r="68" customFormat="false" ht="15.75" hidden="false" customHeight="true" outlineLevel="0" collapsed="false">
      <c r="A68" s="106" t="n">
        <v>63</v>
      </c>
      <c r="B68" s="107" t="s">
        <v>2090</v>
      </c>
      <c r="C68" s="106" t="s">
        <v>752</v>
      </c>
      <c r="D68" s="107" t="s">
        <v>2712</v>
      </c>
      <c r="E68" s="136" t="s">
        <v>99</v>
      </c>
      <c r="F68" s="106" t="s">
        <v>2713</v>
      </c>
      <c r="G68" s="137" t="n">
        <v>45833</v>
      </c>
      <c r="H68" s="106" t="s">
        <v>517</v>
      </c>
      <c r="I68" s="138" t="str">
        <f aca="false">IFERROR(VLOOKUP(TEXT(H68,"0"),IPRESS!$A$3:$B$212,2,0),"")</f>
        <v>LUYA</v>
      </c>
      <c r="J68" s="106" t="s">
        <v>755</v>
      </c>
      <c r="K68" s="138" t="str">
        <f aca="false">IFERROR(VLOOKUP(TEXT(O68,"0"),CONDUCTORES!$A$3:$G$100,7,0),"")</f>
        <v/>
      </c>
      <c r="L68" s="50" t="n">
        <v>18.18</v>
      </c>
      <c r="M68" s="50" t="n">
        <v>4</v>
      </c>
      <c r="N68" s="139" t="n">
        <f aca="false">IFERROR(IF(L68*M68=0,"",L68*M68),"")</f>
        <v>72.72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37" t="n">
        <v>45887</v>
      </c>
      <c r="S68" s="107" t="s">
        <v>1651</v>
      </c>
      <c r="T68" s="136"/>
      <c r="U68" s="140"/>
      <c r="V68" s="106" t="s">
        <v>2704</v>
      </c>
      <c r="W68" s="106" t="s">
        <v>2705</v>
      </c>
      <c r="X68" s="106" t="s">
        <v>2649</v>
      </c>
      <c r="Y68" s="85"/>
    </row>
    <row r="69" customFormat="false" ht="15.75" hidden="false" customHeight="true" outlineLevel="0" collapsed="false">
      <c r="A69" s="46" t="n">
        <v>64</v>
      </c>
      <c r="B69" s="110" t="s">
        <v>2093</v>
      </c>
      <c r="C69" s="46" t="s">
        <v>752</v>
      </c>
      <c r="D69" s="110" t="s">
        <v>2714</v>
      </c>
      <c r="E69" s="46" t="s">
        <v>99</v>
      </c>
      <c r="F69" s="46" t="s">
        <v>2715</v>
      </c>
      <c r="G69" s="142" t="n">
        <v>45837</v>
      </c>
      <c r="H69" s="46" t="s">
        <v>517</v>
      </c>
      <c r="I69" s="138" t="str">
        <f aca="false">IFERROR(VLOOKUP(TEXT(H69,"0"),IPRESS!$A$3:$B$212,2,0),"")</f>
        <v>LUYA</v>
      </c>
      <c r="J69" s="46" t="s">
        <v>755</v>
      </c>
      <c r="K69" s="138" t="str">
        <f aca="false">IFERROR(VLOOKUP(TEXT(O69,"0"),CONDUCTORES!$A$3:$G$100,7,0),"")</f>
        <v/>
      </c>
      <c r="L69" s="44" t="n">
        <v>18.18</v>
      </c>
      <c r="M69" s="44" t="n">
        <v>4</v>
      </c>
      <c r="N69" s="139" t="n">
        <f aca="false">IFERROR(IF(L69*M69=0,"",L69*M69),"")</f>
        <v>72.72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142" t="n">
        <v>45887</v>
      </c>
      <c r="S69" s="110" t="s">
        <v>1201</v>
      </c>
      <c r="T69" s="46"/>
      <c r="U69" s="85"/>
      <c r="V69" s="46" t="s">
        <v>2704</v>
      </c>
      <c r="W69" s="46" t="s">
        <v>2705</v>
      </c>
      <c r="X69" s="46" t="s">
        <v>2649</v>
      </c>
      <c r="Y69" s="85"/>
    </row>
    <row r="70" customFormat="false" ht="15.75" hidden="false" customHeight="true" outlineLevel="0" collapsed="false">
      <c r="A70" s="106" t="n">
        <v>65</v>
      </c>
      <c r="B70" s="107" t="s">
        <v>787</v>
      </c>
      <c r="C70" s="106" t="s">
        <v>752</v>
      </c>
      <c r="D70" s="107" t="s">
        <v>2716</v>
      </c>
      <c r="E70" s="136" t="s">
        <v>99</v>
      </c>
      <c r="F70" s="106" t="s">
        <v>2717</v>
      </c>
      <c r="G70" s="137" t="n">
        <v>45831</v>
      </c>
      <c r="H70" s="106" t="s">
        <v>528</v>
      </c>
      <c r="I70" s="138" t="str">
        <f aca="false">IFERROR(VLOOKUP(TEXT(H70,"0"),IPRESS!$A$3:$B$212,2,0),"")</f>
        <v>MARIA</v>
      </c>
      <c r="J70" s="106" t="s">
        <v>755</v>
      </c>
      <c r="K70" s="138" t="str">
        <f aca="false">IFERROR(VLOOKUP(TEXT(O70,"0"),CONDUCTORES!$A$3:$G$100,7,0),"")</f>
        <v/>
      </c>
      <c r="L70" s="50" t="n">
        <v>18.18</v>
      </c>
      <c r="M70" s="50" t="n">
        <v>9</v>
      </c>
      <c r="N70" s="139" t="n">
        <f aca="false">IFERROR(IF(L70*M70=0,"",L70*M70),"")</f>
        <v>163.62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37" t="n">
        <v>45874</v>
      </c>
      <c r="S70" s="107" t="s">
        <v>2718</v>
      </c>
      <c r="T70" s="136"/>
      <c r="U70" s="140"/>
      <c r="V70" s="106" t="s">
        <v>2719</v>
      </c>
      <c r="W70" s="106" t="s">
        <v>2720</v>
      </c>
      <c r="X70" s="106" t="s">
        <v>2649</v>
      </c>
      <c r="Y70" s="85"/>
    </row>
    <row r="71" customFormat="false" ht="15.75" hidden="false" customHeight="true" outlineLevel="0" collapsed="false">
      <c r="A71" s="143" t="n">
        <v>66</v>
      </c>
      <c r="B71" s="144" t="s">
        <v>827</v>
      </c>
      <c r="C71" s="143" t="s">
        <v>752</v>
      </c>
      <c r="D71" s="144" t="s">
        <v>2721</v>
      </c>
      <c r="E71" s="143" t="s">
        <v>99</v>
      </c>
      <c r="F71" s="143" t="s">
        <v>2722</v>
      </c>
      <c r="G71" s="145" t="n">
        <v>45820</v>
      </c>
      <c r="H71" s="143" t="s">
        <v>547</v>
      </c>
      <c r="I71" s="138" t="str">
        <f aca="false">IFERROR(VLOOKUP(TEXT(H71,"0"),IPRESS!$A$3:$B$212,2,0),"")</f>
        <v>MOLINOPAMPA</v>
      </c>
      <c r="J71" s="143" t="s">
        <v>755</v>
      </c>
      <c r="K71" s="138" t="str">
        <f aca="false">IFERROR(VLOOKUP(TEXT(O71,"0"),CONDUCTORES!$A$3:$G$100,7,0),"")</f>
        <v/>
      </c>
      <c r="L71" s="146" t="n">
        <v>17.95</v>
      </c>
      <c r="M71" s="146" t="n">
        <v>8</v>
      </c>
      <c r="N71" s="139" t="n">
        <f aca="false">IFERROR(IF(L71*M71=0,"",L71*M71),"")</f>
        <v>143.6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145" t="n">
        <v>45835</v>
      </c>
      <c r="S71" s="144" t="s">
        <v>2723</v>
      </c>
      <c r="T71" s="143"/>
      <c r="U71" s="147"/>
      <c r="V71" s="143"/>
      <c r="W71" s="143"/>
      <c r="X71" s="143"/>
      <c r="Y71" s="85"/>
    </row>
    <row r="72" customFormat="false" ht="15.75" hidden="false" customHeight="true" outlineLevel="0" collapsed="false">
      <c r="A72" s="106" t="n">
        <v>67</v>
      </c>
      <c r="B72" s="107" t="s">
        <v>787</v>
      </c>
      <c r="C72" s="106" t="s">
        <v>752</v>
      </c>
      <c r="D72" s="107" t="s">
        <v>2724</v>
      </c>
      <c r="E72" s="136" t="s">
        <v>99</v>
      </c>
      <c r="F72" s="106" t="s">
        <v>2725</v>
      </c>
      <c r="G72" s="137" t="n">
        <v>45810</v>
      </c>
      <c r="H72" s="106" t="s">
        <v>556</v>
      </c>
      <c r="I72" s="138" t="str">
        <f aca="false">IFERROR(VLOOKUP(TEXT(H72,"0"),IPRESS!$A$3:$B$212,2,0),"")</f>
        <v>NUEVO CHIRIMOTO</v>
      </c>
      <c r="J72" s="106" t="s">
        <v>529</v>
      </c>
      <c r="K72" s="138" t="str">
        <f aca="false">IFERROR(VLOOKUP(TEXT(O72,"0"),CONDUCTORES!$A$3:$G$100,7,0),"")</f>
        <v/>
      </c>
      <c r="L72" s="50" t="n">
        <v>20.25</v>
      </c>
      <c r="M72" s="50" t="n">
        <v>10</v>
      </c>
      <c r="N72" s="139" t="n">
        <f aca="false">IFERROR(IF(L72*M72=0,"",L72*M72),"")</f>
        <v>202.5</v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37" t="n">
        <v>45987</v>
      </c>
      <c r="S72" s="107" t="s">
        <v>2726</v>
      </c>
      <c r="T72" s="136"/>
      <c r="U72" s="140"/>
      <c r="V72" s="106" t="s">
        <v>2399</v>
      </c>
      <c r="W72" s="106" t="s">
        <v>760</v>
      </c>
      <c r="X72" s="106" t="s">
        <v>761</v>
      </c>
      <c r="Y72" s="85"/>
    </row>
    <row r="73" customFormat="false" ht="15.75" hidden="false" customHeight="true" outlineLevel="0" collapsed="false">
      <c r="A73" s="46" t="n">
        <v>68</v>
      </c>
      <c r="B73" s="110" t="s">
        <v>919</v>
      </c>
      <c r="C73" s="46" t="s">
        <v>752</v>
      </c>
      <c r="D73" s="110" t="s">
        <v>2567</v>
      </c>
      <c r="E73" s="46" t="s">
        <v>99</v>
      </c>
      <c r="F73" s="46" t="s">
        <v>2568</v>
      </c>
      <c r="G73" s="142" t="n">
        <v>45811</v>
      </c>
      <c r="H73" s="46" t="s">
        <v>529</v>
      </c>
      <c r="I73" s="138" t="str">
        <f aca="false">IFERROR(VLOOKUP(TEXT(H73,"0"),IPRESS!$A$3:$B$212,2,0),"")</f>
        <v>MARIA AUXILIADORA</v>
      </c>
      <c r="J73" s="46" t="s">
        <v>529</v>
      </c>
      <c r="K73" s="138" t="str">
        <f aca="false">IFERROR(VLOOKUP(TEXT(O73,"0"),CONDUCTORES!$A$3:$G$100,7,0),"")</f>
        <v/>
      </c>
      <c r="L73" s="44" t="n">
        <v>20.25</v>
      </c>
      <c r="M73" s="44" t="n">
        <v>10</v>
      </c>
      <c r="N73" s="139" t="n">
        <f aca="false">IFERROR(IF(L73*M73=0,"",L73*M73),"")</f>
        <v>202.5</v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142" t="n">
        <v>45987</v>
      </c>
      <c r="S73" s="110" t="s">
        <v>2727</v>
      </c>
      <c r="T73" s="46"/>
      <c r="U73" s="85"/>
      <c r="V73" s="46" t="s">
        <v>2399</v>
      </c>
      <c r="W73" s="46" t="s">
        <v>760</v>
      </c>
      <c r="X73" s="46" t="s">
        <v>761</v>
      </c>
      <c r="Y73" s="85"/>
    </row>
    <row r="74" customFormat="false" ht="15.75" hidden="false" customHeight="true" outlineLevel="0" collapsed="false">
      <c r="A74" s="106" t="n">
        <v>69</v>
      </c>
      <c r="B74" s="107" t="s">
        <v>818</v>
      </c>
      <c r="C74" s="106" t="s">
        <v>752</v>
      </c>
      <c r="D74" s="107" t="s">
        <v>2728</v>
      </c>
      <c r="E74" s="136" t="s">
        <v>99</v>
      </c>
      <c r="F74" s="106" t="s">
        <v>2729</v>
      </c>
      <c r="G74" s="137" t="n">
        <v>45817</v>
      </c>
      <c r="H74" s="106" t="s">
        <v>572</v>
      </c>
      <c r="I74" s="138" t="str">
        <f aca="false">IFERROR(VLOOKUP(TEXT(H74,"0"),IPRESS!$A$3:$B$212,2,0),"")</f>
        <v>OMIA</v>
      </c>
      <c r="J74" s="106" t="s">
        <v>529</v>
      </c>
      <c r="K74" s="138" t="str">
        <f aca="false">IFERROR(VLOOKUP(TEXT(O74,"0"),CONDUCTORES!$A$3:$G$100,7,0),"")</f>
        <v/>
      </c>
      <c r="L74" s="50" t="n">
        <v>20.25</v>
      </c>
      <c r="M74" s="50" t="n">
        <v>3</v>
      </c>
      <c r="N74" s="139" t="n">
        <f aca="false">IFERROR(IF(L74*M74=0,"",L74*M74),"")</f>
        <v>60.75</v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37" t="n">
        <v>46010</v>
      </c>
      <c r="S74" s="107" t="s">
        <v>2730</v>
      </c>
      <c r="T74" s="136"/>
      <c r="U74" s="140"/>
      <c r="V74" s="106"/>
      <c r="W74" s="106"/>
      <c r="X74" s="106"/>
      <c r="Y74" s="85"/>
    </row>
    <row r="75" customFormat="false" ht="15.75" hidden="false" customHeight="true" outlineLevel="0" collapsed="false">
      <c r="A75" s="46" t="n">
        <v>70</v>
      </c>
      <c r="B75" s="110" t="s">
        <v>926</v>
      </c>
      <c r="C75" s="46" t="s">
        <v>752</v>
      </c>
      <c r="D75" s="110" t="s">
        <v>2731</v>
      </c>
      <c r="E75" s="46" t="s">
        <v>99</v>
      </c>
      <c r="F75" s="46" t="s">
        <v>2732</v>
      </c>
      <c r="G75" s="142" t="n">
        <v>45837</v>
      </c>
      <c r="H75" s="46" t="s">
        <v>572</v>
      </c>
      <c r="I75" s="138" t="str">
        <f aca="false">IFERROR(VLOOKUP(TEXT(H75,"0"),IPRESS!$A$3:$B$212,2,0),"")</f>
        <v>OMIA</v>
      </c>
      <c r="J75" s="46" t="s">
        <v>529</v>
      </c>
      <c r="K75" s="138" t="str">
        <f aca="false">IFERROR(VLOOKUP(TEXT(O75,"0"),CONDUCTORES!$A$3:$G$100,7,0),"")</f>
        <v/>
      </c>
      <c r="L75" s="44" t="n">
        <v>20.25</v>
      </c>
      <c r="M75" s="44" t="n">
        <v>3</v>
      </c>
      <c r="N75" s="139" t="n">
        <f aca="false">IFERROR(IF(L75*M75=0,"",L75*M75),"")</f>
        <v>60.75</v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142" t="n">
        <v>46010</v>
      </c>
      <c r="S75" s="110" t="s">
        <v>2733</v>
      </c>
      <c r="T75" s="46"/>
      <c r="U75" s="85"/>
      <c r="V75" s="46"/>
      <c r="W75" s="46"/>
      <c r="X75" s="46"/>
      <c r="Y75" s="85"/>
    </row>
    <row r="76" customFormat="false" ht="15.75" hidden="false" customHeight="true" outlineLevel="0" collapsed="false">
      <c r="A76" s="143" t="n">
        <v>71</v>
      </c>
      <c r="B76" s="144" t="s">
        <v>1368</v>
      </c>
      <c r="C76" s="143" t="s">
        <v>752</v>
      </c>
      <c r="D76" s="144" t="s">
        <v>2734</v>
      </c>
      <c r="E76" s="143" t="s">
        <v>99</v>
      </c>
      <c r="F76" s="143" t="s">
        <v>2735</v>
      </c>
      <c r="G76" s="145" t="n">
        <v>45813</v>
      </c>
      <c r="H76" s="143" t="s">
        <v>581</v>
      </c>
      <c r="I76" s="138" t="str">
        <f aca="false">IFERROR(VLOOKUP(TEXT(H76,"0"),IPRESS!$A$3:$B$212,2,0),"")</f>
        <v>PEDRO RUIZ GALLO</v>
      </c>
      <c r="J76" s="143" t="s">
        <v>755</v>
      </c>
      <c r="K76" s="138" t="str">
        <f aca="false">IFERROR(VLOOKUP(TEXT(O76,"0"),CONDUCTORES!$A$3:$G$100,7,0),"")</f>
        <v/>
      </c>
      <c r="L76" s="146" t="n">
        <v>17.95</v>
      </c>
      <c r="M76" s="146" t="n">
        <v>6</v>
      </c>
      <c r="N76" s="139" t="n">
        <f aca="false">IFERROR(IF(L76*M76=0,"",L76*M76),"")</f>
        <v>107.7</v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45" t="n">
        <v>45853</v>
      </c>
      <c r="S76" s="144" t="s">
        <v>2736</v>
      </c>
      <c r="T76" s="143"/>
      <c r="U76" s="147"/>
      <c r="V76" s="143"/>
      <c r="W76" s="143"/>
      <c r="X76" s="143"/>
      <c r="Y76" s="85"/>
    </row>
    <row r="77" customFormat="false" ht="15.75" hidden="false" customHeight="true" outlineLevel="0" collapsed="false">
      <c r="A77" s="143" t="n">
        <v>72</v>
      </c>
      <c r="B77" s="144" t="s">
        <v>2472</v>
      </c>
      <c r="C77" s="143" t="s">
        <v>752</v>
      </c>
      <c r="D77" s="144" t="s">
        <v>2737</v>
      </c>
      <c r="E77" s="143" t="s">
        <v>99</v>
      </c>
      <c r="F77" s="143" t="s">
        <v>2738</v>
      </c>
      <c r="G77" s="145" t="n">
        <v>45816</v>
      </c>
      <c r="H77" s="143" t="s">
        <v>581</v>
      </c>
      <c r="I77" s="138" t="str">
        <f aca="false">IFERROR(VLOOKUP(TEXT(H77,"0"),IPRESS!$A$3:$B$212,2,0),"")</f>
        <v>PEDRO RUIZ GALLO</v>
      </c>
      <c r="J77" s="143" t="s">
        <v>755</v>
      </c>
      <c r="K77" s="138" t="str">
        <f aca="false">IFERROR(VLOOKUP(TEXT(O77,"0"),CONDUCTORES!$A$3:$G$100,7,0),"")</f>
        <v/>
      </c>
      <c r="L77" s="146" t="n">
        <v>17.95</v>
      </c>
      <c r="M77" s="146" t="n">
        <v>6</v>
      </c>
      <c r="N77" s="139" t="n">
        <f aca="false">IFERROR(IF(L77*M77=0,"",L77*M77),"")</f>
        <v>107.7</v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145" t="n">
        <v>45853</v>
      </c>
      <c r="S77" s="144" t="s">
        <v>2739</v>
      </c>
      <c r="T77" s="143"/>
      <c r="U77" s="147"/>
      <c r="V77" s="143"/>
      <c r="W77" s="143"/>
      <c r="X77" s="143"/>
      <c r="Y77" s="85"/>
    </row>
    <row r="78" customFormat="false" ht="15.75" hidden="false" customHeight="true" outlineLevel="0" collapsed="false">
      <c r="A78" s="143" t="n">
        <v>73</v>
      </c>
      <c r="B78" s="144" t="s">
        <v>2480</v>
      </c>
      <c r="C78" s="143" t="s">
        <v>752</v>
      </c>
      <c r="D78" s="144" t="s">
        <v>2740</v>
      </c>
      <c r="E78" s="143" t="s">
        <v>99</v>
      </c>
      <c r="F78" s="143" t="s">
        <v>2741</v>
      </c>
      <c r="G78" s="145" t="n">
        <v>45817</v>
      </c>
      <c r="H78" s="143" t="s">
        <v>581</v>
      </c>
      <c r="I78" s="138" t="str">
        <f aca="false">IFERROR(VLOOKUP(TEXT(H78,"0"),IPRESS!$A$3:$B$212,2,0),"")</f>
        <v>PEDRO RUIZ GALLO</v>
      </c>
      <c r="J78" s="143" t="s">
        <v>755</v>
      </c>
      <c r="K78" s="138" t="str">
        <f aca="false">IFERROR(VLOOKUP(TEXT(O78,"0"),CONDUCTORES!$A$3:$G$100,7,0),"")</f>
        <v/>
      </c>
      <c r="L78" s="146" t="n">
        <v>17.95</v>
      </c>
      <c r="M78" s="146" t="n">
        <v>6</v>
      </c>
      <c r="N78" s="139" t="n">
        <f aca="false">IFERROR(IF(L78*M78=0,"",L78*M78),"")</f>
        <v>107.7</v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45" t="n">
        <v>45853</v>
      </c>
      <c r="S78" s="144" t="s">
        <v>2742</v>
      </c>
      <c r="T78" s="143"/>
      <c r="U78" s="147"/>
      <c r="V78" s="143"/>
      <c r="W78" s="143"/>
      <c r="X78" s="143"/>
      <c r="Y78" s="85"/>
    </row>
    <row r="79" customFormat="false" ht="15.75" hidden="false" customHeight="true" outlineLevel="0" collapsed="false">
      <c r="A79" s="143" t="n">
        <v>74</v>
      </c>
      <c r="B79" s="144" t="s">
        <v>2497</v>
      </c>
      <c r="C79" s="143" t="s">
        <v>752</v>
      </c>
      <c r="D79" s="144" t="s">
        <v>2743</v>
      </c>
      <c r="E79" s="143" t="s">
        <v>99</v>
      </c>
      <c r="F79" s="143" t="s">
        <v>2744</v>
      </c>
      <c r="G79" s="145" t="n">
        <v>45828</v>
      </c>
      <c r="H79" s="143" t="s">
        <v>581</v>
      </c>
      <c r="I79" s="138" t="str">
        <f aca="false">IFERROR(VLOOKUP(TEXT(H79,"0"),IPRESS!$A$3:$B$212,2,0),"")</f>
        <v>PEDRO RUIZ GALLO</v>
      </c>
      <c r="J79" s="143" t="s">
        <v>755</v>
      </c>
      <c r="K79" s="138" t="str">
        <f aca="false">IFERROR(VLOOKUP(TEXT(O79,"0"),CONDUCTORES!$A$3:$G$100,7,0),"")</f>
        <v/>
      </c>
      <c r="L79" s="146" t="n">
        <v>17.95</v>
      </c>
      <c r="M79" s="146" t="n">
        <v>6</v>
      </c>
      <c r="N79" s="139" t="n">
        <f aca="false">IFERROR(IF(L79*M79=0,"",L79*M79),"")</f>
        <v>107.7</v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145" t="n">
        <v>45853</v>
      </c>
      <c r="S79" s="144" t="s">
        <v>2745</v>
      </c>
      <c r="T79" s="143"/>
      <c r="U79" s="147"/>
      <c r="V79" s="143"/>
      <c r="W79" s="143"/>
      <c r="X79" s="143"/>
      <c r="Y79" s="85"/>
    </row>
    <row r="80" customFormat="false" ht="15.75" hidden="false" customHeight="true" outlineLevel="0" collapsed="false">
      <c r="A80" s="143" t="n">
        <v>75</v>
      </c>
      <c r="B80" s="144" t="s">
        <v>1372</v>
      </c>
      <c r="C80" s="143" t="s">
        <v>752</v>
      </c>
      <c r="D80" s="144" t="s">
        <v>2746</v>
      </c>
      <c r="E80" s="143" t="s">
        <v>99</v>
      </c>
      <c r="F80" s="143" t="s">
        <v>2747</v>
      </c>
      <c r="G80" s="145" t="n">
        <v>45814</v>
      </c>
      <c r="H80" s="143" t="s">
        <v>581</v>
      </c>
      <c r="I80" s="138" t="str">
        <f aca="false">IFERROR(VLOOKUP(TEXT(H80,"0"),IPRESS!$A$3:$B$212,2,0),"")</f>
        <v>PEDRO RUIZ GALLO</v>
      </c>
      <c r="J80" s="143" t="s">
        <v>755</v>
      </c>
      <c r="K80" s="138" t="str">
        <f aca="false">IFERROR(VLOOKUP(TEXT(O80,"0"),CONDUCTORES!$A$3:$G$100,7,0),"")</f>
        <v/>
      </c>
      <c r="L80" s="146" t="n">
        <v>17.95</v>
      </c>
      <c r="M80" s="146" t="n">
        <v>6</v>
      </c>
      <c r="N80" s="139" t="n">
        <f aca="false">IFERROR(IF(L80*M80=0,"",L80*M80),"")</f>
        <v>107.7</v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45" t="n">
        <v>45853</v>
      </c>
      <c r="S80" s="144" t="s">
        <v>2748</v>
      </c>
      <c r="T80" s="143"/>
      <c r="U80" s="147"/>
      <c r="V80" s="143"/>
      <c r="W80" s="143"/>
      <c r="X80" s="143"/>
      <c r="Y80" s="85"/>
    </row>
    <row r="81" customFormat="false" ht="15.75" hidden="false" customHeight="true" outlineLevel="0" collapsed="false">
      <c r="A81" s="46" t="n">
        <v>76</v>
      </c>
      <c r="B81" s="110" t="s">
        <v>1376</v>
      </c>
      <c r="C81" s="46" t="s">
        <v>752</v>
      </c>
      <c r="D81" s="110" t="s">
        <v>2749</v>
      </c>
      <c r="E81" s="46" t="s">
        <v>99</v>
      </c>
      <c r="F81" s="46" t="s">
        <v>2750</v>
      </c>
      <c r="G81" s="142" t="n">
        <v>45814</v>
      </c>
      <c r="H81" s="46" t="s">
        <v>581</v>
      </c>
      <c r="I81" s="138" t="str">
        <f aca="false">IFERROR(VLOOKUP(TEXT(H81,"0"),IPRESS!$A$3:$B$212,2,0),"")</f>
        <v>PEDRO RUIZ GALLO</v>
      </c>
      <c r="J81" s="46" t="s">
        <v>755</v>
      </c>
      <c r="K81" s="138" t="str">
        <f aca="false">IFERROR(VLOOKUP(TEXT(O81,"0"),CONDUCTORES!$A$3:$G$100,7,0),"")</f>
        <v/>
      </c>
      <c r="L81" s="44" t="n">
        <v>18.18</v>
      </c>
      <c r="M81" s="44" t="n">
        <v>5</v>
      </c>
      <c r="N81" s="139" t="n">
        <f aca="false">IFERROR(IF(L81*M81=0,"",L81*M81),"")</f>
        <v>90.9</v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142" t="n">
        <v>45870</v>
      </c>
      <c r="S81" s="110" t="s">
        <v>2751</v>
      </c>
      <c r="T81" s="46"/>
      <c r="U81" s="85"/>
      <c r="V81" s="46"/>
      <c r="W81" s="46"/>
      <c r="X81" s="46"/>
      <c r="Y81" s="85"/>
    </row>
    <row r="82" customFormat="false" ht="15.75" hidden="false" customHeight="true" outlineLevel="0" collapsed="false">
      <c r="A82" s="106" t="n">
        <v>77</v>
      </c>
      <c r="B82" s="107" t="s">
        <v>2490</v>
      </c>
      <c r="C82" s="106" t="s">
        <v>752</v>
      </c>
      <c r="D82" s="107" t="s">
        <v>2752</v>
      </c>
      <c r="E82" s="136" t="s">
        <v>99</v>
      </c>
      <c r="F82" s="106" t="s">
        <v>2753</v>
      </c>
      <c r="G82" s="137" t="n">
        <v>45826</v>
      </c>
      <c r="H82" s="106" t="s">
        <v>581</v>
      </c>
      <c r="I82" s="138" t="str">
        <f aca="false">IFERROR(VLOOKUP(TEXT(H82,"0"),IPRESS!$A$3:$B$212,2,0),"")</f>
        <v>PEDRO RUIZ GALLO</v>
      </c>
      <c r="J82" s="106" t="s">
        <v>755</v>
      </c>
      <c r="K82" s="138" t="str">
        <f aca="false">IFERROR(VLOOKUP(TEXT(O82,"0"),CONDUCTORES!$A$3:$G$100,7,0),"")</f>
        <v/>
      </c>
      <c r="L82" s="50" t="n">
        <v>18.18</v>
      </c>
      <c r="M82" s="50" t="n">
        <v>5</v>
      </c>
      <c r="N82" s="139" t="n">
        <f aca="false">IFERROR(IF(L82*M82=0,"",L82*M82),"")</f>
        <v>90.9</v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37" t="n">
        <v>45870</v>
      </c>
      <c r="S82" s="107" t="s">
        <v>2754</v>
      </c>
      <c r="T82" s="136"/>
      <c r="U82" s="140"/>
      <c r="V82" s="106"/>
      <c r="W82" s="106"/>
      <c r="X82" s="106"/>
      <c r="Y82" s="85"/>
    </row>
    <row r="83" customFormat="false" ht="15.75" hidden="false" customHeight="true" outlineLevel="0" collapsed="false">
      <c r="A83" s="46" t="n">
        <v>78</v>
      </c>
      <c r="B83" s="110" t="s">
        <v>2476</v>
      </c>
      <c r="C83" s="46" t="s">
        <v>752</v>
      </c>
      <c r="D83" s="110" t="s">
        <v>2755</v>
      </c>
      <c r="E83" s="46" t="s">
        <v>99</v>
      </c>
      <c r="F83" s="46" t="s">
        <v>2756</v>
      </c>
      <c r="G83" s="142" t="n">
        <v>45817</v>
      </c>
      <c r="H83" s="46" t="s">
        <v>581</v>
      </c>
      <c r="I83" s="138" t="str">
        <f aca="false">IFERROR(VLOOKUP(TEXT(H83,"0"),IPRESS!$A$3:$B$212,2,0),"")</f>
        <v>PEDRO RUIZ GALLO</v>
      </c>
      <c r="J83" s="46" t="s">
        <v>755</v>
      </c>
      <c r="K83" s="138" t="str">
        <f aca="false">IFERROR(VLOOKUP(TEXT(O83,"0"),CONDUCTORES!$A$3:$G$100,7,0),"")</f>
        <v/>
      </c>
      <c r="L83" s="44" t="n">
        <v>18.18</v>
      </c>
      <c r="M83" s="44" t="n">
        <v>5</v>
      </c>
      <c r="N83" s="139" t="n">
        <f aca="false">IFERROR(IF(L83*M83=0,"",L83*M83),"")</f>
        <v>90.9</v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142" t="n">
        <v>45870</v>
      </c>
      <c r="S83" s="110" t="s">
        <v>2757</v>
      </c>
      <c r="T83" s="46"/>
      <c r="U83" s="85"/>
      <c r="V83" s="46"/>
      <c r="W83" s="46"/>
      <c r="X83" s="46"/>
      <c r="Y83" s="85"/>
    </row>
    <row r="84" customFormat="false" ht="15.75" hidden="false" customHeight="true" outlineLevel="0" collapsed="false">
      <c r="A84" s="106" t="n">
        <v>79</v>
      </c>
      <c r="B84" s="107" t="s">
        <v>1380</v>
      </c>
      <c r="C84" s="106" t="s">
        <v>752</v>
      </c>
      <c r="D84" s="107" t="s">
        <v>2100</v>
      </c>
      <c r="E84" s="136" t="s">
        <v>99</v>
      </c>
      <c r="F84" s="106" t="s">
        <v>2101</v>
      </c>
      <c r="G84" s="137" t="n">
        <v>45824</v>
      </c>
      <c r="H84" s="106" t="s">
        <v>581</v>
      </c>
      <c r="I84" s="138" t="str">
        <f aca="false">IFERROR(VLOOKUP(TEXT(H84,"0"),IPRESS!$A$3:$B$212,2,0),"")</f>
        <v>PEDRO RUIZ GALLO</v>
      </c>
      <c r="J84" s="106" t="s">
        <v>755</v>
      </c>
      <c r="K84" s="138" t="str">
        <f aca="false">IFERROR(VLOOKUP(TEXT(O84,"0"),CONDUCTORES!$A$3:$G$100,7,0),"")</f>
        <v/>
      </c>
      <c r="L84" s="50" t="n">
        <v>18.18</v>
      </c>
      <c r="M84" s="50" t="n">
        <v>5</v>
      </c>
      <c r="N84" s="139" t="n">
        <f aca="false">IFERROR(IF(L84*M84=0,"",L84*M84),"")</f>
        <v>90.9</v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37" t="n">
        <v>45870</v>
      </c>
      <c r="S84" s="107" t="s">
        <v>2758</v>
      </c>
      <c r="T84" s="136"/>
      <c r="U84" s="140"/>
      <c r="V84" s="106"/>
      <c r="W84" s="106"/>
      <c r="X84" s="106"/>
      <c r="Y84" s="85"/>
    </row>
    <row r="85" customFormat="false" ht="15.75" hidden="false" customHeight="true" outlineLevel="0" collapsed="false">
      <c r="A85" s="46" t="n">
        <v>80</v>
      </c>
      <c r="B85" s="110" t="s">
        <v>2487</v>
      </c>
      <c r="C85" s="46" t="s">
        <v>752</v>
      </c>
      <c r="D85" s="110" t="s">
        <v>2759</v>
      </c>
      <c r="E85" s="46" t="s">
        <v>99</v>
      </c>
      <c r="F85" s="46" t="s">
        <v>2760</v>
      </c>
      <c r="G85" s="142" t="n">
        <v>45826</v>
      </c>
      <c r="H85" s="46" t="s">
        <v>581</v>
      </c>
      <c r="I85" s="138" t="str">
        <f aca="false">IFERROR(VLOOKUP(TEXT(H85,"0"),IPRESS!$A$3:$B$212,2,0),"")</f>
        <v>PEDRO RUIZ GALLO</v>
      </c>
      <c r="J85" s="46" t="s">
        <v>755</v>
      </c>
      <c r="K85" s="138" t="str">
        <f aca="false">IFERROR(VLOOKUP(TEXT(O85,"0"),CONDUCTORES!$A$3:$G$100,7,0),"")</f>
        <v/>
      </c>
      <c r="L85" s="44" t="n">
        <v>18.18</v>
      </c>
      <c r="M85" s="44" t="n">
        <v>5</v>
      </c>
      <c r="N85" s="139" t="n">
        <f aca="false">IFERROR(IF(L85*M85=0,"",L85*M85),"")</f>
        <v>90.9</v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142" t="n">
        <v>45870</v>
      </c>
      <c r="S85" s="110" t="s">
        <v>2761</v>
      </c>
      <c r="T85" s="46"/>
      <c r="U85" s="85"/>
      <c r="V85" s="46"/>
      <c r="W85" s="46"/>
      <c r="X85" s="46"/>
      <c r="Y85" s="85"/>
    </row>
    <row r="86" customFormat="false" ht="15.75" hidden="false" customHeight="true" outlineLevel="0" collapsed="false">
      <c r="A86" s="106" t="n">
        <v>81</v>
      </c>
      <c r="B86" s="107" t="s">
        <v>2494</v>
      </c>
      <c r="C86" s="106" t="s">
        <v>752</v>
      </c>
      <c r="D86" s="107" t="s">
        <v>2762</v>
      </c>
      <c r="E86" s="136" t="s">
        <v>99</v>
      </c>
      <c r="F86" s="106" t="s">
        <v>2763</v>
      </c>
      <c r="G86" s="137" t="n">
        <v>45831</v>
      </c>
      <c r="H86" s="106" t="s">
        <v>581</v>
      </c>
      <c r="I86" s="138" t="str">
        <f aca="false">IFERROR(VLOOKUP(TEXT(H86,"0"),IPRESS!$A$3:$B$212,2,0),"")</f>
        <v>PEDRO RUIZ GALLO</v>
      </c>
      <c r="J86" s="106" t="s">
        <v>755</v>
      </c>
      <c r="K86" s="138" t="str">
        <f aca="false">IFERROR(VLOOKUP(TEXT(O86,"0"),CONDUCTORES!$A$3:$G$100,7,0),"")</f>
        <v/>
      </c>
      <c r="L86" s="50" t="n">
        <v>18.18</v>
      </c>
      <c r="M86" s="50" t="n">
        <v>5</v>
      </c>
      <c r="N86" s="139" t="n">
        <f aca="false">IFERROR(IF(L86*M86=0,"",L86*M86),"")</f>
        <v>90.9</v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37" t="n">
        <v>45870</v>
      </c>
      <c r="S86" s="107" t="s">
        <v>1292</v>
      </c>
      <c r="T86" s="136"/>
      <c r="U86" s="140"/>
      <c r="V86" s="106"/>
      <c r="W86" s="106"/>
      <c r="X86" s="106"/>
      <c r="Y86" s="85"/>
    </row>
    <row r="87" customFormat="false" ht="15.75" hidden="false" customHeight="true" outlineLevel="0" collapsed="false">
      <c r="A87" s="46" t="n">
        <v>82</v>
      </c>
      <c r="B87" s="110" t="s">
        <v>1684</v>
      </c>
      <c r="C87" s="46" t="s">
        <v>752</v>
      </c>
      <c r="D87" s="110" t="s">
        <v>2764</v>
      </c>
      <c r="E87" s="46" t="s">
        <v>99</v>
      </c>
      <c r="F87" s="46" t="s">
        <v>2765</v>
      </c>
      <c r="G87" s="142" t="n">
        <v>45809</v>
      </c>
      <c r="H87" s="46" t="s">
        <v>595</v>
      </c>
      <c r="I87" s="138" t="str">
        <f aca="false">IFERROR(VLOOKUP(TEXT(H87,"0"),IPRESS!$A$3:$B$212,2,0),"")</f>
        <v>POMACOCHAS</v>
      </c>
      <c r="J87" s="46" t="s">
        <v>755</v>
      </c>
      <c r="K87" s="138" t="str">
        <f aca="false">IFERROR(VLOOKUP(TEXT(O87,"0"),CONDUCTORES!$A$3:$G$100,7,0),"")</f>
        <v/>
      </c>
      <c r="L87" s="44" t="n">
        <v>18.18</v>
      </c>
      <c r="M87" s="44" t="n">
        <v>8</v>
      </c>
      <c r="N87" s="139" t="n">
        <f aca="false">IFERROR(IF(L87*M87=0,"",L87*M87),"")</f>
        <v>145.44</v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142" t="n">
        <v>45826</v>
      </c>
      <c r="S87" s="110" t="s">
        <v>2766</v>
      </c>
      <c r="T87" s="46"/>
      <c r="U87" s="85"/>
      <c r="V87" s="46"/>
      <c r="W87" s="46"/>
      <c r="X87" s="46"/>
      <c r="Y87" s="85"/>
    </row>
    <row r="88" customFormat="false" ht="15.75" hidden="false" customHeight="true" outlineLevel="0" collapsed="false">
      <c r="A88" s="106" t="n">
        <v>83</v>
      </c>
      <c r="B88" s="107" t="s">
        <v>896</v>
      </c>
      <c r="C88" s="106" t="s">
        <v>752</v>
      </c>
      <c r="D88" s="107" t="s">
        <v>2767</v>
      </c>
      <c r="E88" s="136" t="s">
        <v>99</v>
      </c>
      <c r="F88" s="106" t="s">
        <v>2768</v>
      </c>
      <c r="G88" s="137" t="n">
        <v>45819</v>
      </c>
      <c r="H88" s="106" t="s">
        <v>595</v>
      </c>
      <c r="I88" s="138" t="str">
        <f aca="false">IFERROR(VLOOKUP(TEXT(H88,"0"),IPRESS!$A$3:$B$212,2,0),"")</f>
        <v>POMACOCHAS</v>
      </c>
      <c r="J88" s="106" t="s">
        <v>755</v>
      </c>
      <c r="K88" s="138" t="str">
        <f aca="false">IFERROR(VLOOKUP(TEXT(O88,"0"),CONDUCTORES!$A$3:$G$100,7,0),"")</f>
        <v/>
      </c>
      <c r="L88" s="50" t="n">
        <v>18.18</v>
      </c>
      <c r="M88" s="50" t="n">
        <v>8</v>
      </c>
      <c r="N88" s="139" t="n">
        <f aca="false">IFERROR(IF(L88*M88=0,"",L88*M88),"")</f>
        <v>145.44</v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37" t="n">
        <v>45874</v>
      </c>
      <c r="S88" s="107" t="s">
        <v>2769</v>
      </c>
      <c r="T88" s="136"/>
      <c r="U88" s="140"/>
      <c r="V88" s="106" t="s">
        <v>2770</v>
      </c>
      <c r="W88" s="106" t="s">
        <v>2771</v>
      </c>
      <c r="X88" s="106" t="s">
        <v>2649</v>
      </c>
      <c r="Y88" s="85"/>
    </row>
    <row r="89" customFormat="false" ht="15.75" hidden="false" customHeight="true" outlineLevel="0" collapsed="false">
      <c r="A89" s="46" t="n">
        <v>84</v>
      </c>
      <c r="B89" s="110" t="s">
        <v>2093</v>
      </c>
      <c r="C89" s="46" t="s">
        <v>752</v>
      </c>
      <c r="D89" s="110" t="s">
        <v>2458</v>
      </c>
      <c r="E89" s="46" t="s">
        <v>99</v>
      </c>
      <c r="F89" s="46" t="s">
        <v>2459</v>
      </c>
      <c r="G89" s="142" t="n">
        <v>45826</v>
      </c>
      <c r="H89" s="46" t="s">
        <v>595</v>
      </c>
      <c r="I89" s="138" t="str">
        <f aca="false">IFERROR(VLOOKUP(TEXT(H89,"0"),IPRESS!$A$3:$B$212,2,0),"")</f>
        <v>POMACOCHAS</v>
      </c>
      <c r="J89" s="46" t="s">
        <v>755</v>
      </c>
      <c r="K89" s="138" t="str">
        <f aca="false">IFERROR(VLOOKUP(TEXT(O89,"0"),CONDUCTORES!$A$3:$G$100,7,0),"")</f>
        <v/>
      </c>
      <c r="L89" s="44" t="n">
        <v>18.18</v>
      </c>
      <c r="M89" s="44" t="n">
        <v>8</v>
      </c>
      <c r="N89" s="139" t="n">
        <f aca="false">IFERROR(IF(L89*M89=0,"",L89*M89),"")</f>
        <v>145.44</v>
      </c>
      <c r="O89" s="140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142" t="n">
        <v>45874</v>
      </c>
      <c r="S89" s="110" t="s">
        <v>2772</v>
      </c>
      <c r="T89" s="46"/>
      <c r="U89" s="85"/>
      <c r="V89" s="46" t="s">
        <v>2770</v>
      </c>
      <c r="W89" s="46" t="s">
        <v>2771</v>
      </c>
      <c r="X89" s="46" t="s">
        <v>2649</v>
      </c>
      <c r="Y89" s="85"/>
    </row>
    <row r="90" customFormat="false" ht="15.75" hidden="false" customHeight="true" outlineLevel="0" collapsed="false">
      <c r="A90" s="106" t="n">
        <v>85</v>
      </c>
      <c r="B90" s="107" t="s">
        <v>1319</v>
      </c>
      <c r="C90" s="106" t="s">
        <v>752</v>
      </c>
      <c r="D90" s="107" t="s">
        <v>2773</v>
      </c>
      <c r="E90" s="136" t="s">
        <v>99</v>
      </c>
      <c r="F90" s="106" t="s">
        <v>2774</v>
      </c>
      <c r="G90" s="137" t="n">
        <v>45835</v>
      </c>
      <c r="H90" s="106" t="s">
        <v>595</v>
      </c>
      <c r="I90" s="138" t="str">
        <f aca="false">IFERROR(VLOOKUP(TEXT(H90,"0"),IPRESS!$A$3:$B$212,2,0),"")</f>
        <v>POMACOCHAS</v>
      </c>
      <c r="J90" s="106" t="s">
        <v>755</v>
      </c>
      <c r="K90" s="138" t="str">
        <f aca="false">IFERROR(VLOOKUP(TEXT(O90,"0"),CONDUCTORES!$A$3:$G$100,7,0),"")</f>
        <v/>
      </c>
      <c r="L90" s="50" t="n">
        <v>18.18</v>
      </c>
      <c r="M90" s="50" t="n">
        <v>8</v>
      </c>
      <c r="N90" s="139" t="n">
        <f aca="false">IFERROR(IF(L90*M90=0,"",L90*M90),"")</f>
        <v>145.44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37" t="n">
        <v>45874</v>
      </c>
      <c r="S90" s="107" t="s">
        <v>2766</v>
      </c>
      <c r="T90" s="136"/>
      <c r="U90" s="140"/>
      <c r="V90" s="106" t="s">
        <v>2770</v>
      </c>
      <c r="W90" s="106" t="s">
        <v>2771</v>
      </c>
      <c r="X90" s="106" t="s">
        <v>2649</v>
      </c>
      <c r="Y90" s="85"/>
    </row>
    <row r="91" customFormat="false" ht="15.75" hidden="false" customHeight="true" outlineLevel="0" collapsed="false">
      <c r="A91" s="46" t="n">
        <v>86</v>
      </c>
      <c r="B91" s="110" t="s">
        <v>1321</v>
      </c>
      <c r="C91" s="46" t="s">
        <v>752</v>
      </c>
      <c r="D91" s="110" t="s">
        <v>2775</v>
      </c>
      <c r="E91" s="46" t="s">
        <v>99</v>
      </c>
      <c r="F91" s="46" t="s">
        <v>2776</v>
      </c>
      <c r="G91" s="142" t="n">
        <v>45838</v>
      </c>
      <c r="H91" s="46" t="s">
        <v>595</v>
      </c>
      <c r="I91" s="138" t="str">
        <f aca="false">IFERROR(VLOOKUP(TEXT(H91,"0"),IPRESS!$A$3:$B$212,2,0),"")</f>
        <v>POMACOCHAS</v>
      </c>
      <c r="J91" s="46" t="s">
        <v>755</v>
      </c>
      <c r="K91" s="138" t="str">
        <f aca="false">IFERROR(VLOOKUP(TEXT(O91,"0"),CONDUCTORES!$A$3:$G$100,7,0),"")</f>
        <v/>
      </c>
      <c r="L91" s="44" t="n">
        <v>18.18</v>
      </c>
      <c r="M91" s="44" t="n">
        <v>8</v>
      </c>
      <c r="N91" s="139" t="n">
        <f aca="false">IFERROR(IF(L91*M91=0,"",L91*M91),"")</f>
        <v>145.44</v>
      </c>
      <c r="O91" s="140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142" t="n">
        <v>45874</v>
      </c>
      <c r="S91" s="110" t="s">
        <v>2777</v>
      </c>
      <c r="T91" s="46"/>
      <c r="U91" s="85"/>
      <c r="V91" s="46" t="s">
        <v>2770</v>
      </c>
      <c r="W91" s="46" t="s">
        <v>2771</v>
      </c>
      <c r="X91" s="46" t="s">
        <v>2649</v>
      </c>
      <c r="Y91" s="85"/>
    </row>
    <row r="92" customFormat="false" ht="15.75" hidden="false" customHeight="true" outlineLevel="0" collapsed="false">
      <c r="A92" s="106" t="n">
        <v>87</v>
      </c>
      <c r="B92" s="107" t="s">
        <v>2090</v>
      </c>
      <c r="C92" s="106" t="s">
        <v>752</v>
      </c>
      <c r="D92" s="107" t="s">
        <v>2778</v>
      </c>
      <c r="E92" s="136" t="s">
        <v>99</v>
      </c>
      <c r="F92" s="106" t="s">
        <v>2779</v>
      </c>
      <c r="G92" s="137" t="n">
        <v>45825</v>
      </c>
      <c r="H92" s="106" t="s">
        <v>595</v>
      </c>
      <c r="I92" s="138" t="str">
        <f aca="false">IFERROR(VLOOKUP(TEXT(H92,"0"),IPRESS!$A$3:$B$212,2,0),"")</f>
        <v>POMACOCHAS</v>
      </c>
      <c r="J92" s="106" t="s">
        <v>755</v>
      </c>
      <c r="K92" s="138" t="str">
        <f aca="false">IFERROR(VLOOKUP(TEXT(O92,"0"),CONDUCTORES!$A$3:$G$100,7,0),"")</f>
        <v/>
      </c>
      <c r="L92" s="50" t="n">
        <v>18.18</v>
      </c>
      <c r="M92" s="50" t="n">
        <v>8</v>
      </c>
      <c r="N92" s="139" t="n">
        <f aca="false">IFERROR(IF(L92*M92=0,"",L92*M92),"")</f>
        <v>145.44</v>
      </c>
      <c r="O92" s="85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37" t="n">
        <v>45874</v>
      </c>
      <c r="S92" s="107" t="s">
        <v>2718</v>
      </c>
      <c r="T92" s="136"/>
      <c r="U92" s="140"/>
      <c r="V92" s="106" t="s">
        <v>2770</v>
      </c>
      <c r="W92" s="106" t="s">
        <v>2771</v>
      </c>
      <c r="X92" s="106" t="s">
        <v>2649</v>
      </c>
      <c r="Y92" s="85"/>
    </row>
    <row r="93" customFormat="false" ht="15.75" hidden="false" customHeight="true" outlineLevel="0" collapsed="false">
      <c r="A93" s="46" t="n">
        <v>88</v>
      </c>
      <c r="B93" s="110" t="s">
        <v>1807</v>
      </c>
      <c r="C93" s="46" t="s">
        <v>752</v>
      </c>
      <c r="D93" s="110" t="s">
        <v>2780</v>
      </c>
      <c r="E93" s="46" t="s">
        <v>99</v>
      </c>
      <c r="F93" s="46" t="s">
        <v>2781</v>
      </c>
      <c r="G93" s="142" t="n">
        <v>45815</v>
      </c>
      <c r="H93" s="46" t="s">
        <v>595</v>
      </c>
      <c r="I93" s="138" t="str">
        <f aca="false">IFERROR(VLOOKUP(TEXT(H93,"0"),IPRESS!$A$3:$B$212,2,0),"")</f>
        <v>POMACOCHAS</v>
      </c>
      <c r="J93" s="46" t="s">
        <v>755</v>
      </c>
      <c r="K93" s="138" t="str">
        <f aca="false">IFERROR(VLOOKUP(TEXT(O93,"0"),CONDUCTORES!$A$3:$G$100,7,0),"")</f>
        <v/>
      </c>
      <c r="L93" s="44" t="n">
        <v>18.18</v>
      </c>
      <c r="M93" s="44" t="n">
        <v>8</v>
      </c>
      <c r="N93" s="139" t="n">
        <f aca="false">IFERROR(IF(L93*M93=0,"",L93*M93),"")</f>
        <v>145.44</v>
      </c>
      <c r="O93" s="140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142" t="n">
        <v>45874</v>
      </c>
      <c r="S93" s="110" t="s">
        <v>2782</v>
      </c>
      <c r="T93" s="46"/>
      <c r="U93" s="85"/>
      <c r="V93" s="46" t="s">
        <v>2770</v>
      </c>
      <c r="W93" s="46" t="s">
        <v>2771</v>
      </c>
      <c r="X93" s="46" t="s">
        <v>2649</v>
      </c>
      <c r="Y93" s="85"/>
    </row>
    <row r="94" customFormat="false" ht="15.75" hidden="false" customHeight="true" outlineLevel="0" collapsed="false">
      <c r="A94" s="106" t="n">
        <v>89</v>
      </c>
      <c r="B94" s="107" t="s">
        <v>2087</v>
      </c>
      <c r="C94" s="106" t="s">
        <v>752</v>
      </c>
      <c r="D94" s="107" t="s">
        <v>2783</v>
      </c>
      <c r="E94" s="136" t="s">
        <v>99</v>
      </c>
      <c r="F94" s="106" t="s">
        <v>2784</v>
      </c>
      <c r="G94" s="137" t="n">
        <v>45820</v>
      </c>
      <c r="H94" s="106" t="s">
        <v>595</v>
      </c>
      <c r="I94" s="138" t="str">
        <f aca="false">IFERROR(VLOOKUP(TEXT(H94,"0"),IPRESS!$A$3:$B$212,2,0),"")</f>
        <v>POMACOCHAS</v>
      </c>
      <c r="J94" s="106" t="s">
        <v>755</v>
      </c>
      <c r="K94" s="138" t="str">
        <f aca="false">IFERROR(VLOOKUP(TEXT(O94,"0"),CONDUCTORES!$A$3:$G$100,7,0),"")</f>
        <v/>
      </c>
      <c r="L94" s="50" t="n">
        <v>18.18</v>
      </c>
      <c r="M94" s="50" t="n">
        <v>8</v>
      </c>
      <c r="N94" s="139" t="n">
        <f aca="false">IFERROR(IF(L94*M94=0,"",L94*M94),"")</f>
        <v>145.44</v>
      </c>
      <c r="O94" s="85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37" t="n">
        <v>45874</v>
      </c>
      <c r="S94" s="107" t="s">
        <v>2785</v>
      </c>
      <c r="T94" s="136"/>
      <c r="U94" s="140"/>
      <c r="V94" s="106" t="s">
        <v>2770</v>
      </c>
      <c r="W94" s="106" t="s">
        <v>2771</v>
      </c>
      <c r="X94" s="106" t="s">
        <v>2649</v>
      </c>
      <c r="Y94" s="85"/>
    </row>
    <row r="95" customFormat="false" ht="15.75" hidden="false" customHeight="true" outlineLevel="0" collapsed="false">
      <c r="A95" s="46" t="n">
        <v>90</v>
      </c>
      <c r="B95" s="110" t="s">
        <v>1329</v>
      </c>
      <c r="C95" s="46" t="s">
        <v>752</v>
      </c>
      <c r="D95" s="110" t="s">
        <v>2786</v>
      </c>
      <c r="E95" s="46" t="s">
        <v>99</v>
      </c>
      <c r="F95" s="46" t="s">
        <v>2787</v>
      </c>
      <c r="G95" s="142" t="n">
        <v>45828</v>
      </c>
      <c r="H95" s="46" t="s">
        <v>595</v>
      </c>
      <c r="I95" s="138" t="str">
        <f aca="false">IFERROR(VLOOKUP(TEXT(H95,"0"),IPRESS!$A$3:$B$212,2,0),"")</f>
        <v>POMACOCHAS</v>
      </c>
      <c r="J95" s="46" t="s">
        <v>755</v>
      </c>
      <c r="K95" s="138" t="str">
        <f aca="false">IFERROR(VLOOKUP(TEXT(O95,"0"),CONDUCTORES!$A$3:$G$100,7,0),"")</f>
        <v/>
      </c>
      <c r="L95" s="44" t="n">
        <v>18.18</v>
      </c>
      <c r="M95" s="44" t="n">
        <v>8</v>
      </c>
      <c r="N95" s="139" t="n">
        <f aca="false">IFERROR(IF(L95*M95=0,"",L95*M95),"")</f>
        <v>145.44</v>
      </c>
      <c r="O95" s="140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142" t="n">
        <v>45874</v>
      </c>
      <c r="S95" s="110" t="s">
        <v>2788</v>
      </c>
      <c r="T95" s="46"/>
      <c r="U95" s="85"/>
      <c r="V95" s="46" t="s">
        <v>2770</v>
      </c>
      <c r="W95" s="46" t="s">
        <v>2771</v>
      </c>
      <c r="X95" s="46" t="s">
        <v>2649</v>
      </c>
      <c r="Y95" s="85"/>
    </row>
    <row r="96" customFormat="false" ht="15.75" hidden="false" customHeight="true" outlineLevel="0" collapsed="false">
      <c r="A96" s="106" t="n">
        <v>91</v>
      </c>
      <c r="B96" s="107" t="s">
        <v>919</v>
      </c>
      <c r="C96" s="106" t="s">
        <v>752</v>
      </c>
      <c r="D96" s="107" t="s">
        <v>2789</v>
      </c>
      <c r="E96" s="136" t="s">
        <v>99</v>
      </c>
      <c r="F96" s="106" t="s">
        <v>2790</v>
      </c>
      <c r="G96" s="137" t="n">
        <v>45809</v>
      </c>
      <c r="H96" s="106" t="s">
        <v>645</v>
      </c>
      <c r="I96" s="138" t="str">
        <f aca="false">IFERROR(VLOOKUP(TEXT(H96,"0"),IPRESS!$A$3:$B$212,2,0),"")</f>
        <v>SAN JUAN DE OCUMAL</v>
      </c>
      <c r="J96" s="106" t="s">
        <v>755</v>
      </c>
      <c r="K96" s="138" t="str">
        <f aca="false">IFERROR(VLOOKUP(TEXT(O96,"0"),CONDUCTORES!$A$3:$G$100,7,0),"")</f>
        <v/>
      </c>
      <c r="L96" s="50" t="n">
        <v>18.18</v>
      </c>
      <c r="M96" s="50" t="n">
        <v>20</v>
      </c>
      <c r="N96" s="139" t="n">
        <f aca="false">IFERROR(IF(L96*M96=0,"",L96*M96),"")</f>
        <v>363.6</v>
      </c>
      <c r="O96" s="85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37" t="n">
        <v>45996</v>
      </c>
      <c r="S96" s="107" t="s">
        <v>2791</v>
      </c>
      <c r="T96" s="136" t="s">
        <v>2792</v>
      </c>
      <c r="U96" s="140"/>
      <c r="V96" s="106"/>
      <c r="W96" s="106"/>
      <c r="X96" s="106"/>
      <c r="Y96" s="85"/>
    </row>
    <row r="97" customFormat="false" ht="15.75" hidden="false" customHeight="true" outlineLevel="0" collapsed="false">
      <c r="A97" s="46" t="n">
        <v>92</v>
      </c>
      <c r="B97" s="110" t="s">
        <v>926</v>
      </c>
      <c r="C97" s="46" t="s">
        <v>752</v>
      </c>
      <c r="D97" s="110" t="s">
        <v>2793</v>
      </c>
      <c r="E97" s="46" t="s">
        <v>99</v>
      </c>
      <c r="F97" s="46" t="s">
        <v>2794</v>
      </c>
      <c r="G97" s="142" t="n">
        <v>45830</v>
      </c>
      <c r="H97" s="46" t="s">
        <v>645</v>
      </c>
      <c r="I97" s="138" t="str">
        <f aca="false">IFERROR(VLOOKUP(TEXT(H97,"0"),IPRESS!$A$3:$B$212,2,0),"")</f>
        <v>SAN JUAN DE OCUMAL</v>
      </c>
      <c r="J97" s="46" t="s">
        <v>755</v>
      </c>
      <c r="K97" s="138" t="str">
        <f aca="false">IFERROR(VLOOKUP(TEXT(O97,"0"),CONDUCTORES!$A$3:$G$100,7,0),"")</f>
        <v/>
      </c>
      <c r="L97" s="44" t="n">
        <v>18.18</v>
      </c>
      <c r="M97" s="44" t="n">
        <v>20</v>
      </c>
      <c r="N97" s="139" t="n">
        <f aca="false">IFERROR(IF(L97*M97=0,"",L97*M97),"")</f>
        <v>363.6</v>
      </c>
      <c r="O97" s="140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142" t="n">
        <v>45996</v>
      </c>
      <c r="S97" s="110" t="s">
        <v>2795</v>
      </c>
      <c r="T97" s="46" t="s">
        <v>2792</v>
      </c>
      <c r="U97" s="85"/>
      <c r="V97" s="46"/>
      <c r="W97" s="46"/>
      <c r="X97" s="46"/>
      <c r="Y97" s="85"/>
    </row>
    <row r="98" customFormat="false" ht="15.75" hidden="false" customHeight="true" outlineLevel="0" collapsed="false">
      <c r="A98" s="106" t="n">
        <v>93</v>
      </c>
      <c r="B98" s="107" t="s">
        <v>818</v>
      </c>
      <c r="C98" s="106" t="s">
        <v>752</v>
      </c>
      <c r="D98" s="107" t="s">
        <v>2796</v>
      </c>
      <c r="E98" s="136" t="s">
        <v>99</v>
      </c>
      <c r="F98" s="106" t="s">
        <v>2797</v>
      </c>
      <c r="G98" s="137" t="n">
        <v>45827</v>
      </c>
      <c r="H98" s="106" t="s">
        <v>645</v>
      </c>
      <c r="I98" s="138" t="str">
        <f aca="false">IFERROR(VLOOKUP(TEXT(H98,"0"),IPRESS!$A$3:$B$212,2,0),"")</f>
        <v>SAN JUAN DE OCUMAL</v>
      </c>
      <c r="J98" s="106" t="s">
        <v>755</v>
      </c>
      <c r="K98" s="138" t="str">
        <f aca="false">IFERROR(VLOOKUP(TEXT(O98,"0"),CONDUCTORES!$A$3:$G$100,7,0),"")</f>
        <v/>
      </c>
      <c r="L98" s="50" t="n">
        <v>18.18</v>
      </c>
      <c r="M98" s="50" t="n">
        <v>20</v>
      </c>
      <c r="N98" s="139" t="n">
        <f aca="false">IFERROR(IF(L98*M98=0,"",L98*M98),"")</f>
        <v>363.6</v>
      </c>
      <c r="O98" s="85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37" t="n">
        <v>45996</v>
      </c>
      <c r="S98" s="107" t="s">
        <v>2798</v>
      </c>
      <c r="T98" s="136" t="s">
        <v>2792</v>
      </c>
      <c r="U98" s="140"/>
      <c r="V98" s="106"/>
      <c r="W98" s="106"/>
      <c r="X98" s="106"/>
      <c r="Y98" s="85"/>
    </row>
    <row r="99" customFormat="false" ht="15.75" hidden="false" customHeight="true" outlineLevel="0" collapsed="false">
      <c r="A99" s="46" t="n">
        <v>94</v>
      </c>
      <c r="B99" s="110" t="s">
        <v>818</v>
      </c>
      <c r="C99" s="46" t="s">
        <v>752</v>
      </c>
      <c r="D99" s="110" t="s">
        <v>2799</v>
      </c>
      <c r="E99" s="46" t="s">
        <v>99</v>
      </c>
      <c r="F99" s="46" t="s">
        <v>2800</v>
      </c>
      <c r="G99" s="142" t="n">
        <v>45821</v>
      </c>
      <c r="H99" s="46" t="s">
        <v>659</v>
      </c>
      <c r="I99" s="138" t="str">
        <f aca="false">IFERROR(VLOOKUP(TEXT(H99,"0"),IPRESS!$A$3:$B$212,2,0),"")</f>
        <v>SAN SALVADOR</v>
      </c>
      <c r="J99" s="46" t="s">
        <v>755</v>
      </c>
      <c r="K99" s="138" t="str">
        <f aca="false">IFERROR(VLOOKUP(TEXT(O99,"0"),CONDUCTORES!$A$3:$G$100,7,0),"")</f>
        <v/>
      </c>
      <c r="L99" s="44" t="n">
        <v>18.18</v>
      </c>
      <c r="M99" s="44" t="n">
        <v>10</v>
      </c>
      <c r="N99" s="139" t="n">
        <f aca="false">IFERROR(IF(L99*M99=0,"",L99*M99),"")</f>
        <v>181.8</v>
      </c>
      <c r="O99" s="140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142" t="n">
        <v>45939</v>
      </c>
      <c r="S99" s="110" t="s">
        <v>2801</v>
      </c>
      <c r="T99" s="46"/>
      <c r="U99" s="85"/>
      <c r="V99" s="46"/>
      <c r="W99" s="46"/>
      <c r="X99" s="46"/>
      <c r="Y99" s="85"/>
    </row>
    <row r="100" customFormat="false" ht="15.75" hidden="false" customHeight="true" outlineLevel="0" collapsed="false">
      <c r="A100" s="106" t="n">
        <v>95</v>
      </c>
      <c r="B100" s="107" t="s">
        <v>866</v>
      </c>
      <c r="C100" s="106" t="s">
        <v>752</v>
      </c>
      <c r="D100" s="107" t="s">
        <v>2160</v>
      </c>
      <c r="E100" s="136" t="s">
        <v>99</v>
      </c>
      <c r="F100" s="106" t="s">
        <v>2161</v>
      </c>
      <c r="G100" s="137" t="n">
        <v>45811</v>
      </c>
      <c r="H100" s="106" t="s">
        <v>692</v>
      </c>
      <c r="I100" s="138" t="str">
        <f aca="false">IFERROR(VLOOKUP(TEXT(H100,"0"),IPRESS!$A$3:$B$212,2,0),"")</f>
        <v>TINGO</v>
      </c>
      <c r="J100" s="106" t="s">
        <v>755</v>
      </c>
      <c r="K100" s="138" t="str">
        <f aca="false">IFERROR(VLOOKUP(TEXT(O100,"0"),CONDUCTORES!$A$3:$G$100,7,0),"")</f>
        <v/>
      </c>
      <c r="L100" s="50" t="n">
        <v>18.18</v>
      </c>
      <c r="M100" s="50" t="n">
        <v>5</v>
      </c>
      <c r="N100" s="139" t="n">
        <f aca="false">IFERROR(IF(L100*M100=0,"",L100*M100),"")</f>
        <v>90.9</v>
      </c>
      <c r="O100" s="85"/>
      <c r="P100" s="138" t="str">
        <f aca="false">IFERROR(VLOOKUP(TEXT(O100,"0"),CONDUCTORES!$A$3:$G$100,2,0),"")</f>
        <v/>
      </c>
      <c r="Q100" s="138" t="str">
        <f aca="false">IFERROR(VLOOKUP(TEXT(O100,"0"),CONDUCTORES!$A$3:$H$100,6,0),"")</f>
        <v/>
      </c>
      <c r="R100" s="137" t="n">
        <v>45939</v>
      </c>
      <c r="S100" s="107" t="s">
        <v>2802</v>
      </c>
      <c r="T100" s="136"/>
      <c r="U100" s="140"/>
      <c r="V100" s="106"/>
      <c r="W100" s="106"/>
      <c r="X100" s="106"/>
      <c r="Y100" s="85"/>
    </row>
    <row r="101" customFormat="false" ht="15.75" hidden="false" customHeight="true" outlineLevel="0" collapsed="false">
      <c r="A101" s="46" t="n">
        <v>96</v>
      </c>
      <c r="B101" s="110" t="s">
        <v>873</v>
      </c>
      <c r="C101" s="46" t="s">
        <v>752</v>
      </c>
      <c r="D101" s="110" t="s">
        <v>2803</v>
      </c>
      <c r="E101" s="46" t="s">
        <v>99</v>
      </c>
      <c r="F101" s="46" t="s">
        <v>2804</v>
      </c>
      <c r="G101" s="142" t="n">
        <v>45811</v>
      </c>
      <c r="H101" s="46" t="s">
        <v>692</v>
      </c>
      <c r="I101" s="138" t="str">
        <f aca="false">IFERROR(VLOOKUP(TEXT(H101,"0"),IPRESS!$A$3:$B$212,2,0),"")</f>
        <v>TINGO</v>
      </c>
      <c r="J101" s="46" t="s">
        <v>755</v>
      </c>
      <c r="K101" s="138" t="str">
        <f aca="false">IFERROR(VLOOKUP(TEXT(O101,"0"),CONDUCTORES!$A$3:$G$100,7,0),"")</f>
        <v/>
      </c>
      <c r="L101" s="44" t="n">
        <v>18.18</v>
      </c>
      <c r="M101" s="44" t="n">
        <v>5</v>
      </c>
      <c r="N101" s="139" t="n">
        <f aca="false">IFERROR(IF(L101*M101=0,"",L101*M101),"")</f>
        <v>90.9</v>
      </c>
      <c r="O101" s="140"/>
      <c r="P101" s="138" t="str">
        <f aca="false">IFERROR(VLOOKUP(TEXT(O101,"0"),CONDUCTORES!$A$3:$G$100,2,0),"")</f>
        <v/>
      </c>
      <c r="Q101" s="138" t="str">
        <f aca="false">IFERROR(VLOOKUP(TEXT(O101,"0"),CONDUCTORES!$A$3:$H$100,6,0),"")</f>
        <v/>
      </c>
      <c r="R101" s="142" t="n">
        <v>45939</v>
      </c>
      <c r="S101" s="110" t="s">
        <v>2805</v>
      </c>
      <c r="T101" s="46"/>
      <c r="U101" s="85"/>
      <c r="V101" s="46"/>
      <c r="W101" s="46"/>
      <c r="X101" s="46"/>
      <c r="Y101" s="85"/>
    </row>
    <row r="102" customFormat="false" ht="15.75" hidden="false" customHeight="true" outlineLevel="0" collapsed="false">
      <c r="A102" s="106" t="n">
        <v>97</v>
      </c>
      <c r="B102" s="107" t="s">
        <v>1262</v>
      </c>
      <c r="C102" s="106" t="s">
        <v>752</v>
      </c>
      <c r="D102" s="107" t="s">
        <v>2806</v>
      </c>
      <c r="E102" s="136" t="s">
        <v>99</v>
      </c>
      <c r="F102" s="106" t="s">
        <v>2807</v>
      </c>
      <c r="G102" s="137" t="n">
        <v>45818</v>
      </c>
      <c r="H102" s="106" t="s">
        <v>692</v>
      </c>
      <c r="I102" s="138" t="str">
        <f aca="false">IFERROR(VLOOKUP(TEXT(H102,"0"),IPRESS!$A$3:$B$212,2,0),"")</f>
        <v>TINGO</v>
      </c>
      <c r="J102" s="106" t="s">
        <v>755</v>
      </c>
      <c r="K102" s="138" t="str">
        <f aca="false">IFERROR(VLOOKUP(TEXT(O102,"0"),CONDUCTORES!$A$3:$G$100,7,0),"")</f>
        <v/>
      </c>
      <c r="L102" s="50" t="n">
        <v>18.18</v>
      </c>
      <c r="M102" s="50" t="n">
        <v>5</v>
      </c>
      <c r="N102" s="139" t="n">
        <f aca="false">IFERROR(IF(L102*M102=0,"",L102*M102),"")</f>
        <v>90.9</v>
      </c>
      <c r="O102" s="85"/>
      <c r="P102" s="138" t="str">
        <f aca="false">IFERROR(VLOOKUP(TEXT(O102,"0"),CONDUCTORES!$A$3:$G$100,2,0),"")</f>
        <v/>
      </c>
      <c r="Q102" s="138" t="str">
        <f aca="false">IFERROR(VLOOKUP(TEXT(O102,"0"),CONDUCTORES!$A$3:$H$100,6,0),"")</f>
        <v/>
      </c>
      <c r="R102" s="137" t="n">
        <v>45939</v>
      </c>
      <c r="S102" s="107" t="s">
        <v>2808</v>
      </c>
      <c r="T102" s="136"/>
      <c r="U102" s="140"/>
      <c r="V102" s="106"/>
      <c r="W102" s="106"/>
      <c r="X102" s="106"/>
      <c r="Y102" s="85"/>
    </row>
    <row r="103" customFormat="false" ht="15.75" hidden="false" customHeight="true" outlineLevel="0" collapsed="false">
      <c r="A103" s="46" t="n">
        <v>98</v>
      </c>
      <c r="B103" s="110" t="s">
        <v>1202</v>
      </c>
      <c r="C103" s="46" t="s">
        <v>752</v>
      </c>
      <c r="D103" s="110" t="s">
        <v>2809</v>
      </c>
      <c r="E103" s="46" t="s">
        <v>99</v>
      </c>
      <c r="F103" s="46" t="s">
        <v>2810</v>
      </c>
      <c r="G103" s="142" t="n">
        <v>45822</v>
      </c>
      <c r="H103" s="46" t="s">
        <v>692</v>
      </c>
      <c r="I103" s="138" t="str">
        <f aca="false">IFERROR(VLOOKUP(TEXT(H103,"0"),IPRESS!$A$3:$B$212,2,0),"")</f>
        <v>TINGO</v>
      </c>
      <c r="J103" s="46" t="s">
        <v>755</v>
      </c>
      <c r="K103" s="138" t="str">
        <f aca="false">IFERROR(VLOOKUP(TEXT(O103,"0"),CONDUCTORES!$A$3:$G$100,7,0),"")</f>
        <v/>
      </c>
      <c r="L103" s="44" t="n">
        <v>18.18</v>
      </c>
      <c r="M103" s="44" t="n">
        <v>5</v>
      </c>
      <c r="N103" s="139" t="n">
        <f aca="false">IFERROR(IF(L103*M103=0,"",L103*M103),"")</f>
        <v>90.9</v>
      </c>
      <c r="O103" s="140"/>
      <c r="P103" s="138" t="str">
        <f aca="false">IFERROR(VLOOKUP(TEXT(O103,"0"),CONDUCTORES!$A$3:$G$100,2,0),"")</f>
        <v/>
      </c>
      <c r="Q103" s="138" t="str">
        <f aca="false">IFERROR(VLOOKUP(TEXT(O103,"0"),CONDUCTORES!$A$3:$H$100,6,0),"")</f>
        <v/>
      </c>
      <c r="R103" s="142" t="n">
        <v>45939</v>
      </c>
      <c r="S103" s="110" t="s">
        <v>2805</v>
      </c>
      <c r="T103" s="46"/>
      <c r="U103" s="85"/>
      <c r="V103" s="46"/>
      <c r="W103" s="46"/>
      <c r="X103" s="46"/>
      <c r="Y103" s="85"/>
    </row>
    <row r="104" customFormat="false" ht="15.75" hidden="false" customHeight="true" outlineLevel="0" collapsed="false">
      <c r="A104" s="106" t="n">
        <v>99</v>
      </c>
      <c r="B104" s="107" t="s">
        <v>787</v>
      </c>
      <c r="C104" s="106" t="s">
        <v>752</v>
      </c>
      <c r="D104" s="107" t="s">
        <v>2625</v>
      </c>
      <c r="E104" s="136" t="s">
        <v>99</v>
      </c>
      <c r="F104" s="106" t="s">
        <v>2626</v>
      </c>
      <c r="G104" s="137" t="n">
        <v>45838</v>
      </c>
      <c r="H104" s="106" t="s">
        <v>695</v>
      </c>
      <c r="I104" s="138" t="str">
        <f aca="false">IFERROR(VLOOKUP(TEXT(H104,"0"),IPRESS!$A$3:$B$212,2,0),"")</f>
        <v>TOCUYA</v>
      </c>
      <c r="J104" s="106" t="s">
        <v>529</v>
      </c>
      <c r="K104" s="138" t="str">
        <f aca="false">IFERROR(VLOOKUP(TEXT(O104,"0"),CONDUCTORES!$A$3:$G$100,7,0),"")</f>
        <v/>
      </c>
      <c r="L104" s="50" t="n">
        <v>20.25</v>
      </c>
      <c r="M104" s="50" t="n">
        <v>6</v>
      </c>
      <c r="N104" s="139" t="n">
        <f aca="false">IFERROR(IF(L104*M104=0,"",L104*M104),"")</f>
        <v>121.5</v>
      </c>
      <c r="O104" s="85"/>
      <c r="P104" s="138" t="str">
        <f aca="false">IFERROR(VLOOKUP(TEXT(O104,"0"),CONDUCTORES!$A$3:$G$100,2,0),"")</f>
        <v/>
      </c>
      <c r="Q104" s="138" t="str">
        <f aca="false">IFERROR(VLOOKUP(TEXT(O104,"0"),CONDUCTORES!$A$3:$H$100,6,0),"")</f>
        <v/>
      </c>
      <c r="R104" s="137" t="n">
        <v>46010</v>
      </c>
      <c r="S104" s="107" t="s">
        <v>1487</v>
      </c>
      <c r="T104" s="136" t="s">
        <v>2811</v>
      </c>
      <c r="U104" s="140"/>
      <c r="V104" s="106"/>
      <c r="W104" s="106"/>
      <c r="X104" s="106"/>
      <c r="Y104" s="85"/>
    </row>
    <row r="105" customFormat="false" ht="15.75" hidden="false" customHeight="true" outlineLevel="0" collapsed="false">
      <c r="A105" s="46" t="n">
        <v>100</v>
      </c>
      <c r="B105" s="110" t="s">
        <v>919</v>
      </c>
      <c r="C105" s="46" t="s">
        <v>752</v>
      </c>
      <c r="D105" s="110" t="s">
        <v>2812</v>
      </c>
      <c r="E105" s="46" t="s">
        <v>99</v>
      </c>
      <c r="F105" s="46" t="s">
        <v>2813</v>
      </c>
      <c r="G105" s="142" t="n">
        <v>45814</v>
      </c>
      <c r="H105" s="46" t="s">
        <v>715</v>
      </c>
      <c r="I105" s="138" t="str">
        <f aca="false">IFERROR(VLOOKUP(TEXT(H105,"0"),IPRESS!$A$3:$B$212,2,0),"")</f>
        <v>YAULICACHI</v>
      </c>
      <c r="J105" s="46" t="s">
        <v>755</v>
      </c>
      <c r="K105" s="138" t="str">
        <f aca="false">IFERROR(VLOOKUP(TEXT(O105,"0"),CONDUCTORES!$A$3:$G$100,7,0),"")</f>
        <v/>
      </c>
      <c r="L105" s="44" t="n">
        <v>18.18</v>
      </c>
      <c r="M105" s="44" t="n">
        <v>20</v>
      </c>
      <c r="N105" s="139" t="n">
        <f aca="false">IFERROR(IF(L105*M105=0,"",L105*M105),"")</f>
        <v>363.6</v>
      </c>
      <c r="O105" s="140"/>
      <c r="P105" s="138" t="str">
        <f aca="false">IFERROR(VLOOKUP(TEXT(O105,"0"),CONDUCTORES!$A$3:$G$100,2,0),"")</f>
        <v/>
      </c>
      <c r="Q105" s="138" t="str">
        <f aca="false">IFERROR(VLOOKUP(TEXT(O105,"0"),CONDUCTORES!$A$3:$H$100,6,0),"")</f>
        <v/>
      </c>
      <c r="R105" s="142" t="n">
        <v>45996</v>
      </c>
      <c r="S105" s="110" t="s">
        <v>1279</v>
      </c>
      <c r="T105" s="46" t="s">
        <v>2814</v>
      </c>
      <c r="U105" s="85"/>
      <c r="V105" s="46"/>
      <c r="W105" s="46"/>
      <c r="X105" s="46"/>
      <c r="Y105" s="85"/>
    </row>
    <row r="106" customFormat="false" ht="15.75" hidden="false" customHeight="true" outlineLevel="0" collapsed="false">
      <c r="A106" s="106" t="n">
        <v>101</v>
      </c>
      <c r="B106" s="107" t="s">
        <v>1412</v>
      </c>
      <c r="C106" s="106" t="s">
        <v>752</v>
      </c>
      <c r="D106" s="107" t="s">
        <v>2815</v>
      </c>
      <c r="E106" s="136" t="s">
        <v>99</v>
      </c>
      <c r="F106" s="106" t="s">
        <v>2816</v>
      </c>
      <c r="G106" s="137" t="n">
        <v>45822</v>
      </c>
      <c r="H106" s="106" t="s">
        <v>717</v>
      </c>
      <c r="I106" s="138" t="str">
        <f aca="false">IFERROR(VLOOKUP(TEXT(H106,"0"),IPRESS!$A$3:$B$212,2,0),"")</f>
        <v>YERBABUENA</v>
      </c>
      <c r="J106" s="106" t="s">
        <v>755</v>
      </c>
      <c r="K106" s="138" t="str">
        <f aca="false">IFERROR(VLOOKUP(TEXT(O106,"0"),CONDUCTORES!$A$3:$G$100,7,0),"")</f>
        <v/>
      </c>
      <c r="L106" s="50" t="n">
        <v>18.18</v>
      </c>
      <c r="M106" s="50" t="n">
        <v>6</v>
      </c>
      <c r="N106" s="139" t="n">
        <f aca="false">IFERROR(IF(L106*M106=0,"",L106*M106),"")</f>
        <v>109.08</v>
      </c>
      <c r="O106" s="85"/>
      <c r="P106" s="138" t="str">
        <f aca="false">IFERROR(VLOOKUP(TEXT(O106,"0"),CONDUCTORES!$A$3:$G$100,2,0),"")</f>
        <v/>
      </c>
      <c r="Q106" s="138" t="str">
        <f aca="false">IFERROR(VLOOKUP(TEXT(O106,"0"),CONDUCTORES!$A$3:$H$100,6,0),"")</f>
        <v/>
      </c>
      <c r="R106" s="137" t="n">
        <v>45981</v>
      </c>
      <c r="S106" s="107" t="s">
        <v>1585</v>
      </c>
      <c r="T106" s="136"/>
      <c r="U106" s="140"/>
      <c r="V106" s="106"/>
      <c r="W106" s="106"/>
      <c r="X106" s="106"/>
      <c r="Y106" s="85"/>
    </row>
    <row r="107" customFormat="false" ht="15.75" hidden="false" customHeight="true" outlineLevel="0" collapsed="false">
      <c r="A107" s="46" t="n">
        <v>102</v>
      </c>
      <c r="B107" s="110" t="s">
        <v>1302</v>
      </c>
      <c r="C107" s="46" t="s">
        <v>752</v>
      </c>
      <c r="D107" s="110" t="s">
        <v>2817</v>
      </c>
      <c r="E107" s="46" t="s">
        <v>99</v>
      </c>
      <c r="F107" s="46" t="s">
        <v>2818</v>
      </c>
      <c r="G107" s="142" t="n">
        <v>45812</v>
      </c>
      <c r="H107" s="46" t="s">
        <v>717</v>
      </c>
      <c r="I107" s="138" t="str">
        <f aca="false">IFERROR(VLOOKUP(TEXT(H107,"0"),IPRESS!$A$3:$B$212,2,0),"")</f>
        <v>YERBABUENA</v>
      </c>
      <c r="J107" s="46" t="s">
        <v>755</v>
      </c>
      <c r="K107" s="138" t="str">
        <f aca="false">IFERROR(VLOOKUP(TEXT(O107,"0"),CONDUCTORES!$A$3:$G$100,7,0),"")</f>
        <v/>
      </c>
      <c r="L107" s="44" t="n">
        <v>18.18</v>
      </c>
      <c r="M107" s="44" t="n">
        <v>6</v>
      </c>
      <c r="N107" s="139" t="n">
        <f aca="false">IFERROR(IF(L107*M107=0,"",L107*M107),"")</f>
        <v>109.08</v>
      </c>
      <c r="O107" s="140"/>
      <c r="P107" s="138" t="str">
        <f aca="false">IFERROR(VLOOKUP(TEXT(O107,"0"),CONDUCTORES!$A$3:$G$100,2,0),"")</f>
        <v/>
      </c>
      <c r="Q107" s="138" t="str">
        <f aca="false">IFERROR(VLOOKUP(TEXT(O107,"0"),CONDUCTORES!$A$3:$H$100,6,0),"")</f>
        <v/>
      </c>
      <c r="R107" s="142" t="n">
        <v>45981</v>
      </c>
      <c r="S107" s="110" t="s">
        <v>1089</v>
      </c>
      <c r="T107" s="46"/>
      <c r="U107" s="85"/>
      <c r="V107" s="46"/>
      <c r="W107" s="46"/>
      <c r="X107" s="46"/>
      <c r="Y107" s="85"/>
    </row>
    <row r="108" customFormat="false" ht="15.75" hidden="false" customHeight="true" outlineLevel="0" collapsed="false">
      <c r="A108" s="106" t="n">
        <v>103</v>
      </c>
      <c r="B108" s="107" t="s">
        <v>1306</v>
      </c>
      <c r="C108" s="106" t="s">
        <v>752</v>
      </c>
      <c r="D108" s="107" t="s">
        <v>2819</v>
      </c>
      <c r="E108" s="136" t="s">
        <v>99</v>
      </c>
      <c r="F108" s="106" t="s">
        <v>2820</v>
      </c>
      <c r="G108" s="137" t="n">
        <v>45818</v>
      </c>
      <c r="H108" s="106" t="s">
        <v>717</v>
      </c>
      <c r="I108" s="138" t="str">
        <f aca="false">IFERROR(VLOOKUP(TEXT(H108,"0"),IPRESS!$A$3:$B$212,2,0),"")</f>
        <v>YERBABUENA</v>
      </c>
      <c r="J108" s="106" t="s">
        <v>755</v>
      </c>
      <c r="K108" s="138" t="str">
        <f aca="false">IFERROR(VLOOKUP(TEXT(O108,"0"),CONDUCTORES!$A$3:$G$100,7,0),"")</f>
        <v/>
      </c>
      <c r="L108" s="50" t="n">
        <v>18.18</v>
      </c>
      <c r="M108" s="50" t="n">
        <v>6</v>
      </c>
      <c r="N108" s="139" t="n">
        <f aca="false">IFERROR(IF(L108*M108=0,"",L108*M108),"")</f>
        <v>109.08</v>
      </c>
      <c r="O108" s="85"/>
      <c r="P108" s="138" t="str">
        <f aca="false">IFERROR(VLOOKUP(TEXT(O108,"0"),CONDUCTORES!$A$3:$G$100,2,0),"")</f>
        <v/>
      </c>
      <c r="Q108" s="138" t="str">
        <f aca="false">IFERROR(VLOOKUP(TEXT(O108,"0"),CONDUCTORES!$A$3:$H$100,6,0),"")</f>
        <v/>
      </c>
      <c r="R108" s="137" t="n">
        <v>45981</v>
      </c>
      <c r="S108" s="107" t="s">
        <v>2821</v>
      </c>
      <c r="T108" s="136"/>
      <c r="U108" s="140"/>
      <c r="V108" s="106"/>
      <c r="W108" s="106"/>
      <c r="X108" s="106"/>
      <c r="Y108" s="85"/>
    </row>
    <row r="109" customFormat="false" ht="15.75" hidden="false" customHeight="true" outlineLevel="0" collapsed="false">
      <c r="A109" s="46" t="n">
        <v>104</v>
      </c>
      <c r="B109" s="110" t="s">
        <v>1425</v>
      </c>
      <c r="C109" s="46" t="s">
        <v>752</v>
      </c>
      <c r="D109" s="110" t="s">
        <v>2822</v>
      </c>
      <c r="E109" s="46" t="s">
        <v>99</v>
      </c>
      <c r="F109" s="46" t="s">
        <v>2823</v>
      </c>
      <c r="G109" s="142" t="n">
        <v>45822</v>
      </c>
      <c r="H109" s="46" t="s">
        <v>717</v>
      </c>
      <c r="I109" s="138" t="str">
        <f aca="false">IFERROR(VLOOKUP(TEXT(H109,"0"),IPRESS!$A$3:$B$212,2,0),"")</f>
        <v>YERBABUENA</v>
      </c>
      <c r="J109" s="46" t="s">
        <v>755</v>
      </c>
      <c r="K109" s="138" t="str">
        <f aca="false">IFERROR(VLOOKUP(TEXT(O109,"0"),CONDUCTORES!$A$3:$G$100,7,0),"")</f>
        <v/>
      </c>
      <c r="L109" s="44" t="n">
        <v>18.18</v>
      </c>
      <c r="M109" s="44" t="n">
        <v>6</v>
      </c>
      <c r="N109" s="139" t="n">
        <f aca="false">IFERROR(IF(L109*M109=0,"",L109*M109),"")</f>
        <v>109.08</v>
      </c>
      <c r="O109" s="140"/>
      <c r="P109" s="138" t="str">
        <f aca="false">IFERROR(VLOOKUP(TEXT(O109,"0"),CONDUCTORES!$A$3:$G$100,2,0),"")</f>
        <v/>
      </c>
      <c r="Q109" s="138" t="str">
        <f aca="false">IFERROR(VLOOKUP(TEXT(O109,"0"),CONDUCTORES!$A$3:$H$100,6,0),"")</f>
        <v/>
      </c>
      <c r="R109" s="142" t="n">
        <v>45981</v>
      </c>
      <c r="S109" s="110" t="s">
        <v>2824</v>
      </c>
      <c r="T109" s="46"/>
      <c r="U109" s="85"/>
      <c r="V109" s="46"/>
      <c r="W109" s="46"/>
      <c r="X109" s="46"/>
      <c r="Y109" s="85"/>
    </row>
    <row r="110" customFormat="false" ht="15.75" hidden="false" customHeight="true" outlineLevel="0" collapsed="false">
      <c r="A110" s="106" t="n">
        <v>105</v>
      </c>
      <c r="B110" s="107" t="s">
        <v>2355</v>
      </c>
      <c r="C110" s="106" t="s">
        <v>752</v>
      </c>
      <c r="D110" s="107" t="s">
        <v>2825</v>
      </c>
      <c r="E110" s="136" t="s">
        <v>99</v>
      </c>
      <c r="F110" s="106" t="s">
        <v>2826</v>
      </c>
      <c r="G110" s="137" t="n">
        <v>45831</v>
      </c>
      <c r="H110" s="106" t="s">
        <v>717</v>
      </c>
      <c r="I110" s="138" t="str">
        <f aca="false">IFERROR(VLOOKUP(TEXT(H110,"0"),IPRESS!$A$3:$B$212,2,0),"")</f>
        <v>YERBABUENA</v>
      </c>
      <c r="J110" s="106" t="s">
        <v>755</v>
      </c>
      <c r="K110" s="138" t="str">
        <f aca="false">IFERROR(VLOOKUP(TEXT(O110,"0"),CONDUCTORES!$A$3:$G$100,7,0),"")</f>
        <v/>
      </c>
      <c r="L110" s="50" t="n">
        <v>18.18</v>
      </c>
      <c r="M110" s="50" t="n">
        <v>6</v>
      </c>
      <c r="N110" s="139" t="n">
        <f aca="false">IFERROR(IF(L110*M110=0,"",L110*M110),"")</f>
        <v>109.08</v>
      </c>
      <c r="O110" s="85"/>
      <c r="P110" s="138" t="str">
        <f aca="false">IFERROR(VLOOKUP(TEXT(O110,"0"),CONDUCTORES!$A$3:$G$100,2,0),"")</f>
        <v/>
      </c>
      <c r="Q110" s="138" t="str">
        <f aca="false">IFERROR(VLOOKUP(TEXT(O110,"0"),CONDUCTORES!$A$3:$H$100,6,0),"")</f>
        <v/>
      </c>
      <c r="R110" s="137" t="n">
        <v>45981</v>
      </c>
      <c r="S110" s="107" t="s">
        <v>2827</v>
      </c>
      <c r="T110" s="136"/>
      <c r="U110" s="140"/>
      <c r="V110" s="106"/>
      <c r="W110" s="106"/>
      <c r="X110" s="106"/>
      <c r="Y110" s="85"/>
    </row>
    <row r="111" customFormat="false" ht="15.75" hidden="false" customHeight="true" outlineLevel="0" collapsed="false">
      <c r="A111" s="46" t="n">
        <v>106</v>
      </c>
      <c r="B111" s="110" t="s">
        <v>1128</v>
      </c>
      <c r="C111" s="46" t="s">
        <v>752</v>
      </c>
      <c r="D111" s="110" t="s">
        <v>2828</v>
      </c>
      <c r="E111" s="46" t="s">
        <v>99</v>
      </c>
      <c r="F111" s="46" t="s">
        <v>2829</v>
      </c>
      <c r="G111" s="142" t="n">
        <v>45838</v>
      </c>
      <c r="H111" s="46" t="s">
        <v>717</v>
      </c>
      <c r="I111" s="138" t="str">
        <f aca="false">IFERROR(VLOOKUP(TEXT(H111,"0"),IPRESS!$A$3:$B$212,2,0),"")</f>
        <v>YERBABUENA</v>
      </c>
      <c r="J111" s="46" t="s">
        <v>755</v>
      </c>
      <c r="K111" s="138" t="str">
        <f aca="false">IFERROR(VLOOKUP(TEXT(O111,"0"),CONDUCTORES!$A$3:$G$100,7,0),"")</f>
        <v/>
      </c>
      <c r="L111" s="44" t="n">
        <v>18.18</v>
      </c>
      <c r="M111" s="44" t="n">
        <v>6</v>
      </c>
      <c r="N111" s="139" t="n">
        <f aca="false">IFERROR(IF(L111*M111=0,"",L111*M111),"")</f>
        <v>109.08</v>
      </c>
      <c r="O111" s="140"/>
      <c r="P111" s="138" t="str">
        <f aca="false">IFERROR(VLOOKUP(TEXT(O111,"0"),CONDUCTORES!$A$3:$G$100,2,0),"")</f>
        <v/>
      </c>
      <c r="Q111" s="138" t="str">
        <f aca="false">IFERROR(VLOOKUP(TEXT(O111,"0"),CONDUCTORES!$A$3:$H$100,6,0),"")</f>
        <v/>
      </c>
      <c r="R111" s="142" t="n">
        <v>45981</v>
      </c>
      <c r="S111" s="110" t="s">
        <v>1044</v>
      </c>
      <c r="T111" s="46"/>
      <c r="U111" s="85"/>
      <c r="V111" s="46"/>
      <c r="W111" s="46"/>
      <c r="X111" s="46"/>
      <c r="Y111" s="85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38" t="str">
        <f aca="false">IFERROR(VLOOKUP(TEXT(H112,"0"),IPRESS!$A$3:$B$212,2,0),"")</f>
        <v/>
      </c>
      <c r="J112" s="85"/>
      <c r="K112" s="138" t="str">
        <f aca="false">IFERROR(VLOOKUP(TEXT(O112,"0"),CONDUCTORES!$A$3:$G$54,7,0),"")</f>
        <v/>
      </c>
      <c r="L112" s="85"/>
      <c r="M112" s="85"/>
      <c r="N112" s="139" t="str">
        <f aca="false">IFERROR(IF(L112*M112=0,"",L112*M112),"")</f>
        <v/>
      </c>
      <c r="O112" s="85"/>
      <c r="P112" s="138" t="str">
        <f aca="false">IFERROR(VLOOKUP(TEXT(O112,"0"),CONDUCTORES!$A$3:$G$54,2,0),"")</f>
        <v/>
      </c>
      <c r="Q112" s="138" t="str">
        <f aca="false">IFERROR(VLOOKUP(TEXT(O112,"0"),CONDUCTORES!$A$3:$H$54,6,0),"")</f>
        <v/>
      </c>
      <c r="R112" s="85"/>
      <c r="S112" s="85"/>
      <c r="T112" s="85"/>
      <c r="U112" s="85"/>
      <c r="V112" s="85"/>
      <c r="W112" s="85"/>
      <c r="X112" s="85"/>
      <c r="Y112" s="85"/>
    </row>
    <row r="113" customFormat="false" ht="24" hidden="false" customHeight="true" outlineLevel="0" collapsed="false">
      <c r="A113" s="148" t="s">
        <v>1177</v>
      </c>
      <c r="B113" s="148"/>
      <c r="C113" s="148"/>
      <c r="D113" s="148"/>
      <c r="E113" s="148"/>
      <c r="F113" s="148"/>
      <c r="G113" s="148"/>
      <c r="H113" s="148"/>
      <c r="I113" s="148"/>
      <c r="J113" s="148"/>
      <c r="K113" s="149"/>
      <c r="L113" s="85"/>
      <c r="M113" s="150" t="n">
        <f aca="false">SUBTOTAL(9,M4:M111)</f>
        <v>764.9</v>
      </c>
      <c r="N113" s="150" t="n">
        <f aca="false">SUBTOTAL(9,N4:N111)</f>
        <v>14297.595</v>
      </c>
      <c r="O113" s="85"/>
      <c r="P113" s="138" t="str">
        <f aca="false">IFERROR(VLOOKUP(TEXT(O113,"0"),CONDUCTORES!$A$3:$G$100,2,0),"")</f>
        <v/>
      </c>
      <c r="Q113" s="138" t="str">
        <f aca="false">IFERROR(VLOOKUP(TEXT(O113,"0"),CONDUCTORES!$A$3:$H$100,6,0),"")</f>
        <v/>
      </c>
      <c r="R113" s="85"/>
      <c r="S113" s="85"/>
      <c r="T113" s="85"/>
      <c r="U113" s="85"/>
      <c r="V113" s="85"/>
      <c r="W113" s="85"/>
      <c r="X113" s="85"/>
      <c r="Y113" s="85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49"/>
      <c r="J114" s="85"/>
      <c r="K114" s="149"/>
      <c r="L114" s="85"/>
      <c r="M114" s="85"/>
      <c r="N114" s="151"/>
      <c r="O114" s="85"/>
      <c r="P114" s="149"/>
      <c r="Q114" s="149"/>
      <c r="R114" s="85"/>
      <c r="S114" s="85"/>
      <c r="T114" s="85"/>
      <c r="U114" s="85"/>
      <c r="V114" s="85"/>
      <c r="W114" s="85"/>
      <c r="X114" s="85"/>
      <c r="Y114" s="85"/>
    </row>
    <row r="115" customFormat="false" ht="15" hidden="false" customHeight="true" outlineLevel="0" collapsed="false">
      <c r="A115" s="140"/>
      <c r="B115" s="140"/>
      <c r="C115" s="140"/>
      <c r="D115" s="140"/>
      <c r="E115" s="140"/>
      <c r="F115" s="140"/>
      <c r="G115" s="140"/>
      <c r="H115" s="140"/>
      <c r="I115" s="149"/>
      <c r="J115" s="140"/>
      <c r="K115" s="149"/>
      <c r="L115" s="140"/>
      <c r="M115" s="140"/>
      <c r="N115" s="151"/>
      <c r="O115" s="140"/>
      <c r="P115" s="149"/>
      <c r="Q115" s="149"/>
      <c r="R115" s="140"/>
      <c r="S115" s="140"/>
      <c r="T115" s="140"/>
      <c r="U115" s="140"/>
      <c r="V115" s="140"/>
      <c r="W115" s="140"/>
      <c r="X115" s="140"/>
      <c r="Y115" s="140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49"/>
      <c r="J116" s="85"/>
      <c r="K116" s="149"/>
      <c r="L116" s="85"/>
      <c r="M116" s="85"/>
      <c r="N116" s="151"/>
      <c r="O116" s="85"/>
      <c r="P116" s="149"/>
      <c r="Q116" s="149"/>
      <c r="R116" s="85"/>
      <c r="S116" s="85"/>
      <c r="T116" s="85"/>
      <c r="U116" s="85"/>
      <c r="V116" s="85"/>
      <c r="W116" s="85"/>
      <c r="X116" s="85"/>
      <c r="Y116" s="85"/>
    </row>
    <row r="117" customFormat="false" ht="15" hidden="false" customHeight="true" outlineLevel="0" collapsed="false">
      <c r="A117" s="140"/>
      <c r="B117" s="140"/>
      <c r="C117" s="140"/>
      <c r="D117" s="140"/>
      <c r="E117" s="140"/>
      <c r="F117" s="140"/>
      <c r="G117" s="140"/>
      <c r="H117" s="140"/>
      <c r="I117" s="149"/>
      <c r="J117" s="140"/>
      <c r="K117" s="149"/>
      <c r="L117" s="140"/>
      <c r="M117" s="140"/>
      <c r="N117" s="151"/>
      <c r="O117" s="140"/>
      <c r="P117" s="149"/>
      <c r="Q117" s="149"/>
      <c r="R117" s="140"/>
      <c r="S117" s="140"/>
      <c r="T117" s="140"/>
      <c r="U117" s="140"/>
      <c r="V117" s="140"/>
      <c r="W117" s="140"/>
      <c r="X117" s="140"/>
      <c r="Y117" s="140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38" t="str">
        <f aca="false">IFERROR(VLOOKUP(TEXT(O118,"0"),CONDUCTORES!$A$3:$G$54,7,0),"")</f>
        <v/>
      </c>
      <c r="L118" s="85"/>
      <c r="M118" s="85"/>
      <c r="N118" s="139" t="str">
        <f aca="false">IFERROR(IF(L118*M118=0,"",L118*M118),"")</f>
        <v/>
      </c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</row>
    <row r="119" customFormat="false" ht="15" hidden="false" customHeight="tru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38" t="str">
        <f aca="false">IFERROR(VLOOKUP(TEXT(H119,"0"),IPRESS!$A$3:$B$212,2,0),"")</f>
        <v/>
      </c>
      <c r="J119" s="140"/>
      <c r="K119" s="138" t="str">
        <f aca="false">IFERROR(VLOOKUP(TEXT(O119,"0"),CONDUCTORES!$A$3:$G$54,7,0),"")</f>
        <v/>
      </c>
      <c r="L119" s="140"/>
      <c r="M119" s="140"/>
      <c r="N119" s="139" t="str">
        <f aca="false">IFERROR(IF(L119*M119=0,"",L119*M119),"")</f>
        <v/>
      </c>
      <c r="O119" s="140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140"/>
      <c r="S119" s="140"/>
      <c r="T119" s="140"/>
      <c r="U119" s="140"/>
      <c r="V119" s="140"/>
      <c r="W119" s="140"/>
      <c r="X119" s="140"/>
      <c r="Y119" s="140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1529.8</v>
      </c>
      <c r="N506" s="153" t="n">
        <f aca="false">SUM(N6:N505)</f>
        <v>28595.19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13:J113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12 E114:E505" type="list">
      <formula1>"DNI,CE,PASAPORTE"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2830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IFERROR(SUMPRODUCT((K4:K124="PETROLEO")*ISNUMBER(M4:M124)*M4:M124),0)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IFERROR(SUMPRODUCT((K4:K124="GASOLINA")*ISNUMBER(M4:M124)*M4:M124),0)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IFERROR(SUMPRODUCT(ISNUMBER(M4:M124)*L4:L124*M4:M124),0)</f>
        <v>0</v>
      </c>
      <c r="Q2" s="125"/>
      <c r="R2" s="125"/>
      <c r="S2" s="123" t="s">
        <v>727</v>
      </c>
      <c r="T2" s="123"/>
      <c r="U2" s="126" t="n">
        <f aca="false">SUBTOTAL(2,A4:A124)</f>
        <v>117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43" t="n">
        <v>1</v>
      </c>
      <c r="B6" s="144" t="s">
        <v>2355</v>
      </c>
      <c r="C6" s="143" t="s">
        <v>752</v>
      </c>
      <c r="D6" s="144" t="s">
        <v>1494</v>
      </c>
      <c r="E6" s="143" t="s">
        <v>99</v>
      </c>
      <c r="F6" s="143" t="s">
        <v>1495</v>
      </c>
      <c r="G6" s="145" t="n">
        <v>45855</v>
      </c>
      <c r="H6" s="143" t="s">
        <v>350</v>
      </c>
      <c r="I6" s="138" t="str">
        <f aca="false">IFERROR(VLOOKUP(TEXT(H6,"0"),IPRESS!$A$3:$B$212,2,0),"")</f>
        <v>BUENOS AIRES</v>
      </c>
      <c r="J6" s="143" t="s">
        <v>595</v>
      </c>
      <c r="K6" s="138" t="str">
        <f aca="false">IFERROR(VLOOKUP(TEXT(O6,"0"),CONDUCTORES!$A$3:$G$100,7,0),"")</f>
        <v/>
      </c>
      <c r="L6" s="146" t="n">
        <v>17.95</v>
      </c>
      <c r="M6" s="146" t="n">
        <v>15</v>
      </c>
      <c r="N6" s="139" t="n">
        <f aca="false">IFERROR(IF(L6*M6=0,"",L6*M6),"")</f>
        <v>269.25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45" t="n">
        <v>45951</v>
      </c>
      <c r="S6" s="144" t="s">
        <v>2831</v>
      </c>
      <c r="T6" s="143"/>
      <c r="U6" s="147"/>
      <c r="V6" s="143" t="s">
        <v>2832</v>
      </c>
      <c r="W6" s="143" t="s">
        <v>2833</v>
      </c>
      <c r="X6" s="143" t="s">
        <v>761</v>
      </c>
      <c r="Y6" s="85"/>
    </row>
    <row r="7" customFormat="false" ht="15.75" hidden="false" customHeight="true" outlineLevel="0" collapsed="false">
      <c r="A7" s="143" t="n">
        <v>2</v>
      </c>
      <c r="B7" s="144" t="s">
        <v>1128</v>
      </c>
      <c r="C7" s="143" t="s">
        <v>752</v>
      </c>
      <c r="D7" s="144" t="s">
        <v>2834</v>
      </c>
      <c r="E7" s="143" t="s">
        <v>99</v>
      </c>
      <c r="F7" s="143" t="s">
        <v>2835</v>
      </c>
      <c r="G7" s="145" t="n">
        <v>45862</v>
      </c>
      <c r="H7" s="143" t="s">
        <v>350</v>
      </c>
      <c r="I7" s="138" t="str">
        <f aca="false">IFERROR(VLOOKUP(TEXT(H7,"0"),IPRESS!$A$3:$B$212,2,0),"")</f>
        <v>BUENOS AIRES</v>
      </c>
      <c r="J7" s="143" t="s">
        <v>755</v>
      </c>
      <c r="K7" s="138" t="str">
        <f aca="false">IFERROR(VLOOKUP(TEXT(O7,"0"),CONDUCTORES!$A$3:$G$100,7,0),"")</f>
        <v/>
      </c>
      <c r="L7" s="146" t="n">
        <v>17.95</v>
      </c>
      <c r="M7" s="146" t="n">
        <v>15</v>
      </c>
      <c r="N7" s="139" t="n">
        <f aca="false">IFERROR(IF(L7*M7=0,"",L7*M7),"")</f>
        <v>269.25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145" t="n">
        <v>45951</v>
      </c>
      <c r="S7" s="144" t="s">
        <v>1867</v>
      </c>
      <c r="T7" s="143"/>
      <c r="U7" s="147"/>
      <c r="V7" s="143" t="s">
        <v>2832</v>
      </c>
      <c r="W7" s="143" t="s">
        <v>2833</v>
      </c>
      <c r="X7" s="143" t="s">
        <v>761</v>
      </c>
      <c r="Y7" s="85"/>
    </row>
    <row r="8" customFormat="false" ht="15.75" hidden="false" customHeight="true" outlineLevel="0" collapsed="false">
      <c r="A8" s="143" t="n">
        <v>3</v>
      </c>
      <c r="B8" s="144" t="s">
        <v>1134</v>
      </c>
      <c r="C8" s="143" t="s">
        <v>752</v>
      </c>
      <c r="D8" s="144" t="s">
        <v>2836</v>
      </c>
      <c r="E8" s="143" t="s">
        <v>99</v>
      </c>
      <c r="F8" s="143" t="s">
        <v>2837</v>
      </c>
      <c r="G8" s="145" t="n">
        <v>45863</v>
      </c>
      <c r="H8" s="143" t="s">
        <v>350</v>
      </c>
      <c r="I8" s="138" t="str">
        <f aca="false">IFERROR(VLOOKUP(TEXT(H8,"0"),IPRESS!$A$3:$B$212,2,0),"")</f>
        <v>BUENOS AIRES</v>
      </c>
      <c r="J8" s="143" t="s">
        <v>595</v>
      </c>
      <c r="K8" s="138" t="str">
        <f aca="false">IFERROR(VLOOKUP(TEXT(O8,"0"),CONDUCTORES!$A$3:$G$100,7,0),"")</f>
        <v/>
      </c>
      <c r="L8" s="146" t="n">
        <v>17.95</v>
      </c>
      <c r="M8" s="146" t="n">
        <v>5</v>
      </c>
      <c r="N8" s="139" t="n">
        <f aca="false">IFERROR(IF(L8*M8=0,"",L8*M8),"")</f>
        <v>89.75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45" t="n">
        <v>45951</v>
      </c>
      <c r="S8" s="144" t="s">
        <v>847</v>
      </c>
      <c r="T8" s="143"/>
      <c r="U8" s="147"/>
      <c r="V8" s="143" t="s">
        <v>2832</v>
      </c>
      <c r="W8" s="143" t="s">
        <v>2833</v>
      </c>
      <c r="X8" s="143" t="s">
        <v>761</v>
      </c>
      <c r="Y8" s="85"/>
    </row>
    <row r="9" customFormat="false" ht="15.75" hidden="false" customHeight="true" outlineLevel="0" collapsed="false">
      <c r="A9" s="46" t="n">
        <v>4</v>
      </c>
      <c r="B9" s="110" t="s">
        <v>832</v>
      </c>
      <c r="C9" s="46" t="s">
        <v>752</v>
      </c>
      <c r="D9" s="110" t="s">
        <v>2838</v>
      </c>
      <c r="E9" s="46" t="s">
        <v>99</v>
      </c>
      <c r="F9" s="46" t="s">
        <v>2839</v>
      </c>
      <c r="G9" s="142" t="n">
        <v>45848</v>
      </c>
      <c r="H9" s="46" t="s">
        <v>357</v>
      </c>
      <c r="I9" s="138" t="str">
        <f aca="false">IFERROR(VLOOKUP(TEXT(H9,"0"),IPRESS!$A$3:$B$212,2,0),"")</f>
        <v>CAMPORREDONDO</v>
      </c>
      <c r="J9" s="46" t="s">
        <v>1216</v>
      </c>
      <c r="K9" s="138" t="str">
        <f aca="false">IFERROR(VLOOKUP(TEXT(O9,"0"),CONDUCTORES!$A$3:$G$100,7,0),"")</f>
        <v/>
      </c>
      <c r="L9" s="44" t="n">
        <v>18.18</v>
      </c>
      <c r="M9" s="44" t="n">
        <v>20</v>
      </c>
      <c r="N9" s="139" t="n">
        <f aca="false">IFERROR(IF(L9*M9=0,"",L9*M9),"")</f>
        <v>363.6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142" t="n">
        <v>45889</v>
      </c>
      <c r="S9" s="110" t="s">
        <v>2840</v>
      </c>
      <c r="T9" s="46"/>
      <c r="U9" s="85"/>
      <c r="V9" s="46" t="s">
        <v>2841</v>
      </c>
      <c r="W9" s="46" t="s">
        <v>2648</v>
      </c>
      <c r="X9" s="46" t="s">
        <v>2649</v>
      </c>
      <c r="Y9" s="85"/>
    </row>
    <row r="10" customFormat="false" ht="15.75" hidden="false" customHeight="true" outlineLevel="0" collapsed="false">
      <c r="A10" s="106" t="n">
        <v>5</v>
      </c>
      <c r="B10" s="107" t="s">
        <v>840</v>
      </c>
      <c r="C10" s="106" t="s">
        <v>752</v>
      </c>
      <c r="D10" s="107" t="s">
        <v>2842</v>
      </c>
      <c r="E10" s="136" t="s">
        <v>99</v>
      </c>
      <c r="F10" s="106" t="s">
        <v>2843</v>
      </c>
      <c r="G10" s="137" t="n">
        <v>45854</v>
      </c>
      <c r="H10" s="106" t="s">
        <v>357</v>
      </c>
      <c r="I10" s="138" t="str">
        <f aca="false">IFERROR(VLOOKUP(TEXT(H10,"0"),IPRESS!$A$3:$B$212,2,0),"")</f>
        <v>CAMPORREDONDO</v>
      </c>
      <c r="J10" s="106" t="s">
        <v>1216</v>
      </c>
      <c r="K10" s="138" t="str">
        <f aca="false">IFERROR(VLOOKUP(TEXT(O10,"0"),CONDUCTORES!$A$3:$G$100,7,0),"")</f>
        <v/>
      </c>
      <c r="L10" s="50" t="n">
        <v>18.18</v>
      </c>
      <c r="M10" s="50" t="n">
        <v>20</v>
      </c>
      <c r="N10" s="139" t="n">
        <f aca="false">IFERROR(IF(L10*M10=0,"",L10*M10),"")</f>
        <v>363.6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37" t="n">
        <v>45889</v>
      </c>
      <c r="S10" s="107" t="s">
        <v>2844</v>
      </c>
      <c r="T10" s="136"/>
      <c r="U10" s="140"/>
      <c r="V10" s="106" t="s">
        <v>2841</v>
      </c>
      <c r="W10" s="106" t="s">
        <v>2648</v>
      </c>
      <c r="X10" s="106" t="s">
        <v>2649</v>
      </c>
      <c r="Y10" s="85"/>
    </row>
    <row r="11" customFormat="false" ht="15.75" hidden="false" customHeight="true" outlineLevel="0" collapsed="false">
      <c r="A11" s="46" t="n">
        <v>6</v>
      </c>
      <c r="B11" s="110" t="s">
        <v>844</v>
      </c>
      <c r="C11" s="46" t="s">
        <v>752</v>
      </c>
      <c r="D11" s="110" t="s">
        <v>2845</v>
      </c>
      <c r="E11" s="46" t="s">
        <v>99</v>
      </c>
      <c r="F11" s="46" t="s">
        <v>2846</v>
      </c>
      <c r="G11" s="142" t="n">
        <v>45862</v>
      </c>
      <c r="H11" s="46" t="s">
        <v>357</v>
      </c>
      <c r="I11" s="138" t="str">
        <f aca="false">IFERROR(VLOOKUP(TEXT(H11,"0"),IPRESS!$A$3:$B$212,2,0),"")</f>
        <v>CAMPORREDONDO</v>
      </c>
      <c r="J11" s="46" t="s">
        <v>755</v>
      </c>
      <c r="K11" s="138" t="str">
        <f aca="false">IFERROR(VLOOKUP(TEXT(O11,"0"),CONDUCTORES!$A$3:$G$100,7,0),"")</f>
        <v/>
      </c>
      <c r="L11" s="44" t="n">
        <v>18.18</v>
      </c>
      <c r="M11" s="44" t="n">
        <v>20</v>
      </c>
      <c r="N11" s="139" t="n">
        <f aca="false">IFERROR(IF(L11*M11=0,"",L11*M11),"")</f>
        <v>363.6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142" t="n">
        <v>45889</v>
      </c>
      <c r="S11" s="110" t="s">
        <v>1585</v>
      </c>
      <c r="T11" s="46"/>
      <c r="U11" s="85"/>
      <c r="V11" s="46" t="s">
        <v>2841</v>
      </c>
      <c r="W11" s="46" t="s">
        <v>2648</v>
      </c>
      <c r="X11" s="46" t="s">
        <v>2649</v>
      </c>
      <c r="Y11" s="85"/>
    </row>
    <row r="12" customFormat="false" ht="15.75" hidden="false" customHeight="true" outlineLevel="0" collapsed="false">
      <c r="A12" s="106" t="n">
        <v>7</v>
      </c>
      <c r="B12" s="107" t="s">
        <v>926</v>
      </c>
      <c r="C12" s="106" t="s">
        <v>752</v>
      </c>
      <c r="D12" s="107" t="s">
        <v>2847</v>
      </c>
      <c r="E12" s="136" t="s">
        <v>99</v>
      </c>
      <c r="F12" s="106" t="s">
        <v>2848</v>
      </c>
      <c r="G12" s="137" t="n">
        <v>45854</v>
      </c>
      <c r="H12" s="106" t="s">
        <v>395</v>
      </c>
      <c r="I12" s="138" t="str">
        <f aca="false">IFERROR(VLOOKUP(TEXT(H12,"0"),IPRESS!$A$3:$B$212,2,0),"")</f>
        <v>CHUQUIBAMBA</v>
      </c>
      <c r="J12" s="106" t="s">
        <v>755</v>
      </c>
      <c r="K12" s="138" t="str">
        <f aca="false">IFERROR(VLOOKUP(TEXT(O12,"0"),CONDUCTORES!$A$3:$G$100,7,0),"")</f>
        <v/>
      </c>
      <c r="L12" s="50" t="n">
        <v>18.18</v>
      </c>
      <c r="M12" s="50" t="n">
        <v>15</v>
      </c>
      <c r="N12" s="139" t="n">
        <f aca="false">IFERROR(IF(L12*M12=0,"",L12*M12),"")</f>
        <v>272.7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37" t="n">
        <v>45951</v>
      </c>
      <c r="S12" s="107" t="s">
        <v>2849</v>
      </c>
      <c r="T12" s="136"/>
      <c r="U12" s="140"/>
      <c r="V12" s="106" t="s">
        <v>2850</v>
      </c>
      <c r="W12" s="106" t="s">
        <v>2554</v>
      </c>
      <c r="X12" s="106" t="s">
        <v>2351</v>
      </c>
      <c r="Y12" s="85"/>
    </row>
    <row r="13" customFormat="false" ht="15.75" hidden="false" customHeight="true" outlineLevel="0" collapsed="false">
      <c r="A13" s="46" t="n">
        <v>8</v>
      </c>
      <c r="B13" s="110" t="s">
        <v>1262</v>
      </c>
      <c r="C13" s="46" t="s">
        <v>752</v>
      </c>
      <c r="D13" s="110" t="s">
        <v>2851</v>
      </c>
      <c r="E13" s="46" t="s">
        <v>99</v>
      </c>
      <c r="F13" s="46" t="s">
        <v>2852</v>
      </c>
      <c r="G13" s="142" t="n">
        <v>45847</v>
      </c>
      <c r="H13" s="46" t="s">
        <v>407</v>
      </c>
      <c r="I13" s="138" t="str">
        <f aca="false">IFERROR(VLOOKUP(TEXT(H13,"0"),IPRESS!$A$3:$B$212,2,0),"")</f>
        <v>COCOCHO</v>
      </c>
      <c r="J13" s="46" t="s">
        <v>755</v>
      </c>
      <c r="K13" s="138" t="str">
        <f aca="false">IFERROR(VLOOKUP(TEXT(O13,"0"),CONDUCTORES!$A$3:$G$100,7,0),"")</f>
        <v/>
      </c>
      <c r="L13" s="44" t="n">
        <v>18.18</v>
      </c>
      <c r="M13" s="44" t="n">
        <v>25</v>
      </c>
      <c r="N13" s="139" t="n">
        <f aca="false">IFERROR(IF(L13*M13=0,"",L13*M13),"")</f>
        <v>454.5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142" t="n">
        <v>45909</v>
      </c>
      <c r="S13" s="110" t="s">
        <v>2853</v>
      </c>
      <c r="T13" s="46"/>
      <c r="U13" s="85"/>
      <c r="V13" s="46"/>
      <c r="W13" s="46"/>
      <c r="X13" s="46"/>
      <c r="Y13" s="85"/>
    </row>
    <row r="14" customFormat="false" ht="15.75" hidden="false" customHeight="true" outlineLevel="0" collapsed="false">
      <c r="A14" s="106" t="n">
        <v>9</v>
      </c>
      <c r="B14" s="107" t="s">
        <v>1202</v>
      </c>
      <c r="C14" s="106" t="s">
        <v>752</v>
      </c>
      <c r="D14" s="107" t="s">
        <v>2854</v>
      </c>
      <c r="E14" s="136" t="s">
        <v>99</v>
      </c>
      <c r="F14" s="106" t="s">
        <v>2855</v>
      </c>
      <c r="G14" s="137" t="n">
        <v>45849</v>
      </c>
      <c r="H14" s="106" t="s">
        <v>407</v>
      </c>
      <c r="I14" s="138" t="str">
        <f aca="false">IFERROR(VLOOKUP(TEXT(H14,"0"),IPRESS!$A$3:$B$212,2,0),"")</f>
        <v>COCOCHO</v>
      </c>
      <c r="J14" s="106" t="s">
        <v>1216</v>
      </c>
      <c r="K14" s="138" t="str">
        <f aca="false">IFERROR(VLOOKUP(TEXT(O14,"0"),CONDUCTORES!$A$3:$G$100,7,0),"")</f>
        <v/>
      </c>
      <c r="L14" s="50" t="n">
        <v>18.18</v>
      </c>
      <c r="M14" s="50" t="n">
        <v>20</v>
      </c>
      <c r="N14" s="139" t="n">
        <f aca="false">IFERROR(IF(L14*M14=0,"",L14*M14),"")</f>
        <v>363.6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37" t="n">
        <v>45909</v>
      </c>
      <c r="S14" s="107" t="s">
        <v>2856</v>
      </c>
      <c r="T14" s="136"/>
      <c r="U14" s="140"/>
      <c r="V14" s="106"/>
      <c r="W14" s="106"/>
      <c r="X14" s="106"/>
      <c r="Y14" s="85"/>
    </row>
    <row r="15" customFormat="false" ht="15.75" hidden="false" customHeight="true" outlineLevel="0" collapsed="false">
      <c r="A15" s="46" t="n">
        <v>10</v>
      </c>
      <c r="B15" s="110" t="s">
        <v>1227</v>
      </c>
      <c r="C15" s="46" t="s">
        <v>752</v>
      </c>
      <c r="D15" s="110" t="s">
        <v>2857</v>
      </c>
      <c r="E15" s="46" t="s">
        <v>99</v>
      </c>
      <c r="F15" s="46" t="s">
        <v>2858</v>
      </c>
      <c r="G15" s="142" t="n">
        <v>45855</v>
      </c>
      <c r="H15" s="46" t="s">
        <v>407</v>
      </c>
      <c r="I15" s="138" t="str">
        <f aca="false">IFERROR(VLOOKUP(TEXT(H15,"0"),IPRESS!$A$3:$B$212,2,0),"")</f>
        <v>COCOCHO</v>
      </c>
      <c r="J15" s="46" t="s">
        <v>755</v>
      </c>
      <c r="K15" s="138" t="str">
        <f aca="false">IFERROR(VLOOKUP(TEXT(O15,"0"),CONDUCTORES!$A$3:$G$100,7,0),"")</f>
        <v/>
      </c>
      <c r="L15" s="44" t="n">
        <v>18.18</v>
      </c>
      <c r="M15" s="44" t="n">
        <v>25</v>
      </c>
      <c r="N15" s="139" t="n">
        <f aca="false">IFERROR(IF(L15*M15=0,"",L15*M15),"")</f>
        <v>454.5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142" t="n">
        <v>45909</v>
      </c>
      <c r="S15" s="110" t="s">
        <v>2859</v>
      </c>
      <c r="T15" s="46"/>
      <c r="U15" s="85"/>
      <c r="V15" s="46"/>
      <c r="W15" s="46"/>
      <c r="X15" s="46"/>
      <c r="Y15" s="85"/>
    </row>
    <row r="16" customFormat="false" ht="15.75" hidden="false" customHeight="true" outlineLevel="0" collapsed="false">
      <c r="A16" s="106" t="n">
        <v>11</v>
      </c>
      <c r="B16" s="107" t="s">
        <v>832</v>
      </c>
      <c r="C16" s="106" t="s">
        <v>752</v>
      </c>
      <c r="D16" s="107" t="s">
        <v>2860</v>
      </c>
      <c r="E16" s="136" t="s">
        <v>99</v>
      </c>
      <c r="F16" s="106" t="s">
        <v>2861</v>
      </c>
      <c r="G16" s="137" t="n">
        <v>45866</v>
      </c>
      <c r="H16" s="106" t="s">
        <v>408</v>
      </c>
      <c r="I16" s="138" t="str">
        <f aca="false">IFERROR(VLOOKUP(TEXT(H16,"0"),IPRESS!$A$3:$B$212,2,0),"")</f>
        <v>COLCAMAR</v>
      </c>
      <c r="J16" s="106" t="s">
        <v>755</v>
      </c>
      <c r="K16" s="138" t="str">
        <f aca="false">IFERROR(VLOOKUP(TEXT(O16,"0"),CONDUCTORES!$A$3:$G$100,7,0),"")</f>
        <v/>
      </c>
      <c r="L16" s="50" t="n">
        <v>18.18</v>
      </c>
      <c r="M16" s="50" t="n">
        <v>7</v>
      </c>
      <c r="N16" s="139" t="n">
        <f aca="false">IFERROR(IF(L16*M16=0,"",L16*M16),"")</f>
        <v>127.26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40"/>
      <c r="S16" s="107" t="s">
        <v>2862</v>
      </c>
      <c r="T16" s="136"/>
      <c r="U16" s="140"/>
      <c r="V16" s="106"/>
      <c r="W16" s="106"/>
      <c r="X16" s="106"/>
      <c r="Y16" s="85"/>
    </row>
    <row r="17" customFormat="false" ht="15.75" hidden="false" customHeight="true" outlineLevel="0" collapsed="false">
      <c r="A17" s="46" t="n">
        <v>12</v>
      </c>
      <c r="B17" s="110" t="s">
        <v>844</v>
      </c>
      <c r="C17" s="46" t="s">
        <v>752</v>
      </c>
      <c r="D17" s="110" t="s">
        <v>2863</v>
      </c>
      <c r="E17" s="46" t="s">
        <v>99</v>
      </c>
      <c r="F17" s="46" t="s">
        <v>2864</v>
      </c>
      <c r="G17" s="142" t="n">
        <v>45855</v>
      </c>
      <c r="H17" s="46" t="s">
        <v>409</v>
      </c>
      <c r="I17" s="138" t="str">
        <f aca="false">IFERROR(VLOOKUP(TEXT(H17,"0"),IPRESS!$A$3:$B$212,2,0),"")</f>
        <v>COLLONCE</v>
      </c>
      <c r="J17" s="46" t="s">
        <v>755</v>
      </c>
      <c r="K17" s="138" t="str">
        <f aca="false">IFERROR(VLOOKUP(TEXT(O17,"0"),CONDUCTORES!$A$3:$G$100,7,0),"")</f>
        <v/>
      </c>
      <c r="L17" s="44" t="n">
        <v>18.18</v>
      </c>
      <c r="M17" s="44" t="n">
        <v>20</v>
      </c>
      <c r="N17" s="139" t="n">
        <f aca="false">IFERROR(IF(L17*M17=0,"",L17*M17),"")</f>
        <v>363.6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142" t="n">
        <v>45996</v>
      </c>
      <c r="S17" s="110" t="s">
        <v>1044</v>
      </c>
      <c r="T17" s="46"/>
      <c r="U17" s="85"/>
      <c r="V17" s="46"/>
      <c r="W17" s="46"/>
      <c r="X17" s="46"/>
      <c r="Y17" s="85"/>
    </row>
    <row r="18" customFormat="false" ht="15.75" hidden="false" customHeight="true" outlineLevel="0" collapsed="false">
      <c r="A18" s="106" t="n">
        <v>13</v>
      </c>
      <c r="B18" s="107" t="s">
        <v>836</v>
      </c>
      <c r="C18" s="106" t="s">
        <v>752</v>
      </c>
      <c r="D18" s="107" t="s">
        <v>2865</v>
      </c>
      <c r="E18" s="136" t="s">
        <v>99</v>
      </c>
      <c r="F18" s="106" t="s">
        <v>2866</v>
      </c>
      <c r="G18" s="137" t="n">
        <v>45859</v>
      </c>
      <c r="H18" s="106" t="s">
        <v>409</v>
      </c>
      <c r="I18" s="138" t="str">
        <f aca="false">IFERROR(VLOOKUP(TEXT(H18,"0"),IPRESS!$A$3:$B$212,2,0),"")</f>
        <v>COLLONCE</v>
      </c>
      <c r="J18" s="106" t="s">
        <v>755</v>
      </c>
      <c r="K18" s="138" t="str">
        <f aca="false">IFERROR(VLOOKUP(TEXT(O18,"0"),CONDUCTORES!$A$3:$G$100,7,0),"")</f>
        <v/>
      </c>
      <c r="L18" s="50" t="n">
        <v>18.18</v>
      </c>
      <c r="M18" s="50" t="n">
        <v>20</v>
      </c>
      <c r="N18" s="139" t="n">
        <f aca="false">IFERROR(IF(L18*M18=0,"",L18*M18),"")</f>
        <v>363.6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37" t="n">
        <v>45996</v>
      </c>
      <c r="S18" s="107" t="s">
        <v>2867</v>
      </c>
      <c r="T18" s="136"/>
      <c r="U18" s="140"/>
      <c r="V18" s="106"/>
      <c r="W18" s="106"/>
      <c r="X18" s="106"/>
      <c r="Y18" s="85"/>
    </row>
    <row r="19" customFormat="false" ht="15.75" hidden="false" customHeight="true" outlineLevel="0" collapsed="false">
      <c r="A19" s="46" t="n">
        <v>14</v>
      </c>
      <c r="B19" s="110" t="s">
        <v>873</v>
      </c>
      <c r="C19" s="46" t="s">
        <v>752</v>
      </c>
      <c r="D19" s="110" t="s">
        <v>949</v>
      </c>
      <c r="E19" s="46" t="s">
        <v>99</v>
      </c>
      <c r="F19" s="46" t="s">
        <v>950</v>
      </c>
      <c r="G19" s="142" t="n">
        <v>45857</v>
      </c>
      <c r="H19" s="46" t="s">
        <v>409</v>
      </c>
      <c r="I19" s="138" t="str">
        <f aca="false">IFERROR(VLOOKUP(TEXT(H19,"0"),IPRESS!$A$3:$B$212,2,0),"")</f>
        <v>COLLONCE</v>
      </c>
      <c r="J19" s="46" t="s">
        <v>755</v>
      </c>
      <c r="K19" s="138" t="str">
        <f aca="false">IFERROR(VLOOKUP(TEXT(O19,"0"),CONDUCTORES!$A$3:$G$100,7,0),"")</f>
        <v/>
      </c>
      <c r="L19" s="44" t="n">
        <v>18.18</v>
      </c>
      <c r="M19" s="44" t="n">
        <v>20</v>
      </c>
      <c r="N19" s="139" t="n">
        <f aca="false">IFERROR(IF(L19*M19=0,"",L19*M19),"")</f>
        <v>363.6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85"/>
      <c r="S19" s="110" t="s">
        <v>951</v>
      </c>
      <c r="T19" s="46"/>
      <c r="U19" s="85"/>
      <c r="V19" s="46"/>
      <c r="W19" s="46"/>
      <c r="X19" s="46"/>
      <c r="Y19" s="85"/>
    </row>
    <row r="20" customFormat="false" ht="15.75" hidden="false" customHeight="true" outlineLevel="0" collapsed="false">
      <c r="A20" s="106" t="n">
        <v>1</v>
      </c>
      <c r="B20" s="107" t="s">
        <v>2868</v>
      </c>
      <c r="C20" s="106" t="s">
        <v>752</v>
      </c>
      <c r="D20" s="107" t="s">
        <v>2869</v>
      </c>
      <c r="E20" s="136" t="s">
        <v>99</v>
      </c>
      <c r="F20" s="106" t="s">
        <v>2870</v>
      </c>
      <c r="G20" s="137" t="n">
        <v>45839</v>
      </c>
      <c r="H20" s="106" t="s">
        <v>529</v>
      </c>
      <c r="I20" s="138" t="str">
        <f aca="false">IFERROR(VLOOKUP(TEXT(H20,"0"),IPRESS!$A$3:$B$212,2,0),"")</f>
        <v>MARIA AUXILIADORA</v>
      </c>
      <c r="J20" s="106" t="s">
        <v>755</v>
      </c>
      <c r="K20" s="138" t="str">
        <f aca="false">IFERROR(VLOOKUP(TEXT(O20,"0"),CONDUCTORES!$A$3:$G$100,7,0),"")</f>
        <v/>
      </c>
      <c r="L20" s="50" t="n">
        <v>20.25</v>
      </c>
      <c r="M20" s="50" t="n">
        <v>7</v>
      </c>
      <c r="N20" s="139" t="n">
        <f aca="false">IFERROR(IF(L20*M20=0,"",L20*M20),"")</f>
        <v>141.75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37" t="n">
        <v>45968</v>
      </c>
      <c r="S20" s="107" t="s">
        <v>2871</v>
      </c>
      <c r="T20" s="136"/>
      <c r="U20" s="140"/>
      <c r="V20" s="106"/>
      <c r="W20" s="106"/>
      <c r="X20" s="106"/>
      <c r="Y20" s="85"/>
    </row>
    <row r="21" customFormat="false" ht="15.75" hidden="false" customHeight="true" outlineLevel="0" collapsed="false">
      <c r="A21" s="46" t="n">
        <v>2</v>
      </c>
      <c r="B21" s="110" t="s">
        <v>2872</v>
      </c>
      <c r="C21" s="46" t="s">
        <v>752</v>
      </c>
      <c r="D21" s="110" t="s">
        <v>2873</v>
      </c>
      <c r="E21" s="46" t="s">
        <v>99</v>
      </c>
      <c r="F21" s="46" t="s">
        <v>2874</v>
      </c>
      <c r="G21" s="142" t="n">
        <v>45840</v>
      </c>
      <c r="H21" s="46" t="s">
        <v>529</v>
      </c>
      <c r="I21" s="138" t="str">
        <f aca="false">IFERROR(VLOOKUP(TEXT(H21,"0"),IPRESS!$A$3:$B$212,2,0),"")</f>
        <v>MARIA AUXILIADORA</v>
      </c>
      <c r="J21" s="46" t="s">
        <v>755</v>
      </c>
      <c r="K21" s="138" t="str">
        <f aca="false">IFERROR(VLOOKUP(TEXT(O21,"0"),CONDUCTORES!$A$3:$G$100,7,0),"")</f>
        <v/>
      </c>
      <c r="L21" s="44" t="n">
        <v>20.25</v>
      </c>
      <c r="M21" s="44" t="n">
        <v>7</v>
      </c>
      <c r="N21" s="139" t="n">
        <f aca="false">IFERROR(IF(L21*M21=0,"",L21*M21),"")</f>
        <v>141.75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142" t="n">
        <v>45968</v>
      </c>
      <c r="S21" s="110" t="s">
        <v>2875</v>
      </c>
      <c r="T21" s="46"/>
      <c r="U21" s="85"/>
      <c r="V21" s="46"/>
      <c r="W21" s="46"/>
      <c r="X21" s="46"/>
      <c r="Y21" s="85"/>
    </row>
    <row r="22" customFormat="false" ht="15.75" hidden="false" customHeight="true" outlineLevel="0" collapsed="false">
      <c r="A22" s="106" t="n">
        <v>3</v>
      </c>
      <c r="B22" s="107" t="s">
        <v>2876</v>
      </c>
      <c r="C22" s="106" t="s">
        <v>752</v>
      </c>
      <c r="D22" s="107" t="s">
        <v>2877</v>
      </c>
      <c r="E22" s="136" t="s">
        <v>99</v>
      </c>
      <c r="F22" s="106" t="s">
        <v>2878</v>
      </c>
      <c r="G22" s="137" t="n">
        <v>45845</v>
      </c>
      <c r="H22" s="106" t="s">
        <v>529</v>
      </c>
      <c r="I22" s="138" t="str">
        <f aca="false">IFERROR(VLOOKUP(TEXT(H22,"0"),IPRESS!$A$3:$B$212,2,0),"")</f>
        <v>MARIA AUXILIADORA</v>
      </c>
      <c r="J22" s="106" t="s">
        <v>755</v>
      </c>
      <c r="K22" s="138" t="str">
        <f aca="false">IFERROR(VLOOKUP(TEXT(O22,"0"),CONDUCTORES!$A$3:$G$100,7,0),"")</f>
        <v/>
      </c>
      <c r="L22" s="50" t="n">
        <v>20.25</v>
      </c>
      <c r="M22" s="50" t="n">
        <v>7</v>
      </c>
      <c r="N22" s="139" t="n">
        <f aca="false">IFERROR(IF(L22*M22=0,"",L22*M22),"")</f>
        <v>141.75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37" t="n">
        <v>45968</v>
      </c>
      <c r="S22" s="107" t="s">
        <v>2879</v>
      </c>
      <c r="T22" s="136"/>
      <c r="U22" s="140"/>
      <c r="V22" s="106"/>
      <c r="W22" s="106"/>
      <c r="X22" s="106"/>
      <c r="Y22" s="85"/>
    </row>
    <row r="23" customFormat="false" ht="15.75" hidden="false" customHeight="true" outlineLevel="0" collapsed="false">
      <c r="A23" s="46" t="n">
        <v>4</v>
      </c>
      <c r="B23" s="110" t="s">
        <v>2880</v>
      </c>
      <c r="C23" s="46" t="s">
        <v>752</v>
      </c>
      <c r="D23" s="110" t="s">
        <v>2881</v>
      </c>
      <c r="E23" s="46" t="s">
        <v>99</v>
      </c>
      <c r="F23" s="46" t="s">
        <v>2882</v>
      </c>
      <c r="G23" s="142" t="n">
        <v>45846</v>
      </c>
      <c r="H23" s="46" t="s">
        <v>529</v>
      </c>
      <c r="I23" s="138" t="str">
        <f aca="false">IFERROR(VLOOKUP(TEXT(H23,"0"),IPRESS!$A$3:$B$212,2,0),"")</f>
        <v>MARIA AUXILIADORA</v>
      </c>
      <c r="J23" s="46" t="s">
        <v>755</v>
      </c>
      <c r="K23" s="138" t="str">
        <f aca="false">IFERROR(VLOOKUP(TEXT(O23,"0"),CONDUCTORES!$A$3:$G$100,7,0),"")</f>
        <v/>
      </c>
      <c r="L23" s="44" t="n">
        <v>20.25</v>
      </c>
      <c r="M23" s="44" t="n">
        <v>7</v>
      </c>
      <c r="N23" s="139" t="n">
        <f aca="false">IFERROR(IF(L23*M23=0,"",L23*M23),"")</f>
        <v>141.75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142" t="n">
        <v>45968</v>
      </c>
      <c r="S23" s="110" t="s">
        <v>1885</v>
      </c>
      <c r="T23" s="46"/>
      <c r="U23" s="85"/>
      <c r="V23" s="46"/>
      <c r="W23" s="46"/>
      <c r="X23" s="46"/>
      <c r="Y23" s="85"/>
    </row>
    <row r="24" customFormat="false" ht="15.75" hidden="false" customHeight="true" outlineLevel="0" collapsed="false">
      <c r="A24" s="106" t="n">
        <v>5</v>
      </c>
      <c r="B24" s="107" t="s">
        <v>2883</v>
      </c>
      <c r="C24" s="106" t="s">
        <v>752</v>
      </c>
      <c r="D24" s="107" t="s">
        <v>2884</v>
      </c>
      <c r="E24" s="136" t="s">
        <v>99</v>
      </c>
      <c r="F24" s="106" t="s">
        <v>2885</v>
      </c>
      <c r="G24" s="137" t="n">
        <v>45847</v>
      </c>
      <c r="H24" s="106" t="s">
        <v>529</v>
      </c>
      <c r="I24" s="138" t="str">
        <f aca="false">IFERROR(VLOOKUP(TEXT(H24,"0"),IPRESS!$A$3:$B$212,2,0),"")</f>
        <v>MARIA AUXILIADORA</v>
      </c>
      <c r="J24" s="106" t="s">
        <v>755</v>
      </c>
      <c r="K24" s="138" t="str">
        <f aca="false">IFERROR(VLOOKUP(TEXT(O24,"0"),CONDUCTORES!$A$3:$G$100,7,0),"")</f>
        <v/>
      </c>
      <c r="L24" s="50" t="n">
        <v>20.25</v>
      </c>
      <c r="M24" s="50" t="n">
        <v>9</v>
      </c>
      <c r="N24" s="139" t="n">
        <f aca="false">IFERROR(IF(L24*M24=0,"",L24*M24),"")</f>
        <v>182.25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37" t="n">
        <v>45968</v>
      </c>
      <c r="S24" s="107" t="s">
        <v>2603</v>
      </c>
      <c r="T24" s="136"/>
      <c r="U24" s="140"/>
      <c r="V24" s="106"/>
      <c r="W24" s="106"/>
      <c r="X24" s="106"/>
      <c r="Y24" s="85"/>
    </row>
    <row r="25" customFormat="false" ht="15.75" hidden="false" customHeight="true" outlineLevel="0" collapsed="false">
      <c r="A25" s="46" t="n">
        <v>6</v>
      </c>
      <c r="B25" s="110" t="s">
        <v>2886</v>
      </c>
      <c r="C25" s="46" t="s">
        <v>752</v>
      </c>
      <c r="D25" s="110" t="s">
        <v>2887</v>
      </c>
      <c r="E25" s="46" t="s">
        <v>99</v>
      </c>
      <c r="F25" s="46" t="s">
        <v>2888</v>
      </c>
      <c r="G25" s="142" t="n">
        <v>45848</v>
      </c>
      <c r="H25" s="46" t="s">
        <v>529</v>
      </c>
      <c r="I25" s="138" t="str">
        <f aca="false">IFERROR(VLOOKUP(TEXT(H25,"0"),IPRESS!$A$3:$B$212,2,0),"")</f>
        <v>MARIA AUXILIADORA</v>
      </c>
      <c r="J25" s="46" t="s">
        <v>755</v>
      </c>
      <c r="K25" s="138" t="str">
        <f aca="false">IFERROR(VLOOKUP(TEXT(O25,"0"),CONDUCTORES!$A$3:$G$100,7,0),"")</f>
        <v/>
      </c>
      <c r="L25" s="44" t="n">
        <v>20.25</v>
      </c>
      <c r="M25" s="44" t="n">
        <v>7</v>
      </c>
      <c r="N25" s="139" t="n">
        <f aca="false">IFERROR(IF(L25*M25=0,"",L25*M25),"")</f>
        <v>141.75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142" t="n">
        <v>45968</v>
      </c>
      <c r="S25" s="110" t="s">
        <v>2889</v>
      </c>
      <c r="T25" s="46"/>
      <c r="U25" s="85"/>
      <c r="V25" s="46"/>
      <c r="W25" s="46"/>
      <c r="X25" s="46"/>
      <c r="Y25" s="85"/>
    </row>
    <row r="26" customFormat="false" ht="15.75" hidden="false" customHeight="true" outlineLevel="0" collapsed="false">
      <c r="A26" s="106" t="n">
        <v>7</v>
      </c>
      <c r="B26" s="107" t="s">
        <v>2890</v>
      </c>
      <c r="C26" s="106" t="s">
        <v>752</v>
      </c>
      <c r="D26" s="107" t="s">
        <v>2891</v>
      </c>
      <c r="E26" s="136" t="s">
        <v>99</v>
      </c>
      <c r="F26" s="106" t="s">
        <v>2892</v>
      </c>
      <c r="G26" s="137" t="n">
        <v>45849</v>
      </c>
      <c r="H26" s="106" t="s">
        <v>529</v>
      </c>
      <c r="I26" s="138" t="str">
        <f aca="false">IFERROR(VLOOKUP(TEXT(H26,"0"),IPRESS!$A$3:$B$212,2,0),"")</f>
        <v>MARIA AUXILIADORA</v>
      </c>
      <c r="J26" s="106" t="s">
        <v>755</v>
      </c>
      <c r="K26" s="138" t="str">
        <f aca="false">IFERROR(VLOOKUP(TEXT(O26,"0"),CONDUCTORES!$A$3:$G$100,7,0),"")</f>
        <v/>
      </c>
      <c r="L26" s="50" t="n">
        <v>20.25</v>
      </c>
      <c r="M26" s="50" t="n">
        <v>7</v>
      </c>
      <c r="N26" s="139" t="n">
        <f aca="false">IFERROR(IF(L26*M26=0,"",L26*M26),"")</f>
        <v>141.75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37" t="n">
        <v>45968</v>
      </c>
      <c r="S26" s="107" t="s">
        <v>2893</v>
      </c>
      <c r="T26" s="136"/>
      <c r="U26" s="140"/>
      <c r="V26" s="106"/>
      <c r="W26" s="106"/>
      <c r="X26" s="106"/>
      <c r="Y26" s="85"/>
    </row>
    <row r="27" customFormat="false" ht="15.75" hidden="false" customHeight="true" outlineLevel="0" collapsed="false">
      <c r="A27" s="46" t="n">
        <v>8</v>
      </c>
      <c r="B27" s="110" t="s">
        <v>2894</v>
      </c>
      <c r="C27" s="46" t="s">
        <v>752</v>
      </c>
      <c r="D27" s="110" t="s">
        <v>2895</v>
      </c>
      <c r="E27" s="46" t="s">
        <v>99</v>
      </c>
      <c r="F27" s="46" t="s">
        <v>2896</v>
      </c>
      <c r="G27" s="142" t="n">
        <v>45851</v>
      </c>
      <c r="H27" s="46" t="s">
        <v>529</v>
      </c>
      <c r="I27" s="138" t="str">
        <f aca="false">IFERROR(VLOOKUP(TEXT(H27,"0"),IPRESS!$A$3:$B$212,2,0),"")</f>
        <v>MARIA AUXILIADORA</v>
      </c>
      <c r="J27" s="46" t="s">
        <v>755</v>
      </c>
      <c r="K27" s="138" t="str">
        <f aca="false">IFERROR(VLOOKUP(TEXT(O27,"0"),CONDUCTORES!$A$3:$G$100,7,0),"")</f>
        <v/>
      </c>
      <c r="L27" s="44" t="n">
        <v>20.25</v>
      </c>
      <c r="M27" s="44" t="n">
        <v>7</v>
      </c>
      <c r="N27" s="139" t="n">
        <f aca="false">IFERROR(IF(L27*M27=0,"",L27*M27),"")</f>
        <v>141.75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142" t="n">
        <v>45968</v>
      </c>
      <c r="S27" s="110" t="s">
        <v>2897</v>
      </c>
      <c r="T27" s="46"/>
      <c r="U27" s="85"/>
      <c r="V27" s="46"/>
      <c r="W27" s="46"/>
      <c r="X27" s="46"/>
      <c r="Y27" s="85"/>
    </row>
    <row r="28" customFormat="false" ht="15.75" hidden="false" customHeight="true" outlineLevel="0" collapsed="false">
      <c r="A28" s="106" t="n">
        <v>9</v>
      </c>
      <c r="B28" s="107" t="s">
        <v>2898</v>
      </c>
      <c r="C28" s="106" t="s">
        <v>752</v>
      </c>
      <c r="D28" s="107" t="s">
        <v>2899</v>
      </c>
      <c r="E28" s="136" t="s">
        <v>99</v>
      </c>
      <c r="F28" s="106" t="s">
        <v>2900</v>
      </c>
      <c r="G28" s="137" t="n">
        <v>45851</v>
      </c>
      <c r="H28" s="106" t="s">
        <v>529</v>
      </c>
      <c r="I28" s="138" t="str">
        <f aca="false">IFERROR(VLOOKUP(TEXT(H28,"0"),IPRESS!$A$3:$B$212,2,0),"")</f>
        <v>MARIA AUXILIADORA</v>
      </c>
      <c r="J28" s="106" t="s">
        <v>755</v>
      </c>
      <c r="K28" s="138" t="str">
        <f aca="false">IFERROR(VLOOKUP(TEXT(O28,"0"),CONDUCTORES!$A$3:$G$100,7,0),"")</f>
        <v/>
      </c>
      <c r="L28" s="50" t="n">
        <v>20.25</v>
      </c>
      <c r="M28" s="50" t="n">
        <v>7</v>
      </c>
      <c r="N28" s="139" t="n">
        <f aca="false">IFERROR(IF(L28*M28=0,"",L28*M28),"")</f>
        <v>141.75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37" t="n">
        <v>45968</v>
      </c>
      <c r="S28" s="107" t="s">
        <v>2603</v>
      </c>
      <c r="T28" s="136"/>
      <c r="U28" s="140"/>
      <c r="V28" s="106"/>
      <c r="W28" s="106"/>
      <c r="X28" s="106"/>
      <c r="Y28" s="85"/>
    </row>
    <row r="29" customFormat="false" ht="15.75" hidden="false" customHeight="true" outlineLevel="0" collapsed="false">
      <c r="A29" s="46" t="n">
        <v>10</v>
      </c>
      <c r="B29" s="110" t="s">
        <v>2901</v>
      </c>
      <c r="C29" s="46" t="s">
        <v>752</v>
      </c>
      <c r="D29" s="110" t="s">
        <v>2902</v>
      </c>
      <c r="E29" s="46" t="s">
        <v>99</v>
      </c>
      <c r="F29" s="46" t="s">
        <v>2903</v>
      </c>
      <c r="G29" s="142" t="n">
        <v>45852</v>
      </c>
      <c r="H29" s="46" t="s">
        <v>529</v>
      </c>
      <c r="I29" s="138" t="str">
        <f aca="false">IFERROR(VLOOKUP(TEXT(H29,"0"),IPRESS!$A$3:$B$212,2,0),"")</f>
        <v>MARIA AUXILIADORA</v>
      </c>
      <c r="J29" s="46" t="s">
        <v>755</v>
      </c>
      <c r="K29" s="138" t="str">
        <f aca="false">IFERROR(VLOOKUP(TEXT(O29,"0"),CONDUCTORES!$A$3:$G$100,7,0),"")</f>
        <v/>
      </c>
      <c r="L29" s="44" t="n">
        <v>20.25</v>
      </c>
      <c r="M29" s="44" t="n">
        <v>7</v>
      </c>
      <c r="N29" s="139" t="n">
        <f aca="false">IFERROR(IF(L29*M29=0,"",L29*M29),"")</f>
        <v>141.75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142" t="n">
        <v>45968</v>
      </c>
      <c r="S29" s="110" t="s">
        <v>2904</v>
      </c>
      <c r="T29" s="46"/>
      <c r="U29" s="85"/>
      <c r="V29" s="46"/>
      <c r="W29" s="46"/>
      <c r="X29" s="46"/>
      <c r="Y29" s="85"/>
    </row>
    <row r="30" customFormat="false" ht="15.75" hidden="false" customHeight="true" outlineLevel="0" collapsed="false">
      <c r="A30" s="106" t="n">
        <v>11</v>
      </c>
      <c r="B30" s="107" t="s">
        <v>2905</v>
      </c>
      <c r="C30" s="106" t="s">
        <v>752</v>
      </c>
      <c r="D30" s="107" t="s">
        <v>2906</v>
      </c>
      <c r="E30" s="136" t="s">
        <v>99</v>
      </c>
      <c r="F30" s="106" t="s">
        <v>2907</v>
      </c>
      <c r="G30" s="137" t="n">
        <v>45854</v>
      </c>
      <c r="H30" s="106" t="s">
        <v>529</v>
      </c>
      <c r="I30" s="138" t="str">
        <f aca="false">IFERROR(VLOOKUP(TEXT(H30,"0"),IPRESS!$A$3:$B$212,2,0),"")</f>
        <v>MARIA AUXILIADORA</v>
      </c>
      <c r="J30" s="106" t="s">
        <v>755</v>
      </c>
      <c r="K30" s="138" t="str">
        <f aca="false">IFERROR(VLOOKUP(TEXT(O30,"0"),CONDUCTORES!$A$3:$G$100,7,0),"")</f>
        <v/>
      </c>
      <c r="L30" s="50" t="n">
        <v>20.25</v>
      </c>
      <c r="M30" s="50" t="n">
        <v>7</v>
      </c>
      <c r="N30" s="139" t="n">
        <f aca="false">IFERROR(IF(L30*M30=0,"",L30*M30),"")</f>
        <v>141.75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37" t="n">
        <v>45968</v>
      </c>
      <c r="S30" s="107" t="s">
        <v>2889</v>
      </c>
      <c r="T30" s="136"/>
      <c r="U30" s="140"/>
      <c r="V30" s="106"/>
      <c r="W30" s="106"/>
      <c r="X30" s="106"/>
      <c r="Y30" s="85"/>
    </row>
    <row r="31" customFormat="false" ht="15.75" hidden="false" customHeight="true" outlineLevel="0" collapsed="false">
      <c r="A31" s="46" t="n">
        <v>12</v>
      </c>
      <c r="B31" s="110" t="s">
        <v>2908</v>
      </c>
      <c r="C31" s="46" t="s">
        <v>752</v>
      </c>
      <c r="D31" s="110" t="s">
        <v>2909</v>
      </c>
      <c r="E31" s="46" t="s">
        <v>99</v>
      </c>
      <c r="F31" s="46" t="s">
        <v>2910</v>
      </c>
      <c r="G31" s="142" t="n">
        <v>45855</v>
      </c>
      <c r="H31" s="46" t="s">
        <v>529</v>
      </c>
      <c r="I31" s="138" t="str">
        <f aca="false">IFERROR(VLOOKUP(TEXT(H31,"0"),IPRESS!$A$3:$B$212,2,0),"")</f>
        <v>MARIA AUXILIADORA</v>
      </c>
      <c r="J31" s="46" t="s">
        <v>755</v>
      </c>
      <c r="K31" s="138" t="str">
        <f aca="false">IFERROR(VLOOKUP(TEXT(O31,"0"),CONDUCTORES!$A$3:$G$100,7,0),"")</f>
        <v/>
      </c>
      <c r="L31" s="44" t="n">
        <v>20.25</v>
      </c>
      <c r="M31" s="44" t="n">
        <v>7</v>
      </c>
      <c r="N31" s="139" t="n">
        <f aca="false">IFERROR(IF(L31*M31=0,"",L31*M31),"")</f>
        <v>141.75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142" t="n">
        <v>45968</v>
      </c>
      <c r="S31" s="110" t="s">
        <v>2911</v>
      </c>
      <c r="T31" s="46"/>
      <c r="U31" s="85"/>
      <c r="V31" s="46"/>
      <c r="W31" s="46"/>
      <c r="X31" s="46"/>
      <c r="Y31" s="85"/>
    </row>
    <row r="32" customFormat="false" ht="15.75" hidden="false" customHeight="true" outlineLevel="0" collapsed="false">
      <c r="A32" s="106" t="n">
        <v>13</v>
      </c>
      <c r="B32" s="107" t="s">
        <v>2912</v>
      </c>
      <c r="C32" s="106" t="s">
        <v>752</v>
      </c>
      <c r="D32" s="107" t="s">
        <v>2913</v>
      </c>
      <c r="E32" s="136" t="s">
        <v>99</v>
      </c>
      <c r="F32" s="106" t="s">
        <v>2914</v>
      </c>
      <c r="G32" s="137" t="n">
        <v>45856</v>
      </c>
      <c r="H32" s="106" t="s">
        <v>529</v>
      </c>
      <c r="I32" s="138" t="str">
        <f aca="false">IFERROR(VLOOKUP(TEXT(H32,"0"),IPRESS!$A$3:$B$212,2,0),"")</f>
        <v>MARIA AUXILIADORA</v>
      </c>
      <c r="J32" s="106" t="s">
        <v>755</v>
      </c>
      <c r="K32" s="138" t="str">
        <f aca="false">IFERROR(VLOOKUP(TEXT(O32,"0"),CONDUCTORES!$A$3:$G$100,7,0),"")</f>
        <v/>
      </c>
      <c r="L32" s="50" t="n">
        <v>20.25</v>
      </c>
      <c r="M32" s="50" t="n">
        <v>6.7</v>
      </c>
      <c r="N32" s="139" t="n">
        <f aca="false">IFERROR(IF(L32*M32=0,"",L32*M32),"")</f>
        <v>135.675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37" t="n">
        <v>45968</v>
      </c>
      <c r="S32" s="107" t="s">
        <v>917</v>
      </c>
      <c r="T32" s="136"/>
      <c r="U32" s="140"/>
      <c r="V32" s="106"/>
      <c r="W32" s="106"/>
      <c r="X32" s="106"/>
      <c r="Y32" s="85"/>
    </row>
    <row r="33" customFormat="false" ht="15.75" hidden="false" customHeight="true" outlineLevel="0" collapsed="false">
      <c r="A33" s="46" t="n">
        <v>14</v>
      </c>
      <c r="B33" s="110" t="s">
        <v>2915</v>
      </c>
      <c r="C33" s="46" t="s">
        <v>752</v>
      </c>
      <c r="D33" s="110" t="s">
        <v>2916</v>
      </c>
      <c r="E33" s="46" t="s">
        <v>99</v>
      </c>
      <c r="F33" s="46" t="s">
        <v>2917</v>
      </c>
      <c r="G33" s="142" t="n">
        <v>45858</v>
      </c>
      <c r="H33" s="46" t="s">
        <v>529</v>
      </c>
      <c r="I33" s="138" t="str">
        <f aca="false">IFERROR(VLOOKUP(TEXT(H33,"0"),IPRESS!$A$3:$B$212,2,0),"")</f>
        <v>MARIA AUXILIADORA</v>
      </c>
      <c r="J33" s="46" t="s">
        <v>755</v>
      </c>
      <c r="K33" s="138" t="str">
        <f aca="false">IFERROR(VLOOKUP(TEXT(O33,"0"),CONDUCTORES!$A$3:$G$100,7,0),"")</f>
        <v/>
      </c>
      <c r="L33" s="44" t="n">
        <v>20.25</v>
      </c>
      <c r="M33" s="44" t="n">
        <v>7</v>
      </c>
      <c r="N33" s="139" t="n">
        <f aca="false">IFERROR(IF(L33*M33=0,"",L33*M33),"")</f>
        <v>141.75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142" t="n">
        <v>45968</v>
      </c>
      <c r="S33" s="110" t="s">
        <v>2918</v>
      </c>
      <c r="T33" s="46"/>
      <c r="U33" s="85"/>
      <c r="V33" s="46"/>
      <c r="W33" s="46"/>
      <c r="X33" s="46"/>
      <c r="Y33" s="85"/>
    </row>
    <row r="34" customFormat="false" ht="15.75" hidden="false" customHeight="true" outlineLevel="0" collapsed="false">
      <c r="A34" s="106" t="n">
        <v>15</v>
      </c>
      <c r="B34" s="107" t="s">
        <v>2919</v>
      </c>
      <c r="C34" s="106" t="s">
        <v>752</v>
      </c>
      <c r="D34" s="107" t="s">
        <v>2920</v>
      </c>
      <c r="E34" s="136" t="s">
        <v>99</v>
      </c>
      <c r="F34" s="106" t="s">
        <v>1136</v>
      </c>
      <c r="G34" s="137" t="n">
        <v>45858</v>
      </c>
      <c r="H34" s="106" t="s">
        <v>529</v>
      </c>
      <c r="I34" s="138" t="str">
        <f aca="false">IFERROR(VLOOKUP(TEXT(H34,"0"),IPRESS!$A$3:$B$212,2,0),"")</f>
        <v>MARIA AUXILIADORA</v>
      </c>
      <c r="J34" s="106" t="s">
        <v>755</v>
      </c>
      <c r="K34" s="138" t="str">
        <f aca="false">IFERROR(VLOOKUP(TEXT(O34,"0"),CONDUCTORES!$A$3:$G$100,7,0),"")</f>
        <v/>
      </c>
      <c r="L34" s="50" t="n">
        <v>20.25</v>
      </c>
      <c r="M34" s="50" t="n">
        <v>6.1</v>
      </c>
      <c r="N34" s="139" t="n">
        <f aca="false">IFERROR(IF(L34*M34=0,"",L34*M34),"")</f>
        <v>123.525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37" t="n">
        <v>45968</v>
      </c>
      <c r="S34" s="107" t="s">
        <v>2921</v>
      </c>
      <c r="T34" s="136"/>
      <c r="U34" s="140"/>
      <c r="V34" s="106"/>
      <c r="W34" s="106"/>
      <c r="X34" s="106"/>
      <c r="Y34" s="85"/>
    </row>
    <row r="35" customFormat="false" ht="15.75" hidden="false" customHeight="true" outlineLevel="0" collapsed="false">
      <c r="A35" s="46" t="n">
        <v>16</v>
      </c>
      <c r="B35" s="110" t="s">
        <v>2922</v>
      </c>
      <c r="C35" s="46" t="s">
        <v>752</v>
      </c>
      <c r="D35" s="110" t="s">
        <v>2923</v>
      </c>
      <c r="E35" s="46" t="s">
        <v>99</v>
      </c>
      <c r="F35" s="46" t="s">
        <v>2924</v>
      </c>
      <c r="G35" s="142" t="n">
        <v>45859</v>
      </c>
      <c r="H35" s="46" t="s">
        <v>529</v>
      </c>
      <c r="I35" s="138" t="str">
        <f aca="false">IFERROR(VLOOKUP(TEXT(H35,"0"),IPRESS!$A$3:$B$212,2,0),"")</f>
        <v>MARIA AUXILIADORA</v>
      </c>
      <c r="J35" s="46" t="s">
        <v>755</v>
      </c>
      <c r="K35" s="138" t="str">
        <f aca="false">IFERROR(VLOOKUP(TEXT(O35,"0"),CONDUCTORES!$A$3:$G$100,7,0),"")</f>
        <v/>
      </c>
      <c r="L35" s="44" t="n">
        <v>20.25</v>
      </c>
      <c r="M35" s="44" t="n">
        <v>7</v>
      </c>
      <c r="N35" s="139" t="n">
        <f aca="false">IFERROR(IF(L35*M35=0,"",L35*M35),"")</f>
        <v>141.75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142" t="n">
        <v>45968</v>
      </c>
      <c r="S35" s="110" t="s">
        <v>2925</v>
      </c>
      <c r="T35" s="46"/>
      <c r="U35" s="85"/>
      <c r="V35" s="46"/>
      <c r="W35" s="46"/>
      <c r="X35" s="46"/>
      <c r="Y35" s="85"/>
    </row>
    <row r="36" customFormat="false" ht="15.75" hidden="false" customHeight="true" outlineLevel="0" collapsed="false">
      <c r="A36" s="106" t="n">
        <v>17</v>
      </c>
      <c r="B36" s="107" t="s">
        <v>2926</v>
      </c>
      <c r="C36" s="106" t="s">
        <v>752</v>
      </c>
      <c r="D36" s="107" t="s">
        <v>2927</v>
      </c>
      <c r="E36" s="136" t="s">
        <v>99</v>
      </c>
      <c r="F36" s="106" t="s">
        <v>2928</v>
      </c>
      <c r="G36" s="137" t="n">
        <v>45860</v>
      </c>
      <c r="H36" s="106" t="s">
        <v>529</v>
      </c>
      <c r="I36" s="138" t="str">
        <f aca="false">IFERROR(VLOOKUP(TEXT(H36,"0"),IPRESS!$A$3:$B$212,2,0),"")</f>
        <v>MARIA AUXILIADORA</v>
      </c>
      <c r="J36" s="106" t="s">
        <v>755</v>
      </c>
      <c r="K36" s="138" t="str">
        <f aca="false">IFERROR(VLOOKUP(TEXT(O36,"0"),CONDUCTORES!$A$3:$G$100,7,0),"")</f>
        <v/>
      </c>
      <c r="L36" s="50" t="n">
        <v>20.25</v>
      </c>
      <c r="M36" s="50" t="n">
        <v>6.5</v>
      </c>
      <c r="N36" s="139" t="n">
        <f aca="false">IFERROR(IF(L36*M36=0,"",L36*M36),"")</f>
        <v>131.625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37" t="n">
        <v>45968</v>
      </c>
      <c r="S36" s="107" t="s">
        <v>2929</v>
      </c>
      <c r="T36" s="136"/>
      <c r="U36" s="140"/>
      <c r="V36" s="106"/>
      <c r="W36" s="106"/>
      <c r="X36" s="106"/>
      <c r="Y36" s="85"/>
    </row>
    <row r="37" customFormat="false" ht="15.75" hidden="false" customHeight="true" outlineLevel="0" collapsed="false">
      <c r="A37" s="46" t="n">
        <v>18</v>
      </c>
      <c r="B37" s="110" t="s">
        <v>2930</v>
      </c>
      <c r="C37" s="46" t="s">
        <v>752</v>
      </c>
      <c r="D37" s="110" t="s">
        <v>2931</v>
      </c>
      <c r="E37" s="46" t="s">
        <v>99</v>
      </c>
      <c r="F37" s="46" t="s">
        <v>2932</v>
      </c>
      <c r="G37" s="142" t="n">
        <v>45861</v>
      </c>
      <c r="H37" s="46" t="s">
        <v>529</v>
      </c>
      <c r="I37" s="138" t="str">
        <f aca="false">IFERROR(VLOOKUP(TEXT(H37,"0"),IPRESS!$A$3:$B$212,2,0),"")</f>
        <v>MARIA AUXILIADORA</v>
      </c>
      <c r="J37" s="46" t="s">
        <v>755</v>
      </c>
      <c r="K37" s="138" t="str">
        <f aca="false">IFERROR(VLOOKUP(TEXT(O37,"0"),CONDUCTORES!$A$3:$G$100,7,0),"")</f>
        <v/>
      </c>
      <c r="L37" s="44" t="n">
        <v>20.25</v>
      </c>
      <c r="M37" s="44" t="n">
        <v>6.1</v>
      </c>
      <c r="N37" s="139" t="n">
        <f aca="false">IFERROR(IF(L37*M37=0,"",L37*M37),"")</f>
        <v>123.525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142" t="n">
        <v>45968</v>
      </c>
      <c r="S37" s="110" t="s">
        <v>2933</v>
      </c>
      <c r="T37" s="46"/>
      <c r="U37" s="85"/>
      <c r="V37" s="46"/>
      <c r="W37" s="46"/>
      <c r="X37" s="46"/>
      <c r="Y37" s="85"/>
    </row>
    <row r="38" customFormat="false" ht="15.75" hidden="false" customHeight="true" outlineLevel="0" collapsed="false">
      <c r="A38" s="106" t="n">
        <v>19</v>
      </c>
      <c r="B38" s="107" t="s">
        <v>2934</v>
      </c>
      <c r="C38" s="106" t="s">
        <v>752</v>
      </c>
      <c r="D38" s="107" t="s">
        <v>2935</v>
      </c>
      <c r="E38" s="136" t="s">
        <v>99</v>
      </c>
      <c r="F38" s="106" t="s">
        <v>2936</v>
      </c>
      <c r="G38" s="137" t="n">
        <v>45867</v>
      </c>
      <c r="H38" s="106" t="s">
        <v>529</v>
      </c>
      <c r="I38" s="138" t="str">
        <f aca="false">IFERROR(VLOOKUP(TEXT(H38,"0"),IPRESS!$A$3:$B$212,2,0),"")</f>
        <v>MARIA AUXILIADORA</v>
      </c>
      <c r="J38" s="106" t="s">
        <v>755</v>
      </c>
      <c r="K38" s="138" t="str">
        <f aca="false">IFERROR(VLOOKUP(TEXT(O38,"0"),CONDUCTORES!$A$3:$G$100,7,0),"")</f>
        <v/>
      </c>
      <c r="L38" s="50" t="n">
        <v>20.25</v>
      </c>
      <c r="M38" s="50" t="n">
        <v>7</v>
      </c>
      <c r="N38" s="139" t="n">
        <f aca="false">IFERROR(IF(L38*M38=0,"",L38*M38),"")</f>
        <v>141.75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37" t="n">
        <v>45968</v>
      </c>
      <c r="S38" s="107" t="s">
        <v>2937</v>
      </c>
      <c r="T38" s="136"/>
      <c r="U38" s="140"/>
      <c r="V38" s="106"/>
      <c r="W38" s="106"/>
      <c r="X38" s="106"/>
      <c r="Y38" s="85"/>
    </row>
    <row r="39" customFormat="false" ht="15.75" hidden="false" customHeight="true" outlineLevel="0" collapsed="false">
      <c r="A39" s="46" t="n">
        <v>20</v>
      </c>
      <c r="B39" s="110" t="s">
        <v>2938</v>
      </c>
      <c r="C39" s="46" t="s">
        <v>752</v>
      </c>
      <c r="D39" s="110" t="s">
        <v>2939</v>
      </c>
      <c r="E39" s="46" t="s">
        <v>99</v>
      </c>
      <c r="F39" s="46" t="s">
        <v>2940</v>
      </c>
      <c r="G39" s="142" t="n">
        <v>45867</v>
      </c>
      <c r="H39" s="46" t="s">
        <v>529</v>
      </c>
      <c r="I39" s="138" t="str">
        <f aca="false">IFERROR(VLOOKUP(TEXT(H39,"0"),IPRESS!$A$3:$B$212,2,0),"")</f>
        <v>MARIA AUXILIADORA</v>
      </c>
      <c r="J39" s="46" t="s">
        <v>755</v>
      </c>
      <c r="K39" s="138" t="str">
        <f aca="false">IFERROR(VLOOKUP(TEXT(O39,"0"),CONDUCTORES!$A$3:$G$100,7,0),"")</f>
        <v/>
      </c>
      <c r="L39" s="44" t="n">
        <v>20.25</v>
      </c>
      <c r="M39" s="44" t="n">
        <v>7</v>
      </c>
      <c r="N39" s="139" t="n">
        <f aca="false">IFERROR(IF(L39*M39=0,"",L39*M39),"")</f>
        <v>141.75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142" t="n">
        <v>45968</v>
      </c>
      <c r="S39" s="110" t="s">
        <v>2941</v>
      </c>
      <c r="T39" s="46"/>
      <c r="U39" s="85"/>
      <c r="V39" s="46"/>
      <c r="W39" s="46"/>
      <c r="X39" s="46"/>
      <c r="Y39" s="85"/>
    </row>
    <row r="40" customFormat="false" ht="15.75" hidden="false" customHeight="true" outlineLevel="0" collapsed="false">
      <c r="A40" s="106" t="n">
        <v>21</v>
      </c>
      <c r="B40" s="107" t="s">
        <v>2942</v>
      </c>
      <c r="C40" s="106" t="s">
        <v>752</v>
      </c>
      <c r="D40" s="107" t="s">
        <v>2943</v>
      </c>
      <c r="E40" s="136" t="s">
        <v>99</v>
      </c>
      <c r="F40" s="106" t="s">
        <v>2944</v>
      </c>
      <c r="G40" s="137" t="n">
        <v>45844</v>
      </c>
      <c r="H40" s="106" t="s">
        <v>529</v>
      </c>
      <c r="I40" s="138" t="str">
        <f aca="false">IFERROR(VLOOKUP(TEXT(H40,"0"),IPRESS!$A$3:$B$212,2,0),"")</f>
        <v>MARIA AUXILIADORA</v>
      </c>
      <c r="J40" s="106" t="s">
        <v>755</v>
      </c>
      <c r="K40" s="138" t="str">
        <f aca="false">IFERROR(VLOOKUP(TEXT(O40,"0"),CONDUCTORES!$A$3:$G$100,7,0),"")</f>
        <v/>
      </c>
      <c r="L40" s="50" t="n">
        <v>20.25</v>
      </c>
      <c r="M40" s="50" t="n">
        <v>10</v>
      </c>
      <c r="N40" s="139" t="n">
        <f aca="false">IFERROR(IF(L40*M40=0,"",L40*M40),"")</f>
        <v>202.5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37" t="n">
        <v>45988</v>
      </c>
      <c r="S40" s="107" t="s">
        <v>1320</v>
      </c>
      <c r="T40" s="136" t="s">
        <v>2945</v>
      </c>
      <c r="U40" s="140"/>
      <c r="V40" s="106" t="s">
        <v>2633</v>
      </c>
      <c r="W40" s="106" t="s">
        <v>760</v>
      </c>
      <c r="X40" s="106" t="s">
        <v>761</v>
      </c>
      <c r="Y40" s="85"/>
    </row>
    <row r="41" customFormat="false" ht="15.75" hidden="false" customHeight="true" outlineLevel="0" collapsed="false">
      <c r="A41" s="46" t="n">
        <v>22</v>
      </c>
      <c r="B41" s="110" t="s">
        <v>2946</v>
      </c>
      <c r="C41" s="46" t="s">
        <v>752</v>
      </c>
      <c r="D41" s="110" t="s">
        <v>2947</v>
      </c>
      <c r="E41" s="46" t="s">
        <v>99</v>
      </c>
      <c r="F41" s="46" t="s">
        <v>2948</v>
      </c>
      <c r="G41" s="142" t="n">
        <v>45852</v>
      </c>
      <c r="H41" s="46" t="s">
        <v>529</v>
      </c>
      <c r="I41" s="138" t="str">
        <f aca="false">IFERROR(VLOOKUP(TEXT(H41,"0"),IPRESS!$A$3:$B$212,2,0),"")</f>
        <v>MARIA AUXILIADORA</v>
      </c>
      <c r="J41" s="46" t="s">
        <v>755</v>
      </c>
      <c r="K41" s="138" t="str">
        <f aca="false">IFERROR(VLOOKUP(TEXT(O41,"0"),CONDUCTORES!$A$3:$G$100,7,0),"")</f>
        <v/>
      </c>
      <c r="L41" s="44" t="n">
        <v>20.25</v>
      </c>
      <c r="M41" s="44" t="n">
        <v>10</v>
      </c>
      <c r="N41" s="139" t="n">
        <f aca="false">IFERROR(IF(L41*M41=0,"",L41*M41),"")</f>
        <v>202.5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142" t="n">
        <v>45988</v>
      </c>
      <c r="S41" s="110" t="s">
        <v>2949</v>
      </c>
      <c r="T41" s="46" t="s">
        <v>2950</v>
      </c>
      <c r="U41" s="85"/>
      <c r="V41" s="46" t="s">
        <v>2633</v>
      </c>
      <c r="W41" s="46" t="s">
        <v>760</v>
      </c>
      <c r="X41" s="46" t="s">
        <v>761</v>
      </c>
      <c r="Y41" s="85"/>
    </row>
    <row r="42" customFormat="false" ht="15.75" hidden="false" customHeight="true" outlineLevel="0" collapsed="false">
      <c r="A42" s="106" t="n">
        <v>23</v>
      </c>
      <c r="B42" s="107" t="s">
        <v>2951</v>
      </c>
      <c r="C42" s="106" t="s">
        <v>752</v>
      </c>
      <c r="D42" s="107" t="s">
        <v>2935</v>
      </c>
      <c r="E42" s="136" t="s">
        <v>99</v>
      </c>
      <c r="F42" s="106" t="s">
        <v>2936</v>
      </c>
      <c r="G42" s="137" t="n">
        <v>45845</v>
      </c>
      <c r="H42" s="106" t="s">
        <v>529</v>
      </c>
      <c r="I42" s="138" t="str">
        <f aca="false">IFERROR(VLOOKUP(TEXT(H42,"0"),IPRESS!$A$3:$B$212,2,0),"")</f>
        <v>MARIA AUXILIADORA</v>
      </c>
      <c r="J42" s="106" t="s">
        <v>755</v>
      </c>
      <c r="K42" s="138" t="str">
        <f aca="false">IFERROR(VLOOKUP(TEXT(O42,"0"),CONDUCTORES!$A$3:$G$100,7,0),"")</f>
        <v/>
      </c>
      <c r="L42" s="50" t="n">
        <v>20.25</v>
      </c>
      <c r="M42" s="50" t="n">
        <v>10</v>
      </c>
      <c r="N42" s="139" t="n">
        <f aca="false">IFERROR(IF(L42*M42=0,"",L42*M42),"")</f>
        <v>202.5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37" t="n">
        <v>45988</v>
      </c>
      <c r="S42" s="107" t="s">
        <v>2889</v>
      </c>
      <c r="T42" s="136" t="s">
        <v>2952</v>
      </c>
      <c r="U42" s="140"/>
      <c r="V42" s="106" t="s">
        <v>2633</v>
      </c>
      <c r="W42" s="106" t="s">
        <v>760</v>
      </c>
      <c r="X42" s="106" t="s">
        <v>761</v>
      </c>
      <c r="Y42" s="85"/>
    </row>
    <row r="43" customFormat="false" ht="15.75" hidden="false" customHeight="true" outlineLevel="0" collapsed="false">
      <c r="A43" s="46" t="n">
        <v>24</v>
      </c>
      <c r="B43" s="110" t="s">
        <v>1262</v>
      </c>
      <c r="C43" s="46" t="s">
        <v>752</v>
      </c>
      <c r="D43" s="110" t="s">
        <v>2953</v>
      </c>
      <c r="E43" s="46" t="s">
        <v>99</v>
      </c>
      <c r="F43" s="46" t="s">
        <v>2954</v>
      </c>
      <c r="G43" s="142" t="n">
        <v>45851</v>
      </c>
      <c r="H43" s="46" t="s">
        <v>480</v>
      </c>
      <c r="I43" s="138" t="str">
        <f aca="false">IFERROR(VLOOKUP(TEXT(H43,"0"),IPRESS!$A$3:$B$212,2,0),"")</f>
        <v>JALCA GRANDE</v>
      </c>
      <c r="J43" s="46" t="s">
        <v>755</v>
      </c>
      <c r="K43" s="138" t="str">
        <f aca="false">IFERROR(VLOOKUP(TEXT(O43,"0"),CONDUCTORES!$A$3:$G$100,7,0),"")</f>
        <v/>
      </c>
      <c r="L43" s="44" t="n">
        <v>18.18</v>
      </c>
      <c r="M43" s="44" t="n">
        <v>8</v>
      </c>
      <c r="N43" s="139" t="n">
        <f aca="false">IFERROR(IF(L43*M43=0,"",L43*M43),"")</f>
        <v>145.44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142" t="n">
        <v>45891</v>
      </c>
      <c r="S43" s="110" t="s">
        <v>2955</v>
      </c>
      <c r="T43" s="46"/>
      <c r="U43" s="85"/>
      <c r="V43" s="46" t="s">
        <v>2647</v>
      </c>
      <c r="W43" s="46" t="s">
        <v>2648</v>
      </c>
      <c r="X43" s="46" t="s">
        <v>2649</v>
      </c>
      <c r="Y43" s="85"/>
    </row>
    <row r="44" customFormat="false" ht="15.75" hidden="false" customHeight="true" outlineLevel="0" collapsed="false">
      <c r="A44" s="106" t="n">
        <v>25</v>
      </c>
      <c r="B44" s="107" t="s">
        <v>1202</v>
      </c>
      <c r="C44" s="106" t="s">
        <v>752</v>
      </c>
      <c r="D44" s="107" t="s">
        <v>2956</v>
      </c>
      <c r="E44" s="136" t="s">
        <v>99</v>
      </c>
      <c r="F44" s="106" t="s">
        <v>2957</v>
      </c>
      <c r="G44" s="137" t="n">
        <v>45868</v>
      </c>
      <c r="H44" s="106" t="s">
        <v>480</v>
      </c>
      <c r="I44" s="138" t="str">
        <f aca="false">IFERROR(VLOOKUP(TEXT(H44,"0"),IPRESS!$A$3:$B$212,2,0),"")</f>
        <v>JALCA GRANDE</v>
      </c>
      <c r="J44" s="106" t="s">
        <v>755</v>
      </c>
      <c r="K44" s="138" t="str">
        <f aca="false">IFERROR(VLOOKUP(TEXT(O44,"0"),CONDUCTORES!$A$3:$G$100,7,0),"")</f>
        <v/>
      </c>
      <c r="L44" s="50" t="n">
        <v>18.18</v>
      </c>
      <c r="M44" s="50" t="n">
        <v>8</v>
      </c>
      <c r="N44" s="139" t="n">
        <f aca="false">IFERROR(IF(L44*M44=0,"",L44*M44),"")</f>
        <v>145.44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37" t="n">
        <v>45891</v>
      </c>
      <c r="S44" s="107" t="s">
        <v>1140</v>
      </c>
      <c r="T44" s="136"/>
      <c r="U44" s="140"/>
      <c r="V44" s="106" t="s">
        <v>2647</v>
      </c>
      <c r="W44" s="106" t="s">
        <v>2648</v>
      </c>
      <c r="X44" s="106" t="s">
        <v>2649</v>
      </c>
      <c r="Y44" s="85"/>
    </row>
    <row r="45" customFormat="false" ht="15.75" hidden="false" customHeight="true" outlineLevel="0" collapsed="false">
      <c r="A45" s="46" t="n">
        <v>26</v>
      </c>
      <c r="B45" s="110" t="s">
        <v>2958</v>
      </c>
      <c r="C45" s="46" t="s">
        <v>752</v>
      </c>
      <c r="D45" s="110" t="s">
        <v>2959</v>
      </c>
      <c r="E45" s="46" t="s">
        <v>99</v>
      </c>
      <c r="F45" s="46" t="s">
        <v>2960</v>
      </c>
      <c r="G45" s="142" t="n">
        <v>45847</v>
      </c>
      <c r="H45" s="46" t="s">
        <v>529</v>
      </c>
      <c r="I45" s="138" t="str">
        <f aca="false">IFERROR(VLOOKUP(TEXT(H45,"0"),IPRESS!$A$3:$B$212,2,0),"")</f>
        <v>MARIA AUXILIADORA</v>
      </c>
      <c r="J45" s="46" t="s">
        <v>755</v>
      </c>
      <c r="K45" s="138" t="str">
        <f aca="false">IFERROR(VLOOKUP(TEXT(O45,"0"),CONDUCTORES!$A$3:$G$100,7,0),"")</f>
        <v/>
      </c>
      <c r="L45" s="44" t="n">
        <v>20.25</v>
      </c>
      <c r="M45" s="44" t="n">
        <v>10</v>
      </c>
      <c r="N45" s="139" t="n">
        <f aca="false">IFERROR(IF(L45*M45=0,"",L45*M45),"")</f>
        <v>202.5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142" t="n">
        <v>45988</v>
      </c>
      <c r="S45" s="110" t="s">
        <v>2961</v>
      </c>
      <c r="T45" s="46" t="s">
        <v>2952</v>
      </c>
      <c r="U45" s="85"/>
      <c r="V45" s="46" t="s">
        <v>2633</v>
      </c>
      <c r="W45" s="46" t="s">
        <v>760</v>
      </c>
      <c r="X45" s="46" t="s">
        <v>761</v>
      </c>
      <c r="Y45" s="85"/>
    </row>
    <row r="46" customFormat="false" ht="15.75" hidden="false" customHeight="true" outlineLevel="0" collapsed="false">
      <c r="A46" s="106" t="n">
        <v>27</v>
      </c>
      <c r="B46" s="107" t="s">
        <v>832</v>
      </c>
      <c r="C46" s="106" t="s">
        <v>752</v>
      </c>
      <c r="D46" s="107" t="s">
        <v>2962</v>
      </c>
      <c r="E46" s="136" t="s">
        <v>99</v>
      </c>
      <c r="F46" s="106" t="s">
        <v>2963</v>
      </c>
      <c r="G46" s="137" t="n">
        <v>45868</v>
      </c>
      <c r="H46" s="106" t="s">
        <v>466</v>
      </c>
      <c r="I46" s="138" t="str">
        <f aca="false">IFERROR(VLOOKUP(TEXT(H46,"0"),IPRESS!$A$3:$B$212,2,0),"")</f>
        <v>HUAMBO</v>
      </c>
      <c r="J46" s="106" t="s">
        <v>529</v>
      </c>
      <c r="K46" s="138" t="str">
        <f aca="false">IFERROR(VLOOKUP(TEXT(O46,"0"),CONDUCTORES!$A$3:$G$100,7,0),"")</f>
        <v/>
      </c>
      <c r="L46" s="50" t="n">
        <v>20.25</v>
      </c>
      <c r="M46" s="50" t="n">
        <v>3</v>
      </c>
      <c r="N46" s="139" t="n">
        <f aca="false">IFERROR(IF(L46*M46=0,"",L46*M46),"")</f>
        <v>60.75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37" t="n">
        <v>46010</v>
      </c>
      <c r="S46" s="107" t="s">
        <v>2844</v>
      </c>
      <c r="T46" s="136"/>
      <c r="U46" s="140"/>
      <c r="V46" s="106"/>
      <c r="W46" s="106"/>
      <c r="X46" s="106"/>
      <c r="Y46" s="85"/>
    </row>
    <row r="47" customFormat="false" ht="15.75" hidden="false" customHeight="true" outlineLevel="0" collapsed="false">
      <c r="A47" s="46" t="n">
        <v>28</v>
      </c>
      <c r="B47" s="110" t="s">
        <v>1227</v>
      </c>
      <c r="C47" s="46" t="s">
        <v>752</v>
      </c>
      <c r="D47" s="110" t="s">
        <v>2964</v>
      </c>
      <c r="E47" s="46" t="s">
        <v>99</v>
      </c>
      <c r="F47" s="46" t="s">
        <v>2965</v>
      </c>
      <c r="G47" s="142" t="n">
        <v>45868</v>
      </c>
      <c r="H47" s="46" t="s">
        <v>483</v>
      </c>
      <c r="I47" s="138" t="str">
        <f aca="false">IFERROR(VLOOKUP(TEXT(H47,"0"),IPRESS!$A$3:$B$212,2,0),"")</f>
        <v>JUMBILLA</v>
      </c>
      <c r="J47" s="46" t="s">
        <v>755</v>
      </c>
      <c r="K47" s="138" t="str">
        <f aca="false">IFERROR(VLOOKUP(TEXT(O47,"0"),CONDUCTORES!$A$3:$G$100,7,0),"")</f>
        <v/>
      </c>
      <c r="L47" s="44" t="n">
        <v>18.18</v>
      </c>
      <c r="M47" s="44" t="n">
        <v>12</v>
      </c>
      <c r="N47" s="139" t="n">
        <f aca="false">IFERROR(IF(L47*M47=0,"",L47*M47),"")</f>
        <v>218.16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142" t="n">
        <v>45978</v>
      </c>
      <c r="S47" s="110" t="s">
        <v>2966</v>
      </c>
      <c r="T47" s="46"/>
      <c r="U47" s="85"/>
      <c r="V47" s="46" t="s">
        <v>2658</v>
      </c>
      <c r="W47" s="46" t="s">
        <v>2648</v>
      </c>
      <c r="X47" s="46" t="s">
        <v>2351</v>
      </c>
      <c r="Y47" s="85"/>
    </row>
    <row r="48" customFormat="false" ht="15.75" hidden="false" customHeight="true" outlineLevel="0" collapsed="false">
      <c r="A48" s="106" t="n">
        <v>29</v>
      </c>
      <c r="B48" s="107" t="s">
        <v>1314</v>
      </c>
      <c r="C48" s="106" t="s">
        <v>752</v>
      </c>
      <c r="D48" s="107" t="s">
        <v>2967</v>
      </c>
      <c r="E48" s="136" t="s">
        <v>99</v>
      </c>
      <c r="F48" s="106" t="s">
        <v>2968</v>
      </c>
      <c r="G48" s="137" t="n">
        <v>45839</v>
      </c>
      <c r="H48" s="106" t="s">
        <v>500</v>
      </c>
      <c r="I48" s="138" t="str">
        <f aca="false">IFERROR(VLOOKUP(TEXT(H48,"0"),IPRESS!$A$3:$B$212,2,0),"")</f>
        <v>LAMUD</v>
      </c>
      <c r="J48" s="106" t="s">
        <v>755</v>
      </c>
      <c r="K48" s="138" t="str">
        <f aca="false">IFERROR(VLOOKUP(TEXT(O48,"0"),CONDUCTORES!$A$3:$G$100,7,0),"")</f>
        <v/>
      </c>
      <c r="L48" s="50" t="n">
        <v>18.18</v>
      </c>
      <c r="M48" s="50" t="n">
        <v>4</v>
      </c>
      <c r="N48" s="139" t="n">
        <f aca="false">IFERROR(IF(L48*M48=0,"",L48*M48),"")</f>
        <v>72.72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37" t="n">
        <v>45950</v>
      </c>
      <c r="S48" s="107" t="s">
        <v>2969</v>
      </c>
      <c r="T48" s="136"/>
      <c r="U48" s="140"/>
      <c r="V48" s="106" t="s">
        <v>2553</v>
      </c>
      <c r="W48" s="106" t="s">
        <v>2554</v>
      </c>
      <c r="X48" s="106" t="s">
        <v>2351</v>
      </c>
      <c r="Y48" s="85"/>
    </row>
    <row r="49" customFormat="false" ht="15.75" hidden="false" customHeight="true" outlineLevel="0" collapsed="false">
      <c r="A49" s="46" t="n">
        <v>30</v>
      </c>
      <c r="B49" s="110" t="s">
        <v>1331</v>
      </c>
      <c r="C49" s="46" t="s">
        <v>752</v>
      </c>
      <c r="D49" s="110" t="s">
        <v>2970</v>
      </c>
      <c r="E49" s="46" t="s">
        <v>99</v>
      </c>
      <c r="F49" s="46" t="s">
        <v>2971</v>
      </c>
      <c r="G49" s="142" t="n">
        <v>45843</v>
      </c>
      <c r="H49" s="46" t="s">
        <v>500</v>
      </c>
      <c r="I49" s="138" t="str">
        <f aca="false">IFERROR(VLOOKUP(TEXT(H49,"0"),IPRESS!$A$3:$B$212,2,0),"")</f>
        <v>LAMUD</v>
      </c>
      <c r="J49" s="46" t="s">
        <v>755</v>
      </c>
      <c r="K49" s="138" t="str">
        <f aca="false">IFERROR(VLOOKUP(TEXT(O49,"0"),CONDUCTORES!$A$3:$G$100,7,0),"")</f>
        <v/>
      </c>
      <c r="L49" s="44" t="n">
        <v>18.18</v>
      </c>
      <c r="M49" s="44" t="n">
        <v>4</v>
      </c>
      <c r="N49" s="139" t="n">
        <f aca="false">IFERROR(IF(L49*M49=0,"",L49*M49),"")</f>
        <v>72.72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142" t="n">
        <v>45950</v>
      </c>
      <c r="S49" s="110" t="s">
        <v>2972</v>
      </c>
      <c r="T49" s="46"/>
      <c r="U49" s="85"/>
      <c r="V49" s="46" t="s">
        <v>2553</v>
      </c>
      <c r="W49" s="46" t="s">
        <v>2554</v>
      </c>
      <c r="X49" s="46" t="s">
        <v>2351</v>
      </c>
      <c r="Y49" s="85"/>
    </row>
    <row r="50" customFormat="false" ht="15.75" hidden="false" customHeight="true" outlineLevel="0" collapsed="false">
      <c r="A50" s="106" t="n">
        <v>31</v>
      </c>
      <c r="B50" s="107" t="s">
        <v>1335</v>
      </c>
      <c r="C50" s="106" t="s">
        <v>752</v>
      </c>
      <c r="D50" s="107" t="s">
        <v>2973</v>
      </c>
      <c r="E50" s="136" t="s">
        <v>99</v>
      </c>
      <c r="F50" s="106" t="s">
        <v>2974</v>
      </c>
      <c r="G50" s="137" t="n">
        <v>45844</v>
      </c>
      <c r="H50" s="106" t="s">
        <v>500</v>
      </c>
      <c r="I50" s="138" t="str">
        <f aca="false">IFERROR(VLOOKUP(TEXT(H50,"0"),IPRESS!$A$3:$B$212,2,0),"")</f>
        <v>LAMUD</v>
      </c>
      <c r="J50" s="106" t="s">
        <v>755</v>
      </c>
      <c r="K50" s="138" t="str">
        <f aca="false">IFERROR(VLOOKUP(TEXT(O50,"0"),CONDUCTORES!$A$3:$G$100,7,0),"")</f>
        <v/>
      </c>
      <c r="L50" s="50" t="n">
        <v>18.18</v>
      </c>
      <c r="M50" s="50" t="n">
        <v>4</v>
      </c>
      <c r="N50" s="139" t="n">
        <f aca="false">IFERROR(IF(L50*M50=0,"",L50*M50),"")</f>
        <v>72.72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37" t="n">
        <v>45950</v>
      </c>
      <c r="S50" s="107" t="s">
        <v>2975</v>
      </c>
      <c r="T50" s="136"/>
      <c r="U50" s="140"/>
      <c r="V50" s="106" t="s">
        <v>2553</v>
      </c>
      <c r="W50" s="106" t="s">
        <v>2554</v>
      </c>
      <c r="X50" s="106" t="s">
        <v>2351</v>
      </c>
      <c r="Y50" s="85"/>
    </row>
    <row r="51" customFormat="false" ht="15.75" hidden="false" customHeight="true" outlineLevel="0" collapsed="false">
      <c r="A51" s="46" t="n">
        <v>32</v>
      </c>
      <c r="B51" s="110" t="s">
        <v>1338</v>
      </c>
      <c r="C51" s="46" t="s">
        <v>752</v>
      </c>
      <c r="D51" s="110" t="s">
        <v>2976</v>
      </c>
      <c r="E51" s="46" t="s">
        <v>99</v>
      </c>
      <c r="F51" s="46" t="s">
        <v>2977</v>
      </c>
      <c r="G51" s="142" t="n">
        <v>45844</v>
      </c>
      <c r="H51" s="46" t="s">
        <v>500</v>
      </c>
      <c r="I51" s="138" t="str">
        <f aca="false">IFERROR(VLOOKUP(TEXT(H51,"0"),IPRESS!$A$3:$B$212,2,0),"")</f>
        <v>LAMUD</v>
      </c>
      <c r="J51" s="46" t="s">
        <v>755</v>
      </c>
      <c r="K51" s="138" t="str">
        <f aca="false">IFERROR(VLOOKUP(TEXT(O51,"0"),CONDUCTORES!$A$3:$G$100,7,0),"")</f>
        <v/>
      </c>
      <c r="L51" s="44" t="n">
        <v>18.18</v>
      </c>
      <c r="M51" s="44" t="n">
        <v>4</v>
      </c>
      <c r="N51" s="139" t="n">
        <f aca="false">IFERROR(IF(L51*M51=0,"",L51*M51),"")</f>
        <v>72.72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142" t="n">
        <v>45950</v>
      </c>
      <c r="S51" s="110" t="s">
        <v>2978</v>
      </c>
      <c r="T51" s="46"/>
      <c r="U51" s="85"/>
      <c r="V51" s="46" t="s">
        <v>2553</v>
      </c>
      <c r="W51" s="46" t="s">
        <v>2554</v>
      </c>
      <c r="X51" s="46" t="s">
        <v>2351</v>
      </c>
      <c r="Y51" s="85"/>
    </row>
    <row r="52" customFormat="false" ht="15.75" hidden="false" customHeight="true" outlineLevel="0" collapsed="false">
      <c r="A52" s="106" t="n">
        <v>33</v>
      </c>
      <c r="B52" s="107" t="s">
        <v>896</v>
      </c>
      <c r="C52" s="106" t="s">
        <v>752</v>
      </c>
      <c r="D52" s="107" t="s">
        <v>2979</v>
      </c>
      <c r="E52" s="136" t="s">
        <v>99</v>
      </c>
      <c r="F52" s="106" t="s">
        <v>2980</v>
      </c>
      <c r="G52" s="137" t="n">
        <v>45839</v>
      </c>
      <c r="H52" s="106" t="s">
        <v>507</v>
      </c>
      <c r="I52" s="138" t="str">
        <f aca="false">IFERROR(VLOOKUP(TEXT(H52,"0"),IPRESS!$A$3:$B$212,2,0),"")</f>
        <v>LEYMEBAMBA</v>
      </c>
      <c r="J52" s="106" t="s">
        <v>755</v>
      </c>
      <c r="K52" s="138" t="str">
        <f aca="false">IFERROR(VLOOKUP(TEXT(O52,"0"),CONDUCTORES!$A$3:$G$100,7,0),"")</f>
        <v/>
      </c>
      <c r="L52" s="50" t="n">
        <v>18.18</v>
      </c>
      <c r="M52" s="50" t="n">
        <v>7.5</v>
      </c>
      <c r="N52" s="139" t="n">
        <f aca="false">IFERROR(IF(L52*M52=0,"",L52*M52),"")</f>
        <v>136.35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37" t="n">
        <v>45987</v>
      </c>
      <c r="S52" s="107" t="s">
        <v>1683</v>
      </c>
      <c r="T52" s="136"/>
      <c r="U52" s="140"/>
      <c r="V52" s="106" t="s">
        <v>2981</v>
      </c>
      <c r="W52" s="106" t="s">
        <v>2982</v>
      </c>
      <c r="X52" s="106" t="s">
        <v>2351</v>
      </c>
      <c r="Y52" s="85"/>
    </row>
    <row r="53" customFormat="false" ht="15.75" hidden="false" customHeight="true" outlineLevel="0" collapsed="false">
      <c r="A53" s="46" t="n">
        <v>34</v>
      </c>
      <c r="B53" s="110" t="s">
        <v>1807</v>
      </c>
      <c r="C53" s="46" t="s">
        <v>752</v>
      </c>
      <c r="D53" s="110" t="s">
        <v>2983</v>
      </c>
      <c r="E53" s="46" t="s">
        <v>99</v>
      </c>
      <c r="F53" s="46" t="s">
        <v>2984</v>
      </c>
      <c r="G53" s="142" t="n">
        <v>45854</v>
      </c>
      <c r="H53" s="46" t="s">
        <v>507</v>
      </c>
      <c r="I53" s="138" t="str">
        <f aca="false">IFERROR(VLOOKUP(TEXT(H53,"0"),IPRESS!$A$3:$B$212,2,0),"")</f>
        <v>LEYMEBAMBA</v>
      </c>
      <c r="J53" s="46" t="s">
        <v>755</v>
      </c>
      <c r="K53" s="138" t="str">
        <f aca="false">IFERROR(VLOOKUP(TEXT(O53,"0"),CONDUCTORES!$A$3:$G$100,7,0),"")</f>
        <v/>
      </c>
      <c r="L53" s="44" t="n">
        <v>18.18</v>
      </c>
      <c r="M53" s="44" t="n">
        <v>7.5</v>
      </c>
      <c r="N53" s="139" t="n">
        <f aca="false">IFERROR(IF(L53*M53=0,"",L53*M53),"")</f>
        <v>136.35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142" t="n">
        <v>45987</v>
      </c>
      <c r="S53" s="110" t="s">
        <v>2985</v>
      </c>
      <c r="T53" s="46"/>
      <c r="U53" s="85"/>
      <c r="V53" s="46" t="s">
        <v>2981</v>
      </c>
      <c r="W53" s="46" t="s">
        <v>2982</v>
      </c>
      <c r="X53" s="46" t="s">
        <v>2351</v>
      </c>
      <c r="Y53" s="85"/>
    </row>
    <row r="54" customFormat="false" ht="15.75" hidden="false" customHeight="true" outlineLevel="0" collapsed="false">
      <c r="A54" s="106" t="n">
        <v>35</v>
      </c>
      <c r="B54" s="107" t="s">
        <v>2087</v>
      </c>
      <c r="C54" s="106" t="s">
        <v>752</v>
      </c>
      <c r="D54" s="107" t="s">
        <v>2986</v>
      </c>
      <c r="E54" s="136" t="s">
        <v>99</v>
      </c>
      <c r="F54" s="106" t="s">
        <v>2987</v>
      </c>
      <c r="G54" s="137" t="n">
        <v>45854</v>
      </c>
      <c r="H54" s="106" t="s">
        <v>507</v>
      </c>
      <c r="I54" s="138" t="str">
        <f aca="false">IFERROR(VLOOKUP(TEXT(H54,"0"),IPRESS!$A$3:$B$212,2,0),"")</f>
        <v>LEYMEBAMBA</v>
      </c>
      <c r="J54" s="106" t="s">
        <v>755</v>
      </c>
      <c r="K54" s="138" t="str">
        <f aca="false">IFERROR(VLOOKUP(TEXT(O54,"0"),CONDUCTORES!$A$3:$G$100,7,0),"")</f>
        <v/>
      </c>
      <c r="L54" s="50" t="n">
        <v>18.18</v>
      </c>
      <c r="M54" s="50" t="n">
        <v>7.5</v>
      </c>
      <c r="N54" s="139" t="n">
        <f aca="false">IFERROR(IF(L54*M54=0,"",L54*M54),"")</f>
        <v>136.35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37" t="n">
        <v>45987</v>
      </c>
      <c r="S54" s="107" t="s">
        <v>2988</v>
      </c>
      <c r="T54" s="136"/>
      <c r="U54" s="140"/>
      <c r="V54" s="106" t="s">
        <v>2981</v>
      </c>
      <c r="W54" s="106" t="s">
        <v>2982</v>
      </c>
      <c r="X54" s="106" t="s">
        <v>2351</v>
      </c>
      <c r="Y54" s="85"/>
    </row>
    <row r="55" customFormat="false" ht="15.75" hidden="false" customHeight="true" outlineLevel="0" collapsed="false">
      <c r="A55" s="46" t="n">
        <v>36</v>
      </c>
      <c r="B55" s="110" t="s">
        <v>1329</v>
      </c>
      <c r="C55" s="46" t="s">
        <v>752</v>
      </c>
      <c r="D55" s="110" t="s">
        <v>2989</v>
      </c>
      <c r="E55" s="46" t="s">
        <v>99</v>
      </c>
      <c r="F55" s="46" t="s">
        <v>2990</v>
      </c>
      <c r="G55" s="142" t="n">
        <v>45840</v>
      </c>
      <c r="H55" s="46" t="s">
        <v>517</v>
      </c>
      <c r="I55" s="138" t="str">
        <f aca="false">IFERROR(VLOOKUP(TEXT(H55,"0"),IPRESS!$A$3:$B$212,2,0),"")</f>
        <v>LUYA</v>
      </c>
      <c r="J55" s="46" t="s">
        <v>755</v>
      </c>
      <c r="K55" s="138" t="str">
        <f aca="false">IFERROR(VLOOKUP(TEXT(O55,"0"),CONDUCTORES!$A$3:$G$100,7,0),"")</f>
        <v/>
      </c>
      <c r="L55" s="44" t="n">
        <v>18.18</v>
      </c>
      <c r="M55" s="44" t="n">
        <v>4</v>
      </c>
      <c r="N55" s="139" t="n">
        <f aca="false">IFERROR(IF(L55*M55=0,"",L55*M55),"")</f>
        <v>72.72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142" t="n">
        <v>45887</v>
      </c>
      <c r="S55" s="110" t="s">
        <v>2991</v>
      </c>
      <c r="T55" s="46"/>
      <c r="U55" s="85"/>
      <c r="V55" s="46" t="s">
        <v>2704</v>
      </c>
      <c r="W55" s="46" t="s">
        <v>2705</v>
      </c>
      <c r="X55" s="46" t="s">
        <v>2649</v>
      </c>
      <c r="Y55" s="85"/>
    </row>
    <row r="56" customFormat="false" ht="15.75" hidden="false" customHeight="true" outlineLevel="0" collapsed="false">
      <c r="A56" s="106" t="n">
        <v>37</v>
      </c>
      <c r="B56" s="107" t="s">
        <v>1319</v>
      </c>
      <c r="C56" s="106" t="s">
        <v>752</v>
      </c>
      <c r="D56" s="107" t="s">
        <v>2992</v>
      </c>
      <c r="E56" s="136" t="s">
        <v>99</v>
      </c>
      <c r="F56" s="106" t="s">
        <v>2993</v>
      </c>
      <c r="G56" s="137" t="n">
        <v>45851</v>
      </c>
      <c r="H56" s="106" t="s">
        <v>517</v>
      </c>
      <c r="I56" s="138" t="str">
        <f aca="false">IFERROR(VLOOKUP(TEXT(H56,"0"),IPRESS!$A$3:$B$212,2,0),"")</f>
        <v>LUYA</v>
      </c>
      <c r="J56" s="106" t="s">
        <v>755</v>
      </c>
      <c r="K56" s="138" t="str">
        <f aca="false">IFERROR(VLOOKUP(TEXT(O56,"0"),CONDUCTORES!$A$3:$G$100,7,0),"")</f>
        <v/>
      </c>
      <c r="L56" s="50" t="n">
        <v>18.18</v>
      </c>
      <c r="M56" s="50" t="n">
        <v>4</v>
      </c>
      <c r="N56" s="139" t="n">
        <f aca="false">IFERROR(IF(L56*M56=0,"",L56*M56),"")</f>
        <v>72.72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37" t="n">
        <v>45924</v>
      </c>
      <c r="S56" s="107" t="s">
        <v>2994</v>
      </c>
      <c r="T56" s="136"/>
      <c r="U56" s="140"/>
      <c r="V56" s="106"/>
      <c r="W56" s="106"/>
      <c r="X56" s="106"/>
      <c r="Y56" s="85"/>
    </row>
    <row r="57" customFormat="false" ht="15.75" hidden="false" customHeight="true" outlineLevel="0" collapsed="false">
      <c r="A57" s="46" t="n">
        <v>38</v>
      </c>
      <c r="B57" s="110" t="s">
        <v>1321</v>
      </c>
      <c r="C57" s="46" t="s">
        <v>752</v>
      </c>
      <c r="D57" s="110" t="s">
        <v>2995</v>
      </c>
      <c r="E57" s="46" t="s">
        <v>99</v>
      </c>
      <c r="F57" s="46" t="s">
        <v>2996</v>
      </c>
      <c r="G57" s="142" t="n">
        <v>45852</v>
      </c>
      <c r="H57" s="46" t="s">
        <v>517</v>
      </c>
      <c r="I57" s="138" t="str">
        <f aca="false">IFERROR(VLOOKUP(TEXT(H57,"0"),IPRESS!$A$3:$B$212,2,0),"")</f>
        <v>LUYA</v>
      </c>
      <c r="J57" s="46" t="s">
        <v>755</v>
      </c>
      <c r="K57" s="138" t="str">
        <f aca="false">IFERROR(VLOOKUP(TEXT(O57,"0"),CONDUCTORES!$A$3:$G$100,7,0),"")</f>
        <v/>
      </c>
      <c r="L57" s="44" t="n">
        <v>18.18</v>
      </c>
      <c r="M57" s="44" t="n">
        <v>4</v>
      </c>
      <c r="N57" s="139" t="n">
        <f aca="false">IFERROR(IF(L57*M57=0,"",L57*M57),"")</f>
        <v>72.72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142" t="n">
        <v>45924</v>
      </c>
      <c r="S57" s="110" t="s">
        <v>2997</v>
      </c>
      <c r="T57" s="46"/>
      <c r="U57" s="85"/>
      <c r="V57" s="46"/>
      <c r="W57" s="46"/>
      <c r="X57" s="46"/>
      <c r="Y57" s="85"/>
    </row>
    <row r="58" customFormat="false" ht="15.75" hidden="false" customHeight="true" outlineLevel="0" collapsed="false">
      <c r="A58" s="106" t="n">
        <v>39</v>
      </c>
      <c r="B58" s="107" t="s">
        <v>1325</v>
      </c>
      <c r="C58" s="106" t="s">
        <v>752</v>
      </c>
      <c r="D58" s="107" t="s">
        <v>2998</v>
      </c>
      <c r="E58" s="136" t="s">
        <v>99</v>
      </c>
      <c r="F58" s="106" t="s">
        <v>2999</v>
      </c>
      <c r="G58" s="137" t="n">
        <v>45852</v>
      </c>
      <c r="H58" s="106" t="s">
        <v>517</v>
      </c>
      <c r="I58" s="138" t="str">
        <f aca="false">IFERROR(VLOOKUP(TEXT(H58,"0"),IPRESS!$A$3:$B$212,2,0),"")</f>
        <v>LUYA</v>
      </c>
      <c r="J58" s="106" t="s">
        <v>755</v>
      </c>
      <c r="K58" s="138" t="str">
        <f aca="false">IFERROR(VLOOKUP(TEXT(O58,"0"),CONDUCTORES!$A$3:$G$100,7,0),"")</f>
        <v/>
      </c>
      <c r="L58" s="50" t="n">
        <v>18.18</v>
      </c>
      <c r="M58" s="50" t="n">
        <v>4</v>
      </c>
      <c r="N58" s="139" t="n">
        <f aca="false">IFERROR(IF(L58*M58=0,"",L58*M58),"")</f>
        <v>72.72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37" t="n">
        <v>45924</v>
      </c>
      <c r="S58" s="107" t="s">
        <v>3000</v>
      </c>
      <c r="T58" s="136"/>
      <c r="U58" s="140"/>
      <c r="V58" s="106"/>
      <c r="W58" s="106"/>
      <c r="X58" s="106"/>
      <c r="Y58" s="85"/>
    </row>
    <row r="59" customFormat="false" ht="15.75" hidden="false" customHeight="true" outlineLevel="0" collapsed="false">
      <c r="A59" s="46" t="n">
        <v>40</v>
      </c>
      <c r="B59" s="110" t="s">
        <v>1314</v>
      </c>
      <c r="C59" s="46" t="s">
        <v>752</v>
      </c>
      <c r="D59" s="110" t="s">
        <v>3001</v>
      </c>
      <c r="E59" s="46" t="s">
        <v>99</v>
      </c>
      <c r="F59" s="46" t="s">
        <v>3002</v>
      </c>
      <c r="G59" s="142" t="n">
        <v>45853</v>
      </c>
      <c r="H59" s="46" t="s">
        <v>517</v>
      </c>
      <c r="I59" s="138" t="str">
        <f aca="false">IFERROR(VLOOKUP(TEXT(H59,"0"),IPRESS!$A$3:$B$212,2,0),"")</f>
        <v>LUYA</v>
      </c>
      <c r="J59" s="46" t="s">
        <v>755</v>
      </c>
      <c r="K59" s="138" t="str">
        <f aca="false">IFERROR(VLOOKUP(TEXT(O59,"0"),CONDUCTORES!$A$3:$G$100,7,0),"")</f>
        <v/>
      </c>
      <c r="L59" s="44" t="n">
        <v>18.18</v>
      </c>
      <c r="M59" s="44" t="n">
        <v>4</v>
      </c>
      <c r="N59" s="139" t="n">
        <f aca="false">IFERROR(IF(L59*M59=0,"",L59*M59),"")</f>
        <v>72.72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142" t="n">
        <v>45924</v>
      </c>
      <c r="S59" s="110" t="s">
        <v>3003</v>
      </c>
      <c r="T59" s="46"/>
      <c r="U59" s="85"/>
      <c r="V59" s="46"/>
      <c r="W59" s="46"/>
      <c r="X59" s="46"/>
      <c r="Y59" s="85"/>
    </row>
    <row r="60" customFormat="false" ht="15.75" hidden="false" customHeight="true" outlineLevel="0" collapsed="false">
      <c r="A60" s="106" t="n">
        <v>41</v>
      </c>
      <c r="B60" s="107" t="s">
        <v>1331</v>
      </c>
      <c r="C60" s="106" t="s">
        <v>752</v>
      </c>
      <c r="D60" s="107" t="s">
        <v>3004</v>
      </c>
      <c r="E60" s="136" t="s">
        <v>99</v>
      </c>
      <c r="F60" s="106" t="s">
        <v>3005</v>
      </c>
      <c r="G60" s="137" t="n">
        <v>45860</v>
      </c>
      <c r="H60" s="106" t="s">
        <v>517</v>
      </c>
      <c r="I60" s="138" t="str">
        <f aca="false">IFERROR(VLOOKUP(TEXT(H60,"0"),IPRESS!$A$3:$B$212,2,0),"")</f>
        <v>LUYA</v>
      </c>
      <c r="J60" s="106" t="s">
        <v>755</v>
      </c>
      <c r="K60" s="138" t="str">
        <f aca="false">IFERROR(VLOOKUP(TEXT(O60,"0"),CONDUCTORES!$A$3:$G$100,7,0),"")</f>
        <v/>
      </c>
      <c r="L60" s="50" t="n">
        <v>18.18</v>
      </c>
      <c r="M60" s="50" t="n">
        <v>4</v>
      </c>
      <c r="N60" s="139" t="n">
        <f aca="false">IFERROR(IF(L60*M60=0,"",L60*M60),"")</f>
        <v>72.72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37" t="n">
        <v>45924</v>
      </c>
      <c r="S60" s="107" t="s">
        <v>3006</v>
      </c>
      <c r="T60" s="136"/>
      <c r="U60" s="140"/>
      <c r="V60" s="106"/>
      <c r="W60" s="106"/>
      <c r="X60" s="106"/>
      <c r="Y60" s="85"/>
    </row>
    <row r="61" customFormat="false" ht="15.75" hidden="false" customHeight="true" outlineLevel="0" collapsed="false">
      <c r="A61" s="46" t="n">
        <v>42</v>
      </c>
      <c r="B61" s="110" t="s">
        <v>1335</v>
      </c>
      <c r="C61" s="46" t="s">
        <v>752</v>
      </c>
      <c r="D61" s="110" t="s">
        <v>3007</v>
      </c>
      <c r="E61" s="46" t="s">
        <v>99</v>
      </c>
      <c r="F61" s="46" t="s">
        <v>3008</v>
      </c>
      <c r="G61" s="142" t="n">
        <v>45862</v>
      </c>
      <c r="H61" s="46" t="s">
        <v>517</v>
      </c>
      <c r="I61" s="138" t="str">
        <f aca="false">IFERROR(VLOOKUP(TEXT(H61,"0"),IPRESS!$A$3:$B$212,2,0),"")</f>
        <v>LUYA</v>
      </c>
      <c r="J61" s="46" t="s">
        <v>755</v>
      </c>
      <c r="K61" s="138" t="str">
        <f aca="false">IFERROR(VLOOKUP(TEXT(O61,"0"),CONDUCTORES!$A$3:$G$100,7,0),"")</f>
        <v/>
      </c>
      <c r="L61" s="44" t="n">
        <v>18.18</v>
      </c>
      <c r="M61" s="44" t="n">
        <v>4</v>
      </c>
      <c r="N61" s="139" t="n">
        <f aca="false">IFERROR(IF(L61*M61=0,"",L61*M61),"")</f>
        <v>72.72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142" t="n">
        <v>45924</v>
      </c>
      <c r="S61" s="110" t="s">
        <v>3009</v>
      </c>
      <c r="T61" s="46"/>
      <c r="U61" s="85"/>
      <c r="V61" s="46"/>
      <c r="W61" s="46"/>
      <c r="X61" s="46"/>
      <c r="Y61" s="85"/>
    </row>
    <row r="62" customFormat="false" ht="15.75" hidden="false" customHeight="true" outlineLevel="0" collapsed="false">
      <c r="A62" s="106" t="n">
        <v>43</v>
      </c>
      <c r="B62" s="107" t="s">
        <v>1338</v>
      </c>
      <c r="C62" s="106" t="s">
        <v>752</v>
      </c>
      <c r="D62" s="107" t="s">
        <v>3010</v>
      </c>
      <c r="E62" s="136" t="s">
        <v>99</v>
      </c>
      <c r="F62" s="106" t="s">
        <v>1294</v>
      </c>
      <c r="G62" s="137" t="n">
        <v>45863</v>
      </c>
      <c r="H62" s="106" t="s">
        <v>517</v>
      </c>
      <c r="I62" s="138" t="str">
        <f aca="false">IFERROR(VLOOKUP(TEXT(H62,"0"),IPRESS!$A$3:$B$212,2,0),"")</f>
        <v>LUYA</v>
      </c>
      <c r="J62" s="106" t="s">
        <v>755</v>
      </c>
      <c r="K62" s="138" t="str">
        <f aca="false">IFERROR(VLOOKUP(TEXT(O62,"0"),CONDUCTORES!$A$3:$G$100,7,0),"")</f>
        <v/>
      </c>
      <c r="L62" s="50" t="n">
        <v>18.18</v>
      </c>
      <c r="M62" s="50" t="n">
        <v>4</v>
      </c>
      <c r="N62" s="139" t="n">
        <f aca="false">IFERROR(IF(L62*M62=0,"",L62*M62),"")</f>
        <v>72.72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37" t="n">
        <v>45924</v>
      </c>
      <c r="S62" s="107" t="s">
        <v>3009</v>
      </c>
      <c r="T62" s="136"/>
      <c r="U62" s="140"/>
      <c r="V62" s="106"/>
      <c r="W62" s="106"/>
      <c r="X62" s="106"/>
      <c r="Y62" s="85"/>
    </row>
    <row r="63" customFormat="false" ht="15.75" hidden="false" customHeight="true" outlineLevel="0" collapsed="false">
      <c r="A63" s="46" t="n">
        <v>44</v>
      </c>
      <c r="B63" s="110" t="s">
        <v>1342</v>
      </c>
      <c r="C63" s="46" t="s">
        <v>752</v>
      </c>
      <c r="D63" s="110" t="s">
        <v>3011</v>
      </c>
      <c r="E63" s="46" t="s">
        <v>99</v>
      </c>
      <c r="F63" s="46" t="s">
        <v>3012</v>
      </c>
      <c r="G63" s="142" t="n">
        <v>45867</v>
      </c>
      <c r="H63" s="46" t="s">
        <v>517</v>
      </c>
      <c r="I63" s="138" t="str">
        <f aca="false">IFERROR(VLOOKUP(TEXT(H63,"0"),IPRESS!$A$3:$B$212,2,0),"")</f>
        <v>LUYA</v>
      </c>
      <c r="J63" s="46" t="s">
        <v>755</v>
      </c>
      <c r="K63" s="138" t="str">
        <f aca="false">IFERROR(VLOOKUP(TEXT(O63,"0"),CONDUCTORES!$A$3:$G$100,7,0),"")</f>
        <v/>
      </c>
      <c r="L63" s="44" t="n">
        <v>18.18</v>
      </c>
      <c r="M63" s="44" t="n">
        <v>4</v>
      </c>
      <c r="N63" s="139" t="n">
        <f aca="false">IFERROR(IF(L63*M63=0,"",L63*M63),"")</f>
        <v>72.72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142" t="n">
        <v>45924</v>
      </c>
      <c r="S63" s="110" t="s">
        <v>3013</v>
      </c>
      <c r="T63" s="46"/>
      <c r="U63" s="85"/>
      <c r="V63" s="46"/>
      <c r="W63" s="46"/>
      <c r="X63" s="46"/>
      <c r="Y63" s="85"/>
    </row>
    <row r="64" customFormat="false" ht="15.75" hidden="false" customHeight="true" outlineLevel="0" collapsed="false">
      <c r="A64" s="106" t="n">
        <v>45</v>
      </c>
      <c r="B64" s="107" t="s">
        <v>1346</v>
      </c>
      <c r="C64" s="106" t="s">
        <v>752</v>
      </c>
      <c r="D64" s="107" t="s">
        <v>3014</v>
      </c>
      <c r="E64" s="136" t="s">
        <v>99</v>
      </c>
      <c r="F64" s="106" t="s">
        <v>3015</v>
      </c>
      <c r="G64" s="137" t="n">
        <v>45867</v>
      </c>
      <c r="H64" s="106" t="s">
        <v>517</v>
      </c>
      <c r="I64" s="138" t="str">
        <f aca="false">IFERROR(VLOOKUP(TEXT(H64,"0"),IPRESS!$A$3:$B$212,2,0),"")</f>
        <v>LUYA</v>
      </c>
      <c r="J64" s="106" t="s">
        <v>755</v>
      </c>
      <c r="K64" s="138" t="str">
        <f aca="false">IFERROR(VLOOKUP(TEXT(O64,"0"),CONDUCTORES!$A$3:$G$100,7,0),"")</f>
        <v/>
      </c>
      <c r="L64" s="50" t="n">
        <v>18.18</v>
      </c>
      <c r="M64" s="50" t="n">
        <v>4</v>
      </c>
      <c r="N64" s="139" t="n">
        <f aca="false">IFERROR(IF(L64*M64=0,"",L64*M64),"")</f>
        <v>72.72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37" t="n">
        <v>45924</v>
      </c>
      <c r="S64" s="107" t="s">
        <v>3016</v>
      </c>
      <c r="T64" s="136"/>
      <c r="U64" s="140"/>
      <c r="V64" s="106"/>
      <c r="W64" s="106"/>
      <c r="X64" s="106"/>
      <c r="Y64" s="85"/>
    </row>
    <row r="65" customFormat="false" ht="15.75" hidden="false" customHeight="true" outlineLevel="0" collapsed="false">
      <c r="A65" s="46" t="n">
        <v>46</v>
      </c>
      <c r="B65" s="110" t="s">
        <v>1350</v>
      </c>
      <c r="C65" s="46" t="s">
        <v>752</v>
      </c>
      <c r="D65" s="110" t="s">
        <v>3017</v>
      </c>
      <c r="E65" s="46" t="s">
        <v>99</v>
      </c>
      <c r="F65" s="46" t="s">
        <v>3018</v>
      </c>
      <c r="G65" s="142" t="n">
        <v>45868</v>
      </c>
      <c r="H65" s="46" t="s">
        <v>517</v>
      </c>
      <c r="I65" s="138" t="str">
        <f aca="false">IFERROR(VLOOKUP(TEXT(H65,"0"),IPRESS!$A$3:$B$212,2,0),"")</f>
        <v>LUYA</v>
      </c>
      <c r="J65" s="46" t="s">
        <v>755</v>
      </c>
      <c r="K65" s="138" t="str">
        <f aca="false">IFERROR(VLOOKUP(TEXT(O65,"0"),CONDUCTORES!$A$3:$G$100,7,0),"")</f>
        <v/>
      </c>
      <c r="L65" s="44" t="n">
        <v>18.18</v>
      </c>
      <c r="M65" s="44" t="n">
        <v>4</v>
      </c>
      <c r="N65" s="139" t="n">
        <f aca="false">IFERROR(IF(L65*M65=0,"",L65*M65),"")</f>
        <v>72.72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142" t="n">
        <v>45924</v>
      </c>
      <c r="S65" s="110" t="s">
        <v>1867</v>
      </c>
      <c r="T65" s="46"/>
      <c r="U65" s="85"/>
      <c r="V65" s="46"/>
      <c r="W65" s="46"/>
      <c r="X65" s="46"/>
      <c r="Y65" s="85"/>
    </row>
    <row r="66" customFormat="false" ht="15.75" hidden="false" customHeight="true" outlineLevel="0" collapsed="false">
      <c r="A66" s="106" t="n">
        <v>47</v>
      </c>
      <c r="B66" s="107" t="s">
        <v>1310</v>
      </c>
      <c r="C66" s="106" t="s">
        <v>752</v>
      </c>
      <c r="D66" s="107" t="s">
        <v>3019</v>
      </c>
      <c r="E66" s="136" t="s">
        <v>99</v>
      </c>
      <c r="F66" s="106" t="s">
        <v>3020</v>
      </c>
      <c r="G66" s="137" t="n">
        <v>45869</v>
      </c>
      <c r="H66" s="106" t="s">
        <v>517</v>
      </c>
      <c r="I66" s="138" t="str">
        <f aca="false">IFERROR(VLOOKUP(TEXT(H66,"0"),IPRESS!$A$3:$B$212,2,0),"")</f>
        <v>LUYA</v>
      </c>
      <c r="J66" s="106" t="s">
        <v>755</v>
      </c>
      <c r="K66" s="138" t="str">
        <f aca="false">IFERROR(VLOOKUP(TEXT(O66,"0"),CONDUCTORES!$A$3:$G$100,7,0),"")</f>
        <v/>
      </c>
      <c r="L66" s="50" t="n">
        <v>18.18</v>
      </c>
      <c r="M66" s="50" t="n">
        <v>4</v>
      </c>
      <c r="N66" s="139" t="n">
        <f aca="false">IFERROR(IF(L66*M66=0,"",L66*M66),"")</f>
        <v>72.72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37" t="n">
        <v>45924</v>
      </c>
      <c r="S66" s="107" t="s">
        <v>2235</v>
      </c>
      <c r="T66" s="136"/>
      <c r="U66" s="140"/>
      <c r="V66" s="106"/>
      <c r="W66" s="106"/>
      <c r="X66" s="106"/>
      <c r="Y66" s="85"/>
    </row>
    <row r="67" customFormat="false" ht="15.75" hidden="false" customHeight="true" outlineLevel="0" collapsed="false">
      <c r="A67" s="46" t="n">
        <v>48</v>
      </c>
      <c r="B67" s="110" t="s">
        <v>2090</v>
      </c>
      <c r="C67" s="46" t="s">
        <v>752</v>
      </c>
      <c r="D67" s="110" t="s">
        <v>3021</v>
      </c>
      <c r="E67" s="46" t="s">
        <v>99</v>
      </c>
      <c r="F67" s="46" t="s">
        <v>3022</v>
      </c>
      <c r="G67" s="142" t="n">
        <v>45857</v>
      </c>
      <c r="H67" s="46" t="s">
        <v>507</v>
      </c>
      <c r="I67" s="138" t="str">
        <f aca="false">IFERROR(VLOOKUP(TEXT(H67,"0"),IPRESS!$A$3:$B$212,2,0),"")</f>
        <v>LEYMEBAMBA</v>
      </c>
      <c r="J67" s="46" t="s">
        <v>755</v>
      </c>
      <c r="K67" s="138" t="str">
        <f aca="false">IFERROR(VLOOKUP(TEXT(O67,"0"),CONDUCTORES!$A$3:$G$100,7,0),"")</f>
        <v/>
      </c>
      <c r="L67" s="44" t="n">
        <v>18.18</v>
      </c>
      <c r="M67" s="44" t="n">
        <v>7.5</v>
      </c>
      <c r="N67" s="139" t="n">
        <f aca="false">IFERROR(IF(L67*M67=0,"",L67*M67),"")</f>
        <v>136.35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142" t="n">
        <v>45987</v>
      </c>
      <c r="S67" s="110" t="s">
        <v>3023</v>
      </c>
      <c r="T67" s="46"/>
      <c r="U67" s="85"/>
      <c r="V67" s="46" t="s">
        <v>2981</v>
      </c>
      <c r="W67" s="46" t="s">
        <v>2982</v>
      </c>
      <c r="X67" s="46" t="s">
        <v>2351</v>
      </c>
      <c r="Y67" s="85"/>
    </row>
    <row r="68" customFormat="false" ht="15.75" hidden="false" customHeight="true" outlineLevel="0" collapsed="false">
      <c r="A68" s="106" t="n">
        <v>49</v>
      </c>
      <c r="B68" s="107" t="s">
        <v>2093</v>
      </c>
      <c r="C68" s="106" t="s">
        <v>752</v>
      </c>
      <c r="D68" s="107" t="s">
        <v>3024</v>
      </c>
      <c r="E68" s="136" t="s">
        <v>99</v>
      </c>
      <c r="F68" s="106" t="s">
        <v>3025</v>
      </c>
      <c r="G68" s="137" t="n">
        <v>45866</v>
      </c>
      <c r="H68" s="106" t="s">
        <v>507</v>
      </c>
      <c r="I68" s="138" t="str">
        <f aca="false">IFERROR(VLOOKUP(TEXT(H68,"0"),IPRESS!$A$3:$B$212,2,0),"")</f>
        <v>LEYMEBAMBA</v>
      </c>
      <c r="J68" s="106" t="s">
        <v>755</v>
      </c>
      <c r="K68" s="138" t="str">
        <f aca="false">IFERROR(VLOOKUP(TEXT(O68,"0"),CONDUCTORES!$A$3:$G$100,7,0),"")</f>
        <v/>
      </c>
      <c r="L68" s="50" t="n">
        <v>18.18</v>
      </c>
      <c r="M68" s="50" t="n">
        <v>7.5</v>
      </c>
      <c r="N68" s="139" t="n">
        <f aca="false">IFERROR(IF(L68*M68=0,"",L68*M68),"")</f>
        <v>136.35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37" t="n">
        <v>45987</v>
      </c>
      <c r="S68" s="107" t="s">
        <v>1008</v>
      </c>
      <c r="T68" s="136"/>
      <c r="U68" s="140"/>
      <c r="V68" s="106" t="s">
        <v>2981</v>
      </c>
      <c r="W68" s="106" t="s">
        <v>2982</v>
      </c>
      <c r="X68" s="106" t="s">
        <v>2351</v>
      </c>
      <c r="Y68" s="85"/>
    </row>
    <row r="69" customFormat="false" ht="15.75" hidden="false" customHeight="true" outlineLevel="0" collapsed="false">
      <c r="A69" s="46" t="n">
        <v>50</v>
      </c>
      <c r="B69" s="110" t="s">
        <v>787</v>
      </c>
      <c r="C69" s="46" t="s">
        <v>752</v>
      </c>
      <c r="D69" s="110" t="s">
        <v>3026</v>
      </c>
      <c r="E69" s="46" t="s">
        <v>99</v>
      </c>
      <c r="F69" s="46" t="s">
        <v>3027</v>
      </c>
      <c r="G69" s="142" t="n">
        <v>45847</v>
      </c>
      <c r="H69" s="46" t="s">
        <v>513</v>
      </c>
      <c r="I69" s="138" t="str">
        <f aca="false">IFERROR(VLOOKUP(TEXT(H69,"0"),IPRESS!$A$3:$B$212,2,0),"")</f>
        <v>LONGUITA</v>
      </c>
      <c r="J69" s="46" t="s">
        <v>755</v>
      </c>
      <c r="K69" s="138" t="str">
        <f aca="false">IFERROR(VLOOKUP(TEXT(O69,"0"),CONDUCTORES!$A$3:$G$100,7,0),"")</f>
        <v/>
      </c>
      <c r="L69" s="44" t="n">
        <v>18.18</v>
      </c>
      <c r="M69" s="44" t="n">
        <v>8</v>
      </c>
      <c r="N69" s="139" t="n">
        <f aca="false">IFERROR(IF(L69*M69=0,"",L69*M69),"")</f>
        <v>145.44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142" t="n">
        <v>45939</v>
      </c>
      <c r="S69" s="110" t="s">
        <v>3028</v>
      </c>
      <c r="T69" s="46" t="s">
        <v>3029</v>
      </c>
      <c r="U69" s="85"/>
      <c r="V69" s="46"/>
      <c r="W69" s="46"/>
      <c r="X69" s="46"/>
      <c r="Y69" s="85"/>
    </row>
    <row r="70" customFormat="false" ht="15.75" hidden="false" customHeight="true" outlineLevel="0" collapsed="false">
      <c r="A70" s="143" t="n">
        <v>51</v>
      </c>
      <c r="B70" s="144" t="s">
        <v>832</v>
      </c>
      <c r="C70" s="143" t="s">
        <v>752</v>
      </c>
      <c r="D70" s="144" t="s">
        <v>3030</v>
      </c>
      <c r="E70" s="143" t="s">
        <v>99</v>
      </c>
      <c r="F70" s="143" t="s">
        <v>3031</v>
      </c>
      <c r="G70" s="145" t="n">
        <v>45853</v>
      </c>
      <c r="H70" s="143" t="s">
        <v>547</v>
      </c>
      <c r="I70" s="138" t="str">
        <f aca="false">IFERROR(VLOOKUP(TEXT(H70,"0"),IPRESS!$A$3:$B$212,2,0),"")</f>
        <v>MOLINOPAMPA</v>
      </c>
      <c r="J70" s="143" t="s">
        <v>755</v>
      </c>
      <c r="K70" s="138" t="str">
        <f aca="false">IFERROR(VLOOKUP(TEXT(O70,"0"),CONDUCTORES!$A$3:$G$100,7,0),"")</f>
        <v/>
      </c>
      <c r="L70" s="146" t="n">
        <v>17.95</v>
      </c>
      <c r="M70" s="146" t="n">
        <v>8</v>
      </c>
      <c r="N70" s="139" t="n">
        <f aca="false">IFERROR(IF(L70*M70=0,"",L70*M70),"")</f>
        <v>143.6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47"/>
      <c r="S70" s="144" t="s">
        <v>3032</v>
      </c>
      <c r="T70" s="143"/>
      <c r="U70" s="147"/>
      <c r="V70" s="143" t="s">
        <v>3033</v>
      </c>
      <c r="W70" s="143" t="s">
        <v>3034</v>
      </c>
      <c r="X70" s="143" t="s">
        <v>3035</v>
      </c>
      <c r="Y70" s="85"/>
    </row>
    <row r="71" customFormat="false" ht="15.75" hidden="false" customHeight="true" outlineLevel="0" collapsed="false">
      <c r="A71" s="143" t="n">
        <v>52</v>
      </c>
      <c r="B71" s="144" t="s">
        <v>840</v>
      </c>
      <c r="C71" s="143" t="s">
        <v>752</v>
      </c>
      <c r="D71" s="144" t="s">
        <v>3036</v>
      </c>
      <c r="E71" s="143" t="s">
        <v>99</v>
      </c>
      <c r="F71" s="143" t="s">
        <v>3037</v>
      </c>
      <c r="G71" s="145" t="n">
        <v>45856</v>
      </c>
      <c r="H71" s="143" t="s">
        <v>547</v>
      </c>
      <c r="I71" s="138" t="str">
        <f aca="false">IFERROR(VLOOKUP(TEXT(H71,"0"),IPRESS!$A$3:$B$212,2,0),"")</f>
        <v>MOLINOPAMPA</v>
      </c>
      <c r="J71" s="143" t="s">
        <v>755</v>
      </c>
      <c r="K71" s="138" t="str">
        <f aca="false">IFERROR(VLOOKUP(TEXT(O71,"0"),CONDUCTORES!$A$3:$G$100,7,0),"")</f>
        <v/>
      </c>
      <c r="L71" s="146" t="n">
        <v>17.95</v>
      </c>
      <c r="M71" s="146" t="n">
        <v>8</v>
      </c>
      <c r="N71" s="139" t="n">
        <f aca="false">IFERROR(IF(L71*M71=0,"",L71*M71),"")</f>
        <v>143.6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147"/>
      <c r="S71" s="144" t="s">
        <v>3038</v>
      </c>
      <c r="T71" s="143"/>
      <c r="U71" s="147"/>
      <c r="V71" s="143" t="s">
        <v>3033</v>
      </c>
      <c r="W71" s="143" t="s">
        <v>3034</v>
      </c>
      <c r="X71" s="143" t="s">
        <v>3035</v>
      </c>
      <c r="Y71" s="85"/>
    </row>
    <row r="72" customFormat="false" ht="15.75" hidden="false" customHeight="true" outlineLevel="0" collapsed="false">
      <c r="A72" s="143" t="n">
        <v>53</v>
      </c>
      <c r="B72" s="144" t="s">
        <v>844</v>
      </c>
      <c r="C72" s="143" t="s">
        <v>752</v>
      </c>
      <c r="D72" s="144" t="s">
        <v>3039</v>
      </c>
      <c r="E72" s="143" t="s">
        <v>99</v>
      </c>
      <c r="F72" s="143" t="s">
        <v>3040</v>
      </c>
      <c r="G72" s="145" t="n">
        <v>45858</v>
      </c>
      <c r="H72" s="143" t="s">
        <v>547</v>
      </c>
      <c r="I72" s="138" t="str">
        <f aca="false">IFERROR(VLOOKUP(TEXT(H72,"0"),IPRESS!$A$3:$B$212,2,0),"")</f>
        <v>MOLINOPAMPA</v>
      </c>
      <c r="J72" s="143" t="s">
        <v>755</v>
      </c>
      <c r="K72" s="138" t="str">
        <f aca="false">IFERROR(VLOOKUP(TEXT(O72,"0"),CONDUCTORES!$A$3:$G$100,7,0),"")</f>
        <v/>
      </c>
      <c r="L72" s="146" t="n">
        <v>17.95</v>
      </c>
      <c r="M72" s="146" t="n">
        <v>8</v>
      </c>
      <c r="N72" s="139" t="n">
        <f aca="false">IFERROR(IF(L72*M72=0,"",L72*M72),"")</f>
        <v>143.6</v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47"/>
      <c r="S72" s="144" t="s">
        <v>3041</v>
      </c>
      <c r="T72" s="143"/>
      <c r="U72" s="147"/>
      <c r="V72" s="143" t="s">
        <v>3033</v>
      </c>
      <c r="W72" s="143" t="s">
        <v>3034</v>
      </c>
      <c r="X72" s="143" t="s">
        <v>3035</v>
      </c>
      <c r="Y72" s="85"/>
    </row>
    <row r="73" customFormat="false" ht="15.75" hidden="false" customHeight="true" outlineLevel="0" collapsed="false">
      <c r="A73" s="46" t="n">
        <v>54</v>
      </c>
      <c r="B73" s="110" t="s">
        <v>818</v>
      </c>
      <c r="C73" s="46" t="s">
        <v>752</v>
      </c>
      <c r="D73" s="110" t="s">
        <v>3042</v>
      </c>
      <c r="E73" s="46" t="s">
        <v>99</v>
      </c>
      <c r="F73" s="46" t="s">
        <v>3043</v>
      </c>
      <c r="G73" s="142" t="n">
        <v>45843</v>
      </c>
      <c r="H73" s="46" t="s">
        <v>556</v>
      </c>
      <c r="I73" s="138" t="str">
        <f aca="false">IFERROR(VLOOKUP(TEXT(H73,"0"),IPRESS!$A$3:$B$212,2,0),"")</f>
        <v>NUEVO CHIRIMOTO</v>
      </c>
      <c r="J73" s="46" t="s">
        <v>529</v>
      </c>
      <c r="K73" s="138" t="str">
        <f aca="false">IFERROR(VLOOKUP(TEXT(O73,"0"),CONDUCTORES!$A$3:$G$100,7,0),"")</f>
        <v/>
      </c>
      <c r="L73" s="44" t="n">
        <v>20.25</v>
      </c>
      <c r="M73" s="44" t="n">
        <v>10</v>
      </c>
      <c r="N73" s="139" t="n">
        <f aca="false">IFERROR(IF(L73*M73=0,"",L73*M73),"")</f>
        <v>202.5</v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142" t="n">
        <v>45987</v>
      </c>
      <c r="S73" s="110" t="s">
        <v>3044</v>
      </c>
      <c r="T73" s="46"/>
      <c r="U73" s="85"/>
      <c r="V73" s="46" t="s">
        <v>2399</v>
      </c>
      <c r="W73" s="46" t="s">
        <v>760</v>
      </c>
      <c r="X73" s="46" t="s">
        <v>761</v>
      </c>
      <c r="Y73" s="85"/>
    </row>
    <row r="74" customFormat="false" ht="15.75" hidden="false" customHeight="true" outlineLevel="0" collapsed="false">
      <c r="A74" s="106" t="n">
        <v>55</v>
      </c>
      <c r="B74" s="107" t="s">
        <v>926</v>
      </c>
      <c r="C74" s="106" t="s">
        <v>752</v>
      </c>
      <c r="D74" s="107" t="s">
        <v>2943</v>
      </c>
      <c r="E74" s="136" t="s">
        <v>99</v>
      </c>
      <c r="F74" s="106" t="s">
        <v>2944</v>
      </c>
      <c r="G74" s="137" t="n">
        <v>45844</v>
      </c>
      <c r="H74" s="106" t="s">
        <v>556</v>
      </c>
      <c r="I74" s="138" t="str">
        <f aca="false">IFERROR(VLOOKUP(TEXT(H74,"0"),IPRESS!$A$3:$B$212,2,0),"")</f>
        <v>NUEVO CHIRIMOTO</v>
      </c>
      <c r="J74" s="106" t="s">
        <v>529</v>
      </c>
      <c r="K74" s="138" t="str">
        <f aca="false">IFERROR(VLOOKUP(TEXT(O74,"0"),CONDUCTORES!$A$3:$G$100,7,0),"")</f>
        <v/>
      </c>
      <c r="L74" s="50" t="n">
        <v>20.25</v>
      </c>
      <c r="M74" s="50" t="n">
        <v>10</v>
      </c>
      <c r="N74" s="139" t="n">
        <f aca="false">IFERROR(IF(L74*M74=0,"",L74*M74),"")</f>
        <v>202.5</v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37" t="n">
        <v>45987</v>
      </c>
      <c r="S74" s="107" t="s">
        <v>3045</v>
      </c>
      <c r="T74" s="136"/>
      <c r="U74" s="140"/>
      <c r="V74" s="106" t="s">
        <v>2399</v>
      </c>
      <c r="W74" s="106" t="s">
        <v>760</v>
      </c>
      <c r="X74" s="106" t="s">
        <v>761</v>
      </c>
      <c r="Y74" s="85"/>
    </row>
    <row r="75" customFormat="false" ht="15.75" hidden="false" customHeight="true" outlineLevel="0" collapsed="false">
      <c r="A75" s="46" t="n">
        <v>56</v>
      </c>
      <c r="B75" s="110" t="s">
        <v>827</v>
      </c>
      <c r="C75" s="46" t="s">
        <v>752</v>
      </c>
      <c r="D75" s="110" t="s">
        <v>3046</v>
      </c>
      <c r="E75" s="46" t="s">
        <v>99</v>
      </c>
      <c r="F75" s="46" t="s">
        <v>3047</v>
      </c>
      <c r="G75" s="142" t="n">
        <v>45847</v>
      </c>
      <c r="H75" s="46" t="s">
        <v>556</v>
      </c>
      <c r="I75" s="138" t="str">
        <f aca="false">IFERROR(VLOOKUP(TEXT(H75,"0"),IPRESS!$A$3:$B$212,2,0),"")</f>
        <v>NUEVO CHIRIMOTO</v>
      </c>
      <c r="J75" s="46" t="s">
        <v>529</v>
      </c>
      <c r="K75" s="138" t="str">
        <f aca="false">IFERROR(VLOOKUP(TEXT(O75,"0"),CONDUCTORES!$A$3:$G$100,7,0),"")</f>
        <v/>
      </c>
      <c r="L75" s="44" t="n">
        <v>20.25</v>
      </c>
      <c r="M75" s="44" t="n">
        <v>10</v>
      </c>
      <c r="N75" s="139" t="n">
        <f aca="false">IFERROR(IF(L75*M75=0,"",L75*M75),"")</f>
        <v>202.5</v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142" t="n">
        <v>45987</v>
      </c>
      <c r="S75" s="110" t="s">
        <v>3048</v>
      </c>
      <c r="T75" s="46"/>
      <c r="U75" s="85"/>
      <c r="V75" s="46" t="s">
        <v>2399</v>
      </c>
      <c r="W75" s="46" t="s">
        <v>760</v>
      </c>
      <c r="X75" s="46" t="s">
        <v>761</v>
      </c>
      <c r="Y75" s="85"/>
    </row>
    <row r="76" customFormat="false" ht="15.75" hidden="false" customHeight="true" outlineLevel="0" collapsed="false">
      <c r="A76" s="106" t="n">
        <v>57</v>
      </c>
      <c r="B76" s="107" t="s">
        <v>832</v>
      </c>
      <c r="C76" s="106" t="s">
        <v>752</v>
      </c>
      <c r="D76" s="107" t="s">
        <v>3049</v>
      </c>
      <c r="E76" s="136" t="s">
        <v>99</v>
      </c>
      <c r="F76" s="106" t="s">
        <v>3050</v>
      </c>
      <c r="G76" s="137" t="n">
        <v>45855</v>
      </c>
      <c r="H76" s="106" t="s">
        <v>556</v>
      </c>
      <c r="I76" s="138" t="str">
        <f aca="false">IFERROR(VLOOKUP(TEXT(H76,"0"),IPRESS!$A$3:$B$212,2,0),"")</f>
        <v>NUEVO CHIRIMOTO</v>
      </c>
      <c r="J76" s="106" t="s">
        <v>529</v>
      </c>
      <c r="K76" s="138" t="str">
        <f aca="false">IFERROR(VLOOKUP(TEXT(O76,"0"),CONDUCTORES!$A$3:$G$100,7,0),"")</f>
        <v/>
      </c>
      <c r="L76" s="50" t="n">
        <v>20.25</v>
      </c>
      <c r="M76" s="50" t="n">
        <v>10</v>
      </c>
      <c r="N76" s="139" t="n">
        <f aca="false">IFERROR(IF(L76*M76=0,"",L76*M76),"")</f>
        <v>202.5</v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37" t="n">
        <v>45987</v>
      </c>
      <c r="S76" s="107" t="s">
        <v>3051</v>
      </c>
      <c r="T76" s="136"/>
      <c r="U76" s="140"/>
      <c r="V76" s="106" t="s">
        <v>2399</v>
      </c>
      <c r="W76" s="106" t="s">
        <v>760</v>
      </c>
      <c r="X76" s="106" t="s">
        <v>761</v>
      </c>
      <c r="Y76" s="85"/>
    </row>
    <row r="77" customFormat="false" ht="15.75" hidden="false" customHeight="true" outlineLevel="0" collapsed="false">
      <c r="A77" s="46" t="n">
        <v>58</v>
      </c>
      <c r="B77" s="110" t="s">
        <v>2501</v>
      </c>
      <c r="C77" s="46" t="s">
        <v>752</v>
      </c>
      <c r="D77" s="110" t="s">
        <v>3052</v>
      </c>
      <c r="E77" s="46" t="s">
        <v>99</v>
      </c>
      <c r="F77" s="46" t="s">
        <v>3053</v>
      </c>
      <c r="G77" s="142" t="n">
        <v>45852</v>
      </c>
      <c r="H77" s="46" t="s">
        <v>581</v>
      </c>
      <c r="I77" s="138" t="str">
        <f aca="false">IFERROR(VLOOKUP(TEXT(H77,"0"),IPRESS!$A$3:$B$212,2,0),"")</f>
        <v>PEDRO RUIZ GALLO</v>
      </c>
      <c r="J77" s="46" t="s">
        <v>755</v>
      </c>
      <c r="K77" s="138" t="str">
        <f aca="false">IFERROR(VLOOKUP(TEXT(O77,"0"),CONDUCTORES!$A$3:$G$100,7,0),"")</f>
        <v/>
      </c>
      <c r="L77" s="44" t="n">
        <v>18.18</v>
      </c>
      <c r="M77" s="44" t="n">
        <v>5</v>
      </c>
      <c r="N77" s="139" t="n">
        <f aca="false">IFERROR(IF(L77*M77=0,"",L77*M77),"")</f>
        <v>90.9</v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142" t="n">
        <v>45936</v>
      </c>
      <c r="S77" s="110" t="s">
        <v>3054</v>
      </c>
      <c r="T77" s="46"/>
      <c r="U77" s="85"/>
      <c r="V77" s="46"/>
      <c r="W77" s="46"/>
      <c r="X77" s="46"/>
      <c r="Y77" s="85"/>
    </row>
    <row r="78" customFormat="false" ht="15.75" hidden="false" customHeight="true" outlineLevel="0" collapsed="false">
      <c r="A78" s="143" t="n">
        <v>59</v>
      </c>
      <c r="B78" s="144" t="s">
        <v>2505</v>
      </c>
      <c r="C78" s="143" t="s">
        <v>752</v>
      </c>
      <c r="D78" s="144" t="s">
        <v>3055</v>
      </c>
      <c r="E78" s="143" t="s">
        <v>99</v>
      </c>
      <c r="F78" s="143" t="s">
        <v>3056</v>
      </c>
      <c r="G78" s="145" t="n">
        <v>45853</v>
      </c>
      <c r="H78" s="143" t="s">
        <v>581</v>
      </c>
      <c r="I78" s="138" t="str">
        <f aca="false">IFERROR(VLOOKUP(TEXT(H78,"0"),IPRESS!$A$3:$B$212,2,0),"")</f>
        <v>PEDRO RUIZ GALLO</v>
      </c>
      <c r="J78" s="143" t="s">
        <v>755</v>
      </c>
      <c r="K78" s="138" t="str">
        <f aca="false">IFERROR(VLOOKUP(TEXT(O78,"0"),CONDUCTORES!$A$3:$G$100,7,0),"")</f>
        <v/>
      </c>
      <c r="L78" s="146" t="n">
        <v>17.95</v>
      </c>
      <c r="M78" s="146" t="n">
        <v>6</v>
      </c>
      <c r="N78" s="139" t="n">
        <f aca="false">IFERROR(IF(L78*M78=0,"",L78*M78),"")</f>
        <v>107.7</v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45" t="n">
        <v>45936</v>
      </c>
      <c r="S78" s="144" t="s">
        <v>1295</v>
      </c>
      <c r="T78" s="143"/>
      <c r="U78" s="147"/>
      <c r="V78" s="143"/>
      <c r="W78" s="143"/>
      <c r="X78" s="143"/>
      <c r="Y78" s="85"/>
    </row>
    <row r="79" customFormat="false" ht="15.75" hidden="false" customHeight="true" outlineLevel="0" collapsed="false">
      <c r="A79" s="143" t="n">
        <v>60</v>
      </c>
      <c r="B79" s="144" t="s">
        <v>3057</v>
      </c>
      <c r="C79" s="143" t="s">
        <v>752</v>
      </c>
      <c r="D79" s="144" t="s">
        <v>3058</v>
      </c>
      <c r="E79" s="143" t="s">
        <v>99</v>
      </c>
      <c r="F79" s="143" t="s">
        <v>3059</v>
      </c>
      <c r="G79" s="145" t="n">
        <v>45861</v>
      </c>
      <c r="H79" s="143" t="s">
        <v>581</v>
      </c>
      <c r="I79" s="138" t="str">
        <f aca="false">IFERROR(VLOOKUP(TEXT(H79,"0"),IPRESS!$A$3:$B$212,2,0),"")</f>
        <v>PEDRO RUIZ GALLO</v>
      </c>
      <c r="J79" s="143" t="s">
        <v>755</v>
      </c>
      <c r="K79" s="138" t="str">
        <f aca="false">IFERROR(VLOOKUP(TEXT(O79,"0"),CONDUCTORES!$A$3:$G$100,7,0),"")</f>
        <v/>
      </c>
      <c r="L79" s="146" t="n">
        <v>17.95</v>
      </c>
      <c r="M79" s="146" t="n">
        <v>6</v>
      </c>
      <c r="N79" s="139" t="n">
        <f aca="false">IFERROR(IF(L79*M79=0,"",L79*M79),"")</f>
        <v>107.7</v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145" t="n">
        <v>45936</v>
      </c>
      <c r="S79" s="144" t="s">
        <v>3060</v>
      </c>
      <c r="T79" s="143"/>
      <c r="U79" s="147"/>
      <c r="V79" s="143"/>
      <c r="W79" s="143"/>
      <c r="X79" s="143"/>
      <c r="Y79" s="85"/>
    </row>
    <row r="80" customFormat="false" ht="15.75" hidden="false" customHeight="true" outlineLevel="0" collapsed="false">
      <c r="A80" s="143" t="n">
        <v>61</v>
      </c>
      <c r="B80" s="144" t="s">
        <v>3061</v>
      </c>
      <c r="C80" s="143" t="s">
        <v>752</v>
      </c>
      <c r="D80" s="144" t="s">
        <v>3062</v>
      </c>
      <c r="E80" s="143" t="s">
        <v>99</v>
      </c>
      <c r="F80" s="143" t="s">
        <v>3063</v>
      </c>
      <c r="G80" s="145" t="n">
        <v>45866</v>
      </c>
      <c r="H80" s="143" t="s">
        <v>581</v>
      </c>
      <c r="I80" s="138" t="str">
        <f aca="false">IFERROR(VLOOKUP(TEXT(H80,"0"),IPRESS!$A$3:$B$212,2,0),"")</f>
        <v>PEDRO RUIZ GALLO</v>
      </c>
      <c r="J80" s="143" t="s">
        <v>755</v>
      </c>
      <c r="K80" s="138" t="str">
        <f aca="false">IFERROR(VLOOKUP(TEXT(O80,"0"),CONDUCTORES!$A$3:$G$100,7,0),"")</f>
        <v/>
      </c>
      <c r="L80" s="146" t="n">
        <v>17.95</v>
      </c>
      <c r="M80" s="146" t="n">
        <v>6</v>
      </c>
      <c r="N80" s="139" t="n">
        <f aca="false">IFERROR(IF(L80*M80=0,"",L80*M80),"")</f>
        <v>107.7</v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45" t="n">
        <v>45936</v>
      </c>
      <c r="S80" s="144" t="s">
        <v>3064</v>
      </c>
      <c r="T80" s="143"/>
      <c r="U80" s="147"/>
      <c r="V80" s="143"/>
      <c r="W80" s="143"/>
      <c r="X80" s="143"/>
      <c r="Y80" s="85"/>
    </row>
    <row r="81" customFormat="false" ht="15.75" hidden="false" customHeight="true" outlineLevel="0" collapsed="false">
      <c r="A81" s="46" t="n">
        <v>62</v>
      </c>
      <c r="B81" s="110" t="s">
        <v>840</v>
      </c>
      <c r="C81" s="46" t="s">
        <v>752</v>
      </c>
      <c r="D81" s="110" t="s">
        <v>3065</v>
      </c>
      <c r="E81" s="46" t="s">
        <v>99</v>
      </c>
      <c r="F81" s="46" t="s">
        <v>3066</v>
      </c>
      <c r="G81" s="142" t="n">
        <v>45869</v>
      </c>
      <c r="H81" s="46" t="s">
        <v>556</v>
      </c>
      <c r="I81" s="138" t="str">
        <f aca="false">IFERROR(VLOOKUP(TEXT(H81,"0"),IPRESS!$A$3:$B$212,2,0),"")</f>
        <v>NUEVO CHIRIMOTO</v>
      </c>
      <c r="J81" s="46" t="s">
        <v>529</v>
      </c>
      <c r="K81" s="138" t="str">
        <f aca="false">IFERROR(VLOOKUP(TEXT(O81,"0"),CONDUCTORES!$A$3:$G$100,7,0),"")</f>
        <v/>
      </c>
      <c r="L81" s="44" t="n">
        <v>20.25</v>
      </c>
      <c r="M81" s="44" t="n">
        <v>10</v>
      </c>
      <c r="N81" s="139" t="n">
        <f aca="false">IFERROR(IF(L81*M81=0,"",L81*M81),"")</f>
        <v>202.5</v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142" t="n">
        <v>45987</v>
      </c>
      <c r="S81" s="110" t="s">
        <v>1276</v>
      </c>
      <c r="T81" s="46"/>
      <c r="U81" s="85"/>
      <c r="V81" s="46" t="s">
        <v>2399</v>
      </c>
      <c r="W81" s="46" t="s">
        <v>760</v>
      </c>
      <c r="X81" s="46" t="s">
        <v>761</v>
      </c>
      <c r="Y81" s="85"/>
    </row>
    <row r="82" customFormat="false" ht="15.75" hidden="false" customHeight="true" outlineLevel="0" collapsed="false">
      <c r="A82" s="106" t="n">
        <v>63</v>
      </c>
      <c r="B82" s="107" t="s">
        <v>1207</v>
      </c>
      <c r="C82" s="106" t="s">
        <v>752</v>
      </c>
      <c r="D82" s="107" t="s">
        <v>3067</v>
      </c>
      <c r="E82" s="136" t="s">
        <v>99</v>
      </c>
      <c r="F82" s="106" t="s">
        <v>3068</v>
      </c>
      <c r="G82" s="137" t="n">
        <v>45858</v>
      </c>
      <c r="H82" s="106" t="s">
        <v>569</v>
      </c>
      <c r="I82" s="138" t="str">
        <f aca="false">IFERROR(VLOOKUP(TEXT(H82,"0"),IPRESS!$A$3:$B$212,2,0),"")</f>
        <v>OCALLI</v>
      </c>
      <c r="J82" s="106" t="s">
        <v>755</v>
      </c>
      <c r="K82" s="138" t="str">
        <f aca="false">IFERROR(VLOOKUP(TEXT(O82,"0"),CONDUCTORES!$A$3:$G$100,7,0),"")</f>
        <v/>
      </c>
      <c r="L82" s="50" t="n">
        <v>18.18</v>
      </c>
      <c r="M82" s="50" t="n">
        <v>30</v>
      </c>
      <c r="N82" s="139" t="n">
        <f aca="false">IFERROR(IF(L82*M82=0,"",L82*M82),"")</f>
        <v>545.4</v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40"/>
      <c r="S82" s="107" t="s">
        <v>3069</v>
      </c>
      <c r="T82" s="136" t="s">
        <v>3070</v>
      </c>
      <c r="U82" s="140"/>
      <c r="V82" s="106"/>
      <c r="W82" s="106"/>
      <c r="X82" s="106"/>
      <c r="Y82" s="85"/>
    </row>
    <row r="83" customFormat="false" ht="15.75" hidden="false" customHeight="true" outlineLevel="0" collapsed="false">
      <c r="A83" s="46" t="n">
        <v>64</v>
      </c>
      <c r="B83" s="110" t="s">
        <v>1306</v>
      </c>
      <c r="C83" s="46" t="s">
        <v>752</v>
      </c>
      <c r="D83" s="110" t="s">
        <v>3071</v>
      </c>
      <c r="E83" s="46" t="s">
        <v>99</v>
      </c>
      <c r="F83" s="46" t="s">
        <v>3072</v>
      </c>
      <c r="G83" s="142" t="n">
        <v>45867</v>
      </c>
      <c r="H83" s="46" t="s">
        <v>569</v>
      </c>
      <c r="I83" s="138" t="str">
        <f aca="false">IFERROR(VLOOKUP(TEXT(H83,"0"),IPRESS!$A$3:$B$212,2,0),"")</f>
        <v>OCALLI</v>
      </c>
      <c r="J83" s="46" t="s">
        <v>755</v>
      </c>
      <c r="K83" s="138" t="str">
        <f aca="false">IFERROR(VLOOKUP(TEXT(O83,"0"),CONDUCTORES!$A$3:$G$100,7,0),"")</f>
        <v/>
      </c>
      <c r="L83" s="44" t="n">
        <v>18.18</v>
      </c>
      <c r="M83" s="44" t="n">
        <v>20</v>
      </c>
      <c r="N83" s="139" t="n">
        <f aca="false">IFERROR(IF(L83*M83=0,"",L83*M83),"")</f>
        <v>363.6</v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85"/>
      <c r="S83" s="110" t="s">
        <v>3069</v>
      </c>
      <c r="T83" s="46" t="s">
        <v>3073</v>
      </c>
      <c r="U83" s="85"/>
      <c r="V83" s="46"/>
      <c r="W83" s="46"/>
      <c r="X83" s="46"/>
      <c r="Y83" s="85"/>
    </row>
    <row r="84" customFormat="false" ht="15.75" hidden="false" customHeight="true" outlineLevel="0" collapsed="false">
      <c r="A84" s="106" t="n">
        <v>65</v>
      </c>
      <c r="B84" s="107" t="s">
        <v>827</v>
      </c>
      <c r="C84" s="106" t="s">
        <v>752</v>
      </c>
      <c r="D84" s="107" t="s">
        <v>2728</v>
      </c>
      <c r="E84" s="136" t="s">
        <v>99</v>
      </c>
      <c r="F84" s="106" t="s">
        <v>2729</v>
      </c>
      <c r="G84" s="137" t="n">
        <v>45846</v>
      </c>
      <c r="H84" s="106" t="s">
        <v>572</v>
      </c>
      <c r="I84" s="138" t="str">
        <f aca="false">IFERROR(VLOOKUP(TEXT(H84,"0"),IPRESS!$A$3:$B$212,2,0),"")</f>
        <v>OMIA</v>
      </c>
      <c r="J84" s="106" t="s">
        <v>529</v>
      </c>
      <c r="K84" s="138" t="str">
        <f aca="false">IFERROR(VLOOKUP(TEXT(O84,"0"),CONDUCTORES!$A$3:$G$100,7,0),"")</f>
        <v/>
      </c>
      <c r="L84" s="50" t="n">
        <v>20.25</v>
      </c>
      <c r="M84" s="50" t="n">
        <v>3</v>
      </c>
      <c r="N84" s="139" t="n">
        <f aca="false">IFERROR(IF(L84*M84=0,"",L84*M84),"")</f>
        <v>60.75</v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37" t="n">
        <v>46010</v>
      </c>
      <c r="S84" s="107" t="s">
        <v>3074</v>
      </c>
      <c r="T84" s="136"/>
      <c r="U84" s="140"/>
      <c r="V84" s="106"/>
      <c r="W84" s="106"/>
      <c r="X84" s="106"/>
      <c r="Y84" s="85"/>
    </row>
    <row r="85" customFormat="false" ht="15.75" hidden="false" customHeight="true" outlineLevel="0" collapsed="false">
      <c r="A85" s="46" t="n">
        <v>66</v>
      </c>
      <c r="B85" s="110" t="s">
        <v>1325</v>
      </c>
      <c r="C85" s="46" t="s">
        <v>752</v>
      </c>
      <c r="D85" s="110" t="s">
        <v>3075</v>
      </c>
      <c r="E85" s="46" t="s">
        <v>99</v>
      </c>
      <c r="F85" s="46" t="s">
        <v>3076</v>
      </c>
      <c r="G85" s="142" t="n">
        <v>45846</v>
      </c>
      <c r="H85" s="46" t="s">
        <v>595</v>
      </c>
      <c r="I85" s="138" t="str">
        <f aca="false">IFERROR(VLOOKUP(TEXT(H85,"0"),IPRESS!$A$3:$B$212,2,0),"")</f>
        <v>POMACOCHAS</v>
      </c>
      <c r="J85" s="46" t="s">
        <v>755</v>
      </c>
      <c r="K85" s="138" t="str">
        <f aca="false">IFERROR(VLOOKUP(TEXT(O85,"0"),CONDUCTORES!$A$3:$G$100,7,0),"")</f>
        <v/>
      </c>
      <c r="L85" s="44" t="n">
        <v>18.18</v>
      </c>
      <c r="M85" s="44" t="n">
        <v>8</v>
      </c>
      <c r="N85" s="139" t="n">
        <f aca="false">IFERROR(IF(L85*M85=0,"",L85*M85),"")</f>
        <v>145.44</v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142" t="n">
        <v>45968</v>
      </c>
      <c r="S85" s="110" t="s">
        <v>3077</v>
      </c>
      <c r="T85" s="46"/>
      <c r="U85" s="85"/>
      <c r="V85" s="46"/>
      <c r="W85" s="46"/>
      <c r="X85" s="46"/>
      <c r="Y85" s="85"/>
    </row>
    <row r="86" customFormat="false" ht="15.75" hidden="false" customHeight="true" outlineLevel="0" collapsed="false">
      <c r="A86" s="106" t="n">
        <v>67</v>
      </c>
      <c r="B86" s="107" t="s">
        <v>1335</v>
      </c>
      <c r="C86" s="106" t="s">
        <v>752</v>
      </c>
      <c r="D86" s="107" t="s">
        <v>3078</v>
      </c>
      <c r="E86" s="136" t="s">
        <v>99</v>
      </c>
      <c r="F86" s="106" t="s">
        <v>3079</v>
      </c>
      <c r="G86" s="137" t="n">
        <v>45851</v>
      </c>
      <c r="H86" s="106" t="s">
        <v>595</v>
      </c>
      <c r="I86" s="138" t="str">
        <f aca="false">IFERROR(VLOOKUP(TEXT(H86,"0"),IPRESS!$A$3:$B$212,2,0),"")</f>
        <v>POMACOCHAS</v>
      </c>
      <c r="J86" s="106" t="s">
        <v>755</v>
      </c>
      <c r="K86" s="138" t="str">
        <f aca="false">IFERROR(VLOOKUP(TEXT(O86,"0"),CONDUCTORES!$A$3:$G$100,7,0),"")</f>
        <v/>
      </c>
      <c r="L86" s="50" t="n">
        <v>18.18</v>
      </c>
      <c r="M86" s="50" t="n">
        <v>8</v>
      </c>
      <c r="N86" s="139" t="n">
        <f aca="false">IFERROR(IF(L86*M86=0,"",L86*M86),"")</f>
        <v>145.44</v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37" t="n">
        <v>45968</v>
      </c>
      <c r="S86" s="107" t="s">
        <v>3080</v>
      </c>
      <c r="T86" s="136"/>
      <c r="U86" s="140"/>
      <c r="V86" s="106"/>
      <c r="W86" s="106"/>
      <c r="X86" s="106"/>
      <c r="Y86" s="85"/>
    </row>
    <row r="87" customFormat="false" ht="15.75" hidden="false" customHeight="true" outlineLevel="0" collapsed="false">
      <c r="A87" s="46" t="n">
        <v>68</v>
      </c>
      <c r="B87" s="110" t="s">
        <v>1314</v>
      </c>
      <c r="C87" s="46" t="s">
        <v>752</v>
      </c>
      <c r="D87" s="110" t="s">
        <v>3081</v>
      </c>
      <c r="E87" s="46" t="s">
        <v>99</v>
      </c>
      <c r="F87" s="46" t="s">
        <v>3082</v>
      </c>
      <c r="G87" s="142" t="n">
        <v>45842</v>
      </c>
      <c r="H87" s="46" t="s">
        <v>595</v>
      </c>
      <c r="I87" s="138" t="str">
        <f aca="false">IFERROR(VLOOKUP(TEXT(H87,"0"),IPRESS!$A$3:$B$212,2,0),"")</f>
        <v>POMACOCHAS</v>
      </c>
      <c r="J87" s="46" t="s">
        <v>755</v>
      </c>
      <c r="K87" s="138" t="str">
        <f aca="false">IFERROR(VLOOKUP(TEXT(O87,"0"),CONDUCTORES!$A$3:$G$100,7,0),"")</f>
        <v/>
      </c>
      <c r="L87" s="44" t="n">
        <v>18.18</v>
      </c>
      <c r="M87" s="44" t="n">
        <v>8</v>
      </c>
      <c r="N87" s="139" t="n">
        <f aca="false">IFERROR(IF(L87*M87=0,"",L87*M87),"")</f>
        <v>145.44</v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142" t="n">
        <v>45968</v>
      </c>
      <c r="S87" s="110" t="s">
        <v>3083</v>
      </c>
      <c r="T87" s="46"/>
      <c r="U87" s="85"/>
      <c r="V87" s="46"/>
      <c r="W87" s="46"/>
      <c r="X87" s="46"/>
      <c r="Y87" s="85"/>
    </row>
    <row r="88" customFormat="false" ht="15.75" hidden="false" customHeight="true" outlineLevel="0" collapsed="false">
      <c r="A88" s="106" t="n">
        <v>69</v>
      </c>
      <c r="B88" s="107" t="s">
        <v>1331</v>
      </c>
      <c r="C88" s="106" t="s">
        <v>752</v>
      </c>
      <c r="D88" s="107" t="s">
        <v>3084</v>
      </c>
      <c r="E88" s="136" t="s">
        <v>99</v>
      </c>
      <c r="F88" s="106" t="s">
        <v>3085</v>
      </c>
      <c r="G88" s="137" t="n">
        <v>45844</v>
      </c>
      <c r="H88" s="106" t="s">
        <v>595</v>
      </c>
      <c r="I88" s="138" t="str">
        <f aca="false">IFERROR(VLOOKUP(TEXT(H88,"0"),IPRESS!$A$3:$B$212,2,0),"")</f>
        <v>POMACOCHAS</v>
      </c>
      <c r="J88" s="106" t="s">
        <v>755</v>
      </c>
      <c r="K88" s="138" t="str">
        <f aca="false">IFERROR(VLOOKUP(TEXT(O88,"0"),CONDUCTORES!$A$3:$G$100,7,0),"")</f>
        <v/>
      </c>
      <c r="L88" s="50" t="n">
        <v>18.18</v>
      </c>
      <c r="M88" s="50" t="n">
        <v>8</v>
      </c>
      <c r="N88" s="139" t="n">
        <f aca="false">IFERROR(IF(L88*M88=0,"",L88*M88),"")</f>
        <v>145.44</v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37" t="n">
        <v>45968</v>
      </c>
      <c r="S88" s="107" t="s">
        <v>1737</v>
      </c>
      <c r="T88" s="136"/>
      <c r="U88" s="140"/>
      <c r="V88" s="106"/>
      <c r="W88" s="106"/>
      <c r="X88" s="106"/>
      <c r="Y88" s="85"/>
    </row>
    <row r="89" customFormat="false" ht="15.75" hidden="false" customHeight="true" outlineLevel="0" collapsed="false">
      <c r="A89" s="46" t="n">
        <v>70</v>
      </c>
      <c r="B89" s="110" t="s">
        <v>1342</v>
      </c>
      <c r="C89" s="46" t="s">
        <v>752</v>
      </c>
      <c r="D89" s="110" t="s">
        <v>3086</v>
      </c>
      <c r="E89" s="46" t="s">
        <v>99</v>
      </c>
      <c r="F89" s="46" t="s">
        <v>3087</v>
      </c>
      <c r="G89" s="142" t="n">
        <v>45854</v>
      </c>
      <c r="H89" s="46" t="s">
        <v>595</v>
      </c>
      <c r="I89" s="138" t="str">
        <f aca="false">IFERROR(VLOOKUP(TEXT(H89,"0"),IPRESS!$A$3:$B$212,2,0),"")</f>
        <v>POMACOCHAS</v>
      </c>
      <c r="J89" s="46" t="s">
        <v>755</v>
      </c>
      <c r="K89" s="138" t="str">
        <f aca="false">IFERROR(VLOOKUP(TEXT(O89,"0"),CONDUCTORES!$A$3:$G$100,7,0),"")</f>
        <v/>
      </c>
      <c r="L89" s="44" t="n">
        <v>18.18</v>
      </c>
      <c r="M89" s="44" t="n">
        <v>8</v>
      </c>
      <c r="N89" s="139" t="n">
        <f aca="false">IFERROR(IF(L89*M89=0,"",L89*M89),"")</f>
        <v>145.44</v>
      </c>
      <c r="O89" s="140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142" t="n">
        <v>45968</v>
      </c>
      <c r="S89" s="110" t="s">
        <v>3088</v>
      </c>
      <c r="T89" s="46"/>
      <c r="U89" s="85"/>
      <c r="V89" s="46"/>
      <c r="W89" s="46"/>
      <c r="X89" s="46"/>
      <c r="Y89" s="85"/>
    </row>
    <row r="90" customFormat="false" ht="15.75" hidden="false" customHeight="true" outlineLevel="0" collapsed="false">
      <c r="A90" s="106" t="n">
        <v>71</v>
      </c>
      <c r="B90" s="107" t="s">
        <v>1346</v>
      </c>
      <c r="C90" s="106" t="s">
        <v>752</v>
      </c>
      <c r="D90" s="107" t="s">
        <v>3089</v>
      </c>
      <c r="E90" s="136" t="s">
        <v>99</v>
      </c>
      <c r="F90" s="106" t="s">
        <v>3090</v>
      </c>
      <c r="G90" s="137" t="n">
        <v>45855</v>
      </c>
      <c r="H90" s="106" t="s">
        <v>595</v>
      </c>
      <c r="I90" s="138" t="str">
        <f aca="false">IFERROR(VLOOKUP(TEXT(H90,"0"),IPRESS!$A$3:$B$212,2,0),"")</f>
        <v>POMACOCHAS</v>
      </c>
      <c r="J90" s="106" t="s">
        <v>755</v>
      </c>
      <c r="K90" s="138" t="str">
        <f aca="false">IFERROR(VLOOKUP(TEXT(O90,"0"),CONDUCTORES!$A$3:$G$100,7,0),"")</f>
        <v/>
      </c>
      <c r="L90" s="50" t="n">
        <v>18.18</v>
      </c>
      <c r="M90" s="50" t="n">
        <v>8</v>
      </c>
      <c r="N90" s="139" t="n">
        <f aca="false">IFERROR(IF(L90*M90=0,"",L90*M90),"")</f>
        <v>145.44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37" t="n">
        <v>45968</v>
      </c>
      <c r="S90" s="107" t="s">
        <v>3091</v>
      </c>
      <c r="T90" s="136"/>
      <c r="U90" s="140"/>
      <c r="V90" s="106"/>
      <c r="W90" s="106"/>
      <c r="X90" s="106"/>
      <c r="Y90" s="85"/>
    </row>
    <row r="91" customFormat="false" ht="15.75" hidden="false" customHeight="true" outlineLevel="0" collapsed="false">
      <c r="A91" s="46" t="n">
        <v>72</v>
      </c>
      <c r="B91" s="110" t="s">
        <v>1350</v>
      </c>
      <c r="C91" s="46" t="s">
        <v>752</v>
      </c>
      <c r="D91" s="110" t="s">
        <v>3092</v>
      </c>
      <c r="E91" s="46" t="s">
        <v>99</v>
      </c>
      <c r="F91" s="46" t="s">
        <v>3093</v>
      </c>
      <c r="G91" s="142" t="n">
        <v>45855</v>
      </c>
      <c r="H91" s="46" t="s">
        <v>595</v>
      </c>
      <c r="I91" s="138" t="str">
        <f aca="false">IFERROR(VLOOKUP(TEXT(H91,"0"),IPRESS!$A$3:$B$212,2,0),"")</f>
        <v>POMACOCHAS</v>
      </c>
      <c r="J91" s="46" t="s">
        <v>755</v>
      </c>
      <c r="K91" s="138" t="str">
        <f aca="false">IFERROR(VLOOKUP(TEXT(O91,"0"),CONDUCTORES!$A$3:$G$100,7,0),"")</f>
        <v/>
      </c>
      <c r="L91" s="44" t="n">
        <v>18.18</v>
      </c>
      <c r="M91" s="44" t="n">
        <v>8</v>
      </c>
      <c r="N91" s="139" t="n">
        <f aca="false">IFERROR(IF(L91*M91=0,"",L91*M91),"")</f>
        <v>145.44</v>
      </c>
      <c r="O91" s="140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142" t="n">
        <v>45968</v>
      </c>
      <c r="S91" s="110" t="s">
        <v>1598</v>
      </c>
      <c r="T91" s="46"/>
      <c r="U91" s="85"/>
      <c r="V91" s="46"/>
      <c r="W91" s="46"/>
      <c r="X91" s="46"/>
      <c r="Y91" s="85"/>
    </row>
    <row r="92" customFormat="false" ht="15.75" hidden="false" customHeight="true" outlineLevel="0" collapsed="false">
      <c r="A92" s="106" t="n">
        <v>73</v>
      </c>
      <c r="B92" s="107" t="s">
        <v>1310</v>
      </c>
      <c r="C92" s="106" t="s">
        <v>752</v>
      </c>
      <c r="D92" s="107" t="s">
        <v>3094</v>
      </c>
      <c r="E92" s="136" t="s">
        <v>99</v>
      </c>
      <c r="F92" s="106" t="s">
        <v>3095</v>
      </c>
      <c r="G92" s="137" t="n">
        <v>45856</v>
      </c>
      <c r="H92" s="106" t="s">
        <v>595</v>
      </c>
      <c r="I92" s="138" t="str">
        <f aca="false">IFERROR(VLOOKUP(TEXT(H92,"0"),IPRESS!$A$3:$B$212,2,0),"")</f>
        <v>POMACOCHAS</v>
      </c>
      <c r="J92" s="106" t="s">
        <v>755</v>
      </c>
      <c r="K92" s="138" t="str">
        <f aca="false">IFERROR(VLOOKUP(TEXT(O92,"0"),CONDUCTORES!$A$3:$G$100,7,0),"")</f>
        <v/>
      </c>
      <c r="L92" s="50" t="n">
        <v>18.18</v>
      </c>
      <c r="M92" s="50" t="n">
        <v>8</v>
      </c>
      <c r="N92" s="139" t="n">
        <f aca="false">IFERROR(IF(L92*M92=0,"",L92*M92),"")</f>
        <v>145.44</v>
      </c>
      <c r="O92" s="85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37" t="n">
        <v>45968</v>
      </c>
      <c r="S92" s="107" t="s">
        <v>891</v>
      </c>
      <c r="T92" s="136"/>
      <c r="U92" s="140"/>
      <c r="V92" s="106"/>
      <c r="W92" s="106"/>
      <c r="X92" s="106"/>
      <c r="Y92" s="85"/>
    </row>
    <row r="93" customFormat="false" ht="15.75" hidden="false" customHeight="true" outlineLevel="0" collapsed="false">
      <c r="A93" s="46" t="n">
        <v>74</v>
      </c>
      <c r="B93" s="110" t="s">
        <v>1357</v>
      </c>
      <c r="C93" s="46" t="s">
        <v>752</v>
      </c>
      <c r="D93" s="110" t="s">
        <v>3096</v>
      </c>
      <c r="E93" s="46" t="s">
        <v>99</v>
      </c>
      <c r="F93" s="46" t="s">
        <v>3097</v>
      </c>
      <c r="G93" s="142" t="n">
        <v>45857</v>
      </c>
      <c r="H93" s="46" t="s">
        <v>595</v>
      </c>
      <c r="I93" s="138" t="str">
        <f aca="false">IFERROR(VLOOKUP(TEXT(H93,"0"),IPRESS!$A$3:$B$212,2,0),"")</f>
        <v>POMACOCHAS</v>
      </c>
      <c r="J93" s="46" t="s">
        <v>755</v>
      </c>
      <c r="K93" s="138" t="str">
        <f aca="false">IFERROR(VLOOKUP(TEXT(O93,"0"),CONDUCTORES!$A$3:$G$100,7,0),"")</f>
        <v/>
      </c>
      <c r="L93" s="44" t="n">
        <v>18.18</v>
      </c>
      <c r="M93" s="44" t="n">
        <v>8</v>
      </c>
      <c r="N93" s="139" t="n">
        <f aca="false">IFERROR(IF(L93*M93=0,"",L93*M93),"")</f>
        <v>145.44</v>
      </c>
      <c r="O93" s="140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142" t="n">
        <v>45968</v>
      </c>
      <c r="S93" s="110" t="s">
        <v>847</v>
      </c>
      <c r="T93" s="46"/>
      <c r="U93" s="85"/>
      <c r="V93" s="46"/>
      <c r="W93" s="46"/>
      <c r="X93" s="46"/>
      <c r="Y93" s="85"/>
    </row>
    <row r="94" customFormat="false" ht="15.75" hidden="false" customHeight="true" outlineLevel="0" collapsed="false">
      <c r="A94" s="106" t="n">
        <v>75</v>
      </c>
      <c r="B94" s="107" t="s">
        <v>1360</v>
      </c>
      <c r="C94" s="106" t="s">
        <v>752</v>
      </c>
      <c r="D94" s="107" t="s">
        <v>3098</v>
      </c>
      <c r="E94" s="136" t="s">
        <v>99</v>
      </c>
      <c r="F94" s="106" t="s">
        <v>3099</v>
      </c>
      <c r="G94" s="137" t="n">
        <v>45858</v>
      </c>
      <c r="H94" s="106" t="s">
        <v>595</v>
      </c>
      <c r="I94" s="138" t="str">
        <f aca="false">IFERROR(VLOOKUP(TEXT(H94,"0"),IPRESS!$A$3:$B$212,2,0),"")</f>
        <v>POMACOCHAS</v>
      </c>
      <c r="J94" s="106" t="s">
        <v>755</v>
      </c>
      <c r="K94" s="138" t="str">
        <f aca="false">IFERROR(VLOOKUP(TEXT(O94,"0"),CONDUCTORES!$A$3:$G$100,7,0),"")</f>
        <v/>
      </c>
      <c r="L94" s="50" t="n">
        <v>18.18</v>
      </c>
      <c r="M94" s="50" t="n">
        <v>10</v>
      </c>
      <c r="N94" s="139" t="n">
        <f aca="false">IFERROR(IF(L94*M94=0,"",L94*M94),"")</f>
        <v>181.8</v>
      </c>
      <c r="O94" s="85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37" t="n">
        <v>45968</v>
      </c>
      <c r="S94" s="107" t="s">
        <v>3100</v>
      </c>
      <c r="T94" s="136"/>
      <c r="U94" s="140"/>
      <c r="V94" s="106"/>
      <c r="W94" s="106"/>
      <c r="X94" s="106"/>
      <c r="Y94" s="85"/>
    </row>
    <row r="95" customFormat="false" ht="15.75" hidden="false" customHeight="true" outlineLevel="0" collapsed="false">
      <c r="A95" s="46" t="n">
        <v>76</v>
      </c>
      <c r="B95" s="110" t="s">
        <v>1364</v>
      </c>
      <c r="C95" s="46" t="s">
        <v>752</v>
      </c>
      <c r="D95" s="110" t="s">
        <v>3101</v>
      </c>
      <c r="E95" s="46" t="s">
        <v>99</v>
      </c>
      <c r="F95" s="46" t="s">
        <v>3102</v>
      </c>
      <c r="G95" s="142" t="n">
        <v>45859</v>
      </c>
      <c r="H95" s="46" t="s">
        <v>595</v>
      </c>
      <c r="I95" s="138" t="str">
        <f aca="false">IFERROR(VLOOKUP(TEXT(H95,"0"),IPRESS!$A$3:$B$212,2,0),"")</f>
        <v>POMACOCHAS</v>
      </c>
      <c r="J95" s="46" t="s">
        <v>755</v>
      </c>
      <c r="K95" s="138" t="str">
        <f aca="false">IFERROR(VLOOKUP(TEXT(O95,"0"),CONDUCTORES!$A$3:$G$100,7,0),"")</f>
        <v/>
      </c>
      <c r="L95" s="44" t="n">
        <v>18.18</v>
      </c>
      <c r="M95" s="44" t="n">
        <v>8</v>
      </c>
      <c r="N95" s="139" t="n">
        <f aca="false">IFERROR(IF(L95*M95=0,"",L95*M95),"")</f>
        <v>145.44</v>
      </c>
      <c r="O95" s="140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142" t="n">
        <v>45968</v>
      </c>
      <c r="S95" s="110" t="s">
        <v>1140</v>
      </c>
      <c r="T95" s="46"/>
      <c r="U95" s="85"/>
      <c r="V95" s="46"/>
      <c r="W95" s="46"/>
      <c r="X95" s="46"/>
      <c r="Y95" s="85"/>
    </row>
    <row r="96" customFormat="false" ht="15.75" hidden="false" customHeight="true" outlineLevel="0" collapsed="false">
      <c r="A96" s="106" t="n">
        <v>77</v>
      </c>
      <c r="B96" s="107" t="s">
        <v>1368</v>
      </c>
      <c r="C96" s="106" t="s">
        <v>752</v>
      </c>
      <c r="D96" s="107" t="s">
        <v>3103</v>
      </c>
      <c r="E96" s="136" t="s">
        <v>99</v>
      </c>
      <c r="F96" s="106" t="s">
        <v>3104</v>
      </c>
      <c r="G96" s="137" t="n">
        <v>45862</v>
      </c>
      <c r="H96" s="106" t="s">
        <v>595</v>
      </c>
      <c r="I96" s="138" t="str">
        <f aca="false">IFERROR(VLOOKUP(TEXT(H96,"0"),IPRESS!$A$3:$B$212,2,0),"")</f>
        <v>POMACOCHAS</v>
      </c>
      <c r="J96" s="106" t="s">
        <v>755</v>
      </c>
      <c r="K96" s="138" t="str">
        <f aca="false">IFERROR(VLOOKUP(TEXT(O96,"0"),CONDUCTORES!$A$3:$G$100,7,0),"")</f>
        <v/>
      </c>
      <c r="L96" s="50" t="n">
        <v>18.18</v>
      </c>
      <c r="M96" s="50" t="n">
        <v>8</v>
      </c>
      <c r="N96" s="139" t="n">
        <f aca="false">IFERROR(IF(L96*M96=0,"",L96*M96),"")</f>
        <v>145.44</v>
      </c>
      <c r="O96" s="85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37" t="n">
        <v>45968</v>
      </c>
      <c r="S96" s="107" t="s">
        <v>3105</v>
      </c>
      <c r="T96" s="136"/>
      <c r="U96" s="140"/>
      <c r="V96" s="106"/>
      <c r="W96" s="106"/>
      <c r="X96" s="106"/>
      <c r="Y96" s="85"/>
    </row>
    <row r="97" customFormat="false" ht="15.75" hidden="false" customHeight="true" outlineLevel="0" collapsed="false">
      <c r="A97" s="46" t="n">
        <v>78</v>
      </c>
      <c r="B97" s="110" t="s">
        <v>1376</v>
      </c>
      <c r="C97" s="46" t="s">
        <v>752</v>
      </c>
      <c r="D97" s="110" t="s">
        <v>2773</v>
      </c>
      <c r="E97" s="46" t="s">
        <v>99</v>
      </c>
      <c r="F97" s="46" t="s">
        <v>2774</v>
      </c>
      <c r="G97" s="142" t="n">
        <v>45861</v>
      </c>
      <c r="H97" s="46" t="s">
        <v>595</v>
      </c>
      <c r="I97" s="138" t="str">
        <f aca="false">IFERROR(VLOOKUP(TEXT(H97,"0"),IPRESS!$A$3:$B$212,2,0),"")</f>
        <v>POMACOCHAS</v>
      </c>
      <c r="J97" s="46" t="s">
        <v>755</v>
      </c>
      <c r="K97" s="138" t="str">
        <f aca="false">IFERROR(VLOOKUP(TEXT(O97,"0"),CONDUCTORES!$A$3:$G$100,7,0),"")</f>
        <v/>
      </c>
      <c r="L97" s="44" t="n">
        <v>18.18</v>
      </c>
      <c r="M97" s="44" t="n">
        <v>8</v>
      </c>
      <c r="N97" s="139" t="n">
        <f aca="false">IFERROR(IF(L97*M97=0,"",L97*M97),"")</f>
        <v>145.44</v>
      </c>
      <c r="O97" s="140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142" t="n">
        <v>45968</v>
      </c>
      <c r="S97" s="110" t="s">
        <v>3106</v>
      </c>
      <c r="T97" s="46"/>
      <c r="U97" s="85"/>
      <c r="V97" s="46"/>
      <c r="W97" s="46"/>
      <c r="X97" s="46"/>
      <c r="Y97" s="85"/>
    </row>
    <row r="98" customFormat="false" ht="15.75" hidden="false" customHeight="true" outlineLevel="0" collapsed="false">
      <c r="A98" s="106" t="n">
        <v>79</v>
      </c>
      <c r="B98" s="107" t="s">
        <v>2472</v>
      </c>
      <c r="C98" s="106" t="s">
        <v>752</v>
      </c>
      <c r="D98" s="107" t="s">
        <v>3107</v>
      </c>
      <c r="E98" s="136" t="s">
        <v>99</v>
      </c>
      <c r="F98" s="106" t="s">
        <v>3108</v>
      </c>
      <c r="G98" s="137" t="n">
        <v>45864</v>
      </c>
      <c r="H98" s="106" t="s">
        <v>595</v>
      </c>
      <c r="I98" s="138" t="str">
        <f aca="false">IFERROR(VLOOKUP(TEXT(H98,"0"),IPRESS!$A$3:$B$212,2,0),"")</f>
        <v>POMACOCHAS</v>
      </c>
      <c r="J98" s="106" t="s">
        <v>755</v>
      </c>
      <c r="K98" s="138" t="str">
        <f aca="false">IFERROR(VLOOKUP(TEXT(O98,"0"),CONDUCTORES!$A$3:$G$100,7,0),"")</f>
        <v/>
      </c>
      <c r="L98" s="50" t="n">
        <v>18.18</v>
      </c>
      <c r="M98" s="50" t="n">
        <v>8</v>
      </c>
      <c r="N98" s="139" t="n">
        <f aca="false">IFERROR(IF(L98*M98=0,"",L98*M98),"")</f>
        <v>145.44</v>
      </c>
      <c r="O98" s="85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37" t="n">
        <v>45968</v>
      </c>
      <c r="S98" s="107" t="s">
        <v>3109</v>
      </c>
      <c r="T98" s="136"/>
      <c r="U98" s="140"/>
      <c r="V98" s="106"/>
      <c r="W98" s="106"/>
      <c r="X98" s="106"/>
      <c r="Y98" s="85"/>
    </row>
    <row r="99" customFormat="false" ht="15.75" hidden="false" customHeight="true" outlineLevel="0" collapsed="false">
      <c r="A99" s="46" t="n">
        <v>80</v>
      </c>
      <c r="B99" s="110" t="s">
        <v>2476</v>
      </c>
      <c r="C99" s="46" t="s">
        <v>752</v>
      </c>
      <c r="D99" s="110" t="s">
        <v>3110</v>
      </c>
      <c r="E99" s="46" t="s">
        <v>99</v>
      </c>
      <c r="F99" s="46" t="s">
        <v>3111</v>
      </c>
      <c r="G99" s="142" t="n">
        <v>45868</v>
      </c>
      <c r="H99" s="46" t="s">
        <v>595</v>
      </c>
      <c r="I99" s="138" t="str">
        <f aca="false">IFERROR(VLOOKUP(TEXT(H99,"0"),IPRESS!$A$3:$B$212,2,0),"")</f>
        <v>POMACOCHAS</v>
      </c>
      <c r="J99" s="46" t="s">
        <v>755</v>
      </c>
      <c r="K99" s="138" t="str">
        <f aca="false">IFERROR(VLOOKUP(TEXT(O99,"0"),CONDUCTORES!$A$3:$G$100,7,0),"")</f>
        <v/>
      </c>
      <c r="L99" s="44" t="n">
        <v>18.18</v>
      </c>
      <c r="M99" s="44" t="n">
        <v>8</v>
      </c>
      <c r="N99" s="139" t="n">
        <f aca="false">IFERROR(IF(L99*M99=0,"",L99*M99),"")</f>
        <v>145.44</v>
      </c>
      <c r="O99" s="140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142" t="n">
        <v>45968</v>
      </c>
      <c r="S99" s="110" t="s">
        <v>3112</v>
      </c>
      <c r="T99" s="46"/>
      <c r="U99" s="85"/>
      <c r="V99" s="46"/>
      <c r="W99" s="46"/>
      <c r="X99" s="46"/>
      <c r="Y99" s="85"/>
    </row>
    <row r="100" customFormat="false" ht="15.75" hidden="false" customHeight="true" outlineLevel="0" collapsed="false">
      <c r="A100" s="106" t="n">
        <v>81</v>
      </c>
      <c r="B100" s="107" t="s">
        <v>2480</v>
      </c>
      <c r="C100" s="106" t="s">
        <v>752</v>
      </c>
      <c r="D100" s="107" t="s">
        <v>3113</v>
      </c>
      <c r="E100" s="136" t="s">
        <v>99</v>
      </c>
      <c r="F100" s="106" t="s">
        <v>3114</v>
      </c>
      <c r="G100" s="137" t="n">
        <v>45869</v>
      </c>
      <c r="H100" s="106" t="s">
        <v>595</v>
      </c>
      <c r="I100" s="138" t="str">
        <f aca="false">IFERROR(VLOOKUP(TEXT(H100,"0"),IPRESS!$A$3:$B$212,2,0),"")</f>
        <v>POMACOCHAS</v>
      </c>
      <c r="J100" s="106" t="s">
        <v>755</v>
      </c>
      <c r="K100" s="138" t="str">
        <f aca="false">IFERROR(VLOOKUP(TEXT(O100,"0"),CONDUCTORES!$A$3:$G$100,7,0),"")</f>
        <v/>
      </c>
      <c r="L100" s="50" t="n">
        <v>18.18</v>
      </c>
      <c r="M100" s="50" t="n">
        <v>8</v>
      </c>
      <c r="N100" s="139" t="n">
        <f aca="false">IFERROR(IF(L100*M100=0,"",L100*M100),"")</f>
        <v>145.44</v>
      </c>
      <c r="O100" s="85"/>
      <c r="P100" s="138" t="str">
        <f aca="false">IFERROR(VLOOKUP(TEXT(O100,"0"),CONDUCTORES!$A$3:$G$100,2,0),"")</f>
        <v/>
      </c>
      <c r="Q100" s="138" t="str">
        <f aca="false">IFERROR(VLOOKUP(TEXT(O100,"0"),CONDUCTORES!$A$3:$H$100,6,0),"")</f>
        <v/>
      </c>
      <c r="R100" s="137" t="n">
        <v>45968</v>
      </c>
      <c r="S100" s="107" t="s">
        <v>3115</v>
      </c>
      <c r="T100" s="136"/>
      <c r="U100" s="140"/>
      <c r="V100" s="106"/>
      <c r="W100" s="106"/>
      <c r="X100" s="106"/>
      <c r="Y100" s="85"/>
    </row>
    <row r="101" customFormat="false" ht="15.75" hidden="false" customHeight="true" outlineLevel="0" collapsed="false">
      <c r="A101" s="143" t="n">
        <v>82</v>
      </c>
      <c r="B101" s="144" t="s">
        <v>1338</v>
      </c>
      <c r="C101" s="143" t="s">
        <v>752</v>
      </c>
      <c r="D101" s="144" t="s">
        <v>2458</v>
      </c>
      <c r="E101" s="143" t="s">
        <v>99</v>
      </c>
      <c r="F101" s="143" t="s">
        <v>2459</v>
      </c>
      <c r="G101" s="145" t="n">
        <v>45854</v>
      </c>
      <c r="H101" s="143" t="s">
        <v>595</v>
      </c>
      <c r="I101" s="138" t="str">
        <f aca="false">IFERROR(VLOOKUP(TEXT(H101,"0"),IPRESS!$A$3:$B$212,2,0),"")</f>
        <v>POMACOCHAS</v>
      </c>
      <c r="J101" s="143" t="s">
        <v>755</v>
      </c>
      <c r="K101" s="138" t="str">
        <f aca="false">IFERROR(VLOOKUP(TEXT(O101,"0"),CONDUCTORES!$A$3:$G$100,7,0),"")</f>
        <v/>
      </c>
      <c r="L101" s="146" t="n">
        <v>17.95</v>
      </c>
      <c r="M101" s="146" t="n">
        <v>15</v>
      </c>
      <c r="N101" s="139" t="n">
        <f aca="false">IFERROR(IF(L101*M101=0,"",L101*M101),"")</f>
        <v>269.25</v>
      </c>
      <c r="O101" s="140"/>
      <c r="P101" s="138" t="str">
        <f aca="false">IFERROR(VLOOKUP(TEXT(O101,"0"),CONDUCTORES!$A$3:$G$100,2,0),"")</f>
        <v/>
      </c>
      <c r="Q101" s="138" t="str">
        <f aca="false">IFERROR(VLOOKUP(TEXT(O101,"0"),CONDUCTORES!$A$3:$H$100,6,0),"")</f>
        <v/>
      </c>
      <c r="R101" s="147"/>
      <c r="S101" s="144" t="s">
        <v>1867</v>
      </c>
      <c r="T101" s="143" t="s">
        <v>3116</v>
      </c>
      <c r="U101" s="147"/>
      <c r="V101" s="143"/>
      <c r="W101" s="143"/>
      <c r="X101" s="143"/>
      <c r="Y101" s="85"/>
    </row>
    <row r="102" customFormat="false" ht="15.75" hidden="false" customHeight="true" outlineLevel="0" collapsed="false">
      <c r="A102" s="143" t="n">
        <v>82</v>
      </c>
      <c r="B102" s="144" t="s">
        <v>1372</v>
      </c>
      <c r="C102" s="143" t="s">
        <v>752</v>
      </c>
      <c r="D102" s="144" t="s">
        <v>2836</v>
      </c>
      <c r="E102" s="143" t="s">
        <v>99</v>
      </c>
      <c r="F102" s="143" t="s">
        <v>2837</v>
      </c>
      <c r="G102" s="145" t="n">
        <v>45863</v>
      </c>
      <c r="H102" s="143" t="s">
        <v>595</v>
      </c>
      <c r="I102" s="138" t="str">
        <f aca="false">IFERROR(VLOOKUP(TEXT(H102,"0"),IPRESS!$A$3:$B$212,2,0),"")</f>
        <v>POMACOCHAS</v>
      </c>
      <c r="J102" s="143" t="s">
        <v>755</v>
      </c>
      <c r="K102" s="138" t="str">
        <f aca="false">IFERROR(VLOOKUP(TEXT(O102,"0"),CONDUCTORES!$A$3:$G$100,7,0),"")</f>
        <v/>
      </c>
      <c r="L102" s="146" t="n">
        <v>17.95</v>
      </c>
      <c r="M102" s="146" t="n">
        <v>15</v>
      </c>
      <c r="N102" s="139" t="n">
        <f aca="false">IFERROR(IF(L102*M102=0,"",L102*M102),"")</f>
        <v>269.25</v>
      </c>
      <c r="O102" s="85"/>
      <c r="P102" s="138" t="str">
        <f aca="false">IFERROR(VLOOKUP(TEXT(O102,"0"),CONDUCTORES!$A$3:$G$100,2,0),"")</f>
        <v/>
      </c>
      <c r="Q102" s="138" t="str">
        <f aca="false">IFERROR(VLOOKUP(TEXT(O102,"0"),CONDUCTORES!$A$3:$H$100,6,0),"")</f>
        <v/>
      </c>
      <c r="R102" s="147"/>
      <c r="S102" s="144" t="s">
        <v>847</v>
      </c>
      <c r="T102" s="143" t="s">
        <v>3116</v>
      </c>
      <c r="U102" s="147"/>
      <c r="V102" s="143"/>
      <c r="W102" s="143"/>
      <c r="X102" s="143"/>
      <c r="Y102" s="85"/>
    </row>
    <row r="103" customFormat="false" ht="15.75" hidden="false" customHeight="true" outlineLevel="0" collapsed="false">
      <c r="A103" s="46" t="n">
        <v>83</v>
      </c>
      <c r="B103" s="110" t="s">
        <v>926</v>
      </c>
      <c r="C103" s="46" t="s">
        <v>752</v>
      </c>
      <c r="D103" s="110" t="s">
        <v>3117</v>
      </c>
      <c r="E103" s="46" t="s">
        <v>99</v>
      </c>
      <c r="F103" s="46" t="s">
        <v>3118</v>
      </c>
      <c r="G103" s="142" t="n">
        <v>45856</v>
      </c>
      <c r="H103" s="46" t="s">
        <v>659</v>
      </c>
      <c r="I103" s="138" t="str">
        <f aca="false">IFERROR(VLOOKUP(TEXT(H103,"0"),IPRESS!$A$3:$B$212,2,0),"")</f>
        <v>SAN SALVADOR</v>
      </c>
      <c r="J103" s="46" t="s">
        <v>755</v>
      </c>
      <c r="K103" s="138" t="str">
        <f aca="false">IFERROR(VLOOKUP(TEXT(O103,"0"),CONDUCTORES!$A$3:$G$100,7,0),"")</f>
        <v/>
      </c>
      <c r="L103" s="44" t="n">
        <v>18.18</v>
      </c>
      <c r="M103" s="44" t="n">
        <v>10</v>
      </c>
      <c r="N103" s="139" t="n">
        <f aca="false">IFERROR(IF(L103*M103=0,"",L103*M103),"")</f>
        <v>181.8</v>
      </c>
      <c r="O103" s="140"/>
      <c r="P103" s="138" t="str">
        <f aca="false">IFERROR(VLOOKUP(TEXT(O103,"0"),CONDUCTORES!$A$3:$G$100,2,0),"")</f>
        <v/>
      </c>
      <c r="Q103" s="138" t="str">
        <f aca="false">IFERROR(VLOOKUP(TEXT(O103,"0"),CONDUCTORES!$A$3:$H$100,6,0),"")</f>
        <v/>
      </c>
      <c r="R103" s="142" t="n">
        <v>45939</v>
      </c>
      <c r="S103" s="110" t="s">
        <v>3119</v>
      </c>
      <c r="T103" s="46"/>
      <c r="U103" s="85"/>
      <c r="V103" s="46"/>
      <c r="W103" s="46"/>
      <c r="X103" s="46"/>
      <c r="Y103" s="85"/>
    </row>
    <row r="104" customFormat="false" ht="15.75" hidden="false" customHeight="true" outlineLevel="0" collapsed="false">
      <c r="A104" s="106" t="n">
        <v>84</v>
      </c>
      <c r="B104" s="107" t="s">
        <v>1227</v>
      </c>
      <c r="C104" s="106" t="s">
        <v>752</v>
      </c>
      <c r="D104" s="107" t="s">
        <v>3120</v>
      </c>
      <c r="E104" s="136" t="s">
        <v>99</v>
      </c>
      <c r="F104" s="106" t="s">
        <v>3121</v>
      </c>
      <c r="G104" s="137" t="n">
        <v>45839</v>
      </c>
      <c r="H104" s="106" t="s">
        <v>692</v>
      </c>
      <c r="I104" s="138" t="str">
        <f aca="false">IFERROR(VLOOKUP(TEXT(H104,"0"),IPRESS!$A$3:$B$212,2,0),"")</f>
        <v>TINGO</v>
      </c>
      <c r="J104" s="106" t="s">
        <v>755</v>
      </c>
      <c r="K104" s="138" t="str">
        <f aca="false">IFERROR(VLOOKUP(TEXT(O104,"0"),CONDUCTORES!$A$3:$G$100,7,0),"")</f>
        <v/>
      </c>
      <c r="L104" s="50" t="n">
        <v>18.18</v>
      </c>
      <c r="M104" s="50" t="n">
        <v>5</v>
      </c>
      <c r="N104" s="139" t="n">
        <f aca="false">IFERROR(IF(L104*M104=0,"",L104*M104),"")</f>
        <v>90.9</v>
      </c>
      <c r="O104" s="85"/>
      <c r="P104" s="138" t="str">
        <f aca="false">IFERROR(VLOOKUP(TEXT(O104,"0"),CONDUCTORES!$A$3:$G$100,2,0),"")</f>
        <v/>
      </c>
      <c r="Q104" s="138" t="str">
        <f aca="false">IFERROR(VLOOKUP(TEXT(O104,"0"),CONDUCTORES!$A$3:$H$100,6,0),"")</f>
        <v/>
      </c>
      <c r="R104" s="137" t="n">
        <v>45939</v>
      </c>
      <c r="S104" s="107" t="s">
        <v>3122</v>
      </c>
      <c r="T104" s="136"/>
      <c r="U104" s="140"/>
      <c r="V104" s="106"/>
      <c r="W104" s="106"/>
      <c r="X104" s="106"/>
      <c r="Y104" s="85"/>
    </row>
    <row r="105" customFormat="false" ht="15.75" hidden="false" customHeight="true" outlineLevel="0" collapsed="false">
      <c r="A105" s="46" t="n">
        <v>85</v>
      </c>
      <c r="B105" s="110" t="s">
        <v>1207</v>
      </c>
      <c r="C105" s="46" t="s">
        <v>752</v>
      </c>
      <c r="D105" s="110" t="s">
        <v>3123</v>
      </c>
      <c r="E105" s="46" t="s">
        <v>99</v>
      </c>
      <c r="F105" s="46" t="s">
        <v>3124</v>
      </c>
      <c r="G105" s="142" t="n">
        <v>45840</v>
      </c>
      <c r="H105" s="46" t="s">
        <v>692</v>
      </c>
      <c r="I105" s="138" t="str">
        <f aca="false">IFERROR(VLOOKUP(TEXT(H105,"0"),IPRESS!$A$3:$B$212,2,0),"")</f>
        <v>TINGO</v>
      </c>
      <c r="J105" s="46" t="s">
        <v>755</v>
      </c>
      <c r="K105" s="138" t="str">
        <f aca="false">IFERROR(VLOOKUP(TEXT(O105,"0"),CONDUCTORES!$A$3:$G$100,7,0),"")</f>
        <v/>
      </c>
      <c r="L105" s="44" t="n">
        <v>18.18</v>
      </c>
      <c r="M105" s="44" t="n">
        <v>5</v>
      </c>
      <c r="N105" s="139" t="n">
        <f aca="false">IFERROR(IF(L105*M105=0,"",L105*M105),"")</f>
        <v>90.9</v>
      </c>
      <c r="O105" s="140"/>
      <c r="P105" s="138" t="str">
        <f aca="false">IFERROR(VLOOKUP(TEXT(O105,"0"),CONDUCTORES!$A$3:$G$100,2,0),"")</f>
        <v/>
      </c>
      <c r="Q105" s="138" t="str">
        <f aca="false">IFERROR(VLOOKUP(TEXT(O105,"0"),CONDUCTORES!$A$3:$H$100,6,0),"")</f>
        <v/>
      </c>
      <c r="R105" s="142" t="n">
        <v>45939</v>
      </c>
      <c r="S105" s="110" t="s">
        <v>1487</v>
      </c>
      <c r="T105" s="46"/>
      <c r="U105" s="85"/>
      <c r="V105" s="46"/>
      <c r="W105" s="46"/>
      <c r="X105" s="46"/>
      <c r="Y105" s="85"/>
    </row>
    <row r="106" customFormat="false" ht="15.75" hidden="false" customHeight="true" outlineLevel="0" collapsed="false">
      <c r="A106" s="106" t="n">
        <v>86</v>
      </c>
      <c r="B106" s="107" t="s">
        <v>1197</v>
      </c>
      <c r="C106" s="106" t="s">
        <v>752</v>
      </c>
      <c r="D106" s="107" t="s">
        <v>3125</v>
      </c>
      <c r="E106" s="136" t="s">
        <v>99</v>
      </c>
      <c r="F106" s="106" t="s">
        <v>3126</v>
      </c>
      <c r="G106" s="137" t="n">
        <v>45842</v>
      </c>
      <c r="H106" s="106" t="s">
        <v>692</v>
      </c>
      <c r="I106" s="138" t="str">
        <f aca="false">IFERROR(VLOOKUP(TEXT(H106,"0"),IPRESS!$A$3:$B$212,2,0),"")</f>
        <v>TINGO</v>
      </c>
      <c r="J106" s="106" t="s">
        <v>755</v>
      </c>
      <c r="K106" s="138" t="str">
        <f aca="false">IFERROR(VLOOKUP(TEXT(O106,"0"),CONDUCTORES!$A$3:$G$100,7,0),"")</f>
        <v/>
      </c>
      <c r="L106" s="50" t="n">
        <v>18.18</v>
      </c>
      <c r="M106" s="50" t="n">
        <v>5</v>
      </c>
      <c r="N106" s="139" t="n">
        <f aca="false">IFERROR(IF(L106*M106=0,"",L106*M106),"")</f>
        <v>90.9</v>
      </c>
      <c r="O106" s="85"/>
      <c r="P106" s="138" t="str">
        <f aca="false">IFERROR(VLOOKUP(TEXT(O106,"0"),CONDUCTORES!$A$3:$G$100,2,0),"")</f>
        <v/>
      </c>
      <c r="Q106" s="138" t="str">
        <f aca="false">IFERROR(VLOOKUP(TEXT(O106,"0"),CONDUCTORES!$A$3:$H$100,6,0),"")</f>
        <v/>
      </c>
      <c r="R106" s="137" t="n">
        <v>45939</v>
      </c>
      <c r="S106" s="107" t="s">
        <v>1487</v>
      </c>
      <c r="T106" s="136"/>
      <c r="U106" s="140"/>
      <c r="V106" s="106"/>
      <c r="W106" s="106"/>
      <c r="X106" s="106"/>
      <c r="Y106" s="85"/>
    </row>
    <row r="107" customFormat="false" ht="15.75" hidden="false" customHeight="true" outlineLevel="0" collapsed="false">
      <c r="A107" s="46" t="n">
        <v>87</v>
      </c>
      <c r="B107" s="110" t="s">
        <v>1302</v>
      </c>
      <c r="C107" s="46" t="s">
        <v>752</v>
      </c>
      <c r="D107" s="110" t="s">
        <v>3127</v>
      </c>
      <c r="E107" s="46" t="s">
        <v>99</v>
      </c>
      <c r="F107" s="46" t="s">
        <v>3128</v>
      </c>
      <c r="G107" s="142" t="n">
        <v>45842</v>
      </c>
      <c r="H107" s="46" t="s">
        <v>692</v>
      </c>
      <c r="I107" s="138" t="str">
        <f aca="false">IFERROR(VLOOKUP(TEXT(H107,"0"),IPRESS!$A$3:$B$212,2,0),"")</f>
        <v>TINGO</v>
      </c>
      <c r="J107" s="46" t="s">
        <v>755</v>
      </c>
      <c r="K107" s="138" t="str">
        <f aca="false">IFERROR(VLOOKUP(TEXT(O107,"0"),CONDUCTORES!$A$3:$G$100,7,0),"")</f>
        <v/>
      </c>
      <c r="L107" s="44" t="n">
        <v>18.18</v>
      </c>
      <c r="M107" s="44" t="n">
        <v>5</v>
      </c>
      <c r="N107" s="139" t="n">
        <f aca="false">IFERROR(IF(L107*M107=0,"",L107*M107),"")</f>
        <v>90.9</v>
      </c>
      <c r="O107" s="140"/>
      <c r="P107" s="138" t="str">
        <f aca="false">IFERROR(VLOOKUP(TEXT(O107,"0"),CONDUCTORES!$A$3:$G$100,2,0),"")</f>
        <v/>
      </c>
      <c r="Q107" s="138" t="str">
        <f aca="false">IFERROR(VLOOKUP(TEXT(O107,"0"),CONDUCTORES!$A$3:$H$100,6,0),"")</f>
        <v/>
      </c>
      <c r="R107" s="142" t="n">
        <v>45939</v>
      </c>
      <c r="S107" s="110" t="s">
        <v>847</v>
      </c>
      <c r="T107" s="46"/>
      <c r="U107" s="85"/>
      <c r="V107" s="46"/>
      <c r="W107" s="46"/>
      <c r="X107" s="46"/>
      <c r="Y107" s="85"/>
    </row>
    <row r="108" customFormat="false" ht="15.75" hidden="false" customHeight="true" outlineLevel="0" collapsed="false">
      <c r="A108" s="106" t="n">
        <v>88</v>
      </c>
      <c r="B108" s="107" t="s">
        <v>1306</v>
      </c>
      <c r="C108" s="106" t="s">
        <v>752</v>
      </c>
      <c r="D108" s="107" t="s">
        <v>3129</v>
      </c>
      <c r="E108" s="136" t="s">
        <v>99</v>
      </c>
      <c r="F108" s="106" t="s">
        <v>3130</v>
      </c>
      <c r="G108" s="137" t="n">
        <v>45848</v>
      </c>
      <c r="H108" s="106" t="s">
        <v>692</v>
      </c>
      <c r="I108" s="138" t="str">
        <f aca="false">IFERROR(VLOOKUP(TEXT(H108,"0"),IPRESS!$A$3:$B$212,2,0),"")</f>
        <v>TINGO</v>
      </c>
      <c r="J108" s="106" t="s">
        <v>755</v>
      </c>
      <c r="K108" s="138" t="str">
        <f aca="false">IFERROR(VLOOKUP(TEXT(O108,"0"),CONDUCTORES!$A$3:$G$100,7,0),"")</f>
        <v/>
      </c>
      <c r="L108" s="50" t="n">
        <v>18.18</v>
      </c>
      <c r="M108" s="50" t="n">
        <v>5</v>
      </c>
      <c r="N108" s="139" t="n">
        <f aca="false">IFERROR(IF(L108*M108=0,"",L108*M108),"")</f>
        <v>90.9</v>
      </c>
      <c r="O108" s="85"/>
      <c r="P108" s="138" t="str">
        <f aca="false">IFERROR(VLOOKUP(TEXT(O108,"0"),CONDUCTORES!$A$3:$G$100,2,0),"")</f>
        <v/>
      </c>
      <c r="Q108" s="138" t="str">
        <f aca="false">IFERROR(VLOOKUP(TEXT(O108,"0"),CONDUCTORES!$A$3:$H$100,6,0),"")</f>
        <v/>
      </c>
      <c r="R108" s="137" t="n">
        <v>45939</v>
      </c>
      <c r="S108" s="107" t="s">
        <v>1236</v>
      </c>
      <c r="T108" s="136"/>
      <c r="U108" s="140"/>
      <c r="V108" s="106"/>
      <c r="W108" s="106"/>
      <c r="X108" s="106"/>
      <c r="Y108" s="85"/>
    </row>
    <row r="109" customFormat="false" ht="15.75" hidden="false" customHeight="true" outlineLevel="0" collapsed="false">
      <c r="A109" s="46" t="n">
        <v>89</v>
      </c>
      <c r="B109" s="110" t="s">
        <v>1412</v>
      </c>
      <c r="C109" s="46" t="s">
        <v>752</v>
      </c>
      <c r="D109" s="110" t="s">
        <v>3131</v>
      </c>
      <c r="E109" s="46" t="s">
        <v>99</v>
      </c>
      <c r="F109" s="46" t="s">
        <v>3132</v>
      </c>
      <c r="G109" s="142" t="n">
        <v>45851</v>
      </c>
      <c r="H109" s="46" t="s">
        <v>692</v>
      </c>
      <c r="I109" s="138" t="str">
        <f aca="false">IFERROR(VLOOKUP(TEXT(H109,"0"),IPRESS!$A$3:$B$212,2,0),"")</f>
        <v>TINGO</v>
      </c>
      <c r="J109" s="46" t="s">
        <v>755</v>
      </c>
      <c r="K109" s="138" t="str">
        <f aca="false">IFERROR(VLOOKUP(TEXT(O109,"0"),CONDUCTORES!$A$3:$G$100,7,0),"")</f>
        <v/>
      </c>
      <c r="L109" s="44" t="n">
        <v>18.18</v>
      </c>
      <c r="M109" s="44" t="n">
        <v>5</v>
      </c>
      <c r="N109" s="139" t="n">
        <f aca="false">IFERROR(IF(L109*M109=0,"",L109*M109),"")</f>
        <v>90.9</v>
      </c>
      <c r="O109" s="140"/>
      <c r="P109" s="138" t="str">
        <f aca="false">IFERROR(VLOOKUP(TEXT(O109,"0"),CONDUCTORES!$A$3:$G$100,2,0),"")</f>
        <v/>
      </c>
      <c r="Q109" s="138" t="str">
        <f aca="false">IFERROR(VLOOKUP(TEXT(O109,"0"),CONDUCTORES!$A$3:$H$100,6,0),"")</f>
        <v/>
      </c>
      <c r="R109" s="142" t="n">
        <v>45939</v>
      </c>
      <c r="S109" s="110" t="s">
        <v>3133</v>
      </c>
      <c r="T109" s="46"/>
      <c r="U109" s="85"/>
      <c r="V109" s="46"/>
      <c r="W109" s="46"/>
      <c r="X109" s="46"/>
      <c r="Y109" s="85"/>
    </row>
    <row r="110" customFormat="false" ht="15.75" hidden="false" customHeight="true" outlineLevel="0" collapsed="false">
      <c r="A110" s="106" t="n">
        <v>90</v>
      </c>
      <c r="B110" s="107" t="s">
        <v>1425</v>
      </c>
      <c r="C110" s="106" t="s">
        <v>752</v>
      </c>
      <c r="D110" s="107" t="s">
        <v>3134</v>
      </c>
      <c r="E110" s="136" t="s">
        <v>99</v>
      </c>
      <c r="F110" s="106" t="s">
        <v>3135</v>
      </c>
      <c r="G110" s="137" t="n">
        <v>45852</v>
      </c>
      <c r="H110" s="106" t="s">
        <v>692</v>
      </c>
      <c r="I110" s="138" t="str">
        <f aca="false">IFERROR(VLOOKUP(TEXT(H110,"0"),IPRESS!$A$3:$B$212,2,0),"")</f>
        <v>TINGO</v>
      </c>
      <c r="J110" s="106" t="s">
        <v>755</v>
      </c>
      <c r="K110" s="138" t="str">
        <f aca="false">IFERROR(VLOOKUP(TEXT(O110,"0"),CONDUCTORES!$A$3:$G$100,7,0),"")</f>
        <v/>
      </c>
      <c r="L110" s="50" t="n">
        <v>18.18</v>
      </c>
      <c r="M110" s="50" t="n">
        <v>5</v>
      </c>
      <c r="N110" s="139" t="n">
        <f aca="false">IFERROR(IF(L110*M110=0,"",L110*M110),"")</f>
        <v>90.9</v>
      </c>
      <c r="O110" s="85"/>
      <c r="P110" s="138" t="str">
        <f aca="false">IFERROR(VLOOKUP(TEXT(O110,"0"),CONDUCTORES!$A$3:$G$100,2,0),"")</f>
        <v/>
      </c>
      <c r="Q110" s="138" t="str">
        <f aca="false">IFERROR(VLOOKUP(TEXT(O110,"0"),CONDUCTORES!$A$3:$H$100,6,0),"")</f>
        <v/>
      </c>
      <c r="R110" s="137" t="n">
        <v>45939</v>
      </c>
      <c r="S110" s="107" t="s">
        <v>3136</v>
      </c>
      <c r="T110" s="136"/>
      <c r="U110" s="140"/>
      <c r="V110" s="106"/>
      <c r="W110" s="106"/>
      <c r="X110" s="106"/>
      <c r="Y110" s="85"/>
    </row>
    <row r="111" customFormat="false" ht="15.75" hidden="false" customHeight="true" outlineLevel="0" collapsed="false">
      <c r="A111" s="46" t="n">
        <v>91</v>
      </c>
      <c r="B111" s="110" t="s">
        <v>2355</v>
      </c>
      <c r="C111" s="46" t="s">
        <v>752</v>
      </c>
      <c r="D111" s="110" t="s">
        <v>3137</v>
      </c>
      <c r="E111" s="46" t="s">
        <v>99</v>
      </c>
      <c r="F111" s="46" t="s">
        <v>3138</v>
      </c>
      <c r="G111" s="142" t="n">
        <v>45853</v>
      </c>
      <c r="H111" s="46" t="s">
        <v>692</v>
      </c>
      <c r="I111" s="138" t="str">
        <f aca="false">IFERROR(VLOOKUP(TEXT(H111,"0"),IPRESS!$A$3:$B$212,2,0),"")</f>
        <v>TINGO</v>
      </c>
      <c r="J111" s="46" t="s">
        <v>755</v>
      </c>
      <c r="K111" s="138" t="str">
        <f aca="false">IFERROR(VLOOKUP(TEXT(O111,"0"),CONDUCTORES!$A$3:$G$100,7,0),"")</f>
        <v/>
      </c>
      <c r="L111" s="44" t="n">
        <v>18.18</v>
      </c>
      <c r="M111" s="44" t="n">
        <v>5</v>
      </c>
      <c r="N111" s="139" t="n">
        <f aca="false">IFERROR(IF(L111*M111=0,"",L111*M111),"")</f>
        <v>90.9</v>
      </c>
      <c r="O111" s="140"/>
      <c r="P111" s="138" t="str">
        <f aca="false">IFERROR(VLOOKUP(TEXT(O111,"0"),CONDUCTORES!$A$3:$G$100,2,0),"")</f>
        <v/>
      </c>
      <c r="Q111" s="138" t="str">
        <f aca="false">IFERROR(VLOOKUP(TEXT(O111,"0"),CONDUCTORES!$A$3:$H$100,6,0),"")</f>
        <v/>
      </c>
      <c r="R111" s="142" t="n">
        <v>45939</v>
      </c>
      <c r="S111" s="110" t="s">
        <v>2483</v>
      </c>
      <c r="T111" s="46"/>
      <c r="U111" s="85"/>
      <c r="V111" s="46"/>
      <c r="W111" s="46"/>
      <c r="X111" s="46"/>
      <c r="Y111" s="85"/>
    </row>
    <row r="112" customFormat="false" ht="15.75" hidden="false" customHeight="true" outlineLevel="0" collapsed="false">
      <c r="A112" s="106" t="n">
        <v>92</v>
      </c>
      <c r="B112" s="107" t="s">
        <v>1128</v>
      </c>
      <c r="C112" s="106" t="s">
        <v>752</v>
      </c>
      <c r="D112" s="107" t="s">
        <v>3139</v>
      </c>
      <c r="E112" s="136" t="s">
        <v>99</v>
      </c>
      <c r="F112" s="106" t="s">
        <v>3140</v>
      </c>
      <c r="G112" s="137" t="n">
        <v>45857</v>
      </c>
      <c r="H112" s="106" t="s">
        <v>692</v>
      </c>
      <c r="I112" s="138" t="str">
        <f aca="false">IFERROR(VLOOKUP(TEXT(H112,"0"),IPRESS!$A$3:$B$212,2,0),"")</f>
        <v>TINGO</v>
      </c>
      <c r="J112" s="106" t="s">
        <v>755</v>
      </c>
      <c r="K112" s="138" t="str">
        <f aca="false">IFERROR(VLOOKUP(TEXT(O112,"0"),CONDUCTORES!$A$3:$G$100,7,0),"")</f>
        <v/>
      </c>
      <c r="L112" s="50" t="n">
        <v>18.18</v>
      </c>
      <c r="M112" s="50" t="n">
        <v>5</v>
      </c>
      <c r="N112" s="139" t="n">
        <f aca="false">IFERROR(IF(L112*M112=0,"",L112*M112),"")</f>
        <v>90.9</v>
      </c>
      <c r="O112" s="85"/>
      <c r="P112" s="138" t="str">
        <f aca="false">IFERROR(VLOOKUP(TEXT(O112,"0"),CONDUCTORES!$A$3:$G$100,2,0),"")</f>
        <v/>
      </c>
      <c r="Q112" s="138" t="str">
        <f aca="false">IFERROR(VLOOKUP(TEXT(O112,"0"),CONDUCTORES!$A$3:$H$100,6,0),"")</f>
        <v/>
      </c>
      <c r="R112" s="137" t="n">
        <v>45939</v>
      </c>
      <c r="S112" s="107" t="s">
        <v>2808</v>
      </c>
      <c r="T112" s="136"/>
      <c r="U112" s="140"/>
      <c r="V112" s="106"/>
      <c r="W112" s="106"/>
      <c r="X112" s="106"/>
      <c r="Y112" s="85"/>
    </row>
    <row r="113" customFormat="false" ht="15.75" hidden="false" customHeight="true" outlineLevel="0" collapsed="false">
      <c r="A113" s="46" t="n">
        <v>93</v>
      </c>
      <c r="B113" s="110" t="s">
        <v>1134</v>
      </c>
      <c r="C113" s="46" t="s">
        <v>752</v>
      </c>
      <c r="D113" s="110" t="s">
        <v>3141</v>
      </c>
      <c r="E113" s="46" t="s">
        <v>99</v>
      </c>
      <c r="F113" s="46" t="s">
        <v>3142</v>
      </c>
      <c r="G113" s="142" t="n">
        <v>45859</v>
      </c>
      <c r="H113" s="46" t="s">
        <v>692</v>
      </c>
      <c r="I113" s="138" t="str">
        <f aca="false">IFERROR(VLOOKUP(TEXT(H113,"0"),IPRESS!$A$3:$B$212,2,0),"")</f>
        <v>TINGO</v>
      </c>
      <c r="J113" s="46" t="s">
        <v>755</v>
      </c>
      <c r="K113" s="138" t="str">
        <f aca="false">IFERROR(VLOOKUP(TEXT(O113,"0"),CONDUCTORES!$A$3:$G$100,7,0),"")</f>
        <v/>
      </c>
      <c r="L113" s="44" t="n">
        <v>18.18</v>
      </c>
      <c r="M113" s="44" t="n">
        <v>5</v>
      </c>
      <c r="N113" s="139" t="n">
        <f aca="false">IFERROR(IF(L113*M113=0,"",L113*M113),"")</f>
        <v>90.9</v>
      </c>
      <c r="O113" s="140"/>
      <c r="P113" s="138" t="str">
        <f aca="false">IFERROR(VLOOKUP(TEXT(O113,"0"),CONDUCTORES!$A$3:$G$100,2,0),"")</f>
        <v/>
      </c>
      <c r="Q113" s="138" t="str">
        <f aca="false">IFERROR(VLOOKUP(TEXT(O113,"0"),CONDUCTORES!$A$3:$H$100,6,0),"")</f>
        <v/>
      </c>
      <c r="R113" s="142" t="n">
        <v>45939</v>
      </c>
      <c r="S113" s="110" t="s">
        <v>1902</v>
      </c>
      <c r="T113" s="46"/>
      <c r="U113" s="85"/>
      <c r="V113" s="46"/>
      <c r="W113" s="46"/>
      <c r="X113" s="46"/>
      <c r="Y113" s="85"/>
    </row>
    <row r="114" customFormat="false" ht="15.75" hidden="false" customHeight="true" outlineLevel="0" collapsed="false">
      <c r="A114" s="106" t="n">
        <v>94</v>
      </c>
      <c r="B114" s="107" t="s">
        <v>883</v>
      </c>
      <c r="C114" s="106" t="s">
        <v>752</v>
      </c>
      <c r="D114" s="107" t="s">
        <v>3143</v>
      </c>
      <c r="E114" s="136" t="s">
        <v>99</v>
      </c>
      <c r="F114" s="106" t="s">
        <v>3144</v>
      </c>
      <c r="G114" s="137" t="n">
        <v>45859</v>
      </c>
      <c r="H114" s="106" t="s">
        <v>692</v>
      </c>
      <c r="I114" s="138" t="str">
        <f aca="false">IFERROR(VLOOKUP(TEXT(H114,"0"),IPRESS!$A$3:$B$212,2,0),"")</f>
        <v>TINGO</v>
      </c>
      <c r="J114" s="106" t="s">
        <v>755</v>
      </c>
      <c r="K114" s="138" t="str">
        <f aca="false">IFERROR(VLOOKUP(TEXT(O114,"0"),CONDUCTORES!$A$3:$G$100,7,0),"")</f>
        <v/>
      </c>
      <c r="L114" s="50" t="n">
        <v>18.18</v>
      </c>
      <c r="M114" s="50" t="n">
        <v>5</v>
      </c>
      <c r="N114" s="139" t="n">
        <f aca="false">IFERROR(IF(L114*M114=0,"",L114*M114),"")</f>
        <v>90.9</v>
      </c>
      <c r="O114" s="85"/>
      <c r="P114" s="138" t="str">
        <f aca="false">IFERROR(VLOOKUP(TEXT(O114,"0"),CONDUCTORES!$A$3:$G$100,2,0),"")</f>
        <v/>
      </c>
      <c r="Q114" s="138" t="str">
        <f aca="false">IFERROR(VLOOKUP(TEXT(O114,"0"),CONDUCTORES!$A$3:$H$100,6,0),"")</f>
        <v/>
      </c>
      <c r="R114" s="137" t="n">
        <v>45939</v>
      </c>
      <c r="S114" s="107" t="s">
        <v>2483</v>
      </c>
      <c r="T114" s="136"/>
      <c r="U114" s="140"/>
      <c r="V114" s="106"/>
      <c r="W114" s="106"/>
      <c r="X114" s="106"/>
      <c r="Y114" s="85"/>
    </row>
    <row r="115" customFormat="false" ht="15.75" hidden="false" customHeight="true" outlineLevel="0" collapsed="false">
      <c r="A115" s="46" t="n">
        <v>95</v>
      </c>
      <c r="B115" s="110" t="s">
        <v>888</v>
      </c>
      <c r="C115" s="46" t="s">
        <v>752</v>
      </c>
      <c r="D115" s="110" t="s">
        <v>3145</v>
      </c>
      <c r="E115" s="46" t="s">
        <v>99</v>
      </c>
      <c r="F115" s="46" t="s">
        <v>3146</v>
      </c>
      <c r="G115" s="142" t="n">
        <v>45860</v>
      </c>
      <c r="H115" s="46" t="s">
        <v>692</v>
      </c>
      <c r="I115" s="138" t="str">
        <f aca="false">IFERROR(VLOOKUP(TEXT(H115,"0"),IPRESS!$A$3:$B$212,2,0),"")</f>
        <v>TINGO</v>
      </c>
      <c r="J115" s="46" t="s">
        <v>755</v>
      </c>
      <c r="K115" s="138" t="str">
        <f aca="false">IFERROR(VLOOKUP(TEXT(O115,"0"),CONDUCTORES!$A$3:$G$100,7,0),"")</f>
        <v/>
      </c>
      <c r="L115" s="44" t="n">
        <v>18.18</v>
      </c>
      <c r="M115" s="44" t="n">
        <v>5</v>
      </c>
      <c r="N115" s="139" t="n">
        <f aca="false">IFERROR(IF(L115*M115=0,"",L115*M115),"")</f>
        <v>90.9</v>
      </c>
      <c r="O115" s="140"/>
      <c r="P115" s="138" t="str">
        <f aca="false">IFERROR(VLOOKUP(TEXT(O115,"0"),CONDUCTORES!$A$3:$G$100,2,0),"")</f>
        <v/>
      </c>
      <c r="Q115" s="138" t="str">
        <f aca="false">IFERROR(VLOOKUP(TEXT(O115,"0"),CONDUCTORES!$A$3:$H$100,6,0),"")</f>
        <v/>
      </c>
      <c r="R115" s="142" t="n">
        <v>45939</v>
      </c>
      <c r="S115" s="110" t="s">
        <v>2483</v>
      </c>
      <c r="T115" s="46"/>
      <c r="U115" s="85"/>
      <c r="V115" s="46"/>
      <c r="W115" s="46"/>
      <c r="X115" s="46"/>
      <c r="Y115" s="85"/>
    </row>
    <row r="116" customFormat="false" ht="15.75" hidden="false" customHeight="true" outlineLevel="0" collapsed="false">
      <c r="A116" s="106" t="n">
        <v>96</v>
      </c>
      <c r="B116" s="107" t="s">
        <v>892</v>
      </c>
      <c r="C116" s="106" t="s">
        <v>752</v>
      </c>
      <c r="D116" s="107" t="s">
        <v>3147</v>
      </c>
      <c r="E116" s="136" t="s">
        <v>99</v>
      </c>
      <c r="F116" s="106" t="s">
        <v>3148</v>
      </c>
      <c r="G116" s="137" t="n">
        <v>45862</v>
      </c>
      <c r="H116" s="106" t="s">
        <v>692</v>
      </c>
      <c r="I116" s="138" t="str">
        <f aca="false">IFERROR(VLOOKUP(TEXT(H116,"0"),IPRESS!$A$3:$B$212,2,0),"")</f>
        <v>TINGO</v>
      </c>
      <c r="J116" s="106" t="s">
        <v>755</v>
      </c>
      <c r="K116" s="138" t="str">
        <f aca="false">IFERROR(VLOOKUP(TEXT(O116,"0"),CONDUCTORES!$A$3:$G$100,7,0),"")</f>
        <v/>
      </c>
      <c r="L116" s="50" t="n">
        <v>18.18</v>
      </c>
      <c r="M116" s="50" t="n">
        <v>5</v>
      </c>
      <c r="N116" s="139" t="n">
        <f aca="false">IFERROR(IF(L116*M116=0,"",L116*M116),"")</f>
        <v>90.9</v>
      </c>
      <c r="O116" s="85"/>
      <c r="P116" s="138" t="str">
        <f aca="false">IFERROR(VLOOKUP(TEXT(O116,"0"),CONDUCTORES!$A$3:$G$100,2,0),"")</f>
        <v/>
      </c>
      <c r="Q116" s="138" t="str">
        <f aca="false">IFERROR(VLOOKUP(TEXT(O116,"0"),CONDUCTORES!$A$3:$H$100,6,0),"")</f>
        <v/>
      </c>
      <c r="R116" s="137" t="n">
        <v>45939</v>
      </c>
      <c r="S116" s="107" t="s">
        <v>3149</v>
      </c>
      <c r="T116" s="136"/>
      <c r="U116" s="140"/>
      <c r="V116" s="106"/>
      <c r="W116" s="106"/>
      <c r="X116" s="106"/>
      <c r="Y116" s="85"/>
    </row>
    <row r="117" customFormat="false" ht="15.75" hidden="false" customHeight="true" outlineLevel="0" collapsed="false">
      <c r="A117" s="46" t="n">
        <v>97</v>
      </c>
      <c r="B117" s="110" t="s">
        <v>1679</v>
      </c>
      <c r="C117" s="46" t="s">
        <v>752</v>
      </c>
      <c r="D117" s="110" t="s">
        <v>3150</v>
      </c>
      <c r="E117" s="46" t="s">
        <v>99</v>
      </c>
      <c r="F117" s="46" t="s">
        <v>3151</v>
      </c>
      <c r="G117" s="142" t="n">
        <v>45865</v>
      </c>
      <c r="H117" s="46" t="s">
        <v>692</v>
      </c>
      <c r="I117" s="138" t="str">
        <f aca="false">IFERROR(VLOOKUP(TEXT(H117,"0"),IPRESS!$A$3:$B$212,2,0),"")</f>
        <v>TINGO</v>
      </c>
      <c r="J117" s="46" t="s">
        <v>755</v>
      </c>
      <c r="K117" s="138" t="str">
        <f aca="false">IFERROR(VLOOKUP(TEXT(O117,"0"),CONDUCTORES!$A$3:$G$100,7,0),"")</f>
        <v/>
      </c>
      <c r="L117" s="44" t="n">
        <v>18.18</v>
      </c>
      <c r="M117" s="44" t="n">
        <v>5</v>
      </c>
      <c r="N117" s="139" t="n">
        <f aca="false">IFERROR(IF(L117*M117=0,"",L117*M117),"")</f>
        <v>90.9</v>
      </c>
      <c r="O117" s="140"/>
      <c r="P117" s="138" t="str">
        <f aca="false">IFERROR(VLOOKUP(TEXT(O117,"0"),CONDUCTORES!$A$3:$G$100,2,0),"")</f>
        <v/>
      </c>
      <c r="Q117" s="138" t="str">
        <f aca="false">IFERROR(VLOOKUP(TEXT(O117,"0"),CONDUCTORES!$A$3:$H$100,6,0),"")</f>
        <v/>
      </c>
      <c r="R117" s="142" t="n">
        <v>45939</v>
      </c>
      <c r="S117" s="110" t="s">
        <v>3152</v>
      </c>
      <c r="T117" s="46"/>
      <c r="U117" s="85"/>
      <c r="V117" s="46"/>
      <c r="W117" s="46"/>
      <c r="X117" s="46"/>
      <c r="Y117" s="85"/>
    </row>
    <row r="118" customFormat="false" ht="15.75" hidden="false" customHeight="true" outlineLevel="0" collapsed="false">
      <c r="A118" s="106" t="n">
        <v>98</v>
      </c>
      <c r="B118" s="107" t="s">
        <v>787</v>
      </c>
      <c r="C118" s="106" t="s">
        <v>752</v>
      </c>
      <c r="D118" s="107" t="s">
        <v>3153</v>
      </c>
      <c r="E118" s="136" t="s">
        <v>99</v>
      </c>
      <c r="F118" s="106" t="s">
        <v>3154</v>
      </c>
      <c r="G118" s="137" t="n">
        <v>45866</v>
      </c>
      <c r="H118" s="106" t="s">
        <v>693</v>
      </c>
      <c r="I118" s="138" t="str">
        <f aca="false">IFERROR(VLOOKUP(TEXT(H118,"0"),IPRESS!$A$3:$B$212,2,0),"")</f>
        <v>TINTIN</v>
      </c>
      <c r="J118" s="106" t="s">
        <v>755</v>
      </c>
      <c r="K118" s="138" t="str">
        <f aca="false">IFERROR(VLOOKUP(TEXT(O118,"0"),CONDUCTORES!$A$3:$G$100,7,0),"")</f>
        <v/>
      </c>
      <c r="L118" s="50" t="n">
        <v>18.18</v>
      </c>
      <c r="M118" s="50" t="n">
        <v>6</v>
      </c>
      <c r="N118" s="139" t="n">
        <f aca="false">IFERROR(IF(L118*M118=0,"",L118*M118),"")</f>
        <v>109.08</v>
      </c>
      <c r="O118" s="85"/>
      <c r="P118" s="138" t="str">
        <f aca="false">IFERROR(VLOOKUP(TEXT(O118,"0"),CONDUCTORES!$A$3:$G$100,2,0),"")</f>
        <v/>
      </c>
      <c r="Q118" s="138" t="str">
        <f aca="false">IFERROR(VLOOKUP(TEXT(O118,"0"),CONDUCTORES!$A$3:$H$100,6,0),"")</f>
        <v/>
      </c>
      <c r="R118" s="137" t="n">
        <v>45939</v>
      </c>
      <c r="S118" s="107" t="s">
        <v>3155</v>
      </c>
      <c r="T118" s="136"/>
      <c r="U118" s="140"/>
      <c r="V118" s="106"/>
      <c r="W118" s="106"/>
      <c r="X118" s="106"/>
      <c r="Y118" s="85"/>
    </row>
    <row r="119" customFormat="false" ht="15.75" hidden="false" customHeight="true" outlineLevel="0" collapsed="false">
      <c r="A119" s="46" t="n">
        <v>99</v>
      </c>
      <c r="B119" s="110" t="s">
        <v>818</v>
      </c>
      <c r="C119" s="46" t="s">
        <v>752</v>
      </c>
      <c r="D119" s="110" t="s">
        <v>3156</v>
      </c>
      <c r="E119" s="46" t="s">
        <v>99</v>
      </c>
      <c r="F119" s="46" t="s">
        <v>3157</v>
      </c>
      <c r="G119" s="142" t="n">
        <v>45859</v>
      </c>
      <c r="H119" s="46" t="s">
        <v>714</v>
      </c>
      <c r="I119" s="138" t="str">
        <f aca="false">IFERROR(VLOOKUP(TEXT(H119,"0"),IPRESS!$A$3:$B$212,2,0),"")</f>
        <v>YAMBRASBAMBA</v>
      </c>
      <c r="J119" s="46" t="s">
        <v>595</v>
      </c>
      <c r="K119" s="138" t="str">
        <f aca="false">IFERROR(VLOOKUP(TEXT(O119,"0"),CONDUCTORES!$A$3:$G$100,7,0),"")</f>
        <v/>
      </c>
      <c r="L119" s="44" t="n">
        <v>18.18</v>
      </c>
      <c r="M119" s="44" t="n">
        <v>4</v>
      </c>
      <c r="N119" s="139" t="n">
        <f aca="false">IFERROR(IF(L119*M119=0,"",L119*M119),"")</f>
        <v>72.72</v>
      </c>
      <c r="O119" s="140"/>
      <c r="P119" s="138" t="str">
        <f aca="false">IFERROR(VLOOKUP(TEXT(O119,"0"),CONDUCTORES!$A$3:$G$100,2,0),"")</f>
        <v/>
      </c>
      <c r="Q119" s="138" t="str">
        <f aca="false">IFERROR(VLOOKUP(TEXT(O119,"0"),CONDUCTORES!$A$3:$H$100,6,0),"")</f>
        <v/>
      </c>
      <c r="R119" s="85"/>
      <c r="S119" s="110" t="s">
        <v>3158</v>
      </c>
      <c r="T119" s="46"/>
      <c r="U119" s="85"/>
      <c r="V119" s="46"/>
      <c r="W119" s="46"/>
      <c r="X119" s="46"/>
      <c r="Y119" s="85"/>
    </row>
    <row r="120" customFormat="false" ht="15.75" hidden="false" customHeight="true" outlineLevel="0" collapsed="false">
      <c r="A120" s="106" t="n">
        <v>100</v>
      </c>
      <c r="B120" s="107" t="s">
        <v>1134</v>
      </c>
      <c r="C120" s="106" t="s">
        <v>752</v>
      </c>
      <c r="D120" s="107" t="s">
        <v>3159</v>
      </c>
      <c r="E120" s="136" t="s">
        <v>99</v>
      </c>
      <c r="F120" s="106" t="s">
        <v>3160</v>
      </c>
      <c r="G120" s="137" t="n">
        <v>45847</v>
      </c>
      <c r="H120" s="106" t="s">
        <v>717</v>
      </c>
      <c r="I120" s="138" t="str">
        <f aca="false">IFERROR(VLOOKUP(TEXT(H120,"0"),IPRESS!$A$3:$B$212,2,0),"")</f>
        <v>YERBABUENA</v>
      </c>
      <c r="J120" s="106" t="s">
        <v>755</v>
      </c>
      <c r="K120" s="138" t="str">
        <f aca="false">IFERROR(VLOOKUP(TEXT(O120,"0"),CONDUCTORES!$A$3:$G$100,7,0),"")</f>
        <v/>
      </c>
      <c r="L120" s="50" t="n">
        <v>18.18</v>
      </c>
      <c r="M120" s="50" t="n">
        <v>6</v>
      </c>
      <c r="N120" s="139" t="n">
        <f aca="false">IFERROR(IF(L120*M120=0,"",L120*M120),"")</f>
        <v>109.08</v>
      </c>
      <c r="O120" s="85"/>
      <c r="P120" s="138" t="str">
        <f aca="false">IFERROR(VLOOKUP(TEXT(O120,"0"),CONDUCTORES!$A$3:$G$100,2,0),"")</f>
        <v/>
      </c>
      <c r="Q120" s="138" t="str">
        <f aca="false">IFERROR(VLOOKUP(TEXT(O120,"0"),CONDUCTORES!$A$3:$H$100,6,0),"")</f>
        <v/>
      </c>
      <c r="R120" s="137" t="n">
        <v>45981</v>
      </c>
      <c r="S120" s="107" t="s">
        <v>1867</v>
      </c>
      <c r="T120" s="136"/>
      <c r="U120" s="140"/>
      <c r="V120" s="106"/>
      <c r="W120" s="106"/>
      <c r="X120" s="106"/>
      <c r="Y120" s="85"/>
    </row>
    <row r="121" customFormat="false" ht="15.75" hidden="false" customHeight="true" outlineLevel="0" collapsed="false">
      <c r="A121" s="46" t="n">
        <v>101</v>
      </c>
      <c r="B121" s="110" t="s">
        <v>883</v>
      </c>
      <c r="C121" s="46" t="s">
        <v>752</v>
      </c>
      <c r="D121" s="110" t="s">
        <v>3161</v>
      </c>
      <c r="E121" s="46" t="s">
        <v>99</v>
      </c>
      <c r="F121" s="46" t="s">
        <v>3162</v>
      </c>
      <c r="G121" s="142" t="n">
        <v>45864</v>
      </c>
      <c r="H121" s="46" t="s">
        <v>717</v>
      </c>
      <c r="I121" s="138" t="str">
        <f aca="false">IFERROR(VLOOKUP(TEXT(H121,"0"),IPRESS!$A$3:$B$212,2,0),"")</f>
        <v>YERBABUENA</v>
      </c>
      <c r="J121" s="46" t="s">
        <v>755</v>
      </c>
      <c r="K121" s="138" t="str">
        <f aca="false">IFERROR(VLOOKUP(TEXT(O121,"0"),CONDUCTORES!$A$3:$G$100,7,0),"")</f>
        <v/>
      </c>
      <c r="L121" s="44" t="n">
        <v>18.18</v>
      </c>
      <c r="M121" s="44" t="n">
        <v>6</v>
      </c>
      <c r="N121" s="139" t="n">
        <f aca="false">IFERROR(IF(L121*M121=0,"",L121*M121),"")</f>
        <v>109.08</v>
      </c>
      <c r="O121" s="140"/>
      <c r="P121" s="138" t="str">
        <f aca="false">IFERROR(VLOOKUP(TEXT(O121,"0"),CONDUCTORES!$A$3:$G$100,2,0),"")</f>
        <v/>
      </c>
      <c r="Q121" s="138" t="str">
        <f aca="false">IFERROR(VLOOKUP(TEXT(O121,"0"),CONDUCTORES!$A$3:$H$100,6,0),"")</f>
        <v/>
      </c>
      <c r="R121" s="142" t="n">
        <v>45981</v>
      </c>
      <c r="S121" s="110" t="s">
        <v>860</v>
      </c>
      <c r="T121" s="46"/>
      <c r="U121" s="85"/>
      <c r="V121" s="46"/>
      <c r="W121" s="46"/>
      <c r="X121" s="46"/>
      <c r="Y121" s="85"/>
    </row>
    <row r="122" customFormat="false" ht="15.75" hidden="false" customHeight="true" outlineLevel="0" collapsed="false">
      <c r="A122" s="106" t="n">
        <v>102</v>
      </c>
      <c r="B122" s="107" t="s">
        <v>888</v>
      </c>
      <c r="C122" s="106" t="s">
        <v>752</v>
      </c>
      <c r="D122" s="107" t="s">
        <v>3163</v>
      </c>
      <c r="E122" s="136" t="s">
        <v>99</v>
      </c>
      <c r="F122" s="106" t="s">
        <v>3164</v>
      </c>
      <c r="G122" s="137" t="n">
        <v>45866</v>
      </c>
      <c r="H122" s="106" t="s">
        <v>717</v>
      </c>
      <c r="I122" s="138" t="str">
        <f aca="false">IFERROR(VLOOKUP(TEXT(H122,"0"),IPRESS!$A$3:$B$212,2,0),"")</f>
        <v>YERBABUENA</v>
      </c>
      <c r="J122" s="106" t="s">
        <v>755</v>
      </c>
      <c r="K122" s="138" t="str">
        <f aca="false">IFERROR(VLOOKUP(TEXT(O122,"0"),CONDUCTORES!$A$3:$G$100,7,0),"")</f>
        <v/>
      </c>
      <c r="L122" s="50" t="n">
        <v>18.18</v>
      </c>
      <c r="M122" s="50" t="n">
        <v>6</v>
      </c>
      <c r="N122" s="139" t="n">
        <f aca="false">IFERROR(IF(L122*M122=0,"",L122*M122),"")</f>
        <v>109.08</v>
      </c>
      <c r="O122" s="85"/>
      <c r="P122" s="138" t="str">
        <f aca="false">IFERROR(VLOOKUP(TEXT(O122,"0"),CONDUCTORES!$A$3:$G$100,2,0),"")</f>
        <v/>
      </c>
      <c r="Q122" s="138" t="str">
        <f aca="false">IFERROR(VLOOKUP(TEXT(O122,"0"),CONDUCTORES!$A$3:$H$100,6,0),"")</f>
        <v/>
      </c>
      <c r="R122" s="137" t="n">
        <v>45981</v>
      </c>
      <c r="S122" s="107" t="s">
        <v>1651</v>
      </c>
      <c r="T122" s="136"/>
      <c r="U122" s="140"/>
      <c r="V122" s="106"/>
      <c r="W122" s="106"/>
      <c r="X122" s="106"/>
      <c r="Y122" s="85"/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</row>
    <row r="124" customFormat="false" ht="24" hidden="false" customHeight="true" outlineLevel="0" collapsed="false">
      <c r="A124" s="148" t="s">
        <v>1177</v>
      </c>
      <c r="B124" s="148"/>
      <c r="C124" s="148"/>
      <c r="D124" s="148"/>
      <c r="E124" s="148"/>
      <c r="F124" s="148"/>
      <c r="G124" s="148"/>
      <c r="H124" s="148"/>
      <c r="I124" s="148"/>
      <c r="J124" s="148"/>
      <c r="K124" s="149"/>
      <c r="L124" s="85"/>
      <c r="M124" s="150" t="n">
        <f aca="false">SUBTOTAL(9,M4:M122)</f>
        <v>984.9</v>
      </c>
      <c r="N124" s="150" t="n">
        <f aca="false">SUBTOTAL(9,N4:N122)</f>
        <v>18368.15</v>
      </c>
      <c r="O124" s="85"/>
      <c r="P124" s="138" t="str">
        <f aca="false">IFERROR(VLOOKUP(TEXT(O124,"0"),CONDUCTORES!$A$3:$G$100,2,0),"")</f>
        <v/>
      </c>
      <c r="Q124" s="138" t="str">
        <f aca="false">IFERROR(VLOOKUP(TEXT(O124,"0"),CONDUCTORES!$A$3:$H$100,6,0),"")</f>
        <v/>
      </c>
      <c r="R124" s="85"/>
      <c r="S124" s="85"/>
      <c r="T124" s="85"/>
      <c r="U124" s="85"/>
      <c r="V124" s="85"/>
      <c r="W124" s="85"/>
      <c r="X124" s="85"/>
      <c r="Y124" s="85"/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49"/>
      <c r="J125" s="140"/>
      <c r="K125" s="149"/>
      <c r="L125" s="140"/>
      <c r="M125" s="140"/>
      <c r="N125" s="151"/>
      <c r="O125" s="140"/>
      <c r="P125" s="149"/>
      <c r="Q125" s="149"/>
      <c r="R125" s="140"/>
      <c r="S125" s="140"/>
      <c r="T125" s="140"/>
      <c r="U125" s="140"/>
      <c r="V125" s="140"/>
      <c r="W125" s="140"/>
      <c r="X125" s="140"/>
      <c r="Y125" s="140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49"/>
      <c r="J126" s="85"/>
      <c r="K126" s="149"/>
      <c r="L126" s="85"/>
      <c r="M126" s="85"/>
      <c r="N126" s="151"/>
      <c r="O126" s="85"/>
      <c r="P126" s="149"/>
      <c r="Q126" s="149"/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49"/>
      <c r="J127" s="140"/>
      <c r="K127" s="149"/>
      <c r="L127" s="140"/>
      <c r="M127" s="140"/>
      <c r="N127" s="151"/>
      <c r="O127" s="140"/>
      <c r="P127" s="149"/>
      <c r="Q127" s="149"/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49"/>
      <c r="J128" s="85"/>
      <c r="K128" s="149"/>
      <c r="L128" s="85"/>
      <c r="M128" s="85"/>
      <c r="N128" s="151"/>
      <c r="O128" s="85"/>
      <c r="P128" s="149"/>
      <c r="Q128" s="149"/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1969.8</v>
      </c>
      <c r="N506" s="153" t="n">
        <f aca="false">SUM(N6:N505)</f>
        <v>36736.3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24:J124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23 E125:E505" type="list">
      <formula1>"DNI,CE,PASAPORTE"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3165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IFERROR(SUMPRODUCT((K4:K125="PETROLEO")*ISNUMBER(M4:M125)*M4:M125),0)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IFERROR(SUMPRODUCT((K4:K125="GASOLINA")*ISNUMBER(M4:M125)*M4:M125),0)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IFERROR(SUMPRODUCT(ISNUMBER(M4:M125)*L4:L125*M4:M125),0)</f>
        <v>0</v>
      </c>
      <c r="Q2" s="125"/>
      <c r="R2" s="125"/>
      <c r="S2" s="123" t="s">
        <v>727</v>
      </c>
      <c r="T2" s="123"/>
      <c r="U2" s="126" t="n">
        <f aca="false">SUBTOTAL(2,A4:A125)</f>
        <v>118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43" t="n">
        <v>1</v>
      </c>
      <c r="B6" s="144" t="s">
        <v>883</v>
      </c>
      <c r="C6" s="143" t="s">
        <v>752</v>
      </c>
      <c r="D6" s="144" t="s">
        <v>3166</v>
      </c>
      <c r="E6" s="143" t="s">
        <v>99</v>
      </c>
      <c r="F6" s="143" t="s">
        <v>3167</v>
      </c>
      <c r="G6" s="145" t="n">
        <v>45876</v>
      </c>
      <c r="H6" s="143" t="s">
        <v>350</v>
      </c>
      <c r="I6" s="138" t="str">
        <f aca="false">IFERROR(VLOOKUP(TEXT(H6,"0"),IPRESS!$A$3:$B$212,2,0),"")</f>
        <v>BUENOS AIRES</v>
      </c>
      <c r="J6" s="143" t="s">
        <v>755</v>
      </c>
      <c r="K6" s="138" t="str">
        <f aca="false">IFERROR(VLOOKUP(TEXT(O6,"0"),CONDUCTORES!$A$3:$G$100,7,0),"")</f>
        <v/>
      </c>
      <c r="L6" s="146" t="n">
        <v>17.95</v>
      </c>
      <c r="M6" s="146" t="n">
        <v>15</v>
      </c>
      <c r="N6" s="139" t="n">
        <f aca="false">IFERROR(IF(L6*M6=0,"",L6*M6),"")</f>
        <v>269.25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45" t="n">
        <v>45951</v>
      </c>
      <c r="S6" s="144" t="s">
        <v>1716</v>
      </c>
      <c r="T6" s="143"/>
      <c r="U6" s="147"/>
      <c r="V6" s="143" t="s">
        <v>2832</v>
      </c>
      <c r="W6" s="154" t="s">
        <v>3168</v>
      </c>
      <c r="X6" s="143" t="s">
        <v>761</v>
      </c>
      <c r="Y6" s="85"/>
    </row>
    <row r="7" customFormat="false" ht="15.75" hidden="false" customHeight="true" outlineLevel="0" collapsed="false">
      <c r="A7" s="143" t="n">
        <v>2</v>
      </c>
      <c r="B7" s="144" t="s">
        <v>888</v>
      </c>
      <c r="C7" s="143" t="s">
        <v>752</v>
      </c>
      <c r="D7" s="144" t="s">
        <v>3169</v>
      </c>
      <c r="E7" s="143" t="s">
        <v>99</v>
      </c>
      <c r="F7" s="143" t="s">
        <v>3170</v>
      </c>
      <c r="G7" s="145" t="n">
        <v>45883</v>
      </c>
      <c r="H7" s="143" t="s">
        <v>350</v>
      </c>
      <c r="I7" s="138" t="str">
        <f aca="false">IFERROR(VLOOKUP(TEXT(H7,"0"),IPRESS!$A$3:$B$212,2,0),"")</f>
        <v>BUENOS AIRES</v>
      </c>
      <c r="J7" s="143" t="s">
        <v>595</v>
      </c>
      <c r="K7" s="138" t="str">
        <f aca="false">IFERROR(VLOOKUP(TEXT(O7,"0"),CONDUCTORES!$A$3:$G$100,7,0),"")</f>
        <v/>
      </c>
      <c r="L7" s="146" t="n">
        <v>17.95</v>
      </c>
      <c r="M7" s="146" t="n">
        <v>5</v>
      </c>
      <c r="N7" s="139" t="n">
        <f aca="false">IFERROR(IF(L7*M7=0,"",L7*M7),"")</f>
        <v>89.75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145" t="n">
        <v>45951</v>
      </c>
      <c r="S7" s="144" t="s">
        <v>3171</v>
      </c>
      <c r="T7" s="143"/>
      <c r="U7" s="147"/>
      <c r="V7" s="143" t="s">
        <v>2832</v>
      </c>
      <c r="W7" s="154" t="s">
        <v>3168</v>
      </c>
      <c r="X7" s="143" t="s">
        <v>761</v>
      </c>
      <c r="Y7" s="85"/>
    </row>
    <row r="8" customFormat="false" ht="15.75" hidden="false" customHeight="true" outlineLevel="0" collapsed="false">
      <c r="A8" s="143" t="n">
        <v>3</v>
      </c>
      <c r="B8" s="144" t="s">
        <v>892</v>
      </c>
      <c r="C8" s="143" t="s">
        <v>752</v>
      </c>
      <c r="D8" s="144" t="s">
        <v>3172</v>
      </c>
      <c r="E8" s="143" t="s">
        <v>99</v>
      </c>
      <c r="F8" s="143" t="s">
        <v>3173</v>
      </c>
      <c r="G8" s="145" t="n">
        <v>45891</v>
      </c>
      <c r="H8" s="143" t="s">
        <v>350</v>
      </c>
      <c r="I8" s="138" t="str">
        <f aca="false">IFERROR(VLOOKUP(TEXT(H8,"0"),IPRESS!$A$3:$B$212,2,0),"")</f>
        <v>BUENOS AIRES</v>
      </c>
      <c r="J8" s="143" t="s">
        <v>595</v>
      </c>
      <c r="K8" s="138" t="str">
        <f aca="false">IFERROR(VLOOKUP(TEXT(O8,"0"),CONDUCTORES!$A$3:$G$100,7,0),"")</f>
        <v/>
      </c>
      <c r="L8" s="146" t="n">
        <v>17.95</v>
      </c>
      <c r="M8" s="146" t="n">
        <v>5</v>
      </c>
      <c r="N8" s="139" t="n">
        <f aca="false">IFERROR(IF(L8*M8=0,"",L8*M8),"")</f>
        <v>89.75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45" t="n">
        <v>45951</v>
      </c>
      <c r="S8" s="144" t="s">
        <v>3174</v>
      </c>
      <c r="T8" s="143"/>
      <c r="U8" s="147"/>
      <c r="V8" s="143" t="s">
        <v>2832</v>
      </c>
      <c r="W8" s="154" t="s">
        <v>3168</v>
      </c>
      <c r="X8" s="143" t="s">
        <v>761</v>
      </c>
      <c r="Y8" s="85"/>
    </row>
    <row r="9" customFormat="false" ht="15.75" hidden="false" customHeight="true" outlineLevel="0" collapsed="false">
      <c r="A9" s="143" t="n">
        <v>4</v>
      </c>
      <c r="B9" s="144" t="s">
        <v>1679</v>
      </c>
      <c r="C9" s="143" t="s">
        <v>752</v>
      </c>
      <c r="D9" s="144" t="s">
        <v>3175</v>
      </c>
      <c r="E9" s="143" t="s">
        <v>99</v>
      </c>
      <c r="F9" s="143" t="s">
        <v>3176</v>
      </c>
      <c r="G9" s="145" t="n">
        <v>45893</v>
      </c>
      <c r="H9" s="143" t="s">
        <v>350</v>
      </c>
      <c r="I9" s="138" t="str">
        <f aca="false">IFERROR(VLOOKUP(TEXT(H9,"0"),IPRESS!$A$3:$B$212,2,0),"")</f>
        <v>BUENOS AIRES</v>
      </c>
      <c r="J9" s="143" t="s">
        <v>595</v>
      </c>
      <c r="K9" s="138" t="str">
        <f aca="false">IFERROR(VLOOKUP(TEXT(O9,"0"),CONDUCTORES!$A$3:$G$100,7,0),"")</f>
        <v/>
      </c>
      <c r="L9" s="146" t="n">
        <v>17.95</v>
      </c>
      <c r="M9" s="146" t="n">
        <v>5</v>
      </c>
      <c r="N9" s="139" t="n">
        <f aca="false">IFERROR(IF(L9*M9=0,"",L9*M9),"")</f>
        <v>89.75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145" t="n">
        <v>45951</v>
      </c>
      <c r="S9" s="144" t="s">
        <v>3177</v>
      </c>
      <c r="T9" s="143"/>
      <c r="U9" s="147"/>
      <c r="V9" s="143" t="s">
        <v>2832</v>
      </c>
      <c r="W9" s="154" t="s">
        <v>3168</v>
      </c>
      <c r="X9" s="143" t="s">
        <v>761</v>
      </c>
      <c r="Y9" s="85"/>
    </row>
    <row r="10" customFormat="false" ht="15.75" hidden="false" customHeight="true" outlineLevel="0" collapsed="false">
      <c r="A10" s="143" t="n">
        <v>5</v>
      </c>
      <c r="B10" s="144" t="s">
        <v>1684</v>
      </c>
      <c r="C10" s="143" t="s">
        <v>752</v>
      </c>
      <c r="D10" s="144" t="s">
        <v>3172</v>
      </c>
      <c r="E10" s="143" t="s">
        <v>99</v>
      </c>
      <c r="F10" s="143" t="s">
        <v>3173</v>
      </c>
      <c r="G10" s="145" t="n">
        <v>45899</v>
      </c>
      <c r="H10" s="143" t="s">
        <v>350</v>
      </c>
      <c r="I10" s="138" t="str">
        <f aca="false">IFERROR(VLOOKUP(TEXT(H10,"0"),IPRESS!$A$3:$B$212,2,0),"")</f>
        <v>BUENOS AIRES</v>
      </c>
      <c r="J10" s="143" t="s">
        <v>595</v>
      </c>
      <c r="K10" s="138" t="str">
        <f aca="false">IFERROR(VLOOKUP(TEXT(O10,"0"),CONDUCTORES!$A$3:$G$100,7,0),"")</f>
        <v/>
      </c>
      <c r="L10" s="146" t="n">
        <v>17.95</v>
      </c>
      <c r="M10" s="146" t="n">
        <v>5</v>
      </c>
      <c r="N10" s="139" t="n">
        <f aca="false">IFERROR(IF(L10*M10=0,"",L10*M10),"")</f>
        <v>89.75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45" t="n">
        <v>45951</v>
      </c>
      <c r="S10" s="144" t="s">
        <v>3178</v>
      </c>
      <c r="T10" s="143"/>
      <c r="U10" s="147"/>
      <c r="V10" s="143" t="s">
        <v>2832</v>
      </c>
      <c r="W10" s="154" t="s">
        <v>3168</v>
      </c>
      <c r="X10" s="143" t="s">
        <v>761</v>
      </c>
      <c r="Y10" s="85"/>
    </row>
    <row r="11" customFormat="false" ht="15.75" hidden="false" customHeight="true" outlineLevel="0" collapsed="false">
      <c r="A11" s="46" t="n">
        <v>6</v>
      </c>
      <c r="B11" s="110" t="s">
        <v>836</v>
      </c>
      <c r="C11" s="46" t="s">
        <v>752</v>
      </c>
      <c r="D11" s="110" t="s">
        <v>3179</v>
      </c>
      <c r="E11" s="46" t="s">
        <v>99</v>
      </c>
      <c r="F11" s="46" t="s">
        <v>3180</v>
      </c>
      <c r="G11" s="142" t="n">
        <v>45888</v>
      </c>
      <c r="H11" s="46" t="s">
        <v>357</v>
      </c>
      <c r="I11" s="138" t="str">
        <f aca="false">IFERROR(VLOOKUP(TEXT(H11,"0"),IPRESS!$A$3:$B$212,2,0),"")</f>
        <v>CAMPORREDONDO</v>
      </c>
      <c r="J11" s="46" t="s">
        <v>755</v>
      </c>
      <c r="K11" s="138" t="str">
        <f aca="false">IFERROR(VLOOKUP(TEXT(O11,"0"),CONDUCTORES!$A$3:$G$100,7,0),"")</f>
        <v/>
      </c>
      <c r="L11" s="44" t="n">
        <v>18.18</v>
      </c>
      <c r="M11" s="44" t="n">
        <v>20</v>
      </c>
      <c r="N11" s="139" t="n">
        <f aca="false">IFERROR(IF(L11*M11=0,"",L11*M11),"")</f>
        <v>363.6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85"/>
      <c r="S11" s="110" t="s">
        <v>847</v>
      </c>
      <c r="T11" s="46"/>
      <c r="U11" s="85"/>
      <c r="V11" s="46"/>
      <c r="W11" s="46"/>
      <c r="X11" s="46"/>
      <c r="Y11" s="85"/>
    </row>
    <row r="12" customFormat="false" ht="15.75" hidden="false" customHeight="true" outlineLevel="0" collapsed="false">
      <c r="A12" s="106" t="n">
        <v>7</v>
      </c>
      <c r="B12" s="107" t="s">
        <v>827</v>
      </c>
      <c r="C12" s="106" t="s">
        <v>752</v>
      </c>
      <c r="D12" s="107" t="s">
        <v>2544</v>
      </c>
      <c r="E12" s="136" t="s">
        <v>99</v>
      </c>
      <c r="F12" s="106" t="s">
        <v>2545</v>
      </c>
      <c r="G12" s="137" t="n">
        <v>45896</v>
      </c>
      <c r="H12" s="106" t="s">
        <v>395</v>
      </c>
      <c r="I12" s="138" t="str">
        <f aca="false">IFERROR(VLOOKUP(TEXT(H12,"0"),IPRESS!$A$3:$B$212,2,0),"")</f>
        <v>CHUQUIBAMBA</v>
      </c>
      <c r="J12" s="106" t="s">
        <v>755</v>
      </c>
      <c r="K12" s="138" t="str">
        <f aca="false">IFERROR(VLOOKUP(TEXT(O12,"0"),CONDUCTORES!$A$3:$G$100,7,0),"")</f>
        <v/>
      </c>
      <c r="L12" s="50" t="n">
        <v>18.18</v>
      </c>
      <c r="M12" s="50" t="n">
        <v>15</v>
      </c>
      <c r="N12" s="139" t="n">
        <f aca="false">IFERROR(IF(L12*M12=0,"",L12*M12),"")</f>
        <v>272.7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37" t="n">
        <v>45951</v>
      </c>
      <c r="S12" s="107" t="s">
        <v>3181</v>
      </c>
      <c r="T12" s="136"/>
      <c r="U12" s="140"/>
      <c r="V12" s="106" t="s">
        <v>2850</v>
      </c>
      <c r="W12" s="106" t="s">
        <v>2554</v>
      </c>
      <c r="X12" s="106" t="s">
        <v>2351</v>
      </c>
      <c r="Y12" s="85"/>
    </row>
    <row r="13" customFormat="false" ht="15.75" hidden="false" customHeight="true" outlineLevel="0" collapsed="false">
      <c r="A13" s="46" t="n">
        <v>8</v>
      </c>
      <c r="B13" s="110" t="s">
        <v>1207</v>
      </c>
      <c r="C13" s="46" t="s">
        <v>752</v>
      </c>
      <c r="D13" s="110" t="s">
        <v>3182</v>
      </c>
      <c r="E13" s="46" t="s">
        <v>99</v>
      </c>
      <c r="F13" s="46" t="s">
        <v>3183</v>
      </c>
      <c r="G13" s="142" t="n">
        <v>45887</v>
      </c>
      <c r="H13" s="46" t="s">
        <v>407</v>
      </c>
      <c r="I13" s="138" t="str">
        <f aca="false">IFERROR(VLOOKUP(TEXT(H13,"0"),IPRESS!$A$3:$B$212,2,0),"")</f>
        <v>COCOCHO</v>
      </c>
      <c r="J13" s="46" t="s">
        <v>1216</v>
      </c>
      <c r="K13" s="138" t="str">
        <f aca="false">IFERROR(VLOOKUP(TEXT(O13,"0"),CONDUCTORES!$A$3:$G$100,7,0),"")</f>
        <v/>
      </c>
      <c r="L13" s="44" t="n">
        <v>18.18</v>
      </c>
      <c r="M13" s="44" t="n">
        <v>25</v>
      </c>
      <c r="N13" s="139" t="n">
        <f aca="false">IFERROR(IF(L13*M13=0,"",L13*M13),"")</f>
        <v>454.5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142" t="n">
        <v>45933</v>
      </c>
      <c r="S13" s="110" t="s">
        <v>3184</v>
      </c>
      <c r="T13" s="46"/>
      <c r="U13" s="85"/>
      <c r="V13" s="46"/>
      <c r="W13" s="46"/>
      <c r="X13" s="46"/>
      <c r="Y13" s="85"/>
    </row>
    <row r="14" customFormat="false" ht="15.75" hidden="false" customHeight="true" outlineLevel="0" collapsed="false">
      <c r="A14" s="106" t="n">
        <v>9</v>
      </c>
      <c r="B14" s="107" t="s">
        <v>1197</v>
      </c>
      <c r="C14" s="106" t="s">
        <v>752</v>
      </c>
      <c r="D14" s="107" t="s">
        <v>3185</v>
      </c>
      <c r="E14" s="136" t="s">
        <v>99</v>
      </c>
      <c r="F14" s="106" t="s">
        <v>3186</v>
      </c>
      <c r="G14" s="137" t="n">
        <v>45894</v>
      </c>
      <c r="H14" s="106" t="s">
        <v>407</v>
      </c>
      <c r="I14" s="138" t="str">
        <f aca="false">IFERROR(VLOOKUP(TEXT(H14,"0"),IPRESS!$A$3:$B$212,2,0),"")</f>
        <v>COCOCHO</v>
      </c>
      <c r="J14" s="106" t="s">
        <v>755</v>
      </c>
      <c r="K14" s="138" t="str">
        <f aca="false">IFERROR(VLOOKUP(TEXT(O14,"0"),CONDUCTORES!$A$3:$G$100,7,0),"")</f>
        <v/>
      </c>
      <c r="L14" s="50" t="n">
        <v>18.18</v>
      </c>
      <c r="M14" s="50" t="n">
        <v>20</v>
      </c>
      <c r="N14" s="139" t="n">
        <f aca="false">IFERROR(IF(L14*M14=0,"",L14*M14),"")</f>
        <v>363.6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37" t="n">
        <v>45933</v>
      </c>
      <c r="S14" s="107" t="s">
        <v>944</v>
      </c>
      <c r="T14" s="136"/>
      <c r="U14" s="140"/>
      <c r="V14" s="106"/>
      <c r="W14" s="106"/>
      <c r="X14" s="106"/>
      <c r="Y14" s="85"/>
    </row>
    <row r="15" customFormat="false" ht="15.75" hidden="false" customHeight="true" outlineLevel="0" collapsed="false">
      <c r="A15" s="46" t="n">
        <v>10</v>
      </c>
      <c r="B15" s="110" t="s">
        <v>1302</v>
      </c>
      <c r="C15" s="46" t="s">
        <v>752</v>
      </c>
      <c r="D15" s="110" t="s">
        <v>3187</v>
      </c>
      <c r="E15" s="46" t="s">
        <v>99</v>
      </c>
      <c r="F15" s="46" t="s">
        <v>3188</v>
      </c>
      <c r="G15" s="142" t="n">
        <v>45899</v>
      </c>
      <c r="H15" s="46" t="s">
        <v>407</v>
      </c>
      <c r="I15" s="138" t="str">
        <f aca="false">IFERROR(VLOOKUP(TEXT(H15,"0"),IPRESS!$A$3:$B$212,2,0),"")</f>
        <v>COCOCHO</v>
      </c>
      <c r="J15" s="46" t="s">
        <v>755</v>
      </c>
      <c r="K15" s="138" t="str">
        <f aca="false">IFERROR(VLOOKUP(TEXT(O15,"0"),CONDUCTORES!$A$3:$G$100,7,0),"")</f>
        <v/>
      </c>
      <c r="L15" s="44" t="n">
        <v>18.18</v>
      </c>
      <c r="M15" s="44" t="n">
        <v>25</v>
      </c>
      <c r="N15" s="139" t="n">
        <f aca="false">IFERROR(IF(L15*M15=0,"",L15*M15),"")</f>
        <v>454.5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142" t="n">
        <v>45933</v>
      </c>
      <c r="S15" s="110" t="s">
        <v>3189</v>
      </c>
      <c r="T15" s="46"/>
      <c r="U15" s="85"/>
      <c r="V15" s="46"/>
      <c r="W15" s="46"/>
      <c r="X15" s="46"/>
      <c r="Y15" s="85"/>
    </row>
    <row r="16" customFormat="false" ht="15.75" hidden="false" customHeight="true" outlineLevel="0" collapsed="false">
      <c r="A16" s="106" t="n">
        <v>11</v>
      </c>
      <c r="B16" s="107" t="s">
        <v>840</v>
      </c>
      <c r="C16" s="106" t="s">
        <v>752</v>
      </c>
      <c r="D16" s="107" t="s">
        <v>3190</v>
      </c>
      <c r="E16" s="136" t="s">
        <v>99</v>
      </c>
      <c r="F16" s="106" t="s">
        <v>3191</v>
      </c>
      <c r="G16" s="137" t="n">
        <v>45894</v>
      </c>
      <c r="H16" s="106" t="s">
        <v>408</v>
      </c>
      <c r="I16" s="138" t="str">
        <f aca="false">IFERROR(VLOOKUP(TEXT(H16,"0"),IPRESS!$A$3:$B$212,2,0),"")</f>
        <v>COLCAMAR</v>
      </c>
      <c r="J16" s="106" t="s">
        <v>755</v>
      </c>
      <c r="K16" s="138" t="str">
        <f aca="false">IFERROR(VLOOKUP(TEXT(O16,"0"),CONDUCTORES!$A$3:$G$100,7,0),"")</f>
        <v/>
      </c>
      <c r="L16" s="50" t="n">
        <v>18.18</v>
      </c>
      <c r="M16" s="50" t="n">
        <v>7</v>
      </c>
      <c r="N16" s="139" t="n">
        <f aca="false">IFERROR(IF(L16*M16=0,"",L16*M16),"")</f>
        <v>127.26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40"/>
      <c r="S16" s="107" t="s">
        <v>3192</v>
      </c>
      <c r="T16" s="136"/>
      <c r="U16" s="140"/>
      <c r="V16" s="106"/>
      <c r="W16" s="106"/>
      <c r="X16" s="106"/>
      <c r="Y16" s="85"/>
    </row>
    <row r="17" customFormat="false" ht="15.75" hidden="false" customHeight="true" outlineLevel="0" collapsed="false">
      <c r="A17" s="46" t="n">
        <v>12</v>
      </c>
      <c r="B17" s="110" t="s">
        <v>844</v>
      </c>
      <c r="C17" s="46" t="s">
        <v>752</v>
      </c>
      <c r="D17" s="110" t="s">
        <v>3193</v>
      </c>
      <c r="E17" s="46" t="s">
        <v>99</v>
      </c>
      <c r="F17" s="46" t="s">
        <v>3194</v>
      </c>
      <c r="G17" s="142" t="n">
        <v>45898</v>
      </c>
      <c r="H17" s="46" t="s">
        <v>408</v>
      </c>
      <c r="I17" s="138" t="str">
        <f aca="false">IFERROR(VLOOKUP(TEXT(H17,"0"),IPRESS!$A$3:$B$212,2,0),"")</f>
        <v>COLCAMAR</v>
      </c>
      <c r="J17" s="46" t="s">
        <v>755</v>
      </c>
      <c r="K17" s="138" t="str">
        <f aca="false">IFERROR(VLOOKUP(TEXT(O17,"0"),CONDUCTORES!$A$3:$G$100,7,0),"")</f>
        <v/>
      </c>
      <c r="L17" s="44" t="n">
        <v>18.18</v>
      </c>
      <c r="M17" s="44" t="n">
        <v>7</v>
      </c>
      <c r="N17" s="139" t="n">
        <f aca="false">IFERROR(IF(L17*M17=0,"",L17*M17),"")</f>
        <v>127.26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85"/>
      <c r="S17" s="110" t="s">
        <v>3195</v>
      </c>
      <c r="T17" s="46"/>
      <c r="U17" s="85"/>
      <c r="V17" s="46"/>
      <c r="W17" s="46"/>
      <c r="X17" s="46"/>
      <c r="Y17" s="85"/>
    </row>
    <row r="18" customFormat="false" ht="15.75" hidden="false" customHeight="true" outlineLevel="0" collapsed="false">
      <c r="A18" s="106" t="n">
        <v>13</v>
      </c>
      <c r="B18" s="107" t="s">
        <v>818</v>
      </c>
      <c r="C18" s="106" t="s">
        <v>752</v>
      </c>
      <c r="D18" s="107" t="s">
        <v>3196</v>
      </c>
      <c r="E18" s="136" t="s">
        <v>99</v>
      </c>
      <c r="F18" s="106" t="s">
        <v>3197</v>
      </c>
      <c r="G18" s="137" t="n">
        <v>45882</v>
      </c>
      <c r="H18" s="106" t="s">
        <v>460</v>
      </c>
      <c r="I18" s="138" t="str">
        <f aca="false">IFERROR(VLOOKUP(TEXT(H18,"0"),IPRESS!$A$3:$B$212,2,0),"")</f>
        <v>GUADALUPE</v>
      </c>
      <c r="J18" s="106" t="s">
        <v>755</v>
      </c>
      <c r="K18" s="138" t="str">
        <f aca="false">IFERROR(VLOOKUP(TEXT(O18,"0"),CONDUCTORES!$A$3:$G$100,7,0),"")</f>
        <v/>
      </c>
      <c r="L18" s="50" t="n">
        <v>18.18</v>
      </c>
      <c r="M18" s="50" t="n">
        <v>25</v>
      </c>
      <c r="N18" s="139" t="n">
        <f aca="false">IFERROR(IF(L18*M18=0,"",L18*M18),"")</f>
        <v>454.5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37" t="n">
        <v>45965</v>
      </c>
      <c r="S18" s="107" t="s">
        <v>3198</v>
      </c>
      <c r="T18" s="136" t="s">
        <v>3199</v>
      </c>
      <c r="U18" s="140"/>
      <c r="V18" s="106"/>
      <c r="W18" s="106"/>
      <c r="X18" s="106"/>
      <c r="Y18" s="85"/>
    </row>
    <row r="19" customFormat="false" ht="15.75" hidden="false" customHeight="true" outlineLevel="0" collapsed="false">
      <c r="A19" s="46" t="n">
        <v>14</v>
      </c>
      <c r="B19" s="110" t="s">
        <v>3200</v>
      </c>
      <c r="C19" s="46" t="s">
        <v>752</v>
      </c>
      <c r="D19" s="110" t="s">
        <v>3201</v>
      </c>
      <c r="E19" s="46" t="s">
        <v>99</v>
      </c>
      <c r="F19" s="46" t="s">
        <v>3202</v>
      </c>
      <c r="G19" s="142" t="n">
        <v>45873</v>
      </c>
      <c r="H19" s="46" t="s">
        <v>529</v>
      </c>
      <c r="I19" s="138" t="str">
        <f aca="false">IFERROR(VLOOKUP(TEXT(H19,"0"),IPRESS!$A$3:$B$212,2,0),"")</f>
        <v>MARIA AUXILIADORA</v>
      </c>
      <c r="J19" s="46" t="s">
        <v>755</v>
      </c>
      <c r="K19" s="138" t="str">
        <f aca="false">IFERROR(VLOOKUP(TEXT(O19,"0"),CONDUCTORES!$A$3:$G$100,7,0),"")</f>
        <v/>
      </c>
      <c r="L19" s="44" t="n">
        <v>20.25</v>
      </c>
      <c r="M19" s="44" t="n">
        <v>7</v>
      </c>
      <c r="N19" s="139" t="n">
        <f aca="false">IFERROR(IF(L19*M19=0,"",L19*M19),"")</f>
        <v>141.75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142" t="n">
        <v>45968</v>
      </c>
      <c r="S19" s="110" t="s">
        <v>2603</v>
      </c>
      <c r="T19" s="46"/>
      <c r="U19" s="85"/>
      <c r="V19" s="46"/>
      <c r="W19" s="46"/>
      <c r="X19" s="46"/>
      <c r="Y19" s="85"/>
    </row>
    <row r="20" customFormat="false" ht="15.75" hidden="false" customHeight="true" outlineLevel="0" collapsed="false">
      <c r="A20" s="106" t="n">
        <v>15</v>
      </c>
      <c r="B20" s="107" t="s">
        <v>3203</v>
      </c>
      <c r="C20" s="106" t="s">
        <v>752</v>
      </c>
      <c r="D20" s="107" t="s">
        <v>3204</v>
      </c>
      <c r="E20" s="136" t="s">
        <v>99</v>
      </c>
      <c r="F20" s="106" t="s">
        <v>3205</v>
      </c>
      <c r="G20" s="137" t="n">
        <v>45873</v>
      </c>
      <c r="H20" s="106" t="s">
        <v>529</v>
      </c>
      <c r="I20" s="138" t="str">
        <f aca="false">IFERROR(VLOOKUP(TEXT(H20,"0"),IPRESS!$A$3:$B$212,2,0),"")</f>
        <v>MARIA AUXILIADORA</v>
      </c>
      <c r="J20" s="106" t="s">
        <v>755</v>
      </c>
      <c r="K20" s="138" t="str">
        <f aca="false">IFERROR(VLOOKUP(TEXT(O20,"0"),CONDUCTORES!$A$3:$G$100,7,0),"")</f>
        <v/>
      </c>
      <c r="L20" s="50" t="n">
        <v>20.25</v>
      </c>
      <c r="M20" s="50" t="n">
        <v>7</v>
      </c>
      <c r="N20" s="139" t="n">
        <f aca="false">IFERROR(IF(L20*M20=0,"",L20*M20),"")</f>
        <v>141.75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37" t="n">
        <v>45968</v>
      </c>
      <c r="S20" s="107" t="s">
        <v>3206</v>
      </c>
      <c r="T20" s="136"/>
      <c r="U20" s="140"/>
      <c r="V20" s="106"/>
      <c r="W20" s="106"/>
      <c r="X20" s="106"/>
      <c r="Y20" s="85"/>
    </row>
    <row r="21" customFormat="false" ht="15.75" hidden="false" customHeight="true" outlineLevel="0" collapsed="false">
      <c r="A21" s="46" t="n">
        <v>16</v>
      </c>
      <c r="B21" s="110" t="s">
        <v>3207</v>
      </c>
      <c r="C21" s="46" t="s">
        <v>752</v>
      </c>
      <c r="D21" s="110" t="s">
        <v>3208</v>
      </c>
      <c r="E21" s="46" t="s">
        <v>99</v>
      </c>
      <c r="F21" s="46" t="s">
        <v>3209</v>
      </c>
      <c r="G21" s="142" t="n">
        <v>45874</v>
      </c>
      <c r="H21" s="46" t="s">
        <v>529</v>
      </c>
      <c r="I21" s="138" t="str">
        <f aca="false">IFERROR(VLOOKUP(TEXT(H21,"0"),IPRESS!$A$3:$B$212,2,0),"")</f>
        <v>MARIA AUXILIADORA</v>
      </c>
      <c r="J21" s="46" t="s">
        <v>755</v>
      </c>
      <c r="K21" s="138" t="str">
        <f aca="false">IFERROR(VLOOKUP(TEXT(O21,"0"),CONDUCTORES!$A$3:$G$100,7,0),"")</f>
        <v/>
      </c>
      <c r="L21" s="44" t="n">
        <v>20.25</v>
      </c>
      <c r="M21" s="44" t="n">
        <v>7</v>
      </c>
      <c r="N21" s="139" t="n">
        <f aca="false">IFERROR(IF(L21*M21=0,"",L21*M21),"")</f>
        <v>141.75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142" t="n">
        <v>45968</v>
      </c>
      <c r="S21" s="110" t="s">
        <v>1324</v>
      </c>
      <c r="T21" s="46"/>
      <c r="U21" s="85"/>
      <c r="V21" s="46"/>
      <c r="W21" s="46"/>
      <c r="X21" s="46"/>
      <c r="Y21" s="85"/>
    </row>
    <row r="22" customFormat="false" ht="15.75" hidden="false" customHeight="true" outlineLevel="0" collapsed="false">
      <c r="A22" s="106" t="n">
        <v>17</v>
      </c>
      <c r="B22" s="107" t="s">
        <v>3210</v>
      </c>
      <c r="C22" s="106" t="s">
        <v>752</v>
      </c>
      <c r="D22" s="107" t="s">
        <v>3211</v>
      </c>
      <c r="E22" s="136" t="s">
        <v>99</v>
      </c>
      <c r="F22" s="106" t="s">
        <v>3212</v>
      </c>
      <c r="G22" s="137" t="n">
        <v>45874</v>
      </c>
      <c r="H22" s="106" t="s">
        <v>529</v>
      </c>
      <c r="I22" s="138" t="str">
        <f aca="false">IFERROR(VLOOKUP(TEXT(H22,"0"),IPRESS!$A$3:$B$212,2,0),"")</f>
        <v>MARIA AUXILIADORA</v>
      </c>
      <c r="J22" s="106" t="s">
        <v>755</v>
      </c>
      <c r="K22" s="138" t="str">
        <f aca="false">IFERROR(VLOOKUP(TEXT(O22,"0"),CONDUCTORES!$A$3:$G$100,7,0),"")</f>
        <v/>
      </c>
      <c r="L22" s="50" t="n">
        <v>20.25</v>
      </c>
      <c r="M22" s="50" t="n">
        <v>7</v>
      </c>
      <c r="N22" s="139" t="n">
        <f aca="false">IFERROR(IF(L22*M22=0,"",L22*M22),"")</f>
        <v>141.75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37" t="n">
        <v>45968</v>
      </c>
      <c r="S22" s="107" t="s">
        <v>3213</v>
      </c>
      <c r="T22" s="136"/>
      <c r="U22" s="140"/>
      <c r="V22" s="106"/>
      <c r="W22" s="106"/>
      <c r="X22" s="106"/>
      <c r="Y22" s="85"/>
    </row>
    <row r="23" customFormat="false" ht="15.75" hidden="false" customHeight="true" outlineLevel="0" collapsed="false">
      <c r="A23" s="46" t="n">
        <v>18</v>
      </c>
      <c r="B23" s="110" t="s">
        <v>3214</v>
      </c>
      <c r="C23" s="46" t="s">
        <v>752</v>
      </c>
      <c r="D23" s="110" t="s">
        <v>3215</v>
      </c>
      <c r="E23" s="46" t="s">
        <v>99</v>
      </c>
      <c r="F23" s="46" t="s">
        <v>3216</v>
      </c>
      <c r="G23" s="142" t="n">
        <v>45875</v>
      </c>
      <c r="H23" s="46" t="s">
        <v>529</v>
      </c>
      <c r="I23" s="138" t="str">
        <f aca="false">IFERROR(VLOOKUP(TEXT(H23,"0"),IPRESS!$A$3:$B$212,2,0),"")</f>
        <v>MARIA AUXILIADORA</v>
      </c>
      <c r="J23" s="46" t="s">
        <v>755</v>
      </c>
      <c r="K23" s="138" t="str">
        <f aca="false">IFERROR(VLOOKUP(TEXT(O23,"0"),CONDUCTORES!$A$3:$G$100,7,0),"")</f>
        <v/>
      </c>
      <c r="L23" s="44" t="n">
        <v>20.25</v>
      </c>
      <c r="M23" s="44" t="n">
        <v>7</v>
      </c>
      <c r="N23" s="139" t="n">
        <f aca="false">IFERROR(IF(L23*M23=0,"",L23*M23),"")</f>
        <v>141.75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142" t="n">
        <v>45968</v>
      </c>
      <c r="S23" s="110" t="s">
        <v>3217</v>
      </c>
      <c r="T23" s="46"/>
      <c r="U23" s="85"/>
      <c r="V23" s="46"/>
      <c r="W23" s="46"/>
      <c r="X23" s="46"/>
      <c r="Y23" s="85"/>
    </row>
    <row r="24" customFormat="false" ht="15.75" hidden="false" customHeight="true" outlineLevel="0" collapsed="false">
      <c r="A24" s="106" t="n">
        <v>19</v>
      </c>
      <c r="B24" s="107" t="s">
        <v>3218</v>
      </c>
      <c r="C24" s="106" t="s">
        <v>752</v>
      </c>
      <c r="D24" s="107" t="s">
        <v>3219</v>
      </c>
      <c r="E24" s="136" t="s">
        <v>99</v>
      </c>
      <c r="F24" s="106" t="s">
        <v>3220</v>
      </c>
      <c r="G24" s="137" t="n">
        <v>45876</v>
      </c>
      <c r="H24" s="106" t="s">
        <v>529</v>
      </c>
      <c r="I24" s="138" t="str">
        <f aca="false">IFERROR(VLOOKUP(TEXT(H24,"0"),IPRESS!$A$3:$B$212,2,0),"")</f>
        <v>MARIA AUXILIADORA</v>
      </c>
      <c r="J24" s="106" t="s">
        <v>755</v>
      </c>
      <c r="K24" s="138" t="str">
        <f aca="false">IFERROR(VLOOKUP(TEXT(O24,"0"),CONDUCTORES!$A$3:$G$100,7,0),"")</f>
        <v/>
      </c>
      <c r="L24" s="50" t="n">
        <v>20.25</v>
      </c>
      <c r="M24" s="50" t="n">
        <v>6</v>
      </c>
      <c r="N24" s="139" t="n">
        <f aca="false">IFERROR(IF(L24*M24=0,"",L24*M24),"")</f>
        <v>121.5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37" t="n">
        <v>45968</v>
      </c>
      <c r="S24" s="107" t="s">
        <v>1279</v>
      </c>
      <c r="T24" s="136"/>
      <c r="U24" s="140"/>
      <c r="V24" s="106"/>
      <c r="W24" s="106"/>
      <c r="X24" s="106"/>
      <c r="Y24" s="85"/>
    </row>
    <row r="25" customFormat="false" ht="15.75" hidden="false" customHeight="true" outlineLevel="0" collapsed="false">
      <c r="A25" s="46" t="n">
        <v>20</v>
      </c>
      <c r="B25" s="110" t="s">
        <v>3221</v>
      </c>
      <c r="C25" s="46" t="s">
        <v>752</v>
      </c>
      <c r="D25" s="110" t="s">
        <v>3222</v>
      </c>
      <c r="E25" s="46" t="s">
        <v>99</v>
      </c>
      <c r="F25" s="46" t="s">
        <v>3223</v>
      </c>
      <c r="G25" s="142" t="n">
        <v>45878</v>
      </c>
      <c r="H25" s="46" t="s">
        <v>529</v>
      </c>
      <c r="I25" s="138" t="str">
        <f aca="false">IFERROR(VLOOKUP(TEXT(H25,"0"),IPRESS!$A$3:$B$212,2,0),"")</f>
        <v>MARIA AUXILIADORA</v>
      </c>
      <c r="J25" s="46" t="s">
        <v>755</v>
      </c>
      <c r="K25" s="138" t="str">
        <f aca="false">IFERROR(VLOOKUP(TEXT(O25,"0"),CONDUCTORES!$A$3:$G$100,7,0),"")</f>
        <v/>
      </c>
      <c r="L25" s="44" t="n">
        <v>20.25</v>
      </c>
      <c r="M25" s="44" t="n">
        <v>7</v>
      </c>
      <c r="N25" s="139" t="n">
        <f aca="false">IFERROR(IF(L25*M25=0,"",L25*M25),"")</f>
        <v>141.75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142" t="n">
        <v>45968</v>
      </c>
      <c r="S25" s="110" t="s">
        <v>3224</v>
      </c>
      <c r="T25" s="46"/>
      <c r="U25" s="85"/>
      <c r="V25" s="46"/>
      <c r="W25" s="46"/>
      <c r="X25" s="46"/>
      <c r="Y25" s="85"/>
    </row>
    <row r="26" customFormat="false" ht="15.75" hidden="false" customHeight="true" outlineLevel="0" collapsed="false">
      <c r="A26" s="106" t="n">
        <v>21</v>
      </c>
      <c r="B26" s="107" t="s">
        <v>3225</v>
      </c>
      <c r="C26" s="106" t="s">
        <v>752</v>
      </c>
      <c r="D26" s="107" t="s">
        <v>3226</v>
      </c>
      <c r="E26" s="136" t="s">
        <v>99</v>
      </c>
      <c r="F26" s="106" t="s">
        <v>3227</v>
      </c>
      <c r="G26" s="137" t="n">
        <v>45884</v>
      </c>
      <c r="H26" s="106" t="s">
        <v>529</v>
      </c>
      <c r="I26" s="138" t="str">
        <f aca="false">IFERROR(VLOOKUP(TEXT(H26,"0"),IPRESS!$A$3:$B$212,2,0),"")</f>
        <v>MARIA AUXILIADORA</v>
      </c>
      <c r="J26" s="106" t="s">
        <v>755</v>
      </c>
      <c r="K26" s="138" t="str">
        <f aca="false">IFERROR(VLOOKUP(TEXT(O26,"0"),CONDUCTORES!$A$3:$G$100,7,0),"")</f>
        <v/>
      </c>
      <c r="L26" s="50" t="n">
        <v>20.25</v>
      </c>
      <c r="M26" s="50" t="n">
        <v>7</v>
      </c>
      <c r="N26" s="139" t="n">
        <f aca="false">IFERROR(IF(L26*M26=0,"",L26*M26),"")</f>
        <v>141.75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37" t="n">
        <v>45968</v>
      </c>
      <c r="S26" s="107" t="s">
        <v>3228</v>
      </c>
      <c r="T26" s="136"/>
      <c r="U26" s="140"/>
      <c r="V26" s="106"/>
      <c r="W26" s="106"/>
      <c r="X26" s="106"/>
      <c r="Y26" s="85"/>
    </row>
    <row r="27" customFormat="false" ht="15.75" hidden="false" customHeight="true" outlineLevel="0" collapsed="false">
      <c r="A27" s="46" t="n">
        <v>22</v>
      </c>
      <c r="B27" s="110" t="s">
        <v>3229</v>
      </c>
      <c r="C27" s="46" t="s">
        <v>752</v>
      </c>
      <c r="D27" s="110" t="s">
        <v>3230</v>
      </c>
      <c r="E27" s="46" t="s">
        <v>99</v>
      </c>
      <c r="F27" s="46" t="s">
        <v>3231</v>
      </c>
      <c r="G27" s="142" t="n">
        <v>45885</v>
      </c>
      <c r="H27" s="46" t="s">
        <v>529</v>
      </c>
      <c r="I27" s="138" t="str">
        <f aca="false">IFERROR(VLOOKUP(TEXT(H27,"0"),IPRESS!$A$3:$B$212,2,0),"")</f>
        <v>MARIA AUXILIADORA</v>
      </c>
      <c r="J27" s="46" t="s">
        <v>755</v>
      </c>
      <c r="K27" s="138" t="str">
        <f aca="false">IFERROR(VLOOKUP(TEXT(O27,"0"),CONDUCTORES!$A$3:$G$100,7,0),"")</f>
        <v/>
      </c>
      <c r="L27" s="44" t="n">
        <v>20.25</v>
      </c>
      <c r="M27" s="44" t="n">
        <v>7</v>
      </c>
      <c r="N27" s="139" t="n">
        <f aca="false">IFERROR(IF(L27*M27=0,"",L27*M27),"")</f>
        <v>141.75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142" t="n">
        <v>45968</v>
      </c>
      <c r="S27" s="110" t="s">
        <v>2114</v>
      </c>
      <c r="T27" s="46"/>
      <c r="U27" s="85"/>
      <c r="V27" s="46"/>
      <c r="W27" s="46"/>
      <c r="X27" s="46"/>
      <c r="Y27" s="85"/>
    </row>
    <row r="28" customFormat="false" ht="15.75" hidden="false" customHeight="true" outlineLevel="0" collapsed="false">
      <c r="A28" s="106" t="n">
        <v>23</v>
      </c>
      <c r="B28" s="107" t="s">
        <v>3232</v>
      </c>
      <c r="C28" s="106" t="s">
        <v>752</v>
      </c>
      <c r="D28" s="107" t="s">
        <v>3233</v>
      </c>
      <c r="E28" s="136" t="s">
        <v>99</v>
      </c>
      <c r="F28" s="106" t="s">
        <v>3234</v>
      </c>
      <c r="G28" s="137" t="n">
        <v>45888</v>
      </c>
      <c r="H28" s="106" t="s">
        <v>529</v>
      </c>
      <c r="I28" s="138" t="str">
        <f aca="false">IFERROR(VLOOKUP(TEXT(H28,"0"),IPRESS!$A$3:$B$212,2,0),"")</f>
        <v>MARIA AUXILIADORA</v>
      </c>
      <c r="J28" s="106" t="s">
        <v>755</v>
      </c>
      <c r="K28" s="138" t="str">
        <f aca="false">IFERROR(VLOOKUP(TEXT(O28,"0"),CONDUCTORES!$A$3:$G$100,7,0),"")</f>
        <v/>
      </c>
      <c r="L28" s="50" t="n">
        <v>20.25</v>
      </c>
      <c r="M28" s="50" t="n">
        <v>7</v>
      </c>
      <c r="N28" s="139" t="n">
        <f aca="false">IFERROR(IF(L28*M28=0,"",L28*M28),"")</f>
        <v>141.75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37" t="n">
        <v>45968</v>
      </c>
      <c r="S28" s="107" t="s">
        <v>3235</v>
      </c>
      <c r="T28" s="136"/>
      <c r="U28" s="140"/>
      <c r="V28" s="106"/>
      <c r="W28" s="106"/>
      <c r="X28" s="106"/>
      <c r="Y28" s="85"/>
    </row>
    <row r="29" customFormat="false" ht="15.75" hidden="false" customHeight="true" outlineLevel="0" collapsed="false">
      <c r="A29" s="46" t="n">
        <v>24</v>
      </c>
      <c r="B29" s="110" t="s">
        <v>3236</v>
      </c>
      <c r="C29" s="46" t="s">
        <v>752</v>
      </c>
      <c r="D29" s="110" t="s">
        <v>3237</v>
      </c>
      <c r="E29" s="46" t="s">
        <v>99</v>
      </c>
      <c r="F29" s="46" t="s">
        <v>3238</v>
      </c>
      <c r="G29" s="142" t="n">
        <v>45889</v>
      </c>
      <c r="H29" s="46" t="s">
        <v>529</v>
      </c>
      <c r="I29" s="138" t="str">
        <f aca="false">IFERROR(VLOOKUP(TEXT(H29,"0"),IPRESS!$A$3:$B$212,2,0),"")</f>
        <v>MARIA AUXILIADORA</v>
      </c>
      <c r="J29" s="46" t="s">
        <v>755</v>
      </c>
      <c r="K29" s="138" t="str">
        <f aca="false">IFERROR(VLOOKUP(TEXT(O29,"0"),CONDUCTORES!$A$3:$G$100,7,0),"")</f>
        <v/>
      </c>
      <c r="L29" s="44" t="n">
        <v>20.25</v>
      </c>
      <c r="M29" s="44" t="n">
        <v>7</v>
      </c>
      <c r="N29" s="139" t="n">
        <f aca="false">IFERROR(IF(L29*M29=0,"",L29*M29),"")</f>
        <v>141.75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142" t="n">
        <v>45968</v>
      </c>
      <c r="S29" s="110" t="s">
        <v>3239</v>
      </c>
      <c r="T29" s="46"/>
      <c r="U29" s="85"/>
      <c r="V29" s="46"/>
      <c r="W29" s="46"/>
      <c r="X29" s="46"/>
      <c r="Y29" s="85"/>
    </row>
    <row r="30" customFormat="false" ht="15.75" hidden="false" customHeight="true" outlineLevel="0" collapsed="false">
      <c r="A30" s="106" t="n">
        <v>25</v>
      </c>
      <c r="B30" s="107" t="s">
        <v>3240</v>
      </c>
      <c r="C30" s="106" t="s">
        <v>752</v>
      </c>
      <c r="D30" s="107" t="s">
        <v>3241</v>
      </c>
      <c r="E30" s="136" t="s">
        <v>99</v>
      </c>
      <c r="F30" s="106" t="s">
        <v>3242</v>
      </c>
      <c r="G30" s="137" t="n">
        <v>45893</v>
      </c>
      <c r="H30" s="106" t="s">
        <v>529</v>
      </c>
      <c r="I30" s="138" t="str">
        <f aca="false">IFERROR(VLOOKUP(TEXT(H30,"0"),IPRESS!$A$3:$B$212,2,0),"")</f>
        <v>MARIA AUXILIADORA</v>
      </c>
      <c r="J30" s="106" t="s">
        <v>755</v>
      </c>
      <c r="K30" s="138" t="str">
        <f aca="false">IFERROR(VLOOKUP(TEXT(O30,"0"),CONDUCTORES!$A$3:$G$100,7,0),"")</f>
        <v/>
      </c>
      <c r="L30" s="50" t="n">
        <v>20.25</v>
      </c>
      <c r="M30" s="50" t="n">
        <v>7</v>
      </c>
      <c r="N30" s="139" t="n">
        <f aca="false">IFERROR(IF(L30*M30=0,"",L30*M30),"")</f>
        <v>141.75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37" t="n">
        <v>45968</v>
      </c>
      <c r="S30" s="107" t="s">
        <v>1345</v>
      </c>
      <c r="T30" s="136"/>
      <c r="U30" s="140"/>
      <c r="V30" s="106"/>
      <c r="W30" s="106"/>
      <c r="X30" s="106"/>
      <c r="Y30" s="85"/>
    </row>
    <row r="31" customFormat="false" ht="15.75" hidden="false" customHeight="true" outlineLevel="0" collapsed="false">
      <c r="A31" s="46" t="n">
        <v>26</v>
      </c>
      <c r="B31" s="110" t="s">
        <v>3243</v>
      </c>
      <c r="C31" s="46" t="s">
        <v>752</v>
      </c>
      <c r="D31" s="110" t="s">
        <v>3244</v>
      </c>
      <c r="E31" s="46" t="s">
        <v>99</v>
      </c>
      <c r="F31" s="46" t="s">
        <v>3245</v>
      </c>
      <c r="G31" s="142" t="n">
        <v>45893</v>
      </c>
      <c r="H31" s="46" t="s">
        <v>529</v>
      </c>
      <c r="I31" s="138" t="str">
        <f aca="false">IFERROR(VLOOKUP(TEXT(H31,"0"),IPRESS!$A$3:$B$212,2,0),"")</f>
        <v>MARIA AUXILIADORA</v>
      </c>
      <c r="J31" s="46" t="s">
        <v>755</v>
      </c>
      <c r="K31" s="138" t="str">
        <f aca="false">IFERROR(VLOOKUP(TEXT(O31,"0"),CONDUCTORES!$A$3:$G$100,7,0),"")</f>
        <v/>
      </c>
      <c r="L31" s="44" t="n">
        <v>20.25</v>
      </c>
      <c r="M31" s="44" t="n">
        <v>7</v>
      </c>
      <c r="N31" s="139" t="n">
        <f aca="false">IFERROR(IF(L31*M31=0,"",L31*M31),"")</f>
        <v>141.75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142" t="n">
        <v>45968</v>
      </c>
      <c r="S31" s="110" t="s">
        <v>1276</v>
      </c>
      <c r="T31" s="46"/>
      <c r="U31" s="85"/>
      <c r="V31" s="46"/>
      <c r="W31" s="46"/>
      <c r="X31" s="46"/>
      <c r="Y31" s="85"/>
    </row>
    <row r="32" customFormat="false" ht="15.75" hidden="false" customHeight="true" outlineLevel="0" collapsed="false">
      <c r="A32" s="106" t="n">
        <v>27</v>
      </c>
      <c r="B32" s="107" t="s">
        <v>3246</v>
      </c>
      <c r="C32" s="106" t="s">
        <v>752</v>
      </c>
      <c r="D32" s="107" t="s">
        <v>3247</v>
      </c>
      <c r="E32" s="136" t="s">
        <v>99</v>
      </c>
      <c r="F32" s="106" t="s">
        <v>3248</v>
      </c>
      <c r="G32" s="137" t="n">
        <v>45894</v>
      </c>
      <c r="H32" s="106" t="s">
        <v>529</v>
      </c>
      <c r="I32" s="138" t="str">
        <f aca="false">IFERROR(VLOOKUP(TEXT(H32,"0"),IPRESS!$A$3:$B$212,2,0),"")</f>
        <v>MARIA AUXILIADORA</v>
      </c>
      <c r="J32" s="106" t="s">
        <v>755</v>
      </c>
      <c r="K32" s="138" t="str">
        <f aca="false">IFERROR(VLOOKUP(TEXT(O32,"0"),CONDUCTORES!$A$3:$G$100,7,0),"")</f>
        <v/>
      </c>
      <c r="L32" s="50" t="n">
        <v>20.25</v>
      </c>
      <c r="M32" s="50" t="n">
        <v>7</v>
      </c>
      <c r="N32" s="139" t="n">
        <f aca="false">IFERROR(IF(L32*M32=0,"",L32*M32),"")</f>
        <v>141.75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37" t="n">
        <v>45968</v>
      </c>
      <c r="S32" s="107" t="s">
        <v>3249</v>
      </c>
      <c r="T32" s="136"/>
      <c r="U32" s="140"/>
      <c r="V32" s="106"/>
      <c r="W32" s="106"/>
      <c r="X32" s="106"/>
      <c r="Y32" s="85"/>
    </row>
    <row r="33" customFormat="false" ht="15.75" hidden="false" customHeight="true" outlineLevel="0" collapsed="false">
      <c r="A33" s="46" t="n">
        <v>28</v>
      </c>
      <c r="B33" s="110" t="s">
        <v>3250</v>
      </c>
      <c r="C33" s="46" t="s">
        <v>752</v>
      </c>
      <c r="D33" s="110" t="s">
        <v>3251</v>
      </c>
      <c r="E33" s="46" t="s">
        <v>99</v>
      </c>
      <c r="F33" s="46" t="s">
        <v>3252</v>
      </c>
      <c r="G33" s="142" t="n">
        <v>45895</v>
      </c>
      <c r="H33" s="46" t="s">
        <v>529</v>
      </c>
      <c r="I33" s="138" t="str">
        <f aca="false">IFERROR(VLOOKUP(TEXT(H33,"0"),IPRESS!$A$3:$B$212,2,0),"")</f>
        <v>MARIA AUXILIADORA</v>
      </c>
      <c r="J33" s="46" t="s">
        <v>755</v>
      </c>
      <c r="K33" s="138" t="str">
        <f aca="false">IFERROR(VLOOKUP(TEXT(O33,"0"),CONDUCTORES!$A$3:$G$100,7,0),"")</f>
        <v/>
      </c>
      <c r="L33" s="44" t="n">
        <v>20.25</v>
      </c>
      <c r="M33" s="44" t="n">
        <v>7</v>
      </c>
      <c r="N33" s="139" t="n">
        <f aca="false">IFERROR(IF(L33*M33=0,"",L33*M33),"")</f>
        <v>141.75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142" t="n">
        <v>45968</v>
      </c>
      <c r="S33" s="110" t="s">
        <v>3253</v>
      </c>
      <c r="T33" s="46"/>
      <c r="U33" s="85"/>
      <c r="V33" s="46"/>
      <c r="W33" s="46"/>
      <c r="X33" s="46"/>
      <c r="Y33" s="85"/>
    </row>
    <row r="34" customFormat="false" ht="15.75" hidden="false" customHeight="true" outlineLevel="0" collapsed="false">
      <c r="A34" s="106" t="n">
        <v>29</v>
      </c>
      <c r="B34" s="107" t="s">
        <v>3254</v>
      </c>
      <c r="C34" s="106" t="s">
        <v>752</v>
      </c>
      <c r="D34" s="107" t="s">
        <v>3255</v>
      </c>
      <c r="E34" s="136" t="s">
        <v>99</v>
      </c>
      <c r="F34" s="106" t="s">
        <v>3256</v>
      </c>
      <c r="G34" s="137" t="n">
        <v>45895</v>
      </c>
      <c r="H34" s="106" t="s">
        <v>529</v>
      </c>
      <c r="I34" s="138" t="str">
        <f aca="false">IFERROR(VLOOKUP(TEXT(H34,"0"),IPRESS!$A$3:$B$212,2,0),"")</f>
        <v>MARIA AUXILIADORA</v>
      </c>
      <c r="J34" s="106" t="s">
        <v>755</v>
      </c>
      <c r="K34" s="138" t="str">
        <f aca="false">IFERROR(VLOOKUP(TEXT(O34,"0"),CONDUCTORES!$A$3:$G$100,7,0),"")</f>
        <v/>
      </c>
      <c r="L34" s="50" t="n">
        <v>20.25</v>
      </c>
      <c r="M34" s="50" t="n">
        <v>7</v>
      </c>
      <c r="N34" s="139" t="n">
        <f aca="false">IFERROR(IF(L34*M34=0,"",L34*M34),"")</f>
        <v>141.75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37" t="n">
        <v>45968</v>
      </c>
      <c r="S34" s="107" t="s">
        <v>3257</v>
      </c>
      <c r="T34" s="136"/>
      <c r="U34" s="140"/>
      <c r="V34" s="106"/>
      <c r="W34" s="106"/>
      <c r="X34" s="106"/>
      <c r="Y34" s="85"/>
    </row>
    <row r="35" customFormat="false" ht="15.75" hidden="false" customHeight="true" outlineLevel="0" collapsed="false">
      <c r="A35" s="46" t="n">
        <v>30</v>
      </c>
      <c r="B35" s="110" t="s">
        <v>3258</v>
      </c>
      <c r="C35" s="46" t="s">
        <v>752</v>
      </c>
      <c r="D35" s="110" t="s">
        <v>3259</v>
      </c>
      <c r="E35" s="46" t="s">
        <v>99</v>
      </c>
      <c r="F35" s="46" t="s">
        <v>3260</v>
      </c>
      <c r="G35" s="142" t="n">
        <v>45896</v>
      </c>
      <c r="H35" s="46" t="s">
        <v>529</v>
      </c>
      <c r="I35" s="138" t="str">
        <f aca="false">IFERROR(VLOOKUP(TEXT(H35,"0"),IPRESS!$A$3:$B$212,2,0),"")</f>
        <v>MARIA AUXILIADORA</v>
      </c>
      <c r="J35" s="46" t="s">
        <v>755</v>
      </c>
      <c r="K35" s="138" t="str">
        <f aca="false">IFERROR(VLOOKUP(TEXT(O35,"0"),CONDUCTORES!$A$3:$G$100,7,0),"")</f>
        <v/>
      </c>
      <c r="L35" s="44" t="n">
        <v>20.25</v>
      </c>
      <c r="M35" s="44" t="n">
        <v>7</v>
      </c>
      <c r="N35" s="139" t="n">
        <f aca="false">IFERROR(IF(L35*M35=0,"",L35*M35),"")</f>
        <v>141.75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142" t="n">
        <v>45968</v>
      </c>
      <c r="S35" s="110" t="s">
        <v>3261</v>
      </c>
      <c r="T35" s="46"/>
      <c r="U35" s="85"/>
      <c r="V35" s="46"/>
      <c r="W35" s="46"/>
      <c r="X35" s="46"/>
      <c r="Y35" s="85"/>
    </row>
    <row r="36" customFormat="false" ht="15.75" hidden="false" customHeight="true" outlineLevel="0" collapsed="false">
      <c r="A36" s="106" t="n">
        <v>31</v>
      </c>
      <c r="B36" s="107" t="s">
        <v>3262</v>
      </c>
      <c r="C36" s="106" t="s">
        <v>752</v>
      </c>
      <c r="D36" s="107" t="s">
        <v>3263</v>
      </c>
      <c r="E36" s="136" t="s">
        <v>99</v>
      </c>
      <c r="F36" s="106" t="s">
        <v>3264</v>
      </c>
      <c r="G36" s="137" t="n">
        <v>45897</v>
      </c>
      <c r="H36" s="106" t="s">
        <v>529</v>
      </c>
      <c r="I36" s="138" t="str">
        <f aca="false">IFERROR(VLOOKUP(TEXT(H36,"0"),IPRESS!$A$3:$B$212,2,0),"")</f>
        <v>MARIA AUXILIADORA</v>
      </c>
      <c r="J36" s="106" t="s">
        <v>755</v>
      </c>
      <c r="K36" s="138" t="str">
        <f aca="false">IFERROR(VLOOKUP(TEXT(O36,"0"),CONDUCTORES!$A$3:$G$100,7,0),"")</f>
        <v/>
      </c>
      <c r="L36" s="50" t="n">
        <v>20.25</v>
      </c>
      <c r="M36" s="50" t="n">
        <v>7</v>
      </c>
      <c r="N36" s="139" t="n">
        <f aca="false">IFERROR(IF(L36*M36=0,"",L36*M36),"")</f>
        <v>141.75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37" t="n">
        <v>45968</v>
      </c>
      <c r="S36" s="107" t="s">
        <v>2010</v>
      </c>
      <c r="T36" s="136"/>
      <c r="U36" s="140"/>
      <c r="V36" s="106"/>
      <c r="W36" s="106"/>
      <c r="X36" s="106"/>
      <c r="Y36" s="85"/>
    </row>
    <row r="37" customFormat="false" ht="15.75" hidden="false" customHeight="true" outlineLevel="0" collapsed="false">
      <c r="A37" s="46" t="n">
        <v>32</v>
      </c>
      <c r="B37" s="110" t="s">
        <v>3265</v>
      </c>
      <c r="C37" s="46" t="s">
        <v>752</v>
      </c>
      <c r="D37" s="110" t="s">
        <v>3266</v>
      </c>
      <c r="E37" s="46" t="s">
        <v>99</v>
      </c>
      <c r="F37" s="46" t="s">
        <v>3267</v>
      </c>
      <c r="G37" s="142" t="n">
        <v>45898</v>
      </c>
      <c r="H37" s="46" t="s">
        <v>529</v>
      </c>
      <c r="I37" s="138" t="str">
        <f aca="false">IFERROR(VLOOKUP(TEXT(H37,"0"),IPRESS!$A$3:$B$212,2,0),"")</f>
        <v>MARIA AUXILIADORA</v>
      </c>
      <c r="J37" s="46" t="s">
        <v>755</v>
      </c>
      <c r="K37" s="138" t="str">
        <f aca="false">IFERROR(VLOOKUP(TEXT(O37,"0"),CONDUCTORES!$A$3:$G$100,7,0),"")</f>
        <v/>
      </c>
      <c r="L37" s="44" t="n">
        <v>20.25</v>
      </c>
      <c r="M37" s="44" t="n">
        <v>7</v>
      </c>
      <c r="N37" s="139" t="n">
        <f aca="false">IFERROR(IF(L37*M37=0,"",L37*M37),"")</f>
        <v>141.75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142" t="n">
        <v>45968</v>
      </c>
      <c r="S37" s="110" t="s">
        <v>1169</v>
      </c>
      <c r="T37" s="46"/>
      <c r="U37" s="85"/>
      <c r="V37" s="46"/>
      <c r="W37" s="46"/>
      <c r="X37" s="46"/>
      <c r="Y37" s="85"/>
    </row>
    <row r="38" customFormat="false" ht="15.75" hidden="false" customHeight="true" outlineLevel="0" collapsed="false">
      <c r="A38" s="106" t="n">
        <v>33</v>
      </c>
      <c r="B38" s="107" t="s">
        <v>3268</v>
      </c>
      <c r="C38" s="106" t="s">
        <v>752</v>
      </c>
      <c r="D38" s="107" t="s">
        <v>3269</v>
      </c>
      <c r="E38" s="136" t="s">
        <v>99</v>
      </c>
      <c r="F38" s="106" t="s">
        <v>3270</v>
      </c>
      <c r="G38" s="137" t="n">
        <v>45899</v>
      </c>
      <c r="H38" s="106" t="s">
        <v>529</v>
      </c>
      <c r="I38" s="138" t="str">
        <f aca="false">IFERROR(VLOOKUP(TEXT(H38,"0"),IPRESS!$A$3:$B$212,2,0),"")</f>
        <v>MARIA AUXILIADORA</v>
      </c>
      <c r="J38" s="106" t="s">
        <v>755</v>
      </c>
      <c r="K38" s="138" t="str">
        <f aca="false">IFERROR(VLOOKUP(TEXT(O38,"0"),CONDUCTORES!$A$3:$G$100,7,0),"")</f>
        <v/>
      </c>
      <c r="L38" s="50" t="n">
        <v>20.25</v>
      </c>
      <c r="M38" s="50" t="n">
        <v>7</v>
      </c>
      <c r="N38" s="139" t="n">
        <f aca="false">IFERROR(IF(L38*M38=0,"",L38*M38),"")</f>
        <v>141.75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37" t="n">
        <v>45968</v>
      </c>
      <c r="S38" s="107" t="s">
        <v>3271</v>
      </c>
      <c r="T38" s="136"/>
      <c r="U38" s="140"/>
      <c r="V38" s="106"/>
      <c r="W38" s="106"/>
      <c r="X38" s="106"/>
      <c r="Y38" s="85"/>
    </row>
    <row r="39" customFormat="false" ht="15.75" hidden="false" customHeight="true" outlineLevel="0" collapsed="false">
      <c r="A39" s="46" t="n">
        <v>34</v>
      </c>
      <c r="B39" s="110" t="s">
        <v>3272</v>
      </c>
      <c r="C39" s="46" t="s">
        <v>752</v>
      </c>
      <c r="D39" s="110" t="s">
        <v>3273</v>
      </c>
      <c r="E39" s="46" t="s">
        <v>99</v>
      </c>
      <c r="F39" s="46" t="s">
        <v>3274</v>
      </c>
      <c r="G39" s="142" t="n">
        <v>45900</v>
      </c>
      <c r="H39" s="46" t="s">
        <v>529</v>
      </c>
      <c r="I39" s="138" t="str">
        <f aca="false">IFERROR(VLOOKUP(TEXT(H39,"0"),IPRESS!$A$3:$B$212,2,0),"")</f>
        <v>MARIA AUXILIADORA</v>
      </c>
      <c r="J39" s="46" t="s">
        <v>755</v>
      </c>
      <c r="K39" s="138" t="str">
        <f aca="false">IFERROR(VLOOKUP(TEXT(O39,"0"),CONDUCTORES!$A$3:$G$100,7,0),"")</f>
        <v/>
      </c>
      <c r="L39" s="44" t="n">
        <v>20.25</v>
      </c>
      <c r="M39" s="44" t="n">
        <v>7</v>
      </c>
      <c r="N39" s="139" t="n">
        <f aca="false">IFERROR(IF(L39*M39=0,"",L39*M39),"")</f>
        <v>141.75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142" t="n">
        <v>45968</v>
      </c>
      <c r="S39" s="110" t="s">
        <v>3275</v>
      </c>
      <c r="T39" s="46"/>
      <c r="U39" s="85"/>
      <c r="V39" s="46"/>
      <c r="W39" s="46"/>
      <c r="X39" s="46"/>
      <c r="Y39" s="85"/>
    </row>
    <row r="40" customFormat="false" ht="15.75" hidden="false" customHeight="true" outlineLevel="0" collapsed="false">
      <c r="A40" s="106" t="n">
        <v>35</v>
      </c>
      <c r="B40" s="107" t="s">
        <v>3276</v>
      </c>
      <c r="C40" s="106" t="s">
        <v>752</v>
      </c>
      <c r="D40" s="107" t="s">
        <v>3277</v>
      </c>
      <c r="E40" s="136" t="s">
        <v>99</v>
      </c>
      <c r="F40" s="106" t="s">
        <v>3278</v>
      </c>
      <c r="G40" s="137" t="n">
        <v>45876</v>
      </c>
      <c r="H40" s="106" t="s">
        <v>529</v>
      </c>
      <c r="I40" s="138" t="str">
        <f aca="false">IFERROR(VLOOKUP(TEXT(H40,"0"),IPRESS!$A$3:$B$212,2,0),"")</f>
        <v>MARIA AUXILIADORA</v>
      </c>
      <c r="J40" s="106" t="s">
        <v>755</v>
      </c>
      <c r="K40" s="138" t="str">
        <f aca="false">IFERROR(VLOOKUP(TEXT(O40,"0"),CONDUCTORES!$A$3:$G$100,7,0),"")</f>
        <v/>
      </c>
      <c r="L40" s="50" t="n">
        <v>20.25</v>
      </c>
      <c r="M40" s="50" t="n">
        <v>10</v>
      </c>
      <c r="N40" s="139" t="n">
        <f aca="false">IFERROR(IF(L40*M40=0,"",L40*M40),"")</f>
        <v>202.5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37" t="n">
        <v>45988</v>
      </c>
      <c r="S40" s="107" t="s">
        <v>3279</v>
      </c>
      <c r="T40" s="136" t="s">
        <v>3280</v>
      </c>
      <c r="U40" s="140"/>
      <c r="V40" s="106" t="s">
        <v>2633</v>
      </c>
      <c r="W40" s="106" t="s">
        <v>760</v>
      </c>
      <c r="X40" s="106" t="s">
        <v>761</v>
      </c>
      <c r="Y40" s="85"/>
    </row>
    <row r="41" customFormat="false" ht="15.75" hidden="false" customHeight="true" outlineLevel="0" collapsed="false">
      <c r="A41" s="46" t="n">
        <v>36</v>
      </c>
      <c r="B41" s="110" t="s">
        <v>3281</v>
      </c>
      <c r="C41" s="46" t="s">
        <v>752</v>
      </c>
      <c r="D41" s="110" t="s">
        <v>3282</v>
      </c>
      <c r="E41" s="46" t="s">
        <v>99</v>
      </c>
      <c r="F41" s="46" t="s">
        <v>3283</v>
      </c>
      <c r="G41" s="142" t="n">
        <v>45887</v>
      </c>
      <c r="H41" s="46" t="s">
        <v>529</v>
      </c>
      <c r="I41" s="138" t="str">
        <f aca="false">IFERROR(VLOOKUP(TEXT(H41,"0"),IPRESS!$A$3:$B$212,2,0),"")</f>
        <v>MARIA AUXILIADORA</v>
      </c>
      <c r="J41" s="46" t="s">
        <v>755</v>
      </c>
      <c r="K41" s="138" t="str">
        <f aca="false">IFERROR(VLOOKUP(TEXT(O41,"0"),CONDUCTORES!$A$3:$G$100,7,0),"")</f>
        <v/>
      </c>
      <c r="L41" s="44" t="n">
        <v>20.25</v>
      </c>
      <c r="M41" s="44" t="n">
        <v>10</v>
      </c>
      <c r="N41" s="139" t="n">
        <f aca="false">IFERROR(IF(L41*M41=0,"",L41*M41),"")</f>
        <v>202.5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142" t="n">
        <v>45988</v>
      </c>
      <c r="S41" s="110" t="s">
        <v>3284</v>
      </c>
      <c r="T41" s="46" t="s">
        <v>2945</v>
      </c>
      <c r="U41" s="85"/>
      <c r="V41" s="46" t="s">
        <v>2633</v>
      </c>
      <c r="W41" s="46" t="s">
        <v>760</v>
      </c>
      <c r="X41" s="46" t="s">
        <v>761</v>
      </c>
      <c r="Y41" s="85"/>
    </row>
    <row r="42" customFormat="false" ht="15.75" hidden="false" customHeight="true" outlineLevel="0" collapsed="false">
      <c r="A42" s="106" t="n">
        <v>37</v>
      </c>
      <c r="B42" s="107" t="s">
        <v>840</v>
      </c>
      <c r="C42" s="106" t="s">
        <v>752</v>
      </c>
      <c r="D42" s="107" t="s">
        <v>3285</v>
      </c>
      <c r="E42" s="136" t="s">
        <v>99</v>
      </c>
      <c r="F42" s="106" t="s">
        <v>3286</v>
      </c>
      <c r="G42" s="137" t="n">
        <v>45892</v>
      </c>
      <c r="H42" s="106" t="s">
        <v>466</v>
      </c>
      <c r="I42" s="138" t="str">
        <f aca="false">IFERROR(VLOOKUP(TEXT(H42,"0"),IPRESS!$A$3:$B$212,2,0),"")</f>
        <v>HUAMBO</v>
      </c>
      <c r="J42" s="106" t="s">
        <v>529</v>
      </c>
      <c r="K42" s="138" t="str">
        <f aca="false">IFERROR(VLOOKUP(TEXT(O42,"0"),CONDUCTORES!$A$3:$G$100,7,0),"")</f>
        <v/>
      </c>
      <c r="L42" s="50" t="n">
        <v>20.25</v>
      </c>
      <c r="M42" s="50" t="n">
        <v>3</v>
      </c>
      <c r="N42" s="139" t="n">
        <f aca="false">IFERROR(IF(L42*M42=0,"",L42*M42),"")</f>
        <v>60.75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37" t="n">
        <v>46010</v>
      </c>
      <c r="S42" s="107" t="s">
        <v>917</v>
      </c>
      <c r="T42" s="136"/>
      <c r="U42" s="140"/>
      <c r="V42" s="106"/>
      <c r="W42" s="106"/>
      <c r="X42" s="106"/>
      <c r="Y42" s="85"/>
    </row>
    <row r="43" customFormat="false" ht="15.75" hidden="false" customHeight="true" outlineLevel="0" collapsed="false">
      <c r="A43" s="46" t="n">
        <v>38</v>
      </c>
      <c r="B43" s="110" t="s">
        <v>1227</v>
      </c>
      <c r="C43" s="46" t="s">
        <v>752</v>
      </c>
      <c r="D43" s="110" t="s">
        <v>3287</v>
      </c>
      <c r="E43" s="46" t="s">
        <v>99</v>
      </c>
      <c r="F43" s="46" t="s">
        <v>3288</v>
      </c>
      <c r="G43" s="142" t="n">
        <v>45888</v>
      </c>
      <c r="H43" s="46" t="s">
        <v>480</v>
      </c>
      <c r="I43" s="138" t="str">
        <f aca="false">IFERROR(VLOOKUP(TEXT(H43,"0"),IPRESS!$A$3:$B$212,2,0),"")</f>
        <v>JALCA GRANDE</v>
      </c>
      <c r="J43" s="46" t="s">
        <v>755</v>
      </c>
      <c r="K43" s="138" t="str">
        <f aca="false">IFERROR(VLOOKUP(TEXT(O43,"0"),CONDUCTORES!$A$3:$G$100,7,0),"")</f>
        <v/>
      </c>
      <c r="L43" s="44" t="n">
        <v>18.18</v>
      </c>
      <c r="M43" s="44" t="n">
        <v>8</v>
      </c>
      <c r="N43" s="139" t="n">
        <f aca="false">IFERROR(IF(L43*M43=0,"",L43*M43),"")</f>
        <v>145.44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142" t="n">
        <v>45957</v>
      </c>
      <c r="S43" s="110" t="s">
        <v>3289</v>
      </c>
      <c r="T43" s="46"/>
      <c r="U43" s="85"/>
      <c r="V43" s="46"/>
      <c r="W43" s="46"/>
      <c r="X43" s="46"/>
      <c r="Y43" s="85"/>
    </row>
    <row r="44" customFormat="false" ht="15.75" hidden="false" customHeight="true" outlineLevel="0" collapsed="false">
      <c r="A44" s="106" t="n">
        <v>39</v>
      </c>
      <c r="B44" s="107" t="s">
        <v>1207</v>
      </c>
      <c r="C44" s="106" t="s">
        <v>752</v>
      </c>
      <c r="D44" s="107" t="s">
        <v>3290</v>
      </c>
      <c r="E44" s="136" t="s">
        <v>99</v>
      </c>
      <c r="F44" s="106" t="s">
        <v>3291</v>
      </c>
      <c r="G44" s="137" t="n">
        <v>45895</v>
      </c>
      <c r="H44" s="106" t="s">
        <v>480</v>
      </c>
      <c r="I44" s="138" t="str">
        <f aca="false">IFERROR(VLOOKUP(TEXT(H44,"0"),IPRESS!$A$3:$B$212,2,0),"")</f>
        <v>JALCA GRANDE</v>
      </c>
      <c r="J44" s="106" t="s">
        <v>755</v>
      </c>
      <c r="K44" s="138" t="str">
        <f aca="false">IFERROR(VLOOKUP(TEXT(O44,"0"),CONDUCTORES!$A$3:$G$100,7,0),"")</f>
        <v/>
      </c>
      <c r="L44" s="50" t="n">
        <v>18.18</v>
      </c>
      <c r="M44" s="50" t="n">
        <v>8</v>
      </c>
      <c r="N44" s="139" t="n">
        <f aca="false">IFERROR(IF(L44*M44=0,"",L44*M44),"")</f>
        <v>145.44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37" t="n">
        <v>45957</v>
      </c>
      <c r="S44" s="107" t="s">
        <v>3292</v>
      </c>
      <c r="T44" s="136"/>
      <c r="U44" s="140"/>
      <c r="V44" s="106"/>
      <c r="W44" s="106"/>
      <c r="X44" s="106"/>
      <c r="Y44" s="85"/>
    </row>
    <row r="45" customFormat="false" ht="15.75" hidden="false" customHeight="true" outlineLevel="0" collapsed="false">
      <c r="A45" s="46" t="n">
        <v>40</v>
      </c>
      <c r="B45" s="110" t="s">
        <v>1197</v>
      </c>
      <c r="C45" s="46" t="s">
        <v>752</v>
      </c>
      <c r="D45" s="110" t="s">
        <v>3293</v>
      </c>
      <c r="E45" s="46" t="s">
        <v>99</v>
      </c>
      <c r="F45" s="46" t="s">
        <v>3294</v>
      </c>
      <c r="G45" s="142" t="n">
        <v>45897</v>
      </c>
      <c r="H45" s="46" t="s">
        <v>480</v>
      </c>
      <c r="I45" s="138" t="str">
        <f aca="false">IFERROR(VLOOKUP(TEXT(H45,"0"),IPRESS!$A$3:$B$212,2,0),"")</f>
        <v>JALCA GRANDE</v>
      </c>
      <c r="J45" s="46" t="s">
        <v>755</v>
      </c>
      <c r="K45" s="138" t="str">
        <f aca="false">IFERROR(VLOOKUP(TEXT(O45,"0"),CONDUCTORES!$A$3:$G$100,7,0),"")</f>
        <v/>
      </c>
      <c r="L45" s="44" t="n">
        <v>18.18</v>
      </c>
      <c r="M45" s="44" t="n">
        <v>8</v>
      </c>
      <c r="N45" s="139" t="n">
        <f aca="false">IFERROR(IF(L45*M45=0,"",L45*M45),"")</f>
        <v>145.44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142" t="n">
        <v>45957</v>
      </c>
      <c r="S45" s="110" t="s">
        <v>3295</v>
      </c>
      <c r="T45" s="46"/>
      <c r="U45" s="85"/>
      <c r="V45" s="46"/>
      <c r="W45" s="46"/>
      <c r="X45" s="46"/>
      <c r="Y45" s="85"/>
    </row>
    <row r="46" customFormat="false" ht="15.75" hidden="false" customHeight="true" outlineLevel="0" collapsed="false">
      <c r="A46" s="106" t="n">
        <v>41</v>
      </c>
      <c r="B46" s="107" t="s">
        <v>1207</v>
      </c>
      <c r="C46" s="106" t="s">
        <v>752</v>
      </c>
      <c r="D46" s="107" t="s">
        <v>3296</v>
      </c>
      <c r="E46" s="136" t="s">
        <v>99</v>
      </c>
      <c r="F46" s="106" t="s">
        <v>3297</v>
      </c>
      <c r="G46" s="137" t="n">
        <v>45889</v>
      </c>
      <c r="H46" s="106" t="s">
        <v>483</v>
      </c>
      <c r="I46" s="138" t="str">
        <f aca="false">IFERROR(VLOOKUP(TEXT(H46,"0"),IPRESS!$A$3:$B$212,2,0),"")</f>
        <v>JUMBILLA</v>
      </c>
      <c r="J46" s="106" t="s">
        <v>755</v>
      </c>
      <c r="K46" s="138" t="str">
        <f aca="false">IFERROR(VLOOKUP(TEXT(O46,"0"),CONDUCTORES!$A$3:$G$100,7,0),"")</f>
        <v/>
      </c>
      <c r="L46" s="50" t="n">
        <v>18.18</v>
      </c>
      <c r="M46" s="50" t="n">
        <v>12</v>
      </c>
      <c r="N46" s="139" t="n">
        <f aca="false">IFERROR(IF(L46*M46=0,"",L46*M46),"")</f>
        <v>218.16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37" t="n">
        <v>45978</v>
      </c>
      <c r="S46" s="107" t="s">
        <v>3298</v>
      </c>
      <c r="T46" s="136"/>
      <c r="U46" s="140"/>
      <c r="V46" s="106" t="s">
        <v>2658</v>
      </c>
      <c r="W46" s="106" t="s">
        <v>2648</v>
      </c>
      <c r="X46" s="106" t="s">
        <v>2351</v>
      </c>
      <c r="Y46" s="85"/>
    </row>
    <row r="47" customFormat="false" ht="15.75" hidden="false" customHeight="true" outlineLevel="0" collapsed="false">
      <c r="A47" s="46" t="n">
        <v>42</v>
      </c>
      <c r="B47" s="110" t="s">
        <v>1197</v>
      </c>
      <c r="C47" s="46" t="s">
        <v>752</v>
      </c>
      <c r="D47" s="110" t="s">
        <v>3299</v>
      </c>
      <c r="E47" s="46" t="s">
        <v>99</v>
      </c>
      <c r="F47" s="46" t="s">
        <v>3300</v>
      </c>
      <c r="G47" s="142" t="n">
        <v>45896</v>
      </c>
      <c r="H47" s="46" t="s">
        <v>483</v>
      </c>
      <c r="I47" s="138" t="str">
        <f aca="false">IFERROR(VLOOKUP(TEXT(H47,"0"),IPRESS!$A$3:$B$212,2,0),"")</f>
        <v>JUMBILLA</v>
      </c>
      <c r="J47" s="46" t="s">
        <v>755</v>
      </c>
      <c r="K47" s="138" t="str">
        <f aca="false">IFERROR(VLOOKUP(TEXT(O47,"0"),CONDUCTORES!$A$3:$G$100,7,0),"")</f>
        <v/>
      </c>
      <c r="L47" s="44" t="n">
        <v>18.18</v>
      </c>
      <c r="M47" s="44" t="n">
        <v>12</v>
      </c>
      <c r="N47" s="139" t="n">
        <f aca="false">IFERROR(IF(L47*M47=0,"",L47*M47),"")</f>
        <v>218.16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142" t="n">
        <v>45978</v>
      </c>
      <c r="S47" s="110" t="s">
        <v>3301</v>
      </c>
      <c r="T47" s="46"/>
      <c r="U47" s="85"/>
      <c r="V47" s="46" t="s">
        <v>2658</v>
      </c>
      <c r="W47" s="46" t="s">
        <v>2648</v>
      </c>
      <c r="X47" s="46" t="s">
        <v>2351</v>
      </c>
      <c r="Y47" s="85"/>
    </row>
    <row r="48" customFormat="false" ht="15.75" hidden="false" customHeight="true" outlineLevel="0" collapsed="false">
      <c r="A48" s="106" t="n">
        <v>43</v>
      </c>
      <c r="B48" s="107" t="s">
        <v>1302</v>
      </c>
      <c r="C48" s="106" t="s">
        <v>752</v>
      </c>
      <c r="D48" s="107" t="s">
        <v>3302</v>
      </c>
      <c r="E48" s="136" t="s">
        <v>99</v>
      </c>
      <c r="F48" s="106" t="s">
        <v>3303</v>
      </c>
      <c r="G48" s="137" t="n">
        <v>45897</v>
      </c>
      <c r="H48" s="106" t="s">
        <v>483</v>
      </c>
      <c r="I48" s="138" t="str">
        <f aca="false">IFERROR(VLOOKUP(TEXT(H48,"0"),IPRESS!$A$3:$B$212,2,0),"")</f>
        <v>JUMBILLA</v>
      </c>
      <c r="J48" s="106" t="s">
        <v>755</v>
      </c>
      <c r="K48" s="138" t="str">
        <f aca="false">IFERROR(VLOOKUP(TEXT(O48,"0"),CONDUCTORES!$A$3:$G$100,7,0),"")</f>
        <v/>
      </c>
      <c r="L48" s="50" t="n">
        <v>18.18</v>
      </c>
      <c r="M48" s="50" t="n">
        <v>12</v>
      </c>
      <c r="N48" s="139" t="n">
        <f aca="false">IFERROR(IF(L48*M48=0,"",L48*M48),"")</f>
        <v>218.16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37" t="n">
        <v>45978</v>
      </c>
      <c r="S48" s="107" t="s">
        <v>891</v>
      </c>
      <c r="T48" s="136"/>
      <c r="U48" s="140"/>
      <c r="V48" s="106" t="s">
        <v>2658</v>
      </c>
      <c r="W48" s="106" t="s">
        <v>2648</v>
      </c>
      <c r="X48" s="106" t="s">
        <v>2351</v>
      </c>
      <c r="Y48" s="85"/>
    </row>
    <row r="49" customFormat="false" ht="15.75" hidden="false" customHeight="true" outlineLevel="0" collapsed="false">
      <c r="A49" s="46" t="n">
        <v>44</v>
      </c>
      <c r="B49" s="110" t="s">
        <v>1342</v>
      </c>
      <c r="C49" s="46" t="s">
        <v>752</v>
      </c>
      <c r="D49" s="110" t="s">
        <v>3304</v>
      </c>
      <c r="E49" s="46" t="s">
        <v>99</v>
      </c>
      <c r="F49" s="46" t="s">
        <v>3305</v>
      </c>
      <c r="G49" s="142" t="n">
        <v>45883</v>
      </c>
      <c r="H49" s="46" t="s">
        <v>500</v>
      </c>
      <c r="I49" s="138" t="str">
        <f aca="false">IFERROR(VLOOKUP(TEXT(H49,"0"),IPRESS!$A$3:$B$212,2,0),"")</f>
        <v>LAMUD</v>
      </c>
      <c r="J49" s="46" t="s">
        <v>755</v>
      </c>
      <c r="K49" s="138" t="str">
        <f aca="false">IFERROR(VLOOKUP(TEXT(O49,"0"),CONDUCTORES!$A$3:$G$100,7,0),"")</f>
        <v/>
      </c>
      <c r="L49" s="44" t="n">
        <v>18.18</v>
      </c>
      <c r="M49" s="44" t="n">
        <v>4</v>
      </c>
      <c r="N49" s="139" t="n">
        <f aca="false">IFERROR(IF(L49*M49=0,"",L49*M49),"")</f>
        <v>72.72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142" t="n">
        <v>45950</v>
      </c>
      <c r="S49" s="110" t="s">
        <v>2411</v>
      </c>
      <c r="T49" s="46"/>
      <c r="U49" s="85"/>
      <c r="V49" s="46" t="s">
        <v>2553</v>
      </c>
      <c r="W49" s="46" t="s">
        <v>2554</v>
      </c>
      <c r="X49" s="46" t="s">
        <v>2351</v>
      </c>
      <c r="Y49" s="85"/>
    </row>
    <row r="50" customFormat="false" ht="15.75" hidden="false" customHeight="true" outlineLevel="0" collapsed="false">
      <c r="A50" s="106" t="n">
        <v>45</v>
      </c>
      <c r="B50" s="107" t="s">
        <v>1346</v>
      </c>
      <c r="C50" s="106" t="s">
        <v>752</v>
      </c>
      <c r="D50" s="107" t="s">
        <v>3306</v>
      </c>
      <c r="E50" s="136" t="s">
        <v>99</v>
      </c>
      <c r="F50" s="106" t="s">
        <v>3307</v>
      </c>
      <c r="G50" s="137" t="n">
        <v>45889</v>
      </c>
      <c r="H50" s="106" t="s">
        <v>500</v>
      </c>
      <c r="I50" s="138" t="str">
        <f aca="false">IFERROR(VLOOKUP(TEXT(H50,"0"),IPRESS!$A$3:$B$212,2,0),"")</f>
        <v>LAMUD</v>
      </c>
      <c r="J50" s="106" t="s">
        <v>755</v>
      </c>
      <c r="K50" s="138" t="str">
        <f aca="false">IFERROR(VLOOKUP(TEXT(O50,"0"),CONDUCTORES!$A$3:$G$100,7,0),"")</f>
        <v/>
      </c>
      <c r="L50" s="50" t="n">
        <v>18.18</v>
      </c>
      <c r="M50" s="50" t="n">
        <v>4</v>
      </c>
      <c r="N50" s="139" t="n">
        <f aca="false">IFERROR(IF(L50*M50=0,"",L50*M50),"")</f>
        <v>72.72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37" t="n">
        <v>45950</v>
      </c>
      <c r="S50" s="107" t="s">
        <v>3308</v>
      </c>
      <c r="T50" s="136"/>
      <c r="U50" s="140"/>
      <c r="V50" s="106" t="s">
        <v>2553</v>
      </c>
      <c r="W50" s="106" t="s">
        <v>2554</v>
      </c>
      <c r="X50" s="106" t="s">
        <v>2351</v>
      </c>
      <c r="Y50" s="85"/>
    </row>
    <row r="51" customFormat="false" ht="15.75" hidden="false" customHeight="true" outlineLevel="0" collapsed="false">
      <c r="A51" s="46" t="n">
        <v>46</v>
      </c>
      <c r="B51" s="110" t="s">
        <v>1350</v>
      </c>
      <c r="C51" s="46" t="s">
        <v>752</v>
      </c>
      <c r="D51" s="110" t="s">
        <v>3309</v>
      </c>
      <c r="E51" s="46" t="s">
        <v>99</v>
      </c>
      <c r="F51" s="46" t="s">
        <v>3310</v>
      </c>
      <c r="G51" s="142" t="n">
        <v>45898</v>
      </c>
      <c r="H51" s="46" t="s">
        <v>500</v>
      </c>
      <c r="I51" s="138" t="str">
        <f aca="false">IFERROR(VLOOKUP(TEXT(H51,"0"),IPRESS!$A$3:$B$212,2,0),"")</f>
        <v>LAMUD</v>
      </c>
      <c r="J51" s="46" t="s">
        <v>755</v>
      </c>
      <c r="K51" s="138" t="str">
        <f aca="false">IFERROR(VLOOKUP(TEXT(O51,"0"),CONDUCTORES!$A$3:$G$100,7,0),"")</f>
        <v/>
      </c>
      <c r="L51" s="44" t="n">
        <v>18.18</v>
      </c>
      <c r="M51" s="44" t="n">
        <v>4</v>
      </c>
      <c r="N51" s="139" t="n">
        <f aca="false">IFERROR(IF(L51*M51=0,"",L51*M51),"")</f>
        <v>72.72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142" t="n">
        <v>45950</v>
      </c>
      <c r="S51" s="110" t="s">
        <v>998</v>
      </c>
      <c r="T51" s="46"/>
      <c r="U51" s="85"/>
      <c r="V51" s="46" t="s">
        <v>2553</v>
      </c>
      <c r="W51" s="46" t="s">
        <v>2554</v>
      </c>
      <c r="X51" s="46" t="s">
        <v>2351</v>
      </c>
      <c r="Y51" s="85"/>
    </row>
    <row r="52" customFormat="false" ht="15.75" hidden="false" customHeight="true" outlineLevel="0" collapsed="false">
      <c r="A52" s="106" t="n">
        <v>47</v>
      </c>
      <c r="B52" s="107" t="s">
        <v>2494</v>
      </c>
      <c r="C52" s="106" t="s">
        <v>752</v>
      </c>
      <c r="D52" s="107" t="s">
        <v>3311</v>
      </c>
      <c r="E52" s="136" t="s">
        <v>99</v>
      </c>
      <c r="F52" s="106" t="s">
        <v>3312</v>
      </c>
      <c r="G52" s="137" t="n">
        <v>45900</v>
      </c>
      <c r="H52" s="106" t="s">
        <v>500</v>
      </c>
      <c r="I52" s="138" t="str">
        <f aca="false">IFERROR(VLOOKUP(TEXT(H52,"0"),IPRESS!$A$3:$B$212,2,0),"")</f>
        <v>LAMUD</v>
      </c>
      <c r="J52" s="106" t="s">
        <v>755</v>
      </c>
      <c r="K52" s="138" t="str">
        <f aca="false">IFERROR(VLOOKUP(TEXT(O52,"0"),CONDUCTORES!$A$3:$G$100,7,0),"")</f>
        <v/>
      </c>
      <c r="L52" s="50" t="n">
        <v>18.18</v>
      </c>
      <c r="M52" s="50" t="n">
        <v>4</v>
      </c>
      <c r="N52" s="139" t="n">
        <f aca="false">IFERROR(IF(L52*M52=0,"",L52*M52),"")</f>
        <v>72.72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37" t="n">
        <v>45950</v>
      </c>
      <c r="S52" s="107" t="s">
        <v>2368</v>
      </c>
      <c r="T52" s="136"/>
      <c r="U52" s="140"/>
      <c r="V52" s="106" t="s">
        <v>2553</v>
      </c>
      <c r="W52" s="106" t="s">
        <v>2554</v>
      </c>
      <c r="X52" s="106" t="s">
        <v>2351</v>
      </c>
      <c r="Y52" s="85"/>
    </row>
    <row r="53" customFormat="false" ht="15.75" hidden="false" customHeight="true" outlineLevel="0" collapsed="false">
      <c r="A53" s="46" t="n">
        <v>48</v>
      </c>
      <c r="B53" s="110" t="s">
        <v>1329</v>
      </c>
      <c r="C53" s="46" t="s">
        <v>752</v>
      </c>
      <c r="D53" s="110" t="s">
        <v>3313</v>
      </c>
      <c r="E53" s="46" t="s">
        <v>99</v>
      </c>
      <c r="F53" s="46" t="s">
        <v>3314</v>
      </c>
      <c r="G53" s="142" t="n">
        <v>45873</v>
      </c>
      <c r="H53" s="46" t="s">
        <v>507</v>
      </c>
      <c r="I53" s="138" t="str">
        <f aca="false">IFERROR(VLOOKUP(TEXT(H53,"0"),IPRESS!$A$3:$B$212,2,0),"")</f>
        <v>LEYMEBAMBA</v>
      </c>
      <c r="J53" s="46" t="s">
        <v>755</v>
      </c>
      <c r="K53" s="138" t="str">
        <f aca="false">IFERROR(VLOOKUP(TEXT(O53,"0"),CONDUCTORES!$A$3:$G$100,7,0),"")</f>
        <v/>
      </c>
      <c r="L53" s="44" t="n">
        <v>18.18</v>
      </c>
      <c r="M53" s="44" t="n">
        <v>7.5</v>
      </c>
      <c r="N53" s="139" t="n">
        <f aca="false">IFERROR(IF(L53*M53=0,"",L53*M53),"")</f>
        <v>136.35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142" t="n">
        <v>45987</v>
      </c>
      <c r="S53" s="110" t="s">
        <v>3315</v>
      </c>
      <c r="T53" s="46"/>
      <c r="U53" s="85"/>
      <c r="V53" s="46" t="s">
        <v>2981</v>
      </c>
      <c r="W53" s="46" t="s">
        <v>2982</v>
      </c>
      <c r="X53" s="46" t="s">
        <v>2351</v>
      </c>
      <c r="Y53" s="85"/>
    </row>
    <row r="54" customFormat="false" ht="15.75" hidden="false" customHeight="true" outlineLevel="0" collapsed="false">
      <c r="A54" s="106" t="n">
        <v>49</v>
      </c>
      <c r="B54" s="107" t="s">
        <v>1319</v>
      </c>
      <c r="C54" s="106" t="s">
        <v>752</v>
      </c>
      <c r="D54" s="107" t="s">
        <v>3316</v>
      </c>
      <c r="E54" s="136" t="s">
        <v>99</v>
      </c>
      <c r="F54" s="106" t="s">
        <v>3317</v>
      </c>
      <c r="G54" s="137" t="n">
        <v>45873</v>
      </c>
      <c r="H54" s="106" t="s">
        <v>507</v>
      </c>
      <c r="I54" s="138" t="str">
        <f aca="false">IFERROR(VLOOKUP(TEXT(H54,"0"),IPRESS!$A$3:$B$212,2,0),"")</f>
        <v>LEYMEBAMBA</v>
      </c>
      <c r="J54" s="106" t="s">
        <v>755</v>
      </c>
      <c r="K54" s="138" t="str">
        <f aca="false">IFERROR(VLOOKUP(TEXT(O54,"0"),CONDUCTORES!$A$3:$G$100,7,0),"")</f>
        <v/>
      </c>
      <c r="L54" s="50" t="n">
        <v>18.18</v>
      </c>
      <c r="M54" s="50" t="n">
        <v>7.5</v>
      </c>
      <c r="N54" s="139" t="n">
        <f aca="false">IFERROR(IF(L54*M54=0,"",L54*M54),"")</f>
        <v>136.35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37" t="n">
        <v>45987</v>
      </c>
      <c r="S54" s="107" t="s">
        <v>1612</v>
      </c>
      <c r="T54" s="136"/>
      <c r="U54" s="140"/>
      <c r="V54" s="106" t="s">
        <v>2981</v>
      </c>
      <c r="W54" s="106" t="s">
        <v>2982</v>
      </c>
      <c r="X54" s="106" t="s">
        <v>2351</v>
      </c>
      <c r="Y54" s="85"/>
    </row>
    <row r="55" customFormat="false" ht="15.75" hidden="false" customHeight="true" outlineLevel="0" collapsed="false">
      <c r="A55" s="46" t="n">
        <v>50</v>
      </c>
      <c r="B55" s="110" t="s">
        <v>1325</v>
      </c>
      <c r="C55" s="46" t="s">
        <v>752</v>
      </c>
      <c r="D55" s="110" t="s">
        <v>3318</v>
      </c>
      <c r="E55" s="46" t="s">
        <v>99</v>
      </c>
      <c r="F55" s="46" t="s">
        <v>3319</v>
      </c>
      <c r="G55" s="142" t="n">
        <v>45889</v>
      </c>
      <c r="H55" s="46" t="s">
        <v>507</v>
      </c>
      <c r="I55" s="138" t="str">
        <f aca="false">IFERROR(VLOOKUP(TEXT(H55,"0"),IPRESS!$A$3:$B$212,2,0),"")</f>
        <v>LEYMEBAMBA</v>
      </c>
      <c r="J55" s="46" t="s">
        <v>755</v>
      </c>
      <c r="K55" s="138" t="str">
        <f aca="false">IFERROR(VLOOKUP(TEXT(O55,"0"),CONDUCTORES!$A$3:$G$100,7,0),"")</f>
        <v/>
      </c>
      <c r="L55" s="44" t="n">
        <v>18.18</v>
      </c>
      <c r="M55" s="44" t="n">
        <v>7.5</v>
      </c>
      <c r="N55" s="139" t="n">
        <f aca="false">IFERROR(IF(L55*M55=0,"",L55*M55),"")</f>
        <v>136.35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142" t="n">
        <v>45987</v>
      </c>
      <c r="S55" s="110" t="s">
        <v>3320</v>
      </c>
      <c r="T55" s="46"/>
      <c r="U55" s="85"/>
      <c r="V55" s="46" t="s">
        <v>2981</v>
      </c>
      <c r="W55" s="46" t="s">
        <v>2982</v>
      </c>
      <c r="X55" s="46" t="s">
        <v>2351</v>
      </c>
      <c r="Y55" s="85"/>
    </row>
    <row r="56" customFormat="false" ht="15.75" hidden="false" customHeight="true" outlineLevel="0" collapsed="false">
      <c r="A56" s="106" t="n">
        <v>51</v>
      </c>
      <c r="B56" s="107" t="s">
        <v>1321</v>
      </c>
      <c r="C56" s="106" t="s">
        <v>752</v>
      </c>
      <c r="D56" s="107" t="s">
        <v>3321</v>
      </c>
      <c r="E56" s="136" t="s">
        <v>99</v>
      </c>
      <c r="F56" s="106" t="s">
        <v>3322</v>
      </c>
      <c r="G56" s="137" t="n">
        <v>45893</v>
      </c>
      <c r="H56" s="106" t="s">
        <v>507</v>
      </c>
      <c r="I56" s="138" t="str">
        <f aca="false">IFERROR(VLOOKUP(TEXT(H56,"0"),IPRESS!$A$3:$B$212,2,0),"")</f>
        <v>LEYMEBAMBA</v>
      </c>
      <c r="J56" s="106" t="s">
        <v>755</v>
      </c>
      <c r="K56" s="138" t="str">
        <f aca="false">IFERROR(VLOOKUP(TEXT(O56,"0"),CONDUCTORES!$A$3:$G$100,7,0),"")</f>
        <v/>
      </c>
      <c r="L56" s="50" t="n">
        <v>18.18</v>
      </c>
      <c r="M56" s="50" t="n">
        <v>7.5</v>
      </c>
      <c r="N56" s="139" t="n">
        <f aca="false">IFERROR(IF(L56*M56=0,"",L56*M56),"")</f>
        <v>136.35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37" t="n">
        <v>45987</v>
      </c>
      <c r="S56" s="107" t="s">
        <v>3323</v>
      </c>
      <c r="T56" s="136"/>
      <c r="U56" s="140"/>
      <c r="V56" s="106" t="s">
        <v>2981</v>
      </c>
      <c r="W56" s="106" t="s">
        <v>2982</v>
      </c>
      <c r="X56" s="106" t="s">
        <v>2351</v>
      </c>
      <c r="Y56" s="85"/>
    </row>
    <row r="57" customFormat="false" ht="15.75" hidden="false" customHeight="true" outlineLevel="0" collapsed="false">
      <c r="A57" s="46" t="n">
        <v>52</v>
      </c>
      <c r="B57" s="110" t="s">
        <v>1314</v>
      </c>
      <c r="C57" s="46" t="s">
        <v>752</v>
      </c>
      <c r="D57" s="110" t="s">
        <v>3324</v>
      </c>
      <c r="E57" s="46" t="s">
        <v>99</v>
      </c>
      <c r="F57" s="46" t="s">
        <v>3325</v>
      </c>
      <c r="G57" s="142" t="n">
        <v>45896</v>
      </c>
      <c r="H57" s="46" t="s">
        <v>507</v>
      </c>
      <c r="I57" s="138" t="str">
        <f aca="false">IFERROR(VLOOKUP(TEXT(H57,"0"),IPRESS!$A$3:$B$212,2,0),"")</f>
        <v>LEYMEBAMBA</v>
      </c>
      <c r="J57" s="46" t="s">
        <v>755</v>
      </c>
      <c r="K57" s="138" t="str">
        <f aca="false">IFERROR(VLOOKUP(TEXT(O57,"0"),CONDUCTORES!$A$3:$G$100,7,0),"")</f>
        <v/>
      </c>
      <c r="L57" s="44" t="n">
        <v>18.18</v>
      </c>
      <c r="M57" s="44" t="n">
        <v>7.5</v>
      </c>
      <c r="N57" s="139" t="n">
        <f aca="false">IFERROR(IF(L57*M57=0,"",L57*M57),"")</f>
        <v>136.35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142" t="n">
        <v>45987</v>
      </c>
      <c r="S57" s="110" t="s">
        <v>1375</v>
      </c>
      <c r="T57" s="46"/>
      <c r="U57" s="85"/>
      <c r="V57" s="46" t="s">
        <v>2981</v>
      </c>
      <c r="W57" s="46" t="s">
        <v>2982</v>
      </c>
      <c r="X57" s="46" t="s">
        <v>2351</v>
      </c>
      <c r="Y57" s="85"/>
    </row>
    <row r="58" customFormat="false" ht="15.75" hidden="false" customHeight="true" outlineLevel="0" collapsed="false">
      <c r="A58" s="106" t="n">
        <v>53</v>
      </c>
      <c r="B58" s="107" t="s">
        <v>1357</v>
      </c>
      <c r="C58" s="106" t="s">
        <v>752</v>
      </c>
      <c r="D58" s="107" t="s">
        <v>3326</v>
      </c>
      <c r="E58" s="136" t="s">
        <v>99</v>
      </c>
      <c r="F58" s="106" t="s">
        <v>3327</v>
      </c>
      <c r="G58" s="137" t="n">
        <v>45873</v>
      </c>
      <c r="H58" s="106" t="s">
        <v>517</v>
      </c>
      <c r="I58" s="138" t="str">
        <f aca="false">IFERROR(VLOOKUP(TEXT(H58,"0"),IPRESS!$A$3:$B$212,2,0),"")</f>
        <v>LUYA</v>
      </c>
      <c r="J58" s="106" t="s">
        <v>755</v>
      </c>
      <c r="K58" s="138" t="str">
        <f aca="false">IFERROR(VLOOKUP(TEXT(O58,"0"),CONDUCTORES!$A$3:$G$100,7,0),"")</f>
        <v/>
      </c>
      <c r="L58" s="50" t="n">
        <v>18.18</v>
      </c>
      <c r="M58" s="50" t="n">
        <v>4</v>
      </c>
      <c r="N58" s="139" t="n">
        <f aca="false">IFERROR(IF(L58*M58=0,"",L58*M58),"")</f>
        <v>72.72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37" t="n">
        <v>45924</v>
      </c>
      <c r="S58" s="107" t="s">
        <v>3328</v>
      </c>
      <c r="T58" s="136"/>
      <c r="U58" s="140"/>
      <c r="V58" s="106"/>
      <c r="W58" s="106"/>
      <c r="X58" s="106"/>
      <c r="Y58" s="85"/>
    </row>
    <row r="59" customFormat="false" ht="15.75" hidden="false" customHeight="true" outlineLevel="0" collapsed="false">
      <c r="A59" s="46" t="n">
        <v>54</v>
      </c>
      <c r="B59" s="110" t="s">
        <v>1360</v>
      </c>
      <c r="C59" s="46" t="s">
        <v>752</v>
      </c>
      <c r="D59" s="110" t="s">
        <v>3329</v>
      </c>
      <c r="E59" s="46" t="s">
        <v>99</v>
      </c>
      <c r="F59" s="46" t="s">
        <v>3330</v>
      </c>
      <c r="G59" s="142" t="n">
        <v>45875</v>
      </c>
      <c r="H59" s="46" t="s">
        <v>517</v>
      </c>
      <c r="I59" s="138" t="str">
        <f aca="false">IFERROR(VLOOKUP(TEXT(H59,"0"),IPRESS!$A$3:$B$212,2,0),"")</f>
        <v>LUYA</v>
      </c>
      <c r="J59" s="46" t="s">
        <v>755</v>
      </c>
      <c r="K59" s="138" t="str">
        <f aca="false">IFERROR(VLOOKUP(TEXT(O59,"0"),CONDUCTORES!$A$3:$G$100,7,0),"")</f>
        <v/>
      </c>
      <c r="L59" s="44" t="n">
        <v>18.18</v>
      </c>
      <c r="M59" s="44" t="n">
        <v>4</v>
      </c>
      <c r="N59" s="139" t="n">
        <f aca="false">IFERROR(IF(L59*M59=0,"",L59*M59),"")</f>
        <v>72.72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142" t="n">
        <v>45924</v>
      </c>
      <c r="S59" s="110" t="s">
        <v>3331</v>
      </c>
      <c r="T59" s="46"/>
      <c r="U59" s="85"/>
      <c r="V59" s="46"/>
      <c r="W59" s="46"/>
      <c r="X59" s="46"/>
      <c r="Y59" s="85"/>
    </row>
    <row r="60" customFormat="false" ht="15.75" hidden="false" customHeight="true" outlineLevel="0" collapsed="false">
      <c r="A60" s="106" t="n">
        <v>55</v>
      </c>
      <c r="B60" s="107" t="s">
        <v>1364</v>
      </c>
      <c r="C60" s="106" t="s">
        <v>752</v>
      </c>
      <c r="D60" s="107" t="s">
        <v>3332</v>
      </c>
      <c r="E60" s="136" t="s">
        <v>99</v>
      </c>
      <c r="F60" s="106" t="s">
        <v>3333</v>
      </c>
      <c r="G60" s="137" t="n">
        <v>45877</v>
      </c>
      <c r="H60" s="106" t="s">
        <v>517</v>
      </c>
      <c r="I60" s="138" t="str">
        <f aca="false">IFERROR(VLOOKUP(TEXT(H60,"0"),IPRESS!$A$3:$B$212,2,0),"")</f>
        <v>LUYA</v>
      </c>
      <c r="J60" s="106" t="s">
        <v>755</v>
      </c>
      <c r="K60" s="138" t="str">
        <f aca="false">IFERROR(VLOOKUP(TEXT(O60,"0"),CONDUCTORES!$A$3:$G$100,7,0),"")</f>
        <v/>
      </c>
      <c r="L60" s="50" t="n">
        <v>18.18</v>
      </c>
      <c r="M60" s="50" t="n">
        <v>4</v>
      </c>
      <c r="N60" s="139" t="n">
        <f aca="false">IFERROR(IF(L60*M60=0,"",L60*M60),"")</f>
        <v>72.72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37" t="n">
        <v>45924</v>
      </c>
      <c r="S60" s="107" t="s">
        <v>3334</v>
      </c>
      <c r="T60" s="136"/>
      <c r="U60" s="140"/>
      <c r="V60" s="106"/>
      <c r="W60" s="106"/>
      <c r="X60" s="106"/>
      <c r="Y60" s="85"/>
    </row>
    <row r="61" customFormat="false" ht="15.75" hidden="false" customHeight="true" outlineLevel="0" collapsed="false">
      <c r="A61" s="46" t="n">
        <v>56</v>
      </c>
      <c r="B61" s="110" t="s">
        <v>1368</v>
      </c>
      <c r="C61" s="46" t="s">
        <v>752</v>
      </c>
      <c r="D61" s="110" t="s">
        <v>3335</v>
      </c>
      <c r="E61" s="46" t="s">
        <v>99</v>
      </c>
      <c r="F61" s="46" t="s">
        <v>3336</v>
      </c>
      <c r="G61" s="142" t="n">
        <v>45879</v>
      </c>
      <c r="H61" s="46" t="s">
        <v>517</v>
      </c>
      <c r="I61" s="138" t="str">
        <f aca="false">IFERROR(VLOOKUP(TEXT(H61,"0"),IPRESS!$A$3:$B$212,2,0),"")</f>
        <v>LUYA</v>
      </c>
      <c r="J61" s="46" t="s">
        <v>755</v>
      </c>
      <c r="K61" s="138" t="str">
        <f aca="false">IFERROR(VLOOKUP(TEXT(O61,"0"),CONDUCTORES!$A$3:$G$100,7,0),"")</f>
        <v/>
      </c>
      <c r="L61" s="44" t="n">
        <v>18.18</v>
      </c>
      <c r="M61" s="44" t="n">
        <v>4</v>
      </c>
      <c r="N61" s="139" t="n">
        <f aca="false">IFERROR(IF(L61*M61=0,"",L61*M61),"")</f>
        <v>72.72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142" t="n">
        <v>45924</v>
      </c>
      <c r="S61" s="110" t="s">
        <v>2862</v>
      </c>
      <c r="T61" s="46"/>
      <c r="U61" s="85"/>
      <c r="V61" s="46"/>
      <c r="W61" s="46"/>
      <c r="X61" s="46"/>
      <c r="Y61" s="85"/>
    </row>
    <row r="62" customFormat="false" ht="15.75" hidden="false" customHeight="true" outlineLevel="0" collapsed="false">
      <c r="A62" s="106" t="n">
        <v>57</v>
      </c>
      <c r="B62" s="107" t="s">
        <v>1372</v>
      </c>
      <c r="C62" s="106" t="s">
        <v>752</v>
      </c>
      <c r="D62" s="107" t="s">
        <v>3337</v>
      </c>
      <c r="E62" s="136" t="s">
        <v>99</v>
      </c>
      <c r="F62" s="106" t="s">
        <v>3338</v>
      </c>
      <c r="G62" s="137" t="n">
        <v>45879</v>
      </c>
      <c r="H62" s="106" t="s">
        <v>517</v>
      </c>
      <c r="I62" s="138" t="str">
        <f aca="false">IFERROR(VLOOKUP(TEXT(H62,"0"),IPRESS!$A$3:$B$212,2,0),"")</f>
        <v>LUYA</v>
      </c>
      <c r="J62" s="106" t="s">
        <v>755</v>
      </c>
      <c r="K62" s="138" t="str">
        <f aca="false">IFERROR(VLOOKUP(TEXT(O62,"0"),CONDUCTORES!$A$3:$G$100,7,0),"")</f>
        <v/>
      </c>
      <c r="L62" s="50" t="n">
        <v>18.18</v>
      </c>
      <c r="M62" s="50" t="n">
        <v>4</v>
      </c>
      <c r="N62" s="139" t="n">
        <f aca="false">IFERROR(IF(L62*M62=0,"",L62*M62),"")</f>
        <v>72.72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37" t="n">
        <v>45924</v>
      </c>
      <c r="S62" s="107" t="s">
        <v>3339</v>
      </c>
      <c r="T62" s="136"/>
      <c r="U62" s="140"/>
      <c r="V62" s="106"/>
      <c r="W62" s="106"/>
      <c r="X62" s="106"/>
      <c r="Y62" s="85"/>
    </row>
    <row r="63" customFormat="false" ht="15.75" hidden="false" customHeight="true" outlineLevel="0" collapsed="false">
      <c r="A63" s="46" t="n">
        <v>58</v>
      </c>
      <c r="B63" s="110" t="s">
        <v>1376</v>
      </c>
      <c r="C63" s="46" t="s">
        <v>752</v>
      </c>
      <c r="D63" s="110" t="s">
        <v>3340</v>
      </c>
      <c r="E63" s="46" t="s">
        <v>99</v>
      </c>
      <c r="F63" s="46" t="s">
        <v>3341</v>
      </c>
      <c r="G63" s="142" t="n">
        <v>45882</v>
      </c>
      <c r="H63" s="46" t="s">
        <v>517</v>
      </c>
      <c r="I63" s="138" t="str">
        <f aca="false">IFERROR(VLOOKUP(TEXT(H63,"0"),IPRESS!$A$3:$B$212,2,0),"")</f>
        <v>LUYA</v>
      </c>
      <c r="J63" s="46" t="s">
        <v>755</v>
      </c>
      <c r="K63" s="138" t="str">
        <f aca="false">IFERROR(VLOOKUP(TEXT(O63,"0"),CONDUCTORES!$A$3:$G$100,7,0),"")</f>
        <v/>
      </c>
      <c r="L63" s="44" t="n">
        <v>18.18</v>
      </c>
      <c r="M63" s="44" t="n">
        <v>4</v>
      </c>
      <c r="N63" s="139" t="n">
        <f aca="false">IFERROR(IF(L63*M63=0,"",L63*M63),"")</f>
        <v>72.72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142" t="n">
        <v>45924</v>
      </c>
      <c r="S63" s="110" t="s">
        <v>3342</v>
      </c>
      <c r="T63" s="46"/>
      <c r="U63" s="85"/>
      <c r="V63" s="46"/>
      <c r="W63" s="46"/>
      <c r="X63" s="46"/>
      <c r="Y63" s="85"/>
    </row>
    <row r="64" customFormat="false" ht="15.75" hidden="false" customHeight="true" outlineLevel="0" collapsed="false">
      <c r="A64" s="106" t="n">
        <v>59</v>
      </c>
      <c r="B64" s="107" t="s">
        <v>2472</v>
      </c>
      <c r="C64" s="106" t="s">
        <v>752</v>
      </c>
      <c r="D64" s="107" t="s">
        <v>3343</v>
      </c>
      <c r="E64" s="136" t="s">
        <v>99</v>
      </c>
      <c r="F64" s="106" t="s">
        <v>3344</v>
      </c>
      <c r="G64" s="137" t="n">
        <v>45883</v>
      </c>
      <c r="H64" s="106" t="s">
        <v>517</v>
      </c>
      <c r="I64" s="138" t="str">
        <f aca="false">IFERROR(VLOOKUP(TEXT(H64,"0"),IPRESS!$A$3:$B$212,2,0),"")</f>
        <v>LUYA</v>
      </c>
      <c r="J64" s="106" t="s">
        <v>755</v>
      </c>
      <c r="K64" s="138" t="str">
        <f aca="false">IFERROR(VLOOKUP(TEXT(O64,"0"),CONDUCTORES!$A$3:$G$100,7,0),"")</f>
        <v/>
      </c>
      <c r="L64" s="50" t="n">
        <v>18.18</v>
      </c>
      <c r="M64" s="50" t="n">
        <v>4</v>
      </c>
      <c r="N64" s="139" t="n">
        <f aca="false">IFERROR(IF(L64*M64=0,"",L64*M64),"")</f>
        <v>72.72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37" t="n">
        <v>45924</v>
      </c>
      <c r="S64" s="107" t="s">
        <v>3345</v>
      </c>
      <c r="T64" s="136"/>
      <c r="U64" s="140"/>
      <c r="V64" s="106"/>
      <c r="W64" s="106"/>
      <c r="X64" s="106"/>
      <c r="Y64" s="85"/>
    </row>
    <row r="65" customFormat="false" ht="15.75" hidden="false" customHeight="true" outlineLevel="0" collapsed="false">
      <c r="A65" s="46" t="n">
        <v>60</v>
      </c>
      <c r="B65" s="110" t="s">
        <v>2476</v>
      </c>
      <c r="C65" s="46" t="s">
        <v>752</v>
      </c>
      <c r="D65" s="110" t="s">
        <v>3346</v>
      </c>
      <c r="E65" s="46" t="s">
        <v>99</v>
      </c>
      <c r="F65" s="46" t="s">
        <v>3347</v>
      </c>
      <c r="G65" s="142" t="n">
        <v>45884</v>
      </c>
      <c r="H65" s="46" t="s">
        <v>517</v>
      </c>
      <c r="I65" s="138" t="str">
        <f aca="false">IFERROR(VLOOKUP(TEXT(H65,"0"),IPRESS!$A$3:$B$212,2,0),"")</f>
        <v>LUYA</v>
      </c>
      <c r="J65" s="46" t="s">
        <v>755</v>
      </c>
      <c r="K65" s="138" t="str">
        <f aca="false">IFERROR(VLOOKUP(TEXT(O65,"0"),CONDUCTORES!$A$3:$G$100,7,0),"")</f>
        <v/>
      </c>
      <c r="L65" s="44" t="n">
        <v>18.18</v>
      </c>
      <c r="M65" s="44" t="n">
        <v>4</v>
      </c>
      <c r="N65" s="139" t="n">
        <f aca="false">IFERROR(IF(L65*M65=0,"",L65*M65),"")</f>
        <v>72.72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142" t="n">
        <v>45924</v>
      </c>
      <c r="S65" s="110" t="s">
        <v>3348</v>
      </c>
      <c r="T65" s="46"/>
      <c r="U65" s="85"/>
      <c r="V65" s="46"/>
      <c r="W65" s="46"/>
      <c r="X65" s="46"/>
      <c r="Y65" s="85"/>
    </row>
    <row r="66" customFormat="false" ht="15.75" hidden="false" customHeight="true" outlineLevel="0" collapsed="false">
      <c r="A66" s="106" t="n">
        <v>61</v>
      </c>
      <c r="B66" s="107" t="s">
        <v>2480</v>
      </c>
      <c r="C66" s="106" t="s">
        <v>752</v>
      </c>
      <c r="D66" s="107" t="s">
        <v>3349</v>
      </c>
      <c r="E66" s="136" t="s">
        <v>99</v>
      </c>
      <c r="F66" s="106" t="s">
        <v>3350</v>
      </c>
      <c r="G66" s="137" t="n">
        <v>45889</v>
      </c>
      <c r="H66" s="106" t="s">
        <v>517</v>
      </c>
      <c r="I66" s="138" t="str">
        <f aca="false">IFERROR(VLOOKUP(TEXT(H66,"0"),IPRESS!$A$3:$B$212,2,0),"")</f>
        <v>LUYA</v>
      </c>
      <c r="J66" s="106" t="s">
        <v>755</v>
      </c>
      <c r="K66" s="138" t="str">
        <f aca="false">IFERROR(VLOOKUP(TEXT(O66,"0"),CONDUCTORES!$A$3:$G$100,7,0),"")</f>
        <v/>
      </c>
      <c r="L66" s="50" t="n">
        <v>18.18</v>
      </c>
      <c r="M66" s="50" t="n">
        <v>4</v>
      </c>
      <c r="N66" s="139" t="n">
        <f aca="false">IFERROR(IF(L66*M66=0,"",L66*M66),"")</f>
        <v>72.72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37" t="n">
        <v>45967</v>
      </c>
      <c r="S66" s="107" t="s">
        <v>3351</v>
      </c>
      <c r="T66" s="136"/>
      <c r="U66" s="140"/>
      <c r="V66" s="106"/>
      <c r="W66" s="106"/>
      <c r="X66" s="106"/>
      <c r="Y66" s="85"/>
    </row>
    <row r="67" customFormat="false" ht="15.75" hidden="false" customHeight="true" outlineLevel="0" collapsed="false">
      <c r="A67" s="46" t="n">
        <v>62</v>
      </c>
      <c r="B67" s="110" t="s">
        <v>1380</v>
      </c>
      <c r="C67" s="46" t="s">
        <v>752</v>
      </c>
      <c r="D67" s="110" t="s">
        <v>3352</v>
      </c>
      <c r="E67" s="46" t="s">
        <v>99</v>
      </c>
      <c r="F67" s="46" t="s">
        <v>3353</v>
      </c>
      <c r="G67" s="142" t="n">
        <v>45892</v>
      </c>
      <c r="H67" s="46" t="s">
        <v>517</v>
      </c>
      <c r="I67" s="138" t="str">
        <f aca="false">IFERROR(VLOOKUP(TEXT(H67,"0"),IPRESS!$A$3:$B$212,2,0),"")</f>
        <v>LUYA</v>
      </c>
      <c r="J67" s="46" t="s">
        <v>755</v>
      </c>
      <c r="K67" s="138" t="str">
        <f aca="false">IFERROR(VLOOKUP(TEXT(O67,"0"),CONDUCTORES!$A$3:$G$100,7,0),"")</f>
        <v/>
      </c>
      <c r="L67" s="44" t="n">
        <v>18.18</v>
      </c>
      <c r="M67" s="44" t="n">
        <v>4</v>
      </c>
      <c r="N67" s="139" t="n">
        <f aca="false">IFERROR(IF(L67*M67=0,"",L67*M67),"")</f>
        <v>72.72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142" t="n">
        <v>45967</v>
      </c>
      <c r="S67" s="110" t="s">
        <v>1867</v>
      </c>
      <c r="T67" s="46"/>
      <c r="U67" s="85"/>
      <c r="V67" s="46"/>
      <c r="W67" s="46"/>
      <c r="X67" s="46"/>
      <c r="Y67" s="85"/>
    </row>
    <row r="68" customFormat="false" ht="15.75" hidden="false" customHeight="true" outlineLevel="0" collapsed="false">
      <c r="A68" s="106" t="n">
        <v>63</v>
      </c>
      <c r="B68" s="107" t="s">
        <v>2487</v>
      </c>
      <c r="C68" s="106" t="s">
        <v>752</v>
      </c>
      <c r="D68" s="107" t="s">
        <v>3354</v>
      </c>
      <c r="E68" s="136" t="s">
        <v>99</v>
      </c>
      <c r="F68" s="106" t="s">
        <v>3355</v>
      </c>
      <c r="G68" s="137" t="n">
        <v>45894</v>
      </c>
      <c r="H68" s="106" t="s">
        <v>517</v>
      </c>
      <c r="I68" s="138" t="str">
        <f aca="false">IFERROR(VLOOKUP(TEXT(H68,"0"),IPRESS!$A$3:$B$212,2,0),"")</f>
        <v>LUYA</v>
      </c>
      <c r="J68" s="106" t="s">
        <v>755</v>
      </c>
      <c r="K68" s="138" t="str">
        <f aca="false">IFERROR(VLOOKUP(TEXT(O68,"0"),CONDUCTORES!$A$3:$G$100,7,0),"")</f>
        <v/>
      </c>
      <c r="L68" s="50" t="n">
        <v>18.18</v>
      </c>
      <c r="M68" s="50" t="n">
        <v>4</v>
      </c>
      <c r="N68" s="139" t="n">
        <f aca="false">IFERROR(IF(L68*M68=0,"",L68*M68),"")</f>
        <v>72.72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37" t="n">
        <v>45967</v>
      </c>
      <c r="S68" s="107" t="s">
        <v>3356</v>
      </c>
      <c r="T68" s="136"/>
      <c r="U68" s="140"/>
      <c r="V68" s="106"/>
      <c r="W68" s="106"/>
      <c r="X68" s="106"/>
      <c r="Y68" s="85"/>
    </row>
    <row r="69" customFormat="false" ht="15.75" hidden="false" customHeight="true" outlineLevel="0" collapsed="false">
      <c r="A69" s="46" t="n">
        <v>64</v>
      </c>
      <c r="B69" s="110" t="s">
        <v>2490</v>
      </c>
      <c r="C69" s="46" t="s">
        <v>752</v>
      </c>
      <c r="D69" s="110" t="s">
        <v>3357</v>
      </c>
      <c r="E69" s="46" t="s">
        <v>99</v>
      </c>
      <c r="F69" s="46" t="s">
        <v>3358</v>
      </c>
      <c r="G69" s="142" t="n">
        <v>45897</v>
      </c>
      <c r="H69" s="46" t="s">
        <v>517</v>
      </c>
      <c r="I69" s="138" t="str">
        <f aca="false">IFERROR(VLOOKUP(TEXT(H69,"0"),IPRESS!$A$3:$B$212,2,0),"")</f>
        <v>LUYA</v>
      </c>
      <c r="J69" s="46" t="s">
        <v>755</v>
      </c>
      <c r="K69" s="138" t="str">
        <f aca="false">IFERROR(VLOOKUP(TEXT(O69,"0"),CONDUCTORES!$A$3:$G$100,7,0),"")</f>
        <v/>
      </c>
      <c r="L69" s="44" t="n">
        <v>18.18</v>
      </c>
      <c r="M69" s="44" t="n">
        <v>4</v>
      </c>
      <c r="N69" s="139" t="n">
        <f aca="false">IFERROR(IF(L69*M69=0,"",L69*M69),"")</f>
        <v>72.72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142" t="n">
        <v>45967</v>
      </c>
      <c r="S69" s="110" t="s">
        <v>3359</v>
      </c>
      <c r="T69" s="46"/>
      <c r="U69" s="85"/>
      <c r="V69" s="46"/>
      <c r="W69" s="46"/>
      <c r="X69" s="46"/>
      <c r="Y69" s="85"/>
    </row>
    <row r="70" customFormat="false" ht="15.75" hidden="false" customHeight="true" outlineLevel="0" collapsed="false">
      <c r="A70" s="106" t="n">
        <v>65</v>
      </c>
      <c r="B70" s="107" t="s">
        <v>2497</v>
      </c>
      <c r="C70" s="106" t="s">
        <v>752</v>
      </c>
      <c r="D70" s="107" t="s">
        <v>3360</v>
      </c>
      <c r="E70" s="136" t="s">
        <v>99</v>
      </c>
      <c r="F70" s="106" t="s">
        <v>3361</v>
      </c>
      <c r="G70" s="137" t="n">
        <v>45900</v>
      </c>
      <c r="H70" s="106" t="s">
        <v>517</v>
      </c>
      <c r="I70" s="138" t="str">
        <f aca="false">IFERROR(VLOOKUP(TEXT(H70,"0"),IPRESS!$A$3:$B$212,2,0),"")</f>
        <v>LUYA</v>
      </c>
      <c r="J70" s="106" t="s">
        <v>755</v>
      </c>
      <c r="K70" s="138" t="str">
        <f aca="false">IFERROR(VLOOKUP(TEXT(O70,"0"),CONDUCTORES!$A$3:$G$100,7,0),"")</f>
        <v/>
      </c>
      <c r="L70" s="50" t="n">
        <v>18.18</v>
      </c>
      <c r="M70" s="50" t="n">
        <v>4</v>
      </c>
      <c r="N70" s="139" t="n">
        <f aca="false">IFERROR(IF(L70*M70=0,"",L70*M70),"")</f>
        <v>72.72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37" t="n">
        <v>45967</v>
      </c>
      <c r="S70" s="107" t="s">
        <v>3362</v>
      </c>
      <c r="T70" s="136"/>
      <c r="U70" s="140"/>
      <c r="V70" s="106"/>
      <c r="W70" s="106"/>
      <c r="X70" s="106"/>
      <c r="Y70" s="85"/>
    </row>
    <row r="71" customFormat="false" ht="15.75" hidden="false" customHeight="true" outlineLevel="0" collapsed="false">
      <c r="A71" s="46" t="n">
        <v>66</v>
      </c>
      <c r="B71" s="110" t="s">
        <v>919</v>
      </c>
      <c r="C71" s="46" t="s">
        <v>752</v>
      </c>
      <c r="D71" s="110" t="s">
        <v>3363</v>
      </c>
      <c r="E71" s="46" t="s">
        <v>99</v>
      </c>
      <c r="F71" s="46" t="s">
        <v>3364</v>
      </c>
      <c r="G71" s="142" t="n">
        <v>45878</v>
      </c>
      <c r="H71" s="46" t="s">
        <v>528</v>
      </c>
      <c r="I71" s="138" t="str">
        <f aca="false">IFERROR(VLOOKUP(TEXT(H71,"0"),IPRESS!$A$3:$B$212,2,0),"")</f>
        <v>MARIA</v>
      </c>
      <c r="J71" s="46" t="s">
        <v>755</v>
      </c>
      <c r="K71" s="138" t="str">
        <f aca="false">IFERROR(VLOOKUP(TEXT(O71,"0"),CONDUCTORES!$A$3:$G$100,7,0),"")</f>
        <v/>
      </c>
      <c r="L71" s="44" t="n">
        <v>18.18</v>
      </c>
      <c r="M71" s="44" t="n">
        <v>9</v>
      </c>
      <c r="N71" s="139" t="n">
        <f aca="false">IFERROR(IF(L71*M71=0,"",L71*M71),"")</f>
        <v>163.62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142" t="n">
        <v>45987</v>
      </c>
      <c r="S71" s="110" t="s">
        <v>998</v>
      </c>
      <c r="T71" s="46"/>
      <c r="U71" s="85"/>
      <c r="V71" s="46" t="s">
        <v>3365</v>
      </c>
      <c r="W71" s="46" t="s">
        <v>3366</v>
      </c>
      <c r="X71" s="46" t="s">
        <v>2351</v>
      </c>
      <c r="Y71" s="85"/>
    </row>
    <row r="72" customFormat="false" ht="15.75" hidden="false" customHeight="true" outlineLevel="0" collapsed="false">
      <c r="A72" s="106" t="n">
        <v>67</v>
      </c>
      <c r="B72" s="107" t="s">
        <v>818</v>
      </c>
      <c r="C72" s="106" t="s">
        <v>752</v>
      </c>
      <c r="D72" s="107" t="s">
        <v>3367</v>
      </c>
      <c r="E72" s="136" t="s">
        <v>99</v>
      </c>
      <c r="F72" s="106" t="s">
        <v>3368</v>
      </c>
      <c r="G72" s="137" t="n">
        <v>45887</v>
      </c>
      <c r="H72" s="106" t="s">
        <v>528</v>
      </c>
      <c r="I72" s="138" t="str">
        <f aca="false">IFERROR(VLOOKUP(TEXT(H72,"0"),IPRESS!$A$3:$B$212,2,0),"")</f>
        <v>MARIA</v>
      </c>
      <c r="J72" s="106" t="s">
        <v>755</v>
      </c>
      <c r="K72" s="138" t="str">
        <f aca="false">IFERROR(VLOOKUP(TEXT(O72,"0"),CONDUCTORES!$A$3:$G$100,7,0),"")</f>
        <v/>
      </c>
      <c r="L72" s="50" t="n">
        <v>18.18</v>
      </c>
      <c r="M72" s="50" t="n">
        <v>18</v>
      </c>
      <c r="N72" s="139" t="n">
        <f aca="false">IFERROR(IF(L72*M72=0,"",L72*M72),"")</f>
        <v>327.24</v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37" t="n">
        <v>45987</v>
      </c>
      <c r="S72" s="107" t="s">
        <v>891</v>
      </c>
      <c r="T72" s="136"/>
      <c r="U72" s="140"/>
      <c r="V72" s="106" t="s">
        <v>3365</v>
      </c>
      <c r="W72" s="106" t="s">
        <v>3366</v>
      </c>
      <c r="X72" s="106" t="s">
        <v>2351</v>
      </c>
      <c r="Y72" s="85"/>
    </row>
    <row r="73" customFormat="false" ht="15.75" hidden="false" customHeight="true" outlineLevel="0" collapsed="false">
      <c r="A73" s="46" t="n">
        <v>68</v>
      </c>
      <c r="B73" s="110" t="s">
        <v>926</v>
      </c>
      <c r="C73" s="46" t="s">
        <v>752</v>
      </c>
      <c r="D73" s="110" t="s">
        <v>1689</v>
      </c>
      <c r="E73" s="46" t="s">
        <v>99</v>
      </c>
      <c r="F73" s="46" t="s">
        <v>1690</v>
      </c>
      <c r="G73" s="142" t="n">
        <v>45894</v>
      </c>
      <c r="H73" s="46" t="s">
        <v>528</v>
      </c>
      <c r="I73" s="138" t="str">
        <f aca="false">IFERROR(VLOOKUP(TEXT(H73,"0"),IPRESS!$A$3:$B$212,2,0),"")</f>
        <v>MARIA</v>
      </c>
      <c r="J73" s="46" t="s">
        <v>755</v>
      </c>
      <c r="K73" s="138" t="str">
        <f aca="false">IFERROR(VLOOKUP(TEXT(O73,"0"),CONDUCTORES!$A$3:$G$100,7,0),"")</f>
        <v/>
      </c>
      <c r="L73" s="44" t="n">
        <v>18.18</v>
      </c>
      <c r="M73" s="44" t="n">
        <v>18</v>
      </c>
      <c r="N73" s="139" t="n">
        <f aca="false">IFERROR(IF(L73*M73=0,"",L73*M73),"")</f>
        <v>327.24</v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142" t="n">
        <v>45987</v>
      </c>
      <c r="S73" s="110" t="s">
        <v>839</v>
      </c>
      <c r="T73" s="46"/>
      <c r="U73" s="85"/>
      <c r="V73" s="46" t="s">
        <v>3365</v>
      </c>
      <c r="W73" s="46" t="s">
        <v>3366</v>
      </c>
      <c r="X73" s="46" t="s">
        <v>2351</v>
      </c>
      <c r="Y73" s="85"/>
    </row>
    <row r="74" customFormat="false" ht="15.75" hidden="false" customHeight="true" outlineLevel="0" collapsed="false">
      <c r="A74" s="143" t="n">
        <v>69</v>
      </c>
      <c r="B74" s="144" t="s">
        <v>836</v>
      </c>
      <c r="C74" s="143" t="s">
        <v>752</v>
      </c>
      <c r="D74" s="144" t="s">
        <v>3369</v>
      </c>
      <c r="E74" s="143" t="s">
        <v>99</v>
      </c>
      <c r="F74" s="143" t="s">
        <v>3370</v>
      </c>
      <c r="G74" s="145" t="n">
        <v>45892</v>
      </c>
      <c r="H74" s="143" t="s">
        <v>547</v>
      </c>
      <c r="I74" s="138" t="str">
        <f aca="false">IFERROR(VLOOKUP(TEXT(H74,"0"),IPRESS!$A$3:$B$212,2,0),"")</f>
        <v>MOLINOPAMPA</v>
      </c>
      <c r="J74" s="143" t="s">
        <v>755</v>
      </c>
      <c r="K74" s="138" t="str">
        <f aca="false">IFERROR(VLOOKUP(TEXT(O74,"0"),CONDUCTORES!$A$3:$G$100,7,0),"")</f>
        <v/>
      </c>
      <c r="L74" s="146" t="n">
        <v>17.95</v>
      </c>
      <c r="M74" s="146" t="n">
        <v>8</v>
      </c>
      <c r="N74" s="139" t="n">
        <f aca="false">IFERROR(IF(L74*M74=0,"",L74*M74),"")</f>
        <v>143.6</v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45" t="n">
        <v>45987</v>
      </c>
      <c r="S74" s="144" t="s">
        <v>847</v>
      </c>
      <c r="T74" s="143"/>
      <c r="U74" s="147"/>
      <c r="V74" s="143" t="s">
        <v>3033</v>
      </c>
      <c r="W74" s="143" t="s">
        <v>3034</v>
      </c>
      <c r="X74" s="143" t="s">
        <v>3035</v>
      </c>
      <c r="Y74" s="85"/>
    </row>
    <row r="75" customFormat="false" ht="15.75" hidden="false" customHeight="true" outlineLevel="0" collapsed="false">
      <c r="A75" s="143" t="n">
        <v>70</v>
      </c>
      <c r="B75" s="144" t="s">
        <v>873</v>
      </c>
      <c r="C75" s="143" t="s">
        <v>752</v>
      </c>
      <c r="D75" s="144" t="s">
        <v>3371</v>
      </c>
      <c r="E75" s="143" t="s">
        <v>99</v>
      </c>
      <c r="F75" s="143" t="s">
        <v>3372</v>
      </c>
      <c r="G75" s="145" t="n">
        <v>45895</v>
      </c>
      <c r="H75" s="143" t="s">
        <v>547</v>
      </c>
      <c r="I75" s="138" t="str">
        <f aca="false">IFERROR(VLOOKUP(TEXT(H75,"0"),IPRESS!$A$3:$B$212,2,0),"")</f>
        <v>MOLINOPAMPA</v>
      </c>
      <c r="J75" s="143" t="s">
        <v>755</v>
      </c>
      <c r="K75" s="138" t="str">
        <f aca="false">IFERROR(VLOOKUP(TEXT(O75,"0"),CONDUCTORES!$A$3:$G$100,7,0),"")</f>
        <v/>
      </c>
      <c r="L75" s="146" t="n">
        <v>17.95</v>
      </c>
      <c r="M75" s="146" t="n">
        <v>8</v>
      </c>
      <c r="N75" s="139" t="n">
        <f aca="false">IFERROR(IF(L75*M75=0,"",L75*M75),"")</f>
        <v>143.6</v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145" t="n">
        <v>45987</v>
      </c>
      <c r="S75" s="144" t="s">
        <v>3373</v>
      </c>
      <c r="T75" s="143"/>
      <c r="U75" s="147"/>
      <c r="V75" s="143" t="s">
        <v>3033</v>
      </c>
      <c r="W75" s="143" t="s">
        <v>3034</v>
      </c>
      <c r="X75" s="143" t="s">
        <v>3035</v>
      </c>
      <c r="Y75" s="85"/>
    </row>
    <row r="76" customFormat="false" ht="15.75" hidden="false" customHeight="true" outlineLevel="0" collapsed="false">
      <c r="A76" s="106" t="n">
        <v>71</v>
      </c>
      <c r="B76" s="107" t="s">
        <v>844</v>
      </c>
      <c r="C76" s="106" t="s">
        <v>752</v>
      </c>
      <c r="D76" s="107" t="s">
        <v>3211</v>
      </c>
      <c r="E76" s="136" t="s">
        <v>99</v>
      </c>
      <c r="F76" s="106" t="s">
        <v>3212</v>
      </c>
      <c r="G76" s="137" t="n">
        <v>45874</v>
      </c>
      <c r="H76" s="106" t="s">
        <v>556</v>
      </c>
      <c r="I76" s="138" t="str">
        <f aca="false">IFERROR(VLOOKUP(TEXT(H76,"0"),IPRESS!$A$3:$B$212,2,0),"")</f>
        <v>NUEVO CHIRIMOTO</v>
      </c>
      <c r="J76" s="106" t="s">
        <v>529</v>
      </c>
      <c r="K76" s="138" t="str">
        <f aca="false">IFERROR(VLOOKUP(TEXT(O76,"0"),CONDUCTORES!$A$3:$G$100,7,0),"")</f>
        <v/>
      </c>
      <c r="L76" s="50" t="n">
        <v>20.25</v>
      </c>
      <c r="M76" s="50" t="n">
        <v>10</v>
      </c>
      <c r="N76" s="139" t="n">
        <f aca="false">IFERROR(IF(L76*M76=0,"",L76*M76),"")</f>
        <v>202.5</v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37" t="n">
        <v>45987</v>
      </c>
      <c r="S76" s="107" t="s">
        <v>3374</v>
      </c>
      <c r="T76" s="136"/>
      <c r="U76" s="140"/>
      <c r="V76" s="106" t="s">
        <v>2399</v>
      </c>
      <c r="W76" s="106" t="s">
        <v>760</v>
      </c>
      <c r="X76" s="106" t="s">
        <v>761</v>
      </c>
      <c r="Y76" s="85"/>
    </row>
    <row r="77" customFormat="false" ht="15.75" hidden="false" customHeight="true" outlineLevel="0" collapsed="false">
      <c r="A77" s="46" t="n">
        <v>72</v>
      </c>
      <c r="B77" s="110" t="s">
        <v>836</v>
      </c>
      <c r="C77" s="46" t="s">
        <v>752</v>
      </c>
      <c r="D77" s="110" t="s">
        <v>3375</v>
      </c>
      <c r="E77" s="46" t="s">
        <v>99</v>
      </c>
      <c r="F77" s="46" t="s">
        <v>3376</v>
      </c>
      <c r="G77" s="142" t="n">
        <v>45878</v>
      </c>
      <c r="H77" s="46" t="s">
        <v>556</v>
      </c>
      <c r="I77" s="138" t="str">
        <f aca="false">IFERROR(VLOOKUP(TEXT(H77,"0"),IPRESS!$A$3:$B$212,2,0),"")</f>
        <v>NUEVO CHIRIMOTO</v>
      </c>
      <c r="J77" s="46" t="s">
        <v>529</v>
      </c>
      <c r="K77" s="138" t="str">
        <f aca="false">IFERROR(VLOOKUP(TEXT(O77,"0"),CONDUCTORES!$A$3:$G$100,7,0),"")</f>
        <v/>
      </c>
      <c r="L77" s="44" t="n">
        <v>20.25</v>
      </c>
      <c r="M77" s="44" t="n">
        <v>10</v>
      </c>
      <c r="N77" s="139" t="n">
        <f aca="false">IFERROR(IF(L77*M77=0,"",L77*M77),"")</f>
        <v>202.5</v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142" t="n">
        <v>45987</v>
      </c>
      <c r="S77" s="110" t="s">
        <v>3044</v>
      </c>
      <c r="T77" s="46"/>
      <c r="U77" s="85"/>
      <c r="V77" s="46" t="s">
        <v>2399</v>
      </c>
      <c r="W77" s="46" t="s">
        <v>760</v>
      </c>
      <c r="X77" s="46" t="s">
        <v>761</v>
      </c>
      <c r="Y77" s="85"/>
    </row>
    <row r="78" customFormat="false" ht="15.75" hidden="false" customHeight="true" outlineLevel="0" collapsed="false">
      <c r="A78" s="106" t="n">
        <v>73</v>
      </c>
      <c r="B78" s="107" t="s">
        <v>873</v>
      </c>
      <c r="C78" s="106" t="s">
        <v>752</v>
      </c>
      <c r="D78" s="107" t="s">
        <v>3377</v>
      </c>
      <c r="E78" s="136" t="s">
        <v>99</v>
      </c>
      <c r="F78" s="106" t="s">
        <v>3378</v>
      </c>
      <c r="G78" s="137" t="n">
        <v>45885</v>
      </c>
      <c r="H78" s="106" t="s">
        <v>556</v>
      </c>
      <c r="I78" s="138" t="str">
        <f aca="false">IFERROR(VLOOKUP(TEXT(H78,"0"),IPRESS!$A$3:$B$212,2,0),"")</f>
        <v>NUEVO CHIRIMOTO</v>
      </c>
      <c r="J78" s="106" t="s">
        <v>529</v>
      </c>
      <c r="K78" s="138" t="str">
        <f aca="false">IFERROR(VLOOKUP(TEXT(O78,"0"),CONDUCTORES!$A$3:$G$100,7,0),"")</f>
        <v/>
      </c>
      <c r="L78" s="50" t="n">
        <v>20.25</v>
      </c>
      <c r="M78" s="50" t="n">
        <v>10</v>
      </c>
      <c r="N78" s="139" t="n">
        <f aca="false">IFERROR(IF(L78*M78=0,"",L78*M78),"")</f>
        <v>202.5</v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37" t="n">
        <v>45987</v>
      </c>
      <c r="S78" s="107" t="s">
        <v>3379</v>
      </c>
      <c r="T78" s="136"/>
      <c r="U78" s="140"/>
      <c r="V78" s="106" t="s">
        <v>2399</v>
      </c>
      <c r="W78" s="106" t="s">
        <v>760</v>
      </c>
      <c r="X78" s="106" t="s">
        <v>761</v>
      </c>
      <c r="Y78" s="85"/>
    </row>
    <row r="79" customFormat="false" ht="15.75" hidden="false" customHeight="true" outlineLevel="0" collapsed="false">
      <c r="A79" s="46" t="n">
        <v>74</v>
      </c>
      <c r="B79" s="110" t="s">
        <v>866</v>
      </c>
      <c r="C79" s="46" t="s">
        <v>752</v>
      </c>
      <c r="D79" s="110" t="s">
        <v>3255</v>
      </c>
      <c r="E79" s="46" t="s">
        <v>99</v>
      </c>
      <c r="F79" s="46" t="s">
        <v>3256</v>
      </c>
      <c r="G79" s="142" t="n">
        <v>45889</v>
      </c>
      <c r="H79" s="46" t="s">
        <v>556</v>
      </c>
      <c r="I79" s="138" t="str">
        <f aca="false">IFERROR(VLOOKUP(TEXT(H79,"0"),IPRESS!$A$3:$B$212,2,0),"")</f>
        <v>NUEVO CHIRIMOTO</v>
      </c>
      <c r="J79" s="46" t="s">
        <v>529</v>
      </c>
      <c r="K79" s="138" t="str">
        <f aca="false">IFERROR(VLOOKUP(TEXT(O79,"0"),CONDUCTORES!$A$3:$G$100,7,0),"")</f>
        <v/>
      </c>
      <c r="L79" s="44" t="n">
        <v>20.25</v>
      </c>
      <c r="M79" s="44" t="n">
        <v>10</v>
      </c>
      <c r="N79" s="139" t="n">
        <f aca="false">IFERROR(IF(L79*M79=0,"",L79*M79),"")</f>
        <v>202.5</v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142" t="n">
        <v>45987</v>
      </c>
      <c r="S79" s="110" t="s">
        <v>3380</v>
      </c>
      <c r="T79" s="46"/>
      <c r="U79" s="85"/>
      <c r="V79" s="46" t="s">
        <v>2399</v>
      </c>
      <c r="W79" s="46" t="s">
        <v>760</v>
      </c>
      <c r="X79" s="46" t="s">
        <v>761</v>
      </c>
      <c r="Y79" s="85"/>
    </row>
    <row r="80" customFormat="false" ht="15.75" hidden="false" customHeight="true" outlineLevel="0" collapsed="false">
      <c r="A80" s="106" t="n">
        <v>75</v>
      </c>
      <c r="B80" s="107" t="s">
        <v>1262</v>
      </c>
      <c r="C80" s="106" t="s">
        <v>752</v>
      </c>
      <c r="D80" s="107" t="s">
        <v>3381</v>
      </c>
      <c r="E80" s="136" t="s">
        <v>99</v>
      </c>
      <c r="F80" s="106" t="s">
        <v>3382</v>
      </c>
      <c r="G80" s="137" t="n">
        <v>45892</v>
      </c>
      <c r="H80" s="106" t="s">
        <v>556</v>
      </c>
      <c r="I80" s="138" t="str">
        <f aca="false">IFERROR(VLOOKUP(TEXT(H80,"0"),IPRESS!$A$3:$B$212,2,0),"")</f>
        <v>NUEVO CHIRIMOTO</v>
      </c>
      <c r="J80" s="106" t="s">
        <v>529</v>
      </c>
      <c r="K80" s="138" t="str">
        <f aca="false">IFERROR(VLOOKUP(TEXT(O80,"0"),CONDUCTORES!$A$3:$G$100,7,0),"")</f>
        <v/>
      </c>
      <c r="L80" s="50" t="n">
        <v>20.25</v>
      </c>
      <c r="M80" s="50" t="n">
        <v>10</v>
      </c>
      <c r="N80" s="139" t="n">
        <f aca="false">IFERROR(IF(L80*M80=0,"",L80*M80),"")</f>
        <v>202.5</v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37" t="n">
        <v>45987</v>
      </c>
      <c r="S80" s="107" t="s">
        <v>847</v>
      </c>
      <c r="T80" s="136"/>
      <c r="U80" s="140"/>
      <c r="V80" s="106" t="s">
        <v>2399</v>
      </c>
      <c r="W80" s="106" t="s">
        <v>760</v>
      </c>
      <c r="X80" s="106" t="s">
        <v>761</v>
      </c>
      <c r="Y80" s="85"/>
    </row>
    <row r="81" customFormat="false" ht="15.75" hidden="false" customHeight="true" outlineLevel="0" collapsed="false">
      <c r="A81" s="46" t="n">
        <v>76</v>
      </c>
      <c r="B81" s="110" t="s">
        <v>1134</v>
      </c>
      <c r="C81" s="46" t="s">
        <v>752</v>
      </c>
      <c r="D81" s="110" t="s">
        <v>3383</v>
      </c>
      <c r="E81" s="46" t="s">
        <v>99</v>
      </c>
      <c r="F81" s="46" t="s">
        <v>3384</v>
      </c>
      <c r="G81" s="142" t="n">
        <v>45899</v>
      </c>
      <c r="H81" s="46" t="s">
        <v>569</v>
      </c>
      <c r="I81" s="138" t="str">
        <f aca="false">IFERROR(VLOOKUP(TEXT(H81,"0"),IPRESS!$A$3:$B$212,2,0),"")</f>
        <v>OCALLI</v>
      </c>
      <c r="J81" s="46" t="s">
        <v>755</v>
      </c>
      <c r="K81" s="138" t="str">
        <f aca="false">IFERROR(VLOOKUP(TEXT(O81,"0"),CONDUCTORES!$A$3:$G$100,7,0),"")</f>
        <v/>
      </c>
      <c r="L81" s="44" t="n">
        <v>18.18</v>
      </c>
      <c r="M81" s="44" t="n">
        <v>30</v>
      </c>
      <c r="N81" s="139" t="n">
        <f aca="false">IFERROR(IF(L81*M81=0,"",L81*M81),"")</f>
        <v>545.4</v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85"/>
      <c r="S81" s="110" t="s">
        <v>1292</v>
      </c>
      <c r="T81" s="46" t="s">
        <v>3385</v>
      </c>
      <c r="U81" s="85"/>
      <c r="V81" s="46"/>
      <c r="W81" s="46"/>
      <c r="X81" s="46"/>
      <c r="Y81" s="85"/>
    </row>
    <row r="82" customFormat="false" ht="15.75" hidden="false" customHeight="true" outlineLevel="0" collapsed="false">
      <c r="A82" s="106" t="n">
        <v>77</v>
      </c>
      <c r="B82" s="107" t="s">
        <v>832</v>
      </c>
      <c r="C82" s="106" t="s">
        <v>752</v>
      </c>
      <c r="D82" s="107" t="s">
        <v>3386</v>
      </c>
      <c r="E82" s="136" t="s">
        <v>99</v>
      </c>
      <c r="F82" s="106" t="s">
        <v>3387</v>
      </c>
      <c r="G82" s="137" t="n">
        <v>45871</v>
      </c>
      <c r="H82" s="106" t="s">
        <v>572</v>
      </c>
      <c r="I82" s="138" t="str">
        <f aca="false">IFERROR(VLOOKUP(TEXT(H82,"0"),IPRESS!$A$3:$B$212,2,0),"")</f>
        <v>OMIA</v>
      </c>
      <c r="J82" s="106" t="s">
        <v>529</v>
      </c>
      <c r="K82" s="138" t="str">
        <f aca="false">IFERROR(VLOOKUP(TEXT(O82,"0"),CONDUCTORES!$A$3:$G$100,7,0),"")</f>
        <v/>
      </c>
      <c r="L82" s="50" t="n">
        <v>20.25</v>
      </c>
      <c r="M82" s="50" t="n">
        <v>3</v>
      </c>
      <c r="N82" s="139" t="n">
        <f aca="false">IFERROR(IF(L82*M82=0,"",L82*M82),"")</f>
        <v>60.75</v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37" t="n">
        <v>46010</v>
      </c>
      <c r="S82" s="107" t="s">
        <v>1458</v>
      </c>
      <c r="T82" s="136"/>
      <c r="U82" s="140"/>
      <c r="V82" s="106"/>
      <c r="W82" s="106"/>
      <c r="X82" s="106"/>
      <c r="Y82" s="85"/>
    </row>
    <row r="83" customFormat="false" ht="15.75" hidden="false" customHeight="true" outlineLevel="0" collapsed="false">
      <c r="A83" s="46" t="n">
        <v>78</v>
      </c>
      <c r="B83" s="110" t="s">
        <v>840</v>
      </c>
      <c r="C83" s="46" t="s">
        <v>752</v>
      </c>
      <c r="D83" s="110" t="s">
        <v>3282</v>
      </c>
      <c r="E83" s="46" t="s">
        <v>99</v>
      </c>
      <c r="F83" s="46" t="s">
        <v>3283</v>
      </c>
      <c r="G83" s="142" t="n">
        <v>45886</v>
      </c>
      <c r="H83" s="46" t="s">
        <v>572</v>
      </c>
      <c r="I83" s="138" t="str">
        <f aca="false">IFERROR(VLOOKUP(TEXT(H83,"0"),IPRESS!$A$3:$B$212,2,0),"")</f>
        <v>OMIA</v>
      </c>
      <c r="J83" s="46" t="s">
        <v>529</v>
      </c>
      <c r="K83" s="138" t="str">
        <f aca="false">IFERROR(VLOOKUP(TEXT(O83,"0"),CONDUCTORES!$A$3:$G$100,7,0),"")</f>
        <v/>
      </c>
      <c r="L83" s="44" t="n">
        <v>20.25</v>
      </c>
      <c r="M83" s="44" t="n">
        <v>3</v>
      </c>
      <c r="N83" s="139" t="n">
        <f aca="false">IFERROR(IF(L83*M83=0,"",L83*M83),"")</f>
        <v>60.75</v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142" t="n">
        <v>46010</v>
      </c>
      <c r="S83" s="110" t="s">
        <v>3388</v>
      </c>
      <c r="T83" s="46"/>
      <c r="U83" s="85"/>
      <c r="V83" s="46"/>
      <c r="W83" s="46"/>
      <c r="X83" s="46"/>
      <c r="Y83" s="85"/>
    </row>
    <row r="84" customFormat="false" ht="15.75" hidden="false" customHeight="true" outlineLevel="0" collapsed="false">
      <c r="A84" s="106" t="n">
        <v>79</v>
      </c>
      <c r="B84" s="107" t="s">
        <v>844</v>
      </c>
      <c r="C84" s="106" t="s">
        <v>752</v>
      </c>
      <c r="D84" s="107" t="s">
        <v>3251</v>
      </c>
      <c r="E84" s="136" t="s">
        <v>99</v>
      </c>
      <c r="F84" s="106" t="s">
        <v>3252</v>
      </c>
      <c r="G84" s="137" t="n">
        <v>45894</v>
      </c>
      <c r="H84" s="106" t="s">
        <v>572</v>
      </c>
      <c r="I84" s="138" t="str">
        <f aca="false">IFERROR(VLOOKUP(TEXT(H84,"0"),IPRESS!$A$3:$B$212,2,0),"")</f>
        <v>OMIA</v>
      </c>
      <c r="J84" s="106" t="s">
        <v>529</v>
      </c>
      <c r="K84" s="138" t="str">
        <f aca="false">IFERROR(VLOOKUP(TEXT(O84,"0"),CONDUCTORES!$A$3:$G$100,7,0),"")</f>
        <v/>
      </c>
      <c r="L84" s="50" t="n">
        <v>20.25</v>
      </c>
      <c r="M84" s="50" t="n">
        <v>3</v>
      </c>
      <c r="N84" s="139" t="n">
        <f aca="false">IFERROR(IF(L84*M84=0,"",L84*M84),"")</f>
        <v>60.75</v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37" t="n">
        <v>46010</v>
      </c>
      <c r="S84" s="107" t="s">
        <v>3389</v>
      </c>
      <c r="T84" s="136"/>
      <c r="U84" s="140"/>
      <c r="V84" s="106"/>
      <c r="W84" s="106"/>
      <c r="X84" s="106"/>
      <c r="Y84" s="85"/>
    </row>
    <row r="85" customFormat="false" ht="15.75" hidden="false" customHeight="true" outlineLevel="0" collapsed="false">
      <c r="A85" s="46" t="n">
        <v>80</v>
      </c>
      <c r="B85" s="110" t="s">
        <v>3390</v>
      </c>
      <c r="C85" s="46" t="s">
        <v>752</v>
      </c>
      <c r="D85" s="110" t="s">
        <v>3391</v>
      </c>
      <c r="E85" s="46" t="s">
        <v>99</v>
      </c>
      <c r="F85" s="46" t="s">
        <v>3392</v>
      </c>
      <c r="G85" s="142" t="n">
        <v>45877</v>
      </c>
      <c r="H85" s="46" t="s">
        <v>581</v>
      </c>
      <c r="I85" s="138" t="str">
        <f aca="false">IFERROR(VLOOKUP(TEXT(H85,"0"),IPRESS!$A$3:$B$212,2,0),"")</f>
        <v>PEDRO RUIZ GALLO</v>
      </c>
      <c r="J85" s="46" t="s">
        <v>755</v>
      </c>
      <c r="K85" s="138" t="str">
        <f aca="false">IFERROR(VLOOKUP(TEXT(O85,"0"),CONDUCTORES!$A$3:$G$100,7,0),"")</f>
        <v/>
      </c>
      <c r="L85" s="44" t="n">
        <v>18.18</v>
      </c>
      <c r="M85" s="44" t="n">
        <v>5</v>
      </c>
      <c r="N85" s="139" t="n">
        <f aca="false">IFERROR(IF(L85*M85=0,"",L85*M85),"")</f>
        <v>90.9</v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142" t="n">
        <v>45936</v>
      </c>
      <c r="S85" s="110" t="s">
        <v>3393</v>
      </c>
      <c r="T85" s="46"/>
      <c r="U85" s="85"/>
      <c r="V85" s="46"/>
      <c r="W85" s="46"/>
      <c r="X85" s="46"/>
      <c r="Y85" s="85"/>
    </row>
    <row r="86" customFormat="false" ht="15.75" hidden="false" customHeight="true" outlineLevel="0" collapsed="false">
      <c r="A86" s="106" t="n">
        <v>81</v>
      </c>
      <c r="B86" s="107" t="s">
        <v>3394</v>
      </c>
      <c r="C86" s="106" t="s">
        <v>752</v>
      </c>
      <c r="D86" s="107" t="s">
        <v>3395</v>
      </c>
      <c r="E86" s="136" t="s">
        <v>99</v>
      </c>
      <c r="F86" s="106" t="s">
        <v>3396</v>
      </c>
      <c r="G86" s="137" t="n">
        <v>45883</v>
      </c>
      <c r="H86" s="106" t="s">
        <v>581</v>
      </c>
      <c r="I86" s="138" t="str">
        <f aca="false">IFERROR(VLOOKUP(TEXT(H86,"0"),IPRESS!$A$3:$B$212,2,0),"")</f>
        <v>PEDRO RUIZ GALLO</v>
      </c>
      <c r="J86" s="106" t="s">
        <v>755</v>
      </c>
      <c r="K86" s="138" t="str">
        <f aca="false">IFERROR(VLOOKUP(TEXT(O86,"0"),CONDUCTORES!$A$3:$G$100,7,0),"")</f>
        <v/>
      </c>
      <c r="L86" s="50" t="n">
        <v>18.18</v>
      </c>
      <c r="M86" s="50" t="n">
        <v>5</v>
      </c>
      <c r="N86" s="139" t="n">
        <f aca="false">IFERROR(IF(L86*M86=0,"",L86*M86),"")</f>
        <v>90.9</v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37" t="n">
        <v>45936</v>
      </c>
      <c r="S86" s="107" t="s">
        <v>3397</v>
      </c>
      <c r="T86" s="136"/>
      <c r="U86" s="140"/>
      <c r="V86" s="106"/>
      <c r="W86" s="106"/>
      <c r="X86" s="106"/>
      <c r="Y86" s="85"/>
    </row>
    <row r="87" customFormat="false" ht="15.75" hidden="false" customHeight="true" outlineLevel="0" collapsed="false">
      <c r="A87" s="143" t="n">
        <v>82</v>
      </c>
      <c r="B87" s="144" t="s">
        <v>3398</v>
      </c>
      <c r="C87" s="143" t="s">
        <v>752</v>
      </c>
      <c r="D87" s="144" t="s">
        <v>3399</v>
      </c>
      <c r="E87" s="143" t="s">
        <v>99</v>
      </c>
      <c r="F87" s="143" t="s">
        <v>3400</v>
      </c>
      <c r="G87" s="145" t="n">
        <v>45884</v>
      </c>
      <c r="H87" s="143" t="s">
        <v>581</v>
      </c>
      <c r="I87" s="138" t="str">
        <f aca="false">IFERROR(VLOOKUP(TEXT(H87,"0"),IPRESS!$A$3:$B$212,2,0),"")</f>
        <v>PEDRO RUIZ GALLO</v>
      </c>
      <c r="J87" s="143" t="s">
        <v>755</v>
      </c>
      <c r="K87" s="138" t="str">
        <f aca="false">IFERROR(VLOOKUP(TEXT(O87,"0"),CONDUCTORES!$A$3:$G$100,7,0),"")</f>
        <v/>
      </c>
      <c r="L87" s="146" t="n">
        <v>17.95</v>
      </c>
      <c r="M87" s="146" t="n">
        <v>6</v>
      </c>
      <c r="N87" s="139" t="n">
        <f aca="false">IFERROR(IF(L87*M87=0,"",L87*M87),"")</f>
        <v>107.7</v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145" t="n">
        <v>45936</v>
      </c>
      <c r="S87" s="144" t="s">
        <v>1292</v>
      </c>
      <c r="T87" s="143"/>
      <c r="U87" s="147"/>
      <c r="V87" s="143"/>
      <c r="W87" s="143"/>
      <c r="X87" s="143"/>
      <c r="Y87" s="85"/>
    </row>
    <row r="88" customFormat="false" ht="15.75" hidden="false" customHeight="true" outlineLevel="0" collapsed="false">
      <c r="A88" s="106" t="n">
        <v>83</v>
      </c>
      <c r="B88" s="107" t="s">
        <v>1429</v>
      </c>
      <c r="C88" s="106" t="s">
        <v>752</v>
      </c>
      <c r="D88" s="107" t="s">
        <v>3401</v>
      </c>
      <c r="E88" s="136" t="s">
        <v>99</v>
      </c>
      <c r="F88" s="106" t="s">
        <v>3402</v>
      </c>
      <c r="G88" s="137" t="n">
        <v>45884</v>
      </c>
      <c r="H88" s="106" t="s">
        <v>581</v>
      </c>
      <c r="I88" s="138" t="str">
        <f aca="false">IFERROR(VLOOKUP(TEXT(H88,"0"),IPRESS!$A$3:$B$212,2,0),"")</f>
        <v>PEDRO RUIZ GALLO</v>
      </c>
      <c r="J88" s="106" t="s">
        <v>755</v>
      </c>
      <c r="K88" s="138" t="str">
        <f aca="false">IFERROR(VLOOKUP(TEXT(O88,"0"),CONDUCTORES!$A$3:$G$100,7,0),"")</f>
        <v/>
      </c>
      <c r="L88" s="50" t="n">
        <v>18.18</v>
      </c>
      <c r="M88" s="50" t="n">
        <v>5</v>
      </c>
      <c r="N88" s="139" t="n">
        <f aca="false">IFERROR(IF(L88*M88=0,"",L88*M88),"")</f>
        <v>90.9</v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37" t="n">
        <v>45936</v>
      </c>
      <c r="S88" s="107" t="s">
        <v>3403</v>
      </c>
      <c r="T88" s="136"/>
      <c r="U88" s="140"/>
      <c r="V88" s="106"/>
      <c r="W88" s="106"/>
      <c r="X88" s="106"/>
      <c r="Y88" s="85"/>
    </row>
    <row r="89" customFormat="false" ht="15.75" hidden="false" customHeight="true" outlineLevel="0" collapsed="false">
      <c r="A89" s="143" t="n">
        <v>84</v>
      </c>
      <c r="B89" s="144" t="s">
        <v>3404</v>
      </c>
      <c r="C89" s="143" t="s">
        <v>752</v>
      </c>
      <c r="D89" s="144" t="s">
        <v>3405</v>
      </c>
      <c r="E89" s="143" t="s">
        <v>99</v>
      </c>
      <c r="F89" s="143" t="s">
        <v>3406</v>
      </c>
      <c r="G89" s="145" t="n">
        <v>45887</v>
      </c>
      <c r="H89" s="143" t="s">
        <v>581</v>
      </c>
      <c r="I89" s="138" t="str">
        <f aca="false">IFERROR(VLOOKUP(TEXT(H89,"0"),IPRESS!$A$3:$B$212,2,0),"")</f>
        <v>PEDRO RUIZ GALLO</v>
      </c>
      <c r="J89" s="143" t="s">
        <v>755</v>
      </c>
      <c r="K89" s="138" t="str">
        <f aca="false">IFERROR(VLOOKUP(TEXT(O89,"0"),CONDUCTORES!$A$3:$G$100,7,0),"")</f>
        <v/>
      </c>
      <c r="L89" s="146" t="n">
        <v>17.95</v>
      </c>
      <c r="M89" s="146" t="n">
        <v>6</v>
      </c>
      <c r="N89" s="139" t="n">
        <f aca="false">IFERROR(IF(L89*M89=0,"",L89*M89),"")</f>
        <v>107.7</v>
      </c>
      <c r="O89" s="140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145" t="n">
        <v>45936</v>
      </c>
      <c r="S89" s="144" t="s">
        <v>1748</v>
      </c>
      <c r="T89" s="143"/>
      <c r="U89" s="147"/>
      <c r="V89" s="143"/>
      <c r="W89" s="143"/>
      <c r="X89" s="143"/>
      <c r="Y89" s="85"/>
    </row>
    <row r="90" customFormat="false" ht="15.75" hidden="false" customHeight="true" outlineLevel="0" collapsed="false">
      <c r="A90" s="106" t="n">
        <v>85</v>
      </c>
      <c r="B90" s="107" t="s">
        <v>3407</v>
      </c>
      <c r="C90" s="106" t="s">
        <v>752</v>
      </c>
      <c r="D90" s="107" t="s">
        <v>3408</v>
      </c>
      <c r="E90" s="136" t="s">
        <v>99</v>
      </c>
      <c r="F90" s="106" t="s">
        <v>3409</v>
      </c>
      <c r="G90" s="137" t="n">
        <v>45892</v>
      </c>
      <c r="H90" s="106" t="s">
        <v>581</v>
      </c>
      <c r="I90" s="138" t="str">
        <f aca="false">IFERROR(VLOOKUP(TEXT(H90,"0"),IPRESS!$A$3:$B$212,2,0),"")</f>
        <v>PEDRO RUIZ GALLO</v>
      </c>
      <c r="J90" s="106" t="s">
        <v>755</v>
      </c>
      <c r="K90" s="138" t="str">
        <f aca="false">IFERROR(VLOOKUP(TEXT(O90,"0"),CONDUCTORES!$A$3:$G$100,7,0),"")</f>
        <v/>
      </c>
      <c r="L90" s="50" t="n">
        <v>18.18</v>
      </c>
      <c r="M90" s="50" t="n">
        <v>5</v>
      </c>
      <c r="N90" s="139" t="n">
        <f aca="false">IFERROR(IF(L90*M90=0,"",L90*M90),"")</f>
        <v>90.9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37" t="n">
        <v>45936</v>
      </c>
      <c r="S90" s="107" t="s">
        <v>3410</v>
      </c>
      <c r="T90" s="136"/>
      <c r="U90" s="140"/>
      <c r="V90" s="106"/>
      <c r="W90" s="106"/>
      <c r="X90" s="106"/>
      <c r="Y90" s="85"/>
    </row>
    <row r="91" customFormat="false" ht="15.75" hidden="false" customHeight="true" outlineLevel="0" collapsed="false">
      <c r="A91" s="46" t="n">
        <v>86</v>
      </c>
      <c r="B91" s="110" t="s">
        <v>3411</v>
      </c>
      <c r="C91" s="46" t="s">
        <v>752</v>
      </c>
      <c r="D91" s="110" t="s">
        <v>3412</v>
      </c>
      <c r="E91" s="46" t="s">
        <v>99</v>
      </c>
      <c r="F91" s="46" t="s">
        <v>3413</v>
      </c>
      <c r="G91" s="142" t="n">
        <v>45895</v>
      </c>
      <c r="H91" s="46" t="s">
        <v>581</v>
      </c>
      <c r="I91" s="138" t="str">
        <f aca="false">IFERROR(VLOOKUP(TEXT(H91,"0"),IPRESS!$A$3:$B$212,2,0),"")</f>
        <v>PEDRO RUIZ GALLO</v>
      </c>
      <c r="J91" s="46" t="s">
        <v>755</v>
      </c>
      <c r="K91" s="138" t="str">
        <f aca="false">IFERROR(VLOOKUP(TEXT(O91,"0"),CONDUCTORES!$A$3:$G$100,7,0),"")</f>
        <v/>
      </c>
      <c r="L91" s="44" t="n">
        <v>18.18</v>
      </c>
      <c r="M91" s="44" t="n">
        <v>5</v>
      </c>
      <c r="N91" s="139" t="n">
        <f aca="false">IFERROR(IF(L91*M91=0,"",L91*M91),"")</f>
        <v>90.9</v>
      </c>
      <c r="O91" s="140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142" t="n">
        <v>45936</v>
      </c>
      <c r="S91" s="110" t="s">
        <v>3414</v>
      </c>
      <c r="T91" s="46"/>
      <c r="U91" s="85"/>
      <c r="V91" s="46"/>
      <c r="W91" s="46"/>
      <c r="X91" s="46"/>
      <c r="Y91" s="85"/>
    </row>
    <row r="92" customFormat="false" ht="15.75" hidden="false" customHeight="true" outlineLevel="0" collapsed="false">
      <c r="A92" s="106" t="n">
        <v>87</v>
      </c>
      <c r="B92" s="107" t="s">
        <v>3415</v>
      </c>
      <c r="C92" s="106" t="s">
        <v>752</v>
      </c>
      <c r="D92" s="107" t="s">
        <v>3416</v>
      </c>
      <c r="E92" s="136" t="s">
        <v>99</v>
      </c>
      <c r="F92" s="106" t="s">
        <v>3417</v>
      </c>
      <c r="G92" s="137" t="n">
        <v>45899</v>
      </c>
      <c r="H92" s="106" t="s">
        <v>581</v>
      </c>
      <c r="I92" s="138" t="str">
        <f aca="false">IFERROR(VLOOKUP(TEXT(H92,"0"),IPRESS!$A$3:$B$212,2,0),"")</f>
        <v>PEDRO RUIZ GALLO</v>
      </c>
      <c r="J92" s="106" t="s">
        <v>755</v>
      </c>
      <c r="K92" s="138" t="str">
        <f aca="false">IFERROR(VLOOKUP(TEXT(O92,"0"),CONDUCTORES!$A$3:$G$100,7,0),"")</f>
        <v/>
      </c>
      <c r="L92" s="50" t="n">
        <v>18.18</v>
      </c>
      <c r="M92" s="50" t="n">
        <v>5</v>
      </c>
      <c r="N92" s="139" t="n">
        <f aca="false">IFERROR(IF(L92*M92=0,"",L92*M92),"")</f>
        <v>90.9</v>
      </c>
      <c r="O92" s="85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37" t="n">
        <v>45936</v>
      </c>
      <c r="S92" s="107" t="s">
        <v>3418</v>
      </c>
      <c r="T92" s="136"/>
      <c r="U92" s="140"/>
      <c r="V92" s="106"/>
      <c r="W92" s="106"/>
      <c r="X92" s="106"/>
      <c r="Y92" s="85"/>
    </row>
    <row r="93" customFormat="false" ht="15.75" hidden="false" customHeight="true" outlineLevel="0" collapsed="false">
      <c r="A93" s="46" t="n">
        <v>88</v>
      </c>
      <c r="B93" s="110" t="s">
        <v>1380</v>
      </c>
      <c r="C93" s="46" t="s">
        <v>752</v>
      </c>
      <c r="D93" s="110" t="s">
        <v>3419</v>
      </c>
      <c r="E93" s="46" t="s">
        <v>99</v>
      </c>
      <c r="F93" s="46" t="s">
        <v>3420</v>
      </c>
      <c r="G93" s="142" t="n">
        <v>45873</v>
      </c>
      <c r="H93" s="46" t="s">
        <v>595</v>
      </c>
      <c r="I93" s="138" t="str">
        <f aca="false">IFERROR(VLOOKUP(TEXT(H93,"0"),IPRESS!$A$3:$B$212,2,0),"")</f>
        <v>POMACOCHAS</v>
      </c>
      <c r="J93" s="46" t="s">
        <v>755</v>
      </c>
      <c r="K93" s="138" t="str">
        <f aca="false">IFERROR(VLOOKUP(TEXT(O93,"0"),CONDUCTORES!$A$3:$G$100,7,0),"")</f>
        <v/>
      </c>
      <c r="L93" s="44" t="n">
        <v>18.18</v>
      </c>
      <c r="M93" s="44" t="n">
        <v>8</v>
      </c>
      <c r="N93" s="139" t="n">
        <f aca="false">IFERROR(IF(L93*M93=0,"",L93*M93),"")</f>
        <v>145.44</v>
      </c>
      <c r="O93" s="140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142" t="n">
        <v>45968</v>
      </c>
      <c r="S93" s="110" t="s">
        <v>891</v>
      </c>
      <c r="T93" s="46"/>
      <c r="U93" s="85"/>
      <c r="V93" s="46"/>
      <c r="W93" s="46"/>
      <c r="X93" s="46"/>
      <c r="Y93" s="85"/>
    </row>
    <row r="94" customFormat="false" ht="15.75" hidden="false" customHeight="true" outlineLevel="0" collapsed="false">
      <c r="A94" s="106" t="n">
        <v>89</v>
      </c>
      <c r="B94" s="107" t="s">
        <v>2487</v>
      </c>
      <c r="C94" s="106" t="s">
        <v>752</v>
      </c>
      <c r="D94" s="107" t="s">
        <v>3421</v>
      </c>
      <c r="E94" s="136" t="s">
        <v>99</v>
      </c>
      <c r="F94" s="106" t="s">
        <v>3422</v>
      </c>
      <c r="G94" s="137" t="n">
        <v>45873</v>
      </c>
      <c r="H94" s="106" t="s">
        <v>595</v>
      </c>
      <c r="I94" s="138" t="str">
        <f aca="false">IFERROR(VLOOKUP(TEXT(H94,"0"),IPRESS!$A$3:$B$212,2,0),"")</f>
        <v>POMACOCHAS</v>
      </c>
      <c r="J94" s="106" t="s">
        <v>755</v>
      </c>
      <c r="K94" s="138" t="str">
        <f aca="false">IFERROR(VLOOKUP(TEXT(O94,"0"),CONDUCTORES!$A$3:$G$100,7,0),"")</f>
        <v/>
      </c>
      <c r="L94" s="50" t="n">
        <v>18.18</v>
      </c>
      <c r="M94" s="50" t="n">
        <v>8</v>
      </c>
      <c r="N94" s="139" t="n">
        <f aca="false">IFERROR(IF(L94*M94=0,"",L94*M94),"")</f>
        <v>145.44</v>
      </c>
      <c r="O94" s="85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37" t="n">
        <v>45968</v>
      </c>
      <c r="S94" s="107" t="s">
        <v>3423</v>
      </c>
      <c r="T94" s="136"/>
      <c r="U94" s="140"/>
      <c r="V94" s="106"/>
      <c r="W94" s="106"/>
      <c r="X94" s="106"/>
      <c r="Y94" s="85"/>
    </row>
    <row r="95" customFormat="false" ht="15.75" hidden="false" customHeight="true" outlineLevel="0" collapsed="false">
      <c r="A95" s="46" t="n">
        <v>90</v>
      </c>
      <c r="B95" s="110" t="s">
        <v>2490</v>
      </c>
      <c r="C95" s="46" t="s">
        <v>752</v>
      </c>
      <c r="D95" s="110" t="s">
        <v>3424</v>
      </c>
      <c r="E95" s="46" t="s">
        <v>99</v>
      </c>
      <c r="F95" s="46" t="s">
        <v>3425</v>
      </c>
      <c r="G95" s="142" t="n">
        <v>45877</v>
      </c>
      <c r="H95" s="46" t="s">
        <v>595</v>
      </c>
      <c r="I95" s="138" t="str">
        <f aca="false">IFERROR(VLOOKUP(TEXT(H95,"0"),IPRESS!$A$3:$B$212,2,0),"")</f>
        <v>POMACOCHAS</v>
      </c>
      <c r="J95" s="46" t="s">
        <v>755</v>
      </c>
      <c r="K95" s="138" t="str">
        <f aca="false">IFERROR(VLOOKUP(TEXT(O95,"0"),CONDUCTORES!$A$3:$G$100,7,0),"")</f>
        <v/>
      </c>
      <c r="L95" s="44" t="n">
        <v>18.18</v>
      </c>
      <c r="M95" s="44" t="n">
        <v>8</v>
      </c>
      <c r="N95" s="139" t="n">
        <f aca="false">IFERROR(IF(L95*M95=0,"",L95*M95),"")</f>
        <v>145.44</v>
      </c>
      <c r="O95" s="140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142" t="n">
        <v>45968</v>
      </c>
      <c r="S95" s="110" t="s">
        <v>3426</v>
      </c>
      <c r="T95" s="46"/>
      <c r="U95" s="85"/>
      <c r="V95" s="46"/>
      <c r="W95" s="46"/>
      <c r="X95" s="46"/>
      <c r="Y95" s="85"/>
    </row>
    <row r="96" customFormat="false" ht="15.75" hidden="false" customHeight="true" outlineLevel="0" collapsed="false">
      <c r="A96" s="106" t="n">
        <v>91</v>
      </c>
      <c r="B96" s="107" t="s">
        <v>2497</v>
      </c>
      <c r="C96" s="106" t="s">
        <v>752</v>
      </c>
      <c r="D96" s="107" t="s">
        <v>3427</v>
      </c>
      <c r="E96" s="136" t="s">
        <v>99</v>
      </c>
      <c r="F96" s="106" t="s">
        <v>3428</v>
      </c>
      <c r="G96" s="137" t="n">
        <v>45878</v>
      </c>
      <c r="H96" s="106" t="s">
        <v>595</v>
      </c>
      <c r="I96" s="138" t="str">
        <f aca="false">IFERROR(VLOOKUP(TEXT(H96,"0"),IPRESS!$A$3:$B$212,2,0),"")</f>
        <v>POMACOCHAS</v>
      </c>
      <c r="J96" s="106" t="s">
        <v>755</v>
      </c>
      <c r="K96" s="138" t="str">
        <f aca="false">IFERROR(VLOOKUP(TEXT(O96,"0"),CONDUCTORES!$A$3:$G$100,7,0),"")</f>
        <v/>
      </c>
      <c r="L96" s="50" t="n">
        <v>18.18</v>
      </c>
      <c r="M96" s="50" t="n">
        <v>8</v>
      </c>
      <c r="N96" s="139" t="n">
        <f aca="false">IFERROR(IF(L96*M96=0,"",L96*M96),"")</f>
        <v>145.44</v>
      </c>
      <c r="O96" s="85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37" t="n">
        <v>45968</v>
      </c>
      <c r="S96" s="107" t="s">
        <v>3429</v>
      </c>
      <c r="T96" s="136"/>
      <c r="U96" s="140"/>
      <c r="V96" s="106"/>
      <c r="W96" s="106"/>
      <c r="X96" s="106"/>
      <c r="Y96" s="85"/>
    </row>
    <row r="97" customFormat="false" ht="15.75" hidden="false" customHeight="true" outlineLevel="0" collapsed="false">
      <c r="A97" s="46" t="n">
        <v>92</v>
      </c>
      <c r="B97" s="110" t="s">
        <v>2494</v>
      </c>
      <c r="C97" s="46" t="s">
        <v>752</v>
      </c>
      <c r="D97" s="110" t="s">
        <v>3430</v>
      </c>
      <c r="E97" s="46" t="s">
        <v>99</v>
      </c>
      <c r="F97" s="46" t="s">
        <v>3431</v>
      </c>
      <c r="G97" s="142" t="n">
        <v>45881</v>
      </c>
      <c r="H97" s="46" t="s">
        <v>595</v>
      </c>
      <c r="I97" s="138" t="str">
        <f aca="false">IFERROR(VLOOKUP(TEXT(H97,"0"),IPRESS!$A$3:$B$212,2,0),"")</f>
        <v>POMACOCHAS</v>
      </c>
      <c r="J97" s="46" t="s">
        <v>755</v>
      </c>
      <c r="K97" s="138" t="str">
        <f aca="false">IFERROR(VLOOKUP(TEXT(O97,"0"),CONDUCTORES!$A$3:$G$100,7,0),"")</f>
        <v/>
      </c>
      <c r="L97" s="44" t="n">
        <v>18.18</v>
      </c>
      <c r="M97" s="44" t="n">
        <v>8</v>
      </c>
      <c r="N97" s="139" t="n">
        <f aca="false">IFERROR(IF(L97*M97=0,"",L97*M97),"")</f>
        <v>145.44</v>
      </c>
      <c r="O97" s="140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142" t="n">
        <v>45968</v>
      </c>
      <c r="S97" s="110" t="s">
        <v>3432</v>
      </c>
      <c r="T97" s="46"/>
      <c r="U97" s="85"/>
      <c r="V97" s="46"/>
      <c r="W97" s="46"/>
      <c r="X97" s="46"/>
      <c r="Y97" s="85"/>
    </row>
    <row r="98" customFormat="false" ht="15.75" hidden="false" customHeight="true" outlineLevel="0" collapsed="false">
      <c r="A98" s="106" t="n">
        <v>93</v>
      </c>
      <c r="B98" s="107" t="s">
        <v>2501</v>
      </c>
      <c r="C98" s="106" t="s">
        <v>752</v>
      </c>
      <c r="D98" s="107" t="s">
        <v>3433</v>
      </c>
      <c r="E98" s="136" t="s">
        <v>99</v>
      </c>
      <c r="F98" s="106" t="s">
        <v>3434</v>
      </c>
      <c r="G98" s="137" t="n">
        <v>45881</v>
      </c>
      <c r="H98" s="106" t="s">
        <v>595</v>
      </c>
      <c r="I98" s="138" t="str">
        <f aca="false">IFERROR(VLOOKUP(TEXT(H98,"0"),IPRESS!$A$3:$B$212,2,0),"")</f>
        <v>POMACOCHAS</v>
      </c>
      <c r="J98" s="106" t="s">
        <v>755</v>
      </c>
      <c r="K98" s="138" t="str">
        <f aca="false">IFERROR(VLOOKUP(TEXT(O98,"0"),CONDUCTORES!$A$3:$G$100,7,0),"")</f>
        <v/>
      </c>
      <c r="L98" s="50" t="n">
        <v>18.18</v>
      </c>
      <c r="M98" s="50" t="n">
        <v>8</v>
      </c>
      <c r="N98" s="139" t="n">
        <f aca="false">IFERROR(IF(L98*M98=0,"",L98*M98),"")</f>
        <v>145.44</v>
      </c>
      <c r="O98" s="85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37" t="n">
        <v>45968</v>
      </c>
      <c r="S98" s="107" t="s">
        <v>3435</v>
      </c>
      <c r="T98" s="136"/>
      <c r="U98" s="140"/>
      <c r="V98" s="106"/>
      <c r="W98" s="106"/>
      <c r="X98" s="106"/>
      <c r="Y98" s="85"/>
    </row>
    <row r="99" customFormat="false" ht="15.75" hidden="false" customHeight="true" outlineLevel="0" collapsed="false">
      <c r="A99" s="46" t="n">
        <v>94</v>
      </c>
      <c r="B99" s="110" t="s">
        <v>2505</v>
      </c>
      <c r="C99" s="46" t="s">
        <v>752</v>
      </c>
      <c r="D99" s="110" t="s">
        <v>3169</v>
      </c>
      <c r="E99" s="46" t="s">
        <v>99</v>
      </c>
      <c r="F99" s="46" t="s">
        <v>3170</v>
      </c>
      <c r="G99" s="142" t="n">
        <v>45883</v>
      </c>
      <c r="H99" s="46" t="s">
        <v>595</v>
      </c>
      <c r="I99" s="138" t="str">
        <f aca="false">IFERROR(VLOOKUP(TEXT(H99,"0"),IPRESS!$A$3:$B$212,2,0),"")</f>
        <v>POMACOCHAS</v>
      </c>
      <c r="J99" s="46" t="s">
        <v>755</v>
      </c>
      <c r="K99" s="138" t="str">
        <f aca="false">IFERROR(VLOOKUP(TEXT(O99,"0"),CONDUCTORES!$A$3:$G$100,7,0),"")</f>
        <v/>
      </c>
      <c r="L99" s="44" t="n">
        <v>18.18</v>
      </c>
      <c r="M99" s="44" t="n">
        <v>8</v>
      </c>
      <c r="N99" s="139" t="n">
        <f aca="false">IFERROR(IF(L99*M99=0,"",L99*M99),"")</f>
        <v>145.44</v>
      </c>
      <c r="O99" s="140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142" t="n">
        <v>45968</v>
      </c>
      <c r="S99" s="110" t="s">
        <v>3436</v>
      </c>
      <c r="T99" s="46"/>
      <c r="U99" s="85"/>
      <c r="V99" s="46"/>
      <c r="W99" s="46"/>
      <c r="X99" s="46"/>
      <c r="Y99" s="85"/>
    </row>
    <row r="100" customFormat="false" ht="15.75" hidden="false" customHeight="true" outlineLevel="0" collapsed="false">
      <c r="A100" s="106" t="n">
        <v>95</v>
      </c>
      <c r="B100" s="107" t="s">
        <v>3057</v>
      </c>
      <c r="C100" s="106" t="s">
        <v>752</v>
      </c>
      <c r="D100" s="107" t="s">
        <v>3437</v>
      </c>
      <c r="E100" s="136" t="s">
        <v>99</v>
      </c>
      <c r="F100" s="106" t="s">
        <v>3438</v>
      </c>
      <c r="G100" s="137" t="n">
        <v>45883</v>
      </c>
      <c r="H100" s="106" t="s">
        <v>595</v>
      </c>
      <c r="I100" s="138" t="str">
        <f aca="false">IFERROR(VLOOKUP(TEXT(H100,"0"),IPRESS!$A$3:$B$212,2,0),"")</f>
        <v>POMACOCHAS</v>
      </c>
      <c r="J100" s="106" t="s">
        <v>755</v>
      </c>
      <c r="K100" s="138" t="str">
        <f aca="false">IFERROR(VLOOKUP(TEXT(O100,"0"),CONDUCTORES!$A$3:$G$100,7,0),"")</f>
        <v/>
      </c>
      <c r="L100" s="50" t="n">
        <v>18.18</v>
      </c>
      <c r="M100" s="50" t="n">
        <v>8</v>
      </c>
      <c r="N100" s="139" t="n">
        <f aca="false">IFERROR(IF(L100*M100=0,"",L100*M100),"")</f>
        <v>145.44</v>
      </c>
      <c r="O100" s="85"/>
      <c r="P100" s="138" t="str">
        <f aca="false">IFERROR(VLOOKUP(TEXT(O100,"0"),CONDUCTORES!$A$3:$G$100,2,0),"")</f>
        <v/>
      </c>
      <c r="Q100" s="138" t="str">
        <f aca="false">IFERROR(VLOOKUP(TEXT(O100,"0"),CONDUCTORES!$A$3:$H$100,6,0),"")</f>
        <v/>
      </c>
      <c r="R100" s="137" t="n">
        <v>45968</v>
      </c>
      <c r="S100" s="107" t="s">
        <v>3439</v>
      </c>
      <c r="T100" s="136"/>
      <c r="U100" s="140"/>
      <c r="V100" s="106"/>
      <c r="W100" s="106"/>
      <c r="X100" s="106"/>
      <c r="Y100" s="85"/>
    </row>
    <row r="101" customFormat="false" ht="15.75" hidden="false" customHeight="true" outlineLevel="0" collapsed="false">
      <c r="A101" s="46" t="n">
        <v>96</v>
      </c>
      <c r="B101" s="110" t="s">
        <v>3061</v>
      </c>
      <c r="C101" s="46" t="s">
        <v>752</v>
      </c>
      <c r="D101" s="110" t="s">
        <v>3440</v>
      </c>
      <c r="E101" s="46" t="s">
        <v>99</v>
      </c>
      <c r="F101" s="46" t="s">
        <v>3441</v>
      </c>
      <c r="G101" s="142" t="n">
        <v>45884</v>
      </c>
      <c r="H101" s="46" t="s">
        <v>595</v>
      </c>
      <c r="I101" s="138" t="str">
        <f aca="false">IFERROR(VLOOKUP(TEXT(H101,"0"),IPRESS!$A$3:$B$212,2,0),"")</f>
        <v>POMACOCHAS</v>
      </c>
      <c r="J101" s="46" t="s">
        <v>755</v>
      </c>
      <c r="K101" s="138" t="str">
        <f aca="false">IFERROR(VLOOKUP(TEXT(O101,"0"),CONDUCTORES!$A$3:$G$100,7,0),"")</f>
        <v/>
      </c>
      <c r="L101" s="44" t="n">
        <v>18.18</v>
      </c>
      <c r="M101" s="44" t="n">
        <v>8</v>
      </c>
      <c r="N101" s="139" t="n">
        <f aca="false">IFERROR(IF(L101*M101=0,"",L101*M101),"")</f>
        <v>145.44</v>
      </c>
      <c r="O101" s="140"/>
      <c r="P101" s="138" t="str">
        <f aca="false">IFERROR(VLOOKUP(TEXT(O101,"0"),CONDUCTORES!$A$3:$G$100,2,0),"")</f>
        <v/>
      </c>
      <c r="Q101" s="138" t="str">
        <f aca="false">IFERROR(VLOOKUP(TEXT(O101,"0"),CONDUCTORES!$A$3:$H$100,6,0),"")</f>
        <v/>
      </c>
      <c r="R101" s="142" t="n">
        <v>45968</v>
      </c>
      <c r="S101" s="110" t="s">
        <v>3442</v>
      </c>
      <c r="T101" s="46"/>
      <c r="U101" s="85"/>
      <c r="V101" s="46"/>
      <c r="W101" s="46"/>
      <c r="X101" s="46"/>
      <c r="Y101" s="85"/>
    </row>
    <row r="102" customFormat="false" ht="15.75" hidden="false" customHeight="true" outlineLevel="0" collapsed="false">
      <c r="A102" s="106" t="n">
        <v>97</v>
      </c>
      <c r="B102" s="107" t="s">
        <v>3390</v>
      </c>
      <c r="C102" s="106" t="s">
        <v>752</v>
      </c>
      <c r="D102" s="107" t="s">
        <v>3443</v>
      </c>
      <c r="E102" s="136" t="s">
        <v>99</v>
      </c>
      <c r="F102" s="106" t="s">
        <v>3444</v>
      </c>
      <c r="G102" s="137" t="n">
        <v>45891</v>
      </c>
      <c r="H102" s="106" t="s">
        <v>595</v>
      </c>
      <c r="I102" s="138" t="str">
        <f aca="false">IFERROR(VLOOKUP(TEXT(H102,"0"),IPRESS!$A$3:$B$212,2,0),"")</f>
        <v>POMACOCHAS</v>
      </c>
      <c r="J102" s="106" t="s">
        <v>755</v>
      </c>
      <c r="K102" s="138" t="str">
        <f aca="false">IFERROR(VLOOKUP(TEXT(O102,"0"),CONDUCTORES!$A$3:$G$100,7,0),"")</f>
        <v/>
      </c>
      <c r="L102" s="50" t="n">
        <v>18.18</v>
      </c>
      <c r="M102" s="50" t="n">
        <v>8</v>
      </c>
      <c r="N102" s="139" t="n">
        <f aca="false">IFERROR(IF(L102*M102=0,"",L102*M102),"")</f>
        <v>145.44</v>
      </c>
      <c r="O102" s="85"/>
      <c r="P102" s="138" t="str">
        <f aca="false">IFERROR(VLOOKUP(TEXT(O102,"0"),CONDUCTORES!$A$3:$G$100,2,0),"")</f>
        <v/>
      </c>
      <c r="Q102" s="138" t="str">
        <f aca="false">IFERROR(VLOOKUP(TEXT(O102,"0"),CONDUCTORES!$A$3:$H$100,6,0),"")</f>
        <v/>
      </c>
      <c r="R102" s="137" t="n">
        <v>45968</v>
      </c>
      <c r="S102" s="107" t="s">
        <v>3445</v>
      </c>
      <c r="T102" s="136"/>
      <c r="U102" s="140"/>
      <c r="V102" s="106"/>
      <c r="W102" s="106"/>
      <c r="X102" s="106"/>
      <c r="Y102" s="85"/>
    </row>
    <row r="103" customFormat="false" ht="15.75" hidden="false" customHeight="true" outlineLevel="0" collapsed="false">
      <c r="A103" s="46" t="n">
        <v>98</v>
      </c>
      <c r="B103" s="110" t="s">
        <v>3394</v>
      </c>
      <c r="C103" s="46" t="s">
        <v>752</v>
      </c>
      <c r="D103" s="110" t="s">
        <v>3446</v>
      </c>
      <c r="E103" s="46" t="s">
        <v>99</v>
      </c>
      <c r="F103" s="46" t="s">
        <v>3447</v>
      </c>
      <c r="G103" s="142" t="n">
        <v>45892</v>
      </c>
      <c r="H103" s="46" t="s">
        <v>595</v>
      </c>
      <c r="I103" s="138" t="str">
        <f aca="false">IFERROR(VLOOKUP(TEXT(H103,"0"),IPRESS!$A$3:$B$212,2,0),"")</f>
        <v>POMACOCHAS</v>
      </c>
      <c r="J103" s="46" t="s">
        <v>755</v>
      </c>
      <c r="K103" s="138" t="str">
        <f aca="false">IFERROR(VLOOKUP(TEXT(O103,"0"),CONDUCTORES!$A$3:$G$100,7,0),"")</f>
        <v/>
      </c>
      <c r="L103" s="44" t="n">
        <v>18.18</v>
      </c>
      <c r="M103" s="44" t="n">
        <v>8</v>
      </c>
      <c r="N103" s="139" t="n">
        <f aca="false">IFERROR(IF(L103*M103=0,"",L103*M103),"")</f>
        <v>145.44</v>
      </c>
      <c r="O103" s="140"/>
      <c r="P103" s="138" t="str">
        <f aca="false">IFERROR(VLOOKUP(TEXT(O103,"0"),CONDUCTORES!$A$3:$G$100,2,0),"")</f>
        <v/>
      </c>
      <c r="Q103" s="138" t="str">
        <f aca="false">IFERROR(VLOOKUP(TEXT(O103,"0"),CONDUCTORES!$A$3:$H$100,6,0),"")</f>
        <v/>
      </c>
      <c r="R103" s="142" t="n">
        <v>45968</v>
      </c>
      <c r="S103" s="110" t="s">
        <v>3448</v>
      </c>
      <c r="T103" s="46"/>
      <c r="U103" s="85"/>
      <c r="V103" s="46"/>
      <c r="W103" s="46"/>
      <c r="X103" s="46"/>
      <c r="Y103" s="85"/>
    </row>
    <row r="104" customFormat="false" ht="15.75" hidden="false" customHeight="true" outlineLevel="0" collapsed="false">
      <c r="A104" s="106" t="n">
        <v>99</v>
      </c>
      <c r="B104" s="107" t="s">
        <v>3398</v>
      </c>
      <c r="C104" s="106" t="s">
        <v>752</v>
      </c>
      <c r="D104" s="107" t="s">
        <v>3449</v>
      </c>
      <c r="E104" s="136" t="s">
        <v>99</v>
      </c>
      <c r="F104" s="106" t="s">
        <v>3450</v>
      </c>
      <c r="G104" s="137" t="n">
        <v>45896</v>
      </c>
      <c r="H104" s="106" t="s">
        <v>595</v>
      </c>
      <c r="I104" s="138" t="str">
        <f aca="false">IFERROR(VLOOKUP(TEXT(H104,"0"),IPRESS!$A$3:$B$212,2,0),"")</f>
        <v>POMACOCHAS</v>
      </c>
      <c r="J104" s="106" t="s">
        <v>755</v>
      </c>
      <c r="K104" s="138" t="str">
        <f aca="false">IFERROR(VLOOKUP(TEXT(O104,"0"),CONDUCTORES!$A$3:$G$100,7,0),"")</f>
        <v/>
      </c>
      <c r="L104" s="50" t="n">
        <v>18.18</v>
      </c>
      <c r="M104" s="50" t="n">
        <v>8</v>
      </c>
      <c r="N104" s="139" t="n">
        <f aca="false">IFERROR(IF(L104*M104=0,"",L104*M104),"")</f>
        <v>145.44</v>
      </c>
      <c r="O104" s="85"/>
      <c r="P104" s="138" t="str">
        <f aca="false">IFERROR(VLOOKUP(TEXT(O104,"0"),CONDUCTORES!$A$3:$G$100,2,0),"")</f>
        <v/>
      </c>
      <c r="Q104" s="138" t="str">
        <f aca="false">IFERROR(VLOOKUP(TEXT(O104,"0"),CONDUCTORES!$A$3:$H$100,6,0),"")</f>
        <v/>
      </c>
      <c r="R104" s="137" t="n">
        <v>45968</v>
      </c>
      <c r="S104" s="107" t="s">
        <v>3451</v>
      </c>
      <c r="T104" s="136"/>
      <c r="U104" s="140"/>
      <c r="V104" s="106"/>
      <c r="W104" s="106"/>
      <c r="X104" s="106"/>
      <c r="Y104" s="85"/>
    </row>
    <row r="105" customFormat="false" ht="15.75" hidden="false" customHeight="true" outlineLevel="0" collapsed="false">
      <c r="A105" s="46" t="n">
        <v>100</v>
      </c>
      <c r="B105" s="110" t="s">
        <v>1684</v>
      </c>
      <c r="C105" s="46" t="s">
        <v>752</v>
      </c>
      <c r="D105" s="110" t="s">
        <v>3452</v>
      </c>
      <c r="E105" s="46" t="s">
        <v>99</v>
      </c>
      <c r="F105" s="46" t="s">
        <v>3453</v>
      </c>
      <c r="G105" s="142" t="n">
        <v>45873</v>
      </c>
      <c r="H105" s="46" t="s">
        <v>692</v>
      </c>
      <c r="I105" s="138" t="str">
        <f aca="false">IFERROR(VLOOKUP(TEXT(H105,"0"),IPRESS!$A$3:$B$212,2,0),"")</f>
        <v>TINGO</v>
      </c>
      <c r="J105" s="46" t="s">
        <v>755</v>
      </c>
      <c r="K105" s="138" t="str">
        <f aca="false">IFERROR(VLOOKUP(TEXT(O105,"0"),CONDUCTORES!$A$3:$G$100,7,0),"")</f>
        <v/>
      </c>
      <c r="L105" s="44" t="n">
        <v>18.18</v>
      </c>
      <c r="M105" s="44" t="n">
        <v>5</v>
      </c>
      <c r="N105" s="139" t="n">
        <f aca="false">IFERROR(IF(L105*M105=0,"",L105*M105),"")</f>
        <v>90.9</v>
      </c>
      <c r="O105" s="140"/>
      <c r="P105" s="138" t="str">
        <f aca="false">IFERROR(VLOOKUP(TEXT(O105,"0"),CONDUCTORES!$A$3:$G$100,2,0),"")</f>
        <v/>
      </c>
      <c r="Q105" s="138" t="str">
        <f aca="false">IFERROR(VLOOKUP(TEXT(O105,"0"),CONDUCTORES!$A$3:$H$100,6,0),"")</f>
        <v/>
      </c>
      <c r="R105" s="142" t="n">
        <v>45939</v>
      </c>
      <c r="S105" s="110" t="s">
        <v>2483</v>
      </c>
      <c r="T105" s="46"/>
      <c r="U105" s="85"/>
      <c r="V105" s="46"/>
      <c r="W105" s="46"/>
      <c r="X105" s="46"/>
      <c r="Y105" s="85"/>
    </row>
    <row r="106" customFormat="false" ht="15.75" hidden="false" customHeight="true" outlineLevel="0" collapsed="false">
      <c r="A106" s="106" t="n">
        <v>101</v>
      </c>
      <c r="B106" s="107" t="s">
        <v>896</v>
      </c>
      <c r="C106" s="106" t="s">
        <v>752</v>
      </c>
      <c r="D106" s="107" t="s">
        <v>3454</v>
      </c>
      <c r="E106" s="136" t="s">
        <v>99</v>
      </c>
      <c r="F106" s="106" t="s">
        <v>3455</v>
      </c>
      <c r="G106" s="137" t="n">
        <v>45875</v>
      </c>
      <c r="H106" s="106" t="s">
        <v>692</v>
      </c>
      <c r="I106" s="138" t="str">
        <f aca="false">IFERROR(VLOOKUP(TEXT(H106,"0"),IPRESS!$A$3:$B$212,2,0),"")</f>
        <v>TINGO</v>
      </c>
      <c r="J106" s="106" t="s">
        <v>755</v>
      </c>
      <c r="K106" s="138" t="str">
        <f aca="false">IFERROR(VLOOKUP(TEXT(O106,"0"),CONDUCTORES!$A$3:$G$100,7,0),"")</f>
        <v/>
      </c>
      <c r="L106" s="50" t="n">
        <v>18.18</v>
      </c>
      <c r="M106" s="50" t="n">
        <v>5</v>
      </c>
      <c r="N106" s="139" t="n">
        <f aca="false">IFERROR(IF(L106*M106=0,"",L106*M106),"")</f>
        <v>90.9</v>
      </c>
      <c r="O106" s="85"/>
      <c r="P106" s="138" t="str">
        <f aca="false">IFERROR(VLOOKUP(TEXT(O106,"0"),CONDUCTORES!$A$3:$G$100,2,0),"")</f>
        <v/>
      </c>
      <c r="Q106" s="138" t="str">
        <f aca="false">IFERROR(VLOOKUP(TEXT(O106,"0"),CONDUCTORES!$A$3:$H$100,6,0),"")</f>
        <v/>
      </c>
      <c r="R106" s="137" t="n">
        <v>45939</v>
      </c>
      <c r="S106" s="107" t="s">
        <v>998</v>
      </c>
      <c r="T106" s="136"/>
      <c r="U106" s="140"/>
      <c r="V106" s="106"/>
      <c r="W106" s="106"/>
      <c r="X106" s="106"/>
      <c r="Y106" s="85"/>
    </row>
    <row r="107" customFormat="false" ht="15.75" hidden="false" customHeight="true" outlineLevel="0" collapsed="false">
      <c r="A107" s="46" t="n">
        <v>102</v>
      </c>
      <c r="B107" s="110" t="s">
        <v>1807</v>
      </c>
      <c r="C107" s="46" t="s">
        <v>752</v>
      </c>
      <c r="D107" s="110" t="s">
        <v>3456</v>
      </c>
      <c r="E107" s="46" t="s">
        <v>99</v>
      </c>
      <c r="F107" s="46" t="s">
        <v>3457</v>
      </c>
      <c r="G107" s="142" t="n">
        <v>45876</v>
      </c>
      <c r="H107" s="46" t="s">
        <v>692</v>
      </c>
      <c r="I107" s="138" t="str">
        <f aca="false">IFERROR(VLOOKUP(TEXT(H107,"0"),IPRESS!$A$3:$B$212,2,0),"")</f>
        <v>TINGO</v>
      </c>
      <c r="J107" s="46" t="s">
        <v>755</v>
      </c>
      <c r="K107" s="138" t="str">
        <f aca="false">IFERROR(VLOOKUP(TEXT(O107,"0"),CONDUCTORES!$A$3:$G$100,7,0),"")</f>
        <v/>
      </c>
      <c r="L107" s="44" t="n">
        <v>18.18</v>
      </c>
      <c r="M107" s="44" t="n">
        <v>5</v>
      </c>
      <c r="N107" s="139" t="n">
        <f aca="false">IFERROR(IF(L107*M107=0,"",L107*M107),"")</f>
        <v>90.9</v>
      </c>
      <c r="O107" s="140"/>
      <c r="P107" s="138" t="str">
        <f aca="false">IFERROR(VLOOKUP(TEXT(O107,"0"),CONDUCTORES!$A$3:$G$100,2,0),"")</f>
        <v/>
      </c>
      <c r="Q107" s="138" t="str">
        <f aca="false">IFERROR(VLOOKUP(TEXT(O107,"0"),CONDUCTORES!$A$3:$H$100,6,0),"")</f>
        <v/>
      </c>
      <c r="R107" s="142" t="n">
        <v>45939</v>
      </c>
      <c r="S107" s="110" t="s">
        <v>3458</v>
      </c>
      <c r="T107" s="46"/>
      <c r="U107" s="85"/>
      <c r="V107" s="46"/>
      <c r="W107" s="46"/>
      <c r="X107" s="46"/>
      <c r="Y107" s="85"/>
    </row>
    <row r="108" customFormat="false" ht="15.75" hidden="false" customHeight="true" outlineLevel="0" collapsed="false">
      <c r="A108" s="106" t="n">
        <v>103</v>
      </c>
      <c r="B108" s="107" t="s">
        <v>2087</v>
      </c>
      <c r="C108" s="106" t="s">
        <v>752</v>
      </c>
      <c r="D108" s="107" t="s">
        <v>3459</v>
      </c>
      <c r="E108" s="136" t="s">
        <v>99</v>
      </c>
      <c r="F108" s="106" t="s">
        <v>3460</v>
      </c>
      <c r="G108" s="137" t="n">
        <v>45878</v>
      </c>
      <c r="H108" s="106" t="s">
        <v>692</v>
      </c>
      <c r="I108" s="138" t="str">
        <f aca="false">IFERROR(VLOOKUP(TEXT(H108,"0"),IPRESS!$A$3:$B$212,2,0),"")</f>
        <v>TINGO</v>
      </c>
      <c r="J108" s="106" t="s">
        <v>755</v>
      </c>
      <c r="K108" s="138" t="str">
        <f aca="false">IFERROR(VLOOKUP(TEXT(O108,"0"),CONDUCTORES!$A$3:$G$100,7,0),"")</f>
        <v/>
      </c>
      <c r="L108" s="50" t="n">
        <v>18.18</v>
      </c>
      <c r="M108" s="50" t="n">
        <v>5</v>
      </c>
      <c r="N108" s="139" t="n">
        <f aca="false">IFERROR(IF(L108*M108=0,"",L108*M108),"")</f>
        <v>90.9</v>
      </c>
      <c r="O108" s="85"/>
      <c r="P108" s="138" t="str">
        <f aca="false">IFERROR(VLOOKUP(TEXT(O108,"0"),CONDUCTORES!$A$3:$G$100,2,0),"")</f>
        <v/>
      </c>
      <c r="Q108" s="138" t="str">
        <f aca="false">IFERROR(VLOOKUP(TEXT(O108,"0"),CONDUCTORES!$A$3:$H$100,6,0),"")</f>
        <v/>
      </c>
      <c r="R108" s="137" t="n">
        <v>45939</v>
      </c>
      <c r="S108" s="107" t="s">
        <v>998</v>
      </c>
      <c r="T108" s="136"/>
      <c r="U108" s="140"/>
      <c r="V108" s="106"/>
      <c r="W108" s="106"/>
      <c r="X108" s="106"/>
      <c r="Y108" s="85"/>
    </row>
    <row r="109" customFormat="false" ht="15.75" hidden="false" customHeight="true" outlineLevel="0" collapsed="false">
      <c r="A109" s="46" t="n">
        <v>104</v>
      </c>
      <c r="B109" s="110" t="s">
        <v>2090</v>
      </c>
      <c r="C109" s="46" t="s">
        <v>752</v>
      </c>
      <c r="D109" s="110" t="s">
        <v>3461</v>
      </c>
      <c r="E109" s="46" t="s">
        <v>99</v>
      </c>
      <c r="F109" s="46" t="s">
        <v>3462</v>
      </c>
      <c r="G109" s="142" t="n">
        <v>45879</v>
      </c>
      <c r="H109" s="46" t="s">
        <v>692</v>
      </c>
      <c r="I109" s="138" t="str">
        <f aca="false">IFERROR(VLOOKUP(TEXT(H109,"0"),IPRESS!$A$3:$B$212,2,0),"")</f>
        <v>TINGO</v>
      </c>
      <c r="J109" s="46" t="s">
        <v>755</v>
      </c>
      <c r="K109" s="138" t="str">
        <f aca="false">IFERROR(VLOOKUP(TEXT(O109,"0"),CONDUCTORES!$A$3:$G$100,7,0),"")</f>
        <v/>
      </c>
      <c r="L109" s="44" t="n">
        <v>18.18</v>
      </c>
      <c r="M109" s="44" t="n">
        <v>5</v>
      </c>
      <c r="N109" s="139" t="n">
        <f aca="false">IFERROR(IF(L109*M109=0,"",L109*M109),"")</f>
        <v>90.9</v>
      </c>
      <c r="O109" s="140"/>
      <c r="P109" s="138" t="str">
        <f aca="false">IFERROR(VLOOKUP(TEXT(O109,"0"),CONDUCTORES!$A$3:$G$100,2,0),"")</f>
        <v/>
      </c>
      <c r="Q109" s="138" t="str">
        <f aca="false">IFERROR(VLOOKUP(TEXT(O109,"0"),CONDUCTORES!$A$3:$H$100,6,0),"")</f>
        <v/>
      </c>
      <c r="R109" s="142" t="n">
        <v>45939</v>
      </c>
      <c r="S109" s="110" t="s">
        <v>3463</v>
      </c>
      <c r="T109" s="46"/>
      <c r="U109" s="85"/>
      <c r="V109" s="46"/>
      <c r="W109" s="46"/>
      <c r="X109" s="46"/>
      <c r="Y109" s="85"/>
    </row>
    <row r="110" customFormat="false" ht="15.75" hidden="false" customHeight="true" outlineLevel="0" collapsed="false">
      <c r="A110" s="106" t="n">
        <v>105</v>
      </c>
      <c r="B110" s="107" t="s">
        <v>2093</v>
      </c>
      <c r="C110" s="106" t="s">
        <v>752</v>
      </c>
      <c r="D110" s="107" t="s">
        <v>3464</v>
      </c>
      <c r="E110" s="136" t="s">
        <v>99</v>
      </c>
      <c r="F110" s="106" t="s">
        <v>3465</v>
      </c>
      <c r="G110" s="137" t="n">
        <v>45881</v>
      </c>
      <c r="H110" s="106" t="s">
        <v>692</v>
      </c>
      <c r="I110" s="138" t="str">
        <f aca="false">IFERROR(VLOOKUP(TEXT(H110,"0"),IPRESS!$A$3:$B$212,2,0),"")</f>
        <v>TINGO</v>
      </c>
      <c r="J110" s="106" t="s">
        <v>755</v>
      </c>
      <c r="K110" s="138" t="str">
        <f aca="false">IFERROR(VLOOKUP(TEXT(O110,"0"),CONDUCTORES!$A$3:$G$100,7,0),"")</f>
        <v/>
      </c>
      <c r="L110" s="50" t="n">
        <v>18.18</v>
      </c>
      <c r="M110" s="50" t="n">
        <v>5</v>
      </c>
      <c r="N110" s="139" t="n">
        <f aca="false">IFERROR(IF(L110*M110=0,"",L110*M110),"")</f>
        <v>90.9</v>
      </c>
      <c r="O110" s="85"/>
      <c r="P110" s="138" t="str">
        <f aca="false">IFERROR(VLOOKUP(TEXT(O110,"0"),CONDUCTORES!$A$3:$G$100,2,0),"")</f>
        <v/>
      </c>
      <c r="Q110" s="138" t="str">
        <f aca="false">IFERROR(VLOOKUP(TEXT(O110,"0"),CONDUCTORES!$A$3:$H$100,6,0),"")</f>
        <v/>
      </c>
      <c r="R110" s="137" t="n">
        <v>45939</v>
      </c>
      <c r="S110" s="107" t="s">
        <v>3458</v>
      </c>
      <c r="T110" s="136"/>
      <c r="U110" s="140"/>
      <c r="V110" s="106"/>
      <c r="W110" s="106"/>
      <c r="X110" s="106"/>
      <c r="Y110" s="85"/>
    </row>
    <row r="111" customFormat="false" ht="15.75" hidden="false" customHeight="true" outlineLevel="0" collapsed="false">
      <c r="A111" s="46" t="n">
        <v>106</v>
      </c>
      <c r="B111" s="110" t="s">
        <v>1329</v>
      </c>
      <c r="C111" s="46" t="s">
        <v>752</v>
      </c>
      <c r="D111" s="110" t="s">
        <v>3466</v>
      </c>
      <c r="E111" s="46" t="s">
        <v>99</v>
      </c>
      <c r="F111" s="46" t="s">
        <v>3467</v>
      </c>
      <c r="G111" s="142" t="n">
        <v>45885</v>
      </c>
      <c r="H111" s="46" t="s">
        <v>692</v>
      </c>
      <c r="I111" s="138" t="str">
        <f aca="false">IFERROR(VLOOKUP(TEXT(H111,"0"),IPRESS!$A$3:$B$212,2,0),"")</f>
        <v>TINGO</v>
      </c>
      <c r="J111" s="46" t="s">
        <v>755</v>
      </c>
      <c r="K111" s="138" t="str">
        <f aca="false">IFERROR(VLOOKUP(TEXT(O111,"0"),CONDUCTORES!$A$3:$G$100,7,0),"")</f>
        <v/>
      </c>
      <c r="L111" s="44" t="n">
        <v>18.18</v>
      </c>
      <c r="M111" s="44" t="n">
        <v>5</v>
      </c>
      <c r="N111" s="139" t="n">
        <f aca="false">IFERROR(IF(L111*M111=0,"",L111*M111),"")</f>
        <v>90.9</v>
      </c>
      <c r="O111" s="140"/>
      <c r="P111" s="138" t="str">
        <f aca="false">IFERROR(VLOOKUP(TEXT(O111,"0"),CONDUCTORES!$A$3:$G$100,2,0),"")</f>
        <v/>
      </c>
      <c r="Q111" s="138" t="str">
        <f aca="false">IFERROR(VLOOKUP(TEXT(O111,"0"),CONDUCTORES!$A$3:$H$100,6,0),"")</f>
        <v/>
      </c>
      <c r="R111" s="142" t="n">
        <v>45939</v>
      </c>
      <c r="S111" s="110" t="s">
        <v>2235</v>
      </c>
      <c r="T111" s="46"/>
      <c r="U111" s="85"/>
      <c r="V111" s="46"/>
      <c r="W111" s="46"/>
      <c r="X111" s="46"/>
      <c r="Y111" s="85"/>
    </row>
    <row r="112" customFormat="false" ht="15.75" hidden="false" customHeight="true" outlineLevel="0" collapsed="false">
      <c r="A112" s="106" t="n">
        <v>107</v>
      </c>
      <c r="B112" s="107" t="s">
        <v>1319</v>
      </c>
      <c r="C112" s="106" t="s">
        <v>752</v>
      </c>
      <c r="D112" s="107" t="s">
        <v>3468</v>
      </c>
      <c r="E112" s="136" t="s">
        <v>99</v>
      </c>
      <c r="F112" s="106" t="s">
        <v>3469</v>
      </c>
      <c r="G112" s="137" t="n">
        <v>45885</v>
      </c>
      <c r="H112" s="106" t="s">
        <v>692</v>
      </c>
      <c r="I112" s="138" t="str">
        <f aca="false">IFERROR(VLOOKUP(TEXT(H112,"0"),IPRESS!$A$3:$B$212,2,0),"")</f>
        <v>TINGO</v>
      </c>
      <c r="J112" s="106" t="s">
        <v>755</v>
      </c>
      <c r="K112" s="138" t="str">
        <f aca="false">IFERROR(VLOOKUP(TEXT(O112,"0"),CONDUCTORES!$A$3:$G$100,7,0),"")</f>
        <v/>
      </c>
      <c r="L112" s="50" t="n">
        <v>18.18</v>
      </c>
      <c r="M112" s="50" t="n">
        <v>5</v>
      </c>
      <c r="N112" s="139" t="n">
        <f aca="false">IFERROR(IF(L112*M112=0,"",L112*M112),"")</f>
        <v>90.9</v>
      </c>
      <c r="O112" s="85"/>
      <c r="P112" s="138" t="str">
        <f aca="false">IFERROR(VLOOKUP(TEXT(O112,"0"),CONDUCTORES!$A$3:$G$100,2,0),"")</f>
        <v/>
      </c>
      <c r="Q112" s="138" t="str">
        <f aca="false">IFERROR(VLOOKUP(TEXT(O112,"0"),CONDUCTORES!$A$3:$H$100,6,0),"")</f>
        <v/>
      </c>
      <c r="R112" s="137" t="n">
        <v>45939</v>
      </c>
      <c r="S112" s="107" t="s">
        <v>3470</v>
      </c>
      <c r="T112" s="136"/>
      <c r="U112" s="140"/>
      <c r="V112" s="106"/>
      <c r="W112" s="106"/>
      <c r="X112" s="106"/>
      <c r="Y112" s="85"/>
    </row>
    <row r="113" customFormat="false" ht="15.75" hidden="false" customHeight="true" outlineLevel="0" collapsed="false">
      <c r="A113" s="46" t="n">
        <v>108</v>
      </c>
      <c r="B113" s="110" t="s">
        <v>1321</v>
      </c>
      <c r="C113" s="46" t="s">
        <v>752</v>
      </c>
      <c r="D113" s="110" t="s">
        <v>3471</v>
      </c>
      <c r="E113" s="46" t="s">
        <v>99</v>
      </c>
      <c r="F113" s="46" t="s">
        <v>3472</v>
      </c>
      <c r="G113" s="142" t="n">
        <v>45887</v>
      </c>
      <c r="H113" s="46" t="s">
        <v>692</v>
      </c>
      <c r="I113" s="138" t="str">
        <f aca="false">IFERROR(VLOOKUP(TEXT(H113,"0"),IPRESS!$A$3:$B$212,2,0),"")</f>
        <v>TINGO</v>
      </c>
      <c r="J113" s="46" t="s">
        <v>755</v>
      </c>
      <c r="K113" s="138" t="str">
        <f aca="false">IFERROR(VLOOKUP(TEXT(O113,"0"),CONDUCTORES!$A$3:$G$100,7,0),"")</f>
        <v/>
      </c>
      <c r="L113" s="44" t="n">
        <v>18.18</v>
      </c>
      <c r="M113" s="44" t="n">
        <v>5</v>
      </c>
      <c r="N113" s="139" t="n">
        <f aca="false">IFERROR(IF(L113*M113=0,"",L113*M113),"")</f>
        <v>90.9</v>
      </c>
      <c r="O113" s="140"/>
      <c r="P113" s="138" t="str">
        <f aca="false">IFERROR(VLOOKUP(TEXT(O113,"0"),CONDUCTORES!$A$3:$G$100,2,0),"")</f>
        <v/>
      </c>
      <c r="Q113" s="138" t="str">
        <f aca="false">IFERROR(VLOOKUP(TEXT(O113,"0"),CONDUCTORES!$A$3:$H$100,6,0),"")</f>
        <v/>
      </c>
      <c r="R113" s="142" t="n">
        <v>45939</v>
      </c>
      <c r="S113" s="110" t="s">
        <v>3473</v>
      </c>
      <c r="T113" s="46"/>
      <c r="U113" s="85"/>
      <c r="V113" s="46"/>
      <c r="W113" s="46"/>
      <c r="X113" s="46"/>
      <c r="Y113" s="85"/>
    </row>
    <row r="114" customFormat="false" ht="15.75" hidden="false" customHeight="true" outlineLevel="0" collapsed="false">
      <c r="A114" s="106" t="n">
        <v>109</v>
      </c>
      <c r="B114" s="107" t="s">
        <v>1325</v>
      </c>
      <c r="C114" s="106" t="s">
        <v>752</v>
      </c>
      <c r="D114" s="107" t="s">
        <v>3474</v>
      </c>
      <c r="E114" s="136" t="s">
        <v>99</v>
      </c>
      <c r="F114" s="106" t="s">
        <v>3475</v>
      </c>
      <c r="G114" s="137" t="n">
        <v>45889</v>
      </c>
      <c r="H114" s="106" t="s">
        <v>692</v>
      </c>
      <c r="I114" s="138" t="str">
        <f aca="false">IFERROR(VLOOKUP(TEXT(H114,"0"),IPRESS!$A$3:$B$212,2,0),"")</f>
        <v>TINGO</v>
      </c>
      <c r="J114" s="106" t="s">
        <v>755</v>
      </c>
      <c r="K114" s="138" t="str">
        <f aca="false">IFERROR(VLOOKUP(TEXT(O114,"0"),CONDUCTORES!$A$3:$G$100,7,0),"")</f>
        <v/>
      </c>
      <c r="L114" s="50" t="n">
        <v>18.18</v>
      </c>
      <c r="M114" s="50" t="n">
        <v>5</v>
      </c>
      <c r="N114" s="139" t="n">
        <f aca="false">IFERROR(IF(L114*M114=0,"",L114*M114),"")</f>
        <v>90.9</v>
      </c>
      <c r="O114" s="85"/>
      <c r="P114" s="138" t="str">
        <f aca="false">IFERROR(VLOOKUP(TEXT(O114,"0"),CONDUCTORES!$A$3:$G$100,2,0),"")</f>
        <v/>
      </c>
      <c r="Q114" s="138" t="str">
        <f aca="false">IFERROR(VLOOKUP(TEXT(O114,"0"),CONDUCTORES!$A$3:$H$100,6,0),"")</f>
        <v/>
      </c>
      <c r="R114" s="137" t="n">
        <v>45939</v>
      </c>
      <c r="S114" s="107" t="s">
        <v>3473</v>
      </c>
      <c r="T114" s="136"/>
      <c r="U114" s="140"/>
      <c r="V114" s="106"/>
      <c r="W114" s="106"/>
      <c r="X114" s="106"/>
      <c r="Y114" s="85"/>
    </row>
    <row r="115" customFormat="false" ht="15.75" hidden="false" customHeight="true" outlineLevel="0" collapsed="false">
      <c r="A115" s="46" t="n">
        <v>110</v>
      </c>
      <c r="B115" s="110" t="s">
        <v>1314</v>
      </c>
      <c r="C115" s="46" t="s">
        <v>752</v>
      </c>
      <c r="D115" s="110" t="s">
        <v>3476</v>
      </c>
      <c r="E115" s="46" t="s">
        <v>99</v>
      </c>
      <c r="F115" s="46" t="s">
        <v>3477</v>
      </c>
      <c r="G115" s="142" t="n">
        <v>45891</v>
      </c>
      <c r="H115" s="46" t="s">
        <v>692</v>
      </c>
      <c r="I115" s="138" t="str">
        <f aca="false">IFERROR(VLOOKUP(TEXT(H115,"0"),IPRESS!$A$3:$B$212,2,0),"")</f>
        <v>TINGO</v>
      </c>
      <c r="J115" s="46" t="s">
        <v>755</v>
      </c>
      <c r="K115" s="138" t="str">
        <f aca="false">IFERROR(VLOOKUP(TEXT(O115,"0"),CONDUCTORES!$A$3:$G$100,7,0),"")</f>
        <v/>
      </c>
      <c r="L115" s="44" t="n">
        <v>18.18</v>
      </c>
      <c r="M115" s="44" t="n">
        <v>5</v>
      </c>
      <c r="N115" s="139" t="n">
        <f aca="false">IFERROR(IF(L115*M115=0,"",L115*M115),"")</f>
        <v>90.9</v>
      </c>
      <c r="O115" s="140"/>
      <c r="P115" s="138" t="str">
        <f aca="false">IFERROR(VLOOKUP(TEXT(O115,"0"),CONDUCTORES!$A$3:$G$100,2,0),"")</f>
        <v/>
      </c>
      <c r="Q115" s="138" t="str">
        <f aca="false">IFERROR(VLOOKUP(TEXT(O115,"0"),CONDUCTORES!$A$3:$H$100,6,0),"")</f>
        <v/>
      </c>
      <c r="R115" s="142" t="n">
        <v>45939</v>
      </c>
      <c r="S115" s="110" t="s">
        <v>3478</v>
      </c>
      <c r="T115" s="46"/>
      <c r="U115" s="85"/>
      <c r="V115" s="46"/>
      <c r="W115" s="46"/>
      <c r="X115" s="46"/>
      <c r="Y115" s="85"/>
    </row>
    <row r="116" customFormat="false" ht="15.75" hidden="false" customHeight="true" outlineLevel="0" collapsed="false">
      <c r="A116" s="106" t="n">
        <v>111</v>
      </c>
      <c r="B116" s="107" t="s">
        <v>1331</v>
      </c>
      <c r="C116" s="106" t="s">
        <v>752</v>
      </c>
      <c r="D116" s="107" t="s">
        <v>3479</v>
      </c>
      <c r="E116" s="136" t="s">
        <v>99</v>
      </c>
      <c r="F116" s="106" t="s">
        <v>3480</v>
      </c>
      <c r="G116" s="137" t="n">
        <v>45896</v>
      </c>
      <c r="H116" s="106" t="s">
        <v>692</v>
      </c>
      <c r="I116" s="138" t="str">
        <f aca="false">IFERROR(VLOOKUP(TEXT(H116,"0"),IPRESS!$A$3:$B$212,2,0),"")</f>
        <v>TINGO</v>
      </c>
      <c r="J116" s="106" t="s">
        <v>755</v>
      </c>
      <c r="K116" s="138" t="str">
        <f aca="false">IFERROR(VLOOKUP(TEXT(O116,"0"),CONDUCTORES!$A$3:$G$100,7,0),"")</f>
        <v/>
      </c>
      <c r="L116" s="50" t="n">
        <v>18.18</v>
      </c>
      <c r="M116" s="50" t="n">
        <v>5</v>
      </c>
      <c r="N116" s="139" t="n">
        <f aca="false">IFERROR(IF(L116*M116=0,"",L116*M116),"")</f>
        <v>90.9</v>
      </c>
      <c r="O116" s="85"/>
      <c r="P116" s="138" t="str">
        <f aca="false">IFERROR(VLOOKUP(TEXT(O116,"0"),CONDUCTORES!$A$3:$G$100,2,0),"")</f>
        <v/>
      </c>
      <c r="Q116" s="138" t="str">
        <f aca="false">IFERROR(VLOOKUP(TEXT(O116,"0"),CONDUCTORES!$A$3:$H$100,6,0),"")</f>
        <v/>
      </c>
      <c r="R116" s="137" t="n">
        <v>45939</v>
      </c>
      <c r="S116" s="107" t="s">
        <v>3481</v>
      </c>
      <c r="T116" s="136"/>
      <c r="U116" s="140"/>
      <c r="V116" s="106"/>
      <c r="W116" s="106"/>
      <c r="X116" s="106"/>
      <c r="Y116" s="85"/>
    </row>
    <row r="117" customFormat="false" ht="15.75" hidden="false" customHeight="true" outlineLevel="0" collapsed="false">
      <c r="A117" s="46" t="n">
        <v>112</v>
      </c>
      <c r="B117" s="110" t="s">
        <v>1335</v>
      </c>
      <c r="C117" s="46" t="s">
        <v>752</v>
      </c>
      <c r="D117" s="110" t="s">
        <v>3482</v>
      </c>
      <c r="E117" s="46" t="s">
        <v>99</v>
      </c>
      <c r="F117" s="46" t="s">
        <v>3483</v>
      </c>
      <c r="G117" s="142" t="n">
        <v>45897</v>
      </c>
      <c r="H117" s="46" t="s">
        <v>692</v>
      </c>
      <c r="I117" s="138" t="str">
        <f aca="false">IFERROR(VLOOKUP(TEXT(H117,"0"),IPRESS!$A$3:$B$212,2,0),"")</f>
        <v>TINGO</v>
      </c>
      <c r="J117" s="46" t="s">
        <v>755</v>
      </c>
      <c r="K117" s="138" t="str">
        <f aca="false">IFERROR(VLOOKUP(TEXT(O117,"0"),CONDUCTORES!$A$3:$G$100,7,0),"")</f>
        <v/>
      </c>
      <c r="L117" s="44" t="n">
        <v>18.18</v>
      </c>
      <c r="M117" s="44" t="n">
        <v>5</v>
      </c>
      <c r="N117" s="139" t="n">
        <f aca="false">IFERROR(IF(L117*M117=0,"",L117*M117),"")</f>
        <v>90.9</v>
      </c>
      <c r="O117" s="140"/>
      <c r="P117" s="138" t="str">
        <f aca="false">IFERROR(VLOOKUP(TEXT(O117,"0"),CONDUCTORES!$A$3:$G$100,2,0),"")</f>
        <v/>
      </c>
      <c r="Q117" s="138" t="str">
        <f aca="false">IFERROR(VLOOKUP(TEXT(O117,"0"),CONDUCTORES!$A$3:$H$100,6,0),"")</f>
        <v/>
      </c>
      <c r="R117" s="142" t="n">
        <v>45939</v>
      </c>
      <c r="S117" s="110" t="s">
        <v>3484</v>
      </c>
      <c r="T117" s="46"/>
      <c r="U117" s="85"/>
      <c r="V117" s="46"/>
      <c r="W117" s="46"/>
      <c r="X117" s="46"/>
      <c r="Y117" s="85"/>
    </row>
    <row r="118" customFormat="false" ht="15.75" hidden="false" customHeight="true" outlineLevel="0" collapsed="false">
      <c r="A118" s="106" t="n">
        <v>113</v>
      </c>
      <c r="B118" s="107" t="s">
        <v>926</v>
      </c>
      <c r="C118" s="106" t="s">
        <v>752</v>
      </c>
      <c r="D118" s="107" t="s">
        <v>3485</v>
      </c>
      <c r="E118" s="136" t="s">
        <v>99</v>
      </c>
      <c r="F118" s="106" t="s">
        <v>3486</v>
      </c>
      <c r="G118" s="137" t="n">
        <v>45896</v>
      </c>
      <c r="H118" s="106" t="s">
        <v>714</v>
      </c>
      <c r="I118" s="138" t="str">
        <f aca="false">IFERROR(VLOOKUP(TEXT(H118,"0"),IPRESS!$A$3:$B$212,2,0),"")</f>
        <v>YAMBRASBAMBA</v>
      </c>
      <c r="J118" s="106" t="s">
        <v>595</v>
      </c>
      <c r="K118" s="138" t="str">
        <f aca="false">IFERROR(VLOOKUP(TEXT(O118,"0"),CONDUCTORES!$A$3:$G$100,7,0),"")</f>
        <v/>
      </c>
      <c r="L118" s="50" t="n">
        <v>18.18</v>
      </c>
      <c r="M118" s="50" t="n">
        <v>4</v>
      </c>
      <c r="N118" s="139" t="n">
        <f aca="false">IFERROR(IF(L118*M118=0,"",L118*M118),"")</f>
        <v>72.72</v>
      </c>
      <c r="O118" s="85"/>
      <c r="P118" s="138" t="str">
        <f aca="false">IFERROR(VLOOKUP(TEXT(O118,"0"),CONDUCTORES!$A$3:$G$100,2,0),"")</f>
        <v/>
      </c>
      <c r="Q118" s="138" t="str">
        <f aca="false">IFERROR(VLOOKUP(TEXT(O118,"0"),CONDUCTORES!$A$3:$H$100,6,0),"")</f>
        <v/>
      </c>
      <c r="R118" s="140"/>
      <c r="S118" s="107" t="s">
        <v>3487</v>
      </c>
      <c r="T118" s="136"/>
      <c r="U118" s="140"/>
      <c r="V118" s="106"/>
      <c r="W118" s="106"/>
      <c r="X118" s="106"/>
      <c r="Y118" s="85"/>
    </row>
    <row r="119" customFormat="false" ht="15.75" hidden="false" customHeight="true" outlineLevel="0" collapsed="false">
      <c r="A119" s="46" t="n">
        <v>114</v>
      </c>
      <c r="B119" s="110" t="s">
        <v>892</v>
      </c>
      <c r="C119" s="46" t="s">
        <v>752</v>
      </c>
      <c r="D119" s="110" t="s">
        <v>2817</v>
      </c>
      <c r="E119" s="46" t="s">
        <v>99</v>
      </c>
      <c r="F119" s="46" t="s">
        <v>2818</v>
      </c>
      <c r="G119" s="142" t="n">
        <v>45870</v>
      </c>
      <c r="H119" s="46" t="s">
        <v>717</v>
      </c>
      <c r="I119" s="138" t="str">
        <f aca="false">IFERROR(VLOOKUP(TEXT(H119,"0"),IPRESS!$A$3:$B$212,2,0),"")</f>
        <v>YERBABUENA</v>
      </c>
      <c r="J119" s="46" t="s">
        <v>755</v>
      </c>
      <c r="K119" s="138" t="str">
        <f aca="false">IFERROR(VLOOKUP(TEXT(O119,"0"),CONDUCTORES!$A$3:$G$100,7,0),"")</f>
        <v/>
      </c>
      <c r="L119" s="44" t="n">
        <v>18.18</v>
      </c>
      <c r="M119" s="44" t="n">
        <v>6</v>
      </c>
      <c r="N119" s="139" t="n">
        <f aca="false">IFERROR(IF(L119*M119=0,"",L119*M119),"")</f>
        <v>109.08</v>
      </c>
      <c r="O119" s="140"/>
      <c r="P119" s="138" t="str">
        <f aca="false">IFERROR(VLOOKUP(TEXT(O119,"0"),CONDUCTORES!$A$3:$G$100,2,0),"")</f>
        <v/>
      </c>
      <c r="Q119" s="138" t="str">
        <f aca="false">IFERROR(VLOOKUP(TEXT(O119,"0"),CONDUCTORES!$A$3:$H$100,6,0),"")</f>
        <v/>
      </c>
      <c r="R119" s="142" t="n">
        <v>45981</v>
      </c>
      <c r="S119" s="110" t="s">
        <v>3488</v>
      </c>
      <c r="T119" s="46"/>
      <c r="U119" s="85"/>
      <c r="V119" s="46"/>
      <c r="W119" s="46"/>
      <c r="X119" s="46"/>
      <c r="Y119" s="85"/>
    </row>
    <row r="120" customFormat="false" ht="15.75" hidden="false" customHeight="true" outlineLevel="0" collapsed="false">
      <c r="A120" s="106" t="n">
        <v>115</v>
      </c>
      <c r="B120" s="107" t="s">
        <v>1679</v>
      </c>
      <c r="C120" s="106" t="s">
        <v>752</v>
      </c>
      <c r="D120" s="107" t="s">
        <v>3489</v>
      </c>
      <c r="E120" s="136" t="s">
        <v>99</v>
      </c>
      <c r="F120" s="106" t="s">
        <v>3490</v>
      </c>
      <c r="G120" s="137" t="n">
        <v>45876</v>
      </c>
      <c r="H120" s="106" t="s">
        <v>717</v>
      </c>
      <c r="I120" s="138" t="str">
        <f aca="false">IFERROR(VLOOKUP(TEXT(H120,"0"),IPRESS!$A$3:$B$212,2,0),"")</f>
        <v>YERBABUENA</v>
      </c>
      <c r="J120" s="106" t="s">
        <v>755</v>
      </c>
      <c r="K120" s="138" t="str">
        <f aca="false">IFERROR(VLOOKUP(TEXT(O120,"0"),CONDUCTORES!$A$3:$G$100,7,0),"")</f>
        <v/>
      </c>
      <c r="L120" s="50" t="n">
        <v>18.18</v>
      </c>
      <c r="M120" s="50" t="n">
        <v>6</v>
      </c>
      <c r="N120" s="139" t="n">
        <f aca="false">IFERROR(IF(L120*M120=0,"",L120*M120),"")</f>
        <v>109.08</v>
      </c>
      <c r="O120" s="85"/>
      <c r="P120" s="138" t="str">
        <f aca="false">IFERROR(VLOOKUP(TEXT(O120,"0"),CONDUCTORES!$A$3:$G$100,2,0),"")</f>
        <v/>
      </c>
      <c r="Q120" s="138" t="str">
        <f aca="false">IFERROR(VLOOKUP(TEXT(O120,"0"),CONDUCTORES!$A$3:$H$100,6,0),"")</f>
        <v/>
      </c>
      <c r="R120" s="137" t="n">
        <v>45981</v>
      </c>
      <c r="S120" s="107" t="s">
        <v>3491</v>
      </c>
      <c r="T120" s="136"/>
      <c r="U120" s="140"/>
      <c r="V120" s="106"/>
      <c r="W120" s="106"/>
      <c r="X120" s="106"/>
      <c r="Y120" s="85"/>
    </row>
    <row r="121" customFormat="false" ht="15.75" hidden="false" customHeight="true" outlineLevel="0" collapsed="false">
      <c r="A121" s="46" t="n">
        <v>116</v>
      </c>
      <c r="B121" s="110" t="s">
        <v>1684</v>
      </c>
      <c r="C121" s="46" t="s">
        <v>752</v>
      </c>
      <c r="D121" s="110" t="s">
        <v>3492</v>
      </c>
      <c r="E121" s="46" t="s">
        <v>99</v>
      </c>
      <c r="F121" s="46" t="s">
        <v>3493</v>
      </c>
      <c r="G121" s="142" t="n">
        <v>45881</v>
      </c>
      <c r="H121" s="46" t="s">
        <v>717</v>
      </c>
      <c r="I121" s="138" t="str">
        <f aca="false">IFERROR(VLOOKUP(TEXT(H121,"0"),IPRESS!$A$3:$B$212,2,0),"")</f>
        <v>YERBABUENA</v>
      </c>
      <c r="J121" s="46" t="s">
        <v>755</v>
      </c>
      <c r="K121" s="138" t="str">
        <f aca="false">IFERROR(VLOOKUP(TEXT(O121,"0"),CONDUCTORES!$A$3:$G$100,7,0),"")</f>
        <v/>
      </c>
      <c r="L121" s="44" t="n">
        <v>18.18</v>
      </c>
      <c r="M121" s="44" t="n">
        <v>6</v>
      </c>
      <c r="N121" s="139" t="n">
        <f aca="false">IFERROR(IF(L121*M121=0,"",L121*M121),"")</f>
        <v>109.08</v>
      </c>
      <c r="O121" s="140"/>
      <c r="P121" s="138" t="str">
        <f aca="false">IFERROR(VLOOKUP(TEXT(O121,"0"),CONDUCTORES!$A$3:$G$100,2,0),"")</f>
        <v/>
      </c>
      <c r="Q121" s="138" t="str">
        <f aca="false">IFERROR(VLOOKUP(TEXT(O121,"0"),CONDUCTORES!$A$3:$H$100,6,0),"")</f>
        <v/>
      </c>
      <c r="R121" s="142" t="n">
        <v>45981</v>
      </c>
      <c r="S121" s="110" t="s">
        <v>907</v>
      </c>
      <c r="T121" s="46"/>
      <c r="U121" s="85"/>
      <c r="V121" s="46"/>
      <c r="W121" s="46"/>
      <c r="X121" s="46"/>
      <c r="Y121" s="85"/>
    </row>
    <row r="122" customFormat="false" ht="15.75" hidden="false" customHeight="true" outlineLevel="0" collapsed="false">
      <c r="A122" s="106" t="n">
        <v>117</v>
      </c>
      <c r="B122" s="107" t="s">
        <v>896</v>
      </c>
      <c r="C122" s="106" t="s">
        <v>752</v>
      </c>
      <c r="D122" s="107" t="s">
        <v>3494</v>
      </c>
      <c r="E122" s="136" t="s">
        <v>99</v>
      </c>
      <c r="F122" s="106" t="s">
        <v>3495</v>
      </c>
      <c r="G122" s="137" t="n">
        <v>45885</v>
      </c>
      <c r="H122" s="106" t="s">
        <v>717</v>
      </c>
      <c r="I122" s="138" t="str">
        <f aca="false">IFERROR(VLOOKUP(TEXT(H122,"0"),IPRESS!$A$3:$B$212,2,0),"")</f>
        <v>YERBABUENA</v>
      </c>
      <c r="J122" s="106" t="s">
        <v>755</v>
      </c>
      <c r="K122" s="138" t="str">
        <f aca="false">IFERROR(VLOOKUP(TEXT(O122,"0"),CONDUCTORES!$A$3:$G$100,7,0),"")</f>
        <v/>
      </c>
      <c r="L122" s="50" t="n">
        <v>18.18</v>
      </c>
      <c r="M122" s="50" t="n">
        <v>6</v>
      </c>
      <c r="N122" s="139" t="n">
        <f aca="false">IFERROR(IF(L122*M122=0,"",L122*M122),"")</f>
        <v>109.08</v>
      </c>
      <c r="O122" s="85"/>
      <c r="P122" s="138" t="str">
        <f aca="false">IFERROR(VLOOKUP(TEXT(O122,"0"),CONDUCTORES!$A$3:$G$100,2,0),"")</f>
        <v/>
      </c>
      <c r="Q122" s="138" t="str">
        <f aca="false">IFERROR(VLOOKUP(TEXT(O122,"0"),CONDUCTORES!$A$3:$H$100,6,0),"")</f>
        <v/>
      </c>
      <c r="R122" s="137" t="n">
        <v>45981</v>
      </c>
      <c r="S122" s="107" t="s">
        <v>3192</v>
      </c>
      <c r="T122" s="136"/>
      <c r="U122" s="140"/>
      <c r="V122" s="106"/>
      <c r="W122" s="106"/>
      <c r="X122" s="106"/>
      <c r="Y122" s="85"/>
    </row>
    <row r="123" customFormat="false" ht="15.75" hidden="false" customHeight="true" outlineLevel="0" collapsed="false">
      <c r="A123" s="46" t="n">
        <v>118</v>
      </c>
      <c r="B123" s="110" t="s">
        <v>2090</v>
      </c>
      <c r="C123" s="46" t="s">
        <v>752</v>
      </c>
      <c r="D123" s="110" t="s">
        <v>3163</v>
      </c>
      <c r="E123" s="46" t="s">
        <v>99</v>
      </c>
      <c r="F123" s="46" t="s">
        <v>3164</v>
      </c>
      <c r="G123" s="142" t="n">
        <v>45893</v>
      </c>
      <c r="H123" s="46" t="s">
        <v>717</v>
      </c>
      <c r="I123" s="138" t="str">
        <f aca="false">IFERROR(VLOOKUP(TEXT(H123,"0"),IPRESS!$A$3:$B$212,2,0),"")</f>
        <v>YERBABUENA</v>
      </c>
      <c r="J123" s="46" t="s">
        <v>717</v>
      </c>
      <c r="K123" s="138" t="str">
        <f aca="false">IFERROR(VLOOKUP(TEXT(O123,"0"),CONDUCTORES!$A$3:$G$100,7,0),"")</f>
        <v/>
      </c>
      <c r="L123" s="44" t="n">
        <v>18.18</v>
      </c>
      <c r="M123" s="44" t="n">
        <v>6</v>
      </c>
      <c r="N123" s="139" t="n">
        <f aca="false">IFERROR(IF(L123*M123=0,"",L123*M123),"")</f>
        <v>109.08</v>
      </c>
      <c r="O123" s="140"/>
      <c r="P123" s="138" t="str">
        <f aca="false">IFERROR(VLOOKUP(TEXT(O123,"0"),CONDUCTORES!$A$3:$G$100,2,0),"")</f>
        <v/>
      </c>
      <c r="Q123" s="138" t="str">
        <f aca="false">IFERROR(VLOOKUP(TEXT(O123,"0"),CONDUCTORES!$A$3:$H$100,6,0),"")</f>
        <v/>
      </c>
      <c r="R123" s="142" t="n">
        <v>45981</v>
      </c>
      <c r="S123" s="110" t="s">
        <v>2808</v>
      </c>
      <c r="T123" s="46"/>
      <c r="U123" s="85"/>
      <c r="V123" s="46"/>
      <c r="W123" s="46"/>
      <c r="X123" s="46"/>
      <c r="Y123" s="85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</row>
    <row r="125" customFormat="false" ht="24" hidden="false" customHeight="true" outlineLevel="0" collapsed="false">
      <c r="A125" s="148" t="s">
        <v>1177</v>
      </c>
      <c r="B125" s="148"/>
      <c r="C125" s="148"/>
      <c r="D125" s="148"/>
      <c r="E125" s="148"/>
      <c r="F125" s="148"/>
      <c r="G125" s="148"/>
      <c r="H125" s="148"/>
      <c r="I125" s="148"/>
      <c r="J125" s="148"/>
      <c r="K125" s="149"/>
      <c r="L125" s="85"/>
      <c r="M125" s="150" t="n">
        <f aca="false">SUBTOTAL(9,M4:M123)</f>
        <v>900.5</v>
      </c>
      <c r="N125" s="150" t="n">
        <f aca="false">SUBTOTAL(9,N4:N123)</f>
        <v>16828.56</v>
      </c>
      <c r="O125" s="85"/>
      <c r="P125" s="138" t="str">
        <f aca="false">IFERROR(VLOOKUP(TEXT(O125,"0"),CONDUCTORES!$A$3:$G$100,2,0),"")</f>
        <v/>
      </c>
      <c r="Q125" s="138" t="str">
        <f aca="false">IFERROR(VLOOKUP(TEXT(O125,"0"),CONDUCTORES!$A$3:$H$100,6,0),"")</f>
        <v/>
      </c>
      <c r="R125" s="85"/>
      <c r="S125" s="85"/>
      <c r="T125" s="85"/>
      <c r="U125" s="85"/>
      <c r="V125" s="85"/>
      <c r="W125" s="85"/>
      <c r="X125" s="85"/>
      <c r="Y125" s="85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49"/>
      <c r="J126" s="85"/>
      <c r="K126" s="149"/>
      <c r="L126" s="85"/>
      <c r="M126" s="85"/>
      <c r="N126" s="151"/>
      <c r="O126" s="85"/>
      <c r="P126" s="149"/>
      <c r="Q126" s="149"/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49"/>
      <c r="J127" s="140"/>
      <c r="K127" s="149"/>
      <c r="L127" s="140"/>
      <c r="M127" s="140"/>
      <c r="N127" s="151"/>
      <c r="O127" s="140"/>
      <c r="P127" s="149"/>
      <c r="Q127" s="149"/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49"/>
      <c r="J128" s="85"/>
      <c r="K128" s="149"/>
      <c r="L128" s="85"/>
      <c r="M128" s="85"/>
      <c r="N128" s="151"/>
      <c r="O128" s="85"/>
      <c r="P128" s="149"/>
      <c r="Q128" s="149"/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49"/>
      <c r="J129" s="140"/>
      <c r="K129" s="149"/>
      <c r="L129" s="140"/>
      <c r="M129" s="140"/>
      <c r="N129" s="151"/>
      <c r="O129" s="140"/>
      <c r="P129" s="149"/>
      <c r="Q129" s="149"/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1801</v>
      </c>
      <c r="N506" s="153" t="n">
        <f aca="false">SUM(N6:N505)</f>
        <v>33657.12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25:J125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24 E126:E505" type="list">
      <formula1>"DNI,CE,PASAPORTE"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3496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IFERROR(SUMPRODUCT((K4:K104="PETROLEO")*ISNUMBER(M4:M104)*M4:M104),0)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IFERROR(SUMPRODUCT((K4:K104="GASOLINA")*ISNUMBER(M4:M104)*M4:M104),0)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IFERROR(SUMPRODUCT(ISNUMBER(M4:M104)*L4:L104*M4:M104),0)</f>
        <v>0</v>
      </c>
      <c r="Q2" s="125"/>
      <c r="R2" s="125"/>
      <c r="S2" s="123" t="s">
        <v>727</v>
      </c>
      <c r="T2" s="123"/>
      <c r="U2" s="126" t="n">
        <f aca="false">SUBTOTAL(2,A4:A104)</f>
        <v>97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06" t="n">
        <v>1</v>
      </c>
      <c r="B6" s="107" t="s">
        <v>873</v>
      </c>
      <c r="C6" s="106" t="s">
        <v>752</v>
      </c>
      <c r="D6" s="107" t="s">
        <v>3497</v>
      </c>
      <c r="E6" s="136" t="s">
        <v>99</v>
      </c>
      <c r="F6" s="106" t="s">
        <v>3498</v>
      </c>
      <c r="G6" s="137" t="n">
        <v>45929</v>
      </c>
      <c r="H6" s="106" t="s">
        <v>357</v>
      </c>
      <c r="I6" s="138" t="str">
        <f aca="false">IFERROR(VLOOKUP(TEXT(H6,"0"),IPRESS!$A$3:$B$212,2,0),"")</f>
        <v>CAMPORREDONDO</v>
      </c>
      <c r="J6" s="106" t="s">
        <v>755</v>
      </c>
      <c r="K6" s="138" t="str">
        <f aca="false">IFERROR(VLOOKUP(TEXT(O6,"0"),CONDUCTORES!$A$3:$G$100,7,0),"")</f>
        <v/>
      </c>
      <c r="L6" s="50" t="n">
        <v>18.18</v>
      </c>
      <c r="M6" s="50" t="n">
        <v>20</v>
      </c>
      <c r="N6" s="139" t="n">
        <f aca="false">IFERROR(IF(L6*M6=0,"",L6*M6),"")</f>
        <v>363.6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40"/>
      <c r="S6" s="107" t="s">
        <v>2844</v>
      </c>
      <c r="T6" s="136"/>
      <c r="U6" s="140"/>
      <c r="V6" s="106"/>
      <c r="W6" s="106"/>
      <c r="X6" s="106"/>
      <c r="Y6" s="85"/>
    </row>
    <row r="7" customFormat="false" ht="15.75" hidden="false" customHeight="true" outlineLevel="0" collapsed="false">
      <c r="A7" s="46" t="n">
        <v>2</v>
      </c>
      <c r="B7" s="110" t="s">
        <v>832</v>
      </c>
      <c r="C7" s="46" t="s">
        <v>752</v>
      </c>
      <c r="D7" s="110" t="s">
        <v>3499</v>
      </c>
      <c r="E7" s="46" t="s">
        <v>99</v>
      </c>
      <c r="F7" s="46" t="s">
        <v>3500</v>
      </c>
      <c r="G7" s="142" t="n">
        <v>45908</v>
      </c>
      <c r="H7" s="46" t="s">
        <v>395</v>
      </c>
      <c r="I7" s="138" t="str">
        <f aca="false">IFERROR(VLOOKUP(TEXT(H7,"0"),IPRESS!$A$3:$B$212,2,0),"")</f>
        <v>CHUQUIBAMBA</v>
      </c>
      <c r="J7" s="46" t="s">
        <v>755</v>
      </c>
      <c r="K7" s="138" t="str">
        <f aca="false">IFERROR(VLOOKUP(TEXT(O7,"0"),CONDUCTORES!$A$3:$G$100,7,0),"")</f>
        <v/>
      </c>
      <c r="L7" s="44" t="n">
        <v>18.18</v>
      </c>
      <c r="M7" s="44" t="n">
        <v>15</v>
      </c>
      <c r="N7" s="139" t="n">
        <f aca="false">IFERROR(IF(L7*M7=0,"",L7*M7),"")</f>
        <v>272.7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142" t="n">
        <v>45951</v>
      </c>
      <c r="S7" s="110" t="s">
        <v>1588</v>
      </c>
      <c r="T7" s="46"/>
      <c r="U7" s="85"/>
      <c r="V7" s="46" t="s">
        <v>2850</v>
      </c>
      <c r="W7" s="46" t="s">
        <v>2554</v>
      </c>
      <c r="X7" s="46" t="s">
        <v>2351</v>
      </c>
      <c r="Y7" s="85"/>
    </row>
    <row r="8" customFormat="false" ht="15.75" hidden="false" customHeight="true" outlineLevel="0" collapsed="false">
      <c r="A8" s="106" t="n">
        <v>3</v>
      </c>
      <c r="B8" s="107" t="s">
        <v>844</v>
      </c>
      <c r="C8" s="106" t="s">
        <v>752</v>
      </c>
      <c r="D8" s="107" t="s">
        <v>3501</v>
      </c>
      <c r="E8" s="136" t="s">
        <v>99</v>
      </c>
      <c r="F8" s="106" t="s">
        <v>3502</v>
      </c>
      <c r="G8" s="137" t="n">
        <v>45910</v>
      </c>
      <c r="H8" s="106" t="s">
        <v>395</v>
      </c>
      <c r="I8" s="138" t="str">
        <f aca="false">IFERROR(VLOOKUP(TEXT(H8,"0"),IPRESS!$A$3:$B$212,2,0),"")</f>
        <v>CHUQUIBAMBA</v>
      </c>
      <c r="J8" s="106" t="s">
        <v>755</v>
      </c>
      <c r="K8" s="138" t="str">
        <f aca="false">IFERROR(VLOOKUP(TEXT(O8,"0"),CONDUCTORES!$A$3:$G$100,7,0),"")</f>
        <v/>
      </c>
      <c r="L8" s="50" t="n">
        <v>18.18</v>
      </c>
      <c r="M8" s="50" t="n">
        <v>15</v>
      </c>
      <c r="N8" s="139" t="n">
        <f aca="false">IFERROR(IF(L8*M8=0,"",L8*M8),"")</f>
        <v>272.7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37" t="n">
        <v>45992</v>
      </c>
      <c r="S8" s="107" t="s">
        <v>3503</v>
      </c>
      <c r="T8" s="136"/>
      <c r="U8" s="140"/>
      <c r="V8" s="106"/>
      <c r="W8" s="106"/>
      <c r="X8" s="106"/>
      <c r="Y8" s="85"/>
    </row>
    <row r="9" customFormat="false" ht="15.75" hidden="false" customHeight="true" outlineLevel="0" collapsed="false">
      <c r="A9" s="46" t="n">
        <v>4</v>
      </c>
      <c r="B9" s="110" t="s">
        <v>1262</v>
      </c>
      <c r="C9" s="46" t="s">
        <v>752</v>
      </c>
      <c r="D9" s="110" t="s">
        <v>949</v>
      </c>
      <c r="E9" s="46" t="s">
        <v>99</v>
      </c>
      <c r="F9" s="46" t="s">
        <v>950</v>
      </c>
      <c r="G9" s="142" t="n">
        <v>45908</v>
      </c>
      <c r="H9" s="46" t="s">
        <v>409</v>
      </c>
      <c r="I9" s="138" t="str">
        <f aca="false">IFERROR(VLOOKUP(TEXT(H9,"0"),IPRESS!$A$3:$B$212,2,0),"")</f>
        <v>COLLONCE</v>
      </c>
      <c r="J9" s="46" t="s">
        <v>755</v>
      </c>
      <c r="K9" s="138" t="str">
        <f aca="false">IFERROR(VLOOKUP(TEXT(O9,"0"),CONDUCTORES!$A$3:$G$100,7,0),"")</f>
        <v/>
      </c>
      <c r="L9" s="44" t="n">
        <v>18.18</v>
      </c>
      <c r="M9" s="44" t="n">
        <v>20</v>
      </c>
      <c r="N9" s="139" t="n">
        <f aca="false">IFERROR(IF(L9*M9=0,"",L9*M9),"")</f>
        <v>363.6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85"/>
      <c r="S9" s="110" t="s">
        <v>951</v>
      </c>
      <c r="T9" s="46"/>
      <c r="U9" s="85"/>
      <c r="V9" s="46"/>
      <c r="W9" s="46"/>
      <c r="X9" s="46"/>
      <c r="Y9" s="85"/>
    </row>
    <row r="10" customFormat="false" ht="15.75" hidden="false" customHeight="true" outlineLevel="0" collapsed="false">
      <c r="A10" s="106" t="n">
        <v>5</v>
      </c>
      <c r="B10" s="107" t="s">
        <v>827</v>
      </c>
      <c r="C10" s="106" t="s">
        <v>752</v>
      </c>
      <c r="D10" s="107" t="s">
        <v>3504</v>
      </c>
      <c r="E10" s="136" t="s">
        <v>99</v>
      </c>
      <c r="F10" s="106" t="s">
        <v>3505</v>
      </c>
      <c r="G10" s="137" t="n">
        <v>45917</v>
      </c>
      <c r="H10" s="106" t="s">
        <v>460</v>
      </c>
      <c r="I10" s="138" t="str">
        <f aca="false">IFERROR(VLOOKUP(TEXT(H10,"0"),IPRESS!$A$3:$B$212,2,0),"")</f>
        <v>GUADALUPE</v>
      </c>
      <c r="J10" s="106" t="s">
        <v>1216</v>
      </c>
      <c r="K10" s="138" t="str">
        <f aca="false">IFERROR(VLOOKUP(TEXT(O10,"0"),CONDUCTORES!$A$3:$G$100,7,0),"")</f>
        <v/>
      </c>
      <c r="L10" s="50" t="n">
        <v>18.18</v>
      </c>
      <c r="M10" s="50" t="n">
        <v>20</v>
      </c>
      <c r="N10" s="139" t="n">
        <f aca="false">IFERROR(IF(L10*M10=0,"",L10*M10),"")</f>
        <v>363.6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37" t="n">
        <v>45965</v>
      </c>
      <c r="S10" s="107" t="s">
        <v>3506</v>
      </c>
      <c r="T10" s="136" t="s">
        <v>3507</v>
      </c>
      <c r="U10" s="140"/>
      <c r="V10" s="106"/>
      <c r="W10" s="106"/>
      <c r="X10" s="106"/>
      <c r="Y10" s="85"/>
    </row>
    <row r="11" customFormat="false" ht="15.75" hidden="false" customHeight="true" outlineLevel="0" collapsed="false">
      <c r="A11" s="46" t="n">
        <v>1</v>
      </c>
      <c r="B11" s="110" t="s">
        <v>3508</v>
      </c>
      <c r="C11" s="46" t="s">
        <v>752</v>
      </c>
      <c r="D11" s="110" t="s">
        <v>3509</v>
      </c>
      <c r="E11" s="46" t="s">
        <v>99</v>
      </c>
      <c r="F11" s="46" t="s">
        <v>3510</v>
      </c>
      <c r="G11" s="142" t="n">
        <v>45901</v>
      </c>
      <c r="H11" s="46" t="s">
        <v>529</v>
      </c>
      <c r="I11" s="138" t="str">
        <f aca="false">IFERROR(VLOOKUP(TEXT(H11,"0"),IPRESS!$A$3:$B$212,2,0),"")</f>
        <v>MARIA AUXILIADORA</v>
      </c>
      <c r="J11" s="46" t="s">
        <v>755</v>
      </c>
      <c r="K11" s="138" t="str">
        <f aca="false">IFERROR(VLOOKUP(TEXT(O11,"0"),CONDUCTORES!$A$3:$G$100,7,0),"")</f>
        <v/>
      </c>
      <c r="L11" s="44" t="n">
        <v>20.25</v>
      </c>
      <c r="M11" s="44" t="n">
        <v>6</v>
      </c>
      <c r="N11" s="139" t="n">
        <f aca="false">IFERROR(IF(L11*M11=0,"",L11*M11),"")</f>
        <v>121.5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142" t="n">
        <v>45968</v>
      </c>
      <c r="S11" s="110" t="s">
        <v>2411</v>
      </c>
      <c r="T11" s="46"/>
      <c r="U11" s="85"/>
      <c r="V11" s="46"/>
      <c r="W11" s="46"/>
      <c r="X11" s="46"/>
      <c r="Y11" s="85"/>
    </row>
    <row r="12" customFormat="false" ht="15.75" hidden="false" customHeight="true" outlineLevel="0" collapsed="false">
      <c r="A12" s="106" t="n">
        <v>2</v>
      </c>
      <c r="B12" s="107" t="s">
        <v>3511</v>
      </c>
      <c r="C12" s="106" t="s">
        <v>752</v>
      </c>
      <c r="D12" s="107" t="s">
        <v>3512</v>
      </c>
      <c r="E12" s="136" t="s">
        <v>99</v>
      </c>
      <c r="F12" s="106" t="s">
        <v>3513</v>
      </c>
      <c r="G12" s="137" t="n">
        <v>45902</v>
      </c>
      <c r="H12" s="106" t="s">
        <v>529</v>
      </c>
      <c r="I12" s="138" t="str">
        <f aca="false">IFERROR(VLOOKUP(TEXT(H12,"0"),IPRESS!$A$3:$B$212,2,0),"")</f>
        <v>MARIA AUXILIADORA</v>
      </c>
      <c r="J12" s="106" t="s">
        <v>755</v>
      </c>
      <c r="K12" s="138" t="str">
        <f aca="false">IFERROR(VLOOKUP(TEXT(O12,"0"),CONDUCTORES!$A$3:$G$100,7,0),"")</f>
        <v/>
      </c>
      <c r="L12" s="50" t="n">
        <v>20.25</v>
      </c>
      <c r="M12" s="50" t="n">
        <v>7</v>
      </c>
      <c r="N12" s="139" t="n">
        <f aca="false">IFERROR(IF(L12*M12=0,"",L12*M12),"")</f>
        <v>141.75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37" t="n">
        <v>45968</v>
      </c>
      <c r="S12" s="107" t="s">
        <v>3514</v>
      </c>
      <c r="T12" s="136"/>
      <c r="U12" s="140"/>
      <c r="V12" s="106"/>
      <c r="W12" s="106"/>
      <c r="X12" s="106"/>
      <c r="Y12" s="85"/>
    </row>
    <row r="13" customFormat="false" ht="15.75" hidden="false" customHeight="true" outlineLevel="0" collapsed="false">
      <c r="A13" s="46" t="n">
        <v>3</v>
      </c>
      <c r="B13" s="110" t="s">
        <v>3515</v>
      </c>
      <c r="C13" s="46" t="s">
        <v>752</v>
      </c>
      <c r="D13" s="110" t="s">
        <v>3516</v>
      </c>
      <c r="E13" s="46" t="s">
        <v>99</v>
      </c>
      <c r="F13" s="46" t="s">
        <v>3517</v>
      </c>
      <c r="G13" s="142" t="n">
        <v>45904</v>
      </c>
      <c r="H13" s="46" t="s">
        <v>529</v>
      </c>
      <c r="I13" s="138" t="str">
        <f aca="false">IFERROR(VLOOKUP(TEXT(H13,"0"),IPRESS!$A$3:$B$212,2,0),"")</f>
        <v>MARIA AUXILIADORA</v>
      </c>
      <c r="J13" s="46" t="s">
        <v>755</v>
      </c>
      <c r="K13" s="138" t="str">
        <f aca="false">IFERROR(VLOOKUP(TEXT(O13,"0"),CONDUCTORES!$A$3:$G$100,7,0),"")</f>
        <v/>
      </c>
      <c r="L13" s="44" t="n">
        <v>20.25</v>
      </c>
      <c r="M13" s="44" t="n">
        <v>7</v>
      </c>
      <c r="N13" s="139" t="n">
        <f aca="false">IFERROR(IF(L13*M13=0,"",L13*M13),"")</f>
        <v>141.75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142" t="n">
        <v>45968</v>
      </c>
      <c r="S13" s="110" t="s">
        <v>3518</v>
      </c>
      <c r="T13" s="46"/>
      <c r="U13" s="85"/>
      <c r="V13" s="46"/>
      <c r="W13" s="46"/>
      <c r="X13" s="46"/>
      <c r="Y13" s="85"/>
    </row>
    <row r="14" customFormat="false" ht="15.75" hidden="false" customHeight="true" outlineLevel="0" collapsed="false">
      <c r="A14" s="106" t="n">
        <v>4</v>
      </c>
      <c r="B14" s="107" t="s">
        <v>3519</v>
      </c>
      <c r="C14" s="106" t="s">
        <v>752</v>
      </c>
      <c r="D14" s="107" t="s">
        <v>3520</v>
      </c>
      <c r="E14" s="136" t="s">
        <v>99</v>
      </c>
      <c r="F14" s="106" t="s">
        <v>3521</v>
      </c>
      <c r="G14" s="137" t="n">
        <v>45905</v>
      </c>
      <c r="H14" s="106" t="s">
        <v>529</v>
      </c>
      <c r="I14" s="138" t="str">
        <f aca="false">IFERROR(VLOOKUP(TEXT(H14,"0"),IPRESS!$A$3:$B$212,2,0),"")</f>
        <v>MARIA AUXILIADORA</v>
      </c>
      <c r="J14" s="106" t="s">
        <v>755</v>
      </c>
      <c r="K14" s="138" t="str">
        <f aca="false">IFERROR(VLOOKUP(TEXT(O14,"0"),CONDUCTORES!$A$3:$G$100,7,0),"")</f>
        <v/>
      </c>
      <c r="L14" s="50" t="n">
        <v>20.25</v>
      </c>
      <c r="M14" s="50" t="n">
        <v>7</v>
      </c>
      <c r="N14" s="139" t="n">
        <f aca="false">IFERROR(IF(L14*M14=0,"",L14*M14),"")</f>
        <v>141.75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37" t="n">
        <v>45968</v>
      </c>
      <c r="S14" s="107" t="s">
        <v>3522</v>
      </c>
      <c r="T14" s="136"/>
      <c r="U14" s="140"/>
      <c r="V14" s="106"/>
      <c r="W14" s="106"/>
      <c r="X14" s="106"/>
      <c r="Y14" s="85"/>
    </row>
    <row r="15" customFormat="false" ht="15.75" hidden="false" customHeight="true" outlineLevel="0" collapsed="false">
      <c r="A15" s="46" t="n">
        <v>5</v>
      </c>
      <c r="B15" s="110" t="s">
        <v>3523</v>
      </c>
      <c r="C15" s="46" t="s">
        <v>752</v>
      </c>
      <c r="D15" s="110" t="s">
        <v>3524</v>
      </c>
      <c r="E15" s="46" t="s">
        <v>99</v>
      </c>
      <c r="F15" s="46" t="s">
        <v>3525</v>
      </c>
      <c r="G15" s="142" t="n">
        <v>45907</v>
      </c>
      <c r="H15" s="46" t="s">
        <v>529</v>
      </c>
      <c r="I15" s="138" t="str">
        <f aca="false">IFERROR(VLOOKUP(TEXT(H15,"0"),IPRESS!$A$3:$B$212,2,0),"")</f>
        <v>MARIA AUXILIADORA</v>
      </c>
      <c r="J15" s="46" t="s">
        <v>755</v>
      </c>
      <c r="K15" s="138" t="str">
        <f aca="false">IFERROR(VLOOKUP(TEXT(O15,"0"),CONDUCTORES!$A$3:$G$100,7,0),"")</f>
        <v/>
      </c>
      <c r="L15" s="44" t="n">
        <v>20.25</v>
      </c>
      <c r="M15" s="44" t="n">
        <v>7</v>
      </c>
      <c r="N15" s="139" t="n">
        <f aca="false">IFERROR(IF(L15*M15=0,"",L15*M15),"")</f>
        <v>141.75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142" t="n">
        <v>45968</v>
      </c>
      <c r="S15" s="110" t="s">
        <v>1276</v>
      </c>
      <c r="T15" s="46"/>
      <c r="U15" s="85"/>
      <c r="V15" s="46"/>
      <c r="W15" s="46"/>
      <c r="X15" s="46"/>
      <c r="Y15" s="85"/>
    </row>
    <row r="16" customFormat="false" ht="15.75" hidden="false" customHeight="true" outlineLevel="0" collapsed="false">
      <c r="A16" s="106" t="n">
        <v>6</v>
      </c>
      <c r="B16" s="107" t="s">
        <v>3526</v>
      </c>
      <c r="C16" s="106" t="s">
        <v>752</v>
      </c>
      <c r="D16" s="107" t="s">
        <v>3527</v>
      </c>
      <c r="E16" s="136" t="s">
        <v>99</v>
      </c>
      <c r="F16" s="106" t="s">
        <v>3528</v>
      </c>
      <c r="G16" s="137" t="n">
        <v>45908</v>
      </c>
      <c r="H16" s="106" t="s">
        <v>529</v>
      </c>
      <c r="I16" s="138" t="str">
        <f aca="false">IFERROR(VLOOKUP(TEXT(H16,"0"),IPRESS!$A$3:$B$212,2,0),"")</f>
        <v>MARIA AUXILIADORA</v>
      </c>
      <c r="J16" s="106" t="s">
        <v>755</v>
      </c>
      <c r="K16" s="138" t="str">
        <f aca="false">IFERROR(VLOOKUP(TEXT(O16,"0"),CONDUCTORES!$A$3:$G$100,7,0),"")</f>
        <v/>
      </c>
      <c r="L16" s="50" t="n">
        <v>20.25</v>
      </c>
      <c r="M16" s="50" t="n">
        <v>7</v>
      </c>
      <c r="N16" s="139" t="n">
        <f aca="false">IFERROR(IF(L16*M16=0,"",L16*M16),"")</f>
        <v>141.75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37" t="n">
        <v>45968</v>
      </c>
      <c r="S16" s="107" t="s">
        <v>3529</v>
      </c>
      <c r="T16" s="136"/>
      <c r="U16" s="140"/>
      <c r="V16" s="106"/>
      <c r="W16" s="106"/>
      <c r="X16" s="106"/>
      <c r="Y16" s="85"/>
    </row>
    <row r="17" customFormat="false" ht="15.75" hidden="false" customHeight="true" outlineLevel="0" collapsed="false">
      <c r="A17" s="46" t="n">
        <v>7</v>
      </c>
      <c r="B17" s="110" t="s">
        <v>3530</v>
      </c>
      <c r="C17" s="46" t="s">
        <v>752</v>
      </c>
      <c r="D17" s="110" t="s">
        <v>3531</v>
      </c>
      <c r="E17" s="46" t="s">
        <v>99</v>
      </c>
      <c r="F17" s="46" t="s">
        <v>3532</v>
      </c>
      <c r="G17" s="142" t="n">
        <v>45909</v>
      </c>
      <c r="H17" s="46" t="s">
        <v>529</v>
      </c>
      <c r="I17" s="138" t="str">
        <f aca="false">IFERROR(VLOOKUP(TEXT(H17,"0"),IPRESS!$A$3:$B$212,2,0),"")</f>
        <v>MARIA AUXILIADORA</v>
      </c>
      <c r="J17" s="46" t="s">
        <v>755</v>
      </c>
      <c r="K17" s="138" t="str">
        <f aca="false">IFERROR(VLOOKUP(TEXT(O17,"0"),CONDUCTORES!$A$3:$G$100,7,0),"")</f>
        <v/>
      </c>
      <c r="L17" s="44" t="n">
        <v>20.25</v>
      </c>
      <c r="M17" s="44" t="n">
        <v>7</v>
      </c>
      <c r="N17" s="139" t="n">
        <f aca="false">IFERROR(IF(L17*M17=0,"",L17*M17),"")</f>
        <v>141.75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142" t="n">
        <v>45968</v>
      </c>
      <c r="S17" s="110" t="s">
        <v>1585</v>
      </c>
      <c r="T17" s="46"/>
      <c r="U17" s="85"/>
      <c r="V17" s="46"/>
      <c r="W17" s="46"/>
      <c r="X17" s="46"/>
      <c r="Y17" s="85"/>
    </row>
    <row r="18" customFormat="false" ht="15.75" hidden="false" customHeight="true" outlineLevel="0" collapsed="false">
      <c r="A18" s="106" t="n">
        <v>8</v>
      </c>
      <c r="B18" s="107" t="s">
        <v>3533</v>
      </c>
      <c r="C18" s="106" t="s">
        <v>752</v>
      </c>
      <c r="D18" s="107" t="s">
        <v>3534</v>
      </c>
      <c r="E18" s="136" t="s">
        <v>99</v>
      </c>
      <c r="F18" s="106" t="s">
        <v>3535</v>
      </c>
      <c r="G18" s="137" t="n">
        <v>45909</v>
      </c>
      <c r="H18" s="106" t="s">
        <v>529</v>
      </c>
      <c r="I18" s="138" t="str">
        <f aca="false">IFERROR(VLOOKUP(TEXT(H18,"0"),IPRESS!$A$3:$B$212,2,0),"")</f>
        <v>MARIA AUXILIADORA</v>
      </c>
      <c r="J18" s="106" t="s">
        <v>755</v>
      </c>
      <c r="K18" s="138" t="str">
        <f aca="false">IFERROR(VLOOKUP(TEXT(O18,"0"),CONDUCTORES!$A$3:$G$100,7,0),"")</f>
        <v/>
      </c>
      <c r="L18" s="50" t="n">
        <v>20.25</v>
      </c>
      <c r="M18" s="50" t="n">
        <v>7</v>
      </c>
      <c r="N18" s="139" t="n">
        <f aca="false">IFERROR(IF(L18*M18=0,"",L18*M18),"")</f>
        <v>141.75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37" t="n">
        <v>45968</v>
      </c>
      <c r="S18" s="107" t="s">
        <v>2603</v>
      </c>
      <c r="T18" s="136"/>
      <c r="U18" s="140"/>
      <c r="V18" s="106"/>
      <c r="W18" s="106"/>
      <c r="X18" s="106"/>
      <c r="Y18" s="85"/>
    </row>
    <row r="19" customFormat="false" ht="15.75" hidden="false" customHeight="true" outlineLevel="0" collapsed="false">
      <c r="A19" s="46" t="n">
        <v>9</v>
      </c>
      <c r="B19" s="110" t="s">
        <v>3536</v>
      </c>
      <c r="C19" s="46" t="s">
        <v>752</v>
      </c>
      <c r="D19" s="110" t="s">
        <v>3537</v>
      </c>
      <c r="E19" s="46" t="s">
        <v>99</v>
      </c>
      <c r="F19" s="46" t="s">
        <v>3538</v>
      </c>
      <c r="G19" s="142" t="n">
        <v>45910</v>
      </c>
      <c r="H19" s="46" t="s">
        <v>529</v>
      </c>
      <c r="I19" s="138" t="str">
        <f aca="false">IFERROR(VLOOKUP(TEXT(H19,"0"),IPRESS!$A$3:$B$212,2,0),"")</f>
        <v>MARIA AUXILIADORA</v>
      </c>
      <c r="J19" s="46" t="s">
        <v>755</v>
      </c>
      <c r="K19" s="138" t="str">
        <f aca="false">IFERROR(VLOOKUP(TEXT(O19,"0"),CONDUCTORES!$A$3:$G$100,7,0),"")</f>
        <v/>
      </c>
      <c r="L19" s="44" t="n">
        <v>20.25</v>
      </c>
      <c r="M19" s="44" t="n">
        <v>7</v>
      </c>
      <c r="N19" s="139" t="n">
        <f aca="false">IFERROR(IF(L19*M19=0,"",L19*M19),"")</f>
        <v>141.75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142" t="n">
        <v>45968</v>
      </c>
      <c r="S19" s="110" t="s">
        <v>3539</v>
      </c>
      <c r="T19" s="46"/>
      <c r="U19" s="85"/>
      <c r="V19" s="46"/>
      <c r="W19" s="46"/>
      <c r="X19" s="46"/>
      <c r="Y19" s="85"/>
    </row>
    <row r="20" customFormat="false" ht="15.75" hidden="false" customHeight="true" outlineLevel="0" collapsed="false">
      <c r="A20" s="106" t="n">
        <v>10</v>
      </c>
      <c r="B20" s="107" t="s">
        <v>3540</v>
      </c>
      <c r="C20" s="106" t="s">
        <v>752</v>
      </c>
      <c r="D20" s="107" t="s">
        <v>3541</v>
      </c>
      <c r="E20" s="136" t="s">
        <v>99</v>
      </c>
      <c r="F20" s="106" t="s">
        <v>3542</v>
      </c>
      <c r="G20" s="137" t="n">
        <v>45913</v>
      </c>
      <c r="H20" s="106" t="s">
        <v>529</v>
      </c>
      <c r="I20" s="138" t="str">
        <f aca="false">IFERROR(VLOOKUP(TEXT(H20,"0"),IPRESS!$A$3:$B$212,2,0),"")</f>
        <v>MARIA AUXILIADORA</v>
      </c>
      <c r="J20" s="106" t="s">
        <v>755</v>
      </c>
      <c r="K20" s="138" t="str">
        <f aca="false">IFERROR(VLOOKUP(TEXT(O20,"0"),CONDUCTORES!$A$3:$G$100,7,0),"")</f>
        <v/>
      </c>
      <c r="L20" s="50" t="n">
        <v>20.25</v>
      </c>
      <c r="M20" s="50" t="n">
        <v>5.9</v>
      </c>
      <c r="N20" s="139" t="n">
        <f aca="false">IFERROR(IF(L20*M20=0,"",L20*M20),"")</f>
        <v>119.475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37" t="n">
        <v>45968</v>
      </c>
      <c r="S20" s="107" t="s">
        <v>3543</v>
      </c>
      <c r="T20" s="136"/>
      <c r="U20" s="140"/>
      <c r="V20" s="106"/>
      <c r="W20" s="106"/>
      <c r="X20" s="106"/>
      <c r="Y20" s="85"/>
    </row>
    <row r="21" customFormat="false" ht="15.75" hidden="false" customHeight="true" outlineLevel="0" collapsed="false">
      <c r="A21" s="46" t="n">
        <v>11</v>
      </c>
      <c r="B21" s="110" t="s">
        <v>3544</v>
      </c>
      <c r="C21" s="46" t="s">
        <v>752</v>
      </c>
      <c r="D21" s="110" t="s">
        <v>3545</v>
      </c>
      <c r="E21" s="46" t="s">
        <v>99</v>
      </c>
      <c r="F21" s="46" t="s">
        <v>3546</v>
      </c>
      <c r="G21" s="142" t="n">
        <v>45914</v>
      </c>
      <c r="H21" s="46" t="s">
        <v>529</v>
      </c>
      <c r="I21" s="138" t="str">
        <f aca="false">IFERROR(VLOOKUP(TEXT(H21,"0"),IPRESS!$A$3:$B$212,2,0),"")</f>
        <v>MARIA AUXILIADORA</v>
      </c>
      <c r="J21" s="46" t="s">
        <v>755</v>
      </c>
      <c r="K21" s="138" t="str">
        <f aca="false">IFERROR(VLOOKUP(TEXT(O21,"0"),CONDUCTORES!$A$3:$G$100,7,0),"")</f>
        <v/>
      </c>
      <c r="L21" s="44" t="n">
        <v>20.25</v>
      </c>
      <c r="M21" s="44" t="n">
        <v>7</v>
      </c>
      <c r="N21" s="139" t="n">
        <f aca="false">IFERROR(IF(L21*M21=0,"",L21*M21),"")</f>
        <v>141.75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142" t="n">
        <v>45968</v>
      </c>
      <c r="S21" s="110" t="s">
        <v>3547</v>
      </c>
      <c r="T21" s="46"/>
      <c r="U21" s="85"/>
      <c r="V21" s="46"/>
      <c r="W21" s="46"/>
      <c r="X21" s="46"/>
      <c r="Y21" s="85"/>
    </row>
    <row r="22" customFormat="false" ht="15.75" hidden="false" customHeight="true" outlineLevel="0" collapsed="false">
      <c r="A22" s="106" t="n">
        <v>12</v>
      </c>
      <c r="B22" s="107" t="s">
        <v>3548</v>
      </c>
      <c r="C22" s="106" t="s">
        <v>752</v>
      </c>
      <c r="D22" s="107" t="s">
        <v>3549</v>
      </c>
      <c r="E22" s="136" t="s">
        <v>99</v>
      </c>
      <c r="F22" s="106" t="s">
        <v>3550</v>
      </c>
      <c r="G22" s="137" t="n">
        <v>45915</v>
      </c>
      <c r="H22" s="106" t="s">
        <v>529</v>
      </c>
      <c r="I22" s="138" t="str">
        <f aca="false">IFERROR(VLOOKUP(TEXT(H22,"0"),IPRESS!$A$3:$B$212,2,0),"")</f>
        <v>MARIA AUXILIADORA</v>
      </c>
      <c r="J22" s="106" t="s">
        <v>755</v>
      </c>
      <c r="K22" s="138" t="str">
        <f aca="false">IFERROR(VLOOKUP(TEXT(O22,"0"),CONDUCTORES!$A$3:$G$100,7,0),"")</f>
        <v/>
      </c>
      <c r="L22" s="50" t="n">
        <v>20.25</v>
      </c>
      <c r="M22" s="50" t="n">
        <v>6.2</v>
      </c>
      <c r="N22" s="139" t="n">
        <f aca="false">IFERROR(IF(L22*M22=0,"",L22*M22),"")</f>
        <v>125.55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37" t="n">
        <v>45968</v>
      </c>
      <c r="S22" s="107" t="s">
        <v>3551</v>
      </c>
      <c r="T22" s="136"/>
      <c r="U22" s="140"/>
      <c r="V22" s="106"/>
      <c r="W22" s="106"/>
      <c r="X22" s="106"/>
      <c r="Y22" s="85"/>
    </row>
    <row r="23" customFormat="false" ht="15.75" hidden="false" customHeight="true" outlineLevel="0" collapsed="false">
      <c r="A23" s="46" t="n">
        <v>13</v>
      </c>
      <c r="B23" s="110" t="s">
        <v>3552</v>
      </c>
      <c r="C23" s="46" t="s">
        <v>752</v>
      </c>
      <c r="D23" s="110" t="s">
        <v>3219</v>
      </c>
      <c r="E23" s="46" t="s">
        <v>99</v>
      </c>
      <c r="F23" s="46" t="s">
        <v>3220</v>
      </c>
      <c r="G23" s="142" t="n">
        <v>45915</v>
      </c>
      <c r="H23" s="46" t="s">
        <v>529</v>
      </c>
      <c r="I23" s="138" t="str">
        <f aca="false">IFERROR(VLOOKUP(TEXT(H23,"0"),IPRESS!$A$3:$B$212,2,0),"")</f>
        <v>MARIA AUXILIADORA</v>
      </c>
      <c r="J23" s="46" t="s">
        <v>755</v>
      </c>
      <c r="K23" s="138" t="str">
        <f aca="false">IFERROR(VLOOKUP(TEXT(O23,"0"),CONDUCTORES!$A$3:$G$100,7,0),"")</f>
        <v/>
      </c>
      <c r="L23" s="44" t="n">
        <v>20.25</v>
      </c>
      <c r="M23" s="44" t="n">
        <v>7</v>
      </c>
      <c r="N23" s="139" t="n">
        <f aca="false">IFERROR(IF(L23*M23=0,"",L23*M23),"")</f>
        <v>141.75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142" t="n">
        <v>45968</v>
      </c>
      <c r="S23" s="110" t="s">
        <v>3553</v>
      </c>
      <c r="T23" s="46"/>
      <c r="U23" s="85"/>
      <c r="V23" s="46"/>
      <c r="W23" s="46"/>
      <c r="X23" s="46"/>
      <c r="Y23" s="85"/>
    </row>
    <row r="24" customFormat="false" ht="15.75" hidden="false" customHeight="true" outlineLevel="0" collapsed="false">
      <c r="A24" s="106" t="n">
        <v>14</v>
      </c>
      <c r="B24" s="107" t="s">
        <v>3554</v>
      </c>
      <c r="C24" s="106" t="s">
        <v>752</v>
      </c>
      <c r="D24" s="107" t="s">
        <v>3555</v>
      </c>
      <c r="E24" s="136" t="s">
        <v>99</v>
      </c>
      <c r="F24" s="106" t="s">
        <v>3556</v>
      </c>
      <c r="G24" s="137" t="n">
        <v>45915</v>
      </c>
      <c r="H24" s="106" t="s">
        <v>529</v>
      </c>
      <c r="I24" s="138" t="str">
        <f aca="false">IFERROR(VLOOKUP(TEXT(H24,"0"),IPRESS!$A$3:$B$212,2,0),"")</f>
        <v>MARIA AUXILIADORA</v>
      </c>
      <c r="J24" s="106" t="s">
        <v>755</v>
      </c>
      <c r="K24" s="138" t="str">
        <f aca="false">IFERROR(VLOOKUP(TEXT(O24,"0"),CONDUCTORES!$A$3:$G$100,7,0),"")</f>
        <v/>
      </c>
      <c r="L24" s="50" t="n">
        <v>20.25</v>
      </c>
      <c r="M24" s="50" t="n">
        <v>7</v>
      </c>
      <c r="N24" s="139" t="n">
        <f aca="false">IFERROR(IF(L24*M24=0,"",L24*M24),"")</f>
        <v>141.75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37" t="n">
        <v>45968</v>
      </c>
      <c r="S24" s="107" t="s">
        <v>3557</v>
      </c>
      <c r="T24" s="136"/>
      <c r="U24" s="140"/>
      <c r="V24" s="106"/>
      <c r="W24" s="106"/>
      <c r="X24" s="106"/>
      <c r="Y24" s="85"/>
    </row>
    <row r="25" customFormat="false" ht="15.75" hidden="false" customHeight="true" outlineLevel="0" collapsed="false">
      <c r="A25" s="46" t="n">
        <v>15</v>
      </c>
      <c r="B25" s="110" t="s">
        <v>3558</v>
      </c>
      <c r="C25" s="46" t="s">
        <v>752</v>
      </c>
      <c r="D25" s="110" t="s">
        <v>3559</v>
      </c>
      <c r="E25" s="46" t="s">
        <v>99</v>
      </c>
      <c r="F25" s="46" t="s">
        <v>3560</v>
      </c>
      <c r="G25" s="142" t="n">
        <v>45916</v>
      </c>
      <c r="H25" s="46" t="s">
        <v>529</v>
      </c>
      <c r="I25" s="138" t="str">
        <f aca="false">IFERROR(VLOOKUP(TEXT(H25,"0"),IPRESS!$A$3:$B$212,2,0),"")</f>
        <v>MARIA AUXILIADORA</v>
      </c>
      <c r="J25" s="46" t="s">
        <v>755</v>
      </c>
      <c r="K25" s="138" t="str">
        <f aca="false">IFERROR(VLOOKUP(TEXT(O25,"0"),CONDUCTORES!$A$3:$G$100,7,0),"")</f>
        <v/>
      </c>
      <c r="L25" s="44" t="n">
        <v>20.25</v>
      </c>
      <c r="M25" s="44" t="n">
        <v>6.5</v>
      </c>
      <c r="N25" s="139" t="n">
        <f aca="false">IFERROR(IF(L25*M25=0,"",L25*M25),"")</f>
        <v>131.625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142" t="n">
        <v>45968</v>
      </c>
      <c r="S25" s="110" t="s">
        <v>3561</v>
      </c>
      <c r="T25" s="46"/>
      <c r="U25" s="85"/>
      <c r="V25" s="46"/>
      <c r="W25" s="46"/>
      <c r="X25" s="46"/>
      <c r="Y25" s="85"/>
    </row>
    <row r="26" customFormat="false" ht="15.75" hidden="false" customHeight="true" outlineLevel="0" collapsed="false">
      <c r="A26" s="106" t="n">
        <v>16</v>
      </c>
      <c r="B26" s="107" t="s">
        <v>3562</v>
      </c>
      <c r="C26" s="106" t="s">
        <v>752</v>
      </c>
      <c r="D26" s="107" t="s">
        <v>3563</v>
      </c>
      <c r="E26" s="136" t="s">
        <v>99</v>
      </c>
      <c r="F26" s="106" t="s">
        <v>3564</v>
      </c>
      <c r="G26" s="137" t="n">
        <v>45921</v>
      </c>
      <c r="H26" s="106" t="s">
        <v>529</v>
      </c>
      <c r="I26" s="138" t="str">
        <f aca="false">IFERROR(VLOOKUP(TEXT(H26,"0"),IPRESS!$A$3:$B$212,2,0),"")</f>
        <v>MARIA AUXILIADORA</v>
      </c>
      <c r="J26" s="106" t="s">
        <v>755</v>
      </c>
      <c r="K26" s="138" t="str">
        <f aca="false">IFERROR(VLOOKUP(TEXT(O26,"0"),CONDUCTORES!$A$3:$G$100,7,0),"")</f>
        <v/>
      </c>
      <c r="L26" s="50" t="n">
        <v>20.25</v>
      </c>
      <c r="M26" s="50" t="n">
        <v>6.5</v>
      </c>
      <c r="N26" s="139" t="n">
        <f aca="false">IFERROR(IF(L26*M26=0,"",L26*M26),"")</f>
        <v>131.625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37" t="n">
        <v>45968</v>
      </c>
      <c r="S26" s="107" t="s">
        <v>3565</v>
      </c>
      <c r="T26" s="136"/>
      <c r="U26" s="140"/>
      <c r="V26" s="106"/>
      <c r="W26" s="106"/>
      <c r="X26" s="106"/>
      <c r="Y26" s="85"/>
    </row>
    <row r="27" customFormat="false" ht="15.75" hidden="false" customHeight="true" outlineLevel="0" collapsed="false">
      <c r="A27" s="46" t="n">
        <v>17</v>
      </c>
      <c r="B27" s="110" t="s">
        <v>3566</v>
      </c>
      <c r="C27" s="46" t="s">
        <v>752</v>
      </c>
      <c r="D27" s="110" t="s">
        <v>3567</v>
      </c>
      <c r="E27" s="46" t="s">
        <v>99</v>
      </c>
      <c r="F27" s="46" t="s">
        <v>3568</v>
      </c>
      <c r="G27" s="142" t="n">
        <v>45922</v>
      </c>
      <c r="H27" s="46" t="s">
        <v>529</v>
      </c>
      <c r="I27" s="138" t="str">
        <f aca="false">IFERROR(VLOOKUP(TEXT(H27,"0"),IPRESS!$A$3:$B$212,2,0),"")</f>
        <v>MARIA AUXILIADORA</v>
      </c>
      <c r="J27" s="46" t="s">
        <v>755</v>
      </c>
      <c r="K27" s="138" t="str">
        <f aca="false">IFERROR(VLOOKUP(TEXT(O27,"0"),CONDUCTORES!$A$3:$G$100,7,0),"")</f>
        <v/>
      </c>
      <c r="L27" s="44" t="n">
        <v>20.25</v>
      </c>
      <c r="M27" s="44" t="n">
        <v>7</v>
      </c>
      <c r="N27" s="139" t="n">
        <f aca="false">IFERROR(IF(L27*M27=0,"",L27*M27),"")</f>
        <v>141.75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142" t="n">
        <v>45968</v>
      </c>
      <c r="S27" s="110" t="s">
        <v>3569</v>
      </c>
      <c r="T27" s="46"/>
      <c r="U27" s="85"/>
      <c r="V27" s="46"/>
      <c r="W27" s="46"/>
      <c r="X27" s="46"/>
      <c r="Y27" s="85"/>
    </row>
    <row r="28" customFormat="false" ht="15.75" hidden="false" customHeight="true" outlineLevel="0" collapsed="false">
      <c r="A28" s="106" t="n">
        <v>18</v>
      </c>
      <c r="B28" s="107" t="s">
        <v>3570</v>
      </c>
      <c r="C28" s="106" t="s">
        <v>752</v>
      </c>
      <c r="D28" s="107" t="s">
        <v>3571</v>
      </c>
      <c r="E28" s="136" t="s">
        <v>99</v>
      </c>
      <c r="F28" s="106" t="s">
        <v>3572</v>
      </c>
      <c r="G28" s="137" t="n">
        <v>45922</v>
      </c>
      <c r="H28" s="106" t="s">
        <v>529</v>
      </c>
      <c r="I28" s="138" t="str">
        <f aca="false">IFERROR(VLOOKUP(TEXT(H28,"0"),IPRESS!$A$3:$B$212,2,0),"")</f>
        <v>MARIA AUXILIADORA</v>
      </c>
      <c r="J28" s="106" t="s">
        <v>755</v>
      </c>
      <c r="K28" s="138" t="str">
        <f aca="false">IFERROR(VLOOKUP(TEXT(O28,"0"),CONDUCTORES!$A$3:$G$100,7,0),"")</f>
        <v/>
      </c>
      <c r="L28" s="50" t="n">
        <v>20.25</v>
      </c>
      <c r="M28" s="50" t="n">
        <v>6</v>
      </c>
      <c r="N28" s="139" t="n">
        <f aca="false">IFERROR(IF(L28*M28=0,"",L28*M28),"")</f>
        <v>121.5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37" t="n">
        <v>45968</v>
      </c>
      <c r="S28" s="107" t="s">
        <v>2336</v>
      </c>
      <c r="T28" s="136"/>
      <c r="U28" s="140"/>
      <c r="V28" s="106"/>
      <c r="W28" s="106"/>
      <c r="X28" s="106"/>
      <c r="Y28" s="85"/>
    </row>
    <row r="29" customFormat="false" ht="15.75" hidden="false" customHeight="true" outlineLevel="0" collapsed="false">
      <c r="A29" s="46" t="n">
        <v>19</v>
      </c>
      <c r="B29" s="110" t="s">
        <v>3573</v>
      </c>
      <c r="C29" s="46" t="s">
        <v>752</v>
      </c>
      <c r="D29" s="110" t="s">
        <v>3574</v>
      </c>
      <c r="E29" s="46" t="s">
        <v>99</v>
      </c>
      <c r="F29" s="46" t="s">
        <v>3575</v>
      </c>
      <c r="G29" s="142" t="n">
        <v>45924</v>
      </c>
      <c r="H29" s="46" t="s">
        <v>529</v>
      </c>
      <c r="I29" s="138" t="str">
        <f aca="false">IFERROR(VLOOKUP(TEXT(H29,"0"),IPRESS!$A$3:$B$212,2,0),"")</f>
        <v>MARIA AUXILIADORA</v>
      </c>
      <c r="J29" s="46" t="s">
        <v>755</v>
      </c>
      <c r="K29" s="138" t="str">
        <f aca="false">IFERROR(VLOOKUP(TEXT(O29,"0"),CONDUCTORES!$A$3:$G$100,7,0),"")</f>
        <v/>
      </c>
      <c r="L29" s="44" t="n">
        <v>20.25</v>
      </c>
      <c r="M29" s="44" t="n">
        <v>7</v>
      </c>
      <c r="N29" s="139" t="n">
        <f aca="false">IFERROR(IF(L29*M29=0,"",L29*M29),"")</f>
        <v>141.75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142" t="n">
        <v>45968</v>
      </c>
      <c r="S29" s="110" t="s">
        <v>3576</v>
      </c>
      <c r="T29" s="46"/>
      <c r="U29" s="85"/>
      <c r="V29" s="46"/>
      <c r="W29" s="46"/>
      <c r="X29" s="46"/>
      <c r="Y29" s="85"/>
    </row>
    <row r="30" customFormat="false" ht="15.75" hidden="false" customHeight="true" outlineLevel="0" collapsed="false">
      <c r="A30" s="106" t="n">
        <v>20</v>
      </c>
      <c r="B30" s="107" t="s">
        <v>3577</v>
      </c>
      <c r="C30" s="106" t="s">
        <v>752</v>
      </c>
      <c r="D30" s="107" t="s">
        <v>3578</v>
      </c>
      <c r="E30" s="136" t="s">
        <v>99</v>
      </c>
      <c r="F30" s="106" t="s">
        <v>3579</v>
      </c>
      <c r="G30" s="137" t="n">
        <v>45925</v>
      </c>
      <c r="H30" s="106" t="s">
        <v>529</v>
      </c>
      <c r="I30" s="138" t="str">
        <f aca="false">IFERROR(VLOOKUP(TEXT(H30,"0"),IPRESS!$A$3:$B$212,2,0),"")</f>
        <v>MARIA AUXILIADORA</v>
      </c>
      <c r="J30" s="106" t="s">
        <v>755</v>
      </c>
      <c r="K30" s="138" t="str">
        <f aca="false">IFERROR(VLOOKUP(TEXT(O30,"0"),CONDUCTORES!$A$3:$G$100,7,0),"")</f>
        <v/>
      </c>
      <c r="L30" s="50" t="n">
        <v>20.25</v>
      </c>
      <c r="M30" s="50" t="n">
        <v>7</v>
      </c>
      <c r="N30" s="139" t="n">
        <f aca="false">IFERROR(IF(L30*M30=0,"",L30*M30),"")</f>
        <v>141.75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37" t="n">
        <v>45968</v>
      </c>
      <c r="S30" s="107" t="s">
        <v>1602</v>
      </c>
      <c r="T30" s="136"/>
      <c r="U30" s="140"/>
      <c r="V30" s="106"/>
      <c r="W30" s="106"/>
      <c r="X30" s="106"/>
      <c r="Y30" s="85"/>
    </row>
    <row r="31" customFormat="false" ht="15.75" hidden="false" customHeight="true" outlineLevel="0" collapsed="false">
      <c r="A31" s="46" t="n">
        <v>21</v>
      </c>
      <c r="B31" s="110" t="s">
        <v>3580</v>
      </c>
      <c r="C31" s="46" t="s">
        <v>752</v>
      </c>
      <c r="D31" s="110" t="s">
        <v>3581</v>
      </c>
      <c r="E31" s="46" t="s">
        <v>99</v>
      </c>
      <c r="F31" s="46" t="s">
        <v>3582</v>
      </c>
      <c r="G31" s="142" t="n">
        <v>45926</v>
      </c>
      <c r="H31" s="46" t="s">
        <v>529</v>
      </c>
      <c r="I31" s="138" t="str">
        <f aca="false">IFERROR(VLOOKUP(TEXT(H31,"0"),IPRESS!$A$3:$B$212,2,0),"")</f>
        <v>MARIA AUXILIADORA</v>
      </c>
      <c r="J31" s="46" t="s">
        <v>755</v>
      </c>
      <c r="K31" s="138" t="str">
        <f aca="false">IFERROR(VLOOKUP(TEXT(O31,"0"),CONDUCTORES!$A$3:$G$100,7,0),"")</f>
        <v/>
      </c>
      <c r="L31" s="44" t="n">
        <v>20.25</v>
      </c>
      <c r="M31" s="44" t="n">
        <v>6.7</v>
      </c>
      <c r="N31" s="139" t="n">
        <f aca="false">IFERROR(IF(L31*M31=0,"",L31*M31),"")</f>
        <v>135.675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142" t="n">
        <v>45968</v>
      </c>
      <c r="S31" s="110" t="s">
        <v>3583</v>
      </c>
      <c r="T31" s="46"/>
      <c r="U31" s="85"/>
      <c r="V31" s="46"/>
      <c r="W31" s="46"/>
      <c r="X31" s="46"/>
      <c r="Y31" s="85"/>
    </row>
    <row r="32" customFormat="false" ht="15.75" hidden="false" customHeight="true" outlineLevel="0" collapsed="false">
      <c r="A32" s="106" t="n">
        <v>22</v>
      </c>
      <c r="B32" s="107" t="s">
        <v>3584</v>
      </c>
      <c r="C32" s="106" t="s">
        <v>752</v>
      </c>
      <c r="D32" s="107" t="s">
        <v>3585</v>
      </c>
      <c r="E32" s="136" t="s">
        <v>99</v>
      </c>
      <c r="F32" s="106" t="s">
        <v>3586</v>
      </c>
      <c r="G32" s="137" t="n">
        <v>45926</v>
      </c>
      <c r="H32" s="106" t="s">
        <v>529</v>
      </c>
      <c r="I32" s="138" t="str">
        <f aca="false">IFERROR(VLOOKUP(TEXT(H32,"0"),IPRESS!$A$3:$B$212,2,0),"")</f>
        <v>MARIA AUXILIADORA</v>
      </c>
      <c r="J32" s="106" t="s">
        <v>755</v>
      </c>
      <c r="K32" s="138" t="str">
        <f aca="false">IFERROR(VLOOKUP(TEXT(O32,"0"),CONDUCTORES!$A$3:$G$100,7,0),"")</f>
        <v/>
      </c>
      <c r="L32" s="50" t="n">
        <v>20.25</v>
      </c>
      <c r="M32" s="50" t="n">
        <v>7</v>
      </c>
      <c r="N32" s="139" t="n">
        <f aca="false">IFERROR(IF(L32*M32=0,"",L32*M32),"")</f>
        <v>141.75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37" t="n">
        <v>45968</v>
      </c>
      <c r="S32" s="107" t="s">
        <v>3587</v>
      </c>
      <c r="T32" s="136"/>
      <c r="U32" s="140"/>
      <c r="V32" s="106"/>
      <c r="W32" s="106"/>
      <c r="X32" s="106"/>
      <c r="Y32" s="85"/>
    </row>
    <row r="33" customFormat="false" ht="15.75" hidden="false" customHeight="true" outlineLevel="0" collapsed="false">
      <c r="A33" s="46" t="n">
        <v>23</v>
      </c>
      <c r="B33" s="110" t="s">
        <v>3588</v>
      </c>
      <c r="C33" s="46" t="s">
        <v>752</v>
      </c>
      <c r="D33" s="110" t="s">
        <v>3589</v>
      </c>
      <c r="E33" s="46" t="s">
        <v>99</v>
      </c>
      <c r="F33" s="46" t="s">
        <v>3590</v>
      </c>
      <c r="G33" s="142" t="n">
        <v>45927</v>
      </c>
      <c r="H33" s="46" t="s">
        <v>529</v>
      </c>
      <c r="I33" s="138" t="str">
        <f aca="false">IFERROR(VLOOKUP(TEXT(H33,"0"),IPRESS!$A$3:$B$212,2,0),"")</f>
        <v>MARIA AUXILIADORA</v>
      </c>
      <c r="J33" s="46" t="s">
        <v>755</v>
      </c>
      <c r="K33" s="138" t="str">
        <f aca="false">IFERROR(VLOOKUP(TEXT(O33,"0"),CONDUCTORES!$A$3:$G$100,7,0),"")</f>
        <v/>
      </c>
      <c r="L33" s="44" t="n">
        <v>20.25</v>
      </c>
      <c r="M33" s="44" t="n">
        <v>6.5</v>
      </c>
      <c r="N33" s="139" t="n">
        <f aca="false">IFERROR(IF(L33*M33=0,"",L33*M33),"")</f>
        <v>131.625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142" t="n">
        <v>45968</v>
      </c>
      <c r="S33" s="110" t="s">
        <v>3591</v>
      </c>
      <c r="T33" s="46"/>
      <c r="U33" s="85"/>
      <c r="V33" s="46"/>
      <c r="W33" s="46"/>
      <c r="X33" s="46"/>
      <c r="Y33" s="85"/>
    </row>
    <row r="34" customFormat="false" ht="15.75" hidden="false" customHeight="true" outlineLevel="0" collapsed="false">
      <c r="A34" s="106" t="n">
        <v>24</v>
      </c>
      <c r="B34" s="107" t="s">
        <v>3592</v>
      </c>
      <c r="C34" s="106" t="s">
        <v>752</v>
      </c>
      <c r="D34" s="107" t="s">
        <v>3593</v>
      </c>
      <c r="E34" s="136" t="s">
        <v>99</v>
      </c>
      <c r="F34" s="106" t="s">
        <v>3594</v>
      </c>
      <c r="G34" s="137" t="n">
        <v>45929</v>
      </c>
      <c r="H34" s="106" t="s">
        <v>529</v>
      </c>
      <c r="I34" s="138" t="str">
        <f aca="false">IFERROR(VLOOKUP(TEXT(H34,"0"),IPRESS!$A$3:$B$212,2,0),"")</f>
        <v>MARIA AUXILIADORA</v>
      </c>
      <c r="J34" s="106" t="s">
        <v>755</v>
      </c>
      <c r="K34" s="138" t="str">
        <f aca="false">IFERROR(VLOOKUP(TEXT(O34,"0"),CONDUCTORES!$A$3:$G$100,7,0),"")</f>
        <v/>
      </c>
      <c r="L34" s="50" t="n">
        <v>20.25</v>
      </c>
      <c r="M34" s="50" t="n">
        <v>6.7</v>
      </c>
      <c r="N34" s="139" t="n">
        <f aca="false">IFERROR(IF(L34*M34=0,"",L34*M34),"")</f>
        <v>135.675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37" t="n">
        <v>45968</v>
      </c>
      <c r="S34" s="107" t="s">
        <v>3595</v>
      </c>
      <c r="T34" s="136"/>
      <c r="U34" s="140"/>
      <c r="V34" s="106"/>
      <c r="W34" s="106"/>
      <c r="X34" s="106"/>
      <c r="Y34" s="85"/>
    </row>
    <row r="35" customFormat="false" ht="15.75" hidden="false" customHeight="true" outlineLevel="0" collapsed="false">
      <c r="A35" s="46" t="n">
        <v>25</v>
      </c>
      <c r="B35" s="110" t="s">
        <v>3596</v>
      </c>
      <c r="C35" s="46" t="s">
        <v>752</v>
      </c>
      <c r="D35" s="110" t="s">
        <v>3597</v>
      </c>
      <c r="E35" s="46" t="s">
        <v>99</v>
      </c>
      <c r="F35" s="46" t="s">
        <v>3598</v>
      </c>
      <c r="G35" s="142" t="n">
        <v>45930</v>
      </c>
      <c r="H35" s="46" t="s">
        <v>529</v>
      </c>
      <c r="I35" s="138" t="str">
        <f aca="false">IFERROR(VLOOKUP(TEXT(H35,"0"),IPRESS!$A$3:$B$212,2,0),"")</f>
        <v>MARIA AUXILIADORA</v>
      </c>
      <c r="J35" s="46" t="s">
        <v>755</v>
      </c>
      <c r="K35" s="138" t="str">
        <f aca="false">IFERROR(VLOOKUP(TEXT(O35,"0"),CONDUCTORES!$A$3:$G$100,7,0),"")</f>
        <v/>
      </c>
      <c r="L35" s="44" t="n">
        <v>20.25</v>
      </c>
      <c r="M35" s="44" t="n">
        <v>7</v>
      </c>
      <c r="N35" s="139" t="n">
        <f aca="false">IFERROR(IF(L35*M35=0,"",L35*M35),"")</f>
        <v>141.75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142" t="n">
        <v>45968</v>
      </c>
      <c r="S35" s="110" t="s">
        <v>3599</v>
      </c>
      <c r="T35" s="46"/>
      <c r="U35" s="85"/>
      <c r="V35" s="46"/>
      <c r="W35" s="46"/>
      <c r="X35" s="46"/>
      <c r="Y35" s="85"/>
    </row>
    <row r="36" customFormat="false" ht="15.75" hidden="false" customHeight="true" outlineLevel="0" collapsed="false">
      <c r="A36" s="106" t="n">
        <v>26</v>
      </c>
      <c r="B36" s="107" t="s">
        <v>3600</v>
      </c>
      <c r="C36" s="106" t="s">
        <v>752</v>
      </c>
      <c r="D36" s="107" t="s">
        <v>3601</v>
      </c>
      <c r="E36" s="136" t="s">
        <v>99</v>
      </c>
      <c r="F36" s="106" t="s">
        <v>3602</v>
      </c>
      <c r="G36" s="137" t="n">
        <v>45930</v>
      </c>
      <c r="H36" s="106" t="s">
        <v>529</v>
      </c>
      <c r="I36" s="138" t="str">
        <f aca="false">IFERROR(VLOOKUP(TEXT(H36,"0"),IPRESS!$A$3:$B$212,2,0),"")</f>
        <v>MARIA AUXILIADORA</v>
      </c>
      <c r="J36" s="106" t="s">
        <v>755</v>
      </c>
      <c r="K36" s="138" t="str">
        <f aca="false">IFERROR(VLOOKUP(TEXT(O36,"0"),CONDUCTORES!$A$3:$G$100,7,0),"")</f>
        <v/>
      </c>
      <c r="L36" s="50" t="n">
        <v>20.25</v>
      </c>
      <c r="M36" s="50" t="n">
        <v>6.5</v>
      </c>
      <c r="N36" s="139" t="n">
        <f aca="false">IFERROR(IF(L36*M36=0,"",L36*M36),"")</f>
        <v>131.625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37" t="n">
        <v>45968</v>
      </c>
      <c r="S36" s="107" t="s">
        <v>3603</v>
      </c>
      <c r="T36" s="136"/>
      <c r="U36" s="140"/>
      <c r="V36" s="106"/>
      <c r="W36" s="106"/>
      <c r="X36" s="106"/>
      <c r="Y36" s="85"/>
    </row>
    <row r="37" customFormat="false" ht="15.75" hidden="false" customHeight="true" outlineLevel="0" collapsed="false">
      <c r="A37" s="46" t="n">
        <v>27</v>
      </c>
      <c r="B37" s="110" t="s">
        <v>3604</v>
      </c>
      <c r="C37" s="46" t="s">
        <v>752</v>
      </c>
      <c r="D37" s="110" t="s">
        <v>3605</v>
      </c>
      <c r="E37" s="46" t="s">
        <v>99</v>
      </c>
      <c r="F37" s="46" t="s">
        <v>3606</v>
      </c>
      <c r="G37" s="142" t="n">
        <v>45924</v>
      </c>
      <c r="H37" s="46" t="s">
        <v>529</v>
      </c>
      <c r="I37" s="138" t="str">
        <f aca="false">IFERROR(VLOOKUP(TEXT(H37,"0"),IPRESS!$A$3:$B$212,2,0),"")</f>
        <v>MARIA AUXILIADORA</v>
      </c>
      <c r="J37" s="46" t="s">
        <v>755</v>
      </c>
      <c r="K37" s="138" t="str">
        <f aca="false">IFERROR(VLOOKUP(TEXT(O37,"0"),CONDUCTORES!$A$3:$G$100,7,0),"")</f>
        <v/>
      </c>
      <c r="L37" s="44" t="n">
        <v>20.25</v>
      </c>
      <c r="M37" s="44" t="n">
        <v>10</v>
      </c>
      <c r="N37" s="139" t="n">
        <f aca="false">IFERROR(IF(L37*M37=0,"",L37*M37),"")</f>
        <v>202.5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142" t="n">
        <v>45988</v>
      </c>
      <c r="S37" s="110" t="s">
        <v>3607</v>
      </c>
      <c r="T37" s="46" t="s">
        <v>3608</v>
      </c>
      <c r="U37" s="85"/>
      <c r="V37" s="46" t="s">
        <v>2633</v>
      </c>
      <c r="W37" s="46" t="s">
        <v>760</v>
      </c>
      <c r="X37" s="46" t="s">
        <v>761</v>
      </c>
      <c r="Y37" s="85"/>
    </row>
    <row r="38" customFormat="false" ht="15.75" hidden="false" customHeight="true" outlineLevel="0" collapsed="false">
      <c r="A38" s="106" t="n">
        <v>28</v>
      </c>
      <c r="B38" s="107" t="s">
        <v>3609</v>
      </c>
      <c r="C38" s="106" t="s">
        <v>752</v>
      </c>
      <c r="D38" s="107" t="s">
        <v>3610</v>
      </c>
      <c r="E38" s="136" t="s">
        <v>99</v>
      </c>
      <c r="F38" s="106" t="s">
        <v>3611</v>
      </c>
      <c r="G38" s="137" t="n">
        <v>45905</v>
      </c>
      <c r="H38" s="106" t="s">
        <v>529</v>
      </c>
      <c r="I38" s="138" t="str">
        <f aca="false">IFERROR(VLOOKUP(TEXT(H38,"0"),IPRESS!$A$3:$B$212,2,0),"")</f>
        <v>MARIA AUXILIADORA</v>
      </c>
      <c r="J38" s="106" t="s">
        <v>755</v>
      </c>
      <c r="K38" s="138" t="str">
        <f aca="false">IFERROR(VLOOKUP(TEXT(O38,"0"),CONDUCTORES!$A$3:$G$100,7,0),"")</f>
        <v/>
      </c>
      <c r="L38" s="50" t="n">
        <v>20.25</v>
      </c>
      <c r="M38" s="50" t="n">
        <v>10</v>
      </c>
      <c r="N38" s="139" t="n">
        <f aca="false">IFERROR(IF(L38*M38=0,"",L38*M38),"")</f>
        <v>202.5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37" t="n">
        <v>45988</v>
      </c>
      <c r="S38" s="107" t="s">
        <v>3612</v>
      </c>
      <c r="T38" s="136" t="s">
        <v>3280</v>
      </c>
      <c r="U38" s="140"/>
      <c r="V38" s="106" t="s">
        <v>2633</v>
      </c>
      <c r="W38" s="106" t="s">
        <v>760</v>
      </c>
      <c r="X38" s="106" t="s">
        <v>761</v>
      </c>
      <c r="Y38" s="85"/>
    </row>
    <row r="39" customFormat="false" ht="15.75" hidden="false" customHeight="true" outlineLevel="0" collapsed="false">
      <c r="A39" s="46" t="n">
        <v>29</v>
      </c>
      <c r="B39" s="110" t="s">
        <v>844</v>
      </c>
      <c r="C39" s="46" t="s">
        <v>752</v>
      </c>
      <c r="D39" s="110" t="s">
        <v>3613</v>
      </c>
      <c r="E39" s="46" t="s">
        <v>99</v>
      </c>
      <c r="F39" s="46" t="s">
        <v>3614</v>
      </c>
      <c r="G39" s="142" t="n">
        <v>45930</v>
      </c>
      <c r="H39" s="46" t="s">
        <v>466</v>
      </c>
      <c r="I39" s="138" t="str">
        <f aca="false">IFERROR(VLOOKUP(TEXT(H39,"0"),IPRESS!$A$3:$B$212,2,0),"")</f>
        <v>HUAMBO</v>
      </c>
      <c r="J39" s="46" t="s">
        <v>529</v>
      </c>
      <c r="K39" s="138" t="str">
        <f aca="false">IFERROR(VLOOKUP(TEXT(O39,"0"),CONDUCTORES!$A$3:$G$100,7,0),"")</f>
        <v/>
      </c>
      <c r="L39" s="44" t="n">
        <v>20.25</v>
      </c>
      <c r="M39" s="44" t="n">
        <v>3</v>
      </c>
      <c r="N39" s="139" t="n">
        <f aca="false">IFERROR(IF(L39*M39=0,"",L39*M39),"")</f>
        <v>60.75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142" t="n">
        <v>46010</v>
      </c>
      <c r="S39" s="110" t="s">
        <v>3615</v>
      </c>
      <c r="T39" s="46"/>
      <c r="U39" s="85"/>
      <c r="V39" s="46"/>
      <c r="W39" s="46"/>
      <c r="X39" s="46"/>
      <c r="Y39" s="85"/>
    </row>
    <row r="40" customFormat="false" ht="15.75" hidden="false" customHeight="true" outlineLevel="0" collapsed="false">
      <c r="A40" s="106" t="n">
        <v>30</v>
      </c>
      <c r="B40" s="107" t="s">
        <v>836</v>
      </c>
      <c r="C40" s="106" t="s">
        <v>752</v>
      </c>
      <c r="D40" s="107" t="s">
        <v>3616</v>
      </c>
      <c r="E40" s="136" t="s">
        <v>99</v>
      </c>
      <c r="F40" s="106" t="s">
        <v>3617</v>
      </c>
      <c r="G40" s="137" t="n">
        <v>45930</v>
      </c>
      <c r="H40" s="106" t="s">
        <v>466</v>
      </c>
      <c r="I40" s="138" t="str">
        <f aca="false">IFERROR(VLOOKUP(TEXT(H40,"0"),IPRESS!$A$3:$B$212,2,0),"")</f>
        <v>HUAMBO</v>
      </c>
      <c r="J40" s="106" t="s">
        <v>755</v>
      </c>
      <c r="K40" s="138" t="str">
        <f aca="false">IFERROR(VLOOKUP(TEXT(O40,"0"),CONDUCTORES!$A$3:$G$100,7,0),"")</f>
        <v/>
      </c>
      <c r="L40" s="50" t="n">
        <v>20.25</v>
      </c>
      <c r="M40" s="50" t="n">
        <v>10</v>
      </c>
      <c r="N40" s="139" t="n">
        <f aca="false">IFERROR(IF(L40*M40=0,"",L40*M40),"")</f>
        <v>202.5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37" t="n">
        <v>46010</v>
      </c>
      <c r="S40" s="107" t="s">
        <v>3618</v>
      </c>
      <c r="T40" s="136"/>
      <c r="U40" s="140"/>
      <c r="V40" s="106"/>
      <c r="W40" s="106"/>
      <c r="X40" s="106"/>
      <c r="Y40" s="85"/>
    </row>
    <row r="41" customFormat="false" ht="15.75" hidden="false" customHeight="true" outlineLevel="0" collapsed="false">
      <c r="A41" s="46" t="n">
        <v>31</v>
      </c>
      <c r="B41" s="110" t="s">
        <v>1302</v>
      </c>
      <c r="C41" s="46" t="s">
        <v>752</v>
      </c>
      <c r="D41" s="110" t="s">
        <v>3619</v>
      </c>
      <c r="E41" s="46" t="s">
        <v>99</v>
      </c>
      <c r="F41" s="46" t="s">
        <v>3620</v>
      </c>
      <c r="G41" s="142" t="n">
        <v>45905</v>
      </c>
      <c r="H41" s="46" t="s">
        <v>480</v>
      </c>
      <c r="I41" s="138" t="str">
        <f aca="false">IFERROR(VLOOKUP(TEXT(H41,"0"),IPRESS!$A$3:$B$212,2,0),"")</f>
        <v>JALCA GRANDE</v>
      </c>
      <c r="J41" s="46" t="s">
        <v>755</v>
      </c>
      <c r="K41" s="138" t="str">
        <f aca="false">IFERROR(VLOOKUP(TEXT(O41,"0"),CONDUCTORES!$A$3:$G$100,7,0),"")</f>
        <v/>
      </c>
      <c r="L41" s="44" t="n">
        <v>18.18</v>
      </c>
      <c r="M41" s="44" t="n">
        <v>8</v>
      </c>
      <c r="N41" s="139" t="n">
        <f aca="false">IFERROR(IF(L41*M41=0,"",L41*M41),"")</f>
        <v>145.44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142" t="n">
        <v>45957</v>
      </c>
      <c r="S41" s="110" t="s">
        <v>3621</v>
      </c>
      <c r="T41" s="46"/>
      <c r="U41" s="85"/>
      <c r="V41" s="46"/>
      <c r="W41" s="46"/>
      <c r="X41" s="46"/>
      <c r="Y41" s="85"/>
    </row>
    <row r="42" customFormat="false" ht="15.75" hidden="false" customHeight="true" outlineLevel="0" collapsed="false">
      <c r="A42" s="106" t="n">
        <v>32</v>
      </c>
      <c r="B42" s="107" t="s">
        <v>1412</v>
      </c>
      <c r="C42" s="106" t="s">
        <v>752</v>
      </c>
      <c r="D42" s="107" t="s">
        <v>3622</v>
      </c>
      <c r="E42" s="136" t="s">
        <v>99</v>
      </c>
      <c r="F42" s="106" t="s">
        <v>3623</v>
      </c>
      <c r="G42" s="137" t="n">
        <v>45915</v>
      </c>
      <c r="H42" s="106" t="s">
        <v>480</v>
      </c>
      <c r="I42" s="138" t="str">
        <f aca="false">IFERROR(VLOOKUP(TEXT(H42,"0"),IPRESS!$A$3:$B$212,2,0),"")</f>
        <v>JALCA GRANDE</v>
      </c>
      <c r="J42" s="106" t="s">
        <v>755</v>
      </c>
      <c r="K42" s="138" t="str">
        <f aca="false">IFERROR(VLOOKUP(TEXT(O42,"0"),CONDUCTORES!$A$3:$G$100,7,0),"")</f>
        <v/>
      </c>
      <c r="L42" s="50" t="n">
        <v>18.18</v>
      </c>
      <c r="M42" s="50" t="n">
        <v>8</v>
      </c>
      <c r="N42" s="139" t="n">
        <f aca="false">IFERROR(IF(L42*M42=0,"",L42*M42),"")</f>
        <v>145.44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37" t="n">
        <v>45957</v>
      </c>
      <c r="S42" s="107" t="s">
        <v>3624</v>
      </c>
      <c r="T42" s="136"/>
      <c r="U42" s="140"/>
      <c r="V42" s="106"/>
      <c r="W42" s="106"/>
      <c r="X42" s="106"/>
      <c r="Y42" s="85"/>
    </row>
    <row r="43" customFormat="false" ht="15.75" hidden="false" customHeight="true" outlineLevel="0" collapsed="false">
      <c r="A43" s="46" t="n">
        <v>33</v>
      </c>
      <c r="B43" s="110" t="s">
        <v>1306</v>
      </c>
      <c r="C43" s="46" t="s">
        <v>752</v>
      </c>
      <c r="D43" s="110" t="s">
        <v>3625</v>
      </c>
      <c r="E43" s="46" t="s">
        <v>99</v>
      </c>
      <c r="F43" s="46" t="s">
        <v>3626</v>
      </c>
      <c r="G43" s="142" t="n">
        <v>45915</v>
      </c>
      <c r="H43" s="46" t="s">
        <v>483</v>
      </c>
      <c r="I43" s="138" t="str">
        <f aca="false">IFERROR(VLOOKUP(TEXT(H43,"0"),IPRESS!$A$3:$B$212,2,0),"")</f>
        <v>JUMBILLA</v>
      </c>
      <c r="J43" s="46" t="s">
        <v>755</v>
      </c>
      <c r="K43" s="138" t="str">
        <f aca="false">IFERROR(VLOOKUP(TEXT(O43,"0"),CONDUCTORES!$A$3:$G$100,7,0),"")</f>
        <v/>
      </c>
      <c r="L43" s="44" t="n">
        <v>18.18</v>
      </c>
      <c r="M43" s="44" t="n">
        <v>12</v>
      </c>
      <c r="N43" s="139" t="n">
        <f aca="false">IFERROR(IF(L43*M43=0,"",L43*M43),"")</f>
        <v>218.16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142" t="n">
        <v>45978</v>
      </c>
      <c r="S43" s="110" t="s">
        <v>3627</v>
      </c>
      <c r="T43" s="46"/>
      <c r="U43" s="85"/>
      <c r="V43" s="46" t="s">
        <v>2658</v>
      </c>
      <c r="W43" s="46" t="s">
        <v>2648</v>
      </c>
      <c r="X43" s="46" t="s">
        <v>2351</v>
      </c>
      <c r="Y43" s="85"/>
    </row>
    <row r="44" customFormat="false" ht="15.75" hidden="false" customHeight="true" outlineLevel="0" collapsed="false">
      <c r="A44" s="106" t="n">
        <v>34</v>
      </c>
      <c r="B44" s="107" t="s">
        <v>1412</v>
      </c>
      <c r="C44" s="106" t="s">
        <v>752</v>
      </c>
      <c r="D44" s="107" t="s">
        <v>3628</v>
      </c>
      <c r="E44" s="136" t="s">
        <v>99</v>
      </c>
      <c r="F44" s="106" t="s">
        <v>3629</v>
      </c>
      <c r="G44" s="137" t="n">
        <v>45918</v>
      </c>
      <c r="H44" s="106" t="s">
        <v>483</v>
      </c>
      <c r="I44" s="138" t="str">
        <f aca="false">IFERROR(VLOOKUP(TEXT(H44,"0"),IPRESS!$A$3:$B$212,2,0),"")</f>
        <v>JUMBILLA</v>
      </c>
      <c r="J44" s="106" t="s">
        <v>755</v>
      </c>
      <c r="K44" s="138" t="str">
        <f aca="false">IFERROR(VLOOKUP(TEXT(O44,"0"),CONDUCTORES!$A$3:$G$100,7,0),"")</f>
        <v/>
      </c>
      <c r="L44" s="50" t="n">
        <v>18.18</v>
      </c>
      <c r="M44" s="50" t="n">
        <v>12</v>
      </c>
      <c r="N44" s="139" t="n">
        <f aca="false">IFERROR(IF(L44*M44=0,"",L44*M44),"")</f>
        <v>218.16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37" t="n">
        <v>45978</v>
      </c>
      <c r="S44" s="107" t="s">
        <v>891</v>
      </c>
      <c r="T44" s="136"/>
      <c r="U44" s="140"/>
      <c r="V44" s="106" t="s">
        <v>2658</v>
      </c>
      <c r="W44" s="106" t="s">
        <v>2648</v>
      </c>
      <c r="X44" s="106" t="s">
        <v>2351</v>
      </c>
      <c r="Y44" s="85"/>
    </row>
    <row r="45" customFormat="false" ht="15.75" hidden="false" customHeight="true" outlineLevel="0" collapsed="false">
      <c r="A45" s="46" t="n">
        <v>35</v>
      </c>
      <c r="B45" s="110" t="s">
        <v>1425</v>
      </c>
      <c r="C45" s="46" t="s">
        <v>752</v>
      </c>
      <c r="D45" s="110" t="s">
        <v>3630</v>
      </c>
      <c r="E45" s="46" t="s">
        <v>99</v>
      </c>
      <c r="F45" s="46" t="s">
        <v>3631</v>
      </c>
      <c r="G45" s="142" t="n">
        <v>45926</v>
      </c>
      <c r="H45" s="46" t="s">
        <v>483</v>
      </c>
      <c r="I45" s="138" t="str">
        <f aca="false">IFERROR(VLOOKUP(TEXT(H45,"0"),IPRESS!$A$3:$B$212,2,0),"")</f>
        <v>JUMBILLA</v>
      </c>
      <c r="J45" s="46" t="s">
        <v>755</v>
      </c>
      <c r="K45" s="138" t="str">
        <f aca="false">IFERROR(VLOOKUP(TEXT(O45,"0"),CONDUCTORES!$A$3:$G$100,7,0),"")</f>
        <v/>
      </c>
      <c r="L45" s="44" t="n">
        <v>18.18</v>
      </c>
      <c r="M45" s="44" t="n">
        <v>12</v>
      </c>
      <c r="N45" s="139" t="n">
        <f aca="false">IFERROR(IF(L45*M45=0,"",L45*M45),"")</f>
        <v>218.16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142" t="n">
        <v>45978</v>
      </c>
      <c r="S45" s="110" t="s">
        <v>3632</v>
      </c>
      <c r="T45" s="46"/>
      <c r="U45" s="85"/>
      <c r="V45" s="46" t="s">
        <v>2658</v>
      </c>
      <c r="W45" s="46" t="s">
        <v>2648</v>
      </c>
      <c r="X45" s="46" t="s">
        <v>2351</v>
      </c>
      <c r="Y45" s="85"/>
    </row>
    <row r="46" customFormat="false" ht="15.75" hidden="false" customHeight="true" outlineLevel="0" collapsed="false">
      <c r="A46" s="106" t="n">
        <v>36</v>
      </c>
      <c r="B46" s="107" t="s">
        <v>1306</v>
      </c>
      <c r="C46" s="106" t="s">
        <v>752</v>
      </c>
      <c r="D46" s="107" t="s">
        <v>3633</v>
      </c>
      <c r="E46" s="136" t="s">
        <v>99</v>
      </c>
      <c r="F46" s="106" t="s">
        <v>3634</v>
      </c>
      <c r="G46" s="137" t="n">
        <v>45908</v>
      </c>
      <c r="H46" s="106" t="s">
        <v>480</v>
      </c>
      <c r="I46" s="138" t="str">
        <f aca="false">IFERROR(VLOOKUP(TEXT(H46,"0"),IPRESS!$A$3:$B$212,2,0),"")</f>
        <v>JALCA GRANDE</v>
      </c>
      <c r="J46" s="106" t="s">
        <v>755</v>
      </c>
      <c r="K46" s="138" t="str">
        <f aca="false">IFERROR(VLOOKUP(TEXT(O46,"0"),CONDUCTORES!$A$3:$G$100,7,0),"")</f>
        <v/>
      </c>
      <c r="L46" s="50" t="n">
        <v>18.18</v>
      </c>
      <c r="M46" s="50" t="n">
        <v>8</v>
      </c>
      <c r="N46" s="139" t="n">
        <f aca="false">IFERROR(IF(L46*M46=0,"",L46*M46),"")</f>
        <v>145.44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37" t="n">
        <v>45957</v>
      </c>
      <c r="S46" s="107" t="s">
        <v>3635</v>
      </c>
      <c r="T46" s="136"/>
      <c r="U46" s="140"/>
      <c r="V46" s="106"/>
      <c r="W46" s="106"/>
      <c r="X46" s="106"/>
      <c r="Y46" s="85"/>
    </row>
    <row r="47" customFormat="false" ht="15.75" hidden="false" customHeight="true" outlineLevel="0" collapsed="false">
      <c r="A47" s="46" t="n">
        <v>37</v>
      </c>
      <c r="B47" s="110" t="s">
        <v>1425</v>
      </c>
      <c r="C47" s="46" t="s">
        <v>752</v>
      </c>
      <c r="D47" s="110" t="s">
        <v>3636</v>
      </c>
      <c r="E47" s="46" t="s">
        <v>99</v>
      </c>
      <c r="F47" s="46" t="s">
        <v>3637</v>
      </c>
      <c r="G47" s="142" t="n">
        <v>45925</v>
      </c>
      <c r="H47" s="46" t="s">
        <v>480</v>
      </c>
      <c r="I47" s="138" t="str">
        <f aca="false">IFERROR(VLOOKUP(TEXT(H47,"0"),IPRESS!$A$3:$B$212,2,0),"")</f>
        <v>JALCA GRANDE</v>
      </c>
      <c r="J47" s="46" t="s">
        <v>755</v>
      </c>
      <c r="K47" s="138" t="str">
        <f aca="false">IFERROR(VLOOKUP(TEXT(O47,"0"),CONDUCTORES!$A$3:$G$100,7,0),"")</f>
        <v/>
      </c>
      <c r="L47" s="44" t="n">
        <v>18.18</v>
      </c>
      <c r="M47" s="44" t="n">
        <v>8</v>
      </c>
      <c r="N47" s="139" t="n">
        <f aca="false">IFERROR(IF(L47*M47=0,"",L47*M47),"")</f>
        <v>145.44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142" t="n">
        <v>45992</v>
      </c>
      <c r="S47" s="110" t="s">
        <v>3638</v>
      </c>
      <c r="T47" s="46"/>
      <c r="U47" s="85"/>
      <c r="V47" s="46"/>
      <c r="W47" s="46"/>
      <c r="X47" s="46"/>
      <c r="Y47" s="85"/>
    </row>
    <row r="48" customFormat="false" ht="15.75" hidden="false" customHeight="true" outlineLevel="0" collapsed="false">
      <c r="A48" s="106" t="n">
        <v>38</v>
      </c>
      <c r="B48" s="107" t="s">
        <v>2355</v>
      </c>
      <c r="C48" s="106" t="s">
        <v>752</v>
      </c>
      <c r="D48" s="107" t="s">
        <v>3639</v>
      </c>
      <c r="E48" s="136" t="s">
        <v>99</v>
      </c>
      <c r="F48" s="106" t="s">
        <v>3640</v>
      </c>
      <c r="G48" s="137" t="n">
        <v>45925</v>
      </c>
      <c r="H48" s="106" t="s">
        <v>480</v>
      </c>
      <c r="I48" s="138" t="str">
        <f aca="false">IFERROR(VLOOKUP(TEXT(H48,"0"),IPRESS!$A$3:$B$212,2,0),"")</f>
        <v>JALCA GRANDE</v>
      </c>
      <c r="J48" s="106" t="s">
        <v>755</v>
      </c>
      <c r="K48" s="138" t="str">
        <f aca="false">IFERROR(VLOOKUP(TEXT(O48,"0"),CONDUCTORES!$A$3:$G$100,7,0),"")</f>
        <v/>
      </c>
      <c r="L48" s="50" t="n">
        <v>18.18</v>
      </c>
      <c r="M48" s="50" t="n">
        <v>8</v>
      </c>
      <c r="N48" s="139" t="n">
        <f aca="false">IFERROR(IF(L48*M48=0,"",L48*M48),"")</f>
        <v>145.44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37" t="n">
        <v>45992</v>
      </c>
      <c r="S48" s="107" t="s">
        <v>3295</v>
      </c>
      <c r="T48" s="136"/>
      <c r="U48" s="140"/>
      <c r="V48" s="106"/>
      <c r="W48" s="106"/>
      <c r="X48" s="106"/>
      <c r="Y48" s="85"/>
    </row>
    <row r="49" customFormat="false" ht="15.75" hidden="false" customHeight="true" outlineLevel="0" collapsed="false">
      <c r="A49" s="46" t="n">
        <v>39</v>
      </c>
      <c r="B49" s="110" t="s">
        <v>1357</v>
      </c>
      <c r="C49" s="46" t="s">
        <v>752</v>
      </c>
      <c r="D49" s="110" t="s">
        <v>3641</v>
      </c>
      <c r="E49" s="46" t="s">
        <v>99</v>
      </c>
      <c r="F49" s="46" t="s">
        <v>3642</v>
      </c>
      <c r="G49" s="142" t="n">
        <v>45916</v>
      </c>
      <c r="H49" s="46" t="s">
        <v>500</v>
      </c>
      <c r="I49" s="138" t="str">
        <f aca="false">IFERROR(VLOOKUP(TEXT(H49,"0"),IPRESS!$A$3:$B$212,2,0),"")</f>
        <v>LAMUD</v>
      </c>
      <c r="J49" s="46" t="s">
        <v>755</v>
      </c>
      <c r="K49" s="138" t="str">
        <f aca="false">IFERROR(VLOOKUP(TEXT(O49,"0"),CONDUCTORES!$A$3:$G$100,7,0),"")</f>
        <v/>
      </c>
      <c r="L49" s="44" t="n">
        <v>18.18</v>
      </c>
      <c r="M49" s="44" t="n">
        <v>4</v>
      </c>
      <c r="N49" s="139" t="n">
        <f aca="false">IFERROR(IF(L49*M49=0,"",L49*M49),"")</f>
        <v>72.72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142" t="n">
        <v>45950</v>
      </c>
      <c r="S49" s="110" t="s">
        <v>2368</v>
      </c>
      <c r="T49" s="46"/>
      <c r="U49" s="85"/>
      <c r="V49" s="46"/>
      <c r="W49" s="46"/>
      <c r="X49" s="46"/>
      <c r="Y49" s="85"/>
    </row>
    <row r="50" customFormat="false" ht="15.75" hidden="false" customHeight="true" outlineLevel="0" collapsed="false">
      <c r="A50" s="106" t="n">
        <v>40</v>
      </c>
      <c r="B50" s="107" t="s">
        <v>1360</v>
      </c>
      <c r="C50" s="106" t="s">
        <v>752</v>
      </c>
      <c r="D50" s="107" t="s">
        <v>3643</v>
      </c>
      <c r="E50" s="136" t="s">
        <v>99</v>
      </c>
      <c r="F50" s="106" t="s">
        <v>3644</v>
      </c>
      <c r="G50" s="137" t="n">
        <v>45923</v>
      </c>
      <c r="H50" s="106" t="s">
        <v>500</v>
      </c>
      <c r="I50" s="138" t="str">
        <f aca="false">IFERROR(VLOOKUP(TEXT(H50,"0"),IPRESS!$A$3:$B$212,2,0),"")</f>
        <v>LAMUD</v>
      </c>
      <c r="J50" s="106" t="s">
        <v>755</v>
      </c>
      <c r="K50" s="138" t="str">
        <f aca="false">IFERROR(VLOOKUP(TEXT(O50,"0"),CONDUCTORES!$A$3:$G$100,7,0),"")</f>
        <v/>
      </c>
      <c r="L50" s="50" t="n">
        <v>18.18</v>
      </c>
      <c r="M50" s="50" t="n">
        <v>4</v>
      </c>
      <c r="N50" s="139" t="n">
        <f aca="false">IFERROR(IF(L50*M50=0,"",L50*M50),"")</f>
        <v>72.72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37" t="n">
        <v>45987</v>
      </c>
      <c r="S50" s="107" t="s">
        <v>1487</v>
      </c>
      <c r="T50" s="136"/>
      <c r="U50" s="140"/>
      <c r="V50" s="106" t="s">
        <v>2349</v>
      </c>
      <c r="W50" s="106" t="s">
        <v>2350</v>
      </c>
      <c r="X50" s="106" t="s">
        <v>2351</v>
      </c>
      <c r="Y50" s="85"/>
    </row>
    <row r="51" customFormat="false" ht="15.75" hidden="false" customHeight="true" outlineLevel="0" collapsed="false">
      <c r="A51" s="46" t="n">
        <v>41</v>
      </c>
      <c r="B51" s="110" t="s">
        <v>1364</v>
      </c>
      <c r="C51" s="46" t="s">
        <v>752</v>
      </c>
      <c r="D51" s="110" t="s">
        <v>3645</v>
      </c>
      <c r="E51" s="46" t="s">
        <v>99</v>
      </c>
      <c r="F51" s="46" t="s">
        <v>3646</v>
      </c>
      <c r="G51" s="142" t="n">
        <v>45927</v>
      </c>
      <c r="H51" s="46" t="s">
        <v>500</v>
      </c>
      <c r="I51" s="138" t="str">
        <f aca="false">IFERROR(VLOOKUP(TEXT(H51,"0"),IPRESS!$A$3:$B$212,2,0),"")</f>
        <v>LAMUD</v>
      </c>
      <c r="J51" s="46" t="s">
        <v>755</v>
      </c>
      <c r="K51" s="138" t="str">
        <f aca="false">IFERROR(VLOOKUP(TEXT(O51,"0"),CONDUCTORES!$A$3:$G$100,7,0),"")</f>
        <v/>
      </c>
      <c r="L51" s="44" t="n">
        <v>18.18</v>
      </c>
      <c r="M51" s="44" t="n">
        <v>4</v>
      </c>
      <c r="N51" s="139" t="n">
        <f aca="false">IFERROR(IF(L51*M51=0,"",L51*M51),"")</f>
        <v>72.72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142" t="n">
        <v>45987</v>
      </c>
      <c r="S51" s="110" t="s">
        <v>1550</v>
      </c>
      <c r="T51" s="46"/>
      <c r="U51" s="85"/>
      <c r="V51" s="46" t="s">
        <v>2349</v>
      </c>
      <c r="W51" s="46" t="s">
        <v>2350</v>
      </c>
      <c r="X51" s="46" t="s">
        <v>2351</v>
      </c>
      <c r="Y51" s="85"/>
    </row>
    <row r="52" customFormat="false" ht="15.75" hidden="false" customHeight="true" outlineLevel="0" collapsed="false">
      <c r="A52" s="106" t="n">
        <v>42</v>
      </c>
      <c r="B52" s="107" t="s">
        <v>1368</v>
      </c>
      <c r="C52" s="106" t="s">
        <v>752</v>
      </c>
      <c r="D52" s="107" t="s">
        <v>3647</v>
      </c>
      <c r="E52" s="136" t="s">
        <v>99</v>
      </c>
      <c r="F52" s="106" t="s">
        <v>3648</v>
      </c>
      <c r="G52" s="137" t="n">
        <v>45929</v>
      </c>
      <c r="H52" s="106" t="s">
        <v>500</v>
      </c>
      <c r="I52" s="138" t="str">
        <f aca="false">IFERROR(VLOOKUP(TEXT(H52,"0"),IPRESS!$A$3:$B$212,2,0),"")</f>
        <v>LAMUD</v>
      </c>
      <c r="J52" s="106" t="s">
        <v>755</v>
      </c>
      <c r="K52" s="138" t="str">
        <f aca="false">IFERROR(VLOOKUP(TEXT(O52,"0"),CONDUCTORES!$A$3:$G$100,7,0),"")</f>
        <v/>
      </c>
      <c r="L52" s="50" t="n">
        <v>18.18</v>
      </c>
      <c r="M52" s="50" t="n">
        <v>4</v>
      </c>
      <c r="N52" s="139" t="n">
        <f aca="false">IFERROR(IF(L52*M52=0,"",L52*M52),"")</f>
        <v>72.72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37" t="n">
        <v>45987</v>
      </c>
      <c r="S52" s="107" t="s">
        <v>1803</v>
      </c>
      <c r="T52" s="136"/>
      <c r="U52" s="140"/>
      <c r="V52" s="106" t="s">
        <v>2349</v>
      </c>
      <c r="W52" s="106" t="s">
        <v>2350</v>
      </c>
      <c r="X52" s="106" t="s">
        <v>2351</v>
      </c>
      <c r="Y52" s="85"/>
    </row>
    <row r="53" customFormat="false" ht="15.75" hidden="false" customHeight="true" outlineLevel="0" collapsed="false">
      <c r="A53" s="46" t="n">
        <v>43</v>
      </c>
      <c r="B53" s="110" t="s">
        <v>1331</v>
      </c>
      <c r="C53" s="46" t="s">
        <v>752</v>
      </c>
      <c r="D53" s="110" t="s">
        <v>3649</v>
      </c>
      <c r="E53" s="46" t="s">
        <v>99</v>
      </c>
      <c r="F53" s="46" t="s">
        <v>3650</v>
      </c>
      <c r="G53" s="142" t="n">
        <v>45921</v>
      </c>
      <c r="H53" s="46" t="s">
        <v>507</v>
      </c>
      <c r="I53" s="138" t="str">
        <f aca="false">IFERROR(VLOOKUP(TEXT(H53,"0"),IPRESS!$A$3:$B$212,2,0),"")</f>
        <v>LEYMEBAMBA</v>
      </c>
      <c r="J53" s="46" t="s">
        <v>755</v>
      </c>
      <c r="K53" s="138" t="str">
        <f aca="false">IFERROR(VLOOKUP(TEXT(O53,"0"),CONDUCTORES!$A$3:$G$100,7,0),"")</f>
        <v/>
      </c>
      <c r="L53" s="44" t="n">
        <v>18.18</v>
      </c>
      <c r="M53" s="44" t="n">
        <v>7.5</v>
      </c>
      <c r="N53" s="139" t="n">
        <f aca="false">IFERROR(IF(L53*M53=0,"",L53*M53),"")</f>
        <v>136.35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142" t="n">
        <v>45987</v>
      </c>
      <c r="S53" s="110" t="s">
        <v>1756</v>
      </c>
      <c r="T53" s="46"/>
      <c r="U53" s="85"/>
      <c r="V53" s="46" t="s">
        <v>2981</v>
      </c>
      <c r="W53" s="46" t="s">
        <v>2982</v>
      </c>
      <c r="X53" s="46" t="s">
        <v>2351</v>
      </c>
      <c r="Y53" s="85"/>
    </row>
    <row r="54" customFormat="false" ht="15.75" hidden="false" customHeight="true" outlineLevel="0" collapsed="false">
      <c r="A54" s="106" t="n">
        <v>44</v>
      </c>
      <c r="B54" s="107" t="s">
        <v>1335</v>
      </c>
      <c r="C54" s="106" t="s">
        <v>752</v>
      </c>
      <c r="D54" s="107" t="s">
        <v>3651</v>
      </c>
      <c r="E54" s="136" t="s">
        <v>99</v>
      </c>
      <c r="F54" s="106" t="s">
        <v>3652</v>
      </c>
      <c r="G54" s="137" t="n">
        <v>45927</v>
      </c>
      <c r="H54" s="106" t="s">
        <v>507</v>
      </c>
      <c r="I54" s="138" t="str">
        <f aca="false">IFERROR(VLOOKUP(TEXT(H54,"0"),IPRESS!$A$3:$B$212,2,0),"")</f>
        <v>LEYMEBAMBA</v>
      </c>
      <c r="J54" s="106" t="s">
        <v>755</v>
      </c>
      <c r="K54" s="138" t="str">
        <f aca="false">IFERROR(VLOOKUP(TEXT(O54,"0"),CONDUCTORES!$A$3:$G$100,7,0),"")</f>
        <v/>
      </c>
      <c r="L54" s="50" t="n">
        <v>18.18</v>
      </c>
      <c r="M54" s="50" t="n">
        <v>7.5</v>
      </c>
      <c r="N54" s="139" t="n">
        <f aca="false">IFERROR(IF(L54*M54=0,"",L54*M54),"")</f>
        <v>136.35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37" t="n">
        <v>45987</v>
      </c>
      <c r="S54" s="107" t="s">
        <v>3653</v>
      </c>
      <c r="T54" s="136"/>
      <c r="U54" s="140"/>
      <c r="V54" s="106" t="s">
        <v>2981</v>
      </c>
      <c r="W54" s="106" t="s">
        <v>2982</v>
      </c>
      <c r="X54" s="106" t="s">
        <v>2351</v>
      </c>
      <c r="Y54" s="85"/>
    </row>
    <row r="55" customFormat="false" ht="15.75" hidden="false" customHeight="true" outlineLevel="0" collapsed="false">
      <c r="A55" s="46" t="n">
        <v>45</v>
      </c>
      <c r="B55" s="110" t="s">
        <v>1338</v>
      </c>
      <c r="C55" s="46" t="s">
        <v>752</v>
      </c>
      <c r="D55" s="110" t="s">
        <v>3654</v>
      </c>
      <c r="E55" s="46" t="s">
        <v>99</v>
      </c>
      <c r="F55" s="46" t="s">
        <v>3655</v>
      </c>
      <c r="G55" s="142" t="n">
        <v>45930</v>
      </c>
      <c r="H55" s="46" t="s">
        <v>507</v>
      </c>
      <c r="I55" s="138" t="str">
        <f aca="false">IFERROR(VLOOKUP(TEXT(H55,"0"),IPRESS!$A$3:$B$212,2,0),"")</f>
        <v>LEYMEBAMBA</v>
      </c>
      <c r="J55" s="46" t="s">
        <v>755</v>
      </c>
      <c r="K55" s="138" t="str">
        <f aca="false">IFERROR(VLOOKUP(TEXT(O55,"0"),CONDUCTORES!$A$3:$G$100,7,0),"")</f>
        <v/>
      </c>
      <c r="L55" s="44" t="n">
        <v>18.18</v>
      </c>
      <c r="M55" s="44" t="n">
        <v>7.5</v>
      </c>
      <c r="N55" s="139" t="n">
        <f aca="false">IFERROR(IF(L55*M55=0,"",L55*M55),"")</f>
        <v>136.35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142" t="n">
        <v>45987</v>
      </c>
      <c r="S55" s="110" t="s">
        <v>3656</v>
      </c>
      <c r="T55" s="46"/>
      <c r="U55" s="85"/>
      <c r="V55" s="46" t="s">
        <v>2981</v>
      </c>
      <c r="W55" s="46" t="s">
        <v>2982</v>
      </c>
      <c r="X55" s="46" t="s">
        <v>2351</v>
      </c>
      <c r="Y55" s="85"/>
    </row>
    <row r="56" customFormat="false" ht="15.75" hidden="false" customHeight="true" outlineLevel="0" collapsed="false">
      <c r="A56" s="106" t="n">
        <v>46</v>
      </c>
      <c r="B56" s="107" t="s">
        <v>2494</v>
      </c>
      <c r="C56" s="106" t="s">
        <v>752</v>
      </c>
      <c r="D56" s="107" t="s">
        <v>3657</v>
      </c>
      <c r="E56" s="136" t="s">
        <v>99</v>
      </c>
      <c r="F56" s="106" t="s">
        <v>3658</v>
      </c>
      <c r="G56" s="137" t="n">
        <v>45901</v>
      </c>
      <c r="H56" s="106" t="s">
        <v>517</v>
      </c>
      <c r="I56" s="138" t="str">
        <f aca="false">IFERROR(VLOOKUP(TEXT(H56,"0"),IPRESS!$A$3:$B$212,2,0),"")</f>
        <v>LUYA</v>
      </c>
      <c r="J56" s="106" t="s">
        <v>755</v>
      </c>
      <c r="K56" s="138" t="str">
        <f aca="false">IFERROR(VLOOKUP(TEXT(O56,"0"),CONDUCTORES!$A$3:$G$100,7,0),"")</f>
        <v/>
      </c>
      <c r="L56" s="50" t="n">
        <v>18.18</v>
      </c>
      <c r="M56" s="50" t="n">
        <v>4</v>
      </c>
      <c r="N56" s="139" t="n">
        <f aca="false">IFERROR(IF(L56*M56=0,"",L56*M56),"")</f>
        <v>72.72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37" t="n">
        <v>45967</v>
      </c>
      <c r="S56" s="107" t="s">
        <v>839</v>
      </c>
      <c r="T56" s="136"/>
      <c r="U56" s="140"/>
      <c r="V56" s="106"/>
      <c r="W56" s="106"/>
      <c r="X56" s="106"/>
      <c r="Y56" s="85"/>
    </row>
    <row r="57" customFormat="false" ht="15.75" hidden="false" customHeight="true" outlineLevel="0" collapsed="false">
      <c r="A57" s="46" t="n">
        <v>47</v>
      </c>
      <c r="B57" s="110" t="s">
        <v>2501</v>
      </c>
      <c r="C57" s="46" t="s">
        <v>752</v>
      </c>
      <c r="D57" s="110" t="s">
        <v>3659</v>
      </c>
      <c r="E57" s="46" t="s">
        <v>99</v>
      </c>
      <c r="F57" s="46" t="s">
        <v>3660</v>
      </c>
      <c r="G57" s="142" t="n">
        <v>45901</v>
      </c>
      <c r="H57" s="46" t="s">
        <v>517</v>
      </c>
      <c r="I57" s="138" t="str">
        <f aca="false">IFERROR(VLOOKUP(TEXT(H57,"0"),IPRESS!$A$3:$B$212,2,0),"")</f>
        <v>LUYA</v>
      </c>
      <c r="J57" s="46" t="s">
        <v>755</v>
      </c>
      <c r="K57" s="138" t="str">
        <f aca="false">IFERROR(VLOOKUP(TEXT(O57,"0"),CONDUCTORES!$A$3:$G$100,7,0),"")</f>
        <v/>
      </c>
      <c r="L57" s="44" t="n">
        <v>18.18</v>
      </c>
      <c r="M57" s="44" t="n">
        <v>4</v>
      </c>
      <c r="N57" s="139" t="n">
        <f aca="false">IFERROR(IF(L57*M57=0,"",L57*M57),"")</f>
        <v>72.72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142" t="n">
        <v>45967</v>
      </c>
      <c r="S57" s="110" t="s">
        <v>3661</v>
      </c>
      <c r="T57" s="46"/>
      <c r="U57" s="85"/>
      <c r="V57" s="46"/>
      <c r="W57" s="46"/>
      <c r="X57" s="46"/>
      <c r="Y57" s="85"/>
    </row>
    <row r="58" customFormat="false" ht="15.75" hidden="false" customHeight="true" outlineLevel="0" collapsed="false">
      <c r="A58" s="106" t="n">
        <v>48</v>
      </c>
      <c r="B58" s="107" t="s">
        <v>2505</v>
      </c>
      <c r="C58" s="106" t="s">
        <v>752</v>
      </c>
      <c r="D58" s="107" t="s">
        <v>3662</v>
      </c>
      <c r="E58" s="136" t="s">
        <v>99</v>
      </c>
      <c r="F58" s="106" t="s">
        <v>3663</v>
      </c>
      <c r="G58" s="137" t="n">
        <v>45902</v>
      </c>
      <c r="H58" s="106" t="s">
        <v>517</v>
      </c>
      <c r="I58" s="138" t="str">
        <f aca="false">IFERROR(VLOOKUP(TEXT(H58,"0"),IPRESS!$A$3:$B$212,2,0),"")</f>
        <v>LUYA</v>
      </c>
      <c r="J58" s="106" t="s">
        <v>755</v>
      </c>
      <c r="K58" s="138" t="str">
        <f aca="false">IFERROR(VLOOKUP(TEXT(O58,"0"),CONDUCTORES!$A$3:$G$100,7,0),"")</f>
        <v/>
      </c>
      <c r="L58" s="50" t="n">
        <v>18.18</v>
      </c>
      <c r="M58" s="50" t="n">
        <v>4</v>
      </c>
      <c r="N58" s="139" t="n">
        <f aca="false">IFERROR(IF(L58*M58=0,"",L58*M58),"")</f>
        <v>72.72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37" t="n">
        <v>45967</v>
      </c>
      <c r="S58" s="107" t="s">
        <v>3664</v>
      </c>
      <c r="T58" s="136"/>
      <c r="U58" s="140"/>
      <c r="V58" s="106"/>
      <c r="W58" s="106"/>
      <c r="X58" s="106"/>
      <c r="Y58" s="85"/>
    </row>
    <row r="59" customFormat="false" ht="15.75" hidden="false" customHeight="true" outlineLevel="0" collapsed="false">
      <c r="A59" s="46" t="n">
        <v>49</v>
      </c>
      <c r="B59" s="110" t="s">
        <v>3057</v>
      </c>
      <c r="C59" s="46" t="s">
        <v>752</v>
      </c>
      <c r="D59" s="110" t="s">
        <v>3665</v>
      </c>
      <c r="E59" s="46" t="s">
        <v>99</v>
      </c>
      <c r="F59" s="46" t="s">
        <v>3666</v>
      </c>
      <c r="G59" s="142" t="n">
        <v>45908</v>
      </c>
      <c r="H59" s="46" t="s">
        <v>517</v>
      </c>
      <c r="I59" s="138" t="str">
        <f aca="false">IFERROR(VLOOKUP(TEXT(H59,"0"),IPRESS!$A$3:$B$212,2,0),"")</f>
        <v>LUYA</v>
      </c>
      <c r="J59" s="46" t="s">
        <v>755</v>
      </c>
      <c r="K59" s="138" t="str">
        <f aca="false">IFERROR(VLOOKUP(TEXT(O59,"0"),CONDUCTORES!$A$3:$G$100,7,0),"")</f>
        <v/>
      </c>
      <c r="L59" s="44" t="n">
        <v>18.18</v>
      </c>
      <c r="M59" s="44" t="n">
        <v>4</v>
      </c>
      <c r="N59" s="139" t="n">
        <f aca="false">IFERROR(IF(L59*M59=0,"",L59*M59),"")</f>
        <v>72.72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142" t="n">
        <v>45967</v>
      </c>
      <c r="S59" s="110" t="s">
        <v>3667</v>
      </c>
      <c r="T59" s="46"/>
      <c r="U59" s="85"/>
      <c r="V59" s="46"/>
      <c r="W59" s="46"/>
      <c r="X59" s="46"/>
      <c r="Y59" s="85"/>
    </row>
    <row r="60" customFormat="false" ht="15.75" hidden="false" customHeight="true" outlineLevel="0" collapsed="false">
      <c r="A60" s="106" t="n">
        <v>50</v>
      </c>
      <c r="B60" s="107" t="s">
        <v>3061</v>
      </c>
      <c r="C60" s="106" t="s">
        <v>752</v>
      </c>
      <c r="D60" s="107" t="s">
        <v>3668</v>
      </c>
      <c r="E60" s="136" t="s">
        <v>99</v>
      </c>
      <c r="F60" s="106" t="s">
        <v>3669</v>
      </c>
      <c r="G60" s="137" t="n">
        <v>45913</v>
      </c>
      <c r="H60" s="106" t="s">
        <v>517</v>
      </c>
      <c r="I60" s="138" t="str">
        <f aca="false">IFERROR(VLOOKUP(TEXT(H60,"0"),IPRESS!$A$3:$B$212,2,0),"")</f>
        <v>LUYA</v>
      </c>
      <c r="J60" s="106" t="s">
        <v>755</v>
      </c>
      <c r="K60" s="138" t="str">
        <f aca="false">IFERROR(VLOOKUP(TEXT(O60,"0"),CONDUCTORES!$A$3:$G$100,7,0),"")</f>
        <v/>
      </c>
      <c r="L60" s="50" t="n">
        <v>18.18</v>
      </c>
      <c r="M60" s="50" t="n">
        <v>4</v>
      </c>
      <c r="N60" s="139" t="n">
        <f aca="false">IFERROR(IF(L60*M60=0,"",L60*M60),"")</f>
        <v>72.72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37" t="n">
        <v>45967</v>
      </c>
      <c r="S60" s="107" t="s">
        <v>3670</v>
      </c>
      <c r="T60" s="136"/>
      <c r="U60" s="140"/>
      <c r="V60" s="106"/>
      <c r="W60" s="106"/>
      <c r="X60" s="106"/>
      <c r="Y60" s="85"/>
    </row>
    <row r="61" customFormat="false" ht="15.75" hidden="false" customHeight="true" outlineLevel="0" collapsed="false">
      <c r="A61" s="46" t="n">
        <v>51</v>
      </c>
      <c r="B61" s="110" t="s">
        <v>3390</v>
      </c>
      <c r="C61" s="46" t="s">
        <v>752</v>
      </c>
      <c r="D61" s="110" t="s">
        <v>3671</v>
      </c>
      <c r="E61" s="46" t="s">
        <v>99</v>
      </c>
      <c r="F61" s="46" t="s">
        <v>3672</v>
      </c>
      <c r="G61" s="142" t="n">
        <v>45917</v>
      </c>
      <c r="H61" s="46" t="s">
        <v>517</v>
      </c>
      <c r="I61" s="138" t="str">
        <f aca="false">IFERROR(VLOOKUP(TEXT(H61,"0"),IPRESS!$A$3:$B$212,2,0),"")</f>
        <v>LUYA</v>
      </c>
      <c r="J61" s="46" t="s">
        <v>755</v>
      </c>
      <c r="K61" s="138" t="str">
        <f aca="false">IFERROR(VLOOKUP(TEXT(O61,"0"),CONDUCTORES!$A$3:$G$100,7,0),"")</f>
        <v/>
      </c>
      <c r="L61" s="44" t="n">
        <v>18.18</v>
      </c>
      <c r="M61" s="44" t="n">
        <v>4</v>
      </c>
      <c r="N61" s="139" t="n">
        <f aca="false">IFERROR(IF(L61*M61=0,"",L61*M61),"")</f>
        <v>72.72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142" t="n">
        <v>45967</v>
      </c>
      <c r="S61" s="110" t="s">
        <v>3673</v>
      </c>
      <c r="T61" s="46"/>
      <c r="U61" s="85"/>
      <c r="V61" s="46"/>
      <c r="W61" s="46"/>
      <c r="X61" s="46"/>
      <c r="Y61" s="85"/>
    </row>
    <row r="62" customFormat="false" ht="15.75" hidden="false" customHeight="true" outlineLevel="0" collapsed="false">
      <c r="A62" s="106" t="n">
        <v>52</v>
      </c>
      <c r="B62" s="107" t="s">
        <v>3394</v>
      </c>
      <c r="C62" s="106" t="s">
        <v>752</v>
      </c>
      <c r="D62" s="107" t="s">
        <v>3657</v>
      </c>
      <c r="E62" s="136" t="s">
        <v>99</v>
      </c>
      <c r="F62" s="106" t="s">
        <v>3658</v>
      </c>
      <c r="G62" s="137" t="n">
        <v>45928</v>
      </c>
      <c r="H62" s="106" t="s">
        <v>517</v>
      </c>
      <c r="I62" s="138" t="str">
        <f aca="false">IFERROR(VLOOKUP(TEXT(H62,"0"),IPRESS!$A$3:$B$212,2,0),"")</f>
        <v>LUYA</v>
      </c>
      <c r="J62" s="106" t="s">
        <v>755</v>
      </c>
      <c r="K62" s="138" t="str">
        <f aca="false">IFERROR(VLOOKUP(TEXT(O62,"0"),CONDUCTORES!$A$3:$G$100,7,0),"")</f>
        <v/>
      </c>
      <c r="L62" s="50" t="n">
        <v>18.18</v>
      </c>
      <c r="M62" s="50" t="n">
        <v>4</v>
      </c>
      <c r="N62" s="139" t="n">
        <f aca="false">IFERROR(IF(L62*M62=0,"",L62*M62),"")</f>
        <v>72.72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37" t="n">
        <v>45967</v>
      </c>
      <c r="S62" s="107" t="s">
        <v>917</v>
      </c>
      <c r="T62" s="136"/>
      <c r="U62" s="140"/>
      <c r="V62" s="106"/>
      <c r="W62" s="106"/>
      <c r="X62" s="106"/>
      <c r="Y62" s="85"/>
    </row>
    <row r="63" customFormat="false" ht="15.75" hidden="false" customHeight="true" outlineLevel="0" collapsed="false">
      <c r="A63" s="46" t="n">
        <v>53</v>
      </c>
      <c r="B63" s="110" t="s">
        <v>827</v>
      </c>
      <c r="C63" s="46" t="s">
        <v>752</v>
      </c>
      <c r="D63" s="110" t="s">
        <v>3674</v>
      </c>
      <c r="E63" s="46" t="s">
        <v>99</v>
      </c>
      <c r="F63" s="46" t="s">
        <v>3675</v>
      </c>
      <c r="G63" s="142" t="n">
        <v>45911</v>
      </c>
      <c r="H63" s="46" t="s">
        <v>528</v>
      </c>
      <c r="I63" s="138" t="str">
        <f aca="false">IFERROR(VLOOKUP(TEXT(H63,"0"),IPRESS!$A$3:$B$212,2,0),"")</f>
        <v>MARIA</v>
      </c>
      <c r="J63" s="46" t="s">
        <v>755</v>
      </c>
      <c r="K63" s="138" t="str">
        <f aca="false">IFERROR(VLOOKUP(TEXT(O63,"0"),CONDUCTORES!$A$3:$G$100,7,0),"")</f>
        <v/>
      </c>
      <c r="L63" s="44" t="n">
        <v>18.18</v>
      </c>
      <c r="M63" s="44" t="n">
        <v>9</v>
      </c>
      <c r="N63" s="139" t="n">
        <f aca="false">IFERROR(IF(L63*M63=0,"",L63*M63),"")</f>
        <v>163.62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142" t="n">
        <v>45987</v>
      </c>
      <c r="S63" s="110" t="s">
        <v>907</v>
      </c>
      <c r="T63" s="46"/>
      <c r="U63" s="85"/>
      <c r="V63" s="46" t="s">
        <v>3365</v>
      </c>
      <c r="W63" s="46" t="s">
        <v>3366</v>
      </c>
      <c r="X63" s="46" t="s">
        <v>2351</v>
      </c>
      <c r="Y63" s="85"/>
    </row>
    <row r="64" customFormat="false" ht="15.75" hidden="false" customHeight="true" outlineLevel="0" collapsed="false">
      <c r="A64" s="106" t="n">
        <v>54</v>
      </c>
      <c r="B64" s="107" t="s">
        <v>832</v>
      </c>
      <c r="C64" s="106" t="s">
        <v>752</v>
      </c>
      <c r="D64" s="107" t="s">
        <v>3676</v>
      </c>
      <c r="E64" s="136" t="s">
        <v>99</v>
      </c>
      <c r="F64" s="106" t="s">
        <v>3677</v>
      </c>
      <c r="G64" s="137" t="n">
        <v>45914</v>
      </c>
      <c r="H64" s="106" t="s">
        <v>528</v>
      </c>
      <c r="I64" s="138" t="str">
        <f aca="false">IFERROR(VLOOKUP(TEXT(H64,"0"),IPRESS!$A$3:$B$212,2,0),"")</f>
        <v>MARIA</v>
      </c>
      <c r="J64" s="106" t="s">
        <v>755</v>
      </c>
      <c r="K64" s="138" t="str">
        <f aca="false">IFERROR(VLOOKUP(TEXT(O64,"0"),CONDUCTORES!$A$3:$G$100,7,0),"")</f>
        <v/>
      </c>
      <c r="L64" s="50" t="n">
        <v>18.18</v>
      </c>
      <c r="M64" s="50" t="n">
        <v>9</v>
      </c>
      <c r="N64" s="139" t="n">
        <f aca="false">IFERROR(IF(L64*M64=0,"",L64*M64),"")</f>
        <v>163.62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37" t="n">
        <v>45987</v>
      </c>
      <c r="S64" s="107" t="s">
        <v>3621</v>
      </c>
      <c r="T64" s="136"/>
      <c r="U64" s="140"/>
      <c r="V64" s="106" t="s">
        <v>3365</v>
      </c>
      <c r="W64" s="106" t="s">
        <v>3366</v>
      </c>
      <c r="X64" s="106" t="s">
        <v>2351</v>
      </c>
      <c r="Y64" s="85"/>
    </row>
    <row r="65" customFormat="false" ht="15.75" hidden="false" customHeight="true" outlineLevel="0" collapsed="false">
      <c r="A65" s="46" t="n">
        <v>55</v>
      </c>
      <c r="B65" s="110" t="s">
        <v>840</v>
      </c>
      <c r="C65" s="46" t="s">
        <v>752</v>
      </c>
      <c r="D65" s="110" t="s">
        <v>3678</v>
      </c>
      <c r="E65" s="46" t="s">
        <v>99</v>
      </c>
      <c r="F65" s="46" t="s">
        <v>3679</v>
      </c>
      <c r="G65" s="142" t="n">
        <v>45919</v>
      </c>
      <c r="H65" s="46" t="s">
        <v>528</v>
      </c>
      <c r="I65" s="138" t="str">
        <f aca="false">IFERROR(VLOOKUP(TEXT(H65,"0"),IPRESS!$A$3:$B$212,2,0),"")</f>
        <v>MARIA</v>
      </c>
      <c r="J65" s="46" t="s">
        <v>755</v>
      </c>
      <c r="K65" s="138" t="str">
        <f aca="false">IFERROR(VLOOKUP(TEXT(O65,"0"),CONDUCTORES!$A$3:$G$100,7,0),"")</f>
        <v/>
      </c>
      <c r="L65" s="44" t="n">
        <v>18.18</v>
      </c>
      <c r="M65" s="44" t="n">
        <v>9</v>
      </c>
      <c r="N65" s="139" t="n">
        <f aca="false">IFERROR(IF(L65*M65=0,"",L65*M65),"")</f>
        <v>163.62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142" t="n">
        <v>45987</v>
      </c>
      <c r="S65" s="110" t="s">
        <v>1550</v>
      </c>
      <c r="T65" s="46"/>
      <c r="U65" s="85"/>
      <c r="V65" s="46" t="s">
        <v>3365</v>
      </c>
      <c r="W65" s="46" t="s">
        <v>3366</v>
      </c>
      <c r="X65" s="46" t="s">
        <v>2351</v>
      </c>
      <c r="Y65" s="85"/>
    </row>
    <row r="66" customFormat="false" ht="15.75" hidden="false" customHeight="true" outlineLevel="0" collapsed="false">
      <c r="A66" s="106" t="n">
        <v>56</v>
      </c>
      <c r="B66" s="107" t="s">
        <v>844</v>
      </c>
      <c r="C66" s="106" t="s">
        <v>752</v>
      </c>
      <c r="D66" s="107" t="s">
        <v>3680</v>
      </c>
      <c r="E66" s="136" t="s">
        <v>99</v>
      </c>
      <c r="F66" s="106" t="s">
        <v>3681</v>
      </c>
      <c r="G66" s="137" t="n">
        <v>45921</v>
      </c>
      <c r="H66" s="106" t="s">
        <v>528</v>
      </c>
      <c r="I66" s="138" t="str">
        <f aca="false">IFERROR(VLOOKUP(TEXT(H66,"0"),IPRESS!$A$3:$B$212,2,0),"")</f>
        <v>MARIA</v>
      </c>
      <c r="J66" s="106" t="s">
        <v>755</v>
      </c>
      <c r="K66" s="138" t="str">
        <f aca="false">IFERROR(VLOOKUP(TEXT(O66,"0"),CONDUCTORES!$A$3:$G$100,7,0),"")</f>
        <v/>
      </c>
      <c r="L66" s="50" t="n">
        <v>18.18</v>
      </c>
      <c r="M66" s="50" t="n">
        <v>9</v>
      </c>
      <c r="N66" s="139" t="n">
        <f aca="false">IFERROR(IF(L66*M66=0,"",L66*M66),"")</f>
        <v>163.62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37" t="n">
        <v>45987</v>
      </c>
      <c r="S66" s="107" t="s">
        <v>1044</v>
      </c>
      <c r="T66" s="136"/>
      <c r="U66" s="140"/>
      <c r="V66" s="106" t="s">
        <v>3365</v>
      </c>
      <c r="W66" s="106" t="s">
        <v>3366</v>
      </c>
      <c r="X66" s="106" t="s">
        <v>2351</v>
      </c>
      <c r="Y66" s="85"/>
    </row>
    <row r="67" customFormat="false" ht="15.75" hidden="false" customHeight="true" outlineLevel="0" collapsed="false">
      <c r="A67" s="143" t="n">
        <v>57</v>
      </c>
      <c r="B67" s="144" t="s">
        <v>866</v>
      </c>
      <c r="C67" s="143" t="s">
        <v>752</v>
      </c>
      <c r="D67" s="144" t="s">
        <v>3682</v>
      </c>
      <c r="E67" s="143" t="s">
        <v>99</v>
      </c>
      <c r="F67" s="143" t="s">
        <v>3683</v>
      </c>
      <c r="G67" s="145" t="n">
        <v>45914</v>
      </c>
      <c r="H67" s="143" t="s">
        <v>547</v>
      </c>
      <c r="I67" s="138" t="str">
        <f aca="false">IFERROR(VLOOKUP(TEXT(H67,"0"),IPRESS!$A$3:$B$212,2,0),"")</f>
        <v>MOLINOPAMPA</v>
      </c>
      <c r="J67" s="143" t="s">
        <v>755</v>
      </c>
      <c r="K67" s="138" t="str">
        <f aca="false">IFERROR(VLOOKUP(TEXT(O67,"0"),CONDUCTORES!$A$3:$G$100,7,0),"")</f>
        <v/>
      </c>
      <c r="L67" s="146" t="n">
        <v>17.95</v>
      </c>
      <c r="M67" s="146" t="n">
        <v>8</v>
      </c>
      <c r="N67" s="139" t="n">
        <f aca="false">IFERROR(IF(L67*M67=0,"",L67*M67),"")</f>
        <v>143.6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145" t="n">
        <v>45987</v>
      </c>
      <c r="S67" s="144" t="s">
        <v>3684</v>
      </c>
      <c r="T67" s="143"/>
      <c r="U67" s="147"/>
      <c r="V67" s="143" t="s">
        <v>3033</v>
      </c>
      <c r="W67" s="143" t="s">
        <v>3034</v>
      </c>
      <c r="X67" s="143" t="s">
        <v>3035</v>
      </c>
      <c r="Y67" s="85"/>
    </row>
    <row r="68" customFormat="false" ht="15.75" hidden="false" customHeight="true" outlineLevel="0" collapsed="false">
      <c r="A68" s="143" t="n">
        <v>58</v>
      </c>
      <c r="B68" s="144" t="s">
        <v>1262</v>
      </c>
      <c r="C68" s="143" t="s">
        <v>752</v>
      </c>
      <c r="D68" s="144" t="s">
        <v>3685</v>
      </c>
      <c r="E68" s="143" t="s">
        <v>99</v>
      </c>
      <c r="F68" s="143" t="s">
        <v>3686</v>
      </c>
      <c r="G68" s="145" t="n">
        <v>45928</v>
      </c>
      <c r="H68" s="143" t="s">
        <v>547</v>
      </c>
      <c r="I68" s="138" t="str">
        <f aca="false">IFERROR(VLOOKUP(TEXT(H68,"0"),IPRESS!$A$3:$B$212,2,0),"")</f>
        <v>MOLINOPAMPA</v>
      </c>
      <c r="J68" s="143" t="s">
        <v>755</v>
      </c>
      <c r="K68" s="138" t="str">
        <f aca="false">IFERROR(VLOOKUP(TEXT(O68,"0"),CONDUCTORES!$A$3:$G$100,7,0),"")</f>
        <v/>
      </c>
      <c r="L68" s="146" t="n">
        <v>17.95</v>
      </c>
      <c r="M68" s="146" t="n">
        <v>8</v>
      </c>
      <c r="N68" s="139" t="n">
        <f aca="false">IFERROR(IF(L68*M68=0,"",L68*M68),"")</f>
        <v>143.6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45" t="n">
        <v>45987</v>
      </c>
      <c r="S68" s="144" t="s">
        <v>1484</v>
      </c>
      <c r="T68" s="143"/>
      <c r="U68" s="147"/>
      <c r="V68" s="143" t="s">
        <v>3033</v>
      </c>
      <c r="W68" s="143" t="s">
        <v>3034</v>
      </c>
      <c r="X68" s="143" t="s">
        <v>3035</v>
      </c>
      <c r="Y68" s="85"/>
    </row>
    <row r="69" customFormat="false" ht="15.75" hidden="false" customHeight="true" outlineLevel="0" collapsed="false">
      <c r="A69" s="46" t="n">
        <v>59</v>
      </c>
      <c r="B69" s="110" t="s">
        <v>836</v>
      </c>
      <c r="C69" s="46" t="s">
        <v>752</v>
      </c>
      <c r="D69" s="110" t="s">
        <v>3687</v>
      </c>
      <c r="E69" s="46" t="s">
        <v>99</v>
      </c>
      <c r="F69" s="46" t="s">
        <v>3688</v>
      </c>
      <c r="G69" s="142" t="n">
        <v>45917</v>
      </c>
      <c r="H69" s="46" t="s">
        <v>572</v>
      </c>
      <c r="I69" s="138" t="str">
        <f aca="false">IFERROR(VLOOKUP(TEXT(H69,"0"),IPRESS!$A$3:$B$212,2,0),"")</f>
        <v>OMIA</v>
      </c>
      <c r="J69" s="46" t="s">
        <v>529</v>
      </c>
      <c r="K69" s="138" t="str">
        <f aca="false">IFERROR(VLOOKUP(TEXT(O69,"0"),CONDUCTORES!$A$3:$G$100,7,0),"")</f>
        <v/>
      </c>
      <c r="L69" s="44" t="n">
        <v>20.25</v>
      </c>
      <c r="M69" s="44" t="n">
        <v>3</v>
      </c>
      <c r="N69" s="139" t="n">
        <f aca="false">IFERROR(IF(L69*M69=0,"",L69*M69),"")</f>
        <v>60.75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142" t="n">
        <v>46010</v>
      </c>
      <c r="S69" s="110" t="s">
        <v>1279</v>
      </c>
      <c r="T69" s="46"/>
      <c r="U69" s="85"/>
      <c r="V69" s="46"/>
      <c r="W69" s="46"/>
      <c r="X69" s="46"/>
      <c r="Y69" s="85"/>
    </row>
    <row r="70" customFormat="false" ht="15.75" hidden="false" customHeight="true" outlineLevel="0" collapsed="false">
      <c r="A70" s="106" t="n">
        <v>60</v>
      </c>
      <c r="B70" s="107" t="s">
        <v>873</v>
      </c>
      <c r="C70" s="106" t="s">
        <v>752</v>
      </c>
      <c r="D70" s="107" t="s">
        <v>3689</v>
      </c>
      <c r="E70" s="136" t="s">
        <v>99</v>
      </c>
      <c r="F70" s="106" t="s">
        <v>3690</v>
      </c>
      <c r="G70" s="137" t="n">
        <v>45920</v>
      </c>
      <c r="H70" s="106" t="s">
        <v>572</v>
      </c>
      <c r="I70" s="138" t="str">
        <f aca="false">IFERROR(VLOOKUP(TEXT(H70,"0"),IPRESS!$A$3:$B$212,2,0),"")</f>
        <v>OMIA</v>
      </c>
      <c r="J70" s="106" t="s">
        <v>529</v>
      </c>
      <c r="K70" s="138" t="str">
        <f aca="false">IFERROR(VLOOKUP(TEXT(O70,"0"),CONDUCTORES!$A$3:$G$100,7,0),"")</f>
        <v/>
      </c>
      <c r="L70" s="50" t="n">
        <v>20.25</v>
      </c>
      <c r="M70" s="50" t="n">
        <v>3</v>
      </c>
      <c r="N70" s="139" t="n">
        <f aca="false">IFERROR(IF(L70*M70=0,"",L70*M70),"")</f>
        <v>60.75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37" t="n">
        <v>46010</v>
      </c>
      <c r="S70" s="107" t="s">
        <v>3691</v>
      </c>
      <c r="T70" s="136"/>
      <c r="U70" s="140"/>
      <c r="V70" s="106"/>
      <c r="W70" s="106"/>
      <c r="X70" s="106"/>
      <c r="Y70" s="85"/>
    </row>
    <row r="71" customFormat="false" ht="15.75" hidden="false" customHeight="true" outlineLevel="0" collapsed="false">
      <c r="A71" s="46" t="n">
        <v>61</v>
      </c>
      <c r="B71" s="110" t="s">
        <v>1749</v>
      </c>
      <c r="C71" s="46" t="s">
        <v>752</v>
      </c>
      <c r="D71" s="110" t="s">
        <v>2100</v>
      </c>
      <c r="E71" s="46" t="s">
        <v>99</v>
      </c>
      <c r="F71" s="46" t="s">
        <v>2101</v>
      </c>
      <c r="G71" s="142" t="n">
        <v>45902</v>
      </c>
      <c r="H71" s="46" t="s">
        <v>581</v>
      </c>
      <c r="I71" s="138" t="str">
        <f aca="false">IFERROR(VLOOKUP(TEXT(H71,"0"),IPRESS!$A$3:$B$212,2,0),"")</f>
        <v>PEDRO RUIZ GALLO</v>
      </c>
      <c r="J71" s="46" t="s">
        <v>755</v>
      </c>
      <c r="K71" s="138" t="str">
        <f aca="false">IFERROR(VLOOKUP(TEXT(O71,"0"),CONDUCTORES!$A$3:$G$100,7,0),"")</f>
        <v/>
      </c>
      <c r="L71" s="44" t="n">
        <v>18.18</v>
      </c>
      <c r="M71" s="44" t="n">
        <v>5</v>
      </c>
      <c r="N71" s="139" t="n">
        <f aca="false">IFERROR(IF(L71*M71=0,"",L71*M71),"")</f>
        <v>90.9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142" t="n">
        <v>45967</v>
      </c>
      <c r="S71" s="110" t="s">
        <v>3692</v>
      </c>
      <c r="T71" s="46"/>
      <c r="U71" s="85"/>
      <c r="V71" s="46"/>
      <c r="W71" s="46"/>
      <c r="X71" s="46"/>
      <c r="Y71" s="85"/>
    </row>
    <row r="72" customFormat="false" ht="15.75" hidden="false" customHeight="true" outlineLevel="0" collapsed="false">
      <c r="A72" s="143" t="n">
        <v>62</v>
      </c>
      <c r="B72" s="144" t="s">
        <v>1753</v>
      </c>
      <c r="C72" s="143" t="s">
        <v>752</v>
      </c>
      <c r="D72" s="144" t="s">
        <v>3693</v>
      </c>
      <c r="E72" s="143" t="s">
        <v>99</v>
      </c>
      <c r="F72" s="143" t="s">
        <v>3694</v>
      </c>
      <c r="G72" s="145" t="n">
        <v>45904</v>
      </c>
      <c r="H72" s="143" t="s">
        <v>581</v>
      </c>
      <c r="I72" s="138" t="str">
        <f aca="false">IFERROR(VLOOKUP(TEXT(H72,"0"),IPRESS!$A$3:$B$212,2,0),"")</f>
        <v>PEDRO RUIZ GALLO</v>
      </c>
      <c r="J72" s="143" t="s">
        <v>755</v>
      </c>
      <c r="K72" s="138" t="str">
        <f aca="false">IFERROR(VLOOKUP(TEXT(O72,"0"),CONDUCTORES!$A$3:$G$100,7,0),"")</f>
        <v/>
      </c>
      <c r="L72" s="146" t="n">
        <v>17.95</v>
      </c>
      <c r="M72" s="146" t="n">
        <v>6</v>
      </c>
      <c r="N72" s="139" t="n">
        <f aca="false">IFERROR(IF(L72*M72=0,"",L72*M72),"")</f>
        <v>107.7</v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45" t="n">
        <v>45967</v>
      </c>
      <c r="S72" s="144" t="s">
        <v>3695</v>
      </c>
      <c r="T72" s="143"/>
      <c r="U72" s="147"/>
      <c r="V72" s="143"/>
      <c r="W72" s="143"/>
      <c r="X72" s="143"/>
      <c r="Y72" s="85"/>
    </row>
    <row r="73" customFormat="false" ht="15.75" hidden="false" customHeight="true" outlineLevel="0" collapsed="false">
      <c r="A73" s="143" t="n">
        <v>63</v>
      </c>
      <c r="B73" s="144" t="s">
        <v>1932</v>
      </c>
      <c r="C73" s="143" t="s">
        <v>752</v>
      </c>
      <c r="D73" s="144" t="s">
        <v>3696</v>
      </c>
      <c r="E73" s="143" t="s">
        <v>99</v>
      </c>
      <c r="F73" s="143" t="s">
        <v>3697</v>
      </c>
      <c r="G73" s="145" t="n">
        <v>45904</v>
      </c>
      <c r="H73" s="143" t="s">
        <v>581</v>
      </c>
      <c r="I73" s="138" t="str">
        <f aca="false">IFERROR(VLOOKUP(TEXT(H73,"0"),IPRESS!$A$3:$B$212,2,0),"")</f>
        <v>PEDRO RUIZ GALLO</v>
      </c>
      <c r="J73" s="143" t="s">
        <v>755</v>
      </c>
      <c r="K73" s="138" t="str">
        <f aca="false">IFERROR(VLOOKUP(TEXT(O73,"0"),CONDUCTORES!$A$3:$G$100,7,0),"")</f>
        <v/>
      </c>
      <c r="L73" s="146" t="n">
        <v>17.95</v>
      </c>
      <c r="M73" s="146" t="n">
        <v>6</v>
      </c>
      <c r="N73" s="139" t="n">
        <f aca="false">IFERROR(IF(L73*M73=0,"",L73*M73),"")</f>
        <v>107.7</v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145" t="n">
        <v>45967</v>
      </c>
      <c r="S73" s="144" t="s">
        <v>3621</v>
      </c>
      <c r="T73" s="143"/>
      <c r="U73" s="147"/>
      <c r="V73" s="143"/>
      <c r="W73" s="143"/>
      <c r="X73" s="143"/>
      <c r="Y73" s="85"/>
    </row>
    <row r="74" customFormat="false" ht="15.75" hidden="false" customHeight="true" outlineLevel="0" collapsed="false">
      <c r="A74" s="106" t="n">
        <v>64</v>
      </c>
      <c r="B74" s="107" t="s">
        <v>2032</v>
      </c>
      <c r="C74" s="106" t="s">
        <v>752</v>
      </c>
      <c r="D74" s="107" t="s">
        <v>3698</v>
      </c>
      <c r="E74" s="136" t="s">
        <v>99</v>
      </c>
      <c r="F74" s="106" t="s">
        <v>3699</v>
      </c>
      <c r="G74" s="137" t="n">
        <v>45908</v>
      </c>
      <c r="H74" s="106" t="s">
        <v>581</v>
      </c>
      <c r="I74" s="138" t="str">
        <f aca="false">IFERROR(VLOOKUP(TEXT(H74,"0"),IPRESS!$A$3:$B$212,2,0),"")</f>
        <v>PEDRO RUIZ GALLO</v>
      </c>
      <c r="J74" s="106" t="s">
        <v>755</v>
      </c>
      <c r="K74" s="138" t="str">
        <f aca="false">IFERROR(VLOOKUP(TEXT(O74,"0"),CONDUCTORES!$A$3:$G$100,7,0),"")</f>
        <v/>
      </c>
      <c r="L74" s="50" t="n">
        <v>18.18</v>
      </c>
      <c r="M74" s="50" t="n">
        <v>5</v>
      </c>
      <c r="N74" s="139" t="n">
        <f aca="false">IFERROR(IF(L74*M74=0,"",L74*M74),"")</f>
        <v>90.9</v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37" t="n">
        <v>45967</v>
      </c>
      <c r="S74" s="107" t="s">
        <v>3700</v>
      </c>
      <c r="T74" s="136"/>
      <c r="U74" s="140"/>
      <c r="V74" s="106"/>
      <c r="W74" s="106"/>
      <c r="X74" s="106"/>
      <c r="Y74" s="85"/>
    </row>
    <row r="75" customFormat="false" ht="15.75" hidden="false" customHeight="true" outlineLevel="0" collapsed="false">
      <c r="A75" s="46" t="n">
        <v>65</v>
      </c>
      <c r="B75" s="110" t="s">
        <v>1940</v>
      </c>
      <c r="C75" s="46" t="s">
        <v>752</v>
      </c>
      <c r="D75" s="110" t="s">
        <v>3701</v>
      </c>
      <c r="E75" s="46" t="s">
        <v>99</v>
      </c>
      <c r="F75" s="46" t="s">
        <v>3702</v>
      </c>
      <c r="G75" s="142" t="n">
        <v>45909</v>
      </c>
      <c r="H75" s="46" t="s">
        <v>581</v>
      </c>
      <c r="I75" s="138" t="str">
        <f aca="false">IFERROR(VLOOKUP(TEXT(H75,"0"),IPRESS!$A$3:$B$212,2,0),"")</f>
        <v>PEDRO RUIZ GALLO</v>
      </c>
      <c r="J75" s="46" t="s">
        <v>755</v>
      </c>
      <c r="K75" s="138" t="str">
        <f aca="false">IFERROR(VLOOKUP(TEXT(O75,"0"),CONDUCTORES!$A$3:$G$100,7,0),"")</f>
        <v/>
      </c>
      <c r="L75" s="44" t="n">
        <v>18.18</v>
      </c>
      <c r="M75" s="44" t="n">
        <v>5</v>
      </c>
      <c r="N75" s="139" t="n">
        <f aca="false">IFERROR(IF(L75*M75=0,"",L75*M75),"")</f>
        <v>90.9</v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142" t="n">
        <v>45967</v>
      </c>
      <c r="S75" s="110" t="s">
        <v>1292</v>
      </c>
      <c r="T75" s="46"/>
      <c r="U75" s="85"/>
      <c r="V75" s="46"/>
      <c r="W75" s="46"/>
      <c r="X75" s="46"/>
      <c r="Y75" s="85"/>
    </row>
    <row r="76" customFormat="false" ht="15.75" hidden="false" customHeight="true" outlineLevel="0" collapsed="false">
      <c r="A76" s="106" t="n">
        <v>66</v>
      </c>
      <c r="B76" s="107" t="s">
        <v>1944</v>
      </c>
      <c r="C76" s="106" t="s">
        <v>752</v>
      </c>
      <c r="D76" s="107" t="s">
        <v>3703</v>
      </c>
      <c r="E76" s="136" t="s">
        <v>99</v>
      </c>
      <c r="F76" s="106" t="s">
        <v>3704</v>
      </c>
      <c r="G76" s="137" t="n">
        <v>45909</v>
      </c>
      <c r="H76" s="106" t="s">
        <v>581</v>
      </c>
      <c r="I76" s="138" t="str">
        <f aca="false">IFERROR(VLOOKUP(TEXT(H76,"0"),IPRESS!$A$3:$B$212,2,0),"")</f>
        <v>PEDRO RUIZ GALLO</v>
      </c>
      <c r="J76" s="106" t="s">
        <v>755</v>
      </c>
      <c r="K76" s="138" t="str">
        <f aca="false">IFERROR(VLOOKUP(TEXT(O76,"0"),CONDUCTORES!$A$3:$G$100,7,0),"")</f>
        <v/>
      </c>
      <c r="L76" s="50" t="n">
        <v>18.18</v>
      </c>
      <c r="M76" s="50" t="n">
        <v>5</v>
      </c>
      <c r="N76" s="139" t="n">
        <f aca="false">IFERROR(IF(L76*M76=0,"",L76*M76),"")</f>
        <v>90.9</v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37" t="n">
        <v>45967</v>
      </c>
      <c r="S76" s="107" t="s">
        <v>3705</v>
      </c>
      <c r="T76" s="136"/>
      <c r="U76" s="140"/>
      <c r="V76" s="106"/>
      <c r="W76" s="106"/>
      <c r="X76" s="106"/>
      <c r="Y76" s="85"/>
    </row>
    <row r="77" customFormat="false" ht="15.75" hidden="false" customHeight="true" outlineLevel="0" collapsed="false">
      <c r="A77" s="46" t="n">
        <v>67</v>
      </c>
      <c r="B77" s="110" t="s">
        <v>1948</v>
      </c>
      <c r="C77" s="46" t="s">
        <v>752</v>
      </c>
      <c r="D77" s="110" t="s">
        <v>3706</v>
      </c>
      <c r="E77" s="46" t="s">
        <v>99</v>
      </c>
      <c r="F77" s="46" t="s">
        <v>3707</v>
      </c>
      <c r="G77" s="142" t="n">
        <v>45913</v>
      </c>
      <c r="H77" s="46" t="s">
        <v>581</v>
      </c>
      <c r="I77" s="138" t="str">
        <f aca="false">IFERROR(VLOOKUP(TEXT(H77,"0"),IPRESS!$A$3:$B$212,2,0),"")</f>
        <v>PEDRO RUIZ GALLO</v>
      </c>
      <c r="J77" s="46" t="s">
        <v>755</v>
      </c>
      <c r="K77" s="138" t="str">
        <f aca="false">IFERROR(VLOOKUP(TEXT(O77,"0"),CONDUCTORES!$A$3:$G$100,7,0),"")</f>
        <v/>
      </c>
      <c r="L77" s="44" t="n">
        <v>18.18</v>
      </c>
      <c r="M77" s="44" t="n">
        <v>5</v>
      </c>
      <c r="N77" s="139" t="n">
        <f aca="false">IFERROR(IF(L77*M77=0,"",L77*M77),"")</f>
        <v>90.9</v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142" t="n">
        <v>45967</v>
      </c>
      <c r="S77" s="110" t="s">
        <v>891</v>
      </c>
      <c r="T77" s="46"/>
      <c r="U77" s="85"/>
      <c r="V77" s="46"/>
      <c r="W77" s="46"/>
      <c r="X77" s="46"/>
      <c r="Y77" s="85"/>
    </row>
    <row r="78" customFormat="false" ht="15.75" hidden="false" customHeight="true" outlineLevel="0" collapsed="false">
      <c r="A78" s="106" t="n">
        <v>68</v>
      </c>
      <c r="B78" s="107" t="s">
        <v>1952</v>
      </c>
      <c r="C78" s="106" t="s">
        <v>752</v>
      </c>
      <c r="D78" s="107" t="s">
        <v>3708</v>
      </c>
      <c r="E78" s="136" t="s">
        <v>99</v>
      </c>
      <c r="F78" s="106" t="s">
        <v>3709</v>
      </c>
      <c r="G78" s="140" t="s">
        <v>3710</v>
      </c>
      <c r="H78" s="106" t="s">
        <v>581</v>
      </c>
      <c r="I78" s="138" t="str">
        <f aca="false">IFERROR(VLOOKUP(TEXT(H78,"0"),IPRESS!$A$3:$B$212,2,0),"")</f>
        <v>PEDRO RUIZ GALLO</v>
      </c>
      <c r="J78" s="106" t="s">
        <v>755</v>
      </c>
      <c r="K78" s="138" t="str">
        <f aca="false">IFERROR(VLOOKUP(TEXT(O78,"0"),CONDUCTORES!$A$3:$G$100,7,0),"")</f>
        <v/>
      </c>
      <c r="L78" s="50" t="n">
        <v>18.18</v>
      </c>
      <c r="M78" s="50" t="n">
        <v>5</v>
      </c>
      <c r="N78" s="139" t="n">
        <f aca="false">IFERROR(IF(L78*M78=0,"",L78*M78),"")</f>
        <v>90.9</v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37" t="n">
        <v>45967</v>
      </c>
      <c r="S78" s="107" t="s">
        <v>1292</v>
      </c>
      <c r="T78" s="136"/>
      <c r="U78" s="140"/>
      <c r="V78" s="106"/>
      <c r="W78" s="106"/>
      <c r="X78" s="106"/>
      <c r="Y78" s="85"/>
    </row>
    <row r="79" customFormat="false" ht="15.75" hidden="false" customHeight="true" outlineLevel="0" collapsed="false">
      <c r="A79" s="46" t="n">
        <v>69</v>
      </c>
      <c r="B79" s="110" t="s">
        <v>1956</v>
      </c>
      <c r="C79" s="46" t="s">
        <v>752</v>
      </c>
      <c r="D79" s="110" t="s">
        <v>3711</v>
      </c>
      <c r="E79" s="46" t="s">
        <v>99</v>
      </c>
      <c r="F79" s="46" t="s">
        <v>3712</v>
      </c>
      <c r="G79" s="142" t="n">
        <v>45926</v>
      </c>
      <c r="H79" s="46" t="s">
        <v>581</v>
      </c>
      <c r="I79" s="138" t="str">
        <f aca="false">IFERROR(VLOOKUP(TEXT(H79,"0"),IPRESS!$A$3:$B$212,2,0),"")</f>
        <v>PEDRO RUIZ GALLO</v>
      </c>
      <c r="J79" s="46" t="s">
        <v>755</v>
      </c>
      <c r="K79" s="138" t="str">
        <f aca="false">IFERROR(VLOOKUP(TEXT(O79,"0"),CONDUCTORES!$A$3:$G$100,7,0),"")</f>
        <v/>
      </c>
      <c r="L79" s="44" t="n">
        <v>18.18</v>
      </c>
      <c r="M79" s="44" t="n">
        <v>5</v>
      </c>
      <c r="N79" s="139" t="n">
        <f aca="false">IFERROR(IF(L79*M79=0,"",L79*M79),"")</f>
        <v>90.9</v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142" t="n">
        <v>45967</v>
      </c>
      <c r="S79" s="110" t="s">
        <v>3713</v>
      </c>
      <c r="T79" s="46"/>
      <c r="U79" s="85"/>
      <c r="V79" s="46"/>
      <c r="W79" s="46"/>
      <c r="X79" s="46"/>
      <c r="Y79" s="85"/>
    </row>
    <row r="80" customFormat="false" ht="15.75" hidden="false" customHeight="true" outlineLevel="0" collapsed="false">
      <c r="A80" s="106" t="n">
        <v>70</v>
      </c>
      <c r="B80" s="107" t="s">
        <v>1429</v>
      </c>
      <c r="C80" s="106" t="s">
        <v>752</v>
      </c>
      <c r="D80" s="107" t="s">
        <v>3078</v>
      </c>
      <c r="E80" s="136" t="s">
        <v>99</v>
      </c>
      <c r="F80" s="106" t="s">
        <v>3079</v>
      </c>
      <c r="G80" s="137" t="n">
        <v>45905</v>
      </c>
      <c r="H80" s="106" t="s">
        <v>595</v>
      </c>
      <c r="I80" s="138" t="str">
        <f aca="false">IFERROR(VLOOKUP(TEXT(H80,"0"),IPRESS!$A$3:$B$212,2,0),"")</f>
        <v>POMACOCHAS</v>
      </c>
      <c r="J80" s="106" t="s">
        <v>755</v>
      </c>
      <c r="K80" s="138" t="str">
        <f aca="false">IFERROR(VLOOKUP(TEXT(O80,"0"),CONDUCTORES!$A$3:$G$100,7,0),"")</f>
        <v/>
      </c>
      <c r="L80" s="50" t="n">
        <v>18.18</v>
      </c>
      <c r="M80" s="50" t="n">
        <v>8</v>
      </c>
      <c r="N80" s="139" t="n">
        <f aca="false">IFERROR(IF(L80*M80=0,"",L80*M80),"")</f>
        <v>145.44</v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37" t="n">
        <v>45968</v>
      </c>
      <c r="S80" s="107" t="s">
        <v>2782</v>
      </c>
      <c r="T80" s="136"/>
      <c r="U80" s="140"/>
      <c r="V80" s="106"/>
      <c r="W80" s="106"/>
      <c r="X80" s="106"/>
      <c r="Y80" s="85"/>
    </row>
    <row r="81" customFormat="false" ht="15.75" hidden="false" customHeight="true" outlineLevel="0" collapsed="false">
      <c r="A81" s="46" t="n">
        <v>71</v>
      </c>
      <c r="B81" s="110" t="s">
        <v>3404</v>
      </c>
      <c r="C81" s="46" t="s">
        <v>752</v>
      </c>
      <c r="D81" s="110" t="s">
        <v>3714</v>
      </c>
      <c r="E81" s="46" t="s">
        <v>99</v>
      </c>
      <c r="F81" s="46" t="s">
        <v>3715</v>
      </c>
      <c r="G81" s="142" t="n">
        <v>45905</v>
      </c>
      <c r="H81" s="46" t="s">
        <v>595</v>
      </c>
      <c r="I81" s="138" t="str">
        <f aca="false">IFERROR(VLOOKUP(TEXT(H81,"0"),IPRESS!$A$3:$B$212,2,0),"")</f>
        <v>POMACOCHAS</v>
      </c>
      <c r="J81" s="46" t="s">
        <v>755</v>
      </c>
      <c r="K81" s="138" t="str">
        <f aca="false">IFERROR(VLOOKUP(TEXT(O81,"0"),CONDUCTORES!$A$3:$G$100,7,0),"")</f>
        <v/>
      </c>
      <c r="L81" s="44" t="n">
        <v>18.18</v>
      </c>
      <c r="M81" s="44" t="n">
        <v>8</v>
      </c>
      <c r="N81" s="139" t="n">
        <f aca="false">IFERROR(IF(L81*M81=0,"",L81*M81),"")</f>
        <v>145.44</v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142" t="n">
        <v>45968</v>
      </c>
      <c r="S81" s="110" t="s">
        <v>3716</v>
      </c>
      <c r="T81" s="46"/>
      <c r="U81" s="85"/>
      <c r="V81" s="46"/>
      <c r="W81" s="46"/>
      <c r="X81" s="46"/>
      <c r="Y81" s="85"/>
    </row>
    <row r="82" customFormat="false" ht="15.75" hidden="false" customHeight="true" outlineLevel="0" collapsed="false">
      <c r="A82" s="106" t="n">
        <v>72</v>
      </c>
      <c r="B82" s="107" t="s">
        <v>3407</v>
      </c>
      <c r="C82" s="106" t="s">
        <v>752</v>
      </c>
      <c r="D82" s="107" t="s">
        <v>3717</v>
      </c>
      <c r="E82" s="136" t="s">
        <v>99</v>
      </c>
      <c r="F82" s="106" t="s">
        <v>3718</v>
      </c>
      <c r="G82" s="137" t="n">
        <v>45906</v>
      </c>
      <c r="H82" s="106" t="s">
        <v>595</v>
      </c>
      <c r="I82" s="138" t="str">
        <f aca="false">IFERROR(VLOOKUP(TEXT(H82,"0"),IPRESS!$A$3:$B$212,2,0),"")</f>
        <v>POMACOCHAS</v>
      </c>
      <c r="J82" s="106" t="s">
        <v>755</v>
      </c>
      <c r="K82" s="138" t="str">
        <f aca="false">IFERROR(VLOOKUP(TEXT(O82,"0"),CONDUCTORES!$A$3:$G$100,7,0),"")</f>
        <v/>
      </c>
      <c r="L82" s="50" t="n">
        <v>18.18</v>
      </c>
      <c r="M82" s="50" t="n">
        <v>8</v>
      </c>
      <c r="N82" s="139" t="n">
        <f aca="false">IFERROR(IF(L82*M82=0,"",L82*M82),"")</f>
        <v>145.44</v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37" t="n">
        <v>45968</v>
      </c>
      <c r="S82" s="107" t="s">
        <v>847</v>
      </c>
      <c r="T82" s="136"/>
      <c r="U82" s="140"/>
      <c r="V82" s="106"/>
      <c r="W82" s="106"/>
      <c r="X82" s="106"/>
      <c r="Y82" s="85"/>
    </row>
    <row r="83" customFormat="false" ht="15.75" hidden="false" customHeight="true" outlineLevel="0" collapsed="false">
      <c r="A83" s="46" t="n">
        <v>73</v>
      </c>
      <c r="B83" s="110" t="s">
        <v>3411</v>
      </c>
      <c r="C83" s="46" t="s">
        <v>752</v>
      </c>
      <c r="D83" s="110" t="s">
        <v>3719</v>
      </c>
      <c r="E83" s="46" t="s">
        <v>99</v>
      </c>
      <c r="F83" s="46" t="s">
        <v>3720</v>
      </c>
      <c r="G83" s="142" t="n">
        <v>45907</v>
      </c>
      <c r="H83" s="46" t="s">
        <v>595</v>
      </c>
      <c r="I83" s="138" t="str">
        <f aca="false">IFERROR(VLOOKUP(TEXT(H83,"0"),IPRESS!$A$3:$B$212,2,0),"")</f>
        <v>POMACOCHAS</v>
      </c>
      <c r="J83" s="46" t="s">
        <v>755</v>
      </c>
      <c r="K83" s="138" t="str">
        <f aca="false">IFERROR(VLOOKUP(TEXT(O83,"0"),CONDUCTORES!$A$3:$G$100,7,0),"")</f>
        <v/>
      </c>
      <c r="L83" s="44" t="n">
        <v>18.18</v>
      </c>
      <c r="M83" s="44" t="n">
        <v>8</v>
      </c>
      <c r="N83" s="139" t="n">
        <f aca="false">IFERROR(IF(L83*M83=0,"",L83*M83),"")</f>
        <v>145.44</v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142" t="n">
        <v>45968</v>
      </c>
      <c r="S83" s="110" t="s">
        <v>891</v>
      </c>
      <c r="T83" s="46"/>
      <c r="U83" s="85"/>
      <c r="V83" s="46"/>
      <c r="W83" s="46"/>
      <c r="X83" s="46"/>
      <c r="Y83" s="85"/>
    </row>
    <row r="84" customFormat="false" ht="15.75" hidden="false" customHeight="true" outlineLevel="0" collapsed="false">
      <c r="A84" s="106" t="n">
        <v>74</v>
      </c>
      <c r="B84" s="107" t="s">
        <v>3415</v>
      </c>
      <c r="C84" s="106" t="s">
        <v>752</v>
      </c>
      <c r="D84" s="107" t="s">
        <v>3721</v>
      </c>
      <c r="E84" s="136" t="s">
        <v>99</v>
      </c>
      <c r="F84" s="106" t="s">
        <v>3722</v>
      </c>
      <c r="G84" s="137" t="n">
        <v>45908</v>
      </c>
      <c r="H84" s="106" t="s">
        <v>595</v>
      </c>
      <c r="I84" s="138" t="str">
        <f aca="false">IFERROR(VLOOKUP(TEXT(H84,"0"),IPRESS!$A$3:$B$212,2,0),"")</f>
        <v>POMACOCHAS</v>
      </c>
      <c r="J84" s="106" t="s">
        <v>755</v>
      </c>
      <c r="K84" s="138" t="str">
        <f aca="false">IFERROR(VLOOKUP(TEXT(O84,"0"),CONDUCTORES!$A$3:$G$100,7,0),"")</f>
        <v/>
      </c>
      <c r="L84" s="50" t="n">
        <v>18.18</v>
      </c>
      <c r="M84" s="50" t="n">
        <v>8</v>
      </c>
      <c r="N84" s="139" t="n">
        <f aca="false">IFERROR(IF(L84*M84=0,"",L84*M84),"")</f>
        <v>145.44</v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37" t="n">
        <v>45968</v>
      </c>
      <c r="S84" s="107" t="s">
        <v>3723</v>
      </c>
      <c r="T84" s="136"/>
      <c r="U84" s="140"/>
      <c r="V84" s="106"/>
      <c r="W84" s="106"/>
      <c r="X84" s="106"/>
      <c r="Y84" s="85"/>
    </row>
    <row r="85" customFormat="false" ht="15.75" hidden="false" customHeight="true" outlineLevel="0" collapsed="false">
      <c r="A85" s="46" t="n">
        <v>75</v>
      </c>
      <c r="B85" s="110" t="s">
        <v>1749</v>
      </c>
      <c r="C85" s="46" t="s">
        <v>752</v>
      </c>
      <c r="D85" s="110" t="s">
        <v>3724</v>
      </c>
      <c r="E85" s="46" t="s">
        <v>99</v>
      </c>
      <c r="F85" s="46" t="s">
        <v>3725</v>
      </c>
      <c r="G85" s="142" t="n">
        <v>45910</v>
      </c>
      <c r="H85" s="46" t="s">
        <v>595</v>
      </c>
      <c r="I85" s="138" t="str">
        <f aca="false">IFERROR(VLOOKUP(TEXT(H85,"0"),IPRESS!$A$3:$B$212,2,0),"")</f>
        <v>POMACOCHAS</v>
      </c>
      <c r="J85" s="46" t="s">
        <v>755</v>
      </c>
      <c r="K85" s="138" t="str">
        <f aca="false">IFERROR(VLOOKUP(TEXT(O85,"0"),CONDUCTORES!$A$3:$G$100,7,0),"")</f>
        <v/>
      </c>
      <c r="L85" s="44" t="n">
        <v>18.18</v>
      </c>
      <c r="M85" s="44" t="n">
        <v>8</v>
      </c>
      <c r="N85" s="139" t="n">
        <f aca="false">IFERROR(IF(L85*M85=0,"",L85*M85),"")</f>
        <v>145.44</v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142" t="n">
        <v>45968</v>
      </c>
      <c r="S85" s="110" t="s">
        <v>3726</v>
      </c>
      <c r="T85" s="46"/>
      <c r="U85" s="85"/>
      <c r="V85" s="46"/>
      <c r="W85" s="46"/>
      <c r="X85" s="46"/>
      <c r="Y85" s="85"/>
    </row>
    <row r="86" customFormat="false" ht="15.75" hidden="false" customHeight="true" outlineLevel="0" collapsed="false">
      <c r="A86" s="106" t="n">
        <v>76</v>
      </c>
      <c r="B86" s="107" t="s">
        <v>1753</v>
      </c>
      <c r="C86" s="106" t="s">
        <v>752</v>
      </c>
      <c r="D86" s="107" t="s">
        <v>3727</v>
      </c>
      <c r="E86" s="136" t="s">
        <v>99</v>
      </c>
      <c r="F86" s="106" t="s">
        <v>3728</v>
      </c>
      <c r="G86" s="137" t="n">
        <v>45912</v>
      </c>
      <c r="H86" s="106" t="s">
        <v>595</v>
      </c>
      <c r="I86" s="138" t="str">
        <f aca="false">IFERROR(VLOOKUP(TEXT(H86,"0"),IPRESS!$A$3:$B$212,2,0),"")</f>
        <v>POMACOCHAS</v>
      </c>
      <c r="J86" s="106" t="s">
        <v>755</v>
      </c>
      <c r="K86" s="138" t="str">
        <f aca="false">IFERROR(VLOOKUP(TEXT(O86,"0"),CONDUCTORES!$A$3:$G$100,7,0),"")</f>
        <v/>
      </c>
      <c r="L86" s="50" t="n">
        <v>18.18</v>
      </c>
      <c r="M86" s="50" t="n">
        <v>8</v>
      </c>
      <c r="N86" s="139" t="n">
        <f aca="false">IFERROR(IF(L86*M86=0,"",L86*M86),"")</f>
        <v>145.44</v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37" t="n">
        <v>45968</v>
      </c>
      <c r="S86" s="107" t="s">
        <v>3729</v>
      </c>
      <c r="T86" s="136"/>
      <c r="U86" s="140"/>
      <c r="V86" s="106"/>
      <c r="W86" s="106"/>
      <c r="X86" s="106"/>
      <c r="Y86" s="85"/>
    </row>
    <row r="87" customFormat="false" ht="15.75" hidden="false" customHeight="true" outlineLevel="0" collapsed="false">
      <c r="A87" s="46" t="n">
        <v>77</v>
      </c>
      <c r="B87" s="110" t="s">
        <v>1932</v>
      </c>
      <c r="C87" s="46" t="s">
        <v>752</v>
      </c>
      <c r="D87" s="110" t="s">
        <v>3730</v>
      </c>
      <c r="E87" s="46" t="s">
        <v>99</v>
      </c>
      <c r="F87" s="46" t="s">
        <v>3731</v>
      </c>
      <c r="G87" s="142" t="n">
        <v>45920</v>
      </c>
      <c r="H87" s="46" t="s">
        <v>595</v>
      </c>
      <c r="I87" s="138" t="str">
        <f aca="false">IFERROR(VLOOKUP(TEXT(H87,"0"),IPRESS!$A$3:$B$212,2,0),"")</f>
        <v>POMACOCHAS</v>
      </c>
      <c r="J87" s="46" t="s">
        <v>755</v>
      </c>
      <c r="K87" s="138" t="str">
        <f aca="false">IFERROR(VLOOKUP(TEXT(O87,"0"),CONDUCTORES!$A$3:$G$100,7,0),"")</f>
        <v/>
      </c>
      <c r="L87" s="44" t="n">
        <v>18.18</v>
      </c>
      <c r="M87" s="44" t="n">
        <v>8</v>
      </c>
      <c r="N87" s="139" t="n">
        <f aca="false">IFERROR(IF(L87*M87=0,"",L87*M87),"")</f>
        <v>145.44</v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142" t="n">
        <v>45968</v>
      </c>
      <c r="S87" s="110" t="s">
        <v>3732</v>
      </c>
      <c r="T87" s="46"/>
      <c r="U87" s="85"/>
      <c r="V87" s="46"/>
      <c r="W87" s="46"/>
      <c r="X87" s="46"/>
      <c r="Y87" s="85"/>
    </row>
    <row r="88" customFormat="false" ht="15.75" hidden="false" customHeight="true" outlineLevel="0" collapsed="false">
      <c r="A88" s="106" t="n">
        <v>78</v>
      </c>
      <c r="B88" s="107" t="s">
        <v>2032</v>
      </c>
      <c r="C88" s="106" t="s">
        <v>752</v>
      </c>
      <c r="D88" s="107" t="s">
        <v>3733</v>
      </c>
      <c r="E88" s="136" t="s">
        <v>99</v>
      </c>
      <c r="F88" s="106" t="s">
        <v>3734</v>
      </c>
      <c r="G88" s="137" t="n">
        <v>45921</v>
      </c>
      <c r="H88" s="106" t="s">
        <v>595</v>
      </c>
      <c r="I88" s="138" t="str">
        <f aca="false">IFERROR(VLOOKUP(TEXT(H88,"0"),IPRESS!$A$3:$B$212,2,0),"")</f>
        <v>POMACOCHAS</v>
      </c>
      <c r="J88" s="106" t="s">
        <v>755</v>
      </c>
      <c r="K88" s="138" t="str">
        <f aca="false">IFERROR(VLOOKUP(TEXT(O88,"0"),CONDUCTORES!$A$3:$G$100,7,0),"")</f>
        <v/>
      </c>
      <c r="L88" s="50" t="n">
        <v>18.18</v>
      </c>
      <c r="M88" s="50" t="n">
        <v>8</v>
      </c>
      <c r="N88" s="139" t="n">
        <f aca="false">IFERROR(IF(L88*M88=0,"",L88*M88),"")</f>
        <v>145.44</v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37" t="n">
        <v>45968</v>
      </c>
      <c r="S88" s="107" t="s">
        <v>3735</v>
      </c>
      <c r="T88" s="136"/>
      <c r="U88" s="140"/>
      <c r="V88" s="106"/>
      <c r="W88" s="106"/>
      <c r="X88" s="106"/>
      <c r="Y88" s="85"/>
    </row>
    <row r="89" customFormat="false" ht="15.75" hidden="false" customHeight="true" outlineLevel="0" collapsed="false">
      <c r="A89" s="46" t="n">
        <v>79</v>
      </c>
      <c r="B89" s="110" t="s">
        <v>1936</v>
      </c>
      <c r="C89" s="46" t="s">
        <v>752</v>
      </c>
      <c r="D89" s="110" t="s">
        <v>3736</v>
      </c>
      <c r="E89" s="46" t="s">
        <v>99</v>
      </c>
      <c r="F89" s="46" t="s">
        <v>3737</v>
      </c>
      <c r="G89" s="142" t="n">
        <v>45922</v>
      </c>
      <c r="H89" s="46" t="s">
        <v>595</v>
      </c>
      <c r="I89" s="138" t="str">
        <f aca="false">IFERROR(VLOOKUP(TEXT(H89,"0"),IPRESS!$A$3:$B$212,2,0),"")</f>
        <v>POMACOCHAS</v>
      </c>
      <c r="J89" s="46" t="s">
        <v>755</v>
      </c>
      <c r="K89" s="138" t="str">
        <f aca="false">IFERROR(VLOOKUP(TEXT(O89,"0"),CONDUCTORES!$A$3:$G$100,7,0),"")</f>
        <v/>
      </c>
      <c r="L89" s="44" t="n">
        <v>18.18</v>
      </c>
      <c r="M89" s="44" t="n">
        <v>8</v>
      </c>
      <c r="N89" s="139" t="n">
        <f aca="false">IFERROR(IF(L89*M89=0,"",L89*M89),"")</f>
        <v>145.44</v>
      </c>
      <c r="O89" s="140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142" t="n">
        <v>45968</v>
      </c>
      <c r="S89" s="110" t="s">
        <v>1683</v>
      </c>
      <c r="T89" s="46"/>
      <c r="U89" s="85"/>
      <c r="V89" s="46"/>
      <c r="W89" s="46"/>
      <c r="X89" s="46"/>
      <c r="Y89" s="85"/>
    </row>
    <row r="90" customFormat="false" ht="15.75" hidden="false" customHeight="true" outlineLevel="0" collapsed="false">
      <c r="A90" s="106" t="n">
        <v>80</v>
      </c>
      <c r="B90" s="107" t="s">
        <v>1940</v>
      </c>
      <c r="C90" s="106" t="s">
        <v>752</v>
      </c>
      <c r="D90" s="107" t="s">
        <v>3738</v>
      </c>
      <c r="E90" s="136" t="s">
        <v>99</v>
      </c>
      <c r="F90" s="106" t="s">
        <v>3739</v>
      </c>
      <c r="G90" s="137" t="n">
        <v>45923</v>
      </c>
      <c r="H90" s="106" t="s">
        <v>595</v>
      </c>
      <c r="I90" s="138" t="str">
        <f aca="false">IFERROR(VLOOKUP(TEXT(H90,"0"),IPRESS!$A$3:$B$212,2,0),"")</f>
        <v>POMACOCHAS</v>
      </c>
      <c r="J90" s="106" t="s">
        <v>755</v>
      </c>
      <c r="K90" s="138" t="str">
        <f aca="false">IFERROR(VLOOKUP(TEXT(O90,"0"),CONDUCTORES!$A$3:$G$100,7,0),"")</f>
        <v/>
      </c>
      <c r="L90" s="50" t="n">
        <v>18.18</v>
      </c>
      <c r="M90" s="50" t="n">
        <v>8</v>
      </c>
      <c r="N90" s="139" t="n">
        <f aca="false">IFERROR(IF(L90*M90=0,"",L90*M90),"")</f>
        <v>145.44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37" t="n">
        <v>45968</v>
      </c>
      <c r="S90" s="107" t="s">
        <v>3740</v>
      </c>
      <c r="T90" s="136"/>
      <c r="U90" s="140"/>
      <c r="V90" s="106"/>
      <c r="W90" s="106"/>
      <c r="X90" s="106"/>
      <c r="Y90" s="85"/>
    </row>
    <row r="91" customFormat="false" ht="15.75" hidden="false" customHeight="true" outlineLevel="0" collapsed="false">
      <c r="A91" s="143" t="n">
        <v>81</v>
      </c>
      <c r="B91" s="144" t="s">
        <v>787</v>
      </c>
      <c r="C91" s="143" t="s">
        <v>752</v>
      </c>
      <c r="D91" s="144" t="s">
        <v>3741</v>
      </c>
      <c r="E91" s="143" t="s">
        <v>99</v>
      </c>
      <c r="F91" s="143" t="s">
        <v>3742</v>
      </c>
      <c r="G91" s="145" t="n">
        <v>45903</v>
      </c>
      <c r="H91" s="143" t="s">
        <v>622</v>
      </c>
      <c r="I91" s="138" t="str">
        <f aca="false">IFERROR(VLOOKUP(TEXT(H91,"0"),IPRESS!$A$3:$B$212,2,0),"")</f>
        <v>SALAZAR</v>
      </c>
      <c r="J91" s="143" t="s">
        <v>755</v>
      </c>
      <c r="K91" s="138" t="str">
        <f aca="false">IFERROR(VLOOKUP(TEXT(O91,"0"),CONDUCTORES!$A$3:$G$100,7,0),"")</f>
        <v/>
      </c>
      <c r="L91" s="146" t="n">
        <v>17.95</v>
      </c>
      <c r="M91" s="146" t="n">
        <v>20</v>
      </c>
      <c r="N91" s="139" t="n">
        <f aca="false">IFERROR(IF(L91*M91=0,"",L91*M91),"")</f>
        <v>359</v>
      </c>
      <c r="O91" s="140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145" t="n">
        <v>45994</v>
      </c>
      <c r="S91" s="144" t="s">
        <v>891</v>
      </c>
      <c r="T91" s="143"/>
      <c r="U91" s="147"/>
      <c r="V91" s="143"/>
      <c r="W91" s="143"/>
      <c r="X91" s="143"/>
      <c r="Y91" s="85"/>
    </row>
    <row r="92" customFormat="false" ht="15.75" hidden="false" customHeight="true" outlineLevel="0" collapsed="false">
      <c r="A92" s="143" t="n">
        <v>82</v>
      </c>
      <c r="B92" s="144" t="s">
        <v>919</v>
      </c>
      <c r="C92" s="143" t="s">
        <v>752</v>
      </c>
      <c r="D92" s="144" t="s">
        <v>3743</v>
      </c>
      <c r="E92" s="143" t="s">
        <v>99</v>
      </c>
      <c r="F92" s="143" t="s">
        <v>3744</v>
      </c>
      <c r="G92" s="145" t="n">
        <v>45923</v>
      </c>
      <c r="H92" s="143" t="s">
        <v>622</v>
      </c>
      <c r="I92" s="138" t="str">
        <f aca="false">IFERROR(VLOOKUP(TEXT(H92,"0"),IPRESS!$A$3:$B$212,2,0),"")</f>
        <v>SALAZAR</v>
      </c>
      <c r="J92" s="143" t="s">
        <v>755</v>
      </c>
      <c r="K92" s="138" t="str">
        <f aca="false">IFERROR(VLOOKUP(TEXT(O92,"0"),CONDUCTORES!$A$3:$G$100,7,0),"")</f>
        <v/>
      </c>
      <c r="L92" s="146" t="n">
        <v>17.95</v>
      </c>
      <c r="M92" s="146" t="n">
        <v>20</v>
      </c>
      <c r="N92" s="139" t="n">
        <f aca="false">IFERROR(IF(L92*M92=0,"",L92*M92),"")</f>
        <v>359</v>
      </c>
      <c r="O92" s="85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45" t="n">
        <v>45994</v>
      </c>
      <c r="S92" s="144" t="s">
        <v>3745</v>
      </c>
      <c r="T92" s="143"/>
      <c r="U92" s="147"/>
      <c r="V92" s="143"/>
      <c r="W92" s="143"/>
      <c r="X92" s="143"/>
      <c r="Y92" s="85"/>
    </row>
    <row r="93" customFormat="false" ht="15.75" hidden="false" customHeight="true" outlineLevel="0" collapsed="false">
      <c r="A93" s="46" t="n">
        <v>83</v>
      </c>
      <c r="B93" s="110" t="s">
        <v>827</v>
      </c>
      <c r="C93" s="46" t="s">
        <v>752</v>
      </c>
      <c r="D93" s="110" t="s">
        <v>3746</v>
      </c>
      <c r="E93" s="46" t="s">
        <v>99</v>
      </c>
      <c r="F93" s="46" t="s">
        <v>3747</v>
      </c>
      <c r="G93" s="142" t="n">
        <v>45901</v>
      </c>
      <c r="H93" s="46" t="s">
        <v>645</v>
      </c>
      <c r="I93" s="138" t="str">
        <f aca="false">IFERROR(VLOOKUP(TEXT(H93,"0"),IPRESS!$A$3:$B$212,2,0),"")</f>
        <v>SAN JUAN DE OCUMAL</v>
      </c>
      <c r="J93" s="46" t="s">
        <v>755</v>
      </c>
      <c r="K93" s="138" t="str">
        <f aca="false">IFERROR(VLOOKUP(TEXT(O93,"0"),CONDUCTORES!$A$3:$G$100,7,0),"")</f>
        <v/>
      </c>
      <c r="L93" s="44" t="n">
        <v>18.18</v>
      </c>
      <c r="M93" s="44" t="n">
        <v>21.8</v>
      </c>
      <c r="N93" s="139" t="n">
        <f aca="false">IFERROR(IF(L93*M93=0,"",L93*M93),"")</f>
        <v>396.324</v>
      </c>
      <c r="O93" s="140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85"/>
      <c r="S93" s="110" t="s">
        <v>3748</v>
      </c>
      <c r="T93" s="46"/>
      <c r="U93" s="85"/>
      <c r="V93" s="46"/>
      <c r="W93" s="46"/>
      <c r="X93" s="46"/>
      <c r="Y93" s="85"/>
    </row>
    <row r="94" customFormat="false" ht="15.75" hidden="false" customHeight="true" outlineLevel="0" collapsed="false">
      <c r="A94" s="106" t="n">
        <v>84</v>
      </c>
      <c r="B94" s="107" t="s">
        <v>1338</v>
      </c>
      <c r="C94" s="106" t="s">
        <v>752</v>
      </c>
      <c r="D94" s="107" t="s">
        <v>3749</v>
      </c>
      <c r="E94" s="136" t="s">
        <v>99</v>
      </c>
      <c r="F94" s="106" t="s">
        <v>3750</v>
      </c>
      <c r="G94" s="137" t="n">
        <v>45903</v>
      </c>
      <c r="H94" s="106" t="s">
        <v>692</v>
      </c>
      <c r="I94" s="138" t="str">
        <f aca="false">IFERROR(VLOOKUP(TEXT(H94,"0"),IPRESS!$A$3:$B$212,2,0),"")</f>
        <v>TINGO</v>
      </c>
      <c r="J94" s="106" t="s">
        <v>755</v>
      </c>
      <c r="K94" s="138" t="str">
        <f aca="false">IFERROR(VLOOKUP(TEXT(O94,"0"),CONDUCTORES!$A$3:$G$100,7,0),"")</f>
        <v/>
      </c>
      <c r="L94" s="50" t="n">
        <v>18.18</v>
      </c>
      <c r="M94" s="50" t="n">
        <v>5</v>
      </c>
      <c r="N94" s="139" t="n">
        <f aca="false">IFERROR(IF(L94*M94=0,"",L94*M94),"")</f>
        <v>90.9</v>
      </c>
      <c r="O94" s="85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37" t="n">
        <v>45994</v>
      </c>
      <c r="S94" s="107" t="s">
        <v>3751</v>
      </c>
      <c r="T94" s="136"/>
      <c r="U94" s="140"/>
      <c r="V94" s="106"/>
      <c r="W94" s="106"/>
      <c r="X94" s="106"/>
      <c r="Y94" s="85"/>
    </row>
    <row r="95" customFormat="false" ht="15.75" hidden="false" customHeight="true" outlineLevel="0" collapsed="false">
      <c r="A95" s="46" t="n">
        <v>85</v>
      </c>
      <c r="B95" s="110" t="s">
        <v>1342</v>
      </c>
      <c r="C95" s="46" t="s">
        <v>752</v>
      </c>
      <c r="D95" s="110" t="s">
        <v>3752</v>
      </c>
      <c r="E95" s="46" t="s">
        <v>99</v>
      </c>
      <c r="F95" s="46" t="s">
        <v>3753</v>
      </c>
      <c r="G95" s="142" t="n">
        <v>45903</v>
      </c>
      <c r="H95" s="46" t="s">
        <v>692</v>
      </c>
      <c r="I95" s="138" t="str">
        <f aca="false">IFERROR(VLOOKUP(TEXT(H95,"0"),IPRESS!$A$3:$B$212,2,0),"")</f>
        <v>TINGO</v>
      </c>
      <c r="J95" s="46" t="s">
        <v>755</v>
      </c>
      <c r="K95" s="138" t="str">
        <f aca="false">IFERROR(VLOOKUP(TEXT(O95,"0"),CONDUCTORES!$A$3:$G$100,7,0),"")</f>
        <v/>
      </c>
      <c r="L95" s="44" t="n">
        <v>18.18</v>
      </c>
      <c r="M95" s="44" t="n">
        <v>5</v>
      </c>
      <c r="N95" s="139" t="n">
        <f aca="false">IFERROR(IF(L95*M95=0,"",L95*M95),"")</f>
        <v>90.9</v>
      </c>
      <c r="O95" s="140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142" t="n">
        <v>45994</v>
      </c>
      <c r="S95" s="110" t="s">
        <v>3754</v>
      </c>
      <c r="T95" s="46"/>
      <c r="U95" s="85"/>
      <c r="V95" s="46"/>
      <c r="W95" s="46"/>
      <c r="X95" s="46"/>
      <c r="Y95" s="85"/>
    </row>
    <row r="96" customFormat="false" ht="15.75" hidden="false" customHeight="true" outlineLevel="0" collapsed="false">
      <c r="A96" s="106" t="n">
        <v>86</v>
      </c>
      <c r="B96" s="107" t="s">
        <v>1346</v>
      </c>
      <c r="C96" s="106" t="s">
        <v>752</v>
      </c>
      <c r="D96" s="107" t="s">
        <v>3755</v>
      </c>
      <c r="E96" s="136" t="s">
        <v>99</v>
      </c>
      <c r="F96" s="106" t="s">
        <v>856</v>
      </c>
      <c r="G96" s="137" t="n">
        <v>45904</v>
      </c>
      <c r="H96" s="106" t="s">
        <v>692</v>
      </c>
      <c r="I96" s="138" t="str">
        <f aca="false">IFERROR(VLOOKUP(TEXT(H96,"0"),IPRESS!$A$3:$B$212,2,0),"")</f>
        <v>TINGO</v>
      </c>
      <c r="J96" s="106" t="s">
        <v>755</v>
      </c>
      <c r="K96" s="138" t="str">
        <f aca="false">IFERROR(VLOOKUP(TEXT(O96,"0"),CONDUCTORES!$A$3:$G$100,7,0),"")</f>
        <v/>
      </c>
      <c r="L96" s="50" t="n">
        <v>18.18</v>
      </c>
      <c r="M96" s="50" t="n">
        <v>5</v>
      </c>
      <c r="N96" s="139" t="n">
        <f aca="false">IFERROR(IF(L96*M96=0,"",L96*M96),"")</f>
        <v>90.9</v>
      </c>
      <c r="O96" s="85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37" t="n">
        <v>45994</v>
      </c>
      <c r="S96" s="107" t="s">
        <v>3756</v>
      </c>
      <c r="T96" s="136"/>
      <c r="U96" s="140"/>
      <c r="V96" s="106"/>
      <c r="W96" s="106"/>
      <c r="X96" s="106"/>
      <c r="Y96" s="85"/>
    </row>
    <row r="97" customFormat="false" ht="15.75" hidden="false" customHeight="true" outlineLevel="0" collapsed="false">
      <c r="A97" s="46" t="n">
        <v>87</v>
      </c>
      <c r="B97" s="110" t="s">
        <v>818</v>
      </c>
      <c r="C97" s="46" t="s">
        <v>752</v>
      </c>
      <c r="D97" s="110" t="s">
        <v>3757</v>
      </c>
      <c r="E97" s="46" t="s">
        <v>99</v>
      </c>
      <c r="F97" s="46" t="s">
        <v>3758</v>
      </c>
      <c r="G97" s="142" t="n">
        <v>45906</v>
      </c>
      <c r="H97" s="46" t="s">
        <v>715</v>
      </c>
      <c r="I97" s="138" t="str">
        <f aca="false">IFERROR(VLOOKUP(TEXT(H97,"0"),IPRESS!$A$3:$B$212,2,0),"")</f>
        <v>YAULICACHI</v>
      </c>
      <c r="J97" s="46" t="s">
        <v>755</v>
      </c>
      <c r="K97" s="138" t="str">
        <f aca="false">IFERROR(VLOOKUP(TEXT(O97,"0"),CONDUCTORES!$A$3:$G$100,7,0),"")</f>
        <v/>
      </c>
      <c r="L97" s="44" t="n">
        <v>18.18</v>
      </c>
      <c r="M97" s="44" t="n">
        <v>20</v>
      </c>
      <c r="N97" s="139" t="n">
        <f aca="false">IFERROR(IF(L97*M97=0,"",L97*M97),"")</f>
        <v>363.6</v>
      </c>
      <c r="O97" s="140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85"/>
      <c r="S97" s="110" t="s">
        <v>3759</v>
      </c>
      <c r="T97" s="46" t="s">
        <v>3760</v>
      </c>
      <c r="U97" s="85"/>
      <c r="V97" s="46"/>
      <c r="W97" s="46"/>
      <c r="X97" s="46"/>
      <c r="Y97" s="85"/>
    </row>
    <row r="98" customFormat="false" ht="15.75" hidden="false" customHeight="true" outlineLevel="0" collapsed="false">
      <c r="A98" s="106" t="n">
        <v>88</v>
      </c>
      <c r="B98" s="107" t="s">
        <v>1329</v>
      </c>
      <c r="C98" s="106" t="s">
        <v>752</v>
      </c>
      <c r="D98" s="107" t="s">
        <v>3761</v>
      </c>
      <c r="E98" s="136" t="s">
        <v>99</v>
      </c>
      <c r="F98" s="106" t="s">
        <v>3762</v>
      </c>
      <c r="G98" s="137" t="n">
        <v>45908</v>
      </c>
      <c r="H98" s="106" t="s">
        <v>717</v>
      </c>
      <c r="I98" s="138" t="str">
        <f aca="false">IFERROR(VLOOKUP(TEXT(H98,"0"),IPRESS!$A$3:$B$212,2,0),"")</f>
        <v>YERBABUENA</v>
      </c>
      <c r="J98" s="106" t="s">
        <v>755</v>
      </c>
      <c r="K98" s="138" t="str">
        <f aca="false">IFERROR(VLOOKUP(TEXT(O98,"0"),CONDUCTORES!$A$3:$G$100,7,0),"")</f>
        <v/>
      </c>
      <c r="L98" s="50" t="n">
        <v>18.18</v>
      </c>
      <c r="M98" s="50" t="n">
        <v>6</v>
      </c>
      <c r="N98" s="139" t="n">
        <f aca="false">IFERROR(IF(L98*M98=0,"",L98*M98),"")</f>
        <v>109.08</v>
      </c>
      <c r="O98" s="85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37" t="n">
        <v>45981</v>
      </c>
      <c r="S98" s="107" t="s">
        <v>1144</v>
      </c>
      <c r="T98" s="136"/>
      <c r="U98" s="140"/>
      <c r="V98" s="106"/>
      <c r="W98" s="106"/>
      <c r="X98" s="106"/>
      <c r="Y98" s="85"/>
    </row>
    <row r="99" customFormat="false" ht="15.75" hidden="false" customHeight="true" outlineLevel="0" collapsed="false">
      <c r="A99" s="46" t="n">
        <v>89</v>
      </c>
      <c r="B99" s="110" t="s">
        <v>1319</v>
      </c>
      <c r="C99" s="46" t="s">
        <v>752</v>
      </c>
      <c r="D99" s="110" t="s">
        <v>3763</v>
      </c>
      <c r="E99" s="46" t="s">
        <v>99</v>
      </c>
      <c r="F99" s="46" t="s">
        <v>3764</v>
      </c>
      <c r="G99" s="142" t="n">
        <v>45912</v>
      </c>
      <c r="H99" s="46" t="s">
        <v>717</v>
      </c>
      <c r="I99" s="138" t="str">
        <f aca="false">IFERROR(VLOOKUP(TEXT(H99,"0"),IPRESS!$A$3:$B$212,2,0),"")</f>
        <v>YERBABUENA</v>
      </c>
      <c r="J99" s="46" t="s">
        <v>755</v>
      </c>
      <c r="K99" s="138" t="str">
        <f aca="false">IFERROR(VLOOKUP(TEXT(O99,"0"),CONDUCTORES!$A$3:$G$100,7,0),"")</f>
        <v/>
      </c>
      <c r="L99" s="44" t="n">
        <v>18.18</v>
      </c>
      <c r="M99" s="44" t="n">
        <v>6</v>
      </c>
      <c r="N99" s="139" t="n">
        <f aca="false">IFERROR(IF(L99*M99=0,"",L99*M99),"")</f>
        <v>109.08</v>
      </c>
      <c r="O99" s="140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142" t="n">
        <v>45981</v>
      </c>
      <c r="S99" s="110" t="s">
        <v>3765</v>
      </c>
      <c r="T99" s="46"/>
      <c r="U99" s="85"/>
      <c r="V99" s="46"/>
      <c r="W99" s="46"/>
      <c r="X99" s="46"/>
      <c r="Y99" s="85"/>
    </row>
    <row r="100" customFormat="false" ht="15.75" hidden="false" customHeight="true" outlineLevel="0" collapsed="false">
      <c r="A100" s="106" t="n">
        <v>90</v>
      </c>
      <c r="B100" s="107" t="s">
        <v>1321</v>
      </c>
      <c r="C100" s="106" t="s">
        <v>752</v>
      </c>
      <c r="D100" s="107" t="s">
        <v>3766</v>
      </c>
      <c r="E100" s="136" t="s">
        <v>99</v>
      </c>
      <c r="F100" s="106" t="s">
        <v>3767</v>
      </c>
      <c r="G100" s="137" t="n">
        <v>45923</v>
      </c>
      <c r="H100" s="106" t="s">
        <v>717</v>
      </c>
      <c r="I100" s="138" t="str">
        <f aca="false">IFERROR(VLOOKUP(TEXT(H100,"0"),IPRESS!$A$3:$B$212,2,0),"")</f>
        <v>YERBABUENA</v>
      </c>
      <c r="J100" s="106" t="s">
        <v>755</v>
      </c>
      <c r="K100" s="138" t="str">
        <f aca="false">IFERROR(VLOOKUP(TEXT(O100,"0"),CONDUCTORES!$A$3:$G$100,7,0),"")</f>
        <v/>
      </c>
      <c r="L100" s="50" t="n">
        <v>18.18</v>
      </c>
      <c r="M100" s="50" t="n">
        <v>6</v>
      </c>
      <c r="N100" s="139" t="n">
        <f aca="false">IFERROR(IF(L100*M100=0,"",L100*M100),"")</f>
        <v>109.08</v>
      </c>
      <c r="O100" s="85"/>
      <c r="P100" s="138" t="str">
        <f aca="false">IFERROR(VLOOKUP(TEXT(O100,"0"),CONDUCTORES!$A$3:$G$100,2,0),"")</f>
        <v/>
      </c>
      <c r="Q100" s="138" t="str">
        <f aca="false">IFERROR(VLOOKUP(TEXT(O100,"0"),CONDUCTORES!$A$3:$H$100,6,0),"")</f>
        <v/>
      </c>
      <c r="R100" s="137" t="n">
        <v>45981</v>
      </c>
      <c r="S100" s="107" t="s">
        <v>1236</v>
      </c>
      <c r="T100" s="136"/>
      <c r="U100" s="140"/>
      <c r="V100" s="106"/>
      <c r="W100" s="106"/>
      <c r="X100" s="106"/>
      <c r="Y100" s="85"/>
    </row>
    <row r="101" customFormat="false" ht="15.75" hidden="false" customHeight="true" outlineLevel="0" collapsed="false">
      <c r="A101" s="46" t="n">
        <v>91</v>
      </c>
      <c r="B101" s="110" t="s">
        <v>2090</v>
      </c>
      <c r="C101" s="46" t="s">
        <v>752</v>
      </c>
      <c r="D101" s="110" t="s">
        <v>3768</v>
      </c>
      <c r="E101" s="46" t="s">
        <v>99</v>
      </c>
      <c r="F101" s="46" t="s">
        <v>3769</v>
      </c>
      <c r="G101" s="142" t="n">
        <v>45918</v>
      </c>
      <c r="H101" s="46" t="s">
        <v>722</v>
      </c>
      <c r="I101" s="138" t="str">
        <f aca="false">IFERROR(VLOOKUP(TEXT(H101,"0"),IPRESS!$A$3:$B$212,2,0),"")</f>
        <v>ZARUMILLA</v>
      </c>
      <c r="J101" s="46" t="s">
        <v>529</v>
      </c>
      <c r="K101" s="138" t="str">
        <f aca="false">IFERROR(VLOOKUP(TEXT(O101,"0"),CONDUCTORES!$A$3:$G$100,7,0),"")</f>
        <v/>
      </c>
      <c r="L101" s="44" t="n">
        <v>20.25</v>
      </c>
      <c r="M101" s="44" t="n">
        <v>10</v>
      </c>
      <c r="N101" s="139" t="n">
        <f aca="false">IFERROR(IF(L101*M101=0,"",L101*M101),"")</f>
        <v>202.5</v>
      </c>
      <c r="O101" s="140"/>
      <c r="P101" s="138" t="str">
        <f aca="false">IFERROR(VLOOKUP(TEXT(O101,"0"),CONDUCTORES!$A$3:$G$100,2,0),"")</f>
        <v/>
      </c>
      <c r="Q101" s="138" t="str">
        <f aca="false">IFERROR(VLOOKUP(TEXT(O101,"0"),CONDUCTORES!$A$3:$H$100,6,0),"")</f>
        <v/>
      </c>
      <c r="R101" s="142" t="n">
        <v>46010</v>
      </c>
      <c r="S101" s="110" t="s">
        <v>3770</v>
      </c>
      <c r="T101" s="46" t="s">
        <v>3771</v>
      </c>
      <c r="U101" s="85"/>
      <c r="V101" s="46"/>
      <c r="W101" s="46"/>
      <c r="X101" s="46"/>
      <c r="Y101" s="85"/>
    </row>
    <row r="102" customFormat="false" ht="15.75" hidden="false" customHeight="true" outlineLevel="0" collapsed="false">
      <c r="A102" s="106" t="n">
        <v>92</v>
      </c>
      <c r="B102" s="107" t="s">
        <v>1329</v>
      </c>
      <c r="C102" s="106" t="s">
        <v>752</v>
      </c>
      <c r="D102" s="107" t="s">
        <v>3597</v>
      </c>
      <c r="E102" s="136" t="s">
        <v>99</v>
      </c>
      <c r="F102" s="106" t="s">
        <v>3598</v>
      </c>
      <c r="G102" s="137" t="n">
        <v>45930</v>
      </c>
      <c r="H102" s="106" t="s">
        <v>722</v>
      </c>
      <c r="I102" s="138" t="str">
        <f aca="false">IFERROR(VLOOKUP(TEXT(H102,"0"),IPRESS!$A$3:$B$212,2,0),"")</f>
        <v>ZARUMILLA</v>
      </c>
      <c r="J102" s="106" t="s">
        <v>529</v>
      </c>
      <c r="K102" s="138" t="str">
        <f aca="false">IFERROR(VLOOKUP(TEXT(O102,"0"),CONDUCTORES!$A$3:$G$100,7,0),"")</f>
        <v/>
      </c>
      <c r="L102" s="50" t="n">
        <v>20.25</v>
      </c>
      <c r="M102" s="50" t="n">
        <v>10</v>
      </c>
      <c r="N102" s="139" t="n">
        <f aca="false">IFERROR(IF(L102*M102=0,"",L102*M102),"")</f>
        <v>202.5</v>
      </c>
      <c r="O102" s="85"/>
      <c r="P102" s="138" t="str">
        <f aca="false">IFERROR(VLOOKUP(TEXT(O102,"0"),CONDUCTORES!$A$3:$G$100,2,0),"")</f>
        <v/>
      </c>
      <c r="Q102" s="138" t="str">
        <f aca="false">IFERROR(VLOOKUP(TEXT(O102,"0"),CONDUCTORES!$A$3:$H$100,6,0),"")</f>
        <v/>
      </c>
      <c r="R102" s="137" t="n">
        <v>46010</v>
      </c>
      <c r="S102" s="107" t="s">
        <v>3772</v>
      </c>
      <c r="T102" s="136" t="s">
        <v>3771</v>
      </c>
      <c r="U102" s="140"/>
      <c r="V102" s="106"/>
      <c r="W102" s="106"/>
      <c r="X102" s="106"/>
      <c r="Y102" s="85"/>
    </row>
    <row r="103" customFormat="false" ht="15" hidden="false" customHeight="true" outlineLevel="0" collapsed="false">
      <c r="A103" s="140"/>
      <c r="B103" s="140"/>
      <c r="C103" s="140"/>
      <c r="D103" s="140"/>
      <c r="E103" s="140"/>
      <c r="F103" s="140"/>
      <c r="G103" s="140"/>
      <c r="H103" s="140"/>
      <c r="I103" s="138" t="str">
        <f aca="false">IFERROR(VLOOKUP(TEXT(H103,"0"),IPRESS!$A$3:$B$212,2,0),"")</f>
        <v/>
      </c>
      <c r="J103" s="140"/>
      <c r="K103" s="138" t="str">
        <f aca="false">IFERROR(VLOOKUP(TEXT(O103,"0"),CONDUCTORES!$A$3:$G$54,7,0),"")</f>
        <v/>
      </c>
      <c r="L103" s="140"/>
      <c r="M103" s="140"/>
      <c r="N103" s="139" t="str">
        <f aca="false">IFERROR(IF(L103*M103=0,"",L103*M103),"")</f>
        <v/>
      </c>
      <c r="O103" s="140"/>
      <c r="P103" s="138" t="str">
        <f aca="false">IFERROR(VLOOKUP(TEXT(O103,"0"),CONDUCTORES!$A$3:$G$54,2,0),"")</f>
        <v/>
      </c>
      <c r="Q103" s="138" t="str">
        <f aca="false">IFERROR(VLOOKUP(TEXT(O103,"0"),CONDUCTORES!$A$3:$H$54,6,0),"")</f>
        <v/>
      </c>
      <c r="R103" s="140"/>
      <c r="S103" s="140"/>
      <c r="T103" s="140"/>
      <c r="U103" s="140"/>
      <c r="V103" s="140"/>
      <c r="W103" s="140"/>
      <c r="X103" s="140"/>
      <c r="Y103" s="140"/>
    </row>
    <row r="104" customFormat="false" ht="24" hidden="false" customHeight="true" outlineLevel="0" collapsed="false">
      <c r="A104" s="148" t="s">
        <v>1177</v>
      </c>
      <c r="B104" s="148"/>
      <c r="C104" s="148"/>
      <c r="D104" s="148"/>
      <c r="E104" s="148"/>
      <c r="F104" s="148"/>
      <c r="G104" s="148"/>
      <c r="H104" s="148"/>
      <c r="I104" s="148"/>
      <c r="J104" s="148"/>
      <c r="K104" s="149"/>
      <c r="L104" s="85"/>
      <c r="M104" s="150" t="n">
        <f aca="false">SUBTOTAL(9,M4:M102)</f>
        <v>768.8</v>
      </c>
      <c r="N104" s="150" t="n">
        <f aca="false">SUBTOTAL(9,N4:N102)</f>
        <v>14446.559</v>
      </c>
      <c r="O104" s="85"/>
      <c r="P104" s="138" t="str">
        <f aca="false">IFERROR(VLOOKUP(TEXT(O104,"0"),CONDUCTORES!$A$3:$G$100,2,0),"")</f>
        <v/>
      </c>
      <c r="Q104" s="138" t="str">
        <f aca="false">IFERROR(VLOOKUP(TEXT(O104,"0"),CONDUCTORES!$A$3:$H$100,6,0),"")</f>
        <v/>
      </c>
      <c r="R104" s="85"/>
      <c r="S104" s="85"/>
      <c r="T104" s="85"/>
      <c r="U104" s="85"/>
      <c r="V104" s="85"/>
      <c r="W104" s="85"/>
      <c r="X104" s="85"/>
      <c r="Y104" s="85"/>
    </row>
    <row r="105" customFormat="false" ht="15" hidden="false" customHeight="true" outlineLevel="0" collapsed="false">
      <c r="A105" s="140"/>
      <c r="B105" s="140"/>
      <c r="C105" s="140"/>
      <c r="D105" s="140"/>
      <c r="E105" s="140"/>
      <c r="F105" s="140"/>
      <c r="G105" s="140"/>
      <c r="H105" s="140"/>
      <c r="I105" s="149"/>
      <c r="J105" s="140"/>
      <c r="K105" s="149"/>
      <c r="L105" s="140"/>
      <c r="M105" s="140"/>
      <c r="N105" s="151"/>
      <c r="O105" s="140"/>
      <c r="P105" s="149"/>
      <c r="Q105" s="149"/>
      <c r="R105" s="140"/>
      <c r="S105" s="140"/>
      <c r="T105" s="140"/>
      <c r="U105" s="140"/>
      <c r="V105" s="140"/>
      <c r="W105" s="140"/>
      <c r="X105" s="140"/>
      <c r="Y105" s="140"/>
    </row>
    <row r="106" customFormat="false" ht="15" hidden="false" customHeight="true" outlineLevel="0" collapsed="false">
      <c r="A106" s="85"/>
      <c r="B106" s="85"/>
      <c r="C106" s="85"/>
      <c r="D106" s="85"/>
      <c r="E106" s="85"/>
      <c r="F106" s="85"/>
      <c r="G106" s="85"/>
      <c r="H106" s="85"/>
      <c r="I106" s="149"/>
      <c r="J106" s="85"/>
      <c r="K106" s="149"/>
      <c r="L106" s="85"/>
      <c r="M106" s="85"/>
      <c r="N106" s="151"/>
      <c r="O106" s="85"/>
      <c r="P106" s="149"/>
      <c r="Q106" s="149"/>
      <c r="R106" s="85"/>
      <c r="S106" s="85"/>
      <c r="T106" s="85"/>
      <c r="U106" s="85"/>
      <c r="V106" s="85"/>
      <c r="W106" s="85"/>
      <c r="X106" s="85"/>
      <c r="Y106" s="85"/>
    </row>
    <row r="107" customFormat="false" ht="15" hidden="false" customHeight="true" outlineLevel="0" collapsed="false">
      <c r="A107" s="140"/>
      <c r="B107" s="140"/>
      <c r="C107" s="140"/>
      <c r="D107" s="140"/>
      <c r="E107" s="140"/>
      <c r="F107" s="140"/>
      <c r="G107" s="140"/>
      <c r="H107" s="140"/>
      <c r="I107" s="149"/>
      <c r="J107" s="140"/>
      <c r="K107" s="149"/>
      <c r="L107" s="140"/>
      <c r="M107" s="140"/>
      <c r="N107" s="151"/>
      <c r="O107" s="140"/>
      <c r="P107" s="149"/>
      <c r="Q107" s="149"/>
      <c r="R107" s="140"/>
      <c r="S107" s="140"/>
      <c r="T107" s="140"/>
      <c r="U107" s="140"/>
      <c r="V107" s="140"/>
      <c r="W107" s="140"/>
      <c r="X107" s="140"/>
      <c r="Y107" s="140"/>
    </row>
    <row r="108" customFormat="false" ht="15" hidden="false" customHeight="true" outlineLevel="0" collapsed="false">
      <c r="A108" s="85"/>
      <c r="B108" s="85"/>
      <c r="C108" s="85"/>
      <c r="D108" s="85"/>
      <c r="E108" s="85"/>
      <c r="F108" s="85"/>
      <c r="G108" s="85"/>
      <c r="H108" s="85"/>
      <c r="I108" s="149"/>
      <c r="J108" s="85"/>
      <c r="K108" s="149"/>
      <c r="L108" s="85"/>
      <c r="M108" s="85"/>
      <c r="N108" s="151"/>
      <c r="O108" s="85"/>
      <c r="P108" s="149"/>
      <c r="Q108" s="149"/>
      <c r="R108" s="85"/>
      <c r="S108" s="85"/>
      <c r="T108" s="85"/>
      <c r="U108" s="85"/>
      <c r="V108" s="85"/>
      <c r="W108" s="85"/>
      <c r="X108" s="85"/>
      <c r="Y108" s="85"/>
    </row>
    <row r="109" customFormat="false" ht="15" hidden="false" customHeight="true" outlineLevel="0" collapsed="false">
      <c r="A109" s="140"/>
      <c r="B109" s="140"/>
      <c r="C109" s="140"/>
      <c r="D109" s="140"/>
      <c r="E109" s="140"/>
      <c r="F109" s="140"/>
      <c r="G109" s="140"/>
      <c r="H109" s="140"/>
      <c r="I109" s="138" t="str">
        <f aca="false">IFERROR(VLOOKUP(TEXT(H109,"0"),IPRESS!$A$3:$B$212,2,0),"")</f>
        <v/>
      </c>
      <c r="J109" s="140"/>
      <c r="K109" s="138" t="str">
        <f aca="false">IFERROR(VLOOKUP(TEXT(O109,"0"),CONDUCTORES!$A$3:$G$54,7,0),"")</f>
        <v/>
      </c>
      <c r="L109" s="140"/>
      <c r="M109" s="140"/>
      <c r="N109" s="139" t="str">
        <f aca="false">IFERROR(IF(L109*M109=0,"",L109*M109),"")</f>
        <v/>
      </c>
      <c r="O109" s="140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140"/>
      <c r="S109" s="140"/>
      <c r="T109" s="140"/>
      <c r="U109" s="140"/>
      <c r="V109" s="140"/>
      <c r="W109" s="140"/>
      <c r="X109" s="140"/>
      <c r="Y109" s="140"/>
    </row>
    <row r="110" customFormat="false" ht="15" hidden="false" customHeight="true" outlineLevel="0" collapsed="false">
      <c r="A110" s="85"/>
      <c r="B110" s="85"/>
      <c r="C110" s="85"/>
      <c r="D110" s="85"/>
      <c r="E110" s="85"/>
      <c r="F110" s="85"/>
      <c r="G110" s="85"/>
      <c r="H110" s="85"/>
      <c r="I110" s="138" t="str">
        <f aca="false">IFERROR(VLOOKUP(TEXT(H110,"0"),IPRESS!$A$3:$B$212,2,0),"")</f>
        <v/>
      </c>
      <c r="J110" s="85"/>
      <c r="K110" s="138" t="str">
        <f aca="false">IFERROR(VLOOKUP(TEXT(O110,"0"),CONDUCTORES!$A$3:$G$54,7,0),"")</f>
        <v/>
      </c>
      <c r="L110" s="85"/>
      <c r="M110" s="85"/>
      <c r="N110" s="139" t="str">
        <f aca="false">IFERROR(IF(L110*M110=0,"",L110*M110),"")</f>
        <v/>
      </c>
      <c r="O110" s="85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85"/>
      <c r="S110" s="85"/>
      <c r="T110" s="85"/>
      <c r="U110" s="85"/>
      <c r="V110" s="85"/>
      <c r="W110" s="85"/>
      <c r="X110" s="85"/>
      <c r="Y110" s="85"/>
    </row>
    <row r="111" customFormat="false" ht="15" hidden="false" customHeight="true" outlineLevel="0" collapsed="false">
      <c r="A111" s="140"/>
      <c r="B111" s="140"/>
      <c r="C111" s="140"/>
      <c r="D111" s="140"/>
      <c r="E111" s="140"/>
      <c r="F111" s="140"/>
      <c r="G111" s="140"/>
      <c r="H111" s="140"/>
      <c r="I111" s="138" t="str">
        <f aca="false">IFERROR(VLOOKUP(TEXT(H111,"0"),IPRESS!$A$3:$B$212,2,0),"")</f>
        <v/>
      </c>
      <c r="J111" s="140"/>
      <c r="K111" s="138" t="str">
        <f aca="false">IFERROR(VLOOKUP(TEXT(O111,"0"),CONDUCTORES!$A$3:$G$54,7,0),"")</f>
        <v/>
      </c>
      <c r="L111" s="140"/>
      <c r="M111" s="140"/>
      <c r="N111" s="139" t="str">
        <f aca="false">IFERROR(IF(L111*M111=0,"",L111*M111),"")</f>
        <v/>
      </c>
      <c r="O111" s="140"/>
      <c r="P111" s="138" t="str">
        <f aca="false">IFERROR(VLOOKUP(TEXT(O111,"0"),CONDUCTORES!$A$3:$G$54,2,0),"")</f>
        <v/>
      </c>
      <c r="Q111" s="138" t="str">
        <f aca="false">IFERROR(VLOOKUP(TEXT(O111,"0"),CONDUCTORES!$A$3:$H$54,6,0),"")</f>
        <v/>
      </c>
      <c r="R111" s="140"/>
      <c r="S111" s="140"/>
      <c r="T111" s="140"/>
      <c r="U111" s="140"/>
      <c r="V111" s="140"/>
      <c r="W111" s="140"/>
      <c r="X111" s="140"/>
      <c r="Y111" s="140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38" t="str">
        <f aca="false">IFERROR(VLOOKUP(TEXT(H112,"0"),IPRESS!$A$3:$B$212,2,0),"")</f>
        <v/>
      </c>
      <c r="J112" s="85"/>
      <c r="K112" s="138" t="str">
        <f aca="false">IFERROR(VLOOKUP(TEXT(O112,"0"),CONDUCTORES!$A$3:$G$54,7,0),"")</f>
        <v/>
      </c>
      <c r="L112" s="85"/>
      <c r="M112" s="85"/>
      <c r="N112" s="139" t="str">
        <f aca="false">IFERROR(IF(L112*M112=0,"",L112*M112),"")</f>
        <v/>
      </c>
      <c r="O112" s="85"/>
      <c r="P112" s="138" t="str">
        <f aca="false">IFERROR(VLOOKUP(TEXT(O112,"0"),CONDUCTORES!$A$3:$G$54,2,0),"")</f>
        <v/>
      </c>
      <c r="Q112" s="138" t="str">
        <f aca="false">IFERROR(VLOOKUP(TEXT(O112,"0"),CONDUCTORES!$A$3:$H$54,6,0),"")</f>
        <v/>
      </c>
      <c r="R112" s="85"/>
      <c r="S112" s="85"/>
      <c r="T112" s="85"/>
      <c r="U112" s="85"/>
      <c r="V112" s="85"/>
      <c r="W112" s="85"/>
      <c r="X112" s="85"/>
      <c r="Y112" s="85"/>
    </row>
    <row r="113" customFormat="false" ht="15" hidden="false" customHeight="true" outlineLevel="0" collapsed="false">
      <c r="A113" s="140"/>
      <c r="B113" s="140"/>
      <c r="C113" s="140"/>
      <c r="D113" s="140"/>
      <c r="E113" s="140"/>
      <c r="F113" s="140"/>
      <c r="G113" s="140"/>
      <c r="H113" s="140"/>
      <c r="I113" s="138" t="str">
        <f aca="false">IFERROR(VLOOKUP(TEXT(H113,"0"),IPRESS!$A$3:$B$212,2,0),"")</f>
        <v/>
      </c>
      <c r="J113" s="140"/>
      <c r="K113" s="138" t="str">
        <f aca="false">IFERROR(VLOOKUP(TEXT(O113,"0"),CONDUCTORES!$A$3:$G$54,7,0),"")</f>
        <v/>
      </c>
      <c r="L113" s="140"/>
      <c r="M113" s="140"/>
      <c r="N113" s="139" t="str">
        <f aca="false">IFERROR(IF(L113*M113=0,"",L113*M113),"")</f>
        <v/>
      </c>
      <c r="O113" s="140"/>
      <c r="P113" s="138" t="str">
        <f aca="false">IFERROR(VLOOKUP(TEXT(O113,"0"),CONDUCTORES!$A$3:$G$54,2,0),"")</f>
        <v/>
      </c>
      <c r="Q113" s="138" t="str">
        <f aca="false">IFERROR(VLOOKUP(TEXT(O113,"0"),CONDUCTORES!$A$3:$H$54,6,0),"")</f>
        <v/>
      </c>
      <c r="R113" s="140"/>
      <c r="S113" s="140"/>
      <c r="T113" s="140"/>
      <c r="U113" s="140"/>
      <c r="V113" s="140"/>
      <c r="W113" s="140"/>
      <c r="X113" s="140"/>
      <c r="Y113" s="140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38" t="str">
        <f aca="false">IFERROR(VLOOKUP(TEXT(H114,"0"),IPRESS!$A$3:$B$212,2,0),"")</f>
        <v/>
      </c>
      <c r="J114" s="85"/>
      <c r="K114" s="138" t="str">
        <f aca="false">IFERROR(VLOOKUP(TEXT(O114,"0"),CONDUCTORES!$A$3:$G$54,7,0),"")</f>
        <v/>
      </c>
      <c r="L114" s="85"/>
      <c r="M114" s="85"/>
      <c r="N114" s="139" t="str">
        <f aca="false">IFERROR(IF(L114*M114=0,"",L114*M114),"")</f>
        <v/>
      </c>
      <c r="O114" s="85"/>
      <c r="P114" s="138" t="str">
        <f aca="false">IFERROR(VLOOKUP(TEXT(O114,"0"),CONDUCTORES!$A$3:$G$54,2,0),"")</f>
        <v/>
      </c>
      <c r="Q114" s="138" t="str">
        <f aca="false">IFERROR(VLOOKUP(TEXT(O114,"0"),CONDUCTORES!$A$3:$H$54,6,0),"")</f>
        <v/>
      </c>
      <c r="R114" s="85"/>
      <c r="S114" s="85"/>
      <c r="T114" s="85"/>
      <c r="U114" s="85"/>
      <c r="V114" s="85"/>
      <c r="W114" s="85"/>
      <c r="X114" s="85"/>
      <c r="Y114" s="85"/>
    </row>
    <row r="115" customFormat="false" ht="15" hidden="false" customHeight="true" outlineLevel="0" collapsed="false">
      <c r="A115" s="140"/>
      <c r="B115" s="140"/>
      <c r="C115" s="140"/>
      <c r="D115" s="140"/>
      <c r="E115" s="140"/>
      <c r="F115" s="140"/>
      <c r="G115" s="140"/>
      <c r="H115" s="140"/>
      <c r="I115" s="138" t="str">
        <f aca="false">IFERROR(VLOOKUP(TEXT(H115,"0"),IPRESS!$A$3:$B$212,2,0),"")</f>
        <v/>
      </c>
      <c r="J115" s="140"/>
      <c r="K115" s="138" t="str">
        <f aca="false">IFERROR(VLOOKUP(TEXT(O115,"0"),CONDUCTORES!$A$3:$G$54,7,0),"")</f>
        <v/>
      </c>
      <c r="L115" s="140"/>
      <c r="M115" s="140"/>
      <c r="N115" s="139" t="str">
        <f aca="false">IFERROR(IF(L115*M115=0,"",L115*M115),"")</f>
        <v/>
      </c>
      <c r="O115" s="140"/>
      <c r="P115" s="138" t="str">
        <f aca="false">IFERROR(VLOOKUP(TEXT(O115,"0"),CONDUCTORES!$A$3:$G$54,2,0),"")</f>
        <v/>
      </c>
      <c r="Q115" s="138" t="str">
        <f aca="false">IFERROR(VLOOKUP(TEXT(O115,"0"),CONDUCTORES!$A$3:$H$54,6,0),"")</f>
        <v/>
      </c>
      <c r="R115" s="140"/>
      <c r="S115" s="140"/>
      <c r="T115" s="140"/>
      <c r="U115" s="140"/>
      <c r="V115" s="140"/>
      <c r="W115" s="140"/>
      <c r="X115" s="140"/>
      <c r="Y115" s="140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38" t="str">
        <f aca="false">IFERROR(VLOOKUP(TEXT(H116,"0"),IPRESS!$A$3:$B$212,2,0),"")</f>
        <v/>
      </c>
      <c r="J116" s="85"/>
      <c r="K116" s="138" t="str">
        <f aca="false">IFERROR(VLOOKUP(TEXT(O116,"0"),CONDUCTORES!$A$3:$G$54,7,0),"")</f>
        <v/>
      </c>
      <c r="L116" s="85"/>
      <c r="M116" s="85"/>
      <c r="N116" s="139" t="str">
        <f aca="false">IFERROR(IF(L116*M116=0,"",L116*M116),"")</f>
        <v/>
      </c>
      <c r="O116" s="85"/>
      <c r="P116" s="138" t="str">
        <f aca="false">IFERROR(VLOOKUP(TEXT(O116,"0"),CONDUCTORES!$A$3:$G$54,2,0),"")</f>
        <v/>
      </c>
      <c r="Q116" s="138" t="str">
        <f aca="false">IFERROR(VLOOKUP(TEXT(O116,"0"),CONDUCTORES!$A$3:$H$54,6,0),"")</f>
        <v/>
      </c>
      <c r="R116" s="85"/>
      <c r="S116" s="85"/>
      <c r="T116" s="85"/>
      <c r="U116" s="85"/>
      <c r="V116" s="85"/>
      <c r="W116" s="85"/>
      <c r="X116" s="85"/>
      <c r="Y116" s="85"/>
    </row>
    <row r="117" customFormat="false" ht="15" hidden="false" customHeight="true" outlineLevel="0" collapsed="false">
      <c r="A117" s="140"/>
      <c r="B117" s="140"/>
      <c r="C117" s="140"/>
      <c r="D117" s="140"/>
      <c r="E117" s="140"/>
      <c r="F117" s="140"/>
      <c r="G117" s="140"/>
      <c r="H117" s="140"/>
      <c r="I117" s="138" t="str">
        <f aca="false">IFERROR(VLOOKUP(TEXT(H117,"0"),IPRESS!$A$3:$B$212,2,0),"")</f>
        <v/>
      </c>
      <c r="J117" s="140"/>
      <c r="K117" s="138" t="str">
        <f aca="false">IFERROR(VLOOKUP(TEXT(O117,"0"),CONDUCTORES!$A$3:$G$54,7,0),"")</f>
        <v/>
      </c>
      <c r="L117" s="140"/>
      <c r="M117" s="140"/>
      <c r="N117" s="139" t="str">
        <f aca="false">IFERROR(IF(L117*M117=0,"",L117*M117),"")</f>
        <v/>
      </c>
      <c r="O117" s="140"/>
      <c r="P117" s="138" t="str">
        <f aca="false">IFERROR(VLOOKUP(TEXT(O117,"0"),CONDUCTORES!$A$3:$G$54,2,0),"")</f>
        <v/>
      </c>
      <c r="Q117" s="138" t="str">
        <f aca="false">IFERROR(VLOOKUP(TEXT(O117,"0"),CONDUCTORES!$A$3:$H$54,6,0),"")</f>
        <v/>
      </c>
      <c r="R117" s="140"/>
      <c r="S117" s="140"/>
      <c r="T117" s="140"/>
      <c r="U117" s="140"/>
      <c r="V117" s="140"/>
      <c r="W117" s="140"/>
      <c r="X117" s="140"/>
      <c r="Y117" s="140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38" t="str">
        <f aca="false">IFERROR(VLOOKUP(TEXT(O118,"0"),CONDUCTORES!$A$3:$G$54,7,0),"")</f>
        <v/>
      </c>
      <c r="L118" s="85"/>
      <c r="M118" s="85"/>
      <c r="N118" s="139" t="str">
        <f aca="false">IFERROR(IF(L118*M118=0,"",L118*M118),"")</f>
        <v/>
      </c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</row>
    <row r="119" customFormat="false" ht="15" hidden="false" customHeight="tru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38" t="str">
        <f aca="false">IFERROR(VLOOKUP(TEXT(H119,"0"),IPRESS!$A$3:$B$212,2,0),"")</f>
        <v/>
      </c>
      <c r="J119" s="140"/>
      <c r="K119" s="138" t="str">
        <f aca="false">IFERROR(VLOOKUP(TEXT(O119,"0"),CONDUCTORES!$A$3:$G$54,7,0),"")</f>
        <v/>
      </c>
      <c r="L119" s="140"/>
      <c r="M119" s="140"/>
      <c r="N119" s="139" t="str">
        <f aca="false">IFERROR(IF(L119*M119=0,"",L119*M119),"")</f>
        <v/>
      </c>
      <c r="O119" s="140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140"/>
      <c r="S119" s="140"/>
      <c r="T119" s="140"/>
      <c r="U119" s="140"/>
      <c r="V119" s="140"/>
      <c r="W119" s="140"/>
      <c r="X119" s="140"/>
      <c r="Y119" s="140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1537.6</v>
      </c>
      <c r="N506" s="153" t="n">
        <f aca="false">SUM(N6:N505)</f>
        <v>28893.118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04:J104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03 E105:E505" type="list">
      <formula1>"DNI,CE,PASAPORTE"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3773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IFERROR(SUMPRODUCT((K4:K111="PETROLEO")*ISNUMBER(M4:M111)*M4:M111),0)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IFERROR(SUMPRODUCT((K4:K111="GASOLINA")*ISNUMBER(M4:M111)*M4:M111),0)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IFERROR(SUMPRODUCT(ISNUMBER(M4:M111)*L4:L111*M4:M111),0)</f>
        <v>0</v>
      </c>
      <c r="Q2" s="125"/>
      <c r="R2" s="125"/>
      <c r="S2" s="123" t="s">
        <v>727</v>
      </c>
      <c r="T2" s="123"/>
      <c r="U2" s="126" t="n">
        <f aca="false">SUBTOTAL(2,A4:A111)</f>
        <v>104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43" t="n">
        <v>1</v>
      </c>
      <c r="B6" s="144" t="s">
        <v>787</v>
      </c>
      <c r="C6" s="143" t="s">
        <v>752</v>
      </c>
      <c r="D6" s="144" t="s">
        <v>3774</v>
      </c>
      <c r="E6" s="143" t="s">
        <v>99</v>
      </c>
      <c r="F6" s="143" t="s">
        <v>3775</v>
      </c>
      <c r="G6" s="145" t="n">
        <v>45955</v>
      </c>
      <c r="H6" s="143" t="s">
        <v>344</v>
      </c>
      <c r="I6" s="138" t="str">
        <f aca="false">IFERROR(VLOOKUP(TEXT(H6,"0"),IPRESS!$A$3:$B$212,2,0),"")</f>
        <v>BALERIANA</v>
      </c>
      <c r="J6" s="143" t="s">
        <v>755</v>
      </c>
      <c r="K6" s="138" t="str">
        <f aca="false">IFERROR(VLOOKUP(TEXT(O6,"0"),CONDUCTORES!$A$3:$G$100,7,0),"")</f>
        <v/>
      </c>
      <c r="L6" s="146" t="n">
        <v>17.95</v>
      </c>
      <c r="M6" s="146" t="n">
        <v>15</v>
      </c>
      <c r="N6" s="139" t="n">
        <f aca="false">IFERROR(IF(L6*M6=0,"",L6*M6),"")</f>
        <v>269.25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47"/>
      <c r="S6" s="144" t="s">
        <v>1375</v>
      </c>
      <c r="T6" s="143" t="s">
        <v>3776</v>
      </c>
      <c r="U6" s="147"/>
      <c r="V6" s="143"/>
      <c r="W6" s="143"/>
      <c r="X6" s="143"/>
      <c r="Y6" s="85"/>
    </row>
    <row r="7" customFormat="false" ht="15.75" hidden="false" customHeight="true" outlineLevel="0" collapsed="false">
      <c r="A7" s="46" t="n">
        <v>2</v>
      </c>
      <c r="B7" s="110" t="s">
        <v>866</v>
      </c>
      <c r="C7" s="46" t="s">
        <v>752</v>
      </c>
      <c r="D7" s="110" t="s">
        <v>3777</v>
      </c>
      <c r="E7" s="46" t="s">
        <v>99</v>
      </c>
      <c r="F7" s="46" t="s">
        <v>3778</v>
      </c>
      <c r="G7" s="142" t="n">
        <v>45931</v>
      </c>
      <c r="H7" s="46" t="s">
        <v>357</v>
      </c>
      <c r="I7" s="138" t="str">
        <f aca="false">IFERROR(VLOOKUP(TEXT(H7,"0"),IPRESS!$A$3:$B$212,2,0),"")</f>
        <v>CAMPORREDONDO</v>
      </c>
      <c r="J7" s="46" t="s">
        <v>755</v>
      </c>
      <c r="K7" s="138" t="str">
        <f aca="false">IFERROR(VLOOKUP(TEXT(O7,"0"),CONDUCTORES!$A$3:$G$100,7,0),"")</f>
        <v/>
      </c>
      <c r="L7" s="44" t="n">
        <v>18.18</v>
      </c>
      <c r="M7" s="44" t="n">
        <v>25</v>
      </c>
      <c r="N7" s="139" t="n">
        <f aca="false">IFERROR(IF(L7*M7=0,"",L7*M7),"")</f>
        <v>454.5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142" t="n">
        <v>45988</v>
      </c>
      <c r="S7" s="110" t="s">
        <v>3779</v>
      </c>
      <c r="T7" s="46" t="s">
        <v>3780</v>
      </c>
      <c r="U7" s="85"/>
      <c r="V7" s="46"/>
      <c r="W7" s="46"/>
      <c r="X7" s="46"/>
      <c r="Y7" s="85"/>
    </row>
    <row r="8" customFormat="false" ht="15.75" hidden="false" customHeight="true" outlineLevel="0" collapsed="false">
      <c r="A8" s="106" t="n">
        <v>3</v>
      </c>
      <c r="B8" s="107" t="s">
        <v>1262</v>
      </c>
      <c r="C8" s="106" t="s">
        <v>752</v>
      </c>
      <c r="D8" s="107" t="s">
        <v>3781</v>
      </c>
      <c r="E8" s="136" t="s">
        <v>99</v>
      </c>
      <c r="F8" s="106" t="s">
        <v>3782</v>
      </c>
      <c r="G8" s="137" t="n">
        <v>45954</v>
      </c>
      <c r="H8" s="106" t="s">
        <v>357</v>
      </c>
      <c r="I8" s="138" t="str">
        <f aca="false">IFERROR(VLOOKUP(TEXT(H8,"0"),IPRESS!$A$3:$B$212,2,0),"")</f>
        <v>CAMPORREDONDO</v>
      </c>
      <c r="J8" s="106" t="s">
        <v>755</v>
      </c>
      <c r="K8" s="138" t="str">
        <f aca="false">IFERROR(VLOOKUP(TEXT(O8,"0"),CONDUCTORES!$A$3:$G$100,7,0),"")</f>
        <v/>
      </c>
      <c r="L8" s="50" t="n">
        <v>18.18</v>
      </c>
      <c r="M8" s="50" t="n">
        <v>25</v>
      </c>
      <c r="N8" s="139" t="n">
        <f aca="false">IFERROR(IF(L8*M8=0,"",L8*M8),"")</f>
        <v>454.5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37" t="n">
        <v>45988</v>
      </c>
      <c r="S8" s="107" t="s">
        <v>847</v>
      </c>
      <c r="T8" s="136" t="s">
        <v>3783</v>
      </c>
      <c r="U8" s="140"/>
      <c r="V8" s="106"/>
      <c r="W8" s="106"/>
      <c r="X8" s="106"/>
      <c r="Y8" s="85"/>
    </row>
    <row r="9" customFormat="false" ht="15.75" hidden="false" customHeight="true" outlineLevel="0" collapsed="false">
      <c r="A9" s="46" t="n">
        <v>4</v>
      </c>
      <c r="B9" s="110" t="s">
        <v>836</v>
      </c>
      <c r="C9" s="46" t="s">
        <v>752</v>
      </c>
      <c r="D9" s="110" t="s">
        <v>3784</v>
      </c>
      <c r="E9" s="46" t="s">
        <v>99</v>
      </c>
      <c r="F9" s="46" t="s">
        <v>3785</v>
      </c>
      <c r="G9" s="142" t="n">
        <v>45940</v>
      </c>
      <c r="H9" s="46" t="s">
        <v>395</v>
      </c>
      <c r="I9" s="138" t="str">
        <f aca="false">IFERROR(VLOOKUP(TEXT(H9,"0"),IPRESS!$A$3:$B$212,2,0),"")</f>
        <v>CHUQUIBAMBA</v>
      </c>
      <c r="J9" s="46" t="s">
        <v>755</v>
      </c>
      <c r="K9" s="138" t="str">
        <f aca="false">IFERROR(VLOOKUP(TEXT(O9,"0"),CONDUCTORES!$A$3:$G$100,7,0),"")</f>
        <v/>
      </c>
      <c r="L9" s="44" t="n">
        <v>18.18</v>
      </c>
      <c r="M9" s="44" t="n">
        <v>15</v>
      </c>
      <c r="N9" s="139" t="n">
        <f aca="false">IFERROR(IF(L9*M9=0,"",L9*M9),"")</f>
        <v>272.7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142" t="n">
        <v>45992</v>
      </c>
      <c r="S9" s="110" t="s">
        <v>3786</v>
      </c>
      <c r="T9" s="46"/>
      <c r="U9" s="85"/>
      <c r="V9" s="46"/>
      <c r="W9" s="46"/>
      <c r="X9" s="46"/>
      <c r="Y9" s="85"/>
    </row>
    <row r="10" customFormat="false" ht="15.75" hidden="false" customHeight="true" outlineLevel="0" collapsed="false">
      <c r="A10" s="106" t="n">
        <v>5</v>
      </c>
      <c r="B10" s="107" t="s">
        <v>1306</v>
      </c>
      <c r="C10" s="106" t="s">
        <v>752</v>
      </c>
      <c r="D10" s="107" t="s">
        <v>3787</v>
      </c>
      <c r="E10" s="136" t="s">
        <v>99</v>
      </c>
      <c r="F10" s="106" t="s">
        <v>3788</v>
      </c>
      <c r="G10" s="137" t="n">
        <v>45933</v>
      </c>
      <c r="H10" s="106" t="s">
        <v>407</v>
      </c>
      <c r="I10" s="138" t="str">
        <f aca="false">IFERROR(VLOOKUP(TEXT(H10,"0"),IPRESS!$A$3:$B$212,2,0),"")</f>
        <v>COCOCHO</v>
      </c>
      <c r="J10" s="106" t="s">
        <v>755</v>
      </c>
      <c r="K10" s="138" t="str">
        <f aca="false">IFERROR(VLOOKUP(TEXT(O10,"0"),CONDUCTORES!$A$3:$G$100,7,0),"")</f>
        <v/>
      </c>
      <c r="L10" s="50" t="n">
        <v>18.18</v>
      </c>
      <c r="M10" s="50" t="n">
        <v>25</v>
      </c>
      <c r="N10" s="139" t="n">
        <f aca="false">IFERROR(IF(L10*M10=0,"",L10*M10),"")</f>
        <v>454.5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37" t="n">
        <v>45989</v>
      </c>
      <c r="S10" s="107" t="s">
        <v>3789</v>
      </c>
      <c r="T10" s="136"/>
      <c r="U10" s="140"/>
      <c r="V10" s="106" t="s">
        <v>3790</v>
      </c>
      <c r="W10" s="106" t="s">
        <v>2554</v>
      </c>
      <c r="X10" s="106" t="s">
        <v>2351</v>
      </c>
      <c r="Y10" s="85"/>
    </row>
    <row r="11" customFormat="false" ht="15.75" hidden="false" customHeight="true" outlineLevel="0" collapsed="false">
      <c r="A11" s="46" t="n">
        <v>6</v>
      </c>
      <c r="B11" s="110" t="s">
        <v>2355</v>
      </c>
      <c r="C11" s="46" t="s">
        <v>752</v>
      </c>
      <c r="D11" s="110" t="s">
        <v>3791</v>
      </c>
      <c r="E11" s="46" t="s">
        <v>99</v>
      </c>
      <c r="F11" s="46" t="s">
        <v>3792</v>
      </c>
      <c r="G11" s="142" t="n">
        <v>45944</v>
      </c>
      <c r="H11" s="46" t="s">
        <v>407</v>
      </c>
      <c r="I11" s="138" t="str">
        <f aca="false">IFERROR(VLOOKUP(TEXT(H11,"0"),IPRESS!$A$3:$B$212,2,0),"")</f>
        <v>COCOCHO</v>
      </c>
      <c r="J11" s="46" t="s">
        <v>755</v>
      </c>
      <c r="K11" s="138" t="str">
        <f aca="false">IFERROR(VLOOKUP(TEXT(O11,"0"),CONDUCTORES!$A$3:$G$100,7,0),"")</f>
        <v/>
      </c>
      <c r="L11" s="44" t="n">
        <v>18.18</v>
      </c>
      <c r="M11" s="44" t="n">
        <v>25</v>
      </c>
      <c r="N11" s="139" t="n">
        <f aca="false">IFERROR(IF(L11*M11=0,"",L11*M11),"")</f>
        <v>454.5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142" t="n">
        <v>45989</v>
      </c>
      <c r="S11" s="110" t="s">
        <v>3793</v>
      </c>
      <c r="T11" s="46"/>
      <c r="U11" s="85"/>
      <c r="V11" s="46" t="s">
        <v>3790</v>
      </c>
      <c r="W11" s="46" t="s">
        <v>2554</v>
      </c>
      <c r="X11" s="46" t="s">
        <v>2351</v>
      </c>
      <c r="Y11" s="85"/>
    </row>
    <row r="12" customFormat="false" ht="15.75" hidden="false" customHeight="true" outlineLevel="0" collapsed="false">
      <c r="A12" s="106" t="n">
        <v>7</v>
      </c>
      <c r="B12" s="107" t="s">
        <v>1412</v>
      </c>
      <c r="C12" s="106" t="s">
        <v>752</v>
      </c>
      <c r="D12" s="107" t="s">
        <v>3794</v>
      </c>
      <c r="E12" s="136" t="s">
        <v>99</v>
      </c>
      <c r="F12" s="106" t="s">
        <v>3795</v>
      </c>
      <c r="G12" s="137" t="n">
        <v>45946</v>
      </c>
      <c r="H12" s="106" t="s">
        <v>407</v>
      </c>
      <c r="I12" s="138" t="str">
        <f aca="false">IFERROR(VLOOKUP(TEXT(H12,"0"),IPRESS!$A$3:$B$212,2,0),"")</f>
        <v>COCOCHO</v>
      </c>
      <c r="J12" s="106" t="s">
        <v>1216</v>
      </c>
      <c r="K12" s="138" t="str">
        <f aca="false">IFERROR(VLOOKUP(TEXT(O12,"0"),CONDUCTORES!$A$3:$G$100,7,0),"")</f>
        <v/>
      </c>
      <c r="L12" s="50" t="n">
        <v>18.18</v>
      </c>
      <c r="M12" s="50" t="n">
        <v>20</v>
      </c>
      <c r="N12" s="139" t="n">
        <f aca="false">IFERROR(IF(L12*M12=0,"",L12*M12),"")</f>
        <v>363.6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37" t="n">
        <v>45989</v>
      </c>
      <c r="S12" s="107" t="s">
        <v>3796</v>
      </c>
      <c r="T12" s="136"/>
      <c r="U12" s="140"/>
      <c r="V12" s="106" t="s">
        <v>3790</v>
      </c>
      <c r="W12" s="106" t="s">
        <v>2554</v>
      </c>
      <c r="X12" s="106" t="s">
        <v>2351</v>
      </c>
      <c r="Y12" s="85"/>
    </row>
    <row r="13" customFormat="false" ht="15.75" hidden="false" customHeight="true" outlineLevel="0" collapsed="false">
      <c r="A13" s="46" t="n">
        <v>8</v>
      </c>
      <c r="B13" s="110" t="s">
        <v>1425</v>
      </c>
      <c r="C13" s="46" t="s">
        <v>752</v>
      </c>
      <c r="D13" s="110" t="s">
        <v>3797</v>
      </c>
      <c r="E13" s="46" t="s">
        <v>99</v>
      </c>
      <c r="F13" s="46" t="s">
        <v>3798</v>
      </c>
      <c r="G13" s="142" t="n">
        <v>45950</v>
      </c>
      <c r="H13" s="46" t="s">
        <v>407</v>
      </c>
      <c r="I13" s="138" t="str">
        <f aca="false">IFERROR(VLOOKUP(TEXT(H13,"0"),IPRESS!$A$3:$B$212,2,0),"")</f>
        <v>COCOCHO</v>
      </c>
      <c r="J13" s="46" t="s">
        <v>1216</v>
      </c>
      <c r="K13" s="138" t="str">
        <f aca="false">IFERROR(VLOOKUP(TEXT(O13,"0"),CONDUCTORES!$A$3:$G$100,7,0),"")</f>
        <v/>
      </c>
      <c r="L13" s="44" t="n">
        <v>18.18</v>
      </c>
      <c r="M13" s="44" t="n">
        <v>20</v>
      </c>
      <c r="N13" s="139" t="n">
        <f aca="false">IFERROR(IF(L13*M13=0,"",L13*M13),"")</f>
        <v>363.6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142" t="n">
        <v>45989</v>
      </c>
      <c r="S13" s="110" t="s">
        <v>3799</v>
      </c>
      <c r="T13" s="46"/>
      <c r="U13" s="85"/>
      <c r="V13" s="46" t="s">
        <v>3790</v>
      </c>
      <c r="W13" s="46" t="s">
        <v>2554</v>
      </c>
      <c r="X13" s="46" t="s">
        <v>2351</v>
      </c>
      <c r="Y13" s="85"/>
    </row>
    <row r="14" customFormat="false" ht="15.75" hidden="false" customHeight="true" outlineLevel="0" collapsed="false">
      <c r="A14" s="106" t="n">
        <v>9</v>
      </c>
      <c r="B14" s="107" t="s">
        <v>1202</v>
      </c>
      <c r="C14" s="106" t="s">
        <v>752</v>
      </c>
      <c r="D14" s="107" t="s">
        <v>949</v>
      </c>
      <c r="E14" s="136" t="s">
        <v>99</v>
      </c>
      <c r="F14" s="106" t="s">
        <v>950</v>
      </c>
      <c r="G14" s="137" t="n">
        <v>45936</v>
      </c>
      <c r="H14" s="106" t="s">
        <v>409</v>
      </c>
      <c r="I14" s="138" t="str">
        <f aca="false">IFERROR(VLOOKUP(TEXT(H14,"0"),IPRESS!$A$3:$B$212,2,0),"")</f>
        <v>COLLONCE</v>
      </c>
      <c r="J14" s="106" t="s">
        <v>755</v>
      </c>
      <c r="K14" s="138" t="str">
        <f aca="false">IFERROR(VLOOKUP(TEXT(O14,"0"),CONDUCTORES!$A$3:$G$100,7,0),"")</f>
        <v/>
      </c>
      <c r="L14" s="50" t="n">
        <v>18.18</v>
      </c>
      <c r="M14" s="50" t="n">
        <v>20</v>
      </c>
      <c r="N14" s="139" t="n">
        <f aca="false">IFERROR(IF(L14*M14=0,"",L14*M14),"")</f>
        <v>363.6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40"/>
      <c r="S14" s="107" t="s">
        <v>951</v>
      </c>
      <c r="T14" s="136"/>
      <c r="U14" s="140"/>
      <c r="V14" s="106"/>
      <c r="W14" s="106"/>
      <c r="X14" s="106"/>
      <c r="Y14" s="85"/>
    </row>
    <row r="15" customFormat="false" ht="15.75" hidden="false" customHeight="true" outlineLevel="0" collapsed="false">
      <c r="A15" s="46" t="n">
        <v>10</v>
      </c>
      <c r="B15" s="110" t="s">
        <v>1227</v>
      </c>
      <c r="C15" s="46" t="s">
        <v>752</v>
      </c>
      <c r="D15" s="110" t="s">
        <v>3800</v>
      </c>
      <c r="E15" s="46" t="s">
        <v>99</v>
      </c>
      <c r="F15" s="46" t="s">
        <v>3801</v>
      </c>
      <c r="G15" s="142" t="n">
        <v>45941</v>
      </c>
      <c r="H15" s="46" t="s">
        <v>409</v>
      </c>
      <c r="I15" s="138" t="str">
        <f aca="false">IFERROR(VLOOKUP(TEXT(H15,"0"),IPRESS!$A$3:$B$212,2,0),"")</f>
        <v>COLLONCE</v>
      </c>
      <c r="J15" s="46" t="s">
        <v>755</v>
      </c>
      <c r="K15" s="138" t="str">
        <f aca="false">IFERROR(VLOOKUP(TEXT(O15,"0"),CONDUCTORES!$A$3:$G$100,7,0),"")</f>
        <v/>
      </c>
      <c r="L15" s="44" t="n">
        <v>18.18</v>
      </c>
      <c r="M15" s="44" t="n">
        <v>20</v>
      </c>
      <c r="N15" s="139" t="n">
        <f aca="false">IFERROR(IF(L15*M15=0,"",L15*M15),"")</f>
        <v>363.6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85"/>
      <c r="S15" s="110" t="s">
        <v>1484</v>
      </c>
      <c r="T15" s="46"/>
      <c r="U15" s="85"/>
      <c r="V15" s="46"/>
      <c r="W15" s="46"/>
      <c r="X15" s="46"/>
      <c r="Y15" s="85"/>
    </row>
    <row r="16" customFormat="false" ht="15.75" hidden="false" customHeight="true" outlineLevel="0" collapsed="false">
      <c r="A16" s="106" t="n">
        <v>11</v>
      </c>
      <c r="B16" s="107" t="s">
        <v>1197</v>
      </c>
      <c r="C16" s="106" t="s">
        <v>752</v>
      </c>
      <c r="D16" s="107" t="s">
        <v>3802</v>
      </c>
      <c r="E16" s="136" t="s">
        <v>99</v>
      </c>
      <c r="F16" s="106" t="s">
        <v>3803</v>
      </c>
      <c r="G16" s="137" t="n">
        <v>45960</v>
      </c>
      <c r="H16" s="106" t="s">
        <v>409</v>
      </c>
      <c r="I16" s="138" t="str">
        <f aca="false">IFERROR(VLOOKUP(TEXT(H16,"0"),IPRESS!$A$3:$B$212,2,0),"")</f>
        <v>COLLONCE</v>
      </c>
      <c r="J16" s="106" t="s">
        <v>755</v>
      </c>
      <c r="K16" s="138" t="str">
        <f aca="false">IFERROR(VLOOKUP(TEXT(O16,"0"),CONDUCTORES!$A$3:$G$100,7,0),"")</f>
        <v/>
      </c>
      <c r="L16" s="50" t="n">
        <v>18.18</v>
      </c>
      <c r="M16" s="50" t="n">
        <v>20</v>
      </c>
      <c r="N16" s="139" t="n">
        <f aca="false">IFERROR(IF(L16*M16=0,"",L16*M16),"")</f>
        <v>363.6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40"/>
      <c r="S16" s="107" t="s">
        <v>3804</v>
      </c>
      <c r="T16" s="136"/>
      <c r="U16" s="140"/>
      <c r="V16" s="106"/>
      <c r="W16" s="106"/>
      <c r="X16" s="106"/>
      <c r="Y16" s="85"/>
    </row>
    <row r="17" customFormat="false" ht="15.75" hidden="false" customHeight="true" outlineLevel="0" collapsed="false">
      <c r="A17" s="46" t="n">
        <v>12</v>
      </c>
      <c r="B17" s="110" t="s">
        <v>919</v>
      </c>
      <c r="C17" s="46" t="s">
        <v>752</v>
      </c>
      <c r="D17" s="110" t="s">
        <v>3805</v>
      </c>
      <c r="E17" s="46" t="s">
        <v>99</v>
      </c>
      <c r="F17" s="46" t="s">
        <v>3806</v>
      </c>
      <c r="G17" s="142" t="n">
        <v>45936</v>
      </c>
      <c r="H17" s="46" t="s">
        <v>432</v>
      </c>
      <c r="I17" s="138" t="str">
        <f aca="false">IFERROR(VLOOKUP(TEXT(H17,"0"),IPRESS!$A$3:$B$212,2,0),"")</f>
        <v>DURAZNOPAMPA</v>
      </c>
      <c r="J17" s="46" t="s">
        <v>755</v>
      </c>
      <c r="K17" s="138" t="str">
        <f aca="false">IFERROR(VLOOKUP(TEXT(O17,"0"),CONDUCTORES!$A$3:$G$100,7,0),"")</f>
        <v/>
      </c>
      <c r="L17" s="44" t="n">
        <v>18.18</v>
      </c>
      <c r="M17" s="44" t="n">
        <v>7</v>
      </c>
      <c r="N17" s="139" t="n">
        <f aca="false">IFERROR(IF(L17*M17=0,"",L17*M17),"")</f>
        <v>127.26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85"/>
      <c r="S17" s="110" t="s">
        <v>1375</v>
      </c>
      <c r="T17" s="46" t="s">
        <v>3807</v>
      </c>
      <c r="U17" s="85"/>
      <c r="V17" s="46"/>
      <c r="W17" s="46"/>
      <c r="X17" s="46"/>
      <c r="Y17" s="85"/>
    </row>
    <row r="18" customFormat="false" ht="15.75" hidden="false" customHeight="true" outlineLevel="0" collapsed="false">
      <c r="A18" s="106" t="n">
        <v>13</v>
      </c>
      <c r="B18" s="107" t="s">
        <v>3808</v>
      </c>
      <c r="C18" s="106" t="s">
        <v>752</v>
      </c>
      <c r="D18" s="107" t="s">
        <v>3809</v>
      </c>
      <c r="E18" s="136" t="s">
        <v>99</v>
      </c>
      <c r="F18" s="106" t="s">
        <v>3810</v>
      </c>
      <c r="G18" s="137" t="n">
        <v>45931</v>
      </c>
      <c r="H18" s="106" t="s">
        <v>529</v>
      </c>
      <c r="I18" s="138" t="str">
        <f aca="false">IFERROR(VLOOKUP(TEXT(H18,"0"),IPRESS!$A$3:$B$212,2,0),"")</f>
        <v>MARIA AUXILIADORA</v>
      </c>
      <c r="J18" s="106" t="s">
        <v>755</v>
      </c>
      <c r="K18" s="138" t="str">
        <f aca="false">IFERROR(VLOOKUP(TEXT(O18,"0"),CONDUCTORES!$A$3:$G$100,7,0),"")</f>
        <v/>
      </c>
      <c r="L18" s="50" t="n">
        <v>20.25</v>
      </c>
      <c r="M18" s="50" t="n">
        <v>5.5</v>
      </c>
      <c r="N18" s="139" t="n">
        <f aca="false">IFERROR(IF(L18*M18=0,"",L18*M18),"")</f>
        <v>111.375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37" t="n">
        <v>45968</v>
      </c>
      <c r="S18" s="107" t="s">
        <v>3811</v>
      </c>
      <c r="T18" s="136"/>
      <c r="U18" s="140"/>
      <c r="V18" s="106"/>
      <c r="W18" s="106"/>
      <c r="X18" s="106"/>
      <c r="Y18" s="85"/>
    </row>
    <row r="19" customFormat="false" ht="15.75" hidden="false" customHeight="true" outlineLevel="0" collapsed="false">
      <c r="A19" s="46" t="n">
        <v>14</v>
      </c>
      <c r="B19" s="110" t="s">
        <v>3812</v>
      </c>
      <c r="C19" s="46" t="s">
        <v>752</v>
      </c>
      <c r="D19" s="110" t="s">
        <v>3813</v>
      </c>
      <c r="E19" s="46" t="s">
        <v>99</v>
      </c>
      <c r="F19" s="46" t="s">
        <v>3814</v>
      </c>
      <c r="G19" s="142" t="n">
        <v>45933</v>
      </c>
      <c r="H19" s="46" t="s">
        <v>529</v>
      </c>
      <c r="I19" s="138" t="str">
        <f aca="false">IFERROR(VLOOKUP(TEXT(H19,"0"),IPRESS!$A$3:$B$212,2,0),"")</f>
        <v>MARIA AUXILIADORA</v>
      </c>
      <c r="J19" s="46" t="s">
        <v>755</v>
      </c>
      <c r="K19" s="138" t="str">
        <f aca="false">IFERROR(VLOOKUP(TEXT(O19,"0"),CONDUCTORES!$A$3:$G$100,7,0),"")</f>
        <v/>
      </c>
      <c r="L19" s="44" t="n">
        <v>20.25</v>
      </c>
      <c r="M19" s="44" t="n">
        <v>6.4</v>
      </c>
      <c r="N19" s="139" t="n">
        <f aca="false">IFERROR(IF(L19*M19=0,"",L19*M19),"")</f>
        <v>129.6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142" t="n">
        <v>45968</v>
      </c>
      <c r="S19" s="110" t="s">
        <v>3815</v>
      </c>
      <c r="T19" s="46"/>
      <c r="U19" s="85"/>
      <c r="V19" s="46"/>
      <c r="W19" s="46"/>
      <c r="X19" s="46"/>
      <c r="Y19" s="85"/>
    </row>
    <row r="20" customFormat="false" ht="15.75" hidden="false" customHeight="true" outlineLevel="0" collapsed="false">
      <c r="A20" s="106" t="n">
        <v>15</v>
      </c>
      <c r="B20" s="107" t="s">
        <v>3816</v>
      </c>
      <c r="C20" s="106" t="s">
        <v>752</v>
      </c>
      <c r="D20" s="107" t="s">
        <v>3817</v>
      </c>
      <c r="E20" s="136" t="s">
        <v>99</v>
      </c>
      <c r="F20" s="106" t="s">
        <v>3818</v>
      </c>
      <c r="G20" s="137" t="n">
        <v>45934</v>
      </c>
      <c r="H20" s="106" t="s">
        <v>529</v>
      </c>
      <c r="I20" s="138" t="str">
        <f aca="false">IFERROR(VLOOKUP(TEXT(H20,"0"),IPRESS!$A$3:$B$212,2,0),"")</f>
        <v>MARIA AUXILIADORA</v>
      </c>
      <c r="J20" s="106" t="s">
        <v>755</v>
      </c>
      <c r="K20" s="138" t="str">
        <f aca="false">IFERROR(VLOOKUP(TEXT(O20,"0"),CONDUCTORES!$A$3:$G$100,7,0),"")</f>
        <v/>
      </c>
      <c r="L20" s="50" t="n">
        <v>20.25</v>
      </c>
      <c r="M20" s="50" t="n">
        <v>7</v>
      </c>
      <c r="N20" s="139" t="n">
        <f aca="false">IFERROR(IF(L20*M20=0,"",L20*M20),"")</f>
        <v>141.75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37" t="n">
        <v>45968</v>
      </c>
      <c r="S20" s="107" t="s">
        <v>3819</v>
      </c>
      <c r="T20" s="136"/>
      <c r="U20" s="140"/>
      <c r="V20" s="106"/>
      <c r="W20" s="106"/>
      <c r="X20" s="106"/>
      <c r="Y20" s="85"/>
    </row>
    <row r="21" customFormat="false" ht="15.75" hidden="false" customHeight="true" outlineLevel="0" collapsed="false">
      <c r="A21" s="46" t="n">
        <v>16</v>
      </c>
      <c r="B21" s="110" t="s">
        <v>3820</v>
      </c>
      <c r="C21" s="46" t="s">
        <v>752</v>
      </c>
      <c r="D21" s="110" t="s">
        <v>3821</v>
      </c>
      <c r="E21" s="46" t="s">
        <v>99</v>
      </c>
      <c r="F21" s="46" t="s">
        <v>3822</v>
      </c>
      <c r="G21" s="142" t="n">
        <v>45937</v>
      </c>
      <c r="H21" s="46" t="s">
        <v>529</v>
      </c>
      <c r="I21" s="138" t="str">
        <f aca="false">IFERROR(VLOOKUP(TEXT(H21,"0"),IPRESS!$A$3:$B$212,2,0),"")</f>
        <v>MARIA AUXILIADORA</v>
      </c>
      <c r="J21" s="46" t="s">
        <v>755</v>
      </c>
      <c r="K21" s="138" t="str">
        <f aca="false">IFERROR(VLOOKUP(TEXT(O21,"0"),CONDUCTORES!$A$3:$G$100,7,0),"")</f>
        <v/>
      </c>
      <c r="L21" s="44" t="n">
        <v>20.25</v>
      </c>
      <c r="M21" s="44" t="n">
        <v>7</v>
      </c>
      <c r="N21" s="139" t="n">
        <f aca="false">IFERROR(IF(L21*M21=0,"",L21*M21),"")</f>
        <v>141.75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142" t="n">
        <v>45968</v>
      </c>
      <c r="S21" s="110" t="s">
        <v>3823</v>
      </c>
      <c r="T21" s="46"/>
      <c r="U21" s="85"/>
      <c r="V21" s="46"/>
      <c r="W21" s="46"/>
      <c r="X21" s="46"/>
      <c r="Y21" s="85"/>
    </row>
    <row r="22" customFormat="false" ht="15.75" hidden="false" customHeight="true" outlineLevel="0" collapsed="false">
      <c r="A22" s="106" t="n">
        <v>17</v>
      </c>
      <c r="B22" s="107" t="s">
        <v>3824</v>
      </c>
      <c r="C22" s="106" t="s">
        <v>752</v>
      </c>
      <c r="D22" s="107" t="s">
        <v>3825</v>
      </c>
      <c r="E22" s="136" t="s">
        <v>99</v>
      </c>
      <c r="F22" s="106" t="s">
        <v>3826</v>
      </c>
      <c r="G22" s="137" t="n">
        <v>45937</v>
      </c>
      <c r="H22" s="106" t="s">
        <v>529</v>
      </c>
      <c r="I22" s="138" t="str">
        <f aca="false">IFERROR(VLOOKUP(TEXT(H22,"0"),IPRESS!$A$3:$B$212,2,0),"")</f>
        <v>MARIA AUXILIADORA</v>
      </c>
      <c r="J22" s="106" t="s">
        <v>755</v>
      </c>
      <c r="K22" s="138" t="str">
        <f aca="false">IFERROR(VLOOKUP(TEXT(O22,"0"),CONDUCTORES!$A$3:$G$100,7,0),"")</f>
        <v/>
      </c>
      <c r="L22" s="50" t="n">
        <v>20.25</v>
      </c>
      <c r="M22" s="50" t="n">
        <v>7</v>
      </c>
      <c r="N22" s="139" t="n">
        <f aca="false">IFERROR(IF(L22*M22=0,"",L22*M22),"")</f>
        <v>141.75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37" t="n">
        <v>45968</v>
      </c>
      <c r="S22" s="107" t="s">
        <v>891</v>
      </c>
      <c r="T22" s="136"/>
      <c r="U22" s="140"/>
      <c r="V22" s="106"/>
      <c r="W22" s="106"/>
      <c r="X22" s="106"/>
      <c r="Y22" s="85"/>
    </row>
    <row r="23" customFormat="false" ht="15.75" hidden="false" customHeight="true" outlineLevel="0" collapsed="false">
      <c r="A23" s="46" t="n">
        <v>18</v>
      </c>
      <c r="B23" s="110" t="s">
        <v>3827</v>
      </c>
      <c r="C23" s="46" t="s">
        <v>752</v>
      </c>
      <c r="D23" s="110" t="s">
        <v>1083</v>
      </c>
      <c r="E23" s="46" t="s">
        <v>99</v>
      </c>
      <c r="F23" s="46" t="s">
        <v>1084</v>
      </c>
      <c r="G23" s="142" t="n">
        <v>45939</v>
      </c>
      <c r="H23" s="46" t="s">
        <v>529</v>
      </c>
      <c r="I23" s="138" t="str">
        <f aca="false">IFERROR(VLOOKUP(TEXT(H23,"0"),IPRESS!$A$3:$B$212,2,0),"")</f>
        <v>MARIA AUXILIADORA</v>
      </c>
      <c r="J23" s="46" t="s">
        <v>755</v>
      </c>
      <c r="K23" s="138" t="str">
        <f aca="false">IFERROR(VLOOKUP(TEXT(O23,"0"),CONDUCTORES!$A$3:$G$100,7,0),"")</f>
        <v/>
      </c>
      <c r="L23" s="44" t="n">
        <v>20.25</v>
      </c>
      <c r="M23" s="44" t="n">
        <v>7</v>
      </c>
      <c r="N23" s="139" t="n">
        <f aca="false">IFERROR(IF(L23*M23=0,"",L23*M23),"")</f>
        <v>141.75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142" t="n">
        <v>45968</v>
      </c>
      <c r="S23" s="110" t="s">
        <v>3828</v>
      </c>
      <c r="T23" s="46"/>
      <c r="U23" s="85"/>
      <c r="V23" s="46"/>
      <c r="W23" s="46"/>
      <c r="X23" s="46"/>
      <c r="Y23" s="85"/>
    </row>
    <row r="24" customFormat="false" ht="15.75" hidden="false" customHeight="true" outlineLevel="0" collapsed="false">
      <c r="A24" s="106" t="n">
        <v>19</v>
      </c>
      <c r="B24" s="107" t="s">
        <v>3829</v>
      </c>
      <c r="C24" s="106" t="s">
        <v>752</v>
      </c>
      <c r="D24" s="107" t="s">
        <v>3830</v>
      </c>
      <c r="E24" s="136" t="s">
        <v>99</v>
      </c>
      <c r="F24" s="106" t="s">
        <v>3831</v>
      </c>
      <c r="G24" s="137" t="n">
        <v>45944</v>
      </c>
      <c r="H24" s="106" t="s">
        <v>529</v>
      </c>
      <c r="I24" s="138" t="str">
        <f aca="false">IFERROR(VLOOKUP(TEXT(H24,"0"),IPRESS!$A$3:$B$212,2,0),"")</f>
        <v>MARIA AUXILIADORA</v>
      </c>
      <c r="J24" s="106" t="s">
        <v>755</v>
      </c>
      <c r="K24" s="138" t="str">
        <f aca="false">IFERROR(VLOOKUP(TEXT(O24,"0"),CONDUCTORES!$A$3:$G$100,7,0),"")</f>
        <v/>
      </c>
      <c r="L24" s="50" t="n">
        <v>20.25</v>
      </c>
      <c r="M24" s="50" t="n">
        <v>7</v>
      </c>
      <c r="N24" s="139" t="n">
        <f aca="false">IFERROR(IF(L24*M24=0,"",L24*M24),"")</f>
        <v>141.75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37" t="n">
        <v>45968</v>
      </c>
      <c r="S24" s="107" t="s">
        <v>3832</v>
      </c>
      <c r="T24" s="136"/>
      <c r="U24" s="140"/>
      <c r="V24" s="106"/>
      <c r="W24" s="106"/>
      <c r="X24" s="106"/>
      <c r="Y24" s="85"/>
    </row>
    <row r="25" customFormat="false" ht="15.75" hidden="false" customHeight="true" outlineLevel="0" collapsed="false">
      <c r="A25" s="46" t="n">
        <v>20</v>
      </c>
      <c r="B25" s="110" t="s">
        <v>3833</v>
      </c>
      <c r="C25" s="46" t="s">
        <v>752</v>
      </c>
      <c r="D25" s="110" t="s">
        <v>3834</v>
      </c>
      <c r="E25" s="46" t="s">
        <v>99</v>
      </c>
      <c r="F25" s="46" t="s">
        <v>3835</v>
      </c>
      <c r="G25" s="142" t="n">
        <v>45944</v>
      </c>
      <c r="H25" s="46" t="s">
        <v>529</v>
      </c>
      <c r="I25" s="138" t="str">
        <f aca="false">IFERROR(VLOOKUP(TEXT(H25,"0"),IPRESS!$A$3:$B$212,2,0),"")</f>
        <v>MARIA AUXILIADORA</v>
      </c>
      <c r="J25" s="46" t="s">
        <v>755</v>
      </c>
      <c r="K25" s="138" t="str">
        <f aca="false">IFERROR(VLOOKUP(TEXT(O25,"0"),CONDUCTORES!$A$3:$G$100,7,0),"")</f>
        <v/>
      </c>
      <c r="L25" s="44" t="n">
        <v>20.25</v>
      </c>
      <c r="M25" s="44" t="n">
        <v>10</v>
      </c>
      <c r="N25" s="139" t="n">
        <f aca="false">IFERROR(IF(L25*M25=0,"",L25*M25),"")</f>
        <v>202.5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142" t="n">
        <v>45968</v>
      </c>
      <c r="S25" s="110" t="s">
        <v>3836</v>
      </c>
      <c r="T25" s="46" t="s">
        <v>3837</v>
      </c>
      <c r="U25" s="85"/>
      <c r="V25" s="46"/>
      <c r="W25" s="46"/>
      <c r="X25" s="46"/>
      <c r="Y25" s="85"/>
    </row>
    <row r="26" customFormat="false" ht="15.75" hidden="false" customHeight="true" outlineLevel="0" collapsed="false">
      <c r="A26" s="106" t="n">
        <v>21</v>
      </c>
      <c r="B26" s="107" t="s">
        <v>3838</v>
      </c>
      <c r="C26" s="106" t="s">
        <v>752</v>
      </c>
      <c r="D26" s="107" t="s">
        <v>3839</v>
      </c>
      <c r="E26" s="136" t="s">
        <v>99</v>
      </c>
      <c r="F26" s="106" t="s">
        <v>3840</v>
      </c>
      <c r="G26" s="137" t="n">
        <v>45945</v>
      </c>
      <c r="H26" s="106" t="s">
        <v>529</v>
      </c>
      <c r="I26" s="138" t="str">
        <f aca="false">IFERROR(VLOOKUP(TEXT(H26,"0"),IPRESS!$A$3:$B$212,2,0),"")</f>
        <v>MARIA AUXILIADORA</v>
      </c>
      <c r="J26" s="106" t="s">
        <v>755</v>
      </c>
      <c r="K26" s="138" t="str">
        <f aca="false">IFERROR(VLOOKUP(TEXT(O26,"0"),CONDUCTORES!$A$3:$G$100,7,0),"")</f>
        <v/>
      </c>
      <c r="L26" s="50" t="n">
        <v>20.25</v>
      </c>
      <c r="M26" s="50" t="n">
        <v>10</v>
      </c>
      <c r="N26" s="139" t="n">
        <f aca="false">IFERROR(IF(L26*M26=0,"",L26*M26),"")</f>
        <v>202.5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37" t="n">
        <v>45968</v>
      </c>
      <c r="S26" s="107" t="s">
        <v>3841</v>
      </c>
      <c r="T26" s="136" t="s">
        <v>3842</v>
      </c>
      <c r="U26" s="140"/>
      <c r="V26" s="106"/>
      <c r="W26" s="106"/>
      <c r="X26" s="106"/>
      <c r="Y26" s="85"/>
    </row>
    <row r="27" customFormat="false" ht="15.75" hidden="false" customHeight="true" outlineLevel="0" collapsed="false">
      <c r="A27" s="46" t="n">
        <v>22</v>
      </c>
      <c r="B27" s="110" t="s">
        <v>3843</v>
      </c>
      <c r="C27" s="46" t="s">
        <v>752</v>
      </c>
      <c r="D27" s="110" t="s">
        <v>3844</v>
      </c>
      <c r="E27" s="46" t="s">
        <v>99</v>
      </c>
      <c r="F27" s="46" t="s">
        <v>3845</v>
      </c>
      <c r="G27" s="142" t="n">
        <v>45945</v>
      </c>
      <c r="H27" s="46" t="s">
        <v>529</v>
      </c>
      <c r="I27" s="138" t="str">
        <f aca="false">IFERROR(VLOOKUP(TEXT(H27,"0"),IPRESS!$A$3:$B$212,2,0),"")</f>
        <v>MARIA AUXILIADORA</v>
      </c>
      <c r="J27" s="46" t="s">
        <v>755</v>
      </c>
      <c r="K27" s="138" t="str">
        <f aca="false">IFERROR(VLOOKUP(TEXT(O27,"0"),CONDUCTORES!$A$3:$G$100,7,0),"")</f>
        <v/>
      </c>
      <c r="L27" s="44" t="n">
        <v>20.25</v>
      </c>
      <c r="M27" s="44" t="n">
        <v>7</v>
      </c>
      <c r="N27" s="139" t="n">
        <f aca="false">IFERROR(IF(L27*M27=0,"",L27*M27),"")</f>
        <v>141.75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142" t="n">
        <v>45968</v>
      </c>
      <c r="S27" s="110" t="s">
        <v>1864</v>
      </c>
      <c r="T27" s="46"/>
      <c r="U27" s="85"/>
      <c r="V27" s="46"/>
      <c r="W27" s="46"/>
      <c r="X27" s="46"/>
      <c r="Y27" s="85"/>
    </row>
    <row r="28" customFormat="false" ht="15.75" hidden="false" customHeight="true" outlineLevel="0" collapsed="false">
      <c r="A28" s="106" t="n">
        <v>23</v>
      </c>
      <c r="B28" s="107" t="s">
        <v>3846</v>
      </c>
      <c r="C28" s="106" t="s">
        <v>752</v>
      </c>
      <c r="D28" s="107" t="s">
        <v>3847</v>
      </c>
      <c r="E28" s="136" t="s">
        <v>99</v>
      </c>
      <c r="F28" s="106" t="s">
        <v>3848</v>
      </c>
      <c r="G28" s="137" t="n">
        <v>45947</v>
      </c>
      <c r="H28" s="106" t="s">
        <v>529</v>
      </c>
      <c r="I28" s="138" t="str">
        <f aca="false">IFERROR(VLOOKUP(TEXT(H28,"0"),IPRESS!$A$3:$B$212,2,0),"")</f>
        <v>MARIA AUXILIADORA</v>
      </c>
      <c r="J28" s="106" t="s">
        <v>755</v>
      </c>
      <c r="K28" s="138" t="str">
        <f aca="false">IFERROR(VLOOKUP(TEXT(O28,"0"),CONDUCTORES!$A$3:$G$100,7,0),"")</f>
        <v/>
      </c>
      <c r="L28" s="50" t="n">
        <v>20.25</v>
      </c>
      <c r="M28" s="50" t="n">
        <v>7</v>
      </c>
      <c r="N28" s="139" t="n">
        <f aca="false">IFERROR(IF(L28*M28=0,"",L28*M28),"")</f>
        <v>141.75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37" t="n">
        <v>45968</v>
      </c>
      <c r="S28" s="107" t="s">
        <v>3849</v>
      </c>
      <c r="T28" s="136"/>
      <c r="U28" s="140"/>
      <c r="V28" s="106"/>
      <c r="W28" s="106"/>
      <c r="X28" s="106"/>
      <c r="Y28" s="85"/>
    </row>
    <row r="29" customFormat="false" ht="15.75" hidden="false" customHeight="true" outlineLevel="0" collapsed="false">
      <c r="A29" s="46" t="n">
        <v>24</v>
      </c>
      <c r="B29" s="110" t="s">
        <v>3850</v>
      </c>
      <c r="C29" s="46" t="s">
        <v>752</v>
      </c>
      <c r="D29" s="110" t="s">
        <v>3851</v>
      </c>
      <c r="E29" s="46" t="s">
        <v>99</v>
      </c>
      <c r="F29" s="46" t="s">
        <v>3852</v>
      </c>
      <c r="G29" s="142" t="n">
        <v>45948</v>
      </c>
      <c r="H29" s="46" t="s">
        <v>529</v>
      </c>
      <c r="I29" s="138" t="str">
        <f aca="false">IFERROR(VLOOKUP(TEXT(H29,"0"),IPRESS!$A$3:$B$212,2,0),"")</f>
        <v>MARIA AUXILIADORA</v>
      </c>
      <c r="J29" s="46" t="s">
        <v>755</v>
      </c>
      <c r="K29" s="138" t="str">
        <f aca="false">IFERROR(VLOOKUP(TEXT(O29,"0"),CONDUCTORES!$A$3:$G$100,7,0),"")</f>
        <v/>
      </c>
      <c r="L29" s="44" t="n">
        <v>20.25</v>
      </c>
      <c r="M29" s="44" t="n">
        <v>7</v>
      </c>
      <c r="N29" s="139" t="n">
        <f aca="false">IFERROR(IF(L29*M29=0,"",L29*M29),"")</f>
        <v>141.75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142" t="n">
        <v>45968</v>
      </c>
      <c r="S29" s="110" t="s">
        <v>2304</v>
      </c>
      <c r="T29" s="46"/>
      <c r="U29" s="85"/>
      <c r="V29" s="46"/>
      <c r="W29" s="46"/>
      <c r="X29" s="46"/>
      <c r="Y29" s="85"/>
    </row>
    <row r="30" customFormat="false" ht="15.75" hidden="false" customHeight="true" outlineLevel="0" collapsed="false">
      <c r="A30" s="106" t="n">
        <v>25</v>
      </c>
      <c r="B30" s="107" t="s">
        <v>3853</v>
      </c>
      <c r="C30" s="106" t="s">
        <v>752</v>
      </c>
      <c r="D30" s="107" t="s">
        <v>3854</v>
      </c>
      <c r="E30" s="136" t="s">
        <v>99</v>
      </c>
      <c r="F30" s="106" t="s">
        <v>3855</v>
      </c>
      <c r="G30" s="137" t="n">
        <v>45949</v>
      </c>
      <c r="H30" s="106" t="s">
        <v>529</v>
      </c>
      <c r="I30" s="138" t="str">
        <f aca="false">IFERROR(VLOOKUP(TEXT(H30,"0"),IPRESS!$A$3:$B$212,2,0),"")</f>
        <v>MARIA AUXILIADORA</v>
      </c>
      <c r="J30" s="106" t="s">
        <v>755</v>
      </c>
      <c r="K30" s="138" t="str">
        <f aca="false">IFERROR(VLOOKUP(TEXT(O30,"0"),CONDUCTORES!$A$3:$G$100,7,0),"")</f>
        <v/>
      </c>
      <c r="L30" s="50" t="n">
        <v>20.25</v>
      </c>
      <c r="M30" s="50" t="n">
        <v>7</v>
      </c>
      <c r="N30" s="139" t="n">
        <f aca="false">IFERROR(IF(L30*M30=0,"",L30*M30),"")</f>
        <v>141.75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37" t="n">
        <v>45968</v>
      </c>
      <c r="S30" s="107" t="s">
        <v>2500</v>
      </c>
      <c r="T30" s="136"/>
      <c r="U30" s="140"/>
      <c r="V30" s="106"/>
      <c r="W30" s="106"/>
      <c r="X30" s="106"/>
      <c r="Y30" s="85"/>
    </row>
    <row r="31" customFormat="false" ht="15.75" hidden="false" customHeight="true" outlineLevel="0" collapsed="false">
      <c r="A31" s="46" t="n">
        <v>26</v>
      </c>
      <c r="B31" s="110" t="s">
        <v>3856</v>
      </c>
      <c r="C31" s="46" t="s">
        <v>752</v>
      </c>
      <c r="D31" s="110" t="s">
        <v>3857</v>
      </c>
      <c r="E31" s="46" t="s">
        <v>99</v>
      </c>
      <c r="F31" s="46" t="s">
        <v>3858</v>
      </c>
      <c r="G31" s="142" t="n">
        <v>45950</v>
      </c>
      <c r="H31" s="46" t="s">
        <v>529</v>
      </c>
      <c r="I31" s="138" t="str">
        <f aca="false">IFERROR(VLOOKUP(TEXT(H31,"0"),IPRESS!$A$3:$B$212,2,0),"")</f>
        <v>MARIA AUXILIADORA</v>
      </c>
      <c r="J31" s="46" t="s">
        <v>755</v>
      </c>
      <c r="K31" s="138" t="str">
        <f aca="false">IFERROR(VLOOKUP(TEXT(O31,"0"),CONDUCTORES!$A$3:$G$100,7,0),"")</f>
        <v/>
      </c>
      <c r="L31" s="44" t="n">
        <v>20.25</v>
      </c>
      <c r="M31" s="44" t="n">
        <v>10</v>
      </c>
      <c r="N31" s="139" t="n">
        <f aca="false">IFERROR(IF(L31*M31=0,"",L31*M31),"")</f>
        <v>202.5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142" t="n">
        <v>45968</v>
      </c>
      <c r="S31" s="110" t="s">
        <v>3859</v>
      </c>
      <c r="T31" s="46" t="s">
        <v>3860</v>
      </c>
      <c r="U31" s="85"/>
      <c r="V31" s="46"/>
      <c r="W31" s="46"/>
      <c r="X31" s="46"/>
      <c r="Y31" s="85"/>
    </row>
    <row r="32" customFormat="false" ht="15.75" hidden="false" customHeight="true" outlineLevel="0" collapsed="false">
      <c r="A32" s="106" t="n">
        <v>27</v>
      </c>
      <c r="B32" s="107" t="s">
        <v>3861</v>
      </c>
      <c r="C32" s="106" t="s">
        <v>752</v>
      </c>
      <c r="D32" s="107" t="s">
        <v>3862</v>
      </c>
      <c r="E32" s="136" t="s">
        <v>99</v>
      </c>
      <c r="F32" s="106" t="s">
        <v>3863</v>
      </c>
      <c r="G32" s="137" t="n">
        <v>45951</v>
      </c>
      <c r="H32" s="106" t="s">
        <v>529</v>
      </c>
      <c r="I32" s="138" t="str">
        <f aca="false">IFERROR(VLOOKUP(TEXT(H32,"0"),IPRESS!$A$3:$B$212,2,0),"")</f>
        <v>MARIA AUXILIADORA</v>
      </c>
      <c r="J32" s="106" t="s">
        <v>755</v>
      </c>
      <c r="K32" s="138" t="str">
        <f aca="false">IFERROR(VLOOKUP(TEXT(O32,"0"),CONDUCTORES!$A$3:$G$100,7,0),"")</f>
        <v/>
      </c>
      <c r="L32" s="50" t="n">
        <v>20.25</v>
      </c>
      <c r="M32" s="50" t="n">
        <v>7</v>
      </c>
      <c r="N32" s="139" t="n">
        <f aca="false">IFERROR(IF(L32*M32=0,"",L32*M32),"")</f>
        <v>141.75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37" t="n">
        <v>45968</v>
      </c>
      <c r="S32" s="107" t="s">
        <v>3864</v>
      </c>
      <c r="T32" s="136"/>
      <c r="U32" s="140"/>
      <c r="V32" s="106"/>
      <c r="W32" s="106"/>
      <c r="X32" s="106"/>
      <c r="Y32" s="85"/>
    </row>
    <row r="33" customFormat="false" ht="15.75" hidden="false" customHeight="true" outlineLevel="0" collapsed="false">
      <c r="A33" s="46" t="n">
        <v>28</v>
      </c>
      <c r="B33" s="110" t="s">
        <v>3865</v>
      </c>
      <c r="C33" s="46" t="s">
        <v>752</v>
      </c>
      <c r="D33" s="110" t="s">
        <v>3866</v>
      </c>
      <c r="E33" s="46" t="s">
        <v>99</v>
      </c>
      <c r="F33" s="46" t="s">
        <v>3867</v>
      </c>
      <c r="G33" s="142" t="n">
        <v>45952</v>
      </c>
      <c r="H33" s="46" t="s">
        <v>529</v>
      </c>
      <c r="I33" s="138" t="str">
        <f aca="false">IFERROR(VLOOKUP(TEXT(H33,"0"),IPRESS!$A$3:$B$212,2,0),"")</f>
        <v>MARIA AUXILIADORA</v>
      </c>
      <c r="J33" s="46" t="s">
        <v>755</v>
      </c>
      <c r="K33" s="138" t="str">
        <f aca="false">IFERROR(VLOOKUP(TEXT(O33,"0"),CONDUCTORES!$A$3:$G$100,7,0),"")</f>
        <v/>
      </c>
      <c r="L33" s="44" t="n">
        <v>20.25</v>
      </c>
      <c r="M33" s="44" t="n">
        <v>7</v>
      </c>
      <c r="N33" s="139" t="n">
        <f aca="false">IFERROR(IF(L33*M33=0,"",L33*M33),"")</f>
        <v>141.75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142" t="n">
        <v>45968</v>
      </c>
      <c r="S33" s="110" t="s">
        <v>3868</v>
      </c>
      <c r="T33" s="46"/>
      <c r="U33" s="85"/>
      <c r="V33" s="46"/>
      <c r="W33" s="46"/>
      <c r="X33" s="46"/>
      <c r="Y33" s="85"/>
    </row>
    <row r="34" customFormat="false" ht="15.75" hidden="false" customHeight="true" outlineLevel="0" collapsed="false">
      <c r="A34" s="106" t="n">
        <v>29</v>
      </c>
      <c r="B34" s="107" t="s">
        <v>3869</v>
      </c>
      <c r="C34" s="106" t="s">
        <v>752</v>
      </c>
      <c r="D34" s="107" t="s">
        <v>3870</v>
      </c>
      <c r="E34" s="136" t="s">
        <v>99</v>
      </c>
      <c r="F34" s="106" t="s">
        <v>3871</v>
      </c>
      <c r="G34" s="137" t="n">
        <v>45954</v>
      </c>
      <c r="H34" s="106" t="s">
        <v>529</v>
      </c>
      <c r="I34" s="138" t="str">
        <f aca="false">IFERROR(VLOOKUP(TEXT(H34,"0"),IPRESS!$A$3:$B$212,2,0),"")</f>
        <v>MARIA AUXILIADORA</v>
      </c>
      <c r="J34" s="106" t="s">
        <v>755</v>
      </c>
      <c r="K34" s="138" t="str">
        <f aca="false">IFERROR(VLOOKUP(TEXT(O34,"0"),CONDUCTORES!$A$3:$G$100,7,0),"")</f>
        <v/>
      </c>
      <c r="L34" s="50" t="n">
        <v>20.25</v>
      </c>
      <c r="M34" s="50" t="n">
        <v>7</v>
      </c>
      <c r="N34" s="139" t="n">
        <f aca="false">IFERROR(IF(L34*M34=0,"",L34*M34),"")</f>
        <v>141.75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37" t="n">
        <v>45968</v>
      </c>
      <c r="S34" s="107" t="s">
        <v>3872</v>
      </c>
      <c r="T34" s="136"/>
      <c r="U34" s="140"/>
      <c r="V34" s="106"/>
      <c r="W34" s="106"/>
      <c r="X34" s="106"/>
      <c r="Y34" s="85"/>
    </row>
    <row r="35" customFormat="false" ht="15.75" hidden="false" customHeight="true" outlineLevel="0" collapsed="false">
      <c r="A35" s="46" t="n">
        <v>30</v>
      </c>
      <c r="B35" s="110" t="s">
        <v>3873</v>
      </c>
      <c r="C35" s="46" t="s">
        <v>752</v>
      </c>
      <c r="D35" s="110" t="s">
        <v>3874</v>
      </c>
      <c r="E35" s="46" t="s">
        <v>99</v>
      </c>
      <c r="F35" s="46" t="s">
        <v>3875</v>
      </c>
      <c r="G35" s="142" t="n">
        <v>45957</v>
      </c>
      <c r="H35" s="46" t="s">
        <v>529</v>
      </c>
      <c r="I35" s="138" t="str">
        <f aca="false">IFERROR(VLOOKUP(TEXT(H35,"0"),IPRESS!$A$3:$B$212,2,0),"")</f>
        <v>MARIA AUXILIADORA</v>
      </c>
      <c r="J35" s="46" t="s">
        <v>755</v>
      </c>
      <c r="K35" s="138" t="str">
        <f aca="false">IFERROR(VLOOKUP(TEXT(O35,"0"),CONDUCTORES!$A$3:$G$100,7,0),"")</f>
        <v/>
      </c>
      <c r="L35" s="44" t="n">
        <v>20.25</v>
      </c>
      <c r="M35" s="44" t="n">
        <v>7</v>
      </c>
      <c r="N35" s="139" t="n">
        <f aca="false">IFERROR(IF(L35*M35=0,"",L35*M35),"")</f>
        <v>141.75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142" t="n">
        <v>45968</v>
      </c>
      <c r="S35" s="110" t="s">
        <v>2603</v>
      </c>
      <c r="T35" s="46"/>
      <c r="U35" s="85"/>
      <c r="V35" s="46"/>
      <c r="W35" s="46"/>
      <c r="X35" s="46"/>
      <c r="Y35" s="85"/>
    </row>
    <row r="36" customFormat="false" ht="15.75" hidden="false" customHeight="true" outlineLevel="0" collapsed="false">
      <c r="A36" s="106" t="n">
        <v>31</v>
      </c>
      <c r="B36" s="107" t="s">
        <v>3876</v>
      </c>
      <c r="C36" s="106" t="s">
        <v>752</v>
      </c>
      <c r="D36" s="107" t="s">
        <v>3877</v>
      </c>
      <c r="E36" s="136" t="s">
        <v>99</v>
      </c>
      <c r="F36" s="106" t="s">
        <v>3878</v>
      </c>
      <c r="G36" s="137" t="n">
        <v>45960</v>
      </c>
      <c r="H36" s="106" t="s">
        <v>529</v>
      </c>
      <c r="I36" s="138" t="str">
        <f aca="false">IFERROR(VLOOKUP(TEXT(H36,"0"),IPRESS!$A$3:$B$212,2,0),"")</f>
        <v>MARIA AUXILIADORA</v>
      </c>
      <c r="J36" s="106" t="s">
        <v>755</v>
      </c>
      <c r="K36" s="138" t="str">
        <f aca="false">IFERROR(VLOOKUP(TEXT(O36,"0"),CONDUCTORES!$A$3:$G$100,7,0),"")</f>
        <v/>
      </c>
      <c r="L36" s="50" t="n">
        <v>20.25</v>
      </c>
      <c r="M36" s="50" t="n">
        <v>7</v>
      </c>
      <c r="N36" s="139" t="n">
        <f aca="false">IFERROR(IF(L36*M36=0,"",L36*M36),"")</f>
        <v>141.75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37" t="n">
        <v>45968</v>
      </c>
      <c r="S36" s="107" t="s">
        <v>3879</v>
      </c>
      <c r="T36" s="136"/>
      <c r="U36" s="140"/>
      <c r="V36" s="106"/>
      <c r="W36" s="106"/>
      <c r="X36" s="106"/>
      <c r="Y36" s="85"/>
    </row>
    <row r="37" customFormat="false" ht="15.75" hidden="false" customHeight="true" outlineLevel="0" collapsed="false">
      <c r="A37" s="46" t="n">
        <v>32</v>
      </c>
      <c r="B37" s="110" t="s">
        <v>3880</v>
      </c>
      <c r="C37" s="46" t="s">
        <v>752</v>
      </c>
      <c r="D37" s="110" t="s">
        <v>3881</v>
      </c>
      <c r="E37" s="46" t="s">
        <v>99</v>
      </c>
      <c r="F37" s="46" t="s">
        <v>3882</v>
      </c>
      <c r="G37" s="142" t="n">
        <v>45961</v>
      </c>
      <c r="H37" s="46" t="s">
        <v>529</v>
      </c>
      <c r="I37" s="138" t="str">
        <f aca="false">IFERROR(VLOOKUP(TEXT(H37,"0"),IPRESS!$A$3:$B$212,2,0),"")</f>
        <v>MARIA AUXILIADORA</v>
      </c>
      <c r="J37" s="46" t="s">
        <v>755</v>
      </c>
      <c r="K37" s="138" t="str">
        <f aca="false">IFERROR(VLOOKUP(TEXT(O37,"0"),CONDUCTORES!$A$3:$G$100,7,0),"")</f>
        <v/>
      </c>
      <c r="L37" s="44" t="n">
        <v>20.25</v>
      </c>
      <c r="M37" s="44" t="n">
        <v>7</v>
      </c>
      <c r="N37" s="139" t="n">
        <f aca="false">IFERROR(IF(L37*M37=0,"",L37*M37),"")</f>
        <v>141.75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142" t="n">
        <v>45968</v>
      </c>
      <c r="S37" s="110" t="s">
        <v>3883</v>
      </c>
      <c r="T37" s="46"/>
      <c r="U37" s="85"/>
      <c r="V37" s="46"/>
      <c r="W37" s="46"/>
      <c r="X37" s="46"/>
      <c r="Y37" s="85"/>
    </row>
    <row r="38" customFormat="false" ht="15.75" hidden="false" customHeight="true" outlineLevel="0" collapsed="false">
      <c r="A38" s="106" t="n">
        <v>33</v>
      </c>
      <c r="B38" s="107" t="s">
        <v>3884</v>
      </c>
      <c r="C38" s="106" t="s">
        <v>752</v>
      </c>
      <c r="D38" s="107" t="s">
        <v>3885</v>
      </c>
      <c r="E38" s="136" t="s">
        <v>99</v>
      </c>
      <c r="F38" s="106" t="s">
        <v>3886</v>
      </c>
      <c r="G38" s="137" t="n">
        <v>45961</v>
      </c>
      <c r="H38" s="106" t="s">
        <v>529</v>
      </c>
      <c r="I38" s="138" t="str">
        <f aca="false">IFERROR(VLOOKUP(TEXT(H38,"0"),IPRESS!$A$3:$B$212,2,0),"")</f>
        <v>MARIA AUXILIADORA</v>
      </c>
      <c r="J38" s="106" t="s">
        <v>755</v>
      </c>
      <c r="K38" s="138" t="str">
        <f aca="false">IFERROR(VLOOKUP(TEXT(O38,"0"),CONDUCTORES!$A$3:$G$100,7,0),"")</f>
        <v/>
      </c>
      <c r="L38" s="50" t="n">
        <v>20.25</v>
      </c>
      <c r="M38" s="50" t="n">
        <v>7</v>
      </c>
      <c r="N38" s="139" t="n">
        <f aca="false">IFERROR(IF(L38*M38=0,"",L38*M38),"")</f>
        <v>141.75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37" t="n">
        <v>45968</v>
      </c>
      <c r="S38" s="107" t="s">
        <v>3887</v>
      </c>
      <c r="T38" s="136"/>
      <c r="U38" s="140"/>
      <c r="V38" s="106"/>
      <c r="W38" s="106"/>
      <c r="X38" s="106"/>
      <c r="Y38" s="85"/>
    </row>
    <row r="39" customFormat="false" ht="15.75" hidden="false" customHeight="true" outlineLevel="0" collapsed="false">
      <c r="A39" s="46" t="n">
        <v>34</v>
      </c>
      <c r="B39" s="110" t="s">
        <v>1128</v>
      </c>
      <c r="C39" s="46" t="s">
        <v>752</v>
      </c>
      <c r="D39" s="110" t="s">
        <v>3888</v>
      </c>
      <c r="E39" s="46" t="s">
        <v>99</v>
      </c>
      <c r="F39" s="46" t="s">
        <v>3889</v>
      </c>
      <c r="G39" s="142" t="n">
        <v>45953</v>
      </c>
      <c r="H39" s="46" t="s">
        <v>480</v>
      </c>
      <c r="I39" s="138" t="str">
        <f aca="false">IFERROR(VLOOKUP(TEXT(H39,"0"),IPRESS!$A$3:$B$212,2,0),"")</f>
        <v>JALCA GRANDE</v>
      </c>
      <c r="J39" s="46" t="s">
        <v>755</v>
      </c>
      <c r="K39" s="138" t="str">
        <f aca="false">IFERROR(VLOOKUP(TEXT(O39,"0"),CONDUCTORES!$A$3:$G$100,7,0),"")</f>
        <v/>
      </c>
      <c r="L39" s="44" t="n">
        <v>18.18</v>
      </c>
      <c r="M39" s="44" t="n">
        <v>8</v>
      </c>
      <c r="N39" s="139" t="n">
        <f aca="false">IFERROR(IF(L39*M39=0,"",L39*M39),"")</f>
        <v>145.44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142" t="n">
        <v>45992</v>
      </c>
      <c r="S39" s="110" t="s">
        <v>3890</v>
      </c>
      <c r="T39" s="46"/>
      <c r="U39" s="85"/>
      <c r="V39" s="46"/>
      <c r="W39" s="46"/>
      <c r="X39" s="46"/>
      <c r="Y39" s="85"/>
    </row>
    <row r="40" customFormat="false" ht="15.75" hidden="false" customHeight="true" outlineLevel="0" collapsed="false">
      <c r="A40" s="106" t="n">
        <v>35</v>
      </c>
      <c r="B40" s="107" t="s">
        <v>1134</v>
      </c>
      <c r="C40" s="106" t="s">
        <v>752</v>
      </c>
      <c r="D40" s="107" t="s">
        <v>3891</v>
      </c>
      <c r="E40" s="136" t="s">
        <v>99</v>
      </c>
      <c r="F40" s="106" t="s">
        <v>3892</v>
      </c>
      <c r="G40" s="137" t="n">
        <v>45956</v>
      </c>
      <c r="H40" s="106" t="s">
        <v>480</v>
      </c>
      <c r="I40" s="138" t="str">
        <f aca="false">IFERROR(VLOOKUP(TEXT(H40,"0"),IPRESS!$A$3:$B$212,2,0),"")</f>
        <v>JALCA GRANDE</v>
      </c>
      <c r="J40" s="106" t="s">
        <v>755</v>
      </c>
      <c r="K40" s="138" t="str">
        <f aca="false">IFERROR(VLOOKUP(TEXT(O40,"0"),CONDUCTORES!$A$3:$G$100,7,0),"")</f>
        <v/>
      </c>
      <c r="L40" s="50" t="n">
        <v>18.18</v>
      </c>
      <c r="M40" s="50" t="n">
        <v>8</v>
      </c>
      <c r="N40" s="139" t="n">
        <f aca="false">IFERROR(IF(L40*M40=0,"",L40*M40),"")</f>
        <v>145.44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37" t="n">
        <v>45992</v>
      </c>
      <c r="S40" s="107" t="s">
        <v>3893</v>
      </c>
      <c r="T40" s="136"/>
      <c r="U40" s="140"/>
      <c r="V40" s="106"/>
      <c r="W40" s="106"/>
      <c r="X40" s="106"/>
      <c r="Y40" s="85"/>
    </row>
    <row r="41" customFormat="false" ht="15.75" hidden="false" customHeight="true" outlineLevel="0" collapsed="false">
      <c r="A41" s="46" t="n">
        <v>36</v>
      </c>
      <c r="B41" s="110" t="s">
        <v>1128</v>
      </c>
      <c r="C41" s="46" t="s">
        <v>752</v>
      </c>
      <c r="D41" s="110" t="s">
        <v>3894</v>
      </c>
      <c r="E41" s="46" t="s">
        <v>99</v>
      </c>
      <c r="F41" s="46" t="s">
        <v>3895</v>
      </c>
      <c r="G41" s="142" t="n">
        <v>45952</v>
      </c>
      <c r="H41" s="46" t="s">
        <v>483</v>
      </c>
      <c r="I41" s="138" t="str">
        <f aca="false">IFERROR(VLOOKUP(TEXT(H41,"0"),IPRESS!$A$3:$B$212,2,0),"")</f>
        <v>JUMBILLA</v>
      </c>
      <c r="J41" s="46" t="s">
        <v>755</v>
      </c>
      <c r="K41" s="138" t="str">
        <f aca="false">IFERROR(VLOOKUP(TEXT(O41,"0"),CONDUCTORES!$A$3:$G$100,7,0),"")</f>
        <v/>
      </c>
      <c r="L41" s="44" t="n">
        <v>18.18</v>
      </c>
      <c r="M41" s="44" t="n">
        <v>12</v>
      </c>
      <c r="N41" s="139" t="n">
        <f aca="false">IFERROR(IF(L41*M41=0,"",L41*M41),"")</f>
        <v>218.16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142" t="n">
        <v>45978</v>
      </c>
      <c r="S41" s="110" t="s">
        <v>3896</v>
      </c>
      <c r="T41" s="46"/>
      <c r="U41" s="85"/>
      <c r="V41" s="46" t="s">
        <v>2658</v>
      </c>
      <c r="W41" s="46" t="s">
        <v>2648</v>
      </c>
      <c r="X41" s="46" t="s">
        <v>2351</v>
      </c>
      <c r="Y41" s="85"/>
    </row>
    <row r="42" customFormat="false" ht="15.75" hidden="false" customHeight="true" outlineLevel="0" collapsed="false">
      <c r="A42" s="106" t="n">
        <v>37</v>
      </c>
      <c r="B42" s="107" t="s">
        <v>1372</v>
      </c>
      <c r="C42" s="106" t="s">
        <v>752</v>
      </c>
      <c r="D42" s="107" t="s">
        <v>3897</v>
      </c>
      <c r="E42" s="136" t="s">
        <v>99</v>
      </c>
      <c r="F42" s="106" t="s">
        <v>3898</v>
      </c>
      <c r="G42" s="137" t="n">
        <v>45936</v>
      </c>
      <c r="H42" s="106" t="s">
        <v>500</v>
      </c>
      <c r="I42" s="138" t="str">
        <f aca="false">IFERROR(VLOOKUP(TEXT(H42,"0"),IPRESS!$A$3:$B$212,2,0),"")</f>
        <v>LAMUD</v>
      </c>
      <c r="J42" s="106" t="s">
        <v>755</v>
      </c>
      <c r="K42" s="138" t="str">
        <f aca="false">IFERROR(VLOOKUP(TEXT(O42,"0"),CONDUCTORES!$A$3:$G$100,7,0),"")</f>
        <v/>
      </c>
      <c r="L42" s="50" t="n">
        <v>18.18</v>
      </c>
      <c r="M42" s="50" t="n">
        <v>4</v>
      </c>
      <c r="N42" s="139" t="n">
        <f aca="false">IFERROR(IF(L42*M42=0,"",L42*M42),"")</f>
        <v>72.72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37" t="n">
        <v>45987</v>
      </c>
      <c r="S42" s="107" t="s">
        <v>3899</v>
      </c>
      <c r="T42" s="136"/>
      <c r="U42" s="140"/>
      <c r="V42" s="106" t="s">
        <v>2349</v>
      </c>
      <c r="W42" s="106" t="s">
        <v>2350</v>
      </c>
      <c r="X42" s="106" t="s">
        <v>2351</v>
      </c>
      <c r="Y42" s="85"/>
    </row>
    <row r="43" customFormat="false" ht="15.75" hidden="false" customHeight="true" outlineLevel="0" collapsed="false">
      <c r="A43" s="46" t="n">
        <v>38</v>
      </c>
      <c r="B43" s="110" t="s">
        <v>1376</v>
      </c>
      <c r="C43" s="46" t="s">
        <v>752</v>
      </c>
      <c r="D43" s="110" t="s">
        <v>3900</v>
      </c>
      <c r="E43" s="46" t="s">
        <v>99</v>
      </c>
      <c r="F43" s="46" t="s">
        <v>3901</v>
      </c>
      <c r="G43" s="142" t="n">
        <v>45938</v>
      </c>
      <c r="H43" s="46" t="s">
        <v>500</v>
      </c>
      <c r="I43" s="138" t="str">
        <f aca="false">IFERROR(VLOOKUP(TEXT(H43,"0"),IPRESS!$A$3:$B$212,2,0),"")</f>
        <v>LAMUD</v>
      </c>
      <c r="J43" s="46" t="s">
        <v>755</v>
      </c>
      <c r="K43" s="138" t="str">
        <f aca="false">IFERROR(VLOOKUP(TEXT(O43,"0"),CONDUCTORES!$A$3:$G$100,7,0),"")</f>
        <v/>
      </c>
      <c r="L43" s="44" t="n">
        <v>18.18</v>
      </c>
      <c r="M43" s="44" t="n">
        <v>4</v>
      </c>
      <c r="N43" s="139" t="n">
        <f aca="false">IFERROR(IF(L43*M43=0,"",L43*M43),"")</f>
        <v>72.72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142" t="n">
        <v>45987</v>
      </c>
      <c r="S43" s="110" t="s">
        <v>3902</v>
      </c>
      <c r="T43" s="46"/>
      <c r="U43" s="85"/>
      <c r="V43" s="46" t="s">
        <v>2349</v>
      </c>
      <c r="W43" s="46" t="s">
        <v>2350</v>
      </c>
      <c r="X43" s="46" t="s">
        <v>2351</v>
      </c>
      <c r="Y43" s="85"/>
    </row>
    <row r="44" customFormat="false" ht="15.75" hidden="false" customHeight="true" outlineLevel="0" collapsed="false">
      <c r="A44" s="106" t="n">
        <v>39</v>
      </c>
      <c r="B44" s="107" t="s">
        <v>2472</v>
      </c>
      <c r="C44" s="106" t="s">
        <v>752</v>
      </c>
      <c r="D44" s="107" t="s">
        <v>3903</v>
      </c>
      <c r="E44" s="136" t="s">
        <v>99</v>
      </c>
      <c r="F44" s="106" t="s">
        <v>3904</v>
      </c>
      <c r="G44" s="137" t="n">
        <v>45940</v>
      </c>
      <c r="H44" s="106" t="s">
        <v>500</v>
      </c>
      <c r="I44" s="138" t="str">
        <f aca="false">IFERROR(VLOOKUP(TEXT(H44,"0"),IPRESS!$A$3:$B$212,2,0),"")</f>
        <v>LAMUD</v>
      </c>
      <c r="J44" s="106" t="s">
        <v>755</v>
      </c>
      <c r="K44" s="138" t="str">
        <f aca="false">IFERROR(VLOOKUP(TEXT(O44,"0"),CONDUCTORES!$A$3:$G$100,7,0),"")</f>
        <v/>
      </c>
      <c r="L44" s="50" t="n">
        <v>18.18</v>
      </c>
      <c r="M44" s="50" t="n">
        <v>4</v>
      </c>
      <c r="N44" s="139" t="n">
        <f aca="false">IFERROR(IF(L44*M44=0,"",L44*M44),"")</f>
        <v>72.72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37" t="n">
        <v>45987</v>
      </c>
      <c r="S44" s="107" t="s">
        <v>3902</v>
      </c>
      <c r="T44" s="136"/>
      <c r="U44" s="140"/>
      <c r="V44" s="106" t="s">
        <v>2349</v>
      </c>
      <c r="W44" s="106" t="s">
        <v>2350</v>
      </c>
      <c r="X44" s="106" t="s">
        <v>2351</v>
      </c>
      <c r="Y44" s="85"/>
    </row>
    <row r="45" customFormat="false" ht="15.75" hidden="false" customHeight="true" outlineLevel="0" collapsed="false">
      <c r="A45" s="46" t="n">
        <v>40</v>
      </c>
      <c r="B45" s="110" t="s">
        <v>2476</v>
      </c>
      <c r="C45" s="46" t="s">
        <v>752</v>
      </c>
      <c r="D45" s="110" t="s">
        <v>3905</v>
      </c>
      <c r="E45" s="46" t="s">
        <v>99</v>
      </c>
      <c r="F45" s="46" t="s">
        <v>3906</v>
      </c>
      <c r="G45" s="142" t="n">
        <v>45941</v>
      </c>
      <c r="H45" s="46" t="s">
        <v>500</v>
      </c>
      <c r="I45" s="138" t="str">
        <f aca="false">IFERROR(VLOOKUP(TEXT(H45,"0"),IPRESS!$A$3:$B$212,2,0),"")</f>
        <v>LAMUD</v>
      </c>
      <c r="J45" s="46" t="s">
        <v>755</v>
      </c>
      <c r="K45" s="138" t="str">
        <f aca="false">IFERROR(VLOOKUP(TEXT(O45,"0"),CONDUCTORES!$A$3:$G$100,7,0),"")</f>
        <v/>
      </c>
      <c r="L45" s="44" t="n">
        <v>18.18</v>
      </c>
      <c r="M45" s="44" t="n">
        <v>4</v>
      </c>
      <c r="N45" s="139" t="n">
        <f aca="false">IFERROR(IF(L45*M45=0,"",L45*M45),"")</f>
        <v>72.72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142" t="n">
        <v>45987</v>
      </c>
      <c r="S45" s="110" t="s">
        <v>3907</v>
      </c>
      <c r="T45" s="46"/>
      <c r="U45" s="85"/>
      <c r="V45" s="46" t="s">
        <v>2349</v>
      </c>
      <c r="W45" s="46" t="s">
        <v>2350</v>
      </c>
      <c r="X45" s="46" t="s">
        <v>2351</v>
      </c>
      <c r="Y45" s="85"/>
    </row>
    <row r="46" customFormat="false" ht="15.75" hidden="false" customHeight="true" outlineLevel="0" collapsed="false">
      <c r="A46" s="106" t="n">
        <v>41</v>
      </c>
      <c r="B46" s="107" t="s">
        <v>2480</v>
      </c>
      <c r="C46" s="106" t="s">
        <v>752</v>
      </c>
      <c r="D46" s="107" t="s">
        <v>3908</v>
      </c>
      <c r="E46" s="136" t="s">
        <v>99</v>
      </c>
      <c r="F46" s="106" t="s">
        <v>3909</v>
      </c>
      <c r="G46" s="137" t="n">
        <v>45947</v>
      </c>
      <c r="H46" s="106" t="s">
        <v>500</v>
      </c>
      <c r="I46" s="138" t="str">
        <f aca="false">IFERROR(VLOOKUP(TEXT(H46,"0"),IPRESS!$A$3:$B$212,2,0),"")</f>
        <v>LAMUD</v>
      </c>
      <c r="J46" s="106" t="s">
        <v>755</v>
      </c>
      <c r="K46" s="138" t="str">
        <f aca="false">IFERROR(VLOOKUP(TEXT(O46,"0"),CONDUCTORES!$A$3:$G$100,7,0),"")</f>
        <v/>
      </c>
      <c r="L46" s="50" t="n">
        <v>18.18</v>
      </c>
      <c r="M46" s="50" t="n">
        <v>4</v>
      </c>
      <c r="N46" s="139" t="n">
        <f aca="false">IFERROR(IF(L46*M46=0,"",L46*M46),"")</f>
        <v>72.72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37" t="n">
        <v>45987</v>
      </c>
      <c r="S46" s="107" t="s">
        <v>3910</v>
      </c>
      <c r="T46" s="136"/>
      <c r="U46" s="140"/>
      <c r="V46" s="106" t="s">
        <v>2349</v>
      </c>
      <c r="W46" s="106" t="s">
        <v>2350</v>
      </c>
      <c r="X46" s="106" t="s">
        <v>2351</v>
      </c>
      <c r="Y46" s="85"/>
    </row>
    <row r="47" customFormat="false" ht="15.75" hidden="false" customHeight="true" outlineLevel="0" collapsed="false">
      <c r="A47" s="46" t="n">
        <v>42</v>
      </c>
      <c r="B47" s="110" t="s">
        <v>1380</v>
      </c>
      <c r="C47" s="46" t="s">
        <v>752</v>
      </c>
      <c r="D47" s="110" t="s">
        <v>3911</v>
      </c>
      <c r="E47" s="46" t="s">
        <v>99</v>
      </c>
      <c r="F47" s="46" t="s">
        <v>3912</v>
      </c>
      <c r="G47" s="142" t="n">
        <v>45948</v>
      </c>
      <c r="H47" s="46" t="s">
        <v>500</v>
      </c>
      <c r="I47" s="138" t="str">
        <f aca="false">IFERROR(VLOOKUP(TEXT(H47,"0"),IPRESS!$A$3:$B$212,2,0),"")</f>
        <v>LAMUD</v>
      </c>
      <c r="J47" s="46" t="s">
        <v>755</v>
      </c>
      <c r="K47" s="138" t="str">
        <f aca="false">IFERROR(VLOOKUP(TEXT(O47,"0"),CONDUCTORES!$A$3:$G$100,7,0),"")</f>
        <v/>
      </c>
      <c r="L47" s="44" t="n">
        <v>18.18</v>
      </c>
      <c r="M47" s="44" t="n">
        <v>4</v>
      </c>
      <c r="N47" s="139" t="n">
        <f aca="false">IFERROR(IF(L47*M47=0,"",L47*M47),"")</f>
        <v>72.72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142" t="n">
        <v>45987</v>
      </c>
      <c r="S47" s="110" t="s">
        <v>1402</v>
      </c>
      <c r="T47" s="46"/>
      <c r="U47" s="85"/>
      <c r="V47" s="46" t="s">
        <v>2349</v>
      </c>
      <c r="W47" s="46" t="s">
        <v>2350</v>
      </c>
      <c r="X47" s="46" t="s">
        <v>2351</v>
      </c>
      <c r="Y47" s="85"/>
    </row>
    <row r="48" customFormat="false" ht="15.75" hidden="false" customHeight="true" outlineLevel="0" collapsed="false">
      <c r="A48" s="106" t="n">
        <v>43</v>
      </c>
      <c r="B48" s="107" t="s">
        <v>2487</v>
      </c>
      <c r="C48" s="106" t="s">
        <v>752</v>
      </c>
      <c r="D48" s="107" t="s">
        <v>3913</v>
      </c>
      <c r="E48" s="136" t="s">
        <v>99</v>
      </c>
      <c r="F48" s="106" t="s">
        <v>3914</v>
      </c>
      <c r="G48" s="137" t="n">
        <v>45954</v>
      </c>
      <c r="H48" s="106" t="s">
        <v>500</v>
      </c>
      <c r="I48" s="138" t="str">
        <f aca="false">IFERROR(VLOOKUP(TEXT(H48,"0"),IPRESS!$A$3:$B$212,2,0),"")</f>
        <v>LAMUD</v>
      </c>
      <c r="J48" s="106" t="s">
        <v>755</v>
      </c>
      <c r="K48" s="138" t="str">
        <f aca="false">IFERROR(VLOOKUP(TEXT(O48,"0"),CONDUCTORES!$A$3:$G$100,7,0),"")</f>
        <v/>
      </c>
      <c r="L48" s="50" t="n">
        <v>18.18</v>
      </c>
      <c r="M48" s="50" t="n">
        <v>4</v>
      </c>
      <c r="N48" s="139" t="n">
        <f aca="false">IFERROR(IF(L48*M48=0,"",L48*M48),"")</f>
        <v>72.72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37" t="n">
        <v>45987</v>
      </c>
      <c r="S48" s="107" t="s">
        <v>3915</v>
      </c>
      <c r="T48" s="136"/>
      <c r="U48" s="140"/>
      <c r="V48" s="106" t="s">
        <v>2349</v>
      </c>
      <c r="W48" s="106" t="s">
        <v>2350</v>
      </c>
      <c r="X48" s="106" t="s">
        <v>2351</v>
      </c>
      <c r="Y48" s="85"/>
    </row>
    <row r="49" customFormat="false" ht="15.75" hidden="false" customHeight="true" outlineLevel="0" collapsed="false">
      <c r="A49" s="46" t="n">
        <v>44</v>
      </c>
      <c r="B49" s="110" t="s">
        <v>2490</v>
      </c>
      <c r="C49" s="46" t="s">
        <v>752</v>
      </c>
      <c r="D49" s="110" t="s">
        <v>3916</v>
      </c>
      <c r="E49" s="46" t="s">
        <v>99</v>
      </c>
      <c r="F49" s="46" t="s">
        <v>3917</v>
      </c>
      <c r="G49" s="142" t="n">
        <v>45958</v>
      </c>
      <c r="H49" s="46" t="s">
        <v>500</v>
      </c>
      <c r="I49" s="138" t="str">
        <f aca="false">IFERROR(VLOOKUP(TEXT(H49,"0"),IPRESS!$A$3:$B$212,2,0),"")</f>
        <v>LAMUD</v>
      </c>
      <c r="J49" s="46" t="s">
        <v>755</v>
      </c>
      <c r="K49" s="138" t="str">
        <f aca="false">IFERROR(VLOOKUP(TEXT(O49,"0"),CONDUCTORES!$A$3:$G$100,7,0),"")</f>
        <v/>
      </c>
      <c r="L49" s="44" t="n">
        <v>18.18</v>
      </c>
      <c r="M49" s="44" t="n">
        <v>4</v>
      </c>
      <c r="N49" s="139" t="n">
        <f aca="false">IFERROR(IF(L49*M49=0,"",L49*M49),"")</f>
        <v>72.72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142" t="n">
        <v>45987</v>
      </c>
      <c r="S49" s="110" t="s">
        <v>3918</v>
      </c>
      <c r="T49" s="46"/>
      <c r="U49" s="85"/>
      <c r="V49" s="46" t="s">
        <v>2349</v>
      </c>
      <c r="W49" s="46" t="s">
        <v>2350</v>
      </c>
      <c r="X49" s="46" t="s">
        <v>2351</v>
      </c>
      <c r="Y49" s="85"/>
    </row>
    <row r="50" customFormat="false" ht="15.75" hidden="false" customHeight="true" outlineLevel="0" collapsed="false">
      <c r="A50" s="106" t="n">
        <v>45</v>
      </c>
      <c r="B50" s="107" t="s">
        <v>1342</v>
      </c>
      <c r="C50" s="106" t="s">
        <v>752</v>
      </c>
      <c r="D50" s="107" t="s">
        <v>2979</v>
      </c>
      <c r="E50" s="136" t="s">
        <v>99</v>
      </c>
      <c r="F50" s="106" t="s">
        <v>2980</v>
      </c>
      <c r="G50" s="137" t="n">
        <v>45944</v>
      </c>
      <c r="H50" s="106" t="s">
        <v>507</v>
      </c>
      <c r="I50" s="138" t="str">
        <f aca="false">IFERROR(VLOOKUP(TEXT(H50,"0"),IPRESS!$A$3:$B$212,2,0),"")</f>
        <v>LEYMEBAMBA</v>
      </c>
      <c r="J50" s="106" t="s">
        <v>755</v>
      </c>
      <c r="K50" s="138" t="str">
        <f aca="false">IFERROR(VLOOKUP(TEXT(O50,"0"),CONDUCTORES!$A$3:$G$100,7,0),"")</f>
        <v/>
      </c>
      <c r="L50" s="50" t="n">
        <v>18.18</v>
      </c>
      <c r="M50" s="50" t="n">
        <v>7.5</v>
      </c>
      <c r="N50" s="139" t="n">
        <f aca="false">IFERROR(IF(L50*M50=0,"",L50*M50),"")</f>
        <v>136.35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40"/>
      <c r="S50" s="107" t="s">
        <v>3919</v>
      </c>
      <c r="T50" s="136"/>
      <c r="U50" s="140"/>
      <c r="V50" s="106"/>
      <c r="W50" s="106"/>
      <c r="X50" s="106"/>
      <c r="Y50" s="85"/>
    </row>
    <row r="51" customFormat="false" ht="15.75" hidden="false" customHeight="true" outlineLevel="0" collapsed="false">
      <c r="A51" s="46" t="n">
        <v>46</v>
      </c>
      <c r="B51" s="110" t="s">
        <v>1346</v>
      </c>
      <c r="C51" s="46" t="s">
        <v>752</v>
      </c>
      <c r="D51" s="110" t="s">
        <v>3920</v>
      </c>
      <c r="E51" s="46" t="s">
        <v>99</v>
      </c>
      <c r="F51" s="46" t="s">
        <v>3921</v>
      </c>
      <c r="G51" s="142" t="n">
        <v>45955</v>
      </c>
      <c r="H51" s="46" t="s">
        <v>507</v>
      </c>
      <c r="I51" s="138" t="str">
        <f aca="false">IFERROR(VLOOKUP(TEXT(H51,"0"),IPRESS!$A$3:$B$212,2,0),"")</f>
        <v>LEYMEBAMBA</v>
      </c>
      <c r="J51" s="46" t="s">
        <v>755</v>
      </c>
      <c r="K51" s="138" t="str">
        <f aca="false">IFERROR(VLOOKUP(TEXT(O51,"0"),CONDUCTORES!$A$3:$G$100,7,0),"")</f>
        <v/>
      </c>
      <c r="L51" s="44" t="n">
        <v>18.18</v>
      </c>
      <c r="M51" s="44" t="n">
        <v>7.5</v>
      </c>
      <c r="N51" s="139" t="n">
        <f aca="false">IFERROR(IF(L51*M51=0,"",L51*M51),"")</f>
        <v>136.35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85"/>
      <c r="S51" s="110" t="s">
        <v>1292</v>
      </c>
      <c r="T51" s="46"/>
      <c r="U51" s="85"/>
      <c r="V51" s="46"/>
      <c r="W51" s="46"/>
      <c r="X51" s="46"/>
      <c r="Y51" s="85"/>
    </row>
    <row r="52" customFormat="false" ht="15.75" hidden="false" customHeight="true" outlineLevel="0" collapsed="false">
      <c r="A52" s="106" t="n">
        <v>47</v>
      </c>
      <c r="B52" s="107" t="s">
        <v>3398</v>
      </c>
      <c r="C52" s="106" t="s">
        <v>752</v>
      </c>
      <c r="D52" s="107" t="s">
        <v>3922</v>
      </c>
      <c r="E52" s="136" t="s">
        <v>99</v>
      </c>
      <c r="F52" s="106" t="s">
        <v>3923</v>
      </c>
      <c r="G52" s="137" t="n">
        <v>45931</v>
      </c>
      <c r="H52" s="106" t="s">
        <v>517</v>
      </c>
      <c r="I52" s="138" t="str">
        <f aca="false">IFERROR(VLOOKUP(TEXT(H52,"0"),IPRESS!$A$3:$B$212,2,0),"")</f>
        <v>LUYA</v>
      </c>
      <c r="J52" s="106" t="s">
        <v>755</v>
      </c>
      <c r="K52" s="138" t="str">
        <f aca="false">IFERROR(VLOOKUP(TEXT(O52,"0"),CONDUCTORES!$A$3:$G$100,7,0),"")</f>
        <v/>
      </c>
      <c r="L52" s="50" t="n">
        <v>18.18</v>
      </c>
      <c r="M52" s="50" t="n">
        <v>4</v>
      </c>
      <c r="N52" s="139" t="n">
        <f aca="false">IFERROR(IF(L52*M52=0,"",L52*M52),"")</f>
        <v>72.72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37" t="n">
        <v>45967</v>
      </c>
      <c r="S52" s="107" t="s">
        <v>3924</v>
      </c>
      <c r="T52" s="136"/>
      <c r="U52" s="140"/>
      <c r="V52" s="106"/>
      <c r="W52" s="106"/>
      <c r="X52" s="106"/>
      <c r="Y52" s="85"/>
    </row>
    <row r="53" customFormat="false" ht="15.75" hidden="false" customHeight="true" outlineLevel="0" collapsed="false">
      <c r="A53" s="46" t="n">
        <v>48</v>
      </c>
      <c r="B53" s="110" t="s">
        <v>1429</v>
      </c>
      <c r="C53" s="46" t="s">
        <v>752</v>
      </c>
      <c r="D53" s="110" t="s">
        <v>3925</v>
      </c>
      <c r="E53" s="46" t="s">
        <v>99</v>
      </c>
      <c r="F53" s="46" t="s">
        <v>3926</v>
      </c>
      <c r="G53" s="142" t="n">
        <v>45933</v>
      </c>
      <c r="H53" s="46" t="s">
        <v>517</v>
      </c>
      <c r="I53" s="138" t="str">
        <f aca="false">IFERROR(VLOOKUP(TEXT(H53,"0"),IPRESS!$A$3:$B$212,2,0),"")</f>
        <v>LUYA</v>
      </c>
      <c r="J53" s="46" t="s">
        <v>755</v>
      </c>
      <c r="K53" s="138" t="str">
        <f aca="false">IFERROR(VLOOKUP(TEXT(O53,"0"),CONDUCTORES!$A$3:$G$100,7,0),"")</f>
        <v/>
      </c>
      <c r="L53" s="44" t="n">
        <v>18.18</v>
      </c>
      <c r="M53" s="44" t="n">
        <v>4</v>
      </c>
      <c r="N53" s="139" t="n">
        <f aca="false">IFERROR(IF(L53*M53=0,"",L53*M53),"")</f>
        <v>72.72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142" t="n">
        <v>45967</v>
      </c>
      <c r="S53" s="110" t="s">
        <v>3927</v>
      </c>
      <c r="T53" s="46"/>
      <c r="U53" s="85"/>
      <c r="V53" s="46"/>
      <c r="W53" s="46"/>
      <c r="X53" s="46"/>
      <c r="Y53" s="85"/>
    </row>
    <row r="54" customFormat="false" ht="15.75" hidden="false" customHeight="true" outlineLevel="0" collapsed="false">
      <c r="A54" s="106" t="n">
        <v>49</v>
      </c>
      <c r="B54" s="107" t="s">
        <v>3404</v>
      </c>
      <c r="C54" s="106" t="s">
        <v>752</v>
      </c>
      <c r="D54" s="107" t="s">
        <v>3928</v>
      </c>
      <c r="E54" s="136" t="s">
        <v>99</v>
      </c>
      <c r="F54" s="106" t="s">
        <v>3929</v>
      </c>
      <c r="G54" s="137" t="n">
        <v>45935</v>
      </c>
      <c r="H54" s="106" t="s">
        <v>517</v>
      </c>
      <c r="I54" s="138" t="str">
        <f aca="false">IFERROR(VLOOKUP(TEXT(H54,"0"),IPRESS!$A$3:$B$212,2,0),"")</f>
        <v>LUYA</v>
      </c>
      <c r="J54" s="106" t="s">
        <v>755</v>
      </c>
      <c r="K54" s="138" t="str">
        <f aca="false">IFERROR(VLOOKUP(TEXT(O54,"0"),CONDUCTORES!$A$3:$G$100,7,0),"")</f>
        <v/>
      </c>
      <c r="L54" s="50" t="n">
        <v>18.18</v>
      </c>
      <c r="M54" s="50" t="n">
        <v>4</v>
      </c>
      <c r="N54" s="139" t="n">
        <f aca="false">IFERROR(IF(L54*M54=0,"",L54*M54),"")</f>
        <v>72.72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37" t="n">
        <v>45967</v>
      </c>
      <c r="S54" s="107" t="s">
        <v>2889</v>
      </c>
      <c r="T54" s="136"/>
      <c r="U54" s="140"/>
      <c r="V54" s="106"/>
      <c r="W54" s="106"/>
      <c r="X54" s="106"/>
      <c r="Y54" s="85"/>
    </row>
    <row r="55" customFormat="false" ht="15.75" hidden="false" customHeight="true" outlineLevel="0" collapsed="false">
      <c r="A55" s="46" t="n">
        <v>50</v>
      </c>
      <c r="B55" s="110" t="s">
        <v>3407</v>
      </c>
      <c r="C55" s="46" t="s">
        <v>752</v>
      </c>
      <c r="D55" s="110" t="s">
        <v>3930</v>
      </c>
      <c r="E55" s="46" t="s">
        <v>99</v>
      </c>
      <c r="F55" s="46" t="s">
        <v>3931</v>
      </c>
      <c r="G55" s="142" t="n">
        <v>45940</v>
      </c>
      <c r="H55" s="46" t="s">
        <v>517</v>
      </c>
      <c r="I55" s="138" t="str">
        <f aca="false">IFERROR(VLOOKUP(TEXT(H55,"0"),IPRESS!$A$3:$B$212,2,0),"")</f>
        <v>LUYA</v>
      </c>
      <c r="J55" s="46" t="s">
        <v>755</v>
      </c>
      <c r="K55" s="138" t="str">
        <f aca="false">IFERROR(VLOOKUP(TEXT(O55,"0"),CONDUCTORES!$A$3:$G$100,7,0),"")</f>
        <v/>
      </c>
      <c r="L55" s="44" t="n">
        <v>18.18</v>
      </c>
      <c r="M55" s="44" t="n">
        <v>4</v>
      </c>
      <c r="N55" s="139" t="n">
        <f aca="false">IFERROR(IF(L55*M55=0,"",L55*M55),"")</f>
        <v>72.72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142" t="n">
        <v>45967</v>
      </c>
      <c r="S55" s="110" t="s">
        <v>3932</v>
      </c>
      <c r="T55" s="46"/>
      <c r="U55" s="85"/>
      <c r="V55" s="46"/>
      <c r="W55" s="46"/>
      <c r="X55" s="46"/>
      <c r="Y55" s="85"/>
    </row>
    <row r="56" customFormat="false" ht="15.75" hidden="false" customHeight="true" outlineLevel="0" collapsed="false">
      <c r="A56" s="106" t="n">
        <v>51</v>
      </c>
      <c r="B56" s="107" t="s">
        <v>3411</v>
      </c>
      <c r="C56" s="106" t="s">
        <v>752</v>
      </c>
      <c r="D56" s="107" t="s">
        <v>3933</v>
      </c>
      <c r="E56" s="136" t="s">
        <v>99</v>
      </c>
      <c r="F56" s="106" t="s">
        <v>3934</v>
      </c>
      <c r="G56" s="137" t="n">
        <v>45941</v>
      </c>
      <c r="H56" s="106" t="s">
        <v>517</v>
      </c>
      <c r="I56" s="138" t="str">
        <f aca="false">IFERROR(VLOOKUP(TEXT(H56,"0"),IPRESS!$A$3:$B$212,2,0),"")</f>
        <v>LUYA</v>
      </c>
      <c r="J56" s="106" t="s">
        <v>755</v>
      </c>
      <c r="K56" s="138" t="str">
        <f aca="false">IFERROR(VLOOKUP(TEXT(O56,"0"),CONDUCTORES!$A$3:$G$100,7,0),"")</f>
        <v/>
      </c>
      <c r="L56" s="50" t="n">
        <v>18.18</v>
      </c>
      <c r="M56" s="50" t="n">
        <v>4</v>
      </c>
      <c r="N56" s="139" t="n">
        <f aca="false">IFERROR(IF(L56*M56=0,"",L56*M56),"")</f>
        <v>72.72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37" t="n">
        <v>45967</v>
      </c>
      <c r="S56" s="107" t="s">
        <v>2889</v>
      </c>
      <c r="T56" s="136"/>
      <c r="U56" s="140"/>
      <c r="V56" s="106"/>
      <c r="W56" s="106"/>
      <c r="X56" s="106"/>
      <c r="Y56" s="85"/>
    </row>
    <row r="57" customFormat="false" ht="15.75" hidden="false" customHeight="true" outlineLevel="0" collapsed="false">
      <c r="A57" s="46" t="n">
        <v>52</v>
      </c>
      <c r="B57" s="110" t="s">
        <v>3415</v>
      </c>
      <c r="C57" s="46" t="s">
        <v>752</v>
      </c>
      <c r="D57" s="110" t="s">
        <v>3935</v>
      </c>
      <c r="E57" s="46" t="s">
        <v>99</v>
      </c>
      <c r="F57" s="46" t="s">
        <v>3936</v>
      </c>
      <c r="G57" s="142" t="n">
        <v>45945</v>
      </c>
      <c r="H57" s="46" t="s">
        <v>517</v>
      </c>
      <c r="I57" s="138" t="str">
        <f aca="false">IFERROR(VLOOKUP(TEXT(H57,"0"),IPRESS!$A$3:$B$212,2,0),"")</f>
        <v>LUYA</v>
      </c>
      <c r="J57" s="46" t="s">
        <v>755</v>
      </c>
      <c r="K57" s="138" t="str">
        <f aca="false">IFERROR(VLOOKUP(TEXT(O57,"0"),CONDUCTORES!$A$3:$G$100,7,0),"")</f>
        <v/>
      </c>
      <c r="L57" s="44" t="n">
        <v>18.18</v>
      </c>
      <c r="M57" s="44" t="n">
        <v>4</v>
      </c>
      <c r="N57" s="139" t="n">
        <f aca="false">IFERROR(IF(L57*M57=0,"",L57*M57),"")</f>
        <v>72.72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142" t="n">
        <v>45967</v>
      </c>
      <c r="S57" s="110" t="s">
        <v>3937</v>
      </c>
      <c r="T57" s="46"/>
      <c r="U57" s="85"/>
      <c r="V57" s="46"/>
      <c r="W57" s="46"/>
      <c r="X57" s="46"/>
      <c r="Y57" s="85"/>
    </row>
    <row r="58" customFormat="false" ht="15.75" hidden="false" customHeight="true" outlineLevel="0" collapsed="false">
      <c r="A58" s="106" t="n">
        <v>53</v>
      </c>
      <c r="B58" s="107" t="s">
        <v>1749</v>
      </c>
      <c r="C58" s="106" t="s">
        <v>752</v>
      </c>
      <c r="D58" s="107" t="s">
        <v>3938</v>
      </c>
      <c r="E58" s="136" t="s">
        <v>99</v>
      </c>
      <c r="F58" s="106" t="s">
        <v>3939</v>
      </c>
      <c r="G58" s="137" t="n">
        <v>45945</v>
      </c>
      <c r="H58" s="106" t="s">
        <v>517</v>
      </c>
      <c r="I58" s="138" t="str">
        <f aca="false">IFERROR(VLOOKUP(TEXT(H58,"0"),IPRESS!$A$3:$B$212,2,0),"")</f>
        <v>LUYA</v>
      </c>
      <c r="J58" s="106" t="s">
        <v>755</v>
      </c>
      <c r="K58" s="138" t="str">
        <f aca="false">IFERROR(VLOOKUP(TEXT(O58,"0"),CONDUCTORES!$A$3:$G$100,7,0),"")</f>
        <v/>
      </c>
      <c r="L58" s="50" t="n">
        <v>18.18</v>
      </c>
      <c r="M58" s="50" t="n">
        <v>4</v>
      </c>
      <c r="N58" s="139" t="n">
        <f aca="false">IFERROR(IF(L58*M58=0,"",L58*M58),"")</f>
        <v>72.72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37" t="n">
        <v>45988</v>
      </c>
      <c r="S58" s="107" t="s">
        <v>3940</v>
      </c>
      <c r="T58" s="136"/>
      <c r="U58" s="140"/>
      <c r="V58" s="106" t="s">
        <v>3941</v>
      </c>
      <c r="W58" s="106" t="s">
        <v>2648</v>
      </c>
      <c r="X58" s="106" t="s">
        <v>2351</v>
      </c>
      <c r="Y58" s="85"/>
    </row>
    <row r="59" customFormat="false" ht="15.75" hidden="false" customHeight="true" outlineLevel="0" collapsed="false">
      <c r="A59" s="46" t="n">
        <v>54</v>
      </c>
      <c r="B59" s="110" t="s">
        <v>1753</v>
      </c>
      <c r="C59" s="46" t="s">
        <v>752</v>
      </c>
      <c r="D59" s="110" t="s">
        <v>3942</v>
      </c>
      <c r="E59" s="46" t="s">
        <v>99</v>
      </c>
      <c r="F59" s="46" t="s">
        <v>3943</v>
      </c>
      <c r="G59" s="142" t="n">
        <v>45948</v>
      </c>
      <c r="H59" s="46" t="s">
        <v>517</v>
      </c>
      <c r="I59" s="138" t="str">
        <f aca="false">IFERROR(VLOOKUP(TEXT(H59,"0"),IPRESS!$A$3:$B$212,2,0),"")</f>
        <v>LUYA</v>
      </c>
      <c r="J59" s="46" t="s">
        <v>755</v>
      </c>
      <c r="K59" s="138" t="str">
        <f aca="false">IFERROR(VLOOKUP(TEXT(O59,"0"),CONDUCTORES!$A$3:$G$100,7,0),"")</f>
        <v/>
      </c>
      <c r="L59" s="44" t="n">
        <v>18.18</v>
      </c>
      <c r="M59" s="44" t="n">
        <v>4</v>
      </c>
      <c r="N59" s="139" t="n">
        <f aca="false">IFERROR(IF(L59*M59=0,"",L59*M59),"")</f>
        <v>72.72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142" t="n">
        <v>45967</v>
      </c>
      <c r="S59" s="110" t="s">
        <v>2975</v>
      </c>
      <c r="T59" s="46"/>
      <c r="U59" s="85"/>
      <c r="V59" s="46"/>
      <c r="W59" s="46"/>
      <c r="X59" s="46"/>
      <c r="Y59" s="85"/>
    </row>
    <row r="60" customFormat="false" ht="15.75" hidden="false" customHeight="true" outlineLevel="0" collapsed="false">
      <c r="A60" s="106" t="n">
        <v>55</v>
      </c>
      <c r="B60" s="107" t="s">
        <v>1932</v>
      </c>
      <c r="C60" s="106" t="s">
        <v>752</v>
      </c>
      <c r="D60" s="107" t="s">
        <v>3944</v>
      </c>
      <c r="E60" s="136" t="s">
        <v>99</v>
      </c>
      <c r="F60" s="106" t="s">
        <v>3945</v>
      </c>
      <c r="G60" s="137" t="n">
        <v>45949</v>
      </c>
      <c r="H60" s="106" t="s">
        <v>517</v>
      </c>
      <c r="I60" s="138" t="str">
        <f aca="false">IFERROR(VLOOKUP(TEXT(H60,"0"),IPRESS!$A$3:$B$212,2,0),"")</f>
        <v>LUYA</v>
      </c>
      <c r="J60" s="106" t="s">
        <v>755</v>
      </c>
      <c r="K60" s="138" t="str">
        <f aca="false">IFERROR(VLOOKUP(TEXT(O60,"0"),CONDUCTORES!$A$3:$G$100,7,0),"")</f>
        <v/>
      </c>
      <c r="L60" s="50" t="n">
        <v>18.18</v>
      </c>
      <c r="M60" s="50" t="n">
        <v>4</v>
      </c>
      <c r="N60" s="139" t="n">
        <f aca="false">IFERROR(IF(L60*M60=0,"",L60*M60),"")</f>
        <v>72.72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37" t="n">
        <v>45967</v>
      </c>
      <c r="S60" s="107" t="s">
        <v>1458</v>
      </c>
      <c r="T60" s="136"/>
      <c r="U60" s="140"/>
      <c r="V60" s="106"/>
      <c r="W60" s="106"/>
      <c r="X60" s="106"/>
      <c r="Y60" s="85"/>
    </row>
    <row r="61" customFormat="false" ht="15.75" hidden="false" customHeight="true" outlineLevel="0" collapsed="false">
      <c r="A61" s="46" t="n">
        <v>56</v>
      </c>
      <c r="B61" s="110" t="s">
        <v>2032</v>
      </c>
      <c r="C61" s="46" t="s">
        <v>752</v>
      </c>
      <c r="D61" s="110" t="s">
        <v>3946</v>
      </c>
      <c r="E61" s="46" t="s">
        <v>99</v>
      </c>
      <c r="F61" s="46" t="s">
        <v>3947</v>
      </c>
      <c r="G61" s="142" t="n">
        <v>45951</v>
      </c>
      <c r="H61" s="46" t="s">
        <v>517</v>
      </c>
      <c r="I61" s="138" t="str">
        <f aca="false">IFERROR(VLOOKUP(TEXT(H61,"0"),IPRESS!$A$3:$B$212,2,0),"")</f>
        <v>LUYA</v>
      </c>
      <c r="J61" s="46" t="s">
        <v>755</v>
      </c>
      <c r="K61" s="138" t="str">
        <f aca="false">IFERROR(VLOOKUP(TEXT(O61,"0"),CONDUCTORES!$A$3:$G$100,7,0),"")</f>
        <v/>
      </c>
      <c r="L61" s="44" t="n">
        <v>18.18</v>
      </c>
      <c r="M61" s="44" t="n">
        <v>4</v>
      </c>
      <c r="N61" s="139" t="n">
        <f aca="false">IFERROR(IF(L61*M61=0,"",L61*M61),"")</f>
        <v>72.72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142" t="n">
        <v>45967</v>
      </c>
      <c r="S61" s="110" t="s">
        <v>3948</v>
      </c>
      <c r="T61" s="46"/>
      <c r="U61" s="85"/>
      <c r="V61" s="46"/>
      <c r="W61" s="46"/>
      <c r="X61" s="46"/>
      <c r="Y61" s="85"/>
    </row>
    <row r="62" customFormat="false" ht="15.75" hidden="false" customHeight="true" outlineLevel="0" collapsed="false">
      <c r="A62" s="106" t="n">
        <v>57</v>
      </c>
      <c r="B62" s="107" t="s">
        <v>1936</v>
      </c>
      <c r="C62" s="106" t="s">
        <v>752</v>
      </c>
      <c r="D62" s="107" t="s">
        <v>3949</v>
      </c>
      <c r="E62" s="136" t="s">
        <v>99</v>
      </c>
      <c r="F62" s="106" t="s">
        <v>3950</v>
      </c>
      <c r="G62" s="137" t="n">
        <v>45956</v>
      </c>
      <c r="H62" s="106" t="s">
        <v>517</v>
      </c>
      <c r="I62" s="138" t="str">
        <f aca="false">IFERROR(VLOOKUP(TEXT(H62,"0"),IPRESS!$A$3:$B$212,2,0),"")</f>
        <v>LUYA</v>
      </c>
      <c r="J62" s="106" t="s">
        <v>755</v>
      </c>
      <c r="K62" s="138" t="str">
        <f aca="false">IFERROR(VLOOKUP(TEXT(O62,"0"),CONDUCTORES!$A$3:$G$100,7,0),"")</f>
        <v/>
      </c>
      <c r="L62" s="50" t="n">
        <v>18.18</v>
      </c>
      <c r="M62" s="50" t="n">
        <v>4</v>
      </c>
      <c r="N62" s="139" t="n">
        <f aca="false">IFERROR(IF(L62*M62=0,"",L62*M62),"")</f>
        <v>72.72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37" t="n">
        <v>45967</v>
      </c>
      <c r="S62" s="107" t="s">
        <v>3951</v>
      </c>
      <c r="T62" s="136"/>
      <c r="U62" s="140"/>
      <c r="V62" s="106"/>
      <c r="W62" s="106"/>
      <c r="X62" s="106"/>
      <c r="Y62" s="85"/>
    </row>
    <row r="63" customFormat="false" ht="15.75" hidden="false" customHeight="true" outlineLevel="0" collapsed="false">
      <c r="A63" s="46" t="n">
        <v>58</v>
      </c>
      <c r="B63" s="110" t="s">
        <v>1940</v>
      </c>
      <c r="C63" s="46" t="s">
        <v>752</v>
      </c>
      <c r="D63" s="110" t="s">
        <v>3952</v>
      </c>
      <c r="E63" s="46" t="s">
        <v>99</v>
      </c>
      <c r="F63" s="46" t="s">
        <v>3953</v>
      </c>
      <c r="G63" s="142" t="n">
        <v>45956</v>
      </c>
      <c r="H63" s="46" t="s">
        <v>517</v>
      </c>
      <c r="I63" s="138" t="str">
        <f aca="false">IFERROR(VLOOKUP(TEXT(H63,"0"),IPRESS!$A$3:$B$212,2,0),"")</f>
        <v>LUYA</v>
      </c>
      <c r="J63" s="46" t="s">
        <v>755</v>
      </c>
      <c r="K63" s="138" t="str">
        <f aca="false">IFERROR(VLOOKUP(TEXT(O63,"0"),CONDUCTORES!$A$3:$G$100,7,0),"")</f>
        <v/>
      </c>
      <c r="L63" s="44" t="n">
        <v>18.18</v>
      </c>
      <c r="M63" s="44" t="n">
        <v>4</v>
      </c>
      <c r="N63" s="139" t="n">
        <f aca="false">IFERROR(IF(L63*M63=0,"",L63*M63),"")</f>
        <v>72.72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142" t="n">
        <v>45967</v>
      </c>
      <c r="S63" s="110" t="s">
        <v>3954</v>
      </c>
      <c r="T63" s="46"/>
      <c r="U63" s="85"/>
      <c r="V63" s="46"/>
      <c r="W63" s="46"/>
      <c r="X63" s="46"/>
      <c r="Y63" s="85"/>
    </row>
    <row r="64" customFormat="false" ht="15.75" hidden="false" customHeight="true" outlineLevel="0" collapsed="false">
      <c r="A64" s="106" t="n">
        <v>59</v>
      </c>
      <c r="B64" s="107" t="s">
        <v>1944</v>
      </c>
      <c r="C64" s="106" t="s">
        <v>752</v>
      </c>
      <c r="D64" s="107" t="s">
        <v>3955</v>
      </c>
      <c r="E64" s="136" t="s">
        <v>99</v>
      </c>
      <c r="F64" s="106" t="s">
        <v>3956</v>
      </c>
      <c r="G64" s="137" t="n">
        <v>45959</v>
      </c>
      <c r="H64" s="106" t="s">
        <v>517</v>
      </c>
      <c r="I64" s="138" t="str">
        <f aca="false">IFERROR(VLOOKUP(TEXT(H64,"0"),IPRESS!$A$3:$B$212,2,0),"")</f>
        <v>LUYA</v>
      </c>
      <c r="J64" s="106" t="s">
        <v>755</v>
      </c>
      <c r="K64" s="138" t="str">
        <f aca="false">IFERROR(VLOOKUP(TEXT(O64,"0"),CONDUCTORES!$A$3:$G$100,7,0),"")</f>
        <v/>
      </c>
      <c r="L64" s="50" t="n">
        <v>18.18</v>
      </c>
      <c r="M64" s="50" t="n">
        <v>4</v>
      </c>
      <c r="N64" s="139" t="n">
        <f aca="false">IFERROR(IF(L64*M64=0,"",L64*M64),"")</f>
        <v>72.72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37" t="n">
        <v>45988</v>
      </c>
      <c r="S64" s="107" t="s">
        <v>3957</v>
      </c>
      <c r="T64" s="136"/>
      <c r="U64" s="140"/>
      <c r="V64" s="106" t="s">
        <v>3941</v>
      </c>
      <c r="W64" s="106" t="s">
        <v>2648</v>
      </c>
      <c r="X64" s="106" t="s">
        <v>2351</v>
      </c>
      <c r="Y64" s="85"/>
    </row>
    <row r="65" customFormat="false" ht="15.75" hidden="false" customHeight="true" outlineLevel="0" collapsed="false">
      <c r="A65" s="46" t="n">
        <v>60</v>
      </c>
      <c r="B65" s="110" t="s">
        <v>866</v>
      </c>
      <c r="C65" s="46" t="s">
        <v>752</v>
      </c>
      <c r="D65" s="110" t="s">
        <v>3866</v>
      </c>
      <c r="E65" s="46" t="s">
        <v>99</v>
      </c>
      <c r="F65" s="46" t="s">
        <v>3867</v>
      </c>
      <c r="G65" s="142" t="n">
        <v>45952</v>
      </c>
      <c r="H65" s="46" t="s">
        <v>572</v>
      </c>
      <c r="I65" s="138" t="str">
        <f aca="false">IFERROR(VLOOKUP(TEXT(H65,"0"),IPRESS!$A$3:$B$212,2,0),"")</f>
        <v>OMIA</v>
      </c>
      <c r="J65" s="46" t="s">
        <v>529</v>
      </c>
      <c r="K65" s="138" t="str">
        <f aca="false">IFERROR(VLOOKUP(TEXT(O65,"0"),CONDUCTORES!$A$3:$G$100,7,0),"")</f>
        <v/>
      </c>
      <c r="L65" s="44" t="n">
        <v>20.25</v>
      </c>
      <c r="M65" s="44" t="n">
        <v>3</v>
      </c>
      <c r="N65" s="139" t="n">
        <f aca="false">IFERROR(IF(L65*M65=0,"",L65*M65),"")</f>
        <v>60.75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142" t="n">
        <v>46010</v>
      </c>
      <c r="S65" s="110" t="s">
        <v>3958</v>
      </c>
      <c r="T65" s="46"/>
      <c r="U65" s="85"/>
      <c r="V65" s="46"/>
      <c r="W65" s="46"/>
      <c r="X65" s="46"/>
      <c r="Y65" s="85"/>
    </row>
    <row r="66" customFormat="false" ht="15.75" hidden="false" customHeight="true" outlineLevel="0" collapsed="false">
      <c r="A66" s="106" t="n">
        <v>61</v>
      </c>
      <c r="B66" s="107" t="s">
        <v>1202</v>
      </c>
      <c r="C66" s="106" t="s">
        <v>752</v>
      </c>
      <c r="D66" s="107" t="s">
        <v>3959</v>
      </c>
      <c r="E66" s="136" t="s">
        <v>99</v>
      </c>
      <c r="F66" s="106" t="s">
        <v>3960</v>
      </c>
      <c r="G66" s="137" t="n">
        <v>45954</v>
      </c>
      <c r="H66" s="106" t="s">
        <v>572</v>
      </c>
      <c r="I66" s="138" t="str">
        <f aca="false">IFERROR(VLOOKUP(TEXT(H66,"0"),IPRESS!$A$3:$B$212,2,0),"")</f>
        <v>OMIA</v>
      </c>
      <c r="J66" s="106" t="s">
        <v>529</v>
      </c>
      <c r="K66" s="138" t="str">
        <f aca="false">IFERROR(VLOOKUP(TEXT(O66,"0"),CONDUCTORES!$A$3:$G$100,7,0),"")</f>
        <v/>
      </c>
      <c r="L66" s="50" t="n">
        <v>20.25</v>
      </c>
      <c r="M66" s="50" t="n">
        <v>3</v>
      </c>
      <c r="N66" s="139" t="n">
        <f aca="false">IFERROR(IF(L66*M66=0,"",L66*M66),"")</f>
        <v>60.75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37" t="n">
        <v>46010</v>
      </c>
      <c r="S66" s="107" t="s">
        <v>3961</v>
      </c>
      <c r="T66" s="136"/>
      <c r="U66" s="140"/>
      <c r="V66" s="106"/>
      <c r="W66" s="106"/>
      <c r="X66" s="106"/>
      <c r="Y66" s="85"/>
    </row>
    <row r="67" customFormat="false" ht="15.75" hidden="false" customHeight="true" outlineLevel="0" collapsed="false">
      <c r="A67" s="46" t="n">
        <v>62</v>
      </c>
      <c r="B67" s="110" t="s">
        <v>1960</v>
      </c>
      <c r="C67" s="46" t="s">
        <v>752</v>
      </c>
      <c r="D67" s="110" t="s">
        <v>3962</v>
      </c>
      <c r="E67" s="46" t="s">
        <v>99</v>
      </c>
      <c r="F67" s="46" t="s">
        <v>3963</v>
      </c>
      <c r="G67" s="142" t="n">
        <v>45934</v>
      </c>
      <c r="H67" s="46" t="s">
        <v>581</v>
      </c>
      <c r="I67" s="138" t="str">
        <f aca="false">IFERROR(VLOOKUP(TEXT(H67,"0"),IPRESS!$A$3:$B$212,2,0),"")</f>
        <v>PEDRO RUIZ GALLO</v>
      </c>
      <c r="J67" s="46" t="s">
        <v>755</v>
      </c>
      <c r="K67" s="138" t="str">
        <f aca="false">IFERROR(VLOOKUP(TEXT(O67,"0"),CONDUCTORES!$A$3:$G$100,7,0),"")</f>
        <v/>
      </c>
      <c r="L67" s="44" t="n">
        <v>18.18</v>
      </c>
      <c r="M67" s="44" t="n">
        <v>5</v>
      </c>
      <c r="N67" s="139" t="n">
        <f aca="false">IFERROR(IF(L67*M67=0,"",L67*M67),"")</f>
        <v>90.9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142" t="n">
        <v>45967</v>
      </c>
      <c r="S67" s="110" t="s">
        <v>3964</v>
      </c>
      <c r="T67" s="46"/>
      <c r="U67" s="85"/>
      <c r="V67" s="46"/>
      <c r="W67" s="46"/>
      <c r="X67" s="46"/>
      <c r="Y67" s="85"/>
    </row>
    <row r="68" customFormat="false" ht="15.75" hidden="false" customHeight="true" outlineLevel="0" collapsed="false">
      <c r="A68" s="106" t="n">
        <v>63</v>
      </c>
      <c r="B68" s="107" t="s">
        <v>1963</v>
      </c>
      <c r="C68" s="106" t="s">
        <v>752</v>
      </c>
      <c r="D68" s="107" t="s">
        <v>3965</v>
      </c>
      <c r="E68" s="136" t="s">
        <v>99</v>
      </c>
      <c r="F68" s="106" t="s">
        <v>3966</v>
      </c>
      <c r="G68" s="137" t="n">
        <v>45934</v>
      </c>
      <c r="H68" s="106" t="s">
        <v>581</v>
      </c>
      <c r="I68" s="138" t="str">
        <f aca="false">IFERROR(VLOOKUP(TEXT(H68,"0"),IPRESS!$A$3:$B$212,2,0),"")</f>
        <v>PEDRO RUIZ GALLO</v>
      </c>
      <c r="J68" s="106" t="s">
        <v>755</v>
      </c>
      <c r="K68" s="138" t="str">
        <f aca="false">IFERROR(VLOOKUP(TEXT(O68,"0"),CONDUCTORES!$A$3:$G$100,7,0),"")</f>
        <v/>
      </c>
      <c r="L68" s="50" t="n">
        <v>18.18</v>
      </c>
      <c r="M68" s="50" t="n">
        <v>5</v>
      </c>
      <c r="N68" s="139" t="n">
        <f aca="false">IFERROR(IF(L68*M68=0,"",L68*M68),"")</f>
        <v>90.9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37" t="n">
        <v>45967</v>
      </c>
      <c r="S68" s="107" t="s">
        <v>917</v>
      </c>
      <c r="T68" s="136"/>
      <c r="U68" s="140"/>
      <c r="V68" s="106"/>
      <c r="W68" s="106"/>
      <c r="X68" s="106"/>
      <c r="Y68" s="85"/>
    </row>
    <row r="69" customFormat="false" ht="15.75" hidden="false" customHeight="true" outlineLevel="0" collapsed="false">
      <c r="A69" s="143" t="n">
        <v>64</v>
      </c>
      <c r="B69" s="144" t="s">
        <v>1966</v>
      </c>
      <c r="C69" s="143" t="s">
        <v>752</v>
      </c>
      <c r="D69" s="144" t="s">
        <v>3711</v>
      </c>
      <c r="E69" s="143" t="s">
        <v>99</v>
      </c>
      <c r="F69" s="143" t="s">
        <v>3967</v>
      </c>
      <c r="G69" s="145" t="n">
        <v>45937</v>
      </c>
      <c r="H69" s="143" t="s">
        <v>581</v>
      </c>
      <c r="I69" s="138" t="str">
        <f aca="false">IFERROR(VLOOKUP(TEXT(H69,"0"),IPRESS!$A$3:$B$212,2,0),"")</f>
        <v>PEDRO RUIZ GALLO</v>
      </c>
      <c r="J69" s="143" t="s">
        <v>755</v>
      </c>
      <c r="K69" s="138" t="str">
        <f aca="false">IFERROR(VLOOKUP(TEXT(O69,"0"),CONDUCTORES!$A$3:$G$100,7,0),"")</f>
        <v/>
      </c>
      <c r="L69" s="146" t="n">
        <v>17.95</v>
      </c>
      <c r="M69" s="146" t="n">
        <v>6</v>
      </c>
      <c r="N69" s="139" t="n">
        <f aca="false">IFERROR(IF(L69*M69=0,"",L69*M69),"")</f>
        <v>107.7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145" t="n">
        <v>45967</v>
      </c>
      <c r="S69" s="144" t="s">
        <v>3968</v>
      </c>
      <c r="T69" s="143"/>
      <c r="U69" s="147"/>
      <c r="V69" s="143"/>
      <c r="W69" s="143"/>
      <c r="X69" s="143"/>
      <c r="Y69" s="85"/>
    </row>
    <row r="70" customFormat="false" ht="15.75" hidden="false" customHeight="true" outlineLevel="0" collapsed="false">
      <c r="A70" s="106" t="n">
        <v>65</v>
      </c>
      <c r="B70" s="107" t="s">
        <v>1970</v>
      </c>
      <c r="C70" s="106" t="s">
        <v>752</v>
      </c>
      <c r="D70" s="107" t="s">
        <v>3969</v>
      </c>
      <c r="E70" s="136" t="s">
        <v>99</v>
      </c>
      <c r="F70" s="106" t="s">
        <v>3970</v>
      </c>
      <c r="G70" s="137" t="n">
        <v>45937</v>
      </c>
      <c r="H70" s="106" t="s">
        <v>581</v>
      </c>
      <c r="I70" s="138" t="str">
        <f aca="false">IFERROR(VLOOKUP(TEXT(H70,"0"),IPRESS!$A$3:$B$212,2,0),"")</f>
        <v>PEDRO RUIZ GALLO</v>
      </c>
      <c r="J70" s="106" t="s">
        <v>755</v>
      </c>
      <c r="K70" s="138" t="str">
        <f aca="false">IFERROR(VLOOKUP(TEXT(O70,"0"),CONDUCTORES!$A$3:$G$100,7,0),"")</f>
        <v/>
      </c>
      <c r="L70" s="50" t="n">
        <v>18.18</v>
      </c>
      <c r="M70" s="50" t="n">
        <v>5</v>
      </c>
      <c r="N70" s="139" t="n">
        <f aca="false">IFERROR(IF(L70*M70=0,"",L70*M70),"")</f>
        <v>90.9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37" t="n">
        <v>45989</v>
      </c>
      <c r="S70" s="107" t="s">
        <v>1748</v>
      </c>
      <c r="T70" s="136"/>
      <c r="U70" s="140"/>
      <c r="V70" s="106" t="s">
        <v>3971</v>
      </c>
      <c r="W70" s="106" t="s">
        <v>2554</v>
      </c>
      <c r="X70" s="106" t="s">
        <v>2351</v>
      </c>
      <c r="Y70" s="85"/>
    </row>
    <row r="71" customFormat="false" ht="15.75" hidden="false" customHeight="true" outlineLevel="0" collapsed="false">
      <c r="A71" s="143" t="n">
        <v>66</v>
      </c>
      <c r="B71" s="144" t="s">
        <v>1974</v>
      </c>
      <c r="C71" s="143" t="s">
        <v>752</v>
      </c>
      <c r="D71" s="144" t="s">
        <v>3972</v>
      </c>
      <c r="E71" s="143" t="s">
        <v>99</v>
      </c>
      <c r="F71" s="143" t="s">
        <v>3973</v>
      </c>
      <c r="G71" s="145" t="n">
        <v>45945</v>
      </c>
      <c r="H71" s="143" t="s">
        <v>581</v>
      </c>
      <c r="I71" s="138" t="str">
        <f aca="false">IFERROR(VLOOKUP(TEXT(H71,"0"),IPRESS!$A$3:$B$212,2,0),"")</f>
        <v>PEDRO RUIZ GALLO</v>
      </c>
      <c r="J71" s="143" t="s">
        <v>755</v>
      </c>
      <c r="K71" s="138" t="str">
        <f aca="false">IFERROR(VLOOKUP(TEXT(O71,"0"),CONDUCTORES!$A$3:$G$100,7,0),"")</f>
        <v/>
      </c>
      <c r="L71" s="146" t="n">
        <v>17.95</v>
      </c>
      <c r="M71" s="146" t="n">
        <v>6</v>
      </c>
      <c r="N71" s="139" t="n">
        <f aca="false">IFERROR(IF(L71*M71=0,"",L71*M71),"")</f>
        <v>107.7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145" t="n">
        <v>45967</v>
      </c>
      <c r="S71" s="144" t="s">
        <v>3974</v>
      </c>
      <c r="T71" s="143"/>
      <c r="U71" s="147"/>
      <c r="V71" s="143"/>
      <c r="W71" s="143"/>
      <c r="X71" s="143"/>
      <c r="Y71" s="85"/>
    </row>
    <row r="72" customFormat="false" ht="15.75" hidden="false" customHeight="true" outlineLevel="0" collapsed="false">
      <c r="A72" s="106" t="n">
        <v>67</v>
      </c>
      <c r="B72" s="107" t="s">
        <v>1978</v>
      </c>
      <c r="C72" s="106" t="s">
        <v>752</v>
      </c>
      <c r="D72" s="107" t="s">
        <v>3975</v>
      </c>
      <c r="E72" s="136" t="s">
        <v>99</v>
      </c>
      <c r="F72" s="106" t="s">
        <v>3976</v>
      </c>
      <c r="G72" s="137" t="n">
        <v>45951</v>
      </c>
      <c r="H72" s="106" t="s">
        <v>581</v>
      </c>
      <c r="I72" s="138" t="str">
        <f aca="false">IFERROR(VLOOKUP(TEXT(H72,"0"),IPRESS!$A$3:$B$212,2,0),"")</f>
        <v>PEDRO RUIZ GALLO</v>
      </c>
      <c r="J72" s="106" t="s">
        <v>755</v>
      </c>
      <c r="K72" s="138" t="str">
        <f aca="false">IFERROR(VLOOKUP(TEXT(O72,"0"),CONDUCTORES!$A$3:$G$100,7,0),"")</f>
        <v/>
      </c>
      <c r="L72" s="50" t="n">
        <v>18.18</v>
      </c>
      <c r="M72" s="50" t="n">
        <v>5</v>
      </c>
      <c r="N72" s="139" t="n">
        <f aca="false">IFERROR(IF(L72*M72=0,"",L72*M72),"")</f>
        <v>90.9</v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37" t="n">
        <v>45967</v>
      </c>
      <c r="S72" s="107" t="s">
        <v>3977</v>
      </c>
      <c r="T72" s="136"/>
      <c r="U72" s="140"/>
      <c r="V72" s="106"/>
      <c r="W72" s="106"/>
      <c r="X72" s="106"/>
      <c r="Y72" s="85"/>
    </row>
    <row r="73" customFormat="false" ht="15.75" hidden="false" customHeight="true" outlineLevel="0" collapsed="false">
      <c r="A73" s="46" t="n">
        <v>68</v>
      </c>
      <c r="B73" s="110" t="s">
        <v>1981</v>
      </c>
      <c r="C73" s="46" t="s">
        <v>752</v>
      </c>
      <c r="D73" s="110" t="s">
        <v>3978</v>
      </c>
      <c r="E73" s="46" t="s">
        <v>99</v>
      </c>
      <c r="F73" s="46" t="s">
        <v>3979</v>
      </c>
      <c r="G73" s="142" t="n">
        <v>45954</v>
      </c>
      <c r="H73" s="46" t="s">
        <v>581</v>
      </c>
      <c r="I73" s="138" t="str">
        <f aca="false">IFERROR(VLOOKUP(TEXT(H73,"0"),IPRESS!$A$3:$B$212,2,0),"")</f>
        <v>PEDRO RUIZ GALLO</v>
      </c>
      <c r="J73" s="46" t="s">
        <v>755</v>
      </c>
      <c r="K73" s="138" t="str">
        <f aca="false">IFERROR(VLOOKUP(TEXT(O73,"0"),CONDUCTORES!$A$3:$G$100,7,0),"")</f>
        <v/>
      </c>
      <c r="L73" s="44" t="n">
        <v>18.18</v>
      </c>
      <c r="M73" s="44" t="n">
        <v>5</v>
      </c>
      <c r="N73" s="139" t="n">
        <f aca="false">IFERROR(IF(L73*M73=0,"",L73*M73),"")</f>
        <v>90.9</v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142" t="n">
        <v>45967</v>
      </c>
      <c r="S73" s="110" t="s">
        <v>3980</v>
      </c>
      <c r="T73" s="46"/>
      <c r="U73" s="85"/>
      <c r="V73" s="46"/>
      <c r="W73" s="46"/>
      <c r="X73" s="46"/>
      <c r="Y73" s="85"/>
    </row>
    <row r="74" customFormat="false" ht="15.75" hidden="false" customHeight="true" outlineLevel="0" collapsed="false">
      <c r="A74" s="106" t="n">
        <v>69</v>
      </c>
      <c r="B74" s="107" t="s">
        <v>1984</v>
      </c>
      <c r="C74" s="106" t="s">
        <v>752</v>
      </c>
      <c r="D74" s="107" t="s">
        <v>3981</v>
      </c>
      <c r="E74" s="136" t="s">
        <v>99</v>
      </c>
      <c r="F74" s="106" t="s">
        <v>3982</v>
      </c>
      <c r="G74" s="137" t="n">
        <v>45954</v>
      </c>
      <c r="H74" s="106" t="s">
        <v>581</v>
      </c>
      <c r="I74" s="138" t="str">
        <f aca="false">IFERROR(VLOOKUP(TEXT(H74,"0"),IPRESS!$A$3:$B$212,2,0),"")</f>
        <v>PEDRO RUIZ GALLO</v>
      </c>
      <c r="J74" s="106" t="s">
        <v>755</v>
      </c>
      <c r="K74" s="138" t="str">
        <f aca="false">IFERROR(VLOOKUP(TEXT(O74,"0"),CONDUCTORES!$A$3:$G$100,7,0),"")</f>
        <v/>
      </c>
      <c r="L74" s="50" t="n">
        <v>18.18</v>
      </c>
      <c r="M74" s="50" t="n">
        <v>5</v>
      </c>
      <c r="N74" s="139" t="n">
        <f aca="false">IFERROR(IF(L74*M74=0,"",L74*M74),"")</f>
        <v>90.9</v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37" t="n">
        <v>45967</v>
      </c>
      <c r="S74" s="107" t="s">
        <v>3983</v>
      </c>
      <c r="T74" s="136"/>
      <c r="U74" s="140"/>
      <c r="V74" s="106"/>
      <c r="W74" s="106"/>
      <c r="X74" s="106"/>
      <c r="Y74" s="85"/>
    </row>
    <row r="75" customFormat="false" ht="15.75" hidden="false" customHeight="true" outlineLevel="0" collapsed="false">
      <c r="A75" s="143" t="n">
        <v>70</v>
      </c>
      <c r="B75" s="144" t="s">
        <v>1987</v>
      </c>
      <c r="C75" s="143" t="s">
        <v>752</v>
      </c>
      <c r="D75" s="144" t="s">
        <v>3984</v>
      </c>
      <c r="E75" s="143" t="s">
        <v>99</v>
      </c>
      <c r="F75" s="143" t="s">
        <v>3985</v>
      </c>
      <c r="G75" s="145" t="n">
        <v>45955</v>
      </c>
      <c r="H75" s="143" t="s">
        <v>581</v>
      </c>
      <c r="I75" s="138" t="str">
        <f aca="false">IFERROR(VLOOKUP(TEXT(H75,"0"),IPRESS!$A$3:$B$212,2,0),"")</f>
        <v>PEDRO RUIZ GALLO</v>
      </c>
      <c r="J75" s="143" t="s">
        <v>755</v>
      </c>
      <c r="K75" s="138" t="str">
        <f aca="false">IFERROR(VLOOKUP(TEXT(O75,"0"),CONDUCTORES!$A$3:$G$100,7,0),"")</f>
        <v/>
      </c>
      <c r="L75" s="146" t="n">
        <v>17.95</v>
      </c>
      <c r="M75" s="146" t="n">
        <v>6</v>
      </c>
      <c r="N75" s="139" t="n">
        <f aca="false">IFERROR(IF(L75*M75=0,"",L75*M75),"")</f>
        <v>107.7</v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145" t="n">
        <v>45967</v>
      </c>
      <c r="S75" s="144" t="s">
        <v>3986</v>
      </c>
      <c r="T75" s="143"/>
      <c r="U75" s="147"/>
      <c r="V75" s="143"/>
      <c r="W75" s="143"/>
      <c r="X75" s="143"/>
      <c r="Y75" s="85"/>
    </row>
    <row r="76" customFormat="false" ht="15.75" hidden="false" customHeight="true" outlineLevel="0" collapsed="false">
      <c r="A76" s="106" t="n">
        <v>71</v>
      </c>
      <c r="B76" s="107" t="s">
        <v>1991</v>
      </c>
      <c r="C76" s="106" t="s">
        <v>752</v>
      </c>
      <c r="D76" s="107" t="s">
        <v>1426</v>
      </c>
      <c r="E76" s="136" t="s">
        <v>99</v>
      </c>
      <c r="F76" s="106" t="s">
        <v>1427</v>
      </c>
      <c r="G76" s="137" t="n">
        <v>45956</v>
      </c>
      <c r="H76" s="106" t="s">
        <v>581</v>
      </c>
      <c r="I76" s="138" t="str">
        <f aca="false">IFERROR(VLOOKUP(TEXT(H76,"0"),IPRESS!$A$3:$B$212,2,0),"")</f>
        <v>PEDRO RUIZ GALLO</v>
      </c>
      <c r="J76" s="106" t="s">
        <v>755</v>
      </c>
      <c r="K76" s="138" t="str">
        <f aca="false">IFERROR(VLOOKUP(TEXT(O76,"0"),CONDUCTORES!$A$3:$G$100,7,0),"")</f>
        <v/>
      </c>
      <c r="L76" s="50" t="n">
        <v>18.18</v>
      </c>
      <c r="M76" s="50" t="n">
        <v>5</v>
      </c>
      <c r="N76" s="139" t="n">
        <f aca="false">IFERROR(IF(L76*M76=0,"",L76*M76),"")</f>
        <v>90.9</v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37" t="n">
        <v>45967</v>
      </c>
      <c r="S76" s="107" t="s">
        <v>3987</v>
      </c>
      <c r="T76" s="136"/>
      <c r="U76" s="140"/>
      <c r="V76" s="106"/>
      <c r="W76" s="106"/>
      <c r="X76" s="106"/>
      <c r="Y76" s="85"/>
    </row>
    <row r="77" customFormat="false" ht="15.75" hidden="false" customHeight="true" outlineLevel="0" collapsed="false">
      <c r="A77" s="46" t="n">
        <v>72</v>
      </c>
      <c r="B77" s="110" t="s">
        <v>2011</v>
      </c>
      <c r="C77" s="46" t="s">
        <v>752</v>
      </c>
      <c r="D77" s="110" t="s">
        <v>3988</v>
      </c>
      <c r="E77" s="46" t="s">
        <v>99</v>
      </c>
      <c r="F77" s="46" t="s">
        <v>3989</v>
      </c>
      <c r="G77" s="142" t="n">
        <v>45956</v>
      </c>
      <c r="H77" s="46" t="s">
        <v>581</v>
      </c>
      <c r="I77" s="138" t="str">
        <f aca="false">IFERROR(VLOOKUP(TEXT(H77,"0"),IPRESS!$A$3:$B$212,2,0),"")</f>
        <v>PEDRO RUIZ GALLO</v>
      </c>
      <c r="J77" s="46" t="s">
        <v>755</v>
      </c>
      <c r="K77" s="138" t="str">
        <f aca="false">IFERROR(VLOOKUP(TEXT(O77,"0"),CONDUCTORES!$A$3:$G$100,7,0),"")</f>
        <v/>
      </c>
      <c r="L77" s="44" t="n">
        <v>18.18</v>
      </c>
      <c r="M77" s="44" t="n">
        <v>5</v>
      </c>
      <c r="N77" s="139" t="n">
        <f aca="false">IFERROR(IF(L77*M77=0,"",L77*M77),"")</f>
        <v>90.9</v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142" t="n">
        <v>45967</v>
      </c>
      <c r="S77" s="110" t="s">
        <v>3990</v>
      </c>
      <c r="T77" s="46"/>
      <c r="U77" s="85"/>
      <c r="V77" s="46"/>
      <c r="W77" s="46"/>
      <c r="X77" s="46"/>
      <c r="Y77" s="85"/>
    </row>
    <row r="78" customFormat="false" ht="15.75" hidden="false" customHeight="true" outlineLevel="0" collapsed="false">
      <c r="A78" s="143" t="n">
        <v>73</v>
      </c>
      <c r="B78" s="144" t="s">
        <v>1995</v>
      </c>
      <c r="C78" s="143" t="s">
        <v>752</v>
      </c>
      <c r="D78" s="144" t="s">
        <v>3991</v>
      </c>
      <c r="E78" s="143" t="s">
        <v>99</v>
      </c>
      <c r="F78" s="143" t="s">
        <v>3992</v>
      </c>
      <c r="G78" s="145" t="n">
        <v>45958</v>
      </c>
      <c r="H78" s="143" t="s">
        <v>581</v>
      </c>
      <c r="I78" s="138" t="str">
        <f aca="false">IFERROR(VLOOKUP(TEXT(H78,"0"),IPRESS!$A$3:$B$212,2,0),"")</f>
        <v>PEDRO RUIZ GALLO</v>
      </c>
      <c r="J78" s="143" t="s">
        <v>755</v>
      </c>
      <c r="K78" s="138" t="str">
        <f aca="false">IFERROR(VLOOKUP(TEXT(O78,"0"),CONDUCTORES!$A$3:$G$100,7,0),"")</f>
        <v/>
      </c>
      <c r="L78" s="146" t="n">
        <v>17.95</v>
      </c>
      <c r="M78" s="146" t="n">
        <v>6</v>
      </c>
      <c r="N78" s="139" t="n">
        <f aca="false">IFERROR(IF(L78*M78=0,"",L78*M78),"")</f>
        <v>107.7</v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45" t="n">
        <v>45967</v>
      </c>
      <c r="S78" s="144" t="s">
        <v>891</v>
      </c>
      <c r="T78" s="143"/>
      <c r="U78" s="147"/>
      <c r="V78" s="143"/>
      <c r="W78" s="143"/>
      <c r="X78" s="143"/>
      <c r="Y78" s="85"/>
    </row>
    <row r="79" customFormat="false" ht="15.75" hidden="false" customHeight="true" outlineLevel="0" collapsed="false">
      <c r="A79" s="46" t="n">
        <v>74</v>
      </c>
      <c r="B79" s="110" t="s">
        <v>1999</v>
      </c>
      <c r="C79" s="46" t="s">
        <v>752</v>
      </c>
      <c r="D79" s="110" t="s">
        <v>3993</v>
      </c>
      <c r="E79" s="46" t="s">
        <v>99</v>
      </c>
      <c r="F79" s="46" t="s">
        <v>3994</v>
      </c>
      <c r="G79" s="142" t="n">
        <v>45960</v>
      </c>
      <c r="H79" s="46" t="s">
        <v>581</v>
      </c>
      <c r="I79" s="138" t="str">
        <f aca="false">IFERROR(VLOOKUP(TEXT(H79,"0"),IPRESS!$A$3:$B$212,2,0),"")</f>
        <v>PEDRO RUIZ GALLO</v>
      </c>
      <c r="J79" s="46" t="s">
        <v>755</v>
      </c>
      <c r="K79" s="138" t="str">
        <f aca="false">IFERROR(VLOOKUP(TEXT(O79,"0"),CONDUCTORES!$A$3:$G$100,7,0),"")</f>
        <v/>
      </c>
      <c r="L79" s="44" t="n">
        <v>18.18</v>
      </c>
      <c r="M79" s="44" t="n">
        <v>5</v>
      </c>
      <c r="N79" s="139" t="n">
        <f aca="false">IFERROR(IF(L79*M79=0,"",L79*M79),"")</f>
        <v>90.9</v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142" t="n">
        <v>45967</v>
      </c>
      <c r="S79" s="110" t="s">
        <v>3995</v>
      </c>
      <c r="T79" s="46"/>
      <c r="U79" s="85"/>
      <c r="V79" s="46"/>
      <c r="W79" s="46"/>
      <c r="X79" s="46"/>
      <c r="Y79" s="85"/>
    </row>
    <row r="80" customFormat="false" ht="15.75" hidden="false" customHeight="true" outlineLevel="0" collapsed="false">
      <c r="A80" s="106" t="n">
        <v>75</v>
      </c>
      <c r="B80" s="107" t="s">
        <v>2003</v>
      </c>
      <c r="C80" s="106" t="s">
        <v>752</v>
      </c>
      <c r="D80" s="107" t="s">
        <v>3996</v>
      </c>
      <c r="E80" s="136" t="s">
        <v>99</v>
      </c>
      <c r="F80" s="106" t="s">
        <v>3997</v>
      </c>
      <c r="G80" s="137" t="n">
        <v>45961</v>
      </c>
      <c r="H80" s="106" t="s">
        <v>581</v>
      </c>
      <c r="I80" s="138" t="str">
        <f aca="false">IFERROR(VLOOKUP(TEXT(H80,"0"),IPRESS!$A$3:$B$212,2,0),"")</f>
        <v>PEDRO RUIZ GALLO</v>
      </c>
      <c r="J80" s="106" t="s">
        <v>755</v>
      </c>
      <c r="K80" s="138" t="str">
        <f aca="false">IFERROR(VLOOKUP(TEXT(O80,"0"),CONDUCTORES!$A$3:$G$100,7,0),"")</f>
        <v/>
      </c>
      <c r="L80" s="50" t="n">
        <v>18.18</v>
      </c>
      <c r="M80" s="50" t="n">
        <v>5</v>
      </c>
      <c r="N80" s="139" t="n">
        <f aca="false">IFERROR(IF(L80*M80=0,"",L80*M80),"")</f>
        <v>90.9</v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37" t="n">
        <v>45967</v>
      </c>
      <c r="S80" s="107" t="s">
        <v>3389</v>
      </c>
      <c r="T80" s="136"/>
      <c r="U80" s="140"/>
      <c r="V80" s="106"/>
      <c r="W80" s="106"/>
      <c r="X80" s="106"/>
      <c r="Y80" s="85"/>
    </row>
    <row r="81" customFormat="false" ht="15.75" hidden="false" customHeight="true" outlineLevel="0" collapsed="false">
      <c r="A81" s="46" t="n">
        <v>76</v>
      </c>
      <c r="B81" s="110" t="s">
        <v>1944</v>
      </c>
      <c r="C81" s="46" t="s">
        <v>752</v>
      </c>
      <c r="D81" s="110" t="s">
        <v>3998</v>
      </c>
      <c r="E81" s="46" t="s">
        <v>99</v>
      </c>
      <c r="F81" s="46" t="s">
        <v>3999</v>
      </c>
      <c r="G81" s="142" t="n">
        <v>45931</v>
      </c>
      <c r="H81" s="46" t="s">
        <v>595</v>
      </c>
      <c r="I81" s="138" t="str">
        <f aca="false">IFERROR(VLOOKUP(TEXT(H81,"0"),IPRESS!$A$3:$B$212,2,0),"")</f>
        <v>POMACOCHAS</v>
      </c>
      <c r="J81" s="46" t="s">
        <v>755</v>
      </c>
      <c r="K81" s="138" t="str">
        <f aca="false">IFERROR(VLOOKUP(TEXT(O81,"0"),CONDUCTORES!$A$3:$G$100,7,0),"")</f>
        <v/>
      </c>
      <c r="L81" s="44" t="n">
        <v>18.18</v>
      </c>
      <c r="M81" s="44" t="n">
        <v>8</v>
      </c>
      <c r="N81" s="139" t="n">
        <f aca="false">IFERROR(IF(L81*M81=0,"",L81*M81),"")</f>
        <v>145.44</v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142" t="n">
        <v>45968</v>
      </c>
      <c r="S81" s="110" t="s">
        <v>4000</v>
      </c>
      <c r="T81" s="46"/>
      <c r="U81" s="85"/>
      <c r="V81" s="46"/>
      <c r="W81" s="46"/>
      <c r="X81" s="46"/>
      <c r="Y81" s="85"/>
    </row>
    <row r="82" customFormat="false" ht="15.75" hidden="false" customHeight="true" outlineLevel="0" collapsed="false">
      <c r="A82" s="106" t="n">
        <v>77</v>
      </c>
      <c r="B82" s="107" t="s">
        <v>1948</v>
      </c>
      <c r="C82" s="106" t="s">
        <v>752</v>
      </c>
      <c r="D82" s="107" t="s">
        <v>2773</v>
      </c>
      <c r="E82" s="136" t="s">
        <v>99</v>
      </c>
      <c r="F82" s="106" t="s">
        <v>2774</v>
      </c>
      <c r="G82" s="137" t="n">
        <v>45933</v>
      </c>
      <c r="H82" s="106" t="s">
        <v>595</v>
      </c>
      <c r="I82" s="138" t="str">
        <f aca="false">IFERROR(VLOOKUP(TEXT(H82,"0"),IPRESS!$A$3:$B$212,2,0),"")</f>
        <v>POMACOCHAS</v>
      </c>
      <c r="J82" s="106" t="s">
        <v>755</v>
      </c>
      <c r="K82" s="138" t="str">
        <f aca="false">IFERROR(VLOOKUP(TEXT(O82,"0"),CONDUCTORES!$A$3:$G$100,7,0),"")</f>
        <v/>
      </c>
      <c r="L82" s="50" t="n">
        <v>18.18</v>
      </c>
      <c r="M82" s="50" t="n">
        <v>8</v>
      </c>
      <c r="N82" s="139" t="n">
        <f aca="false">IFERROR(IF(L82*M82=0,"",L82*M82),"")</f>
        <v>145.44</v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37" t="n">
        <v>45968</v>
      </c>
      <c r="S82" s="107" t="s">
        <v>4001</v>
      </c>
      <c r="T82" s="136"/>
      <c r="U82" s="140"/>
      <c r="V82" s="106"/>
      <c r="W82" s="106"/>
      <c r="X82" s="106"/>
      <c r="Y82" s="85"/>
    </row>
    <row r="83" customFormat="false" ht="15.75" hidden="false" customHeight="true" outlineLevel="0" collapsed="false">
      <c r="A83" s="46" t="n">
        <v>78</v>
      </c>
      <c r="B83" s="110" t="s">
        <v>1952</v>
      </c>
      <c r="C83" s="46" t="s">
        <v>752</v>
      </c>
      <c r="D83" s="110" t="s">
        <v>4002</v>
      </c>
      <c r="E83" s="46" t="s">
        <v>99</v>
      </c>
      <c r="F83" s="46" t="s">
        <v>4003</v>
      </c>
      <c r="G83" s="142" t="n">
        <v>45933</v>
      </c>
      <c r="H83" s="46" t="s">
        <v>595</v>
      </c>
      <c r="I83" s="138" t="str">
        <f aca="false">IFERROR(VLOOKUP(TEXT(H83,"0"),IPRESS!$A$3:$B$212,2,0),"")</f>
        <v>POMACOCHAS</v>
      </c>
      <c r="J83" s="46" t="s">
        <v>755</v>
      </c>
      <c r="K83" s="138" t="str">
        <f aca="false">IFERROR(VLOOKUP(TEXT(O83,"0"),CONDUCTORES!$A$3:$G$100,7,0),"")</f>
        <v/>
      </c>
      <c r="L83" s="44" t="n">
        <v>18.18</v>
      </c>
      <c r="M83" s="44" t="n">
        <v>8</v>
      </c>
      <c r="N83" s="139" t="n">
        <f aca="false">IFERROR(IF(L83*M83=0,"",L83*M83),"")</f>
        <v>145.44</v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142" t="n">
        <v>45968</v>
      </c>
      <c r="S83" s="110" t="s">
        <v>4004</v>
      </c>
      <c r="T83" s="46"/>
      <c r="U83" s="85"/>
      <c r="V83" s="46"/>
      <c r="W83" s="46"/>
      <c r="X83" s="46"/>
      <c r="Y83" s="85"/>
    </row>
    <row r="84" customFormat="false" ht="15.75" hidden="false" customHeight="true" outlineLevel="0" collapsed="false">
      <c r="A84" s="106" t="n">
        <v>79</v>
      </c>
      <c r="B84" s="107" t="s">
        <v>1956</v>
      </c>
      <c r="C84" s="106" t="s">
        <v>752</v>
      </c>
      <c r="D84" s="107" t="s">
        <v>4005</v>
      </c>
      <c r="E84" s="136" t="s">
        <v>99</v>
      </c>
      <c r="F84" s="106" t="s">
        <v>4006</v>
      </c>
      <c r="G84" s="137" t="n">
        <v>45942</v>
      </c>
      <c r="H84" s="106" t="s">
        <v>595</v>
      </c>
      <c r="I84" s="138" t="str">
        <f aca="false">IFERROR(VLOOKUP(TEXT(H84,"0"),IPRESS!$A$3:$B$212,2,0),"")</f>
        <v>POMACOCHAS</v>
      </c>
      <c r="J84" s="106" t="s">
        <v>1216</v>
      </c>
      <c r="K84" s="138" t="str">
        <f aca="false">IFERROR(VLOOKUP(TEXT(O84,"0"),CONDUCTORES!$A$3:$G$100,7,0),"")</f>
        <v/>
      </c>
      <c r="L84" s="50" t="n">
        <v>18.18</v>
      </c>
      <c r="M84" s="50" t="n">
        <v>11</v>
      </c>
      <c r="N84" s="139" t="n">
        <f aca="false">IFERROR(IF(L84*M84=0,"",L84*M84),"")</f>
        <v>199.98</v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37" t="n">
        <v>45968</v>
      </c>
      <c r="S84" s="107" t="s">
        <v>4007</v>
      </c>
      <c r="T84" s="136"/>
      <c r="U84" s="140"/>
      <c r="V84" s="106"/>
      <c r="W84" s="106"/>
      <c r="X84" s="106"/>
      <c r="Y84" s="85"/>
    </row>
    <row r="85" customFormat="false" ht="15.75" hidden="false" customHeight="true" outlineLevel="0" collapsed="false">
      <c r="A85" s="46" t="n">
        <v>80</v>
      </c>
      <c r="B85" s="110" t="s">
        <v>1963</v>
      </c>
      <c r="C85" s="46" t="s">
        <v>752</v>
      </c>
      <c r="D85" s="110" t="s">
        <v>4008</v>
      </c>
      <c r="E85" s="46" t="s">
        <v>99</v>
      </c>
      <c r="F85" s="46" t="s">
        <v>4009</v>
      </c>
      <c r="G85" s="142" t="n">
        <v>45948</v>
      </c>
      <c r="H85" s="46" t="s">
        <v>595</v>
      </c>
      <c r="I85" s="138" t="str">
        <f aca="false">IFERROR(VLOOKUP(TEXT(H85,"0"),IPRESS!$A$3:$B$212,2,0),"")</f>
        <v>POMACOCHAS</v>
      </c>
      <c r="J85" s="46" t="s">
        <v>755</v>
      </c>
      <c r="K85" s="138" t="str">
        <f aca="false">IFERROR(VLOOKUP(TEXT(O85,"0"),CONDUCTORES!$A$3:$G$100,7,0),"")</f>
        <v/>
      </c>
      <c r="L85" s="44" t="n">
        <v>18.18</v>
      </c>
      <c r="M85" s="44" t="n">
        <v>8</v>
      </c>
      <c r="N85" s="139" t="n">
        <f aca="false">IFERROR(IF(L85*M85=0,"",L85*M85),"")</f>
        <v>145.44</v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142" t="n">
        <v>45968</v>
      </c>
      <c r="S85" s="110" t="s">
        <v>1550</v>
      </c>
      <c r="T85" s="46"/>
      <c r="U85" s="85"/>
      <c r="V85" s="46"/>
      <c r="W85" s="46"/>
      <c r="X85" s="46"/>
      <c r="Y85" s="85"/>
    </row>
    <row r="86" customFormat="false" ht="15.75" hidden="false" customHeight="true" outlineLevel="0" collapsed="false">
      <c r="A86" s="106" t="n">
        <v>81</v>
      </c>
      <c r="B86" s="107" t="s">
        <v>1960</v>
      </c>
      <c r="C86" s="106" t="s">
        <v>752</v>
      </c>
      <c r="D86" s="107" t="s">
        <v>4010</v>
      </c>
      <c r="E86" s="136" t="s">
        <v>99</v>
      </c>
      <c r="F86" s="106" t="s">
        <v>4011</v>
      </c>
      <c r="G86" s="137" t="n">
        <v>45941</v>
      </c>
      <c r="H86" s="106" t="s">
        <v>595</v>
      </c>
      <c r="I86" s="138" t="str">
        <f aca="false">IFERROR(VLOOKUP(TEXT(H86,"0"),IPRESS!$A$3:$B$212,2,0),"")</f>
        <v>POMACOCHAS</v>
      </c>
      <c r="J86" s="106" t="s">
        <v>755</v>
      </c>
      <c r="K86" s="138" t="str">
        <f aca="false">IFERROR(VLOOKUP(TEXT(O86,"0"),CONDUCTORES!$A$3:$G$100,7,0),"")</f>
        <v/>
      </c>
      <c r="L86" s="50" t="n">
        <v>18.18</v>
      </c>
      <c r="M86" s="50" t="n">
        <v>8</v>
      </c>
      <c r="N86" s="139" t="n">
        <f aca="false">IFERROR(IF(L86*M86=0,"",L86*M86),"")</f>
        <v>145.44</v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37" t="n">
        <v>45996</v>
      </c>
      <c r="S86" s="107" t="s">
        <v>4012</v>
      </c>
      <c r="T86" s="136"/>
      <c r="U86" s="140"/>
      <c r="V86" s="106"/>
      <c r="W86" s="106"/>
      <c r="X86" s="106"/>
      <c r="Y86" s="85"/>
    </row>
    <row r="87" customFormat="false" ht="15.75" hidden="false" customHeight="true" outlineLevel="0" collapsed="false">
      <c r="A87" s="46" t="n">
        <v>82</v>
      </c>
      <c r="B87" s="110" t="s">
        <v>1966</v>
      </c>
      <c r="C87" s="46" t="s">
        <v>752</v>
      </c>
      <c r="D87" s="110" t="s">
        <v>4013</v>
      </c>
      <c r="E87" s="46" t="s">
        <v>99</v>
      </c>
      <c r="F87" s="46" t="s">
        <v>4014</v>
      </c>
      <c r="G87" s="142" t="n">
        <v>45950</v>
      </c>
      <c r="H87" s="46" t="s">
        <v>595</v>
      </c>
      <c r="I87" s="138" t="str">
        <f aca="false">IFERROR(VLOOKUP(TEXT(H87,"0"),IPRESS!$A$3:$B$212,2,0),"")</f>
        <v>POMACOCHAS</v>
      </c>
      <c r="J87" s="46" t="s">
        <v>755</v>
      </c>
      <c r="K87" s="138" t="str">
        <f aca="false">IFERROR(VLOOKUP(TEXT(O87,"0"),CONDUCTORES!$A$3:$G$100,7,0),"")</f>
        <v/>
      </c>
      <c r="L87" s="44" t="n">
        <v>18.18</v>
      </c>
      <c r="M87" s="44" t="n">
        <v>8</v>
      </c>
      <c r="N87" s="139" t="n">
        <f aca="false">IFERROR(IF(L87*M87=0,"",L87*M87),"")</f>
        <v>145.44</v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142" t="n">
        <v>45996</v>
      </c>
      <c r="S87" s="110" t="s">
        <v>4015</v>
      </c>
      <c r="T87" s="46"/>
      <c r="U87" s="85"/>
      <c r="V87" s="46"/>
      <c r="W87" s="46"/>
      <c r="X87" s="46"/>
      <c r="Y87" s="85"/>
    </row>
    <row r="88" customFormat="false" ht="15.75" hidden="false" customHeight="true" outlineLevel="0" collapsed="false">
      <c r="A88" s="106" t="n">
        <v>83</v>
      </c>
      <c r="B88" s="107" t="s">
        <v>1970</v>
      </c>
      <c r="C88" s="106" t="s">
        <v>752</v>
      </c>
      <c r="D88" s="107" t="s">
        <v>4016</v>
      </c>
      <c r="E88" s="136" t="s">
        <v>99</v>
      </c>
      <c r="F88" s="106" t="s">
        <v>4017</v>
      </c>
      <c r="G88" s="137" t="n">
        <v>45955</v>
      </c>
      <c r="H88" s="106" t="s">
        <v>595</v>
      </c>
      <c r="I88" s="138" t="str">
        <f aca="false">IFERROR(VLOOKUP(TEXT(H88,"0"),IPRESS!$A$3:$B$212,2,0),"")</f>
        <v>POMACOCHAS</v>
      </c>
      <c r="J88" s="106" t="s">
        <v>755</v>
      </c>
      <c r="K88" s="138" t="str">
        <f aca="false">IFERROR(VLOOKUP(TEXT(O88,"0"),CONDUCTORES!$A$3:$G$100,7,0),"")</f>
        <v/>
      </c>
      <c r="L88" s="50" t="n">
        <v>18.18</v>
      </c>
      <c r="M88" s="50" t="n">
        <v>8</v>
      </c>
      <c r="N88" s="139" t="n">
        <f aca="false">IFERROR(IF(L88*M88=0,"",L88*M88),"")</f>
        <v>145.44</v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37" t="n">
        <v>45996</v>
      </c>
      <c r="S88" s="107" t="s">
        <v>4018</v>
      </c>
      <c r="T88" s="136"/>
      <c r="U88" s="140"/>
      <c r="V88" s="106"/>
      <c r="W88" s="106"/>
      <c r="X88" s="106"/>
      <c r="Y88" s="85"/>
    </row>
    <row r="89" customFormat="false" ht="15.75" hidden="false" customHeight="true" outlineLevel="0" collapsed="false">
      <c r="A89" s="46" t="n">
        <v>84</v>
      </c>
      <c r="B89" s="110" t="s">
        <v>1974</v>
      </c>
      <c r="C89" s="46" t="s">
        <v>752</v>
      </c>
      <c r="D89" s="110" t="s">
        <v>4019</v>
      </c>
      <c r="E89" s="46" t="s">
        <v>99</v>
      </c>
      <c r="F89" s="46" t="s">
        <v>4020</v>
      </c>
      <c r="G89" s="142" t="n">
        <v>45961</v>
      </c>
      <c r="H89" s="46" t="s">
        <v>595</v>
      </c>
      <c r="I89" s="138" t="str">
        <f aca="false">IFERROR(VLOOKUP(TEXT(H89,"0"),IPRESS!$A$3:$B$212,2,0),"")</f>
        <v>POMACOCHAS</v>
      </c>
      <c r="J89" s="46" t="s">
        <v>755</v>
      </c>
      <c r="K89" s="138" t="str">
        <f aca="false">IFERROR(VLOOKUP(TEXT(O89,"0"),CONDUCTORES!$A$3:$G$100,7,0),"")</f>
        <v/>
      </c>
      <c r="L89" s="44" t="n">
        <v>18.18</v>
      </c>
      <c r="M89" s="44" t="n">
        <v>8</v>
      </c>
      <c r="N89" s="139" t="n">
        <f aca="false">IFERROR(IF(L89*M89=0,"",L89*M89),"")</f>
        <v>145.44</v>
      </c>
      <c r="O89" s="140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142" t="n">
        <v>45996</v>
      </c>
      <c r="S89" s="110" t="s">
        <v>4021</v>
      </c>
      <c r="T89" s="46"/>
      <c r="U89" s="85"/>
      <c r="V89" s="46"/>
      <c r="W89" s="46"/>
      <c r="X89" s="46"/>
      <c r="Y89" s="85"/>
    </row>
    <row r="90" customFormat="false" ht="15.75" hidden="false" customHeight="true" outlineLevel="0" collapsed="false">
      <c r="A90" s="143" t="n">
        <v>85</v>
      </c>
      <c r="B90" s="144" t="s">
        <v>818</v>
      </c>
      <c r="C90" s="143" t="s">
        <v>752</v>
      </c>
      <c r="D90" s="144" t="s">
        <v>4022</v>
      </c>
      <c r="E90" s="143" t="s">
        <v>99</v>
      </c>
      <c r="F90" s="143" t="s">
        <v>4023</v>
      </c>
      <c r="G90" s="145" t="n">
        <v>45934</v>
      </c>
      <c r="H90" s="143" t="s">
        <v>622</v>
      </c>
      <c r="I90" s="138" t="str">
        <f aca="false">IFERROR(VLOOKUP(TEXT(H90,"0"),IPRESS!$A$3:$B$212,2,0),"")</f>
        <v>SALAZAR</v>
      </c>
      <c r="J90" s="143" t="s">
        <v>1216</v>
      </c>
      <c r="K90" s="138" t="str">
        <f aca="false">IFERROR(VLOOKUP(TEXT(O90,"0"),CONDUCTORES!$A$3:$G$100,7,0),"")</f>
        <v/>
      </c>
      <c r="L90" s="146" t="n">
        <v>17.95</v>
      </c>
      <c r="M90" s="146" t="n">
        <v>14</v>
      </c>
      <c r="N90" s="139" t="n">
        <f aca="false">IFERROR(IF(L90*M90=0,"",L90*M90),"")</f>
        <v>251.3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45" t="n">
        <v>45994</v>
      </c>
      <c r="S90" s="144" t="s">
        <v>2133</v>
      </c>
      <c r="T90" s="143"/>
      <c r="U90" s="147"/>
      <c r="V90" s="143"/>
      <c r="W90" s="143"/>
      <c r="X90" s="143"/>
      <c r="Y90" s="85"/>
    </row>
    <row r="91" customFormat="false" ht="15.75" hidden="false" customHeight="true" outlineLevel="0" collapsed="false">
      <c r="A91" s="143" t="n">
        <v>86</v>
      </c>
      <c r="B91" s="144" t="s">
        <v>926</v>
      </c>
      <c r="C91" s="143" t="s">
        <v>752</v>
      </c>
      <c r="D91" s="144" t="s">
        <v>4024</v>
      </c>
      <c r="E91" s="143" t="s">
        <v>99</v>
      </c>
      <c r="F91" s="143" t="s">
        <v>4025</v>
      </c>
      <c r="G91" s="145" t="n">
        <v>45959</v>
      </c>
      <c r="H91" s="143" t="s">
        <v>622</v>
      </c>
      <c r="I91" s="138" t="str">
        <f aca="false">IFERROR(VLOOKUP(TEXT(H91,"0"),IPRESS!$A$3:$B$212,2,0),"")</f>
        <v>SALAZAR</v>
      </c>
      <c r="J91" s="143" t="s">
        <v>755</v>
      </c>
      <c r="K91" s="138" t="str">
        <f aca="false">IFERROR(VLOOKUP(TEXT(O91,"0"),CONDUCTORES!$A$3:$G$100,7,0),"")</f>
        <v/>
      </c>
      <c r="L91" s="146" t="n">
        <v>17.95</v>
      </c>
      <c r="M91" s="146" t="n">
        <v>20</v>
      </c>
      <c r="N91" s="139" t="n">
        <f aca="false">IFERROR(IF(L91*M91=0,"",L91*M91),"")</f>
        <v>359</v>
      </c>
      <c r="O91" s="140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145" t="n">
        <v>45994</v>
      </c>
      <c r="S91" s="144" t="s">
        <v>4026</v>
      </c>
      <c r="T91" s="143"/>
      <c r="U91" s="147"/>
      <c r="V91" s="143"/>
      <c r="W91" s="143"/>
      <c r="X91" s="143"/>
      <c r="Y91" s="85"/>
    </row>
    <row r="92" customFormat="false" ht="15.75" hidden="false" customHeight="true" outlineLevel="0" collapsed="false">
      <c r="A92" s="106" t="n">
        <v>87</v>
      </c>
      <c r="B92" s="107" t="s">
        <v>827</v>
      </c>
      <c r="C92" s="106" t="s">
        <v>752</v>
      </c>
      <c r="D92" s="107" t="s">
        <v>4027</v>
      </c>
      <c r="E92" s="136" t="s">
        <v>99</v>
      </c>
      <c r="F92" s="106" t="s">
        <v>4028</v>
      </c>
      <c r="G92" s="137" t="n">
        <v>45943</v>
      </c>
      <c r="H92" s="106" t="s">
        <v>659</v>
      </c>
      <c r="I92" s="138" t="str">
        <f aca="false">IFERROR(VLOOKUP(TEXT(H92,"0"),IPRESS!$A$3:$B$212,2,0),"")</f>
        <v>SAN SALVADOR</v>
      </c>
      <c r="J92" s="106" t="s">
        <v>755</v>
      </c>
      <c r="K92" s="138" t="str">
        <f aca="false">IFERROR(VLOOKUP(TEXT(O92,"0"),CONDUCTORES!$A$3:$G$100,7,0),"")</f>
        <v/>
      </c>
      <c r="L92" s="50" t="n">
        <v>18.18</v>
      </c>
      <c r="M92" s="50" t="n">
        <v>10</v>
      </c>
      <c r="N92" s="139" t="n">
        <f aca="false">IFERROR(IF(L92*M92=0,"",L92*M92),"")</f>
        <v>181.8</v>
      </c>
      <c r="O92" s="85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37" t="n">
        <v>45994</v>
      </c>
      <c r="S92" s="107" t="s">
        <v>4029</v>
      </c>
      <c r="T92" s="136" t="s">
        <v>4030</v>
      </c>
      <c r="U92" s="140"/>
      <c r="V92" s="106"/>
      <c r="W92" s="106"/>
      <c r="X92" s="106"/>
      <c r="Y92" s="85"/>
    </row>
    <row r="93" customFormat="false" ht="15.75" hidden="false" customHeight="true" outlineLevel="0" collapsed="false">
      <c r="A93" s="46" t="n">
        <v>88</v>
      </c>
      <c r="B93" s="110" t="s">
        <v>832</v>
      </c>
      <c r="C93" s="46" t="s">
        <v>752</v>
      </c>
      <c r="D93" s="110" t="s">
        <v>4031</v>
      </c>
      <c r="E93" s="46" t="s">
        <v>99</v>
      </c>
      <c r="F93" s="46" t="s">
        <v>4032</v>
      </c>
      <c r="G93" s="142" t="n">
        <v>45957</v>
      </c>
      <c r="H93" s="46" t="s">
        <v>659</v>
      </c>
      <c r="I93" s="138" t="str">
        <f aca="false">IFERROR(VLOOKUP(TEXT(H93,"0"),IPRESS!$A$3:$B$212,2,0),"")</f>
        <v>SAN SALVADOR</v>
      </c>
      <c r="J93" s="46" t="s">
        <v>755</v>
      </c>
      <c r="K93" s="138" t="str">
        <f aca="false">IFERROR(VLOOKUP(TEXT(O93,"0"),CONDUCTORES!$A$3:$G$100,7,0),"")</f>
        <v/>
      </c>
      <c r="L93" s="44" t="n">
        <v>18.18</v>
      </c>
      <c r="M93" s="44" t="n">
        <v>10</v>
      </c>
      <c r="N93" s="139" t="n">
        <f aca="false">IFERROR(IF(L93*M93=0,"",L93*M93),"")</f>
        <v>181.8</v>
      </c>
      <c r="O93" s="140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142" t="n">
        <v>45994</v>
      </c>
      <c r="S93" s="110" t="s">
        <v>4033</v>
      </c>
      <c r="T93" s="46" t="s">
        <v>4030</v>
      </c>
      <c r="U93" s="85"/>
      <c r="V93" s="46"/>
      <c r="W93" s="46"/>
      <c r="X93" s="46"/>
      <c r="Y93" s="85"/>
    </row>
    <row r="94" customFormat="false" ht="15.75" hidden="false" customHeight="true" outlineLevel="0" collapsed="false">
      <c r="A94" s="106" t="n">
        <v>89</v>
      </c>
      <c r="B94" s="107" t="s">
        <v>840</v>
      </c>
      <c r="C94" s="106" t="s">
        <v>752</v>
      </c>
      <c r="D94" s="107" t="s">
        <v>4034</v>
      </c>
      <c r="E94" s="136" t="s">
        <v>99</v>
      </c>
      <c r="F94" s="106" t="s">
        <v>4035</v>
      </c>
      <c r="G94" s="137" t="n">
        <v>45959</v>
      </c>
      <c r="H94" s="106" t="s">
        <v>659</v>
      </c>
      <c r="I94" s="138" t="str">
        <f aca="false">IFERROR(VLOOKUP(TEXT(H94,"0"),IPRESS!$A$3:$B$212,2,0),"")</f>
        <v>SAN SALVADOR</v>
      </c>
      <c r="J94" s="106" t="s">
        <v>755</v>
      </c>
      <c r="K94" s="138" t="str">
        <f aca="false">IFERROR(VLOOKUP(TEXT(O94,"0"),CONDUCTORES!$A$3:$G$100,7,0),"")</f>
        <v/>
      </c>
      <c r="L94" s="50" t="n">
        <v>18.18</v>
      </c>
      <c r="M94" s="50" t="n">
        <v>10</v>
      </c>
      <c r="N94" s="139" t="n">
        <f aca="false">IFERROR(IF(L94*M94=0,"",L94*M94),"")</f>
        <v>181.8</v>
      </c>
      <c r="O94" s="85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37" t="n">
        <v>45994</v>
      </c>
      <c r="S94" s="107" t="s">
        <v>4036</v>
      </c>
      <c r="T94" s="136" t="s">
        <v>4030</v>
      </c>
      <c r="U94" s="140"/>
      <c r="V94" s="106"/>
      <c r="W94" s="106"/>
      <c r="X94" s="106"/>
      <c r="Y94" s="85"/>
    </row>
    <row r="95" customFormat="false" ht="15.75" hidden="false" customHeight="true" outlineLevel="0" collapsed="false">
      <c r="A95" s="46" t="n">
        <v>90</v>
      </c>
      <c r="B95" s="110" t="s">
        <v>844</v>
      </c>
      <c r="C95" s="46" t="s">
        <v>752</v>
      </c>
      <c r="D95" s="110" t="s">
        <v>4037</v>
      </c>
      <c r="E95" s="46" t="s">
        <v>99</v>
      </c>
      <c r="F95" s="46" t="s">
        <v>4038</v>
      </c>
      <c r="G95" s="142" t="n">
        <v>45960</v>
      </c>
      <c r="H95" s="46" t="s">
        <v>659</v>
      </c>
      <c r="I95" s="138" t="str">
        <f aca="false">IFERROR(VLOOKUP(TEXT(H95,"0"),IPRESS!$A$3:$B$212,2,0),"")</f>
        <v>SAN SALVADOR</v>
      </c>
      <c r="J95" s="46" t="s">
        <v>755</v>
      </c>
      <c r="K95" s="138" t="str">
        <f aca="false">IFERROR(VLOOKUP(TEXT(O95,"0"),CONDUCTORES!$A$3:$G$100,7,0),"")</f>
        <v/>
      </c>
      <c r="L95" s="44" t="n">
        <v>18.18</v>
      </c>
      <c r="M95" s="44" t="n">
        <v>10</v>
      </c>
      <c r="N95" s="139" t="n">
        <f aca="false">IFERROR(IF(L95*M95=0,"",L95*M95),"")</f>
        <v>181.8</v>
      </c>
      <c r="O95" s="140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142" t="n">
        <v>45994</v>
      </c>
      <c r="S95" s="110" t="s">
        <v>4039</v>
      </c>
      <c r="T95" s="46" t="s">
        <v>4030</v>
      </c>
      <c r="U95" s="85"/>
      <c r="V95" s="46"/>
      <c r="W95" s="46"/>
      <c r="X95" s="46"/>
      <c r="Y95" s="85"/>
    </row>
    <row r="96" customFormat="false" ht="15.75" hidden="false" customHeight="true" outlineLevel="0" collapsed="false">
      <c r="A96" s="106" t="n">
        <v>91</v>
      </c>
      <c r="B96" s="107" t="s">
        <v>2355</v>
      </c>
      <c r="C96" s="106" t="s">
        <v>752</v>
      </c>
      <c r="D96" s="107" t="s">
        <v>4040</v>
      </c>
      <c r="E96" s="136" t="s">
        <v>99</v>
      </c>
      <c r="F96" s="106" t="s">
        <v>4041</v>
      </c>
      <c r="G96" s="137" t="n">
        <v>45939</v>
      </c>
      <c r="H96" s="106" t="s">
        <v>665</v>
      </c>
      <c r="I96" s="138" t="str">
        <f aca="false">IFERROR(VLOOKUP(TEXT(H96,"0"),IPRESS!$A$3:$B$212,2,0),"")</f>
        <v>SANTO TOMAS</v>
      </c>
      <c r="J96" s="106" t="s">
        <v>755</v>
      </c>
      <c r="K96" s="138" t="str">
        <f aca="false">IFERROR(VLOOKUP(TEXT(O96,"0"),CONDUCTORES!$A$3:$G$100,7,0),"")</f>
        <v/>
      </c>
      <c r="L96" s="50" t="n">
        <v>18.18</v>
      </c>
      <c r="M96" s="50" t="n">
        <v>10</v>
      </c>
      <c r="N96" s="139" t="n">
        <f aca="false">IFERROR(IF(L96*M96=0,"",L96*M96),"")</f>
        <v>181.8</v>
      </c>
      <c r="O96" s="85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37" t="n">
        <v>45994</v>
      </c>
      <c r="S96" s="107" t="s">
        <v>4042</v>
      </c>
      <c r="T96" s="136"/>
      <c r="U96" s="140"/>
      <c r="V96" s="106"/>
      <c r="W96" s="106"/>
      <c r="X96" s="106"/>
      <c r="Y96" s="85"/>
    </row>
    <row r="97" customFormat="false" ht="15.75" hidden="false" customHeight="true" outlineLevel="0" collapsed="false">
      <c r="A97" s="46" t="n">
        <v>92</v>
      </c>
      <c r="B97" s="110" t="s">
        <v>1128</v>
      </c>
      <c r="C97" s="46" t="s">
        <v>752</v>
      </c>
      <c r="D97" s="110" t="s">
        <v>1439</v>
      </c>
      <c r="E97" s="46" t="s">
        <v>99</v>
      </c>
      <c r="F97" s="46" t="s">
        <v>1440</v>
      </c>
      <c r="G97" s="142" t="n">
        <v>45954</v>
      </c>
      <c r="H97" s="46" t="s">
        <v>665</v>
      </c>
      <c r="I97" s="138" t="str">
        <f aca="false">IFERROR(VLOOKUP(TEXT(H97,"0"),IPRESS!$A$3:$B$212,2,0),"")</f>
        <v>SANTO TOMAS</v>
      </c>
      <c r="J97" s="46" t="s">
        <v>755</v>
      </c>
      <c r="K97" s="138" t="str">
        <f aca="false">IFERROR(VLOOKUP(TEXT(O97,"0"),CONDUCTORES!$A$3:$G$100,7,0),"")</f>
        <v/>
      </c>
      <c r="L97" s="44" t="n">
        <v>18.18</v>
      </c>
      <c r="M97" s="44" t="n">
        <v>6</v>
      </c>
      <c r="N97" s="139" t="n">
        <f aca="false">IFERROR(IF(L97*M97=0,"",L97*M97),"")</f>
        <v>109.08</v>
      </c>
      <c r="O97" s="140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142" t="n">
        <v>45994</v>
      </c>
      <c r="S97" s="110" t="s">
        <v>4043</v>
      </c>
      <c r="T97" s="46"/>
      <c r="U97" s="85"/>
      <c r="V97" s="46"/>
      <c r="W97" s="46"/>
      <c r="X97" s="46"/>
      <c r="Y97" s="85"/>
    </row>
    <row r="98" customFormat="false" ht="15.75" hidden="false" customHeight="true" outlineLevel="0" collapsed="false">
      <c r="A98" s="106" t="n">
        <v>93</v>
      </c>
      <c r="B98" s="107" t="s">
        <v>1134</v>
      </c>
      <c r="C98" s="106" t="s">
        <v>752</v>
      </c>
      <c r="D98" s="107" t="s">
        <v>4044</v>
      </c>
      <c r="E98" s="136" t="s">
        <v>99</v>
      </c>
      <c r="F98" s="106" t="s">
        <v>4045</v>
      </c>
      <c r="G98" s="137" t="n">
        <v>45957</v>
      </c>
      <c r="H98" s="106" t="s">
        <v>665</v>
      </c>
      <c r="I98" s="138" t="str">
        <f aca="false">IFERROR(VLOOKUP(TEXT(H98,"0"),IPRESS!$A$3:$B$212,2,0),"")</f>
        <v>SANTO TOMAS</v>
      </c>
      <c r="J98" s="106" t="s">
        <v>755</v>
      </c>
      <c r="K98" s="138" t="str">
        <f aca="false">IFERROR(VLOOKUP(TEXT(O98,"0"),CONDUCTORES!$A$3:$G$100,7,0),"")</f>
        <v/>
      </c>
      <c r="L98" s="50" t="n">
        <v>18.18</v>
      </c>
      <c r="M98" s="50" t="n">
        <v>6</v>
      </c>
      <c r="N98" s="139" t="n">
        <f aca="false">IFERROR(IF(L98*M98=0,"",L98*M98),"")</f>
        <v>109.08</v>
      </c>
      <c r="O98" s="85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37" t="n">
        <v>45994</v>
      </c>
      <c r="S98" s="107" t="s">
        <v>4046</v>
      </c>
      <c r="T98" s="136"/>
      <c r="U98" s="140"/>
      <c r="V98" s="106"/>
      <c r="W98" s="106"/>
      <c r="X98" s="106"/>
      <c r="Y98" s="85"/>
    </row>
    <row r="99" customFormat="false" ht="15.75" hidden="false" customHeight="true" outlineLevel="0" collapsed="false">
      <c r="A99" s="46" t="n">
        <v>94</v>
      </c>
      <c r="B99" s="110" t="s">
        <v>1350</v>
      </c>
      <c r="C99" s="46" t="s">
        <v>752</v>
      </c>
      <c r="D99" s="110" t="s">
        <v>2488</v>
      </c>
      <c r="E99" s="46" t="s">
        <v>99</v>
      </c>
      <c r="F99" s="46" t="s">
        <v>2489</v>
      </c>
      <c r="G99" s="85" t="s">
        <v>4047</v>
      </c>
      <c r="H99" s="46" t="s">
        <v>692</v>
      </c>
      <c r="I99" s="138" t="str">
        <f aca="false">IFERROR(VLOOKUP(TEXT(H99,"0"),IPRESS!$A$3:$B$212,2,0),"")</f>
        <v>TINGO</v>
      </c>
      <c r="J99" s="46" t="s">
        <v>755</v>
      </c>
      <c r="K99" s="138" t="str">
        <f aca="false">IFERROR(VLOOKUP(TEXT(O99,"0"),CONDUCTORES!$A$3:$G$100,7,0),"")</f>
        <v/>
      </c>
      <c r="L99" s="44" t="n">
        <v>18.18</v>
      </c>
      <c r="M99" s="44" t="n">
        <v>5</v>
      </c>
      <c r="N99" s="139" t="n">
        <f aca="false">IFERROR(IF(L99*M99=0,"",L99*M99),"")</f>
        <v>90.9</v>
      </c>
      <c r="O99" s="140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142" t="n">
        <v>45994</v>
      </c>
      <c r="S99" s="110" t="s">
        <v>4048</v>
      </c>
      <c r="T99" s="46"/>
      <c r="U99" s="85"/>
      <c r="V99" s="46"/>
      <c r="W99" s="46"/>
      <c r="X99" s="46"/>
      <c r="Y99" s="85"/>
    </row>
    <row r="100" customFormat="false" ht="15.75" hidden="false" customHeight="true" outlineLevel="0" collapsed="false">
      <c r="A100" s="106" t="n">
        <v>95</v>
      </c>
      <c r="B100" s="107" t="s">
        <v>1310</v>
      </c>
      <c r="C100" s="106" t="s">
        <v>752</v>
      </c>
      <c r="D100" s="107" t="s">
        <v>4049</v>
      </c>
      <c r="E100" s="136" t="s">
        <v>99</v>
      </c>
      <c r="F100" s="106" t="s">
        <v>4050</v>
      </c>
      <c r="G100" s="137" t="n">
        <v>45939</v>
      </c>
      <c r="H100" s="106" t="s">
        <v>692</v>
      </c>
      <c r="I100" s="138" t="str">
        <f aca="false">IFERROR(VLOOKUP(TEXT(H100,"0"),IPRESS!$A$3:$B$212,2,0),"")</f>
        <v>TINGO</v>
      </c>
      <c r="J100" s="106" t="s">
        <v>755</v>
      </c>
      <c r="K100" s="138" t="str">
        <f aca="false">IFERROR(VLOOKUP(TEXT(O100,"0"),CONDUCTORES!$A$3:$G$100,7,0),"")</f>
        <v/>
      </c>
      <c r="L100" s="50" t="n">
        <v>18.18</v>
      </c>
      <c r="M100" s="50" t="n">
        <v>5</v>
      </c>
      <c r="N100" s="139" t="n">
        <f aca="false">IFERROR(IF(L100*M100=0,"",L100*M100),"")</f>
        <v>90.9</v>
      </c>
      <c r="O100" s="85"/>
      <c r="P100" s="138" t="str">
        <f aca="false">IFERROR(VLOOKUP(TEXT(O100,"0"),CONDUCTORES!$A$3:$G$100,2,0),"")</f>
        <v/>
      </c>
      <c r="Q100" s="138" t="str">
        <f aca="false">IFERROR(VLOOKUP(TEXT(O100,"0"),CONDUCTORES!$A$3:$H$100,6,0),"")</f>
        <v/>
      </c>
      <c r="R100" s="137" t="n">
        <v>45994</v>
      </c>
      <c r="S100" s="107" t="s">
        <v>4051</v>
      </c>
      <c r="T100" s="136"/>
      <c r="U100" s="140"/>
      <c r="V100" s="106"/>
      <c r="W100" s="106"/>
      <c r="X100" s="106"/>
      <c r="Y100" s="85"/>
    </row>
    <row r="101" customFormat="false" ht="15.75" hidden="false" customHeight="true" outlineLevel="0" collapsed="false">
      <c r="A101" s="46" t="n">
        <v>96</v>
      </c>
      <c r="B101" s="110" t="s">
        <v>1357</v>
      </c>
      <c r="C101" s="46" t="s">
        <v>752</v>
      </c>
      <c r="D101" s="110" t="s">
        <v>4052</v>
      </c>
      <c r="E101" s="46" t="s">
        <v>99</v>
      </c>
      <c r="F101" s="46" t="s">
        <v>4053</v>
      </c>
      <c r="G101" s="142" t="n">
        <v>45941</v>
      </c>
      <c r="H101" s="46" t="s">
        <v>692</v>
      </c>
      <c r="I101" s="138" t="str">
        <f aca="false">IFERROR(VLOOKUP(TEXT(H101,"0"),IPRESS!$A$3:$B$212,2,0),"")</f>
        <v>TINGO</v>
      </c>
      <c r="J101" s="46" t="s">
        <v>755</v>
      </c>
      <c r="K101" s="138" t="str">
        <f aca="false">IFERROR(VLOOKUP(TEXT(O101,"0"),CONDUCTORES!$A$3:$G$100,7,0),"")</f>
        <v/>
      </c>
      <c r="L101" s="44" t="n">
        <v>18.18</v>
      </c>
      <c r="M101" s="44" t="n">
        <v>5</v>
      </c>
      <c r="N101" s="139" t="n">
        <f aca="false">IFERROR(IF(L101*M101=0,"",L101*M101),"")</f>
        <v>90.9</v>
      </c>
      <c r="O101" s="140"/>
      <c r="P101" s="138" t="str">
        <f aca="false">IFERROR(VLOOKUP(TEXT(O101,"0"),CONDUCTORES!$A$3:$G$100,2,0),"")</f>
        <v/>
      </c>
      <c r="Q101" s="138" t="str">
        <f aca="false">IFERROR(VLOOKUP(TEXT(O101,"0"),CONDUCTORES!$A$3:$H$100,6,0),"")</f>
        <v/>
      </c>
      <c r="R101" s="142" t="n">
        <v>45994</v>
      </c>
      <c r="S101" s="110" t="s">
        <v>4054</v>
      </c>
      <c r="T101" s="46"/>
      <c r="U101" s="85"/>
      <c r="V101" s="46"/>
      <c r="W101" s="46"/>
      <c r="X101" s="46"/>
      <c r="Y101" s="85"/>
    </row>
    <row r="102" customFormat="false" ht="15.75" hidden="false" customHeight="true" outlineLevel="0" collapsed="false">
      <c r="A102" s="106" t="n">
        <v>97</v>
      </c>
      <c r="B102" s="107" t="s">
        <v>1360</v>
      </c>
      <c r="C102" s="106" t="s">
        <v>752</v>
      </c>
      <c r="D102" s="107" t="s">
        <v>4055</v>
      </c>
      <c r="E102" s="136" t="s">
        <v>99</v>
      </c>
      <c r="F102" s="106" t="s">
        <v>4056</v>
      </c>
      <c r="G102" s="137" t="n">
        <v>45944</v>
      </c>
      <c r="H102" s="106" t="s">
        <v>692</v>
      </c>
      <c r="I102" s="138" t="str">
        <f aca="false">IFERROR(VLOOKUP(TEXT(H102,"0"),IPRESS!$A$3:$B$212,2,0),"")</f>
        <v>TINGO</v>
      </c>
      <c r="J102" s="106" t="s">
        <v>755</v>
      </c>
      <c r="K102" s="138" t="str">
        <f aca="false">IFERROR(VLOOKUP(TEXT(O102,"0"),CONDUCTORES!$A$3:$G$100,7,0),"")</f>
        <v/>
      </c>
      <c r="L102" s="50" t="n">
        <v>18.18</v>
      </c>
      <c r="M102" s="50" t="n">
        <v>5</v>
      </c>
      <c r="N102" s="139" t="n">
        <f aca="false">IFERROR(IF(L102*M102=0,"",L102*M102),"")</f>
        <v>90.9</v>
      </c>
      <c r="O102" s="85"/>
      <c r="P102" s="138" t="str">
        <f aca="false">IFERROR(VLOOKUP(TEXT(O102,"0"),CONDUCTORES!$A$3:$G$100,2,0),"")</f>
        <v/>
      </c>
      <c r="Q102" s="138" t="str">
        <f aca="false">IFERROR(VLOOKUP(TEXT(O102,"0"),CONDUCTORES!$A$3:$H$100,6,0),"")</f>
        <v/>
      </c>
      <c r="R102" s="137" t="n">
        <v>45994</v>
      </c>
      <c r="S102" s="107" t="s">
        <v>4057</v>
      </c>
      <c r="T102" s="136"/>
      <c r="U102" s="140"/>
      <c r="V102" s="106"/>
      <c r="W102" s="106"/>
      <c r="X102" s="106"/>
      <c r="Y102" s="85"/>
    </row>
    <row r="103" customFormat="false" ht="15.75" hidden="false" customHeight="true" outlineLevel="0" collapsed="false">
      <c r="A103" s="46" t="n">
        <v>98</v>
      </c>
      <c r="B103" s="110" t="s">
        <v>1364</v>
      </c>
      <c r="C103" s="46" t="s">
        <v>752</v>
      </c>
      <c r="D103" s="110" t="s">
        <v>4058</v>
      </c>
      <c r="E103" s="46" t="s">
        <v>99</v>
      </c>
      <c r="F103" s="46" t="s">
        <v>4059</v>
      </c>
      <c r="G103" s="142" t="n">
        <v>45946</v>
      </c>
      <c r="H103" s="46" t="s">
        <v>692</v>
      </c>
      <c r="I103" s="138" t="str">
        <f aca="false">IFERROR(VLOOKUP(TEXT(H103,"0"),IPRESS!$A$3:$B$212,2,0),"")</f>
        <v>TINGO</v>
      </c>
      <c r="J103" s="46" t="s">
        <v>755</v>
      </c>
      <c r="K103" s="138" t="str">
        <f aca="false">IFERROR(VLOOKUP(TEXT(O103,"0"),CONDUCTORES!$A$3:$G$100,7,0),"")</f>
        <v/>
      </c>
      <c r="L103" s="44" t="n">
        <v>18.18</v>
      </c>
      <c r="M103" s="44" t="n">
        <v>5</v>
      </c>
      <c r="N103" s="139" t="n">
        <f aca="false">IFERROR(IF(L103*M103=0,"",L103*M103),"")</f>
        <v>90.9</v>
      </c>
      <c r="O103" s="140"/>
      <c r="P103" s="138" t="str">
        <f aca="false">IFERROR(VLOOKUP(TEXT(O103,"0"),CONDUCTORES!$A$3:$G$100,2,0),"")</f>
        <v/>
      </c>
      <c r="Q103" s="138" t="str">
        <f aca="false">IFERROR(VLOOKUP(TEXT(O103,"0"),CONDUCTORES!$A$3:$H$100,6,0),"")</f>
        <v/>
      </c>
      <c r="R103" s="142" t="n">
        <v>45994</v>
      </c>
      <c r="S103" s="110" t="s">
        <v>4060</v>
      </c>
      <c r="T103" s="46"/>
      <c r="U103" s="85"/>
      <c r="V103" s="46"/>
      <c r="W103" s="46"/>
      <c r="X103" s="46"/>
      <c r="Y103" s="85"/>
    </row>
    <row r="104" customFormat="false" ht="15.75" hidden="false" customHeight="true" outlineLevel="0" collapsed="false">
      <c r="A104" s="106" t="n">
        <v>99</v>
      </c>
      <c r="B104" s="107" t="s">
        <v>827</v>
      </c>
      <c r="C104" s="106" t="s">
        <v>752</v>
      </c>
      <c r="D104" s="107" t="s">
        <v>4061</v>
      </c>
      <c r="E104" s="136" t="s">
        <v>99</v>
      </c>
      <c r="F104" s="106" t="s">
        <v>4062</v>
      </c>
      <c r="G104" s="137" t="n">
        <v>45934</v>
      </c>
      <c r="H104" s="106" t="s">
        <v>714</v>
      </c>
      <c r="I104" s="138" t="str">
        <f aca="false">IFERROR(VLOOKUP(TEXT(H104,"0"),IPRESS!$A$3:$B$212,2,0),"")</f>
        <v>YAMBRASBAMBA</v>
      </c>
      <c r="J104" s="106" t="s">
        <v>595</v>
      </c>
      <c r="K104" s="138" t="str">
        <f aca="false">IFERROR(VLOOKUP(TEXT(O104,"0"),CONDUCTORES!$A$3:$G$100,7,0),"")</f>
        <v/>
      </c>
      <c r="L104" s="50" t="n">
        <v>18.18</v>
      </c>
      <c r="M104" s="50" t="n">
        <v>4</v>
      </c>
      <c r="N104" s="139" t="n">
        <f aca="false">IFERROR(IF(L104*M104=0,"",L104*M104),"")</f>
        <v>72.72</v>
      </c>
      <c r="O104" s="85"/>
      <c r="P104" s="138" t="str">
        <f aca="false">IFERROR(VLOOKUP(TEXT(O104,"0"),CONDUCTORES!$A$3:$G$100,2,0),"")</f>
        <v/>
      </c>
      <c r="Q104" s="138" t="str">
        <f aca="false">IFERROR(VLOOKUP(TEXT(O104,"0"),CONDUCTORES!$A$3:$H$100,6,0),"")</f>
        <v/>
      </c>
      <c r="R104" s="140"/>
      <c r="S104" s="107" t="s">
        <v>4063</v>
      </c>
      <c r="T104" s="136"/>
      <c r="U104" s="140"/>
      <c r="V104" s="106"/>
      <c r="W104" s="106"/>
      <c r="X104" s="106"/>
      <c r="Y104" s="85"/>
    </row>
    <row r="105" customFormat="false" ht="15.75" hidden="false" customHeight="true" outlineLevel="0" collapsed="false">
      <c r="A105" s="46" t="n">
        <v>100</v>
      </c>
      <c r="B105" s="110" t="s">
        <v>832</v>
      </c>
      <c r="C105" s="46" t="s">
        <v>752</v>
      </c>
      <c r="D105" s="110" t="s">
        <v>4008</v>
      </c>
      <c r="E105" s="46" t="s">
        <v>99</v>
      </c>
      <c r="F105" s="46" t="s">
        <v>4009</v>
      </c>
      <c r="G105" s="142" t="n">
        <v>45948</v>
      </c>
      <c r="H105" s="46" t="s">
        <v>714</v>
      </c>
      <c r="I105" s="138" t="str">
        <f aca="false">IFERROR(VLOOKUP(TEXT(H105,"0"),IPRESS!$A$3:$B$212,2,0),"")</f>
        <v>YAMBRASBAMBA</v>
      </c>
      <c r="J105" s="46" t="s">
        <v>595</v>
      </c>
      <c r="K105" s="138" t="str">
        <f aca="false">IFERROR(VLOOKUP(TEXT(O105,"0"),CONDUCTORES!$A$3:$G$100,7,0),"")</f>
        <v/>
      </c>
      <c r="L105" s="44" t="n">
        <v>18.18</v>
      </c>
      <c r="M105" s="44" t="n">
        <v>4</v>
      </c>
      <c r="N105" s="139" t="n">
        <f aca="false">IFERROR(IF(L105*M105=0,"",L105*M105),"")</f>
        <v>72.72</v>
      </c>
      <c r="O105" s="140"/>
      <c r="P105" s="138" t="str">
        <f aca="false">IFERROR(VLOOKUP(TEXT(O105,"0"),CONDUCTORES!$A$3:$G$100,2,0),"")</f>
        <v/>
      </c>
      <c r="Q105" s="138" t="str">
        <f aca="false">IFERROR(VLOOKUP(TEXT(O105,"0"),CONDUCTORES!$A$3:$H$100,6,0),"")</f>
        <v/>
      </c>
      <c r="R105" s="85"/>
      <c r="S105" s="110" t="s">
        <v>3389</v>
      </c>
      <c r="T105" s="46"/>
      <c r="U105" s="85"/>
      <c r="V105" s="46"/>
      <c r="W105" s="46"/>
      <c r="X105" s="46"/>
      <c r="Y105" s="85"/>
    </row>
    <row r="106" customFormat="false" ht="15.75" hidden="false" customHeight="true" outlineLevel="0" collapsed="false">
      <c r="A106" s="106" t="n">
        <v>101</v>
      </c>
      <c r="B106" s="107" t="s">
        <v>840</v>
      </c>
      <c r="C106" s="106" t="s">
        <v>752</v>
      </c>
      <c r="D106" s="107" t="s">
        <v>4064</v>
      </c>
      <c r="E106" s="136" t="s">
        <v>99</v>
      </c>
      <c r="F106" s="106" t="s">
        <v>4065</v>
      </c>
      <c r="G106" s="137" t="n">
        <v>45950</v>
      </c>
      <c r="H106" s="106" t="s">
        <v>714</v>
      </c>
      <c r="I106" s="138" t="str">
        <f aca="false">IFERROR(VLOOKUP(TEXT(H106,"0"),IPRESS!$A$3:$B$212,2,0),"")</f>
        <v>YAMBRASBAMBA</v>
      </c>
      <c r="J106" s="106" t="s">
        <v>595</v>
      </c>
      <c r="K106" s="138" t="str">
        <f aca="false">IFERROR(VLOOKUP(TEXT(O106,"0"),CONDUCTORES!$A$3:$G$100,7,0),"")</f>
        <v/>
      </c>
      <c r="L106" s="50" t="n">
        <v>18.18</v>
      </c>
      <c r="M106" s="50" t="n">
        <v>5</v>
      </c>
      <c r="N106" s="139" t="n">
        <f aca="false">IFERROR(IF(L106*M106=0,"",L106*M106),"")</f>
        <v>90.9</v>
      </c>
      <c r="O106" s="85"/>
      <c r="P106" s="138" t="str">
        <f aca="false">IFERROR(VLOOKUP(TEXT(O106,"0"),CONDUCTORES!$A$3:$G$100,2,0),"")</f>
        <v/>
      </c>
      <c r="Q106" s="138" t="str">
        <f aca="false">IFERROR(VLOOKUP(TEXT(O106,"0"),CONDUCTORES!$A$3:$H$100,6,0),"")</f>
        <v/>
      </c>
      <c r="R106" s="140"/>
      <c r="S106" s="107" t="s">
        <v>4066</v>
      </c>
      <c r="T106" s="136"/>
      <c r="U106" s="140"/>
      <c r="V106" s="106"/>
      <c r="W106" s="106"/>
      <c r="X106" s="106"/>
      <c r="Y106" s="85"/>
    </row>
    <row r="107" customFormat="false" ht="15.75" hidden="false" customHeight="true" outlineLevel="0" collapsed="false">
      <c r="A107" s="46" t="n">
        <v>102</v>
      </c>
      <c r="B107" s="110" t="s">
        <v>844</v>
      </c>
      <c r="C107" s="46" t="s">
        <v>752</v>
      </c>
      <c r="D107" s="110" t="s">
        <v>4019</v>
      </c>
      <c r="E107" s="46" t="s">
        <v>99</v>
      </c>
      <c r="F107" s="46" t="s">
        <v>4020</v>
      </c>
      <c r="G107" s="142" t="n">
        <v>45961</v>
      </c>
      <c r="H107" s="46" t="s">
        <v>714</v>
      </c>
      <c r="I107" s="138" t="str">
        <f aca="false">IFERROR(VLOOKUP(TEXT(H107,"0"),IPRESS!$A$3:$B$212,2,0),"")</f>
        <v>YAMBRASBAMBA</v>
      </c>
      <c r="J107" s="46" t="s">
        <v>595</v>
      </c>
      <c r="K107" s="138" t="str">
        <f aca="false">IFERROR(VLOOKUP(TEXT(O107,"0"),CONDUCTORES!$A$3:$G$100,7,0),"")</f>
        <v/>
      </c>
      <c r="L107" s="44" t="n">
        <v>18.18</v>
      </c>
      <c r="M107" s="44" t="n">
        <v>4</v>
      </c>
      <c r="N107" s="139" t="n">
        <f aca="false">IFERROR(IF(L107*M107=0,"",L107*M107),"")</f>
        <v>72.72</v>
      </c>
      <c r="O107" s="140"/>
      <c r="P107" s="138" t="str">
        <f aca="false">IFERROR(VLOOKUP(TEXT(O107,"0"),CONDUCTORES!$A$3:$G$100,2,0),"")</f>
        <v/>
      </c>
      <c r="Q107" s="138" t="str">
        <f aca="false">IFERROR(VLOOKUP(TEXT(O107,"0"),CONDUCTORES!$A$3:$H$100,6,0),"")</f>
        <v/>
      </c>
      <c r="R107" s="85"/>
      <c r="S107" s="110" t="s">
        <v>1140</v>
      </c>
      <c r="T107" s="46"/>
      <c r="U107" s="85"/>
      <c r="V107" s="46"/>
      <c r="W107" s="46"/>
      <c r="X107" s="46"/>
      <c r="Y107" s="85"/>
    </row>
    <row r="108" customFormat="false" ht="15.75" hidden="false" customHeight="true" outlineLevel="0" collapsed="false">
      <c r="A108" s="106" t="n">
        <v>103</v>
      </c>
      <c r="B108" s="107" t="s">
        <v>926</v>
      </c>
      <c r="C108" s="106" t="s">
        <v>752</v>
      </c>
      <c r="D108" s="107" t="s">
        <v>4067</v>
      </c>
      <c r="E108" s="136" t="s">
        <v>99</v>
      </c>
      <c r="F108" s="106" t="s">
        <v>4068</v>
      </c>
      <c r="G108" s="137" t="n">
        <v>45957</v>
      </c>
      <c r="H108" s="106" t="s">
        <v>715</v>
      </c>
      <c r="I108" s="138" t="str">
        <f aca="false">IFERROR(VLOOKUP(TEXT(H108,"0"),IPRESS!$A$3:$B$212,2,0),"")</f>
        <v>YAULICACHI</v>
      </c>
      <c r="J108" s="106" t="s">
        <v>755</v>
      </c>
      <c r="K108" s="138" t="str">
        <f aca="false">IFERROR(VLOOKUP(TEXT(O108,"0"),CONDUCTORES!$A$3:$G$100,7,0),"")</f>
        <v/>
      </c>
      <c r="L108" s="50" t="n">
        <v>18.18</v>
      </c>
      <c r="M108" s="50" t="n">
        <v>20</v>
      </c>
      <c r="N108" s="139" t="n">
        <f aca="false">IFERROR(IF(L108*M108=0,"",L108*M108),"")</f>
        <v>363.6</v>
      </c>
      <c r="O108" s="85"/>
      <c r="P108" s="138" t="str">
        <f aca="false">IFERROR(VLOOKUP(TEXT(O108,"0"),CONDUCTORES!$A$3:$G$100,2,0),"")</f>
        <v/>
      </c>
      <c r="Q108" s="138" t="str">
        <f aca="false">IFERROR(VLOOKUP(TEXT(O108,"0"),CONDUCTORES!$A$3:$H$100,6,0),"")</f>
        <v/>
      </c>
      <c r="R108" s="140"/>
      <c r="S108" s="107" t="s">
        <v>839</v>
      </c>
      <c r="T108" s="136" t="s">
        <v>4069</v>
      </c>
      <c r="U108" s="140"/>
      <c r="V108" s="106"/>
      <c r="W108" s="106"/>
      <c r="X108" s="106"/>
      <c r="Y108" s="85"/>
    </row>
    <row r="109" customFormat="false" ht="15.75" hidden="false" customHeight="true" outlineLevel="0" collapsed="false">
      <c r="A109" s="143" t="n">
        <v>104</v>
      </c>
      <c r="B109" s="144" t="s">
        <v>836</v>
      </c>
      <c r="C109" s="143" t="s">
        <v>752</v>
      </c>
      <c r="D109" s="144" t="s">
        <v>4070</v>
      </c>
      <c r="E109" s="143" t="s">
        <v>99</v>
      </c>
      <c r="F109" s="143" t="s">
        <v>4071</v>
      </c>
      <c r="G109" s="145" t="n">
        <v>45960</v>
      </c>
      <c r="H109" s="143" t="s">
        <v>528</v>
      </c>
      <c r="I109" s="138" t="str">
        <f aca="false">IFERROR(VLOOKUP(TEXT(H109,"0"),IPRESS!$A$3:$B$212,2,0),"")</f>
        <v>MARIA</v>
      </c>
      <c r="J109" s="143" t="s">
        <v>755</v>
      </c>
      <c r="K109" s="138" t="str">
        <f aca="false">IFERROR(VLOOKUP(TEXT(O109,"0"),CONDUCTORES!$A$3:$G$100,7,0),"")</f>
        <v/>
      </c>
      <c r="L109" s="146" t="n">
        <v>17.95</v>
      </c>
      <c r="M109" s="146" t="n">
        <v>30</v>
      </c>
      <c r="N109" s="139" t="n">
        <f aca="false">IFERROR(IF(L109*M109=0,"",L109*M109),"")</f>
        <v>538.5</v>
      </c>
      <c r="O109" s="140"/>
      <c r="P109" s="138" t="str">
        <f aca="false">IFERROR(VLOOKUP(TEXT(O109,"0"),CONDUCTORES!$A$3:$G$100,2,0),"")</f>
        <v/>
      </c>
      <c r="Q109" s="138" t="str">
        <f aca="false">IFERROR(VLOOKUP(TEXT(O109,"0"),CONDUCTORES!$A$3:$H$100,6,0),"")</f>
        <v/>
      </c>
      <c r="R109" s="147"/>
      <c r="S109" s="144" t="s">
        <v>1140</v>
      </c>
      <c r="T109" s="143" t="s">
        <v>4072</v>
      </c>
      <c r="U109" s="147"/>
      <c r="V109" s="143"/>
      <c r="W109" s="143"/>
      <c r="X109" s="143"/>
      <c r="Y109" s="85"/>
    </row>
    <row r="110" customFormat="false" ht="15" hidden="false" customHeight="true" outlineLevel="0" collapsed="false">
      <c r="A110" s="85"/>
      <c r="B110" s="85"/>
      <c r="C110" s="85"/>
      <c r="D110" s="85"/>
      <c r="E110" s="85"/>
      <c r="F110" s="85"/>
      <c r="G110" s="85"/>
      <c r="H110" s="85"/>
      <c r="I110" s="138" t="str">
        <f aca="false">IFERROR(VLOOKUP(TEXT(H110,"0"),IPRESS!$A$3:$B$212,2,0),"")</f>
        <v/>
      </c>
      <c r="J110" s="85"/>
      <c r="K110" s="138" t="str">
        <f aca="false">IFERROR(VLOOKUP(TEXT(O110,"0"),CONDUCTORES!$A$3:$G$54,7,0),"")</f>
        <v/>
      </c>
      <c r="L110" s="85"/>
      <c r="M110" s="85"/>
      <c r="N110" s="139" t="str">
        <f aca="false">IFERROR(IF(L110*M110=0,"",L110*M110),"")</f>
        <v/>
      </c>
      <c r="O110" s="85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85"/>
      <c r="S110" s="85"/>
      <c r="T110" s="85"/>
      <c r="U110" s="85"/>
      <c r="V110" s="85"/>
      <c r="W110" s="85"/>
      <c r="X110" s="85"/>
      <c r="Y110" s="85"/>
    </row>
    <row r="111" customFormat="false" ht="24" hidden="false" customHeight="true" outlineLevel="0" collapsed="false">
      <c r="A111" s="148" t="s">
        <v>1177</v>
      </c>
      <c r="B111" s="148"/>
      <c r="C111" s="148"/>
      <c r="D111" s="148"/>
      <c r="E111" s="148"/>
      <c r="F111" s="148"/>
      <c r="G111" s="148"/>
      <c r="H111" s="148"/>
      <c r="I111" s="148"/>
      <c r="J111" s="148"/>
      <c r="K111" s="149"/>
      <c r="L111" s="85"/>
      <c r="M111" s="150" t="n">
        <f aca="false">SUBTOTAL(9,M4:M109)</f>
        <v>860.9</v>
      </c>
      <c r="N111" s="150" t="n">
        <f aca="false">SUBTOTAL(9,N4:N109)</f>
        <v>15958.465</v>
      </c>
      <c r="O111" s="85"/>
      <c r="P111" s="138" t="str">
        <f aca="false">IFERROR(VLOOKUP(TEXT(O111,"0"),CONDUCTORES!$A$3:$G$100,2,0),"")</f>
        <v/>
      </c>
      <c r="Q111" s="138" t="str">
        <f aca="false">IFERROR(VLOOKUP(TEXT(O111,"0"),CONDUCTORES!$A$3:$H$100,6,0),"")</f>
        <v/>
      </c>
      <c r="R111" s="85"/>
      <c r="S111" s="85"/>
      <c r="T111" s="85"/>
      <c r="U111" s="85"/>
      <c r="V111" s="85"/>
      <c r="W111" s="85"/>
      <c r="X111" s="85"/>
      <c r="Y111" s="85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49"/>
      <c r="J112" s="85"/>
      <c r="K112" s="149"/>
      <c r="L112" s="85"/>
      <c r="M112" s="85"/>
      <c r="N112" s="151"/>
      <c r="O112" s="85"/>
      <c r="P112" s="149"/>
      <c r="Q112" s="149"/>
      <c r="R112" s="85"/>
      <c r="S112" s="85"/>
      <c r="T112" s="85"/>
      <c r="U112" s="85"/>
      <c r="V112" s="85"/>
      <c r="W112" s="85"/>
      <c r="X112" s="85"/>
      <c r="Y112" s="85"/>
    </row>
    <row r="113" customFormat="false" ht="15" hidden="false" customHeight="true" outlineLevel="0" collapsed="false">
      <c r="A113" s="140"/>
      <c r="B113" s="140"/>
      <c r="C113" s="140"/>
      <c r="D113" s="140"/>
      <c r="E113" s="140"/>
      <c r="F113" s="140"/>
      <c r="G113" s="140"/>
      <c r="H113" s="140"/>
      <c r="I113" s="149"/>
      <c r="J113" s="140"/>
      <c r="K113" s="149"/>
      <c r="L113" s="140"/>
      <c r="M113" s="140"/>
      <c r="N113" s="151"/>
      <c r="O113" s="140"/>
      <c r="P113" s="149"/>
      <c r="Q113" s="149"/>
      <c r="R113" s="140"/>
      <c r="S113" s="140"/>
      <c r="T113" s="140"/>
      <c r="U113" s="140"/>
      <c r="V113" s="140"/>
      <c r="W113" s="140"/>
      <c r="X113" s="140"/>
      <c r="Y113" s="140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49"/>
      <c r="J114" s="85"/>
      <c r="K114" s="149"/>
      <c r="L114" s="85"/>
      <c r="M114" s="85"/>
      <c r="N114" s="151"/>
      <c r="O114" s="85"/>
      <c r="P114" s="149"/>
      <c r="Q114" s="149"/>
      <c r="R114" s="85"/>
      <c r="S114" s="85"/>
      <c r="T114" s="85"/>
      <c r="U114" s="85"/>
      <c r="V114" s="85"/>
      <c r="W114" s="85"/>
      <c r="X114" s="85"/>
      <c r="Y114" s="85"/>
    </row>
    <row r="115" customFormat="false" ht="15" hidden="false" customHeight="true" outlineLevel="0" collapsed="false">
      <c r="A115" s="140"/>
      <c r="B115" s="140"/>
      <c r="C115" s="140"/>
      <c r="D115" s="140"/>
      <c r="E115" s="140"/>
      <c r="F115" s="140"/>
      <c r="G115" s="140"/>
      <c r="H115" s="140"/>
      <c r="I115" s="149"/>
      <c r="J115" s="140"/>
      <c r="K115" s="149"/>
      <c r="L115" s="140"/>
      <c r="M115" s="140"/>
      <c r="N115" s="151"/>
      <c r="O115" s="140"/>
      <c r="P115" s="149"/>
      <c r="Q115" s="149"/>
      <c r="R115" s="140"/>
      <c r="S115" s="140"/>
      <c r="T115" s="140"/>
      <c r="U115" s="140"/>
      <c r="V115" s="140"/>
      <c r="W115" s="140"/>
      <c r="X115" s="140"/>
      <c r="Y115" s="140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38" t="str">
        <f aca="false">IFERROR(VLOOKUP(TEXT(H116,"0"),IPRESS!$A$3:$B$212,2,0),"")</f>
        <v/>
      </c>
      <c r="J116" s="85"/>
      <c r="K116" s="138" t="str">
        <f aca="false">IFERROR(VLOOKUP(TEXT(O116,"0"),CONDUCTORES!$A$3:$G$54,7,0),"")</f>
        <v/>
      </c>
      <c r="L116" s="85"/>
      <c r="M116" s="85"/>
      <c r="N116" s="139" t="str">
        <f aca="false">IFERROR(IF(L116*M116=0,"",L116*M116),"")</f>
        <v/>
      </c>
      <c r="O116" s="85"/>
      <c r="P116" s="138" t="str">
        <f aca="false">IFERROR(VLOOKUP(TEXT(O116,"0"),CONDUCTORES!$A$3:$G$54,2,0),"")</f>
        <v/>
      </c>
      <c r="Q116" s="138" t="str">
        <f aca="false">IFERROR(VLOOKUP(TEXT(O116,"0"),CONDUCTORES!$A$3:$H$54,6,0),"")</f>
        <v/>
      </c>
      <c r="R116" s="85"/>
      <c r="S116" s="85"/>
      <c r="T116" s="85"/>
      <c r="U116" s="85"/>
      <c r="V116" s="85"/>
      <c r="W116" s="85"/>
      <c r="X116" s="85"/>
      <c r="Y116" s="85"/>
    </row>
    <row r="117" customFormat="false" ht="15" hidden="false" customHeight="true" outlineLevel="0" collapsed="false">
      <c r="A117" s="140"/>
      <c r="B117" s="140"/>
      <c r="C117" s="140"/>
      <c r="D117" s="140"/>
      <c r="E117" s="140"/>
      <c r="F117" s="140"/>
      <c r="G117" s="140"/>
      <c r="H117" s="140"/>
      <c r="I117" s="138" t="str">
        <f aca="false">IFERROR(VLOOKUP(TEXT(H117,"0"),IPRESS!$A$3:$B$212,2,0),"")</f>
        <v/>
      </c>
      <c r="J117" s="140"/>
      <c r="K117" s="138" t="str">
        <f aca="false">IFERROR(VLOOKUP(TEXT(O117,"0"),CONDUCTORES!$A$3:$G$54,7,0),"")</f>
        <v/>
      </c>
      <c r="L117" s="140"/>
      <c r="M117" s="140"/>
      <c r="N117" s="139" t="str">
        <f aca="false">IFERROR(IF(L117*M117=0,"",L117*M117),"")</f>
        <v/>
      </c>
      <c r="O117" s="140"/>
      <c r="P117" s="138" t="str">
        <f aca="false">IFERROR(VLOOKUP(TEXT(O117,"0"),CONDUCTORES!$A$3:$G$54,2,0),"")</f>
        <v/>
      </c>
      <c r="Q117" s="138" t="str">
        <f aca="false">IFERROR(VLOOKUP(TEXT(O117,"0"),CONDUCTORES!$A$3:$H$54,6,0),"")</f>
        <v/>
      </c>
      <c r="R117" s="140"/>
      <c r="S117" s="140"/>
      <c r="T117" s="140"/>
      <c r="U117" s="140"/>
      <c r="V117" s="140"/>
      <c r="W117" s="140"/>
      <c r="X117" s="140"/>
      <c r="Y117" s="140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38" t="str">
        <f aca="false">IFERROR(VLOOKUP(TEXT(O118,"0"),CONDUCTORES!$A$3:$G$54,7,0),"")</f>
        <v/>
      </c>
      <c r="L118" s="85"/>
      <c r="M118" s="85"/>
      <c r="N118" s="139" t="str">
        <f aca="false">IFERROR(IF(L118*M118=0,"",L118*M118),"")</f>
        <v/>
      </c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</row>
    <row r="119" customFormat="false" ht="15" hidden="false" customHeight="tru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38" t="str">
        <f aca="false">IFERROR(VLOOKUP(TEXT(H119,"0"),IPRESS!$A$3:$B$212,2,0),"")</f>
        <v/>
      </c>
      <c r="J119" s="140"/>
      <c r="K119" s="138" t="str">
        <f aca="false">IFERROR(VLOOKUP(TEXT(O119,"0"),CONDUCTORES!$A$3:$G$54,7,0),"")</f>
        <v/>
      </c>
      <c r="L119" s="140"/>
      <c r="M119" s="140"/>
      <c r="N119" s="139" t="str">
        <f aca="false">IFERROR(IF(L119*M119=0,"",L119*M119),"")</f>
        <v/>
      </c>
      <c r="O119" s="140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140"/>
      <c r="S119" s="140"/>
      <c r="T119" s="140"/>
      <c r="U119" s="140"/>
      <c r="V119" s="140"/>
      <c r="W119" s="140"/>
      <c r="X119" s="140"/>
      <c r="Y119" s="140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1721.8</v>
      </c>
      <c r="N506" s="153" t="n">
        <f aca="false">SUM(N6:N505)</f>
        <v>31916.93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11:J111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10 E112:E505" type="list">
      <formula1>"DNI,CE,PASAPORTE"</formula1>
      <formula2>0</formula2>
    </dataValidation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4073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IFERROR(SUMPRODUCT((K4:K90="PETROLEO")*ISNUMBER(M4:M90)*M4:M90),0)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IFERROR(SUMPRODUCT((K4:K90="GASOLINA")*ISNUMBER(M4:M90)*M4:M90),0)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IFERROR(SUMPRODUCT(ISNUMBER(M4:M90)*L4:L90*M4:M90),0)</f>
        <v>0</v>
      </c>
      <c r="Q2" s="125"/>
      <c r="R2" s="125"/>
      <c r="S2" s="123" t="s">
        <v>727</v>
      </c>
      <c r="T2" s="123"/>
      <c r="U2" s="126" t="n">
        <f aca="false">SUBTOTAL(2,A4:A90)</f>
        <v>83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06" t="n">
        <v>1</v>
      </c>
      <c r="B6" s="107" t="s">
        <v>2497</v>
      </c>
      <c r="C6" s="106" t="s">
        <v>752</v>
      </c>
      <c r="D6" s="107" t="s">
        <v>4074</v>
      </c>
      <c r="E6" s="136" t="s">
        <v>99</v>
      </c>
      <c r="F6" s="106" t="s">
        <v>4075</v>
      </c>
      <c r="G6" s="137" t="n">
        <v>45962</v>
      </c>
      <c r="H6" s="106" t="s">
        <v>500</v>
      </c>
      <c r="I6" s="138" t="str">
        <f aca="false">IFERROR(VLOOKUP(TEXT(H6,"0"),IPRESS!$A$3:$B$212,2,0),"")</f>
        <v>LAMUD</v>
      </c>
      <c r="J6" s="106" t="s">
        <v>755</v>
      </c>
      <c r="K6" s="138" t="str">
        <f aca="false">IFERROR(VLOOKUP(TEXT(O6,"0"),CONDUCTORES!$A$3:$G$100,7,0),"")</f>
        <v/>
      </c>
      <c r="L6" s="50" t="n">
        <v>18.18</v>
      </c>
      <c r="M6" s="50" t="n">
        <v>4</v>
      </c>
      <c r="N6" s="139" t="n">
        <f aca="false">IFERROR(IF(L6*M6=0,"",L6*M6),"")</f>
        <v>72.72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37" t="n">
        <v>45987</v>
      </c>
      <c r="S6" s="107" t="s">
        <v>1803</v>
      </c>
      <c r="T6" s="136"/>
      <c r="U6" s="140"/>
      <c r="V6" s="106" t="s">
        <v>2349</v>
      </c>
      <c r="W6" s="106" t="s">
        <v>2350</v>
      </c>
      <c r="X6" s="106" t="s">
        <v>2351</v>
      </c>
      <c r="Y6" s="85"/>
    </row>
    <row r="7" customFormat="false" ht="15.75" hidden="false" customHeight="true" outlineLevel="0" collapsed="false">
      <c r="A7" s="46" t="n">
        <v>2</v>
      </c>
      <c r="B7" s="110" t="s">
        <v>1978</v>
      </c>
      <c r="C7" s="46" t="s">
        <v>752</v>
      </c>
      <c r="D7" s="110" t="s">
        <v>4076</v>
      </c>
      <c r="E7" s="46" t="s">
        <v>99</v>
      </c>
      <c r="F7" s="46" t="s">
        <v>4077</v>
      </c>
      <c r="G7" s="142" t="n">
        <v>45962</v>
      </c>
      <c r="H7" s="46" t="s">
        <v>595</v>
      </c>
      <c r="I7" s="138" t="str">
        <f aca="false">IFERROR(VLOOKUP(TEXT(H7,"0"),IPRESS!$A$3:$B$212,2,0),"")</f>
        <v>POMACOCHAS</v>
      </c>
      <c r="J7" s="46" t="s">
        <v>755</v>
      </c>
      <c r="K7" s="138" t="str">
        <f aca="false">IFERROR(VLOOKUP(TEXT(O7,"0"),CONDUCTORES!$A$3:$G$100,7,0),"")</f>
        <v/>
      </c>
      <c r="L7" s="44" t="n">
        <v>18.18</v>
      </c>
      <c r="M7" s="44" t="n">
        <v>6</v>
      </c>
      <c r="N7" s="139" t="n">
        <f aca="false">IFERROR(IF(L7*M7=0,"",L7*M7),"")</f>
        <v>109.08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142" t="n">
        <v>45996</v>
      </c>
      <c r="S7" s="110" t="s">
        <v>4078</v>
      </c>
      <c r="T7" s="46"/>
      <c r="U7" s="85"/>
      <c r="V7" s="46"/>
      <c r="W7" s="46"/>
      <c r="X7" s="46"/>
      <c r="Y7" s="85"/>
    </row>
    <row r="8" customFormat="false" ht="15.75" hidden="false" customHeight="true" outlineLevel="0" collapsed="false">
      <c r="A8" s="106" t="n">
        <v>3</v>
      </c>
      <c r="B8" s="107" t="s">
        <v>2494</v>
      </c>
      <c r="C8" s="106" t="s">
        <v>752</v>
      </c>
      <c r="D8" s="107" t="s">
        <v>4079</v>
      </c>
      <c r="E8" s="136" t="s">
        <v>99</v>
      </c>
      <c r="F8" s="106" t="s">
        <v>4080</v>
      </c>
      <c r="G8" s="137" t="n">
        <v>45963</v>
      </c>
      <c r="H8" s="106" t="s">
        <v>500</v>
      </c>
      <c r="I8" s="138" t="str">
        <f aca="false">IFERROR(VLOOKUP(TEXT(H8,"0"),IPRESS!$A$3:$B$212,2,0),"")</f>
        <v>LAMUD</v>
      </c>
      <c r="J8" s="106" t="s">
        <v>755</v>
      </c>
      <c r="K8" s="138" t="str">
        <f aca="false">IFERROR(VLOOKUP(TEXT(O8,"0"),CONDUCTORES!$A$3:$G$100,7,0),"")</f>
        <v/>
      </c>
      <c r="L8" s="50" t="n">
        <v>18.18</v>
      </c>
      <c r="M8" s="50" t="n">
        <v>4</v>
      </c>
      <c r="N8" s="139" t="n">
        <f aca="false">IFERROR(IF(L8*M8=0,"",L8*M8),"")</f>
        <v>72.72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37" t="n">
        <v>45987</v>
      </c>
      <c r="S8" s="107" t="s">
        <v>4081</v>
      </c>
      <c r="T8" s="136"/>
      <c r="U8" s="140"/>
      <c r="V8" s="106" t="s">
        <v>2349</v>
      </c>
      <c r="W8" s="106" t="s">
        <v>2350</v>
      </c>
      <c r="X8" s="106" t="s">
        <v>2351</v>
      </c>
      <c r="Y8" s="85"/>
    </row>
    <row r="9" customFormat="false" ht="15.75" hidden="false" customHeight="true" outlineLevel="0" collapsed="false">
      <c r="A9" s="46" t="n">
        <v>4</v>
      </c>
      <c r="B9" s="110" t="s">
        <v>1128</v>
      </c>
      <c r="C9" s="46" t="s">
        <v>752</v>
      </c>
      <c r="D9" s="110" t="s">
        <v>4082</v>
      </c>
      <c r="E9" s="46" t="s">
        <v>99</v>
      </c>
      <c r="F9" s="46" t="s">
        <v>4083</v>
      </c>
      <c r="G9" s="142" t="n">
        <v>45964</v>
      </c>
      <c r="H9" s="46" t="s">
        <v>407</v>
      </c>
      <c r="I9" s="138" t="str">
        <f aca="false">IFERROR(VLOOKUP(TEXT(H9,"0"),IPRESS!$A$3:$B$212,2,0),"")</f>
        <v>COCOCHO</v>
      </c>
      <c r="J9" s="46" t="s">
        <v>755</v>
      </c>
      <c r="K9" s="138" t="str">
        <f aca="false">IFERROR(VLOOKUP(TEXT(O9,"0"),CONDUCTORES!$A$3:$G$100,7,0),"")</f>
        <v/>
      </c>
      <c r="L9" s="44" t="n">
        <v>18.18</v>
      </c>
      <c r="M9" s="44" t="n">
        <v>25</v>
      </c>
      <c r="N9" s="139" t="n">
        <f aca="false">IFERROR(IF(L9*M9=0,"",L9*M9),"")</f>
        <v>454.5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142" t="n">
        <v>45989</v>
      </c>
      <c r="S9" s="110" t="s">
        <v>4084</v>
      </c>
      <c r="T9" s="46"/>
      <c r="U9" s="85"/>
      <c r="V9" s="46" t="s">
        <v>3790</v>
      </c>
      <c r="W9" s="46" t="s">
        <v>2554</v>
      </c>
      <c r="X9" s="46" t="s">
        <v>2351</v>
      </c>
      <c r="Y9" s="85"/>
    </row>
    <row r="10" customFormat="false" ht="15.75" hidden="false" customHeight="true" outlineLevel="0" collapsed="false">
      <c r="A10" s="106" t="n">
        <v>5</v>
      </c>
      <c r="B10" s="107" t="s">
        <v>2501</v>
      </c>
      <c r="C10" s="106" t="s">
        <v>752</v>
      </c>
      <c r="D10" s="107" t="s">
        <v>4085</v>
      </c>
      <c r="E10" s="136" t="s">
        <v>99</v>
      </c>
      <c r="F10" s="106" t="s">
        <v>4086</v>
      </c>
      <c r="G10" s="137" t="n">
        <v>45964</v>
      </c>
      <c r="H10" s="106" t="s">
        <v>500</v>
      </c>
      <c r="I10" s="138" t="str">
        <f aca="false">IFERROR(VLOOKUP(TEXT(H10,"0"),IPRESS!$A$3:$B$212,2,0),"")</f>
        <v>LAMUD</v>
      </c>
      <c r="J10" s="106" t="s">
        <v>755</v>
      </c>
      <c r="K10" s="138" t="str">
        <f aca="false">IFERROR(VLOOKUP(TEXT(O10,"0"),CONDUCTORES!$A$3:$G$100,7,0),"")</f>
        <v/>
      </c>
      <c r="L10" s="50" t="n">
        <v>18.18</v>
      </c>
      <c r="M10" s="50" t="n">
        <v>4</v>
      </c>
      <c r="N10" s="139" t="n">
        <f aca="false">IFERROR(IF(L10*M10=0,"",L10*M10),"")</f>
        <v>72.72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37" t="n">
        <v>45987</v>
      </c>
      <c r="S10" s="107" t="s">
        <v>4087</v>
      </c>
      <c r="T10" s="136"/>
      <c r="U10" s="140"/>
      <c r="V10" s="106" t="s">
        <v>2349</v>
      </c>
      <c r="W10" s="106" t="s">
        <v>2350</v>
      </c>
      <c r="X10" s="106" t="s">
        <v>2351</v>
      </c>
      <c r="Y10" s="85"/>
    </row>
    <row r="11" customFormat="false" ht="15.75" hidden="false" customHeight="true" outlineLevel="0" collapsed="false">
      <c r="A11" s="46" t="n">
        <v>6</v>
      </c>
      <c r="B11" s="110" t="s">
        <v>1948</v>
      </c>
      <c r="C11" s="46" t="s">
        <v>752</v>
      </c>
      <c r="D11" s="110" t="s">
        <v>4088</v>
      </c>
      <c r="E11" s="46" t="s">
        <v>99</v>
      </c>
      <c r="F11" s="46" t="s">
        <v>4089</v>
      </c>
      <c r="G11" s="142" t="n">
        <v>45964</v>
      </c>
      <c r="H11" s="46" t="s">
        <v>517</v>
      </c>
      <c r="I11" s="138" t="str">
        <f aca="false">IFERROR(VLOOKUP(TEXT(H11,"0"),IPRESS!$A$3:$B$212,2,0),"")</f>
        <v>LUYA</v>
      </c>
      <c r="J11" s="46" t="s">
        <v>755</v>
      </c>
      <c r="K11" s="138" t="str">
        <f aca="false">IFERROR(VLOOKUP(TEXT(O11,"0"),CONDUCTORES!$A$3:$G$100,7,0),"")</f>
        <v/>
      </c>
      <c r="L11" s="44" t="n">
        <v>18.18</v>
      </c>
      <c r="M11" s="44" t="n">
        <v>4</v>
      </c>
      <c r="N11" s="139" t="n">
        <f aca="false">IFERROR(IF(L11*M11=0,"",L11*M11),"")</f>
        <v>72.72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142" t="n">
        <v>45988</v>
      </c>
      <c r="S11" s="110" t="s">
        <v>4090</v>
      </c>
      <c r="T11" s="46"/>
      <c r="U11" s="85"/>
      <c r="V11" s="46" t="s">
        <v>3941</v>
      </c>
      <c r="W11" s="46" t="s">
        <v>2648</v>
      </c>
      <c r="X11" s="46" t="s">
        <v>2351</v>
      </c>
      <c r="Y11" s="85"/>
    </row>
    <row r="12" customFormat="false" ht="15.75" hidden="false" customHeight="true" outlineLevel="0" collapsed="false">
      <c r="A12" s="106" t="n">
        <v>7</v>
      </c>
      <c r="B12" s="107" t="s">
        <v>1981</v>
      </c>
      <c r="C12" s="106" t="s">
        <v>752</v>
      </c>
      <c r="D12" s="107" t="s">
        <v>4091</v>
      </c>
      <c r="E12" s="136" t="s">
        <v>99</v>
      </c>
      <c r="F12" s="106" t="s">
        <v>4092</v>
      </c>
      <c r="G12" s="137" t="n">
        <v>45964</v>
      </c>
      <c r="H12" s="106" t="s">
        <v>595</v>
      </c>
      <c r="I12" s="138" t="str">
        <f aca="false">IFERROR(VLOOKUP(TEXT(H12,"0"),IPRESS!$A$3:$B$212,2,0),"")</f>
        <v>POMACOCHAS</v>
      </c>
      <c r="J12" s="106" t="s">
        <v>755</v>
      </c>
      <c r="K12" s="138" t="str">
        <f aca="false">IFERROR(VLOOKUP(TEXT(O12,"0"),CONDUCTORES!$A$3:$G$100,7,0),"")</f>
        <v/>
      </c>
      <c r="L12" s="50" t="n">
        <v>18.18</v>
      </c>
      <c r="M12" s="50" t="n">
        <v>6</v>
      </c>
      <c r="N12" s="139" t="n">
        <f aca="false">IFERROR(IF(L12*M12=0,"",L12*M12),"")</f>
        <v>109.08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37" t="n">
        <v>45996</v>
      </c>
      <c r="S12" s="107" t="s">
        <v>1375</v>
      </c>
      <c r="T12" s="136"/>
      <c r="U12" s="140"/>
      <c r="V12" s="106"/>
      <c r="W12" s="106"/>
      <c r="X12" s="106"/>
      <c r="Y12" s="85"/>
    </row>
    <row r="13" customFormat="false" ht="15.75" hidden="false" customHeight="true" outlineLevel="0" collapsed="false">
      <c r="A13" s="143" t="n">
        <v>8</v>
      </c>
      <c r="B13" s="144" t="s">
        <v>2014</v>
      </c>
      <c r="C13" s="143" t="s">
        <v>752</v>
      </c>
      <c r="D13" s="144" t="s">
        <v>4093</v>
      </c>
      <c r="E13" s="143" t="s">
        <v>99</v>
      </c>
      <c r="F13" s="143" t="s">
        <v>4094</v>
      </c>
      <c r="G13" s="145" t="n">
        <v>45965</v>
      </c>
      <c r="H13" s="143" t="s">
        <v>581</v>
      </c>
      <c r="I13" s="138" t="str">
        <f aca="false">IFERROR(VLOOKUP(TEXT(H13,"0"),IPRESS!$A$3:$B$212,2,0),"")</f>
        <v>PEDRO RUIZ GALLO</v>
      </c>
      <c r="J13" s="143" t="s">
        <v>755</v>
      </c>
      <c r="K13" s="138" t="str">
        <f aca="false">IFERROR(VLOOKUP(TEXT(O13,"0"),CONDUCTORES!$A$3:$G$100,7,0),"")</f>
        <v/>
      </c>
      <c r="L13" s="146" t="n">
        <v>17.95</v>
      </c>
      <c r="M13" s="146" t="n">
        <v>6</v>
      </c>
      <c r="N13" s="139" t="n">
        <f aca="false">IFERROR(IF(L13*M13=0,"",L13*M13),"")</f>
        <v>107.7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145" t="n">
        <v>45989</v>
      </c>
      <c r="S13" s="144" t="s">
        <v>4095</v>
      </c>
      <c r="T13" s="143"/>
      <c r="U13" s="147"/>
      <c r="V13" s="143" t="s">
        <v>4096</v>
      </c>
      <c r="W13" s="143" t="s">
        <v>3034</v>
      </c>
      <c r="X13" s="143" t="s">
        <v>761</v>
      </c>
      <c r="Y13" s="85"/>
    </row>
    <row r="14" customFormat="false" ht="15.75" hidden="false" customHeight="true" outlineLevel="0" collapsed="false">
      <c r="A14" s="106" t="n">
        <v>9</v>
      </c>
      <c r="B14" s="107" t="s">
        <v>2007</v>
      </c>
      <c r="C14" s="106" t="s">
        <v>752</v>
      </c>
      <c r="D14" s="107" t="s">
        <v>4097</v>
      </c>
      <c r="E14" s="136" t="s">
        <v>99</v>
      </c>
      <c r="F14" s="106" t="s">
        <v>4098</v>
      </c>
      <c r="G14" s="137" t="n">
        <v>45965</v>
      </c>
      <c r="H14" s="106" t="s">
        <v>581</v>
      </c>
      <c r="I14" s="138" t="str">
        <f aca="false">IFERROR(VLOOKUP(TEXT(H14,"0"),IPRESS!$A$3:$B$212,2,0),"")</f>
        <v>PEDRO RUIZ GALLO</v>
      </c>
      <c r="J14" s="106" t="s">
        <v>755</v>
      </c>
      <c r="K14" s="138" t="str">
        <f aca="false">IFERROR(VLOOKUP(TEXT(O14,"0"),CONDUCTORES!$A$3:$G$100,7,0),"")</f>
        <v/>
      </c>
      <c r="L14" s="50" t="n">
        <v>18.18</v>
      </c>
      <c r="M14" s="50" t="n">
        <v>5</v>
      </c>
      <c r="N14" s="139" t="n">
        <f aca="false">IFERROR(IF(L14*M14=0,"",L14*M14),"")</f>
        <v>90.9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37" t="n">
        <v>45970</v>
      </c>
      <c r="S14" s="107" t="s">
        <v>3974</v>
      </c>
      <c r="T14" s="136"/>
      <c r="U14" s="140"/>
      <c r="V14" s="106" t="s">
        <v>3971</v>
      </c>
      <c r="W14" s="106" t="s">
        <v>2554</v>
      </c>
      <c r="X14" s="106" t="s">
        <v>2351</v>
      </c>
      <c r="Y14" s="85"/>
    </row>
    <row r="15" customFormat="false" ht="15.75" hidden="false" customHeight="true" outlineLevel="0" collapsed="false">
      <c r="A15" s="46" t="n">
        <v>10</v>
      </c>
      <c r="B15" s="110" t="s">
        <v>1984</v>
      </c>
      <c r="C15" s="46" t="s">
        <v>752</v>
      </c>
      <c r="D15" s="110" t="s">
        <v>4099</v>
      </c>
      <c r="E15" s="46" t="s">
        <v>99</v>
      </c>
      <c r="F15" s="46" t="s">
        <v>4100</v>
      </c>
      <c r="G15" s="142" t="n">
        <v>45965</v>
      </c>
      <c r="H15" s="46" t="s">
        <v>595</v>
      </c>
      <c r="I15" s="138" t="str">
        <f aca="false">IFERROR(VLOOKUP(TEXT(H15,"0"),IPRESS!$A$3:$B$212,2,0),"")</f>
        <v>POMACOCHAS</v>
      </c>
      <c r="J15" s="46" t="s">
        <v>755</v>
      </c>
      <c r="K15" s="138" t="str">
        <f aca="false">IFERROR(VLOOKUP(TEXT(O15,"0"),CONDUCTORES!$A$3:$G$100,7,0),"")</f>
        <v/>
      </c>
      <c r="L15" s="44" t="n">
        <v>18.18</v>
      </c>
      <c r="M15" s="44" t="n">
        <v>8</v>
      </c>
      <c r="N15" s="139" t="n">
        <f aca="false">IFERROR(IF(L15*M15=0,"",L15*M15),"")</f>
        <v>145.44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142" t="n">
        <v>45996</v>
      </c>
      <c r="S15" s="110" t="s">
        <v>847</v>
      </c>
      <c r="T15" s="46"/>
      <c r="U15" s="85"/>
      <c r="V15" s="46"/>
      <c r="W15" s="46"/>
      <c r="X15" s="46"/>
      <c r="Y15" s="85"/>
    </row>
    <row r="16" customFormat="false" ht="15.75" hidden="false" customHeight="true" outlineLevel="0" collapsed="false">
      <c r="A16" s="106" t="n">
        <v>11</v>
      </c>
      <c r="B16" s="107" t="s">
        <v>1134</v>
      </c>
      <c r="C16" s="106" t="s">
        <v>752</v>
      </c>
      <c r="D16" s="107" t="s">
        <v>4101</v>
      </c>
      <c r="E16" s="136" t="s">
        <v>99</v>
      </c>
      <c r="F16" s="106" t="s">
        <v>4102</v>
      </c>
      <c r="G16" s="137" t="n">
        <v>45966</v>
      </c>
      <c r="H16" s="106" t="s">
        <v>407</v>
      </c>
      <c r="I16" s="138" t="str">
        <f aca="false">IFERROR(VLOOKUP(TEXT(H16,"0"),IPRESS!$A$3:$B$212,2,0),"")</f>
        <v>COCOCHO</v>
      </c>
      <c r="J16" s="106" t="s">
        <v>1216</v>
      </c>
      <c r="K16" s="138" t="str">
        <f aca="false">IFERROR(VLOOKUP(TEXT(O16,"0"),CONDUCTORES!$A$3:$G$100,7,0),"")</f>
        <v/>
      </c>
      <c r="L16" s="50" t="n">
        <v>18.18</v>
      </c>
      <c r="M16" s="50" t="n">
        <v>20</v>
      </c>
      <c r="N16" s="139" t="n">
        <f aca="false">IFERROR(IF(L16*M16=0,"",L16*M16),"")</f>
        <v>363.6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37" t="n">
        <v>45989</v>
      </c>
      <c r="S16" s="107" t="s">
        <v>3793</v>
      </c>
      <c r="T16" s="136"/>
      <c r="U16" s="140"/>
      <c r="V16" s="106" t="s">
        <v>3790</v>
      </c>
      <c r="W16" s="106" t="s">
        <v>2554</v>
      </c>
      <c r="X16" s="106" t="s">
        <v>2351</v>
      </c>
      <c r="Y16" s="85"/>
    </row>
    <row r="17" customFormat="false" ht="15.75" hidden="false" customHeight="true" outlineLevel="0" collapsed="false">
      <c r="A17" s="46" t="n">
        <v>12</v>
      </c>
      <c r="B17" s="110" t="s">
        <v>1987</v>
      </c>
      <c r="C17" s="46" t="s">
        <v>752</v>
      </c>
      <c r="D17" s="110" t="s">
        <v>4103</v>
      </c>
      <c r="E17" s="46" t="s">
        <v>99</v>
      </c>
      <c r="F17" s="46" t="s">
        <v>4104</v>
      </c>
      <c r="G17" s="142" t="n">
        <v>45966</v>
      </c>
      <c r="H17" s="46" t="s">
        <v>595</v>
      </c>
      <c r="I17" s="138" t="str">
        <f aca="false">IFERROR(VLOOKUP(TEXT(H17,"0"),IPRESS!$A$3:$B$212,2,0),"")</f>
        <v>POMACOCHAS</v>
      </c>
      <c r="J17" s="46" t="s">
        <v>755</v>
      </c>
      <c r="K17" s="138" t="str">
        <f aca="false">IFERROR(VLOOKUP(TEXT(O17,"0"),CONDUCTORES!$A$3:$G$100,7,0),"")</f>
        <v/>
      </c>
      <c r="L17" s="44" t="n">
        <v>18.18</v>
      </c>
      <c r="M17" s="44" t="n">
        <v>6</v>
      </c>
      <c r="N17" s="139" t="n">
        <f aca="false">IFERROR(IF(L17*M17=0,"",L17*M17),"")</f>
        <v>109.08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142" t="n">
        <v>45996</v>
      </c>
      <c r="S17" s="110" t="s">
        <v>4105</v>
      </c>
      <c r="T17" s="46"/>
      <c r="U17" s="85"/>
      <c r="V17" s="46"/>
      <c r="W17" s="46"/>
      <c r="X17" s="46"/>
      <c r="Y17" s="85"/>
    </row>
    <row r="18" customFormat="false" ht="15.75" hidden="false" customHeight="true" outlineLevel="0" collapsed="false">
      <c r="A18" s="106" t="n">
        <v>13</v>
      </c>
      <c r="B18" s="107" t="s">
        <v>4106</v>
      </c>
      <c r="C18" s="106" t="s">
        <v>752</v>
      </c>
      <c r="D18" s="107" t="s">
        <v>4107</v>
      </c>
      <c r="E18" s="136" t="s">
        <v>99</v>
      </c>
      <c r="F18" s="106" t="s">
        <v>4108</v>
      </c>
      <c r="G18" s="137" t="n">
        <v>45966</v>
      </c>
      <c r="H18" s="106" t="s">
        <v>595</v>
      </c>
      <c r="I18" s="138" t="str">
        <f aca="false">IFERROR(VLOOKUP(TEXT(H18,"0"),IPRESS!$A$3:$B$212,2,0),"")</f>
        <v>POMACOCHAS</v>
      </c>
      <c r="J18" s="106" t="s">
        <v>755</v>
      </c>
      <c r="K18" s="138" t="str">
        <f aca="false">IFERROR(VLOOKUP(TEXT(O18,"0"),CONDUCTORES!$A$3:$G$100,7,0),"")</f>
        <v/>
      </c>
      <c r="L18" s="50" t="n">
        <v>18.18</v>
      </c>
      <c r="M18" s="50" t="n">
        <v>8</v>
      </c>
      <c r="N18" s="139" t="n">
        <f aca="false">IFERROR(IF(L18*M18=0,"",L18*M18),"")</f>
        <v>145.44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40"/>
      <c r="S18" s="107" t="s">
        <v>4109</v>
      </c>
      <c r="T18" s="136"/>
      <c r="U18" s="140"/>
      <c r="V18" s="106"/>
      <c r="W18" s="106"/>
      <c r="X18" s="106"/>
      <c r="Y18" s="85"/>
    </row>
    <row r="19" customFormat="false" ht="15.75" hidden="false" customHeight="true" outlineLevel="0" collapsed="false">
      <c r="A19" s="46" t="n">
        <v>14</v>
      </c>
      <c r="B19" s="110" t="s">
        <v>4110</v>
      </c>
      <c r="C19" s="46" t="s">
        <v>752</v>
      </c>
      <c r="D19" s="110" t="s">
        <v>4111</v>
      </c>
      <c r="E19" s="46" t="s">
        <v>99</v>
      </c>
      <c r="F19" s="46" t="s">
        <v>4112</v>
      </c>
      <c r="G19" s="142" t="n">
        <v>45967</v>
      </c>
      <c r="H19" s="46" t="s">
        <v>529</v>
      </c>
      <c r="I19" s="138" t="str">
        <f aca="false">IFERROR(VLOOKUP(TEXT(H19,"0"),IPRESS!$A$3:$B$212,2,0),"")</f>
        <v>MARIA AUXILIADORA</v>
      </c>
      <c r="J19" s="46" t="s">
        <v>755</v>
      </c>
      <c r="K19" s="138" t="str">
        <f aca="false">IFERROR(VLOOKUP(TEXT(O19,"0"),CONDUCTORES!$A$3:$G$100,7,0),"")</f>
        <v/>
      </c>
      <c r="L19" s="44" t="n">
        <v>20.25</v>
      </c>
      <c r="M19" s="44" t="n">
        <v>7</v>
      </c>
      <c r="N19" s="139" t="n">
        <f aca="false">IFERROR(IF(L19*M19=0,"",L19*M19),"")</f>
        <v>141.75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142" t="n">
        <v>45988</v>
      </c>
      <c r="S19" s="110" t="s">
        <v>2304</v>
      </c>
      <c r="T19" s="46"/>
      <c r="U19" s="85"/>
      <c r="V19" s="46" t="s">
        <v>2633</v>
      </c>
      <c r="W19" s="46" t="s">
        <v>760</v>
      </c>
      <c r="X19" s="46" t="s">
        <v>761</v>
      </c>
      <c r="Y19" s="85"/>
    </row>
    <row r="20" customFormat="false" ht="15.75" hidden="false" customHeight="true" outlineLevel="0" collapsed="false">
      <c r="A20" s="106" t="n">
        <v>15</v>
      </c>
      <c r="B20" s="107" t="s">
        <v>4113</v>
      </c>
      <c r="C20" s="106" t="s">
        <v>752</v>
      </c>
      <c r="D20" s="107" t="s">
        <v>4114</v>
      </c>
      <c r="E20" s="136" t="s">
        <v>99</v>
      </c>
      <c r="F20" s="106" t="s">
        <v>4115</v>
      </c>
      <c r="G20" s="137" t="n">
        <v>45967</v>
      </c>
      <c r="H20" s="106" t="s">
        <v>529</v>
      </c>
      <c r="I20" s="138" t="str">
        <f aca="false">IFERROR(VLOOKUP(TEXT(H20,"0"),IPRESS!$A$3:$B$212,2,0),"")</f>
        <v>MARIA AUXILIADORA</v>
      </c>
      <c r="J20" s="106" t="s">
        <v>755</v>
      </c>
      <c r="K20" s="138" t="str">
        <f aca="false">IFERROR(VLOOKUP(TEXT(O20,"0"),CONDUCTORES!$A$3:$G$100,7,0),"")</f>
        <v/>
      </c>
      <c r="L20" s="50" t="n">
        <v>20.25</v>
      </c>
      <c r="M20" s="50" t="n">
        <v>7</v>
      </c>
      <c r="N20" s="139" t="n">
        <f aca="false">IFERROR(IF(L20*M20=0,"",L20*M20),"")</f>
        <v>141.75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37" t="n">
        <v>45988</v>
      </c>
      <c r="S20" s="107" t="s">
        <v>4116</v>
      </c>
      <c r="T20" s="136"/>
      <c r="U20" s="140"/>
      <c r="V20" s="106" t="s">
        <v>2633</v>
      </c>
      <c r="W20" s="106" t="s">
        <v>760</v>
      </c>
      <c r="X20" s="106" t="s">
        <v>761</v>
      </c>
      <c r="Y20" s="85"/>
    </row>
    <row r="21" customFormat="false" ht="15.75" hidden="false" customHeight="true" outlineLevel="0" collapsed="false">
      <c r="A21" s="46" t="n">
        <v>16</v>
      </c>
      <c r="B21" s="110" t="s">
        <v>4117</v>
      </c>
      <c r="C21" s="46" t="s">
        <v>752</v>
      </c>
      <c r="D21" s="110" t="s">
        <v>4118</v>
      </c>
      <c r="E21" s="46" t="s">
        <v>99</v>
      </c>
      <c r="F21" s="46" t="s">
        <v>4119</v>
      </c>
      <c r="G21" s="142" t="n">
        <v>45967</v>
      </c>
      <c r="H21" s="46" t="s">
        <v>529</v>
      </c>
      <c r="I21" s="138" t="str">
        <f aca="false">IFERROR(VLOOKUP(TEXT(H21,"0"),IPRESS!$A$3:$B$212,2,0),"")</f>
        <v>MARIA AUXILIADORA</v>
      </c>
      <c r="J21" s="46" t="s">
        <v>755</v>
      </c>
      <c r="K21" s="138" t="str">
        <f aca="false">IFERROR(VLOOKUP(TEXT(O21,"0"),CONDUCTORES!$A$3:$G$100,7,0),"")</f>
        <v/>
      </c>
      <c r="L21" s="44" t="n">
        <v>20.25</v>
      </c>
      <c r="M21" s="44" t="n">
        <v>7</v>
      </c>
      <c r="N21" s="139" t="n">
        <f aca="false">IFERROR(IF(L21*M21=0,"",L21*M21),"")</f>
        <v>141.75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142" t="n">
        <v>45988</v>
      </c>
      <c r="S21" s="110" t="s">
        <v>4120</v>
      </c>
      <c r="T21" s="46"/>
      <c r="U21" s="85"/>
      <c r="V21" s="46" t="s">
        <v>2633</v>
      </c>
      <c r="W21" s="46" t="s">
        <v>760</v>
      </c>
      <c r="X21" s="46" t="s">
        <v>761</v>
      </c>
      <c r="Y21" s="85"/>
    </row>
    <row r="22" customFormat="false" ht="15.75" hidden="false" customHeight="true" outlineLevel="0" collapsed="false">
      <c r="A22" s="106" t="n">
        <v>17</v>
      </c>
      <c r="B22" s="107" t="s">
        <v>1338</v>
      </c>
      <c r="C22" s="106" t="s">
        <v>752</v>
      </c>
      <c r="D22" s="107" t="s">
        <v>4121</v>
      </c>
      <c r="E22" s="136" t="s">
        <v>99</v>
      </c>
      <c r="F22" s="106" t="s">
        <v>4122</v>
      </c>
      <c r="G22" s="137" t="n">
        <v>45968</v>
      </c>
      <c r="H22" s="106" t="s">
        <v>717</v>
      </c>
      <c r="I22" s="138" t="str">
        <f aca="false">IFERROR(VLOOKUP(TEXT(H22,"0"),IPRESS!$A$3:$B$212,2,0),"")</f>
        <v>YERBABUENA</v>
      </c>
      <c r="J22" s="106" t="s">
        <v>755</v>
      </c>
      <c r="K22" s="138" t="str">
        <f aca="false">IFERROR(VLOOKUP(TEXT(O22,"0"),CONDUCTORES!$A$3:$G$100,7,0),"")</f>
        <v/>
      </c>
      <c r="L22" s="50" t="n">
        <v>18.18</v>
      </c>
      <c r="M22" s="50" t="n">
        <v>12</v>
      </c>
      <c r="N22" s="139" t="n">
        <f aca="false">IFERROR(IF(L22*M22=0,"",L22*M22),"")</f>
        <v>218.16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37" t="n">
        <v>45992</v>
      </c>
      <c r="S22" s="107" t="s">
        <v>1487</v>
      </c>
      <c r="T22" s="136" t="s">
        <v>4123</v>
      </c>
      <c r="U22" s="140"/>
      <c r="V22" s="106"/>
      <c r="W22" s="106"/>
      <c r="X22" s="106"/>
      <c r="Y22" s="85"/>
    </row>
    <row r="23" customFormat="false" ht="15.75" hidden="false" customHeight="true" outlineLevel="0" collapsed="false">
      <c r="A23" s="46" t="n">
        <v>18</v>
      </c>
      <c r="B23" s="110" t="s">
        <v>4124</v>
      </c>
      <c r="C23" s="46" t="s">
        <v>752</v>
      </c>
      <c r="D23" s="110" t="s">
        <v>1135</v>
      </c>
      <c r="E23" s="46" t="s">
        <v>99</v>
      </c>
      <c r="F23" s="46" t="s">
        <v>1136</v>
      </c>
      <c r="G23" s="142" t="n">
        <v>45969</v>
      </c>
      <c r="H23" s="46" t="s">
        <v>529</v>
      </c>
      <c r="I23" s="138" t="str">
        <f aca="false">IFERROR(VLOOKUP(TEXT(H23,"0"),IPRESS!$A$3:$B$212,2,0),"")</f>
        <v>MARIA AUXILIADORA</v>
      </c>
      <c r="J23" s="46" t="s">
        <v>755</v>
      </c>
      <c r="K23" s="138" t="str">
        <f aca="false">IFERROR(VLOOKUP(TEXT(O23,"0"),CONDUCTORES!$A$3:$G$100,7,0),"")</f>
        <v/>
      </c>
      <c r="L23" s="44" t="n">
        <v>20.25</v>
      </c>
      <c r="M23" s="44" t="n">
        <v>6.7</v>
      </c>
      <c r="N23" s="139" t="n">
        <f aca="false">IFERROR(IF(L23*M23=0,"",L23*M23),"")</f>
        <v>135.675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142" t="n">
        <v>45988</v>
      </c>
      <c r="S23" s="110" t="s">
        <v>4125</v>
      </c>
      <c r="T23" s="46"/>
      <c r="U23" s="85"/>
      <c r="V23" s="46" t="s">
        <v>2633</v>
      </c>
      <c r="W23" s="46" t="s">
        <v>760</v>
      </c>
      <c r="X23" s="46" t="s">
        <v>761</v>
      </c>
      <c r="Y23" s="85"/>
    </row>
    <row r="24" customFormat="false" ht="15.75" hidden="false" customHeight="true" outlineLevel="0" collapsed="false">
      <c r="A24" s="106" t="n">
        <v>19</v>
      </c>
      <c r="B24" s="107" t="s">
        <v>4126</v>
      </c>
      <c r="C24" s="106" t="s">
        <v>752</v>
      </c>
      <c r="D24" s="107" t="s">
        <v>4127</v>
      </c>
      <c r="E24" s="136" t="s">
        <v>99</v>
      </c>
      <c r="F24" s="106" t="s">
        <v>4128</v>
      </c>
      <c r="G24" s="137" t="n">
        <v>45970</v>
      </c>
      <c r="H24" s="106" t="s">
        <v>529</v>
      </c>
      <c r="I24" s="138" t="str">
        <f aca="false">IFERROR(VLOOKUP(TEXT(H24,"0"),IPRESS!$A$3:$B$212,2,0),"")</f>
        <v>MARIA AUXILIADORA</v>
      </c>
      <c r="J24" s="106" t="s">
        <v>755</v>
      </c>
      <c r="K24" s="138" t="str">
        <f aca="false">IFERROR(VLOOKUP(TEXT(O24,"0"),CONDUCTORES!$A$3:$G$100,7,0),"")</f>
        <v/>
      </c>
      <c r="L24" s="50" t="n">
        <v>20.25</v>
      </c>
      <c r="M24" s="50" t="n">
        <v>7</v>
      </c>
      <c r="N24" s="139" t="n">
        <f aca="false">IFERROR(IF(L24*M24=0,"",L24*M24),"")</f>
        <v>141.75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37" t="n">
        <v>45988</v>
      </c>
      <c r="S24" s="107" t="s">
        <v>4129</v>
      </c>
      <c r="T24" s="136"/>
      <c r="U24" s="140"/>
      <c r="V24" s="106" t="s">
        <v>2633</v>
      </c>
      <c r="W24" s="106" t="s">
        <v>760</v>
      </c>
      <c r="X24" s="106" t="s">
        <v>761</v>
      </c>
      <c r="Y24" s="85"/>
    </row>
    <row r="25" customFormat="false" ht="15.75" hidden="false" customHeight="true" outlineLevel="0" collapsed="false">
      <c r="A25" s="46" t="n">
        <v>20</v>
      </c>
      <c r="B25" s="110" t="s">
        <v>2020</v>
      </c>
      <c r="C25" s="46" t="s">
        <v>752</v>
      </c>
      <c r="D25" s="110" t="s">
        <v>4130</v>
      </c>
      <c r="E25" s="46" t="s">
        <v>99</v>
      </c>
      <c r="F25" s="46" t="s">
        <v>4131</v>
      </c>
      <c r="G25" s="142" t="n">
        <v>45970</v>
      </c>
      <c r="H25" s="46" t="s">
        <v>581</v>
      </c>
      <c r="I25" s="138" t="str">
        <f aca="false">IFERROR(VLOOKUP(TEXT(H25,"0"),IPRESS!$A$3:$B$212,2,0),"")</f>
        <v>PEDRO RUIZ GALLO</v>
      </c>
      <c r="J25" s="46" t="s">
        <v>755</v>
      </c>
      <c r="K25" s="138" t="str">
        <f aca="false">IFERROR(VLOOKUP(TEXT(O25,"0"),CONDUCTORES!$A$3:$G$100,7,0),"")</f>
        <v/>
      </c>
      <c r="L25" s="44" t="n">
        <v>18.18</v>
      </c>
      <c r="M25" s="44" t="n">
        <v>5</v>
      </c>
      <c r="N25" s="139" t="n">
        <f aca="false">IFERROR(IF(L25*M25=0,"",L25*M25),"")</f>
        <v>90.9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142" t="n">
        <v>45970</v>
      </c>
      <c r="S25" s="110" t="s">
        <v>4132</v>
      </c>
      <c r="T25" s="46"/>
      <c r="U25" s="85"/>
      <c r="V25" s="46" t="s">
        <v>3971</v>
      </c>
      <c r="W25" s="46" t="s">
        <v>2554</v>
      </c>
      <c r="X25" s="46" t="s">
        <v>2351</v>
      </c>
      <c r="Y25" s="85"/>
    </row>
    <row r="26" customFormat="false" ht="15.75" hidden="false" customHeight="true" outlineLevel="0" collapsed="false">
      <c r="A26" s="143" t="n">
        <v>21</v>
      </c>
      <c r="B26" s="144" t="s">
        <v>2028</v>
      </c>
      <c r="C26" s="143" t="s">
        <v>752</v>
      </c>
      <c r="D26" s="144" t="s">
        <v>4133</v>
      </c>
      <c r="E26" s="143" t="s">
        <v>99</v>
      </c>
      <c r="F26" s="143" t="s">
        <v>4134</v>
      </c>
      <c r="G26" s="145" t="n">
        <v>45970</v>
      </c>
      <c r="H26" s="143" t="s">
        <v>581</v>
      </c>
      <c r="I26" s="138" t="str">
        <f aca="false">IFERROR(VLOOKUP(TEXT(H26,"0"),IPRESS!$A$3:$B$212,2,0),"")</f>
        <v>PEDRO RUIZ GALLO</v>
      </c>
      <c r="J26" s="143" t="s">
        <v>755</v>
      </c>
      <c r="K26" s="138" t="str">
        <f aca="false">IFERROR(VLOOKUP(TEXT(O26,"0"),CONDUCTORES!$A$3:$G$100,7,0),"")</f>
        <v/>
      </c>
      <c r="L26" s="146" t="n">
        <v>17.95</v>
      </c>
      <c r="M26" s="146" t="n">
        <v>6</v>
      </c>
      <c r="N26" s="139" t="n">
        <f aca="false">IFERROR(IF(L26*M26=0,"",L26*M26),"")</f>
        <v>107.7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45" t="n">
        <v>45989</v>
      </c>
      <c r="S26" s="144" t="s">
        <v>2070</v>
      </c>
      <c r="T26" s="143"/>
      <c r="U26" s="147"/>
      <c r="V26" s="143" t="s">
        <v>4096</v>
      </c>
      <c r="W26" s="143" t="s">
        <v>3034</v>
      </c>
      <c r="X26" s="143" t="s">
        <v>761</v>
      </c>
      <c r="Y26" s="85"/>
    </row>
    <row r="27" customFormat="false" ht="15.75" hidden="false" customHeight="true" outlineLevel="0" collapsed="false">
      <c r="A27" s="46" t="n">
        <v>22</v>
      </c>
      <c r="B27" s="110" t="s">
        <v>2016</v>
      </c>
      <c r="C27" s="46" t="s">
        <v>752</v>
      </c>
      <c r="D27" s="110" t="s">
        <v>4135</v>
      </c>
      <c r="E27" s="46" t="s">
        <v>99</v>
      </c>
      <c r="F27" s="46" t="s">
        <v>4136</v>
      </c>
      <c r="G27" s="142" t="n">
        <v>45970</v>
      </c>
      <c r="H27" s="46" t="s">
        <v>581</v>
      </c>
      <c r="I27" s="138" t="str">
        <f aca="false">IFERROR(VLOOKUP(TEXT(H27,"0"),IPRESS!$A$3:$B$212,2,0),"")</f>
        <v>PEDRO RUIZ GALLO</v>
      </c>
      <c r="J27" s="46" t="s">
        <v>755</v>
      </c>
      <c r="K27" s="138" t="str">
        <f aca="false">IFERROR(VLOOKUP(TEXT(O27,"0"),CONDUCTORES!$A$3:$G$100,7,0),"")</f>
        <v/>
      </c>
      <c r="L27" s="44" t="n">
        <v>18.18</v>
      </c>
      <c r="M27" s="44" t="n">
        <v>5</v>
      </c>
      <c r="N27" s="139" t="n">
        <f aca="false">IFERROR(IF(L27*M27=0,"",L27*M27),"")</f>
        <v>90.9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85"/>
      <c r="S27" s="110" t="s">
        <v>4132</v>
      </c>
      <c r="T27" s="46"/>
      <c r="U27" s="85"/>
      <c r="V27" s="46"/>
      <c r="W27" s="46"/>
      <c r="X27" s="46"/>
      <c r="Y27" s="85"/>
    </row>
    <row r="28" customFormat="false" ht="15.75" hidden="false" customHeight="true" outlineLevel="0" collapsed="false">
      <c r="A28" s="106" t="n">
        <v>23</v>
      </c>
      <c r="B28" s="107" t="s">
        <v>1227</v>
      </c>
      <c r="C28" s="106" t="s">
        <v>752</v>
      </c>
      <c r="D28" s="107" t="s">
        <v>4137</v>
      </c>
      <c r="E28" s="136" t="s">
        <v>99</v>
      </c>
      <c r="F28" s="106" t="s">
        <v>4138</v>
      </c>
      <c r="G28" s="137" t="n">
        <v>45971</v>
      </c>
      <c r="H28" s="106" t="s">
        <v>572</v>
      </c>
      <c r="I28" s="138" t="str">
        <f aca="false">IFERROR(VLOOKUP(TEXT(H28,"0"),IPRESS!$A$3:$B$212,2,0),"")</f>
        <v>OMIA</v>
      </c>
      <c r="J28" s="106" t="s">
        <v>529</v>
      </c>
      <c r="K28" s="138" t="str">
        <f aca="false">IFERROR(VLOOKUP(TEXT(O28,"0"),CONDUCTORES!$A$3:$G$100,7,0),"")</f>
        <v/>
      </c>
      <c r="L28" s="50" t="n">
        <v>20.25</v>
      </c>
      <c r="M28" s="50" t="n">
        <v>3</v>
      </c>
      <c r="N28" s="139" t="n">
        <f aca="false">IFERROR(IF(L28*M28=0,"",L28*M28),"")</f>
        <v>60.75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37" t="n">
        <v>46010</v>
      </c>
      <c r="S28" s="107" t="s">
        <v>1334</v>
      </c>
      <c r="T28" s="136"/>
      <c r="U28" s="140"/>
      <c r="V28" s="106"/>
      <c r="W28" s="106"/>
      <c r="X28" s="106"/>
      <c r="Y28" s="85"/>
    </row>
    <row r="29" customFormat="false" ht="15.75" hidden="false" customHeight="true" outlineLevel="0" collapsed="false">
      <c r="A29" s="46" t="n">
        <v>24</v>
      </c>
      <c r="B29" s="110" t="s">
        <v>1991</v>
      </c>
      <c r="C29" s="46" t="s">
        <v>752</v>
      </c>
      <c r="D29" s="110" t="s">
        <v>4139</v>
      </c>
      <c r="E29" s="46" t="s">
        <v>99</v>
      </c>
      <c r="F29" s="46" t="s">
        <v>4140</v>
      </c>
      <c r="G29" s="142" t="n">
        <v>45971</v>
      </c>
      <c r="H29" s="46" t="s">
        <v>595</v>
      </c>
      <c r="I29" s="138" t="str">
        <f aca="false">IFERROR(VLOOKUP(TEXT(H29,"0"),IPRESS!$A$3:$B$212,2,0),"")</f>
        <v>POMACOCHAS</v>
      </c>
      <c r="J29" s="46" t="s">
        <v>755</v>
      </c>
      <c r="K29" s="138" t="str">
        <f aca="false">IFERROR(VLOOKUP(TEXT(O29,"0"),CONDUCTORES!$A$3:$G$100,7,0),"")</f>
        <v/>
      </c>
      <c r="L29" s="44" t="n">
        <v>18.18</v>
      </c>
      <c r="M29" s="44" t="n">
        <v>8</v>
      </c>
      <c r="N29" s="139" t="n">
        <f aca="false">IFERROR(IF(L29*M29=0,"",L29*M29),"")</f>
        <v>145.44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142" t="n">
        <v>45996</v>
      </c>
      <c r="S29" s="110" t="s">
        <v>4141</v>
      </c>
      <c r="T29" s="46"/>
      <c r="U29" s="85"/>
      <c r="V29" s="46"/>
      <c r="W29" s="46"/>
      <c r="X29" s="46"/>
      <c r="Y29" s="85"/>
    </row>
    <row r="30" customFormat="false" ht="15.75" hidden="false" customHeight="true" outlineLevel="0" collapsed="false">
      <c r="A30" s="106" t="n">
        <v>25</v>
      </c>
      <c r="B30" s="107" t="s">
        <v>1995</v>
      </c>
      <c r="C30" s="106" t="s">
        <v>752</v>
      </c>
      <c r="D30" s="107" t="s">
        <v>4142</v>
      </c>
      <c r="E30" s="136" t="s">
        <v>99</v>
      </c>
      <c r="F30" s="106" t="s">
        <v>4143</v>
      </c>
      <c r="G30" s="137" t="n">
        <v>45971</v>
      </c>
      <c r="H30" s="106" t="s">
        <v>595</v>
      </c>
      <c r="I30" s="138" t="str">
        <f aca="false">IFERROR(VLOOKUP(TEXT(H30,"0"),IPRESS!$A$3:$B$212,2,0),"")</f>
        <v>POMACOCHAS</v>
      </c>
      <c r="J30" s="106" t="s">
        <v>755</v>
      </c>
      <c r="K30" s="138" t="str">
        <f aca="false">IFERROR(VLOOKUP(TEXT(O30,"0"),CONDUCTORES!$A$3:$G$100,7,0),"")</f>
        <v/>
      </c>
      <c r="L30" s="50" t="n">
        <v>18.18</v>
      </c>
      <c r="M30" s="50" t="n">
        <v>6</v>
      </c>
      <c r="N30" s="139" t="n">
        <f aca="false">IFERROR(IF(L30*M30=0,"",L30*M30),"")</f>
        <v>109.08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37" t="n">
        <v>45996</v>
      </c>
      <c r="S30" s="107" t="s">
        <v>4144</v>
      </c>
      <c r="T30" s="136"/>
      <c r="U30" s="140"/>
      <c r="V30" s="106"/>
      <c r="W30" s="106"/>
      <c r="X30" s="106"/>
      <c r="Y30" s="85"/>
    </row>
    <row r="31" customFormat="false" ht="15.75" hidden="false" customHeight="true" outlineLevel="0" collapsed="false">
      <c r="A31" s="46" t="n">
        <v>26</v>
      </c>
      <c r="B31" s="110" t="s">
        <v>1952</v>
      </c>
      <c r="C31" s="46" t="s">
        <v>752</v>
      </c>
      <c r="D31" s="110" t="s">
        <v>4145</v>
      </c>
      <c r="E31" s="46" t="s">
        <v>99</v>
      </c>
      <c r="F31" s="46" t="s">
        <v>4146</v>
      </c>
      <c r="G31" s="142" t="n">
        <v>45972</v>
      </c>
      <c r="H31" s="46" t="s">
        <v>517</v>
      </c>
      <c r="I31" s="138" t="str">
        <f aca="false">IFERROR(VLOOKUP(TEXT(H31,"0"),IPRESS!$A$3:$B$212,2,0),"")</f>
        <v>LUYA</v>
      </c>
      <c r="J31" s="46" t="s">
        <v>755</v>
      </c>
      <c r="K31" s="138" t="str">
        <f aca="false">IFERROR(VLOOKUP(TEXT(O31,"0"),CONDUCTORES!$A$3:$G$100,7,0),"")</f>
        <v/>
      </c>
      <c r="L31" s="44" t="n">
        <v>18.18</v>
      </c>
      <c r="M31" s="44" t="n">
        <v>4</v>
      </c>
      <c r="N31" s="139" t="n">
        <f aca="false">IFERROR(IF(L31*M31=0,"",L31*M31),"")</f>
        <v>72.72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142" t="n">
        <v>45988</v>
      </c>
      <c r="S31" s="110" t="s">
        <v>3927</v>
      </c>
      <c r="T31" s="46"/>
      <c r="U31" s="85"/>
      <c r="V31" s="46" t="s">
        <v>3941</v>
      </c>
      <c r="W31" s="46" t="s">
        <v>2648</v>
      </c>
      <c r="X31" s="46" t="s">
        <v>2351</v>
      </c>
      <c r="Y31" s="85"/>
    </row>
    <row r="32" customFormat="false" ht="15.75" hidden="false" customHeight="true" outlineLevel="0" collapsed="false">
      <c r="A32" s="106" t="n">
        <v>27</v>
      </c>
      <c r="B32" s="107" t="s">
        <v>4147</v>
      </c>
      <c r="C32" s="106" t="s">
        <v>752</v>
      </c>
      <c r="D32" s="107" t="s">
        <v>4148</v>
      </c>
      <c r="E32" s="136" t="s">
        <v>99</v>
      </c>
      <c r="F32" s="106" t="s">
        <v>4149</v>
      </c>
      <c r="G32" s="137" t="n">
        <v>45973</v>
      </c>
      <c r="H32" s="106" t="s">
        <v>529</v>
      </c>
      <c r="I32" s="138" t="str">
        <f aca="false">IFERROR(VLOOKUP(TEXT(H32,"0"),IPRESS!$A$3:$B$212,2,0),"")</f>
        <v>MARIA AUXILIADORA</v>
      </c>
      <c r="J32" s="106" t="s">
        <v>755</v>
      </c>
      <c r="K32" s="138" t="str">
        <f aca="false">IFERROR(VLOOKUP(TEXT(O32,"0"),CONDUCTORES!$A$3:$G$100,7,0),"")</f>
        <v/>
      </c>
      <c r="L32" s="50" t="n">
        <v>20.25</v>
      </c>
      <c r="M32" s="50" t="n">
        <v>7</v>
      </c>
      <c r="N32" s="139" t="n">
        <f aca="false">IFERROR(IF(L32*M32=0,"",L32*M32),"")</f>
        <v>141.75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37" t="n">
        <v>45988</v>
      </c>
      <c r="S32" s="107" t="s">
        <v>4150</v>
      </c>
      <c r="T32" s="136"/>
      <c r="U32" s="140"/>
      <c r="V32" s="106" t="s">
        <v>2633</v>
      </c>
      <c r="W32" s="106" t="s">
        <v>760</v>
      </c>
      <c r="X32" s="106" t="s">
        <v>761</v>
      </c>
      <c r="Y32" s="85"/>
    </row>
    <row r="33" customFormat="false" ht="15.75" hidden="false" customHeight="true" outlineLevel="0" collapsed="false">
      <c r="A33" s="46" t="n">
        <v>28</v>
      </c>
      <c r="B33" s="110" t="s">
        <v>1956</v>
      </c>
      <c r="C33" s="46" t="s">
        <v>752</v>
      </c>
      <c r="D33" s="110" t="s">
        <v>4151</v>
      </c>
      <c r="E33" s="46" t="s">
        <v>99</v>
      </c>
      <c r="F33" s="46" t="s">
        <v>4152</v>
      </c>
      <c r="G33" s="142" t="n">
        <v>45973</v>
      </c>
      <c r="H33" s="46" t="s">
        <v>517</v>
      </c>
      <c r="I33" s="138" t="str">
        <f aca="false">IFERROR(VLOOKUP(TEXT(H33,"0"),IPRESS!$A$3:$B$212,2,0),"")</f>
        <v>LUYA</v>
      </c>
      <c r="J33" s="46" t="s">
        <v>755</v>
      </c>
      <c r="K33" s="138" t="str">
        <f aca="false">IFERROR(VLOOKUP(TEXT(O33,"0"),CONDUCTORES!$A$3:$G$100,7,0),"")</f>
        <v/>
      </c>
      <c r="L33" s="44" t="n">
        <v>18.18</v>
      </c>
      <c r="M33" s="44" t="n">
        <v>4</v>
      </c>
      <c r="N33" s="139" t="n">
        <f aca="false">IFERROR(IF(L33*M33=0,"",L33*M33),"")</f>
        <v>72.72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85"/>
      <c r="S33" s="110" t="s">
        <v>4153</v>
      </c>
      <c r="T33" s="46"/>
      <c r="U33" s="85"/>
      <c r="V33" s="46"/>
      <c r="W33" s="46"/>
      <c r="X33" s="46"/>
      <c r="Y33" s="85"/>
    </row>
    <row r="34" customFormat="false" ht="15.75" hidden="false" customHeight="true" outlineLevel="0" collapsed="false">
      <c r="A34" s="106" t="n">
        <v>29</v>
      </c>
      <c r="B34" s="107" t="s">
        <v>2003</v>
      </c>
      <c r="C34" s="106" t="s">
        <v>752</v>
      </c>
      <c r="D34" s="107" t="s">
        <v>4154</v>
      </c>
      <c r="E34" s="136" t="s">
        <v>99</v>
      </c>
      <c r="F34" s="106" t="s">
        <v>4155</v>
      </c>
      <c r="G34" s="137" t="n">
        <v>45973</v>
      </c>
      <c r="H34" s="106" t="s">
        <v>595</v>
      </c>
      <c r="I34" s="138" t="str">
        <f aca="false">IFERROR(VLOOKUP(TEXT(H34,"0"),IPRESS!$A$3:$B$212,2,0),"")</f>
        <v>POMACOCHAS</v>
      </c>
      <c r="J34" s="106" t="s">
        <v>755</v>
      </c>
      <c r="K34" s="138" t="str">
        <f aca="false">IFERROR(VLOOKUP(TEXT(O34,"0"),CONDUCTORES!$A$3:$G$100,7,0),"")</f>
        <v/>
      </c>
      <c r="L34" s="50" t="n">
        <v>18.18</v>
      </c>
      <c r="M34" s="50" t="n">
        <v>8</v>
      </c>
      <c r="N34" s="139" t="n">
        <f aca="false">IFERROR(IF(L34*M34=0,"",L34*M34),"")</f>
        <v>145.44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40"/>
      <c r="S34" s="107" t="s">
        <v>4156</v>
      </c>
      <c r="T34" s="136"/>
      <c r="U34" s="140"/>
      <c r="V34" s="106"/>
      <c r="W34" s="106"/>
      <c r="X34" s="106"/>
      <c r="Y34" s="85"/>
    </row>
    <row r="35" customFormat="false" ht="15.75" hidden="false" customHeight="true" outlineLevel="0" collapsed="false">
      <c r="A35" s="46" t="n">
        <v>30</v>
      </c>
      <c r="B35" s="110" t="s">
        <v>1999</v>
      </c>
      <c r="C35" s="46" t="s">
        <v>752</v>
      </c>
      <c r="D35" s="110" t="s">
        <v>4157</v>
      </c>
      <c r="E35" s="46" t="s">
        <v>99</v>
      </c>
      <c r="F35" s="46" t="s">
        <v>4158</v>
      </c>
      <c r="G35" s="142" t="n">
        <v>45973</v>
      </c>
      <c r="H35" s="46" t="s">
        <v>595</v>
      </c>
      <c r="I35" s="138" t="str">
        <f aca="false">IFERROR(VLOOKUP(TEXT(H35,"0"),IPRESS!$A$3:$B$212,2,0),"")</f>
        <v>POMACOCHAS</v>
      </c>
      <c r="J35" s="46" t="s">
        <v>755</v>
      </c>
      <c r="K35" s="138" t="str">
        <f aca="false">IFERROR(VLOOKUP(TEXT(O35,"0"),CONDUCTORES!$A$3:$G$100,7,0),"")</f>
        <v/>
      </c>
      <c r="L35" s="44" t="n">
        <v>18.18</v>
      </c>
      <c r="M35" s="44" t="n">
        <v>8</v>
      </c>
      <c r="N35" s="139" t="n">
        <f aca="false">IFERROR(IF(L35*M35=0,"",L35*M35),"")</f>
        <v>145.44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85"/>
      <c r="S35" s="110" t="s">
        <v>1044</v>
      </c>
      <c r="T35" s="46"/>
      <c r="U35" s="85"/>
      <c r="V35" s="46"/>
      <c r="W35" s="46"/>
      <c r="X35" s="46"/>
      <c r="Y35" s="85"/>
    </row>
    <row r="36" customFormat="false" ht="15.75" hidden="false" customHeight="true" outlineLevel="0" collapsed="false">
      <c r="A36" s="106" t="n">
        <v>31</v>
      </c>
      <c r="B36" s="107" t="s">
        <v>2505</v>
      </c>
      <c r="C36" s="106" t="s">
        <v>752</v>
      </c>
      <c r="D36" s="107" t="s">
        <v>4159</v>
      </c>
      <c r="E36" s="136" t="s">
        <v>99</v>
      </c>
      <c r="F36" s="106" t="s">
        <v>4160</v>
      </c>
      <c r="G36" s="137" t="n">
        <v>45973</v>
      </c>
      <c r="H36" s="106" t="s">
        <v>500</v>
      </c>
      <c r="I36" s="138" t="str">
        <f aca="false">IFERROR(VLOOKUP(TEXT(H36,"0"),IPRESS!$A$3:$B$212,2,0),"")</f>
        <v>LAMUD</v>
      </c>
      <c r="J36" s="106" t="s">
        <v>755</v>
      </c>
      <c r="K36" s="138" t="str">
        <f aca="false">IFERROR(VLOOKUP(TEXT(O36,"0"),CONDUCTORES!$A$3:$G$100,7,0),"")</f>
        <v/>
      </c>
      <c r="L36" s="50" t="n">
        <v>18.18</v>
      </c>
      <c r="M36" s="50" t="n">
        <v>4</v>
      </c>
      <c r="N36" s="139" t="n">
        <f aca="false">IFERROR(IF(L36*M36=0,"",L36*M36),"")</f>
        <v>72.72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40"/>
      <c r="S36" s="107" t="s">
        <v>4161</v>
      </c>
      <c r="T36" s="136"/>
      <c r="U36" s="140"/>
      <c r="V36" s="106"/>
      <c r="W36" s="106"/>
      <c r="X36" s="106"/>
      <c r="Y36" s="85"/>
    </row>
    <row r="37" customFormat="false" ht="15.75" hidden="false" customHeight="true" outlineLevel="0" collapsed="false">
      <c r="A37" s="46" t="n">
        <v>32</v>
      </c>
      <c r="B37" s="110" t="s">
        <v>4162</v>
      </c>
      <c r="C37" s="46" t="s">
        <v>752</v>
      </c>
      <c r="D37" s="110" t="s">
        <v>4163</v>
      </c>
      <c r="E37" s="46" t="s">
        <v>99</v>
      </c>
      <c r="F37" s="46" t="s">
        <v>4164</v>
      </c>
      <c r="G37" s="142" t="n">
        <v>45974</v>
      </c>
      <c r="H37" s="46" t="s">
        <v>529</v>
      </c>
      <c r="I37" s="138" t="str">
        <f aca="false">IFERROR(VLOOKUP(TEXT(H37,"0"),IPRESS!$A$3:$B$212,2,0),"")</f>
        <v>MARIA AUXILIADORA</v>
      </c>
      <c r="J37" s="46" t="s">
        <v>755</v>
      </c>
      <c r="K37" s="138" t="str">
        <f aca="false">IFERROR(VLOOKUP(TEXT(O37,"0"),CONDUCTORES!$A$3:$G$100,7,0),"")</f>
        <v/>
      </c>
      <c r="L37" s="44" t="n">
        <v>20.25</v>
      </c>
      <c r="M37" s="44" t="n">
        <v>7</v>
      </c>
      <c r="N37" s="139" t="n">
        <f aca="false">IFERROR(IF(L37*M37=0,"",L37*M37),"")</f>
        <v>141.75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142" t="n">
        <v>45988</v>
      </c>
      <c r="S37" s="110" t="s">
        <v>4165</v>
      </c>
      <c r="T37" s="46"/>
      <c r="U37" s="85"/>
      <c r="V37" s="46" t="s">
        <v>2633</v>
      </c>
      <c r="W37" s="46" t="s">
        <v>760</v>
      </c>
      <c r="X37" s="46" t="s">
        <v>761</v>
      </c>
      <c r="Y37" s="85"/>
    </row>
    <row r="38" customFormat="false" ht="15.75" hidden="false" customHeight="true" outlineLevel="0" collapsed="false">
      <c r="A38" s="143" t="n">
        <v>33</v>
      </c>
      <c r="B38" s="144" t="s">
        <v>2251</v>
      </c>
      <c r="C38" s="143" t="s">
        <v>752</v>
      </c>
      <c r="D38" s="144" t="s">
        <v>4166</v>
      </c>
      <c r="E38" s="143" t="s">
        <v>99</v>
      </c>
      <c r="F38" s="143" t="s">
        <v>4167</v>
      </c>
      <c r="G38" s="145" t="n">
        <v>45974</v>
      </c>
      <c r="H38" s="143" t="s">
        <v>581</v>
      </c>
      <c r="I38" s="138" t="str">
        <f aca="false">IFERROR(VLOOKUP(TEXT(H38,"0"),IPRESS!$A$3:$B$212,2,0),"")</f>
        <v>PEDRO RUIZ GALLO</v>
      </c>
      <c r="J38" s="143" t="s">
        <v>755</v>
      </c>
      <c r="K38" s="138" t="str">
        <f aca="false">IFERROR(VLOOKUP(TEXT(O38,"0"),CONDUCTORES!$A$3:$G$100,7,0),"")</f>
        <v/>
      </c>
      <c r="L38" s="146" t="n">
        <v>17.95</v>
      </c>
      <c r="M38" s="146" t="n">
        <v>6</v>
      </c>
      <c r="N38" s="139" t="n">
        <f aca="false">IFERROR(IF(L38*M38=0,"",L38*M38),"")</f>
        <v>107.7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47"/>
      <c r="S38" s="144" t="s">
        <v>4168</v>
      </c>
      <c r="T38" s="143"/>
      <c r="U38" s="147"/>
      <c r="V38" s="143"/>
      <c r="W38" s="143"/>
      <c r="X38" s="143"/>
      <c r="Y38" s="85"/>
    </row>
    <row r="39" customFormat="false" ht="15.75" hidden="false" customHeight="true" outlineLevel="0" collapsed="false">
      <c r="A39" s="46" t="n">
        <v>34</v>
      </c>
      <c r="B39" s="110" t="s">
        <v>4169</v>
      </c>
      <c r="C39" s="46" t="s">
        <v>752</v>
      </c>
      <c r="D39" s="110" t="s">
        <v>4170</v>
      </c>
      <c r="E39" s="46" t="s">
        <v>99</v>
      </c>
      <c r="F39" s="46" t="s">
        <v>4171</v>
      </c>
      <c r="G39" s="142" t="n">
        <v>45975</v>
      </c>
      <c r="H39" s="46" t="s">
        <v>529</v>
      </c>
      <c r="I39" s="138" t="str">
        <f aca="false">IFERROR(VLOOKUP(TEXT(H39,"0"),IPRESS!$A$3:$B$212,2,0),"")</f>
        <v>MARIA AUXILIADORA</v>
      </c>
      <c r="J39" s="46" t="s">
        <v>755</v>
      </c>
      <c r="K39" s="138" t="str">
        <f aca="false">IFERROR(VLOOKUP(TEXT(O39,"0"),CONDUCTORES!$A$3:$G$100,7,0),"")</f>
        <v/>
      </c>
      <c r="L39" s="44" t="n">
        <v>20.25</v>
      </c>
      <c r="M39" s="44" t="n">
        <v>7</v>
      </c>
      <c r="N39" s="139" t="n">
        <f aca="false">IFERROR(IF(L39*M39=0,"",L39*M39),"")</f>
        <v>141.75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142" t="n">
        <v>45988</v>
      </c>
      <c r="S39" s="110" t="s">
        <v>891</v>
      </c>
      <c r="T39" s="46"/>
      <c r="U39" s="85"/>
      <c r="V39" s="46" t="s">
        <v>2633</v>
      </c>
      <c r="W39" s="46" t="s">
        <v>760</v>
      </c>
      <c r="X39" s="46" t="s">
        <v>761</v>
      </c>
      <c r="Y39" s="85"/>
    </row>
    <row r="40" customFormat="false" ht="15.75" hidden="false" customHeight="true" outlineLevel="0" collapsed="false">
      <c r="A40" s="106" t="n">
        <v>35</v>
      </c>
      <c r="B40" s="107" t="s">
        <v>883</v>
      </c>
      <c r="C40" s="106" t="s">
        <v>752</v>
      </c>
      <c r="D40" s="107" t="s">
        <v>4172</v>
      </c>
      <c r="E40" s="136" t="s">
        <v>99</v>
      </c>
      <c r="F40" s="106" t="s">
        <v>4173</v>
      </c>
      <c r="G40" s="137" t="n">
        <v>45975</v>
      </c>
      <c r="H40" s="106" t="s">
        <v>480</v>
      </c>
      <c r="I40" s="138" t="str">
        <f aca="false">IFERROR(VLOOKUP(TEXT(H40,"0"),IPRESS!$A$3:$B$212,2,0),"")</f>
        <v>JALCA GRANDE</v>
      </c>
      <c r="J40" s="106" t="s">
        <v>755</v>
      </c>
      <c r="K40" s="138" t="str">
        <f aca="false">IFERROR(VLOOKUP(TEXT(O40,"0"),CONDUCTORES!$A$3:$G$100,7,0),"")</f>
        <v/>
      </c>
      <c r="L40" s="50" t="n">
        <v>18.18</v>
      </c>
      <c r="M40" s="50" t="n">
        <v>8</v>
      </c>
      <c r="N40" s="139" t="n">
        <f aca="false">IFERROR(IF(L40*M40=0,"",L40*M40),"")</f>
        <v>145.44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40"/>
      <c r="S40" s="107" t="s">
        <v>4174</v>
      </c>
      <c r="T40" s="136"/>
      <c r="U40" s="140"/>
      <c r="V40" s="106"/>
      <c r="W40" s="106"/>
      <c r="X40" s="106"/>
      <c r="Y40" s="85"/>
    </row>
    <row r="41" customFormat="false" ht="15.75" hidden="false" customHeight="true" outlineLevel="0" collapsed="false">
      <c r="A41" s="143" t="n">
        <v>36</v>
      </c>
      <c r="B41" s="144" t="s">
        <v>2024</v>
      </c>
      <c r="C41" s="143" t="s">
        <v>752</v>
      </c>
      <c r="D41" s="144" t="s">
        <v>4175</v>
      </c>
      <c r="E41" s="143" t="s">
        <v>99</v>
      </c>
      <c r="F41" s="143" t="s">
        <v>4176</v>
      </c>
      <c r="G41" s="145" t="n">
        <v>45975</v>
      </c>
      <c r="H41" s="143" t="s">
        <v>581</v>
      </c>
      <c r="I41" s="138" t="str">
        <f aca="false">IFERROR(VLOOKUP(TEXT(H41,"0"),IPRESS!$A$3:$B$212,2,0),"")</f>
        <v>PEDRO RUIZ GALLO</v>
      </c>
      <c r="J41" s="143" t="s">
        <v>755</v>
      </c>
      <c r="K41" s="138" t="str">
        <f aca="false">IFERROR(VLOOKUP(TEXT(O41,"0"),CONDUCTORES!$A$3:$G$100,7,0),"")</f>
        <v/>
      </c>
      <c r="L41" s="146" t="n">
        <v>17.95</v>
      </c>
      <c r="M41" s="146" t="n">
        <v>6</v>
      </c>
      <c r="N41" s="139" t="n">
        <f aca="false">IFERROR(IF(L41*M41=0,"",L41*M41),"")</f>
        <v>107.7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145" t="n">
        <v>45989</v>
      </c>
      <c r="S41" s="144" t="s">
        <v>917</v>
      </c>
      <c r="T41" s="143"/>
      <c r="U41" s="147"/>
      <c r="V41" s="143" t="s">
        <v>4096</v>
      </c>
      <c r="W41" s="143" t="s">
        <v>3034</v>
      </c>
      <c r="X41" s="143" t="s">
        <v>761</v>
      </c>
      <c r="Y41" s="85"/>
    </row>
    <row r="42" customFormat="false" ht="15.75" hidden="false" customHeight="true" outlineLevel="0" collapsed="false">
      <c r="A42" s="106" t="n">
        <v>37</v>
      </c>
      <c r="B42" s="107" t="s">
        <v>827</v>
      </c>
      <c r="C42" s="106" t="s">
        <v>752</v>
      </c>
      <c r="D42" s="107" t="s">
        <v>4177</v>
      </c>
      <c r="E42" s="136" t="s">
        <v>99</v>
      </c>
      <c r="F42" s="106" t="s">
        <v>4178</v>
      </c>
      <c r="G42" s="137" t="n">
        <v>45975</v>
      </c>
      <c r="H42" s="106" t="s">
        <v>715</v>
      </c>
      <c r="I42" s="138" t="str">
        <f aca="false">IFERROR(VLOOKUP(TEXT(H42,"0"),IPRESS!$A$3:$B$212,2,0),"")</f>
        <v>YAULICACHI</v>
      </c>
      <c r="J42" s="106" t="s">
        <v>755</v>
      </c>
      <c r="K42" s="138" t="str">
        <f aca="false">IFERROR(VLOOKUP(TEXT(O42,"0"),CONDUCTORES!$A$3:$G$100,7,0),"")</f>
        <v/>
      </c>
      <c r="L42" s="50" t="n">
        <v>18.18</v>
      </c>
      <c r="M42" s="50" t="n">
        <v>20</v>
      </c>
      <c r="N42" s="139" t="n">
        <f aca="false">IFERROR(IF(L42*M42=0,"",L42*M42),"")</f>
        <v>363.6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40"/>
      <c r="S42" s="107" t="s">
        <v>1803</v>
      </c>
      <c r="T42" s="136" t="s">
        <v>4069</v>
      </c>
      <c r="U42" s="140"/>
      <c r="V42" s="106"/>
      <c r="W42" s="106"/>
      <c r="X42" s="106"/>
      <c r="Y42" s="85"/>
    </row>
    <row r="43" customFormat="false" ht="15.75" hidden="false" customHeight="true" outlineLevel="0" collapsed="false">
      <c r="A43" s="46" t="n">
        <v>38</v>
      </c>
      <c r="B43" s="110" t="s">
        <v>2243</v>
      </c>
      <c r="C43" s="46" t="s">
        <v>752</v>
      </c>
      <c r="D43" s="110" t="s">
        <v>4179</v>
      </c>
      <c r="E43" s="46" t="s">
        <v>99</v>
      </c>
      <c r="F43" s="46" t="s">
        <v>4180</v>
      </c>
      <c r="G43" s="142" t="n">
        <v>45976</v>
      </c>
      <c r="H43" s="46" t="s">
        <v>581</v>
      </c>
      <c r="I43" s="138" t="str">
        <f aca="false">IFERROR(VLOOKUP(TEXT(H43,"0"),IPRESS!$A$3:$B$212,2,0),"")</f>
        <v>PEDRO RUIZ GALLO</v>
      </c>
      <c r="J43" s="46" t="s">
        <v>755</v>
      </c>
      <c r="K43" s="138" t="str">
        <f aca="false">IFERROR(VLOOKUP(TEXT(O43,"0"),CONDUCTORES!$A$3:$G$100,7,0),"")</f>
        <v/>
      </c>
      <c r="L43" s="44" t="n">
        <v>18.18</v>
      </c>
      <c r="M43" s="44" t="n">
        <v>5</v>
      </c>
      <c r="N43" s="139" t="n">
        <f aca="false">IFERROR(IF(L43*M43=0,"",L43*M43),"")</f>
        <v>90.9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142" t="n">
        <v>45970</v>
      </c>
      <c r="S43" s="110" t="s">
        <v>4181</v>
      </c>
      <c r="T43" s="46"/>
      <c r="U43" s="85"/>
      <c r="V43" s="46" t="s">
        <v>3971</v>
      </c>
      <c r="W43" s="46" t="s">
        <v>2554</v>
      </c>
      <c r="X43" s="46" t="s">
        <v>2351</v>
      </c>
      <c r="Y43" s="85"/>
    </row>
    <row r="44" customFormat="false" ht="15.75" hidden="false" customHeight="true" outlineLevel="0" collapsed="false">
      <c r="A44" s="106" t="n">
        <v>39</v>
      </c>
      <c r="B44" s="107" t="s">
        <v>4182</v>
      </c>
      <c r="C44" s="106" t="s">
        <v>752</v>
      </c>
      <c r="D44" s="107" t="s">
        <v>4183</v>
      </c>
      <c r="E44" s="136" t="s">
        <v>99</v>
      </c>
      <c r="F44" s="106" t="s">
        <v>4184</v>
      </c>
      <c r="G44" s="137" t="n">
        <v>45977</v>
      </c>
      <c r="H44" s="106" t="s">
        <v>529</v>
      </c>
      <c r="I44" s="138" t="str">
        <f aca="false">IFERROR(VLOOKUP(TEXT(H44,"0"),IPRESS!$A$3:$B$212,2,0),"")</f>
        <v>MARIA AUXILIADORA</v>
      </c>
      <c r="J44" s="106" t="s">
        <v>755</v>
      </c>
      <c r="K44" s="138" t="str">
        <f aca="false">IFERROR(VLOOKUP(TEXT(O44,"0"),CONDUCTORES!$A$3:$G$100,7,0),"")</f>
        <v/>
      </c>
      <c r="L44" s="50" t="n">
        <v>20.25</v>
      </c>
      <c r="M44" s="50" t="n">
        <v>7</v>
      </c>
      <c r="N44" s="139" t="n">
        <f aca="false">IFERROR(IF(L44*M44=0,"",L44*M44),"")</f>
        <v>141.75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37" t="n">
        <v>45988</v>
      </c>
      <c r="S44" s="107" t="s">
        <v>4185</v>
      </c>
      <c r="T44" s="136"/>
      <c r="U44" s="140"/>
      <c r="V44" s="106" t="s">
        <v>2633</v>
      </c>
      <c r="W44" s="106" t="s">
        <v>760</v>
      </c>
      <c r="X44" s="106" t="s">
        <v>761</v>
      </c>
      <c r="Y44" s="85"/>
    </row>
    <row r="45" customFormat="false" ht="15.75" hidden="false" customHeight="true" outlineLevel="0" collapsed="false">
      <c r="A45" s="46" t="n">
        <v>40</v>
      </c>
      <c r="B45" s="110" t="s">
        <v>2007</v>
      </c>
      <c r="C45" s="46" t="s">
        <v>752</v>
      </c>
      <c r="D45" s="110" t="s">
        <v>4186</v>
      </c>
      <c r="E45" s="46" t="s">
        <v>99</v>
      </c>
      <c r="F45" s="46" t="s">
        <v>4187</v>
      </c>
      <c r="G45" s="142" t="n">
        <v>45978</v>
      </c>
      <c r="H45" s="46" t="s">
        <v>595</v>
      </c>
      <c r="I45" s="138" t="str">
        <f aca="false">IFERROR(VLOOKUP(TEXT(H45,"0"),IPRESS!$A$3:$B$212,2,0),"")</f>
        <v>POMACOCHAS</v>
      </c>
      <c r="J45" s="46" t="s">
        <v>755</v>
      </c>
      <c r="K45" s="138" t="str">
        <f aca="false">IFERROR(VLOOKUP(TEXT(O45,"0"),CONDUCTORES!$A$3:$G$100,7,0),"")</f>
        <v/>
      </c>
      <c r="L45" s="44" t="n">
        <v>18.18</v>
      </c>
      <c r="M45" s="44" t="n">
        <v>6</v>
      </c>
      <c r="N45" s="139" t="n">
        <f aca="false">IFERROR(IF(L45*M45=0,"",L45*M45),"")</f>
        <v>109.08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85"/>
      <c r="S45" s="110" t="s">
        <v>4188</v>
      </c>
      <c r="T45" s="46"/>
      <c r="U45" s="85"/>
      <c r="V45" s="46"/>
      <c r="W45" s="46"/>
      <c r="X45" s="46"/>
      <c r="Y45" s="85"/>
    </row>
    <row r="46" customFormat="false" ht="15.75" hidden="false" customHeight="true" outlineLevel="0" collapsed="false">
      <c r="A46" s="106" t="n">
        <v>41</v>
      </c>
      <c r="B46" s="107" t="s">
        <v>888</v>
      </c>
      <c r="C46" s="106" t="s">
        <v>752</v>
      </c>
      <c r="D46" s="107" t="s">
        <v>4189</v>
      </c>
      <c r="E46" s="136" t="s">
        <v>99</v>
      </c>
      <c r="F46" s="106" t="s">
        <v>4190</v>
      </c>
      <c r="G46" s="137" t="n">
        <v>45979</v>
      </c>
      <c r="H46" s="106" t="s">
        <v>480</v>
      </c>
      <c r="I46" s="138" t="str">
        <f aca="false">IFERROR(VLOOKUP(TEXT(H46,"0"),IPRESS!$A$3:$B$212,2,0),"")</f>
        <v>JALCA GRANDE</v>
      </c>
      <c r="J46" s="106" t="s">
        <v>755</v>
      </c>
      <c r="K46" s="138" t="str">
        <f aca="false">IFERROR(VLOOKUP(TEXT(O46,"0"),CONDUCTORES!$A$3:$G$100,7,0),"")</f>
        <v/>
      </c>
      <c r="L46" s="50" t="n">
        <v>18.18</v>
      </c>
      <c r="M46" s="50" t="n">
        <v>8</v>
      </c>
      <c r="N46" s="139" t="n">
        <f aca="false">IFERROR(IF(L46*M46=0,"",L46*M46),"")</f>
        <v>145.44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40"/>
      <c r="S46" s="107" t="s">
        <v>917</v>
      </c>
      <c r="T46" s="136"/>
      <c r="U46" s="140"/>
      <c r="V46" s="106"/>
      <c r="W46" s="106"/>
      <c r="X46" s="106"/>
      <c r="Y46" s="85"/>
    </row>
    <row r="47" customFormat="false" ht="15.75" hidden="false" customHeight="true" outlineLevel="0" collapsed="false">
      <c r="A47" s="46" t="n">
        <v>42</v>
      </c>
      <c r="B47" s="110" t="s">
        <v>3057</v>
      </c>
      <c r="C47" s="46" t="s">
        <v>752</v>
      </c>
      <c r="D47" s="110" t="s">
        <v>4191</v>
      </c>
      <c r="E47" s="46" t="s">
        <v>99</v>
      </c>
      <c r="F47" s="46" t="s">
        <v>4192</v>
      </c>
      <c r="G47" s="142" t="n">
        <v>45980</v>
      </c>
      <c r="H47" s="46" t="s">
        <v>500</v>
      </c>
      <c r="I47" s="138" t="str">
        <f aca="false">IFERROR(VLOOKUP(TEXT(H47,"0"),IPRESS!$A$3:$B$212,2,0),"")</f>
        <v>LAMUD</v>
      </c>
      <c r="J47" s="46" t="s">
        <v>755</v>
      </c>
      <c r="K47" s="138" t="str">
        <f aca="false">IFERROR(VLOOKUP(TEXT(O47,"0"),CONDUCTORES!$A$3:$G$100,7,0),"")</f>
        <v/>
      </c>
      <c r="L47" s="44" t="n">
        <v>18.18</v>
      </c>
      <c r="M47" s="44" t="n">
        <v>4</v>
      </c>
      <c r="N47" s="139" t="n">
        <f aca="false">IFERROR(IF(L47*M47=0,"",L47*M47),"")</f>
        <v>72.72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85"/>
      <c r="S47" s="110" t="s">
        <v>4193</v>
      </c>
      <c r="T47" s="46"/>
      <c r="U47" s="85"/>
      <c r="V47" s="46"/>
      <c r="W47" s="46"/>
      <c r="X47" s="46"/>
      <c r="Y47" s="85"/>
    </row>
    <row r="48" customFormat="false" ht="15.75" hidden="false" customHeight="true" outlineLevel="0" collapsed="false">
      <c r="A48" s="106" t="n">
        <v>43</v>
      </c>
      <c r="B48" s="107" t="s">
        <v>4194</v>
      </c>
      <c r="C48" s="106" t="s">
        <v>752</v>
      </c>
      <c r="D48" s="107" t="s">
        <v>4195</v>
      </c>
      <c r="E48" s="136" t="s">
        <v>99</v>
      </c>
      <c r="F48" s="106" t="s">
        <v>4196</v>
      </c>
      <c r="G48" s="137" t="n">
        <v>45981</v>
      </c>
      <c r="H48" s="106" t="s">
        <v>529</v>
      </c>
      <c r="I48" s="138" t="str">
        <f aca="false">IFERROR(VLOOKUP(TEXT(H48,"0"),IPRESS!$A$3:$B$212,2,0),"")</f>
        <v>MARIA AUXILIADORA</v>
      </c>
      <c r="J48" s="106" t="s">
        <v>755</v>
      </c>
      <c r="K48" s="138" t="str">
        <f aca="false">IFERROR(VLOOKUP(TEXT(O48,"0"),CONDUCTORES!$A$3:$G$100,7,0),"")</f>
        <v/>
      </c>
      <c r="L48" s="50" t="n">
        <v>20.25</v>
      </c>
      <c r="M48" s="50" t="n">
        <v>7</v>
      </c>
      <c r="N48" s="139" t="n">
        <f aca="false">IFERROR(IF(L48*M48=0,"",L48*M48),"")</f>
        <v>141.75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37" t="n">
        <v>45988</v>
      </c>
      <c r="S48" s="107" t="s">
        <v>4197</v>
      </c>
      <c r="T48" s="136"/>
      <c r="U48" s="140"/>
      <c r="V48" s="106" t="s">
        <v>2633</v>
      </c>
      <c r="W48" s="106" t="s">
        <v>760</v>
      </c>
      <c r="X48" s="106" t="s">
        <v>761</v>
      </c>
      <c r="Y48" s="85"/>
    </row>
    <row r="49" customFormat="false" ht="15.75" hidden="false" customHeight="true" outlineLevel="0" collapsed="false">
      <c r="A49" s="46" t="n">
        <v>44</v>
      </c>
      <c r="B49" s="110" t="s">
        <v>883</v>
      </c>
      <c r="C49" s="46" t="s">
        <v>752</v>
      </c>
      <c r="D49" s="110" t="s">
        <v>4198</v>
      </c>
      <c r="E49" s="46" t="s">
        <v>99</v>
      </c>
      <c r="F49" s="46" t="s">
        <v>4199</v>
      </c>
      <c r="G49" s="142" t="n">
        <v>45981</v>
      </c>
      <c r="H49" s="46" t="s">
        <v>483</v>
      </c>
      <c r="I49" s="138" t="str">
        <f aca="false">IFERROR(VLOOKUP(TEXT(H49,"0"),IPRESS!$A$3:$B$212,2,0),"")</f>
        <v>JUMBILLA</v>
      </c>
      <c r="J49" s="46" t="s">
        <v>755</v>
      </c>
      <c r="K49" s="138" t="str">
        <f aca="false">IFERROR(VLOOKUP(TEXT(O49,"0"),CONDUCTORES!$A$3:$G$100,7,0),"")</f>
        <v/>
      </c>
      <c r="L49" s="44" t="n">
        <v>18.18</v>
      </c>
      <c r="M49" s="44" t="n">
        <v>12</v>
      </c>
      <c r="N49" s="139" t="n">
        <f aca="false">IFERROR(IF(L49*M49=0,"",L49*M49),"")</f>
        <v>218.16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85"/>
      <c r="S49" s="110" t="s">
        <v>891</v>
      </c>
      <c r="T49" s="46"/>
      <c r="U49" s="85"/>
      <c r="V49" s="46"/>
      <c r="W49" s="46"/>
      <c r="X49" s="46"/>
      <c r="Y49" s="85"/>
    </row>
    <row r="50" customFormat="false" ht="15.75" hidden="false" customHeight="true" outlineLevel="0" collapsed="false">
      <c r="A50" s="106" t="n">
        <v>45</v>
      </c>
      <c r="B50" s="107" t="s">
        <v>2014</v>
      </c>
      <c r="C50" s="106" t="s">
        <v>752</v>
      </c>
      <c r="D50" s="107" t="s">
        <v>4200</v>
      </c>
      <c r="E50" s="136" t="s">
        <v>99</v>
      </c>
      <c r="F50" s="106" t="s">
        <v>4201</v>
      </c>
      <c r="G50" s="137" t="n">
        <v>45981</v>
      </c>
      <c r="H50" s="106" t="s">
        <v>595</v>
      </c>
      <c r="I50" s="138" t="str">
        <f aca="false">IFERROR(VLOOKUP(TEXT(H50,"0"),IPRESS!$A$3:$B$212,2,0),"")</f>
        <v>POMACOCHAS</v>
      </c>
      <c r="J50" s="106" t="s">
        <v>755</v>
      </c>
      <c r="K50" s="138" t="str">
        <f aca="false">IFERROR(VLOOKUP(TEXT(O50,"0"),CONDUCTORES!$A$3:$G$100,7,0),"")</f>
        <v/>
      </c>
      <c r="L50" s="50" t="n">
        <v>18.18</v>
      </c>
      <c r="M50" s="50" t="n">
        <v>6</v>
      </c>
      <c r="N50" s="139" t="n">
        <f aca="false">IFERROR(IF(L50*M50=0,"",L50*M50),"")</f>
        <v>109.08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40"/>
      <c r="S50" s="107" t="s">
        <v>2665</v>
      </c>
      <c r="T50" s="136"/>
      <c r="U50" s="140"/>
      <c r="V50" s="106"/>
      <c r="W50" s="106"/>
      <c r="X50" s="106"/>
      <c r="Y50" s="85"/>
    </row>
    <row r="51" customFormat="false" ht="15.75" hidden="false" customHeight="true" outlineLevel="0" collapsed="false">
      <c r="A51" s="46" t="n">
        <v>46</v>
      </c>
      <c r="B51" s="110" t="s">
        <v>926</v>
      </c>
      <c r="C51" s="46" t="s">
        <v>752</v>
      </c>
      <c r="D51" s="110" t="s">
        <v>4202</v>
      </c>
      <c r="E51" s="46" t="s">
        <v>99</v>
      </c>
      <c r="F51" s="46" t="s">
        <v>4203</v>
      </c>
      <c r="G51" s="142" t="n">
        <v>45982</v>
      </c>
      <c r="H51" s="46" t="s">
        <v>418</v>
      </c>
      <c r="I51" s="138" t="str">
        <f aca="false">IFERROR(VLOOKUP(TEXT(H51,"0"),IPRESS!$A$3:$B$212,2,0),"")</f>
        <v>COROSHA</v>
      </c>
      <c r="J51" s="46" t="s">
        <v>755</v>
      </c>
      <c r="K51" s="138" t="str">
        <f aca="false">IFERROR(VLOOKUP(TEXT(O51,"0"),CONDUCTORES!$A$3:$G$100,7,0),"")</f>
        <v/>
      </c>
      <c r="L51" s="44" t="n">
        <v>18.18</v>
      </c>
      <c r="M51" s="44" t="n">
        <v>12</v>
      </c>
      <c r="N51" s="139" t="n">
        <f aca="false">IFERROR(IF(L51*M51=0,"",L51*M51),"")</f>
        <v>218.16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85"/>
      <c r="S51" s="110" t="s">
        <v>1243</v>
      </c>
      <c r="T51" s="46"/>
      <c r="U51" s="85"/>
      <c r="V51" s="46"/>
      <c r="W51" s="46"/>
      <c r="X51" s="46"/>
      <c r="Y51" s="85"/>
    </row>
    <row r="52" customFormat="false" ht="15.75" hidden="false" customHeight="true" outlineLevel="0" collapsed="false">
      <c r="A52" s="106" t="n">
        <v>47</v>
      </c>
      <c r="B52" s="107" t="s">
        <v>4204</v>
      </c>
      <c r="C52" s="106" t="s">
        <v>752</v>
      </c>
      <c r="D52" s="107" t="s">
        <v>4205</v>
      </c>
      <c r="E52" s="136" t="s">
        <v>99</v>
      </c>
      <c r="F52" s="106" t="s">
        <v>4206</v>
      </c>
      <c r="G52" s="137" t="n">
        <v>45982</v>
      </c>
      <c r="H52" s="106" t="s">
        <v>529</v>
      </c>
      <c r="I52" s="138" t="str">
        <f aca="false">IFERROR(VLOOKUP(TEXT(H52,"0"),IPRESS!$A$3:$B$212,2,0),"")</f>
        <v>MARIA AUXILIADORA</v>
      </c>
      <c r="J52" s="106" t="s">
        <v>755</v>
      </c>
      <c r="K52" s="138" t="str">
        <f aca="false">IFERROR(VLOOKUP(TEXT(O52,"0"),CONDUCTORES!$A$3:$G$100,7,0),"")</f>
        <v/>
      </c>
      <c r="L52" s="50" t="n">
        <v>20.25</v>
      </c>
      <c r="M52" s="50" t="n">
        <v>7</v>
      </c>
      <c r="N52" s="139" t="n">
        <f aca="false">IFERROR(IF(L52*M52=0,"",L52*M52),"")</f>
        <v>141.75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40"/>
      <c r="S52" s="107" t="s">
        <v>4207</v>
      </c>
      <c r="T52" s="136"/>
      <c r="U52" s="140"/>
      <c r="V52" s="106"/>
      <c r="W52" s="106"/>
      <c r="X52" s="106"/>
      <c r="Y52" s="85"/>
    </row>
    <row r="53" customFormat="false" ht="15.75" hidden="false" customHeight="true" outlineLevel="0" collapsed="false">
      <c r="A53" s="46" t="n">
        <v>48</v>
      </c>
      <c r="B53" s="110" t="s">
        <v>1960</v>
      </c>
      <c r="C53" s="46" t="s">
        <v>752</v>
      </c>
      <c r="D53" s="110" t="s">
        <v>4208</v>
      </c>
      <c r="E53" s="46" t="s">
        <v>99</v>
      </c>
      <c r="F53" s="46" t="s">
        <v>4209</v>
      </c>
      <c r="G53" s="142" t="n">
        <v>45982</v>
      </c>
      <c r="H53" s="46" t="s">
        <v>517</v>
      </c>
      <c r="I53" s="138" t="str">
        <f aca="false">IFERROR(VLOOKUP(TEXT(H53,"0"),IPRESS!$A$3:$B$212,2,0),"")</f>
        <v>LUYA</v>
      </c>
      <c r="J53" s="46" t="s">
        <v>755</v>
      </c>
      <c r="K53" s="138" t="str">
        <f aca="false">IFERROR(VLOOKUP(TEXT(O53,"0"),CONDUCTORES!$A$3:$G$100,7,0),"")</f>
        <v/>
      </c>
      <c r="L53" s="44" t="n">
        <v>18.18</v>
      </c>
      <c r="M53" s="44" t="n">
        <v>4</v>
      </c>
      <c r="N53" s="139" t="n">
        <f aca="false">IFERROR(IF(L53*M53=0,"",L53*M53),"")</f>
        <v>72.72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142" t="n">
        <v>45988</v>
      </c>
      <c r="S53" s="110" t="s">
        <v>1550</v>
      </c>
      <c r="T53" s="46"/>
      <c r="U53" s="85"/>
      <c r="V53" s="46" t="s">
        <v>3941</v>
      </c>
      <c r="W53" s="46" t="s">
        <v>2648</v>
      </c>
      <c r="X53" s="46" t="s">
        <v>2351</v>
      </c>
      <c r="Y53" s="85"/>
    </row>
    <row r="54" customFormat="false" ht="15.75" hidden="false" customHeight="true" outlineLevel="0" collapsed="false">
      <c r="A54" s="106" t="n">
        <v>49</v>
      </c>
      <c r="B54" s="107" t="s">
        <v>1350</v>
      </c>
      <c r="C54" s="106" t="s">
        <v>752</v>
      </c>
      <c r="D54" s="107" t="s">
        <v>4210</v>
      </c>
      <c r="E54" s="136" t="s">
        <v>99</v>
      </c>
      <c r="F54" s="106" t="s">
        <v>4211</v>
      </c>
      <c r="G54" s="137" t="n">
        <v>45982</v>
      </c>
      <c r="H54" s="106" t="s">
        <v>507</v>
      </c>
      <c r="I54" s="138" t="str">
        <f aca="false">IFERROR(VLOOKUP(TEXT(H54,"0"),IPRESS!$A$3:$B$212,2,0),"")</f>
        <v>LEYMEBAMBA</v>
      </c>
      <c r="J54" s="106" t="s">
        <v>755</v>
      </c>
      <c r="K54" s="138" t="str">
        <f aca="false">IFERROR(VLOOKUP(TEXT(O54,"0"),CONDUCTORES!$A$3:$G$100,7,0),"")</f>
        <v/>
      </c>
      <c r="L54" s="50" t="n">
        <v>18.18</v>
      </c>
      <c r="M54" s="50" t="n">
        <v>7.5</v>
      </c>
      <c r="N54" s="139" t="n">
        <f aca="false">IFERROR(IF(L54*M54=0,"",L54*M54),"")</f>
        <v>136.35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40"/>
      <c r="S54" s="107" t="s">
        <v>4212</v>
      </c>
      <c r="T54" s="136"/>
      <c r="U54" s="140"/>
      <c r="V54" s="106"/>
      <c r="W54" s="106"/>
      <c r="X54" s="106"/>
      <c r="Y54" s="85"/>
    </row>
    <row r="55" customFormat="false" ht="15.75" hidden="false" customHeight="true" outlineLevel="0" collapsed="false">
      <c r="A55" s="46" t="n">
        <v>50</v>
      </c>
      <c r="B55" s="110" t="s">
        <v>1207</v>
      </c>
      <c r="C55" s="46" t="s">
        <v>752</v>
      </c>
      <c r="D55" s="110" t="s">
        <v>4213</v>
      </c>
      <c r="E55" s="46" t="s">
        <v>99</v>
      </c>
      <c r="F55" s="46" t="s">
        <v>4214</v>
      </c>
      <c r="G55" s="142" t="n">
        <v>45984</v>
      </c>
      <c r="H55" s="46" t="s">
        <v>572</v>
      </c>
      <c r="I55" s="138" t="str">
        <f aca="false">IFERROR(VLOOKUP(TEXT(H55,"0"),IPRESS!$A$3:$B$212,2,0),"")</f>
        <v>OMIA</v>
      </c>
      <c r="J55" s="46" t="s">
        <v>529</v>
      </c>
      <c r="K55" s="138" t="str">
        <f aca="false">IFERROR(VLOOKUP(TEXT(O55,"0"),CONDUCTORES!$A$3:$G$100,7,0),"")</f>
        <v/>
      </c>
      <c r="L55" s="44" t="n">
        <v>20.25</v>
      </c>
      <c r="M55" s="44" t="n">
        <v>3</v>
      </c>
      <c r="N55" s="139" t="n">
        <f aca="false">IFERROR(IF(L55*M55=0,"",L55*M55),"")</f>
        <v>60.75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142" t="n">
        <v>46010</v>
      </c>
      <c r="S55" s="110" t="s">
        <v>4215</v>
      </c>
      <c r="T55" s="46"/>
      <c r="U55" s="85"/>
      <c r="V55" s="46"/>
      <c r="W55" s="46"/>
      <c r="X55" s="46"/>
      <c r="Y55" s="85"/>
    </row>
    <row r="56" customFormat="false" ht="15.75" hidden="false" customHeight="true" outlineLevel="0" collapsed="false">
      <c r="A56" s="106" t="n">
        <v>51</v>
      </c>
      <c r="B56" s="107" t="s">
        <v>1314</v>
      </c>
      <c r="C56" s="106" t="s">
        <v>752</v>
      </c>
      <c r="D56" s="107" t="s">
        <v>4216</v>
      </c>
      <c r="E56" s="136" t="s">
        <v>99</v>
      </c>
      <c r="F56" s="106" t="s">
        <v>4217</v>
      </c>
      <c r="G56" s="137" t="n">
        <v>45986</v>
      </c>
      <c r="H56" s="106" t="s">
        <v>529</v>
      </c>
      <c r="I56" s="138" t="str">
        <f aca="false">IFERROR(VLOOKUP(TEXT(H56,"0"),IPRESS!$A$3:$B$212,2,0),"")</f>
        <v>MARIA AUXILIADORA</v>
      </c>
      <c r="J56" s="106" t="s">
        <v>755</v>
      </c>
      <c r="K56" s="138" t="str">
        <f aca="false">IFERROR(VLOOKUP(TEXT(O56,"0"),CONDUCTORES!$A$3:$G$100,7,0),"")</f>
        <v/>
      </c>
      <c r="L56" s="50" t="n">
        <v>20.25</v>
      </c>
      <c r="M56" s="50" t="n">
        <v>7</v>
      </c>
      <c r="N56" s="139" t="n">
        <f aca="false">IFERROR(IF(L56*M56=0,"",L56*M56),"")</f>
        <v>141.75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40"/>
      <c r="S56" s="107" t="s">
        <v>1737</v>
      </c>
      <c r="T56" s="136"/>
      <c r="U56" s="140"/>
      <c r="V56" s="106"/>
      <c r="W56" s="106"/>
      <c r="X56" s="106"/>
      <c r="Y56" s="85"/>
    </row>
    <row r="57" customFormat="false" ht="15.75" hidden="false" customHeight="true" outlineLevel="0" collapsed="false">
      <c r="A57" s="46" t="n">
        <v>52</v>
      </c>
      <c r="B57" s="110" t="s">
        <v>836</v>
      </c>
      <c r="C57" s="46" t="s">
        <v>752</v>
      </c>
      <c r="D57" s="110" t="s">
        <v>4218</v>
      </c>
      <c r="E57" s="46" t="s">
        <v>99</v>
      </c>
      <c r="F57" s="46" t="s">
        <v>4219</v>
      </c>
      <c r="G57" s="142" t="n">
        <v>45986</v>
      </c>
      <c r="H57" s="46" t="s">
        <v>714</v>
      </c>
      <c r="I57" s="138" t="str">
        <f aca="false">IFERROR(VLOOKUP(TEXT(H57,"0"),IPRESS!$A$3:$B$212,2,0),"")</f>
        <v>YAMBRASBAMBA</v>
      </c>
      <c r="J57" s="46" t="s">
        <v>595</v>
      </c>
      <c r="K57" s="138" t="str">
        <f aca="false">IFERROR(VLOOKUP(TEXT(O57,"0"),CONDUCTORES!$A$3:$G$100,7,0),"")</f>
        <v/>
      </c>
      <c r="L57" s="44" t="n">
        <v>18.18</v>
      </c>
      <c r="M57" s="44" t="n">
        <v>4</v>
      </c>
      <c r="N57" s="139" t="n">
        <f aca="false">IFERROR(IF(L57*M57=0,"",L57*M57),"")</f>
        <v>72.72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85"/>
      <c r="S57" s="110" t="s">
        <v>4066</v>
      </c>
      <c r="T57" s="46"/>
      <c r="U57" s="85"/>
      <c r="V57" s="46"/>
      <c r="W57" s="46"/>
      <c r="X57" s="46"/>
      <c r="Y57" s="85"/>
    </row>
    <row r="58" customFormat="false" ht="15.75" hidden="false" customHeight="true" outlineLevel="0" collapsed="false">
      <c r="A58" s="106" t="n">
        <v>53</v>
      </c>
      <c r="B58" s="107" t="s">
        <v>4220</v>
      </c>
      <c r="C58" s="106" t="s">
        <v>752</v>
      </c>
      <c r="D58" s="107" t="s">
        <v>4216</v>
      </c>
      <c r="E58" s="136" t="s">
        <v>99</v>
      </c>
      <c r="F58" s="106" t="s">
        <v>4217</v>
      </c>
      <c r="G58" s="137" t="n">
        <v>45986</v>
      </c>
      <c r="H58" s="106" t="s">
        <v>722</v>
      </c>
      <c r="I58" s="138" t="str">
        <f aca="false">IFERROR(VLOOKUP(TEXT(H58,"0"),IPRESS!$A$3:$B$212,2,0),"")</f>
        <v>ZARUMILLA</v>
      </c>
      <c r="J58" s="106" t="s">
        <v>529</v>
      </c>
      <c r="K58" s="138" t="str">
        <f aca="false">IFERROR(VLOOKUP(TEXT(O58,"0"),CONDUCTORES!$A$3:$G$100,7,0),"")</f>
        <v/>
      </c>
      <c r="L58" s="50" t="n">
        <v>20.25</v>
      </c>
      <c r="M58" s="50" t="n">
        <v>10</v>
      </c>
      <c r="N58" s="139" t="n">
        <f aca="false">IFERROR(IF(L58*M58=0,"",L58*M58),"")</f>
        <v>202.5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40"/>
      <c r="S58" s="107" t="s">
        <v>1737</v>
      </c>
      <c r="T58" s="136" t="s">
        <v>4221</v>
      </c>
      <c r="U58" s="140"/>
      <c r="V58" s="106"/>
      <c r="W58" s="106"/>
      <c r="X58" s="106"/>
      <c r="Y58" s="85"/>
    </row>
    <row r="59" customFormat="false" ht="15.75" hidden="false" customHeight="true" outlineLevel="0" collapsed="false">
      <c r="A59" s="46" t="n">
        <v>54</v>
      </c>
      <c r="B59" s="110" t="s">
        <v>2247</v>
      </c>
      <c r="C59" s="46" t="s">
        <v>752</v>
      </c>
      <c r="D59" s="110" t="s">
        <v>4222</v>
      </c>
      <c r="E59" s="46" t="s">
        <v>99</v>
      </c>
      <c r="F59" s="46" t="s">
        <v>4223</v>
      </c>
      <c r="G59" s="142" t="n">
        <v>45986</v>
      </c>
      <c r="H59" s="46" t="s">
        <v>581</v>
      </c>
      <c r="I59" s="138" t="str">
        <f aca="false">IFERROR(VLOOKUP(TEXT(H59,"0"),IPRESS!$A$3:$B$212,2,0),"")</f>
        <v>PEDRO RUIZ GALLO</v>
      </c>
      <c r="J59" s="46" t="s">
        <v>755</v>
      </c>
      <c r="K59" s="138" t="str">
        <f aca="false">IFERROR(VLOOKUP(TEXT(O59,"0"),CONDUCTORES!$A$3:$G$100,7,0),"")</f>
        <v/>
      </c>
      <c r="L59" s="44" t="n">
        <v>18.18</v>
      </c>
      <c r="M59" s="44" t="n">
        <v>5</v>
      </c>
      <c r="N59" s="139" t="n">
        <f aca="false">IFERROR(IF(L59*M59=0,"",L59*M59),"")</f>
        <v>90.9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85"/>
      <c r="S59" s="110" t="s">
        <v>4224</v>
      </c>
      <c r="T59" s="46"/>
      <c r="U59" s="85"/>
      <c r="V59" s="46"/>
      <c r="W59" s="46"/>
      <c r="X59" s="46"/>
      <c r="Y59" s="85"/>
    </row>
    <row r="60" customFormat="false" ht="15.75" hidden="false" customHeight="true" outlineLevel="0" collapsed="false">
      <c r="A60" s="106" t="n">
        <v>55</v>
      </c>
      <c r="B60" s="107" t="s">
        <v>3390</v>
      </c>
      <c r="C60" s="106" t="s">
        <v>752</v>
      </c>
      <c r="D60" s="107" t="s">
        <v>4225</v>
      </c>
      <c r="E60" s="136" t="s">
        <v>99</v>
      </c>
      <c r="F60" s="106" t="s">
        <v>4226</v>
      </c>
      <c r="G60" s="137" t="n">
        <v>45986</v>
      </c>
      <c r="H60" s="106" t="s">
        <v>500</v>
      </c>
      <c r="I60" s="138" t="str">
        <f aca="false">IFERROR(VLOOKUP(TEXT(H60,"0"),IPRESS!$A$3:$B$212,2,0),"")</f>
        <v>LAMUD</v>
      </c>
      <c r="J60" s="106" t="s">
        <v>755</v>
      </c>
      <c r="K60" s="138" t="str">
        <f aca="false">IFERROR(VLOOKUP(TEXT(O60,"0"),CONDUCTORES!$A$3:$G$100,7,0),"")</f>
        <v/>
      </c>
      <c r="L60" s="50" t="n">
        <v>18.18</v>
      </c>
      <c r="M60" s="50" t="n">
        <v>4</v>
      </c>
      <c r="N60" s="139" t="n">
        <f aca="false">IFERROR(IF(L60*M60=0,"",L60*M60),"")</f>
        <v>72.72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40"/>
      <c r="S60" s="107" t="s">
        <v>4227</v>
      </c>
      <c r="T60" s="136"/>
      <c r="U60" s="140"/>
      <c r="V60" s="106"/>
      <c r="W60" s="106"/>
      <c r="X60" s="106"/>
      <c r="Y60" s="85"/>
    </row>
    <row r="61" customFormat="false" ht="15.75" hidden="false" customHeight="true" outlineLevel="0" collapsed="false">
      <c r="A61" s="46" t="n">
        <v>56</v>
      </c>
      <c r="B61" s="110" t="s">
        <v>3061</v>
      </c>
      <c r="C61" s="46" t="s">
        <v>752</v>
      </c>
      <c r="D61" s="110" t="s">
        <v>4228</v>
      </c>
      <c r="E61" s="46" t="s">
        <v>99</v>
      </c>
      <c r="F61" s="46" t="s">
        <v>4229</v>
      </c>
      <c r="G61" s="142" t="n">
        <v>45986</v>
      </c>
      <c r="H61" s="46" t="s">
        <v>500</v>
      </c>
      <c r="I61" s="138" t="str">
        <f aca="false">IFERROR(VLOOKUP(TEXT(H61,"0"),IPRESS!$A$3:$B$212,2,0),"")</f>
        <v>LAMUD</v>
      </c>
      <c r="J61" s="46" t="s">
        <v>755</v>
      </c>
      <c r="K61" s="138" t="str">
        <f aca="false">IFERROR(VLOOKUP(TEXT(O61,"0"),CONDUCTORES!$A$3:$G$100,7,0),"")</f>
        <v/>
      </c>
      <c r="L61" s="44" t="n">
        <v>18.18</v>
      </c>
      <c r="M61" s="44" t="n">
        <v>4</v>
      </c>
      <c r="N61" s="139" t="n">
        <f aca="false">IFERROR(IF(L61*M61=0,"",L61*M61),"")</f>
        <v>72.72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85"/>
      <c r="S61" s="110" t="s">
        <v>4230</v>
      </c>
      <c r="T61" s="46"/>
      <c r="U61" s="85"/>
      <c r="V61" s="46"/>
      <c r="W61" s="46"/>
      <c r="X61" s="46"/>
      <c r="Y61" s="85"/>
    </row>
    <row r="62" customFormat="false" ht="15.75" hidden="false" customHeight="true" outlineLevel="0" collapsed="false">
      <c r="A62" s="143" t="n">
        <v>57</v>
      </c>
      <c r="B62" s="144" t="s">
        <v>919</v>
      </c>
      <c r="C62" s="143" t="s">
        <v>752</v>
      </c>
      <c r="D62" s="144" t="s">
        <v>4231</v>
      </c>
      <c r="E62" s="143" t="s">
        <v>99</v>
      </c>
      <c r="F62" s="143" t="s">
        <v>4232</v>
      </c>
      <c r="G62" s="145" t="n">
        <v>45987</v>
      </c>
      <c r="H62" s="143" t="s">
        <v>344</v>
      </c>
      <c r="I62" s="138" t="str">
        <f aca="false">IFERROR(VLOOKUP(TEXT(H62,"0"),IPRESS!$A$3:$B$212,2,0),"")</f>
        <v>BALERIANA</v>
      </c>
      <c r="J62" s="143" t="s">
        <v>755</v>
      </c>
      <c r="K62" s="138" t="str">
        <f aca="false">IFERROR(VLOOKUP(TEXT(O62,"0"),CONDUCTORES!$A$3:$G$100,7,0),"")</f>
        <v/>
      </c>
      <c r="L62" s="146" t="n">
        <v>17.95</v>
      </c>
      <c r="M62" s="146" t="n">
        <v>26</v>
      </c>
      <c r="N62" s="139" t="n">
        <f aca="false">IFERROR(IF(L62*M62=0,"",L62*M62),"")</f>
        <v>466.7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47"/>
      <c r="S62" s="144" t="s">
        <v>1487</v>
      </c>
      <c r="T62" s="143" t="s">
        <v>4072</v>
      </c>
      <c r="U62" s="147"/>
      <c r="V62" s="143"/>
      <c r="W62" s="143"/>
      <c r="X62" s="143"/>
      <c r="Y62" s="85"/>
    </row>
    <row r="63" customFormat="false" ht="15.75" hidden="false" customHeight="true" outlineLevel="0" collapsed="false">
      <c r="A63" s="46" t="n">
        <v>58</v>
      </c>
      <c r="B63" s="110" t="s">
        <v>4233</v>
      </c>
      <c r="C63" s="46" t="s">
        <v>752</v>
      </c>
      <c r="D63" s="110" t="s">
        <v>4234</v>
      </c>
      <c r="E63" s="46" t="s">
        <v>99</v>
      </c>
      <c r="F63" s="46" t="s">
        <v>4235</v>
      </c>
      <c r="G63" s="142" t="n">
        <v>45987</v>
      </c>
      <c r="H63" s="46" t="s">
        <v>529</v>
      </c>
      <c r="I63" s="138" t="str">
        <f aca="false">IFERROR(VLOOKUP(TEXT(H63,"0"),IPRESS!$A$3:$B$212,2,0),"")</f>
        <v>MARIA AUXILIADORA</v>
      </c>
      <c r="J63" s="46" t="s">
        <v>755</v>
      </c>
      <c r="K63" s="138" t="str">
        <f aca="false">IFERROR(VLOOKUP(TEXT(O63,"0"),CONDUCTORES!$A$3:$G$100,7,0),"")</f>
        <v/>
      </c>
      <c r="L63" s="44" t="n">
        <v>20.25</v>
      </c>
      <c r="M63" s="44" t="n">
        <v>7</v>
      </c>
      <c r="N63" s="139" t="n">
        <f aca="false">IFERROR(IF(L63*M63=0,"",L63*M63),"")</f>
        <v>141.75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85"/>
      <c r="S63" s="110" t="s">
        <v>4236</v>
      </c>
      <c r="T63" s="46"/>
      <c r="U63" s="85"/>
      <c r="V63" s="46"/>
      <c r="W63" s="46"/>
      <c r="X63" s="46"/>
      <c r="Y63" s="85"/>
    </row>
    <row r="64" customFormat="false" ht="15.75" hidden="false" customHeight="true" outlineLevel="0" collapsed="false">
      <c r="A64" s="106" t="n">
        <v>59</v>
      </c>
      <c r="B64" s="107" t="s">
        <v>1372</v>
      </c>
      <c r="C64" s="106" t="s">
        <v>752</v>
      </c>
      <c r="D64" s="107" t="s">
        <v>4237</v>
      </c>
      <c r="E64" s="136" t="s">
        <v>99</v>
      </c>
      <c r="F64" s="106" t="s">
        <v>4238</v>
      </c>
      <c r="G64" s="137" t="n">
        <v>45988</v>
      </c>
      <c r="H64" s="106" t="s">
        <v>692</v>
      </c>
      <c r="I64" s="138" t="str">
        <f aca="false">IFERROR(VLOOKUP(TEXT(H64,"0"),IPRESS!$A$3:$B$212,2,0),"")</f>
        <v>TINGO</v>
      </c>
      <c r="J64" s="106" t="s">
        <v>755</v>
      </c>
      <c r="K64" s="138" t="str">
        <f aca="false">IFERROR(VLOOKUP(TEXT(O64,"0"),CONDUCTORES!$A$3:$G$100,7,0),"")</f>
        <v/>
      </c>
      <c r="L64" s="50" t="n">
        <v>18.18</v>
      </c>
      <c r="M64" s="50" t="n">
        <v>5</v>
      </c>
      <c r="N64" s="139" t="n">
        <f aca="false">IFERROR(IF(L64*M64=0,"",L64*M64),"")</f>
        <v>90.9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40"/>
      <c r="S64" s="107" t="s">
        <v>4239</v>
      </c>
      <c r="T64" s="136"/>
      <c r="U64" s="140"/>
      <c r="V64" s="106"/>
      <c r="W64" s="106"/>
      <c r="X64" s="106"/>
      <c r="Y64" s="85"/>
    </row>
    <row r="65" customFormat="false" ht="15.75" hidden="false" customHeight="true" outlineLevel="0" collapsed="false">
      <c r="A65" s="46" t="n">
        <v>60</v>
      </c>
      <c r="B65" s="110" t="s">
        <v>2254</v>
      </c>
      <c r="C65" s="46" t="s">
        <v>752</v>
      </c>
      <c r="D65" s="110" t="s">
        <v>4240</v>
      </c>
      <c r="E65" s="46" t="s">
        <v>99</v>
      </c>
      <c r="F65" s="46" t="s">
        <v>4241</v>
      </c>
      <c r="G65" s="142" t="n">
        <v>45988</v>
      </c>
      <c r="H65" s="46" t="s">
        <v>581</v>
      </c>
      <c r="I65" s="138" t="str">
        <f aca="false">IFERROR(VLOOKUP(TEXT(H65,"0"),IPRESS!$A$3:$B$212,2,0),"")</f>
        <v>PEDRO RUIZ GALLO</v>
      </c>
      <c r="J65" s="46" t="s">
        <v>755</v>
      </c>
      <c r="K65" s="138" t="str">
        <f aca="false">IFERROR(VLOOKUP(TEXT(O65,"0"),CONDUCTORES!$A$3:$G$100,7,0),"")</f>
        <v/>
      </c>
      <c r="L65" s="44" t="n">
        <v>18.18</v>
      </c>
      <c r="M65" s="44" t="n">
        <v>5</v>
      </c>
      <c r="N65" s="139" t="n">
        <f aca="false">IFERROR(IF(L65*M65=0,"",L65*M65),"")</f>
        <v>90.9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85"/>
      <c r="S65" s="110" t="s">
        <v>4242</v>
      </c>
      <c r="T65" s="46"/>
      <c r="U65" s="85"/>
      <c r="V65" s="46"/>
      <c r="W65" s="46"/>
      <c r="X65" s="46"/>
      <c r="Y65" s="85"/>
    </row>
    <row r="66" customFormat="false" ht="15.75" hidden="false" customHeight="true" outlineLevel="0" collapsed="false">
      <c r="A66" s="106" t="n">
        <v>61</v>
      </c>
      <c r="B66" s="107" t="s">
        <v>4243</v>
      </c>
      <c r="C66" s="106" t="s">
        <v>752</v>
      </c>
      <c r="D66" s="107" t="s">
        <v>4244</v>
      </c>
      <c r="E66" s="136" t="s">
        <v>99</v>
      </c>
      <c r="F66" s="106" t="s">
        <v>4245</v>
      </c>
      <c r="G66" s="137" t="n">
        <v>45989</v>
      </c>
      <c r="H66" s="106" t="s">
        <v>529</v>
      </c>
      <c r="I66" s="138" t="str">
        <f aca="false">IFERROR(VLOOKUP(TEXT(H66,"0"),IPRESS!$A$3:$B$212,2,0),"")</f>
        <v>MARIA AUXILIADORA</v>
      </c>
      <c r="J66" s="106" t="s">
        <v>755</v>
      </c>
      <c r="K66" s="138" t="str">
        <f aca="false">IFERROR(VLOOKUP(TEXT(O66,"0"),CONDUCTORES!$A$3:$G$100,7,0),"")</f>
        <v/>
      </c>
      <c r="L66" s="50" t="n">
        <v>20.25</v>
      </c>
      <c r="M66" s="50" t="n">
        <v>7</v>
      </c>
      <c r="N66" s="139" t="n">
        <f aca="false">IFERROR(IF(L66*M66=0,"",L66*M66),"")</f>
        <v>141.75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40"/>
      <c r="S66" s="107" t="s">
        <v>4246</v>
      </c>
      <c r="T66" s="136"/>
      <c r="U66" s="140"/>
      <c r="V66" s="106"/>
      <c r="W66" s="106"/>
      <c r="X66" s="106"/>
      <c r="Y66" s="85"/>
    </row>
    <row r="67" customFormat="false" ht="15.75" hidden="false" customHeight="true" outlineLevel="0" collapsed="false">
      <c r="A67" s="46" t="n">
        <v>62</v>
      </c>
      <c r="B67" s="110" t="s">
        <v>1376</v>
      </c>
      <c r="C67" s="46" t="s">
        <v>752</v>
      </c>
      <c r="D67" s="110" t="s">
        <v>4247</v>
      </c>
      <c r="E67" s="46" t="s">
        <v>99</v>
      </c>
      <c r="F67" s="46" t="s">
        <v>4248</v>
      </c>
      <c r="G67" s="142" t="n">
        <v>45990</v>
      </c>
      <c r="H67" s="46" t="s">
        <v>692</v>
      </c>
      <c r="I67" s="138" t="str">
        <f aca="false">IFERROR(VLOOKUP(TEXT(H67,"0"),IPRESS!$A$3:$B$212,2,0),"")</f>
        <v>TINGO</v>
      </c>
      <c r="J67" s="46" t="s">
        <v>755</v>
      </c>
      <c r="K67" s="138" t="str">
        <f aca="false">IFERROR(VLOOKUP(TEXT(O67,"0"),CONDUCTORES!$A$3:$G$100,7,0),"")</f>
        <v/>
      </c>
      <c r="L67" s="44" t="n">
        <v>18.18</v>
      </c>
      <c r="M67" s="44" t="n">
        <v>5</v>
      </c>
      <c r="N67" s="139" t="n">
        <f aca="false">IFERROR(IF(L67*M67=0,"",L67*M67),"")</f>
        <v>90.9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85"/>
      <c r="S67" s="110" t="s">
        <v>1295</v>
      </c>
      <c r="T67" s="46"/>
      <c r="U67" s="85"/>
      <c r="V67" s="46"/>
      <c r="W67" s="46"/>
      <c r="X67" s="46"/>
      <c r="Y67" s="85"/>
    </row>
    <row r="68" customFormat="false" ht="15.75" hidden="false" customHeight="true" outlineLevel="0" collapsed="false">
      <c r="A68" s="106" t="n">
        <v>63</v>
      </c>
      <c r="B68" s="107" t="s">
        <v>2258</v>
      </c>
      <c r="C68" s="106" t="s">
        <v>752</v>
      </c>
      <c r="D68" s="107" t="s">
        <v>4249</v>
      </c>
      <c r="E68" s="136" t="s">
        <v>99</v>
      </c>
      <c r="F68" s="106" t="s">
        <v>4250</v>
      </c>
      <c r="G68" s="137" t="n">
        <v>45991</v>
      </c>
      <c r="H68" s="106" t="s">
        <v>581</v>
      </c>
      <c r="I68" s="138" t="str">
        <f aca="false">IFERROR(VLOOKUP(TEXT(H68,"0"),IPRESS!$A$3:$B$212,2,0),"")</f>
        <v>PEDRO RUIZ GALLO</v>
      </c>
      <c r="J68" s="106" t="s">
        <v>755</v>
      </c>
      <c r="K68" s="138" t="str">
        <f aca="false">IFERROR(VLOOKUP(TEXT(O68,"0"),CONDUCTORES!$A$3:$G$100,7,0),"")</f>
        <v/>
      </c>
      <c r="L68" s="50" t="n">
        <v>18.18</v>
      </c>
      <c r="M68" s="50" t="n">
        <v>5</v>
      </c>
      <c r="N68" s="139" t="n">
        <f aca="false">IFERROR(IF(L68*M68=0,"",L68*M68),"")</f>
        <v>90.9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40"/>
      <c r="S68" s="107" t="s">
        <v>847</v>
      </c>
      <c r="T68" s="136"/>
      <c r="U68" s="140"/>
      <c r="V68" s="106"/>
      <c r="W68" s="106"/>
      <c r="X68" s="106"/>
      <c r="Y68" s="85"/>
    </row>
    <row r="69" customFormat="false" ht="15.75" hidden="false" customHeight="true" outlineLevel="0" collapsed="false">
      <c r="A69" s="46" t="n">
        <v>64</v>
      </c>
      <c r="B69" s="110" t="s">
        <v>4251</v>
      </c>
      <c r="C69" s="46" t="s">
        <v>752</v>
      </c>
      <c r="D69" s="110" t="s">
        <v>4252</v>
      </c>
      <c r="E69" s="46" t="s">
        <v>99</v>
      </c>
      <c r="F69" s="46" t="s">
        <v>4253</v>
      </c>
      <c r="G69" s="142" t="n">
        <v>45989</v>
      </c>
      <c r="H69" s="46" t="s">
        <v>460</v>
      </c>
      <c r="I69" s="138" t="str">
        <f aca="false">IFERROR(VLOOKUP(TEXT(H69,"0"),IPRESS!$A$3:$B$212,2,0),"")</f>
        <v>GUADALUPE</v>
      </c>
      <c r="J69" s="46" t="s">
        <v>755</v>
      </c>
      <c r="K69" s="138" t="str">
        <f aca="false">IFERROR(VLOOKUP(TEXT(O69,"0"),CONDUCTORES!$A$3:$G$100,7,0),"")</f>
        <v/>
      </c>
      <c r="L69" s="44" t="n">
        <v>18.18</v>
      </c>
      <c r="M69" s="44" t="n">
        <v>25</v>
      </c>
      <c r="N69" s="139" t="n">
        <f aca="false">IFERROR(IF(L69*M69=0,"",L69*M69),"")</f>
        <v>454.5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85"/>
      <c r="S69" s="110" t="s">
        <v>1651</v>
      </c>
      <c r="T69" s="46" t="s">
        <v>4254</v>
      </c>
      <c r="U69" s="85"/>
      <c r="V69" s="46"/>
      <c r="W69" s="46"/>
      <c r="X69" s="46"/>
      <c r="Y69" s="85"/>
    </row>
    <row r="70" customFormat="false" ht="15.75" hidden="false" customHeight="true" outlineLevel="0" collapsed="false">
      <c r="A70" s="106" t="n">
        <v>65</v>
      </c>
      <c r="B70" s="107" t="s">
        <v>4255</v>
      </c>
      <c r="C70" s="106" t="s">
        <v>752</v>
      </c>
      <c r="D70" s="107" t="s">
        <v>4256</v>
      </c>
      <c r="E70" s="136" t="s">
        <v>99</v>
      </c>
      <c r="F70" s="106" t="s">
        <v>4257</v>
      </c>
      <c r="G70" s="137" t="n">
        <v>45990</v>
      </c>
      <c r="H70" s="106" t="s">
        <v>529</v>
      </c>
      <c r="I70" s="138" t="str">
        <f aca="false">IFERROR(VLOOKUP(TEXT(H70,"0"),IPRESS!$A$3:$B$212,2,0),"")</f>
        <v>MARIA AUXILIADORA</v>
      </c>
      <c r="J70" s="106" t="s">
        <v>755</v>
      </c>
      <c r="K70" s="138" t="str">
        <f aca="false">IFERROR(VLOOKUP(TEXT(O70,"0"),CONDUCTORES!$A$3:$G$100,7,0),"")</f>
        <v/>
      </c>
      <c r="L70" s="50" t="n">
        <v>20.25</v>
      </c>
      <c r="M70" s="50" t="n">
        <v>6.2</v>
      </c>
      <c r="N70" s="139" t="n">
        <f aca="false">IFERROR(IF(L70*M70=0,"",L70*M70),"")</f>
        <v>125.55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40"/>
      <c r="S70" s="107" t="s">
        <v>4258</v>
      </c>
      <c r="T70" s="136"/>
      <c r="U70" s="140"/>
      <c r="V70" s="106"/>
      <c r="W70" s="106"/>
      <c r="X70" s="106"/>
      <c r="Y70" s="85"/>
    </row>
    <row r="71" customFormat="false" ht="15.75" hidden="false" customHeight="true" outlineLevel="0" collapsed="false">
      <c r="A71" s="46" t="n">
        <v>66</v>
      </c>
      <c r="B71" s="110" t="s">
        <v>1665</v>
      </c>
      <c r="C71" s="46" t="s">
        <v>752</v>
      </c>
      <c r="D71" s="110" t="s">
        <v>4259</v>
      </c>
      <c r="E71" s="46" t="s">
        <v>99</v>
      </c>
      <c r="F71" s="46" t="s">
        <v>4260</v>
      </c>
      <c r="G71" s="142" t="n">
        <v>45986</v>
      </c>
      <c r="H71" s="46" t="s">
        <v>407</v>
      </c>
      <c r="I71" s="138" t="str">
        <f aca="false">IFERROR(VLOOKUP(TEXT(H71,"0"),IPRESS!$A$3:$B$212,2,0),"")</f>
        <v>COCOCHO</v>
      </c>
      <c r="J71" s="46" t="s">
        <v>755</v>
      </c>
      <c r="K71" s="138" t="str">
        <f aca="false">IFERROR(VLOOKUP(TEXT(O71,"0"),CONDUCTORES!$A$3:$G$100,7,0),"")</f>
        <v/>
      </c>
      <c r="L71" s="44" t="n">
        <v>18.18</v>
      </c>
      <c r="M71" s="44" t="n">
        <v>23</v>
      </c>
      <c r="N71" s="139" t="n">
        <f aca="false">IFERROR(IF(L71*M71=0,"",L71*M71),"")</f>
        <v>418.14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85"/>
      <c r="S71" s="110" t="s">
        <v>4261</v>
      </c>
      <c r="T71" s="46"/>
      <c r="U71" s="85"/>
      <c r="V71" s="46"/>
      <c r="W71" s="46"/>
      <c r="X71" s="46"/>
      <c r="Y71" s="85"/>
    </row>
    <row r="72" customFormat="false" ht="15.75" hidden="false" customHeight="true" outlineLevel="0" collapsed="false">
      <c r="A72" s="106" t="n">
        <v>67</v>
      </c>
      <c r="B72" s="107"/>
      <c r="C72" s="106" t="s">
        <v>752</v>
      </c>
      <c r="D72" s="107"/>
      <c r="E72" s="136" t="s">
        <v>99</v>
      </c>
      <c r="F72" s="106"/>
      <c r="G72" s="140"/>
      <c r="H72" s="106"/>
      <c r="I72" s="138" t="str">
        <f aca="false">IFERROR(VLOOKUP(TEXT(H72,"0"),IPRESS!$A$3:$B$212,2,0),"")</f>
        <v/>
      </c>
      <c r="J72" s="106"/>
      <c r="K72" s="138" t="str">
        <f aca="false">IFERROR(VLOOKUP(TEXT(O72,"0"),CONDUCTORES!$A$3:$G$100,7,0),"")</f>
        <v/>
      </c>
      <c r="L72" s="50"/>
      <c r="M72" s="50"/>
      <c r="N72" s="139" t="str">
        <f aca="false">IFERROR(IF(L72*M72=0,"",L72*M72),"")</f>
        <v/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40"/>
      <c r="S72" s="107"/>
      <c r="T72" s="136"/>
      <c r="U72" s="140"/>
      <c r="V72" s="106"/>
      <c r="W72" s="106"/>
      <c r="X72" s="106"/>
      <c r="Y72" s="85"/>
    </row>
    <row r="73" customFormat="false" ht="15.75" hidden="false" customHeight="true" outlineLevel="0" collapsed="false">
      <c r="A73" s="46" t="n">
        <v>68</v>
      </c>
      <c r="B73" s="110"/>
      <c r="C73" s="46" t="s">
        <v>752</v>
      </c>
      <c r="D73" s="110"/>
      <c r="E73" s="46" t="s">
        <v>99</v>
      </c>
      <c r="F73" s="46"/>
      <c r="G73" s="85"/>
      <c r="H73" s="46"/>
      <c r="I73" s="138" t="str">
        <f aca="false">IFERROR(VLOOKUP(TEXT(H73,"0"),IPRESS!$A$3:$B$212,2,0),"")</f>
        <v/>
      </c>
      <c r="J73" s="46"/>
      <c r="K73" s="138" t="str">
        <f aca="false">IFERROR(VLOOKUP(TEXT(O73,"0"),CONDUCTORES!$A$3:$G$100,7,0),"")</f>
        <v/>
      </c>
      <c r="L73" s="44"/>
      <c r="M73" s="44"/>
      <c r="N73" s="139" t="str">
        <f aca="false">IFERROR(IF(L73*M73=0,"",L73*M73),"")</f>
        <v/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85"/>
      <c r="S73" s="110"/>
      <c r="T73" s="46"/>
      <c r="U73" s="85"/>
      <c r="V73" s="46"/>
      <c r="W73" s="46"/>
      <c r="X73" s="46"/>
      <c r="Y73" s="85"/>
    </row>
    <row r="74" customFormat="false" ht="15.75" hidden="false" customHeight="true" outlineLevel="0" collapsed="false">
      <c r="A74" s="106" t="n">
        <v>69</v>
      </c>
      <c r="B74" s="107"/>
      <c r="C74" s="106" t="s">
        <v>752</v>
      </c>
      <c r="D74" s="107"/>
      <c r="E74" s="136" t="s">
        <v>99</v>
      </c>
      <c r="F74" s="106"/>
      <c r="G74" s="140"/>
      <c r="H74" s="106"/>
      <c r="I74" s="138" t="str">
        <f aca="false">IFERROR(VLOOKUP(TEXT(H74,"0"),IPRESS!$A$3:$B$212,2,0),"")</f>
        <v/>
      </c>
      <c r="J74" s="106"/>
      <c r="K74" s="138" t="str">
        <f aca="false">IFERROR(VLOOKUP(TEXT(O74,"0"),CONDUCTORES!$A$3:$G$100,7,0),"")</f>
        <v/>
      </c>
      <c r="L74" s="50"/>
      <c r="M74" s="50"/>
      <c r="N74" s="139" t="str">
        <f aca="false">IFERROR(IF(L74*M74=0,"",L74*M74),"")</f>
        <v/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40"/>
      <c r="S74" s="107"/>
      <c r="T74" s="136"/>
      <c r="U74" s="140"/>
      <c r="V74" s="106"/>
      <c r="W74" s="106"/>
      <c r="X74" s="106"/>
      <c r="Y74" s="85"/>
    </row>
    <row r="75" customFormat="false" ht="15.75" hidden="false" customHeight="true" outlineLevel="0" collapsed="false">
      <c r="A75" s="46" t="n">
        <v>70</v>
      </c>
      <c r="B75" s="110"/>
      <c r="C75" s="46" t="s">
        <v>752</v>
      </c>
      <c r="D75" s="110"/>
      <c r="E75" s="46" t="s">
        <v>99</v>
      </c>
      <c r="F75" s="46"/>
      <c r="G75" s="85"/>
      <c r="H75" s="46"/>
      <c r="I75" s="138" t="str">
        <f aca="false">IFERROR(VLOOKUP(TEXT(H75,"0"),IPRESS!$A$3:$B$212,2,0),"")</f>
        <v/>
      </c>
      <c r="J75" s="46"/>
      <c r="K75" s="138" t="str">
        <f aca="false">IFERROR(VLOOKUP(TEXT(O75,"0"),CONDUCTORES!$A$3:$G$100,7,0),"")</f>
        <v/>
      </c>
      <c r="L75" s="44"/>
      <c r="M75" s="44"/>
      <c r="N75" s="139" t="str">
        <f aca="false">IFERROR(IF(L75*M75=0,"",L75*M75),"")</f>
        <v/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85"/>
      <c r="S75" s="110"/>
      <c r="T75" s="46"/>
      <c r="U75" s="85"/>
      <c r="V75" s="46"/>
      <c r="W75" s="46"/>
      <c r="X75" s="46"/>
      <c r="Y75" s="85"/>
    </row>
    <row r="76" customFormat="false" ht="15.75" hidden="false" customHeight="true" outlineLevel="0" collapsed="false">
      <c r="A76" s="106" t="n">
        <v>71</v>
      </c>
      <c r="B76" s="107"/>
      <c r="C76" s="106" t="s">
        <v>752</v>
      </c>
      <c r="D76" s="107"/>
      <c r="E76" s="136" t="s">
        <v>99</v>
      </c>
      <c r="F76" s="106"/>
      <c r="G76" s="140"/>
      <c r="H76" s="106"/>
      <c r="I76" s="138" t="str">
        <f aca="false">IFERROR(VLOOKUP(TEXT(H76,"0"),IPRESS!$A$3:$B$212,2,0),"")</f>
        <v/>
      </c>
      <c r="J76" s="106"/>
      <c r="K76" s="138" t="str">
        <f aca="false">IFERROR(VLOOKUP(TEXT(O76,"0"),CONDUCTORES!$A$3:$G$100,7,0),"")</f>
        <v/>
      </c>
      <c r="L76" s="50"/>
      <c r="M76" s="50"/>
      <c r="N76" s="139" t="str">
        <f aca="false">IFERROR(IF(L76*M76=0,"",L76*M76),"")</f>
        <v/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40"/>
      <c r="S76" s="107"/>
      <c r="T76" s="136"/>
      <c r="U76" s="140"/>
      <c r="V76" s="106"/>
      <c r="W76" s="106"/>
      <c r="X76" s="106"/>
      <c r="Y76" s="85"/>
    </row>
    <row r="77" customFormat="false" ht="15.75" hidden="false" customHeight="true" outlineLevel="0" collapsed="false">
      <c r="A77" s="46" t="n">
        <v>72</v>
      </c>
      <c r="B77" s="110"/>
      <c r="C77" s="46" t="s">
        <v>752</v>
      </c>
      <c r="D77" s="110"/>
      <c r="E77" s="46" t="s">
        <v>99</v>
      </c>
      <c r="F77" s="46"/>
      <c r="G77" s="85"/>
      <c r="H77" s="46"/>
      <c r="I77" s="138" t="str">
        <f aca="false">IFERROR(VLOOKUP(TEXT(H77,"0"),IPRESS!$A$3:$B$212,2,0),"")</f>
        <v/>
      </c>
      <c r="J77" s="46"/>
      <c r="K77" s="138" t="str">
        <f aca="false">IFERROR(VLOOKUP(TEXT(O77,"0"),CONDUCTORES!$A$3:$G$100,7,0),"")</f>
        <v/>
      </c>
      <c r="L77" s="44"/>
      <c r="M77" s="44"/>
      <c r="N77" s="139" t="str">
        <f aca="false">IFERROR(IF(L77*M77=0,"",L77*M77),"")</f>
        <v/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85"/>
      <c r="S77" s="110"/>
      <c r="T77" s="46"/>
      <c r="U77" s="85"/>
      <c r="V77" s="46"/>
      <c r="W77" s="46"/>
      <c r="X77" s="46"/>
      <c r="Y77" s="85"/>
    </row>
    <row r="78" customFormat="false" ht="15.75" hidden="false" customHeight="true" outlineLevel="0" collapsed="false">
      <c r="A78" s="106" t="n">
        <v>73</v>
      </c>
      <c r="B78" s="107"/>
      <c r="C78" s="106" t="s">
        <v>752</v>
      </c>
      <c r="D78" s="107"/>
      <c r="E78" s="136" t="s">
        <v>99</v>
      </c>
      <c r="F78" s="106"/>
      <c r="G78" s="140"/>
      <c r="H78" s="106"/>
      <c r="I78" s="138" t="str">
        <f aca="false">IFERROR(VLOOKUP(TEXT(H78,"0"),IPRESS!$A$3:$B$212,2,0),"")</f>
        <v/>
      </c>
      <c r="J78" s="106"/>
      <c r="K78" s="138" t="str">
        <f aca="false">IFERROR(VLOOKUP(TEXT(O78,"0"),CONDUCTORES!$A$3:$G$100,7,0),"")</f>
        <v/>
      </c>
      <c r="L78" s="50"/>
      <c r="M78" s="50"/>
      <c r="N78" s="139" t="str">
        <f aca="false">IFERROR(IF(L78*M78=0,"",L78*M78),"")</f>
        <v/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40"/>
      <c r="S78" s="107"/>
      <c r="T78" s="136"/>
      <c r="U78" s="140"/>
      <c r="V78" s="106"/>
      <c r="W78" s="106"/>
      <c r="X78" s="106"/>
      <c r="Y78" s="85"/>
    </row>
    <row r="79" customFormat="false" ht="15.75" hidden="false" customHeight="true" outlineLevel="0" collapsed="false">
      <c r="A79" s="46" t="n">
        <v>74</v>
      </c>
      <c r="B79" s="110"/>
      <c r="C79" s="46" t="s">
        <v>752</v>
      </c>
      <c r="D79" s="110"/>
      <c r="E79" s="46" t="s">
        <v>99</v>
      </c>
      <c r="F79" s="46"/>
      <c r="G79" s="85"/>
      <c r="H79" s="46"/>
      <c r="I79" s="138" t="str">
        <f aca="false">IFERROR(VLOOKUP(TEXT(H79,"0"),IPRESS!$A$3:$B$212,2,0),"")</f>
        <v/>
      </c>
      <c r="J79" s="46"/>
      <c r="K79" s="138" t="str">
        <f aca="false">IFERROR(VLOOKUP(TEXT(O79,"0"),CONDUCTORES!$A$3:$G$100,7,0),"")</f>
        <v/>
      </c>
      <c r="L79" s="44"/>
      <c r="M79" s="44"/>
      <c r="N79" s="139" t="str">
        <f aca="false">IFERROR(IF(L79*M79=0,"",L79*M79),"")</f>
        <v/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85"/>
      <c r="S79" s="110"/>
      <c r="T79" s="46"/>
      <c r="U79" s="85"/>
      <c r="V79" s="46"/>
      <c r="W79" s="46"/>
      <c r="X79" s="46"/>
      <c r="Y79" s="85"/>
    </row>
    <row r="80" customFormat="false" ht="15.75" hidden="false" customHeight="true" outlineLevel="0" collapsed="false">
      <c r="A80" s="106" t="n">
        <v>75</v>
      </c>
      <c r="B80" s="107"/>
      <c r="C80" s="106" t="s">
        <v>752</v>
      </c>
      <c r="D80" s="107"/>
      <c r="E80" s="136" t="s">
        <v>99</v>
      </c>
      <c r="F80" s="106"/>
      <c r="G80" s="140"/>
      <c r="H80" s="106"/>
      <c r="I80" s="138" t="str">
        <f aca="false">IFERROR(VLOOKUP(TEXT(H80,"0"),IPRESS!$A$3:$B$212,2,0),"")</f>
        <v/>
      </c>
      <c r="J80" s="106"/>
      <c r="K80" s="138" t="str">
        <f aca="false">IFERROR(VLOOKUP(TEXT(O80,"0"),CONDUCTORES!$A$3:$G$100,7,0),"")</f>
        <v/>
      </c>
      <c r="L80" s="50"/>
      <c r="M80" s="50"/>
      <c r="N80" s="139" t="str">
        <f aca="false">IFERROR(IF(L80*M80=0,"",L80*M80),"")</f>
        <v/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40"/>
      <c r="S80" s="107"/>
      <c r="T80" s="136"/>
      <c r="U80" s="140"/>
      <c r="V80" s="106"/>
      <c r="W80" s="106"/>
      <c r="X80" s="106"/>
      <c r="Y80" s="85"/>
    </row>
    <row r="81" customFormat="false" ht="15.75" hidden="false" customHeight="true" outlineLevel="0" collapsed="false">
      <c r="A81" s="46" t="n">
        <v>76</v>
      </c>
      <c r="B81" s="110"/>
      <c r="C81" s="46" t="s">
        <v>752</v>
      </c>
      <c r="D81" s="110"/>
      <c r="E81" s="46" t="s">
        <v>99</v>
      </c>
      <c r="F81" s="46"/>
      <c r="G81" s="85"/>
      <c r="H81" s="46"/>
      <c r="I81" s="138" t="str">
        <f aca="false">IFERROR(VLOOKUP(TEXT(H81,"0"),IPRESS!$A$3:$B$212,2,0),"")</f>
        <v/>
      </c>
      <c r="J81" s="46"/>
      <c r="K81" s="138" t="str">
        <f aca="false">IFERROR(VLOOKUP(TEXT(O81,"0"),CONDUCTORES!$A$3:$G$100,7,0),"")</f>
        <v/>
      </c>
      <c r="L81" s="44"/>
      <c r="M81" s="44"/>
      <c r="N81" s="139" t="str">
        <f aca="false">IFERROR(IF(L81*M81=0,"",L81*M81),"")</f>
        <v/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85"/>
      <c r="S81" s="110"/>
      <c r="T81" s="46"/>
      <c r="U81" s="85"/>
      <c r="V81" s="46"/>
      <c r="W81" s="46"/>
      <c r="X81" s="46"/>
      <c r="Y81" s="85"/>
    </row>
    <row r="82" customFormat="false" ht="15.75" hidden="false" customHeight="true" outlineLevel="0" collapsed="false">
      <c r="A82" s="106" t="n">
        <v>77</v>
      </c>
      <c r="B82" s="107"/>
      <c r="C82" s="106" t="s">
        <v>752</v>
      </c>
      <c r="D82" s="107"/>
      <c r="E82" s="136" t="s">
        <v>99</v>
      </c>
      <c r="F82" s="106"/>
      <c r="G82" s="140"/>
      <c r="H82" s="106"/>
      <c r="I82" s="138" t="str">
        <f aca="false">IFERROR(VLOOKUP(TEXT(H82,"0"),IPRESS!$A$3:$B$212,2,0),"")</f>
        <v/>
      </c>
      <c r="J82" s="106"/>
      <c r="K82" s="138" t="str">
        <f aca="false">IFERROR(VLOOKUP(TEXT(O82,"0"),CONDUCTORES!$A$3:$G$100,7,0),"")</f>
        <v/>
      </c>
      <c r="L82" s="50"/>
      <c r="M82" s="50"/>
      <c r="N82" s="139" t="str">
        <f aca="false">IFERROR(IF(L82*M82=0,"",L82*M82),"")</f>
        <v/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40"/>
      <c r="S82" s="107"/>
      <c r="T82" s="136"/>
      <c r="U82" s="140"/>
      <c r="V82" s="106"/>
      <c r="W82" s="106"/>
      <c r="X82" s="106"/>
      <c r="Y82" s="85"/>
    </row>
    <row r="83" customFormat="false" ht="15.75" hidden="false" customHeight="true" outlineLevel="0" collapsed="false">
      <c r="A83" s="46" t="n">
        <v>78</v>
      </c>
      <c r="B83" s="110"/>
      <c r="C83" s="46" t="s">
        <v>752</v>
      </c>
      <c r="D83" s="110"/>
      <c r="E83" s="46" t="s">
        <v>99</v>
      </c>
      <c r="F83" s="46"/>
      <c r="G83" s="85"/>
      <c r="H83" s="46"/>
      <c r="I83" s="138" t="str">
        <f aca="false">IFERROR(VLOOKUP(TEXT(H83,"0"),IPRESS!$A$3:$B$212,2,0),"")</f>
        <v/>
      </c>
      <c r="J83" s="46"/>
      <c r="K83" s="138" t="str">
        <f aca="false">IFERROR(VLOOKUP(TEXT(O83,"0"),CONDUCTORES!$A$3:$G$100,7,0),"")</f>
        <v/>
      </c>
      <c r="L83" s="44"/>
      <c r="M83" s="44"/>
      <c r="N83" s="139" t="str">
        <f aca="false">IFERROR(IF(L83*M83=0,"",L83*M83),"")</f>
        <v/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85"/>
      <c r="S83" s="110"/>
      <c r="T83" s="46"/>
      <c r="U83" s="85"/>
      <c r="V83" s="46"/>
      <c r="W83" s="46"/>
      <c r="X83" s="46"/>
      <c r="Y83" s="85"/>
    </row>
    <row r="84" customFormat="false" ht="15.75" hidden="false" customHeight="true" outlineLevel="0" collapsed="false">
      <c r="A84" s="106" t="n">
        <v>79</v>
      </c>
      <c r="B84" s="107"/>
      <c r="C84" s="106" t="s">
        <v>752</v>
      </c>
      <c r="D84" s="107"/>
      <c r="E84" s="136" t="s">
        <v>99</v>
      </c>
      <c r="F84" s="106"/>
      <c r="G84" s="140"/>
      <c r="H84" s="106"/>
      <c r="I84" s="138" t="str">
        <f aca="false">IFERROR(VLOOKUP(TEXT(H84,"0"),IPRESS!$A$3:$B$212,2,0),"")</f>
        <v/>
      </c>
      <c r="J84" s="106"/>
      <c r="K84" s="138" t="str">
        <f aca="false">IFERROR(VLOOKUP(TEXT(O84,"0"),CONDUCTORES!$A$3:$G$100,7,0),"")</f>
        <v/>
      </c>
      <c r="L84" s="50"/>
      <c r="M84" s="50"/>
      <c r="N84" s="139" t="str">
        <f aca="false">IFERROR(IF(L84*M84=0,"",L84*M84),"")</f>
        <v/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40"/>
      <c r="S84" s="107"/>
      <c r="T84" s="136"/>
      <c r="U84" s="140"/>
      <c r="V84" s="106"/>
      <c r="W84" s="106"/>
      <c r="X84" s="106"/>
      <c r="Y84" s="85"/>
    </row>
    <row r="85" customFormat="false" ht="15.75" hidden="false" customHeight="true" outlineLevel="0" collapsed="false">
      <c r="A85" s="46" t="n">
        <v>80</v>
      </c>
      <c r="B85" s="110"/>
      <c r="C85" s="46" t="s">
        <v>752</v>
      </c>
      <c r="D85" s="110"/>
      <c r="E85" s="46" t="s">
        <v>99</v>
      </c>
      <c r="F85" s="46"/>
      <c r="G85" s="85"/>
      <c r="H85" s="46"/>
      <c r="I85" s="138" t="str">
        <f aca="false">IFERROR(VLOOKUP(TEXT(H85,"0"),IPRESS!$A$3:$B$212,2,0),"")</f>
        <v/>
      </c>
      <c r="J85" s="46"/>
      <c r="K85" s="138" t="str">
        <f aca="false">IFERROR(VLOOKUP(TEXT(O85,"0"),CONDUCTORES!$A$3:$G$100,7,0),"")</f>
        <v/>
      </c>
      <c r="L85" s="44"/>
      <c r="M85" s="44"/>
      <c r="N85" s="139" t="str">
        <f aca="false">IFERROR(IF(L85*M85=0,"",L85*M85),"")</f>
        <v/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85"/>
      <c r="S85" s="110"/>
      <c r="T85" s="46"/>
      <c r="U85" s="85"/>
      <c r="V85" s="46"/>
      <c r="W85" s="46"/>
      <c r="X85" s="46"/>
      <c r="Y85" s="85"/>
    </row>
    <row r="86" customFormat="false" ht="15.75" hidden="false" customHeight="true" outlineLevel="0" collapsed="false">
      <c r="A86" s="106" t="n">
        <v>81</v>
      </c>
      <c r="B86" s="107"/>
      <c r="C86" s="106" t="s">
        <v>752</v>
      </c>
      <c r="D86" s="107"/>
      <c r="E86" s="136" t="s">
        <v>99</v>
      </c>
      <c r="F86" s="106"/>
      <c r="G86" s="140"/>
      <c r="H86" s="106"/>
      <c r="I86" s="138" t="str">
        <f aca="false">IFERROR(VLOOKUP(TEXT(H86,"0"),IPRESS!$A$3:$B$212,2,0),"")</f>
        <v/>
      </c>
      <c r="J86" s="106"/>
      <c r="K86" s="138" t="str">
        <f aca="false">IFERROR(VLOOKUP(TEXT(O86,"0"),CONDUCTORES!$A$3:$G$100,7,0),"")</f>
        <v/>
      </c>
      <c r="L86" s="50"/>
      <c r="M86" s="50"/>
      <c r="N86" s="139" t="str">
        <f aca="false">IFERROR(IF(L86*M86=0,"",L86*M86),"")</f>
        <v/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40"/>
      <c r="S86" s="107"/>
      <c r="T86" s="136"/>
      <c r="U86" s="140"/>
      <c r="V86" s="106"/>
      <c r="W86" s="106"/>
      <c r="X86" s="106"/>
      <c r="Y86" s="85"/>
    </row>
    <row r="87" customFormat="false" ht="15.75" hidden="false" customHeight="true" outlineLevel="0" collapsed="false">
      <c r="A87" s="46" t="n">
        <v>82</v>
      </c>
      <c r="B87" s="110"/>
      <c r="C87" s="46" t="s">
        <v>752</v>
      </c>
      <c r="D87" s="110"/>
      <c r="E87" s="46" t="s">
        <v>99</v>
      </c>
      <c r="F87" s="46"/>
      <c r="G87" s="85"/>
      <c r="H87" s="46"/>
      <c r="I87" s="138" t="str">
        <f aca="false">IFERROR(VLOOKUP(TEXT(H87,"0"),IPRESS!$A$3:$B$212,2,0),"")</f>
        <v/>
      </c>
      <c r="J87" s="46"/>
      <c r="K87" s="138" t="str">
        <f aca="false">IFERROR(VLOOKUP(TEXT(O87,"0"),CONDUCTORES!$A$3:$G$100,7,0),"")</f>
        <v/>
      </c>
      <c r="L87" s="44"/>
      <c r="M87" s="44"/>
      <c r="N87" s="139" t="str">
        <f aca="false">IFERROR(IF(L87*M87=0,"",L87*M87),"")</f>
        <v/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85"/>
      <c r="S87" s="110"/>
      <c r="T87" s="46"/>
      <c r="U87" s="85"/>
      <c r="V87" s="46"/>
      <c r="W87" s="46"/>
      <c r="X87" s="46"/>
      <c r="Y87" s="85"/>
    </row>
    <row r="88" customFormat="false" ht="15.75" hidden="false" customHeight="true" outlineLevel="0" collapsed="false">
      <c r="A88" s="106" t="n">
        <v>83</v>
      </c>
      <c r="B88" s="107"/>
      <c r="C88" s="106" t="s">
        <v>752</v>
      </c>
      <c r="D88" s="107"/>
      <c r="E88" s="136" t="s">
        <v>99</v>
      </c>
      <c r="F88" s="106"/>
      <c r="G88" s="140"/>
      <c r="H88" s="106"/>
      <c r="I88" s="138" t="str">
        <f aca="false">IFERROR(VLOOKUP(TEXT(H88,"0"),IPRESS!$A$3:$B$212,2,0),"")</f>
        <v/>
      </c>
      <c r="J88" s="106"/>
      <c r="K88" s="138" t="str">
        <f aca="false">IFERROR(VLOOKUP(TEXT(O88,"0"),CONDUCTORES!$A$3:$G$100,7,0),"")</f>
        <v/>
      </c>
      <c r="L88" s="50"/>
      <c r="M88" s="50"/>
      <c r="N88" s="139" t="str">
        <f aca="false">IFERROR(IF(L88*M88=0,"",L88*M88),"")</f>
        <v/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40"/>
      <c r="S88" s="107"/>
      <c r="T88" s="136"/>
      <c r="U88" s="140"/>
      <c r="V88" s="106"/>
      <c r="W88" s="106"/>
      <c r="X88" s="106"/>
      <c r="Y88" s="85"/>
    </row>
    <row r="89" customFormat="false" ht="15" hidden="false" customHeight="true" outlineLevel="0" collapsed="false">
      <c r="A89" s="140"/>
      <c r="B89" s="140"/>
      <c r="C89" s="140"/>
      <c r="D89" s="140"/>
      <c r="E89" s="140"/>
      <c r="F89" s="140"/>
      <c r="G89" s="140"/>
      <c r="H89" s="140"/>
      <c r="I89" s="138" t="str">
        <f aca="false">IFERROR(VLOOKUP(TEXT(H89,"0"),IPRESS!$A$3:$B$212,2,0),"")</f>
        <v/>
      </c>
      <c r="J89" s="140"/>
      <c r="K89" s="138" t="str">
        <f aca="false">IFERROR(VLOOKUP(TEXT(O89,"0"),CONDUCTORES!$A$3:$G$54,7,0),"")</f>
        <v/>
      </c>
      <c r="L89" s="140"/>
      <c r="M89" s="140"/>
      <c r="N89" s="139" t="str">
        <f aca="false">IFERROR(IF(L89*M89=0,"",L89*M89),"")</f>
        <v/>
      </c>
      <c r="O89" s="140"/>
      <c r="P89" s="138" t="str">
        <f aca="false">IFERROR(VLOOKUP(TEXT(O89,"0"),CONDUCTORES!$A$3:$G$54,2,0),"")</f>
        <v/>
      </c>
      <c r="Q89" s="138" t="str">
        <f aca="false">IFERROR(VLOOKUP(TEXT(O89,"0"),CONDUCTORES!$A$3:$H$54,6,0),"")</f>
        <v/>
      </c>
      <c r="R89" s="140"/>
      <c r="S89" s="140"/>
      <c r="T89" s="140"/>
      <c r="U89" s="140"/>
      <c r="V89" s="140"/>
      <c r="W89" s="140"/>
      <c r="X89" s="140"/>
      <c r="Y89" s="140"/>
    </row>
    <row r="90" customFormat="false" ht="24" hidden="false" customHeight="true" outlineLevel="0" collapsed="false">
      <c r="A90" s="148" t="s">
        <v>1177</v>
      </c>
      <c r="B90" s="148"/>
      <c r="C90" s="148"/>
      <c r="D90" s="148"/>
      <c r="E90" s="148"/>
      <c r="F90" s="148"/>
      <c r="G90" s="148"/>
      <c r="H90" s="148"/>
      <c r="I90" s="148"/>
      <c r="J90" s="148"/>
      <c r="K90" s="149"/>
      <c r="L90" s="85"/>
      <c r="M90" s="150" t="n">
        <f aca="false">SUBTOTAL(9,M4:M88)</f>
        <v>511.4</v>
      </c>
      <c r="N90" s="150" t="n">
        <f aca="false">SUBTOTAL(9,N4:N88)</f>
        <v>9533.945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85"/>
      <c r="S90" s="85"/>
      <c r="T90" s="85"/>
      <c r="U90" s="85"/>
      <c r="V90" s="85"/>
      <c r="W90" s="85"/>
      <c r="X90" s="85"/>
      <c r="Y90" s="85"/>
    </row>
    <row r="91" customFormat="false" ht="15" hidden="false" customHeight="true" outlineLevel="0" collapsed="false">
      <c r="A91" s="140"/>
      <c r="B91" s="140"/>
      <c r="C91" s="140"/>
      <c r="D91" s="140"/>
      <c r="E91" s="140"/>
      <c r="F91" s="140"/>
      <c r="G91" s="140"/>
      <c r="H91" s="140"/>
      <c r="I91" s="149"/>
      <c r="J91" s="140"/>
      <c r="K91" s="149"/>
      <c r="L91" s="140"/>
      <c r="M91" s="140"/>
      <c r="N91" s="151"/>
      <c r="O91" s="140"/>
      <c r="P91" s="149"/>
      <c r="Q91" s="149"/>
      <c r="R91" s="140"/>
      <c r="S91" s="140"/>
      <c r="T91" s="140"/>
      <c r="U91" s="140"/>
      <c r="V91" s="140"/>
      <c r="W91" s="140"/>
      <c r="X91" s="140"/>
      <c r="Y91" s="140"/>
    </row>
    <row r="92" customFormat="false" ht="15" hidden="false" customHeight="true" outlineLevel="0" collapsed="false">
      <c r="A92" s="85"/>
      <c r="B92" s="85"/>
      <c r="C92" s="85"/>
      <c r="D92" s="85"/>
      <c r="E92" s="85"/>
      <c r="F92" s="85"/>
      <c r="G92" s="85"/>
      <c r="H92" s="85"/>
      <c r="I92" s="149"/>
      <c r="J92" s="85"/>
      <c r="K92" s="149"/>
      <c r="L92" s="85"/>
      <c r="M92" s="85"/>
      <c r="N92" s="151"/>
      <c r="O92" s="85"/>
      <c r="P92" s="149"/>
      <c r="Q92" s="149"/>
      <c r="R92" s="85"/>
      <c r="S92" s="85"/>
      <c r="T92" s="85"/>
      <c r="U92" s="85"/>
      <c r="V92" s="85"/>
      <c r="W92" s="85"/>
      <c r="X92" s="85"/>
      <c r="Y92" s="85"/>
    </row>
    <row r="93" customFormat="false" ht="15" hidden="false" customHeight="true" outlineLevel="0" collapsed="false">
      <c r="A93" s="140"/>
      <c r="B93" s="140"/>
      <c r="C93" s="140"/>
      <c r="D93" s="140"/>
      <c r="E93" s="140"/>
      <c r="F93" s="140"/>
      <c r="G93" s="140"/>
      <c r="H93" s="140"/>
      <c r="I93" s="149"/>
      <c r="J93" s="140"/>
      <c r="K93" s="149"/>
      <c r="L93" s="140"/>
      <c r="M93" s="140"/>
      <c r="N93" s="151"/>
      <c r="O93" s="140"/>
      <c r="P93" s="149"/>
      <c r="Q93" s="149"/>
      <c r="R93" s="140"/>
      <c r="S93" s="140"/>
      <c r="T93" s="140"/>
      <c r="U93" s="140"/>
      <c r="V93" s="140"/>
      <c r="W93" s="140"/>
      <c r="X93" s="140"/>
      <c r="Y93" s="140"/>
    </row>
    <row r="94" customFormat="false" ht="15" hidden="false" customHeight="true" outlineLevel="0" collapsed="false">
      <c r="A94" s="85"/>
      <c r="B94" s="85"/>
      <c r="C94" s="85"/>
      <c r="D94" s="85"/>
      <c r="E94" s="85"/>
      <c r="F94" s="85"/>
      <c r="G94" s="85"/>
      <c r="H94" s="85"/>
      <c r="I94" s="149"/>
      <c r="J94" s="85"/>
      <c r="K94" s="149"/>
      <c r="L94" s="85"/>
      <c r="M94" s="85"/>
      <c r="N94" s="151"/>
      <c r="O94" s="85"/>
      <c r="P94" s="149"/>
      <c r="Q94" s="149"/>
      <c r="R94" s="85"/>
      <c r="S94" s="85"/>
      <c r="T94" s="85"/>
      <c r="U94" s="85"/>
      <c r="V94" s="85"/>
      <c r="W94" s="85"/>
      <c r="X94" s="85"/>
      <c r="Y94" s="85"/>
    </row>
    <row r="95" customFormat="false" ht="15" hidden="false" customHeight="true" outlineLevel="0" collapsed="false">
      <c r="A95" s="140"/>
      <c r="B95" s="140"/>
      <c r="C95" s="140"/>
      <c r="D95" s="140"/>
      <c r="E95" s="140"/>
      <c r="F95" s="140"/>
      <c r="G95" s="140"/>
      <c r="H95" s="140"/>
      <c r="I95" s="138" t="str">
        <f aca="false">IFERROR(VLOOKUP(TEXT(H95,"0"),IPRESS!$A$3:$B$212,2,0),"")</f>
        <v/>
      </c>
      <c r="J95" s="140"/>
      <c r="K95" s="138" t="str">
        <f aca="false">IFERROR(VLOOKUP(TEXT(O95,"0"),CONDUCTORES!$A$3:$G$54,7,0),"")</f>
        <v/>
      </c>
      <c r="L95" s="140"/>
      <c r="M95" s="140"/>
      <c r="N95" s="139" t="str">
        <f aca="false">IFERROR(IF(L95*M95=0,"",L95*M95),"")</f>
        <v/>
      </c>
      <c r="O95" s="140"/>
      <c r="P95" s="138" t="str">
        <f aca="false">IFERROR(VLOOKUP(TEXT(O95,"0"),CONDUCTORES!$A$3:$G$54,2,0),"")</f>
        <v/>
      </c>
      <c r="Q95" s="138" t="str">
        <f aca="false">IFERROR(VLOOKUP(TEXT(O95,"0"),CONDUCTORES!$A$3:$H$54,6,0),"")</f>
        <v/>
      </c>
      <c r="R95" s="140"/>
      <c r="S95" s="140"/>
      <c r="T95" s="140"/>
      <c r="U95" s="140"/>
      <c r="V95" s="140"/>
      <c r="W95" s="140"/>
      <c r="X95" s="140"/>
      <c r="Y95" s="140"/>
    </row>
    <row r="96" customFormat="false" ht="15" hidden="false" customHeight="true" outlineLevel="0" collapsed="false">
      <c r="A96" s="85"/>
      <c r="B96" s="85"/>
      <c r="C96" s="85"/>
      <c r="D96" s="85"/>
      <c r="E96" s="85"/>
      <c r="F96" s="85"/>
      <c r="G96" s="85"/>
      <c r="H96" s="85"/>
      <c r="I96" s="138" t="str">
        <f aca="false">IFERROR(VLOOKUP(TEXT(H96,"0"),IPRESS!$A$3:$B$212,2,0),"")</f>
        <v/>
      </c>
      <c r="J96" s="85"/>
      <c r="K96" s="138" t="str">
        <f aca="false">IFERROR(VLOOKUP(TEXT(O96,"0"),CONDUCTORES!$A$3:$G$54,7,0),"")</f>
        <v/>
      </c>
      <c r="L96" s="85"/>
      <c r="M96" s="85"/>
      <c r="N96" s="139" t="str">
        <f aca="false">IFERROR(IF(L96*M96=0,"",L96*M96),"")</f>
        <v/>
      </c>
      <c r="O96" s="85"/>
      <c r="P96" s="138" t="str">
        <f aca="false">IFERROR(VLOOKUP(TEXT(O96,"0"),CONDUCTORES!$A$3:$G$54,2,0),"")</f>
        <v/>
      </c>
      <c r="Q96" s="138" t="str">
        <f aca="false">IFERROR(VLOOKUP(TEXT(O96,"0"),CONDUCTORES!$A$3:$H$54,6,0),"")</f>
        <v/>
      </c>
      <c r="R96" s="85"/>
      <c r="S96" s="85"/>
      <c r="T96" s="85"/>
      <c r="U96" s="85"/>
      <c r="V96" s="85"/>
      <c r="W96" s="85"/>
      <c r="X96" s="85"/>
      <c r="Y96" s="85"/>
    </row>
    <row r="97" customFormat="false" ht="15" hidden="false" customHeight="true" outlineLevel="0" collapsed="false">
      <c r="A97" s="140"/>
      <c r="B97" s="140"/>
      <c r="C97" s="140"/>
      <c r="D97" s="140"/>
      <c r="E97" s="140"/>
      <c r="F97" s="140"/>
      <c r="G97" s="140"/>
      <c r="H97" s="140"/>
      <c r="I97" s="138" t="str">
        <f aca="false">IFERROR(VLOOKUP(TEXT(H97,"0"),IPRESS!$A$3:$B$212,2,0),"")</f>
        <v/>
      </c>
      <c r="J97" s="140"/>
      <c r="K97" s="138" t="str">
        <f aca="false">IFERROR(VLOOKUP(TEXT(O97,"0"),CONDUCTORES!$A$3:$G$54,7,0),"")</f>
        <v/>
      </c>
      <c r="L97" s="140"/>
      <c r="M97" s="140"/>
      <c r="N97" s="139" t="str">
        <f aca="false">IFERROR(IF(L97*M97=0,"",L97*M97),"")</f>
        <v/>
      </c>
      <c r="O97" s="140"/>
      <c r="P97" s="138" t="str">
        <f aca="false">IFERROR(VLOOKUP(TEXT(O97,"0"),CONDUCTORES!$A$3:$G$54,2,0),"")</f>
        <v/>
      </c>
      <c r="Q97" s="138" t="str">
        <f aca="false">IFERROR(VLOOKUP(TEXT(O97,"0"),CONDUCTORES!$A$3:$H$54,6,0),"")</f>
        <v/>
      </c>
      <c r="R97" s="140"/>
      <c r="S97" s="140"/>
      <c r="T97" s="140"/>
      <c r="U97" s="140"/>
      <c r="V97" s="140"/>
      <c r="W97" s="140"/>
      <c r="X97" s="140"/>
      <c r="Y97" s="140"/>
    </row>
    <row r="98" customFormat="false" ht="15" hidden="false" customHeight="true" outlineLevel="0" collapsed="false">
      <c r="A98" s="85"/>
      <c r="B98" s="85"/>
      <c r="C98" s="85"/>
      <c r="D98" s="85"/>
      <c r="E98" s="85"/>
      <c r="F98" s="85"/>
      <c r="G98" s="85"/>
      <c r="H98" s="85"/>
      <c r="I98" s="138" t="str">
        <f aca="false">IFERROR(VLOOKUP(TEXT(H98,"0"),IPRESS!$A$3:$B$212,2,0),"")</f>
        <v/>
      </c>
      <c r="J98" s="85"/>
      <c r="K98" s="138" t="str">
        <f aca="false">IFERROR(VLOOKUP(TEXT(O98,"0"),CONDUCTORES!$A$3:$G$54,7,0),"")</f>
        <v/>
      </c>
      <c r="L98" s="85"/>
      <c r="M98" s="85"/>
      <c r="N98" s="139" t="str">
        <f aca="false">IFERROR(IF(L98*M98=0,"",L98*M98),"")</f>
        <v/>
      </c>
      <c r="O98" s="85"/>
      <c r="P98" s="138" t="str">
        <f aca="false">IFERROR(VLOOKUP(TEXT(O98,"0"),CONDUCTORES!$A$3:$G$54,2,0),"")</f>
        <v/>
      </c>
      <c r="Q98" s="138" t="str">
        <f aca="false">IFERROR(VLOOKUP(TEXT(O98,"0"),CONDUCTORES!$A$3:$H$54,6,0),"")</f>
        <v/>
      </c>
      <c r="R98" s="85"/>
      <c r="S98" s="85"/>
      <c r="T98" s="85"/>
      <c r="U98" s="85"/>
      <c r="V98" s="85"/>
      <c r="W98" s="85"/>
      <c r="X98" s="85"/>
      <c r="Y98" s="85"/>
    </row>
    <row r="99" customFormat="false" ht="15" hidden="false" customHeight="true" outlineLevel="0" collapsed="false">
      <c r="A99" s="140"/>
      <c r="B99" s="140"/>
      <c r="C99" s="140"/>
      <c r="D99" s="140"/>
      <c r="E99" s="140"/>
      <c r="F99" s="140"/>
      <c r="G99" s="140"/>
      <c r="H99" s="140"/>
      <c r="I99" s="138" t="str">
        <f aca="false">IFERROR(VLOOKUP(TEXT(H99,"0"),IPRESS!$A$3:$B$212,2,0),"")</f>
        <v/>
      </c>
      <c r="J99" s="140"/>
      <c r="K99" s="138" t="str">
        <f aca="false">IFERROR(VLOOKUP(TEXT(O99,"0"),CONDUCTORES!$A$3:$G$54,7,0),"")</f>
        <v/>
      </c>
      <c r="L99" s="140"/>
      <c r="M99" s="140"/>
      <c r="N99" s="139" t="str">
        <f aca="false">IFERROR(IF(L99*M99=0,"",L99*M99),"")</f>
        <v/>
      </c>
      <c r="O99" s="140"/>
      <c r="P99" s="138" t="str">
        <f aca="false">IFERROR(VLOOKUP(TEXT(O99,"0"),CONDUCTORES!$A$3:$G$54,2,0),"")</f>
        <v/>
      </c>
      <c r="Q99" s="138" t="str">
        <f aca="false">IFERROR(VLOOKUP(TEXT(O99,"0"),CONDUCTORES!$A$3:$H$54,6,0),"")</f>
        <v/>
      </c>
      <c r="R99" s="140"/>
      <c r="S99" s="140"/>
      <c r="T99" s="140"/>
      <c r="U99" s="140"/>
      <c r="V99" s="140"/>
      <c r="W99" s="140"/>
      <c r="X99" s="140"/>
      <c r="Y99" s="140"/>
    </row>
    <row r="100" customFormat="false" ht="15" hidden="false" customHeight="true" outlineLevel="0" collapsed="false">
      <c r="A100" s="85"/>
      <c r="B100" s="85"/>
      <c r="C100" s="85"/>
      <c r="D100" s="85"/>
      <c r="E100" s="85"/>
      <c r="F100" s="85"/>
      <c r="G100" s="85"/>
      <c r="H100" s="85"/>
      <c r="I100" s="138" t="str">
        <f aca="false">IFERROR(VLOOKUP(TEXT(H100,"0"),IPRESS!$A$3:$B$212,2,0),"")</f>
        <v/>
      </c>
      <c r="J100" s="85"/>
      <c r="K100" s="138" t="str">
        <f aca="false">IFERROR(VLOOKUP(TEXT(O100,"0"),CONDUCTORES!$A$3:$G$54,7,0),"")</f>
        <v/>
      </c>
      <c r="L100" s="85"/>
      <c r="M100" s="85"/>
      <c r="N100" s="139" t="str">
        <f aca="false">IFERROR(IF(L100*M100=0,"",L100*M100),"")</f>
        <v/>
      </c>
      <c r="O100" s="85"/>
      <c r="P100" s="138" t="str">
        <f aca="false">IFERROR(VLOOKUP(TEXT(O100,"0"),CONDUCTORES!$A$3:$G$54,2,0),"")</f>
        <v/>
      </c>
      <c r="Q100" s="138" t="str">
        <f aca="false">IFERROR(VLOOKUP(TEXT(O100,"0"),CONDUCTORES!$A$3:$H$54,6,0),"")</f>
        <v/>
      </c>
      <c r="R100" s="85"/>
      <c r="S100" s="85"/>
      <c r="T100" s="85"/>
      <c r="U100" s="85"/>
      <c r="V100" s="85"/>
      <c r="W100" s="85"/>
      <c r="X100" s="85"/>
      <c r="Y100" s="85"/>
    </row>
    <row r="101" customFormat="false" ht="15" hidden="false" customHeight="true" outlineLevel="0" collapsed="false">
      <c r="A101" s="140"/>
      <c r="B101" s="140"/>
      <c r="C101" s="140"/>
      <c r="D101" s="140"/>
      <c r="E101" s="140"/>
      <c r="F101" s="140"/>
      <c r="G101" s="140"/>
      <c r="H101" s="140"/>
      <c r="I101" s="138" t="str">
        <f aca="false">IFERROR(VLOOKUP(TEXT(H101,"0"),IPRESS!$A$3:$B$212,2,0),"")</f>
        <v/>
      </c>
      <c r="J101" s="140"/>
      <c r="K101" s="138" t="str">
        <f aca="false">IFERROR(VLOOKUP(TEXT(O101,"0"),CONDUCTORES!$A$3:$G$54,7,0),"")</f>
        <v/>
      </c>
      <c r="L101" s="140"/>
      <c r="M101" s="140"/>
      <c r="N101" s="139" t="str">
        <f aca="false">IFERROR(IF(L101*M101=0,"",L101*M101),"")</f>
        <v/>
      </c>
      <c r="O101" s="140"/>
      <c r="P101" s="138" t="str">
        <f aca="false">IFERROR(VLOOKUP(TEXT(O101,"0"),CONDUCTORES!$A$3:$G$54,2,0),"")</f>
        <v/>
      </c>
      <c r="Q101" s="138" t="str">
        <f aca="false">IFERROR(VLOOKUP(TEXT(O101,"0"),CONDUCTORES!$A$3:$H$54,6,0),"")</f>
        <v/>
      </c>
      <c r="R101" s="140"/>
      <c r="S101" s="140"/>
      <c r="T101" s="140"/>
      <c r="U101" s="140"/>
      <c r="V101" s="140"/>
      <c r="W101" s="140"/>
      <c r="X101" s="140"/>
      <c r="Y101" s="140"/>
    </row>
    <row r="102" customFormat="false" ht="15" hidden="false" customHeight="true" outlineLevel="0" collapsed="false">
      <c r="A102" s="85"/>
      <c r="B102" s="85"/>
      <c r="C102" s="85"/>
      <c r="D102" s="85"/>
      <c r="E102" s="85"/>
      <c r="F102" s="85"/>
      <c r="G102" s="85"/>
      <c r="H102" s="85"/>
      <c r="I102" s="138" t="str">
        <f aca="false">IFERROR(VLOOKUP(TEXT(H102,"0"),IPRESS!$A$3:$B$212,2,0),"")</f>
        <v/>
      </c>
      <c r="J102" s="85"/>
      <c r="K102" s="138" t="str">
        <f aca="false">IFERROR(VLOOKUP(TEXT(O102,"0"),CONDUCTORES!$A$3:$G$54,7,0),"")</f>
        <v/>
      </c>
      <c r="L102" s="85"/>
      <c r="M102" s="85"/>
      <c r="N102" s="139" t="str">
        <f aca="false">IFERROR(IF(L102*M102=0,"",L102*M102),"")</f>
        <v/>
      </c>
      <c r="O102" s="85"/>
      <c r="P102" s="138" t="str">
        <f aca="false">IFERROR(VLOOKUP(TEXT(O102,"0"),CONDUCTORES!$A$3:$G$54,2,0),"")</f>
        <v/>
      </c>
      <c r="Q102" s="138" t="str">
        <f aca="false">IFERROR(VLOOKUP(TEXT(O102,"0"),CONDUCTORES!$A$3:$H$54,6,0),"")</f>
        <v/>
      </c>
      <c r="R102" s="85"/>
      <c r="S102" s="85"/>
      <c r="T102" s="85"/>
      <c r="U102" s="85"/>
      <c r="V102" s="85"/>
      <c r="W102" s="85"/>
      <c r="X102" s="85"/>
      <c r="Y102" s="85"/>
    </row>
    <row r="103" customFormat="false" ht="15" hidden="false" customHeight="true" outlineLevel="0" collapsed="false">
      <c r="A103" s="140"/>
      <c r="B103" s="140"/>
      <c r="C103" s="140"/>
      <c r="D103" s="140"/>
      <c r="E103" s="140"/>
      <c r="F103" s="140"/>
      <c r="G103" s="140"/>
      <c r="H103" s="140"/>
      <c r="I103" s="138" t="str">
        <f aca="false">IFERROR(VLOOKUP(TEXT(H103,"0"),IPRESS!$A$3:$B$212,2,0),"")</f>
        <v/>
      </c>
      <c r="J103" s="140"/>
      <c r="K103" s="138" t="str">
        <f aca="false">IFERROR(VLOOKUP(TEXT(O103,"0"),CONDUCTORES!$A$3:$G$54,7,0),"")</f>
        <v/>
      </c>
      <c r="L103" s="140"/>
      <c r="M103" s="140"/>
      <c r="N103" s="139" t="str">
        <f aca="false">IFERROR(IF(L103*M103=0,"",L103*M103),"")</f>
        <v/>
      </c>
      <c r="O103" s="140"/>
      <c r="P103" s="138" t="str">
        <f aca="false">IFERROR(VLOOKUP(TEXT(O103,"0"),CONDUCTORES!$A$3:$G$54,2,0),"")</f>
        <v/>
      </c>
      <c r="Q103" s="138" t="str">
        <f aca="false">IFERROR(VLOOKUP(TEXT(O103,"0"),CONDUCTORES!$A$3:$H$54,6,0),"")</f>
        <v/>
      </c>
      <c r="R103" s="140"/>
      <c r="S103" s="140"/>
      <c r="T103" s="140"/>
      <c r="U103" s="140"/>
      <c r="V103" s="140"/>
      <c r="W103" s="140"/>
      <c r="X103" s="140"/>
      <c r="Y103" s="140"/>
    </row>
    <row r="104" customFormat="false" ht="15" hidden="false" customHeight="true" outlineLevel="0" collapsed="false">
      <c r="A104" s="85"/>
      <c r="B104" s="85"/>
      <c r="C104" s="85"/>
      <c r="D104" s="85"/>
      <c r="E104" s="85"/>
      <c r="F104" s="85"/>
      <c r="G104" s="85"/>
      <c r="H104" s="85"/>
      <c r="I104" s="138" t="str">
        <f aca="false">IFERROR(VLOOKUP(TEXT(H104,"0"),IPRESS!$A$3:$B$212,2,0),"")</f>
        <v/>
      </c>
      <c r="J104" s="85"/>
      <c r="K104" s="138" t="str">
        <f aca="false">IFERROR(VLOOKUP(TEXT(O104,"0"),CONDUCTORES!$A$3:$G$54,7,0),"")</f>
        <v/>
      </c>
      <c r="L104" s="85"/>
      <c r="M104" s="85"/>
      <c r="N104" s="139" t="str">
        <f aca="false">IFERROR(IF(L104*M104=0,"",L104*M104),"")</f>
        <v/>
      </c>
      <c r="O104" s="85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85"/>
      <c r="S104" s="85"/>
      <c r="T104" s="85"/>
      <c r="U104" s="85"/>
      <c r="V104" s="85"/>
      <c r="W104" s="85"/>
      <c r="X104" s="85"/>
      <c r="Y104" s="85"/>
    </row>
    <row r="105" customFormat="false" ht="15" hidden="false" customHeight="true" outlineLevel="0" collapsed="false">
      <c r="A105" s="140"/>
      <c r="B105" s="140"/>
      <c r="C105" s="140"/>
      <c r="D105" s="140"/>
      <c r="E105" s="140"/>
      <c r="F105" s="140"/>
      <c r="G105" s="140"/>
      <c r="H105" s="140"/>
      <c r="I105" s="138" t="str">
        <f aca="false">IFERROR(VLOOKUP(TEXT(H105,"0"),IPRESS!$A$3:$B$212,2,0),"")</f>
        <v/>
      </c>
      <c r="J105" s="140"/>
      <c r="K105" s="138" t="str">
        <f aca="false">IFERROR(VLOOKUP(TEXT(O105,"0"),CONDUCTORES!$A$3:$G$54,7,0),"")</f>
        <v/>
      </c>
      <c r="L105" s="140"/>
      <c r="M105" s="140"/>
      <c r="N105" s="139" t="str">
        <f aca="false">IFERROR(IF(L105*M105=0,"",L105*M105),"")</f>
        <v/>
      </c>
      <c r="O105" s="140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140"/>
      <c r="S105" s="140"/>
      <c r="T105" s="140"/>
      <c r="U105" s="140"/>
      <c r="V105" s="140"/>
      <c r="W105" s="140"/>
      <c r="X105" s="140"/>
      <c r="Y105" s="140"/>
    </row>
    <row r="106" customFormat="false" ht="15" hidden="false" customHeight="true" outlineLevel="0" collapsed="false">
      <c r="A106" s="85"/>
      <c r="B106" s="85"/>
      <c r="C106" s="85"/>
      <c r="D106" s="85"/>
      <c r="E106" s="85"/>
      <c r="F106" s="85"/>
      <c r="G106" s="85"/>
      <c r="H106" s="85"/>
      <c r="I106" s="138" t="str">
        <f aca="false">IFERROR(VLOOKUP(TEXT(H106,"0"),IPRESS!$A$3:$B$212,2,0),"")</f>
        <v/>
      </c>
      <c r="J106" s="85"/>
      <c r="K106" s="138" t="str">
        <f aca="false">IFERROR(VLOOKUP(TEXT(O106,"0"),CONDUCTORES!$A$3:$G$54,7,0),"")</f>
        <v/>
      </c>
      <c r="L106" s="85"/>
      <c r="M106" s="85"/>
      <c r="N106" s="139" t="str">
        <f aca="false">IFERROR(IF(L106*M106=0,"",L106*M106),"")</f>
        <v/>
      </c>
      <c r="O106" s="85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85"/>
      <c r="S106" s="85"/>
      <c r="T106" s="85"/>
      <c r="U106" s="85"/>
      <c r="V106" s="85"/>
      <c r="W106" s="85"/>
      <c r="X106" s="85"/>
      <c r="Y106" s="85"/>
    </row>
    <row r="107" customFormat="false" ht="15" hidden="false" customHeight="true" outlineLevel="0" collapsed="false">
      <c r="A107" s="140"/>
      <c r="B107" s="140"/>
      <c r="C107" s="140"/>
      <c r="D107" s="140"/>
      <c r="E107" s="140"/>
      <c r="F107" s="140"/>
      <c r="G107" s="140"/>
      <c r="H107" s="140"/>
      <c r="I107" s="138" t="str">
        <f aca="false">IFERROR(VLOOKUP(TEXT(H107,"0"),IPRESS!$A$3:$B$212,2,0),"")</f>
        <v/>
      </c>
      <c r="J107" s="140"/>
      <c r="K107" s="138" t="str">
        <f aca="false">IFERROR(VLOOKUP(TEXT(O107,"0"),CONDUCTORES!$A$3:$G$54,7,0),"")</f>
        <v/>
      </c>
      <c r="L107" s="140"/>
      <c r="M107" s="140"/>
      <c r="N107" s="139" t="str">
        <f aca="false">IFERROR(IF(L107*M107=0,"",L107*M107),"")</f>
        <v/>
      </c>
      <c r="O107" s="140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140"/>
      <c r="S107" s="140"/>
      <c r="T107" s="140"/>
      <c r="U107" s="140"/>
      <c r="V107" s="140"/>
      <c r="W107" s="140"/>
      <c r="X107" s="140"/>
      <c r="Y107" s="140"/>
    </row>
    <row r="108" customFormat="false" ht="15" hidden="false" customHeight="true" outlineLevel="0" collapsed="false">
      <c r="A108" s="85"/>
      <c r="B108" s="85"/>
      <c r="C108" s="85"/>
      <c r="D108" s="85"/>
      <c r="E108" s="85"/>
      <c r="F108" s="85"/>
      <c r="G108" s="85"/>
      <c r="H108" s="85"/>
      <c r="I108" s="138" t="str">
        <f aca="false">IFERROR(VLOOKUP(TEXT(H108,"0"),IPRESS!$A$3:$B$212,2,0),"")</f>
        <v/>
      </c>
      <c r="J108" s="85"/>
      <c r="K108" s="138" t="str">
        <f aca="false">IFERROR(VLOOKUP(TEXT(O108,"0"),CONDUCTORES!$A$3:$G$54,7,0),"")</f>
        <v/>
      </c>
      <c r="L108" s="85"/>
      <c r="M108" s="85"/>
      <c r="N108" s="139" t="str">
        <f aca="false">IFERROR(IF(L108*M108=0,"",L108*M108),"")</f>
        <v/>
      </c>
      <c r="O108" s="85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85"/>
      <c r="S108" s="85"/>
      <c r="T108" s="85"/>
      <c r="U108" s="85"/>
      <c r="V108" s="85"/>
      <c r="W108" s="85"/>
      <c r="X108" s="85"/>
      <c r="Y108" s="85"/>
    </row>
    <row r="109" customFormat="false" ht="15" hidden="false" customHeight="true" outlineLevel="0" collapsed="false">
      <c r="A109" s="140"/>
      <c r="B109" s="140"/>
      <c r="C109" s="140"/>
      <c r="D109" s="140"/>
      <c r="E109" s="140"/>
      <c r="F109" s="140"/>
      <c r="G109" s="140"/>
      <c r="H109" s="140"/>
      <c r="I109" s="138" t="str">
        <f aca="false">IFERROR(VLOOKUP(TEXT(H109,"0"),IPRESS!$A$3:$B$212,2,0),"")</f>
        <v/>
      </c>
      <c r="J109" s="140"/>
      <c r="K109" s="138" t="str">
        <f aca="false">IFERROR(VLOOKUP(TEXT(O109,"0"),CONDUCTORES!$A$3:$G$54,7,0),"")</f>
        <v/>
      </c>
      <c r="L109" s="140"/>
      <c r="M109" s="140"/>
      <c r="N109" s="139" t="str">
        <f aca="false">IFERROR(IF(L109*M109=0,"",L109*M109),"")</f>
        <v/>
      </c>
      <c r="O109" s="140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140"/>
      <c r="S109" s="140"/>
      <c r="T109" s="140"/>
      <c r="U109" s="140"/>
      <c r="V109" s="140"/>
      <c r="W109" s="140"/>
      <c r="X109" s="140"/>
      <c r="Y109" s="140"/>
    </row>
    <row r="110" customFormat="false" ht="15" hidden="false" customHeight="true" outlineLevel="0" collapsed="false">
      <c r="A110" s="85"/>
      <c r="B110" s="85"/>
      <c r="C110" s="85"/>
      <c r="D110" s="85"/>
      <c r="E110" s="85"/>
      <c r="F110" s="85"/>
      <c r="G110" s="85"/>
      <c r="H110" s="85"/>
      <c r="I110" s="138" t="str">
        <f aca="false">IFERROR(VLOOKUP(TEXT(H110,"0"),IPRESS!$A$3:$B$212,2,0),"")</f>
        <v/>
      </c>
      <c r="J110" s="85"/>
      <c r="K110" s="138" t="str">
        <f aca="false">IFERROR(VLOOKUP(TEXT(O110,"0"),CONDUCTORES!$A$3:$G$54,7,0),"")</f>
        <v/>
      </c>
      <c r="L110" s="85"/>
      <c r="M110" s="85"/>
      <c r="N110" s="139" t="str">
        <f aca="false">IFERROR(IF(L110*M110=0,"",L110*M110),"")</f>
        <v/>
      </c>
      <c r="O110" s="85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85"/>
      <c r="S110" s="85"/>
      <c r="T110" s="85"/>
      <c r="U110" s="85"/>
      <c r="V110" s="85"/>
      <c r="W110" s="85"/>
      <c r="X110" s="85"/>
      <c r="Y110" s="85"/>
    </row>
    <row r="111" customFormat="false" ht="15" hidden="false" customHeight="true" outlineLevel="0" collapsed="false">
      <c r="A111" s="140"/>
      <c r="B111" s="140"/>
      <c r="C111" s="140"/>
      <c r="D111" s="140"/>
      <c r="E111" s="140"/>
      <c r="F111" s="140"/>
      <c r="G111" s="140"/>
      <c r="H111" s="140"/>
      <c r="I111" s="138" t="str">
        <f aca="false">IFERROR(VLOOKUP(TEXT(H111,"0"),IPRESS!$A$3:$B$212,2,0),"")</f>
        <v/>
      </c>
      <c r="J111" s="140"/>
      <c r="K111" s="138" t="str">
        <f aca="false">IFERROR(VLOOKUP(TEXT(O111,"0"),CONDUCTORES!$A$3:$G$54,7,0),"")</f>
        <v/>
      </c>
      <c r="L111" s="140"/>
      <c r="M111" s="140"/>
      <c r="N111" s="139" t="str">
        <f aca="false">IFERROR(IF(L111*M111=0,"",L111*M111),"")</f>
        <v/>
      </c>
      <c r="O111" s="140"/>
      <c r="P111" s="138" t="str">
        <f aca="false">IFERROR(VLOOKUP(TEXT(O111,"0"),CONDUCTORES!$A$3:$G$54,2,0),"")</f>
        <v/>
      </c>
      <c r="Q111" s="138" t="str">
        <f aca="false">IFERROR(VLOOKUP(TEXT(O111,"0"),CONDUCTORES!$A$3:$H$54,6,0),"")</f>
        <v/>
      </c>
      <c r="R111" s="140"/>
      <c r="S111" s="140"/>
      <c r="T111" s="140"/>
      <c r="U111" s="140"/>
      <c r="V111" s="140"/>
      <c r="W111" s="140"/>
      <c r="X111" s="140"/>
      <c r="Y111" s="140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38" t="str">
        <f aca="false">IFERROR(VLOOKUP(TEXT(H112,"0"),IPRESS!$A$3:$B$212,2,0),"")</f>
        <v/>
      </c>
      <c r="J112" s="85"/>
      <c r="K112" s="138" t="str">
        <f aca="false">IFERROR(VLOOKUP(TEXT(O112,"0"),CONDUCTORES!$A$3:$G$54,7,0),"")</f>
        <v/>
      </c>
      <c r="L112" s="85"/>
      <c r="M112" s="85"/>
      <c r="N112" s="139" t="str">
        <f aca="false">IFERROR(IF(L112*M112=0,"",L112*M112),"")</f>
        <v/>
      </c>
      <c r="O112" s="85"/>
      <c r="P112" s="138" t="str">
        <f aca="false">IFERROR(VLOOKUP(TEXT(O112,"0"),CONDUCTORES!$A$3:$G$54,2,0),"")</f>
        <v/>
      </c>
      <c r="Q112" s="138" t="str">
        <f aca="false">IFERROR(VLOOKUP(TEXT(O112,"0"),CONDUCTORES!$A$3:$H$54,6,0),"")</f>
        <v/>
      </c>
      <c r="R112" s="85"/>
      <c r="S112" s="85"/>
      <c r="T112" s="85"/>
      <c r="U112" s="85"/>
      <c r="V112" s="85"/>
      <c r="W112" s="85"/>
      <c r="X112" s="85"/>
      <c r="Y112" s="85"/>
    </row>
    <row r="113" customFormat="false" ht="15" hidden="false" customHeight="true" outlineLevel="0" collapsed="false">
      <c r="A113" s="140"/>
      <c r="B113" s="140"/>
      <c r="C113" s="140"/>
      <c r="D113" s="140"/>
      <c r="E113" s="140"/>
      <c r="F113" s="140"/>
      <c r="G113" s="140"/>
      <c r="H113" s="140"/>
      <c r="I113" s="138" t="str">
        <f aca="false">IFERROR(VLOOKUP(TEXT(H113,"0"),IPRESS!$A$3:$B$212,2,0),"")</f>
        <v/>
      </c>
      <c r="J113" s="140"/>
      <c r="K113" s="138" t="str">
        <f aca="false">IFERROR(VLOOKUP(TEXT(O113,"0"),CONDUCTORES!$A$3:$G$54,7,0),"")</f>
        <v/>
      </c>
      <c r="L113" s="140"/>
      <c r="M113" s="140"/>
      <c r="N113" s="139" t="str">
        <f aca="false">IFERROR(IF(L113*M113=0,"",L113*M113),"")</f>
        <v/>
      </c>
      <c r="O113" s="140"/>
      <c r="P113" s="138" t="str">
        <f aca="false">IFERROR(VLOOKUP(TEXT(O113,"0"),CONDUCTORES!$A$3:$G$54,2,0),"")</f>
        <v/>
      </c>
      <c r="Q113" s="138" t="str">
        <f aca="false">IFERROR(VLOOKUP(TEXT(O113,"0"),CONDUCTORES!$A$3:$H$54,6,0),"")</f>
        <v/>
      </c>
      <c r="R113" s="140"/>
      <c r="S113" s="140"/>
      <c r="T113" s="140"/>
      <c r="U113" s="140"/>
      <c r="V113" s="140"/>
      <c r="W113" s="140"/>
      <c r="X113" s="140"/>
      <c r="Y113" s="140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38" t="str">
        <f aca="false">IFERROR(VLOOKUP(TEXT(H114,"0"),IPRESS!$A$3:$B$212,2,0),"")</f>
        <v/>
      </c>
      <c r="J114" s="85"/>
      <c r="K114" s="138" t="str">
        <f aca="false">IFERROR(VLOOKUP(TEXT(O114,"0"),CONDUCTORES!$A$3:$G$54,7,0),"")</f>
        <v/>
      </c>
      <c r="L114" s="85"/>
      <c r="M114" s="85"/>
      <c r="N114" s="139" t="str">
        <f aca="false">IFERROR(IF(L114*M114=0,"",L114*M114),"")</f>
        <v/>
      </c>
      <c r="O114" s="85"/>
      <c r="P114" s="138" t="str">
        <f aca="false">IFERROR(VLOOKUP(TEXT(O114,"0"),CONDUCTORES!$A$3:$G$54,2,0),"")</f>
        <v/>
      </c>
      <c r="Q114" s="138" t="str">
        <f aca="false">IFERROR(VLOOKUP(TEXT(O114,"0"),CONDUCTORES!$A$3:$H$54,6,0),"")</f>
        <v/>
      </c>
      <c r="R114" s="85"/>
      <c r="S114" s="85"/>
      <c r="T114" s="85"/>
      <c r="U114" s="85"/>
      <c r="V114" s="85"/>
      <c r="W114" s="85"/>
      <c r="X114" s="85"/>
      <c r="Y114" s="85"/>
    </row>
    <row r="115" customFormat="false" ht="15" hidden="false" customHeight="true" outlineLevel="0" collapsed="false">
      <c r="A115" s="140"/>
      <c r="B115" s="140"/>
      <c r="C115" s="140"/>
      <c r="D115" s="140"/>
      <c r="E115" s="140"/>
      <c r="F115" s="140"/>
      <c r="G115" s="140"/>
      <c r="H115" s="140"/>
      <c r="I115" s="138" t="str">
        <f aca="false">IFERROR(VLOOKUP(TEXT(H115,"0"),IPRESS!$A$3:$B$212,2,0),"")</f>
        <v/>
      </c>
      <c r="J115" s="140"/>
      <c r="K115" s="138" t="str">
        <f aca="false">IFERROR(VLOOKUP(TEXT(O115,"0"),CONDUCTORES!$A$3:$G$54,7,0),"")</f>
        <v/>
      </c>
      <c r="L115" s="140"/>
      <c r="M115" s="140"/>
      <c r="N115" s="139" t="str">
        <f aca="false">IFERROR(IF(L115*M115=0,"",L115*M115),"")</f>
        <v/>
      </c>
      <c r="O115" s="140"/>
      <c r="P115" s="138" t="str">
        <f aca="false">IFERROR(VLOOKUP(TEXT(O115,"0"),CONDUCTORES!$A$3:$G$54,2,0),"")</f>
        <v/>
      </c>
      <c r="Q115" s="138" t="str">
        <f aca="false">IFERROR(VLOOKUP(TEXT(O115,"0"),CONDUCTORES!$A$3:$H$54,6,0),"")</f>
        <v/>
      </c>
      <c r="R115" s="140"/>
      <c r="S115" s="140"/>
      <c r="T115" s="140"/>
      <c r="U115" s="140"/>
      <c r="V115" s="140"/>
      <c r="W115" s="140"/>
      <c r="X115" s="140"/>
      <c r="Y115" s="140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38" t="str">
        <f aca="false">IFERROR(VLOOKUP(TEXT(H116,"0"),IPRESS!$A$3:$B$212,2,0),"")</f>
        <v/>
      </c>
      <c r="J116" s="85"/>
      <c r="K116" s="138" t="str">
        <f aca="false">IFERROR(VLOOKUP(TEXT(O116,"0"),CONDUCTORES!$A$3:$G$54,7,0),"")</f>
        <v/>
      </c>
      <c r="L116" s="85"/>
      <c r="M116" s="85"/>
      <c r="N116" s="139" t="str">
        <f aca="false">IFERROR(IF(L116*M116=0,"",L116*M116),"")</f>
        <v/>
      </c>
      <c r="O116" s="85"/>
      <c r="P116" s="138" t="str">
        <f aca="false">IFERROR(VLOOKUP(TEXT(O116,"0"),CONDUCTORES!$A$3:$G$54,2,0),"")</f>
        <v/>
      </c>
      <c r="Q116" s="138" t="str">
        <f aca="false">IFERROR(VLOOKUP(TEXT(O116,"0"),CONDUCTORES!$A$3:$H$54,6,0),"")</f>
        <v/>
      </c>
      <c r="R116" s="85"/>
      <c r="S116" s="85"/>
      <c r="T116" s="85"/>
      <c r="U116" s="85"/>
      <c r="V116" s="85"/>
      <c r="W116" s="85"/>
      <c r="X116" s="85"/>
      <c r="Y116" s="85"/>
    </row>
    <row r="117" customFormat="false" ht="15" hidden="false" customHeight="true" outlineLevel="0" collapsed="false">
      <c r="A117" s="140"/>
      <c r="B117" s="140"/>
      <c r="C117" s="140"/>
      <c r="D117" s="140"/>
      <c r="E117" s="140"/>
      <c r="F117" s="140"/>
      <c r="G117" s="140"/>
      <c r="H117" s="140"/>
      <c r="I117" s="138" t="str">
        <f aca="false">IFERROR(VLOOKUP(TEXT(H117,"0"),IPRESS!$A$3:$B$212,2,0),"")</f>
        <v/>
      </c>
      <c r="J117" s="140"/>
      <c r="K117" s="138" t="str">
        <f aca="false">IFERROR(VLOOKUP(TEXT(O117,"0"),CONDUCTORES!$A$3:$G$54,7,0),"")</f>
        <v/>
      </c>
      <c r="L117" s="140"/>
      <c r="M117" s="140"/>
      <c r="N117" s="139" t="str">
        <f aca="false">IFERROR(IF(L117*M117=0,"",L117*M117),"")</f>
        <v/>
      </c>
      <c r="O117" s="140"/>
      <c r="P117" s="138" t="str">
        <f aca="false">IFERROR(VLOOKUP(TEXT(O117,"0"),CONDUCTORES!$A$3:$G$54,2,0),"")</f>
        <v/>
      </c>
      <c r="Q117" s="138" t="str">
        <f aca="false">IFERROR(VLOOKUP(TEXT(O117,"0"),CONDUCTORES!$A$3:$H$54,6,0),"")</f>
        <v/>
      </c>
      <c r="R117" s="140"/>
      <c r="S117" s="140"/>
      <c r="T117" s="140"/>
      <c r="U117" s="140"/>
      <c r="V117" s="140"/>
      <c r="W117" s="140"/>
      <c r="X117" s="140"/>
      <c r="Y117" s="140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38" t="str">
        <f aca="false">IFERROR(VLOOKUP(TEXT(O118,"0"),CONDUCTORES!$A$3:$G$54,7,0),"")</f>
        <v/>
      </c>
      <c r="L118" s="85"/>
      <c r="M118" s="85"/>
      <c r="N118" s="139" t="str">
        <f aca="false">IFERROR(IF(L118*M118=0,"",L118*M118),"")</f>
        <v/>
      </c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</row>
    <row r="119" customFormat="false" ht="15" hidden="false" customHeight="tru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38" t="str">
        <f aca="false">IFERROR(VLOOKUP(TEXT(H119,"0"),IPRESS!$A$3:$B$212,2,0),"")</f>
        <v/>
      </c>
      <c r="J119" s="140"/>
      <c r="K119" s="138" t="str">
        <f aca="false">IFERROR(VLOOKUP(TEXT(O119,"0"),CONDUCTORES!$A$3:$G$54,7,0),"")</f>
        <v/>
      </c>
      <c r="L119" s="140"/>
      <c r="M119" s="140"/>
      <c r="N119" s="139" t="str">
        <f aca="false">IFERROR(IF(L119*M119=0,"",L119*M119),"")</f>
        <v/>
      </c>
      <c r="O119" s="140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140"/>
      <c r="S119" s="140"/>
      <c r="T119" s="140"/>
      <c r="U119" s="140"/>
      <c r="V119" s="140"/>
      <c r="W119" s="140"/>
      <c r="X119" s="140"/>
      <c r="Y119" s="140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1022.8</v>
      </c>
      <c r="N506" s="153" t="n">
        <f aca="false">SUM(N6:N505)</f>
        <v>19067.89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90:J90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89 E91:E505" type="list">
      <formula1>"DNI,CE,PASAPORTE"</formula1>
      <formula2>0</formula2>
    </dataValidation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9" min="26" style="1" width="8.71"/>
  </cols>
  <sheetData>
    <row r="1" customFormat="false" ht="27.75" hidden="false" customHeight="true" outlineLevel="0" collapsed="false">
      <c r="A1" s="122" t="s">
        <v>4262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IFERROR(SUMPRODUCT((K4:K101="PETROLEO")*ISNUMBER(M4:M101)*M4:M101),0)</f>
        <v>0</v>
      </c>
      <c r="E2" s="124"/>
      <c r="F2" s="124"/>
      <c r="G2" s="123" t="s">
        <v>725</v>
      </c>
      <c r="H2" s="123"/>
      <c r="I2" s="123"/>
      <c r="J2" s="124" t="n">
        <f aca="false">IFERROR(SUMPRODUCT((K4:K101="GASOLINA")*ISNUMBER(M4:M101)*M4:M101),0)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IFERROR(SUMPRODUCT(ISNUMBER(M4:M101)*L4:L101*M4:M101),0)</f>
        <v>0</v>
      </c>
      <c r="Q2" s="125"/>
      <c r="R2" s="125"/>
      <c r="S2" s="123" t="s">
        <v>727</v>
      </c>
      <c r="T2" s="123"/>
      <c r="U2" s="126" t="n">
        <f aca="false">SUBTOTAL(2,A4:A101)</f>
        <v>94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 t="s">
        <v>729</v>
      </c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4" t="str">
        <f aca="false">IFERROR(VLOOKUP(TEXT(O5,"0"),CONDUCTORES!$A$3:$G$100,2,0),"")</f>
        <v/>
      </c>
      <c r="Q5" s="134" t="str">
        <f aca="false">IFERROR(VLOOKUP(TEXT(O5,"0"),CONDUCTORES!$A$3:$H$100,6,0),"")</f>
        <v/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35" t="s">
        <v>750</v>
      </c>
    </row>
    <row r="6" customFormat="false" ht="15.75" hidden="false" customHeight="true" outlineLevel="0" collapsed="false">
      <c r="A6" s="106" t="n">
        <v>1</v>
      </c>
      <c r="B6" s="107" t="s">
        <v>4263</v>
      </c>
      <c r="C6" s="106" t="s">
        <v>752</v>
      </c>
      <c r="D6" s="107" t="s">
        <v>4264</v>
      </c>
      <c r="E6" s="136" t="s">
        <v>99</v>
      </c>
      <c r="F6" s="106" t="s">
        <v>4265</v>
      </c>
      <c r="G6" s="137" t="n">
        <v>46002</v>
      </c>
      <c r="H6" s="106" t="s">
        <v>595</v>
      </c>
      <c r="I6" s="138" t="str">
        <f aca="false">IFERROR(VLOOKUP(TEXT(H6,"0"),IPRESS!$A$3:$B$212,2,0),"")</f>
        <v>POMACOCHAS</v>
      </c>
      <c r="J6" s="106" t="s">
        <v>755</v>
      </c>
      <c r="K6" s="138" t="str">
        <f aca="false">IFERROR(VLOOKUP(TEXT(O6,"0"),CONDUCTORES!$A$3:$G$100,7,0),"")</f>
        <v/>
      </c>
      <c r="L6" s="50" t="n">
        <v>18.18</v>
      </c>
      <c r="M6" s="50" t="n">
        <v>6</v>
      </c>
      <c r="N6" s="139" t="n">
        <f aca="false">IFERROR(IF(L6*M6=0,"",L6*M6),"")</f>
        <v>109.08</v>
      </c>
      <c r="O6" s="85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40"/>
      <c r="S6" s="107" t="s">
        <v>3239</v>
      </c>
      <c r="T6" s="136"/>
      <c r="U6" s="140"/>
      <c r="V6" s="106"/>
      <c r="W6" s="106"/>
      <c r="X6" s="106"/>
      <c r="Y6" s="85"/>
    </row>
    <row r="7" customFormat="false" ht="15.75" hidden="false" customHeight="true" outlineLevel="0" collapsed="false">
      <c r="A7" s="46" t="n">
        <v>2</v>
      </c>
      <c r="B7" s="110" t="s">
        <v>4266</v>
      </c>
      <c r="C7" s="46" t="s">
        <v>752</v>
      </c>
      <c r="D7" s="110" t="s">
        <v>4267</v>
      </c>
      <c r="E7" s="46" t="s">
        <v>99</v>
      </c>
      <c r="F7" s="46" t="s">
        <v>4268</v>
      </c>
      <c r="G7" s="142" t="n">
        <v>46002</v>
      </c>
      <c r="H7" s="46" t="s">
        <v>595</v>
      </c>
      <c r="I7" s="138" t="str">
        <f aca="false">IFERROR(VLOOKUP(TEXT(H7,"0"),IPRESS!$A$3:$B$212,2,0),"")</f>
        <v>POMACOCHAS</v>
      </c>
      <c r="J7" s="46" t="s">
        <v>755</v>
      </c>
      <c r="K7" s="138" t="str">
        <f aca="false">IFERROR(VLOOKUP(TEXT(O7,"0"),CONDUCTORES!$A$3:$G$100,7,0),"")</f>
        <v/>
      </c>
      <c r="L7" s="44" t="n">
        <v>18.18</v>
      </c>
      <c r="M7" s="44" t="n">
        <v>6</v>
      </c>
      <c r="N7" s="139" t="n">
        <f aca="false">IFERROR(IF(L7*M7=0,"",L7*M7),"")</f>
        <v>109.08</v>
      </c>
      <c r="O7" s="140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85"/>
      <c r="S7" s="110" t="s">
        <v>4269</v>
      </c>
      <c r="T7" s="46"/>
      <c r="U7" s="85"/>
      <c r="V7" s="46"/>
      <c r="W7" s="46"/>
      <c r="X7" s="46"/>
      <c r="Y7" s="85"/>
    </row>
    <row r="8" customFormat="false" ht="15.75" hidden="false" customHeight="true" outlineLevel="0" collapsed="false">
      <c r="A8" s="143" t="n">
        <v>3</v>
      </c>
      <c r="B8" s="144" t="s">
        <v>4270</v>
      </c>
      <c r="C8" s="143" t="s">
        <v>752</v>
      </c>
      <c r="D8" s="144" t="s">
        <v>4271</v>
      </c>
      <c r="E8" s="143" t="s">
        <v>99</v>
      </c>
      <c r="F8" s="143" t="s">
        <v>4272</v>
      </c>
      <c r="G8" s="145" t="n">
        <v>45997</v>
      </c>
      <c r="H8" s="143" t="s">
        <v>581</v>
      </c>
      <c r="I8" s="138" t="str">
        <f aca="false">IFERROR(VLOOKUP(TEXT(H8,"0"),IPRESS!$A$3:$B$212,2,0),"")</f>
        <v>PEDRO RUIZ GALLO</v>
      </c>
      <c r="J8" s="143" t="s">
        <v>755</v>
      </c>
      <c r="K8" s="138" t="str">
        <f aca="false">IFERROR(VLOOKUP(TEXT(O8,"0"),CONDUCTORES!$A$3:$G$100,7,0),"")</f>
        <v/>
      </c>
      <c r="L8" s="146" t="n">
        <v>17.95</v>
      </c>
      <c r="M8" s="146" t="n">
        <v>6</v>
      </c>
      <c r="N8" s="139" t="n">
        <f aca="false">IFERROR(IF(L8*M8=0,"",L8*M8),"")</f>
        <v>107.7</v>
      </c>
      <c r="O8" s="85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47"/>
      <c r="S8" s="144" t="s">
        <v>4273</v>
      </c>
      <c r="T8" s="143"/>
      <c r="U8" s="147"/>
      <c r="V8" s="143"/>
      <c r="W8" s="143"/>
      <c r="X8" s="143"/>
      <c r="Y8" s="85"/>
    </row>
    <row r="9" customFormat="false" ht="15.75" hidden="false" customHeight="true" outlineLevel="0" collapsed="false">
      <c r="A9" s="46" t="n">
        <v>4</v>
      </c>
      <c r="B9" s="110" t="s">
        <v>4274</v>
      </c>
      <c r="C9" s="46" t="s">
        <v>752</v>
      </c>
      <c r="D9" s="110" t="s">
        <v>4275</v>
      </c>
      <c r="E9" s="46" t="s">
        <v>99</v>
      </c>
      <c r="F9" s="46" t="s">
        <v>1427</v>
      </c>
      <c r="G9" s="142" t="n">
        <v>45996</v>
      </c>
      <c r="H9" s="46" t="s">
        <v>581</v>
      </c>
      <c r="I9" s="138" t="str">
        <f aca="false">IFERROR(VLOOKUP(TEXT(H9,"0"),IPRESS!$A$3:$B$212,2,0),"")</f>
        <v>PEDRO RUIZ GALLO</v>
      </c>
      <c r="J9" s="46" t="s">
        <v>755</v>
      </c>
      <c r="K9" s="138" t="str">
        <f aca="false">IFERROR(VLOOKUP(TEXT(O9,"0"),CONDUCTORES!$A$3:$G$100,7,0),"")</f>
        <v/>
      </c>
      <c r="L9" s="44" t="n">
        <v>18.18</v>
      </c>
      <c r="M9" s="44" t="n">
        <v>5</v>
      </c>
      <c r="N9" s="139" t="n">
        <f aca="false">IFERROR(IF(L9*M9=0,"",L9*M9),"")</f>
        <v>90.9</v>
      </c>
      <c r="O9" s="140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85"/>
      <c r="S9" s="110" t="s">
        <v>4276</v>
      </c>
      <c r="T9" s="46"/>
      <c r="U9" s="85"/>
      <c r="V9" s="46"/>
      <c r="W9" s="46"/>
      <c r="X9" s="46"/>
      <c r="Y9" s="85"/>
    </row>
    <row r="10" customFormat="false" ht="15.75" hidden="false" customHeight="true" outlineLevel="0" collapsed="false">
      <c r="A10" s="106" t="n">
        <v>5</v>
      </c>
      <c r="B10" s="107" t="s">
        <v>4277</v>
      </c>
      <c r="C10" s="106" t="s">
        <v>752</v>
      </c>
      <c r="D10" s="107" t="s">
        <v>4278</v>
      </c>
      <c r="E10" s="136" t="s">
        <v>99</v>
      </c>
      <c r="F10" s="106" t="s">
        <v>4279</v>
      </c>
      <c r="G10" s="137" t="n">
        <v>45995</v>
      </c>
      <c r="H10" s="106" t="s">
        <v>581</v>
      </c>
      <c r="I10" s="138" t="str">
        <f aca="false">IFERROR(VLOOKUP(TEXT(H10,"0"),IPRESS!$A$3:$B$212,2,0),"")</f>
        <v>PEDRO RUIZ GALLO</v>
      </c>
      <c r="J10" s="106" t="s">
        <v>755</v>
      </c>
      <c r="K10" s="138" t="str">
        <f aca="false">IFERROR(VLOOKUP(TEXT(O10,"0"),CONDUCTORES!$A$3:$G$100,7,0),"")</f>
        <v/>
      </c>
      <c r="L10" s="50" t="n">
        <v>18.18</v>
      </c>
      <c r="M10" s="50" t="n">
        <v>5</v>
      </c>
      <c r="N10" s="139" t="n">
        <f aca="false">IFERROR(IF(L10*M10=0,"",L10*M10),"")</f>
        <v>90.9</v>
      </c>
      <c r="O10" s="85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40"/>
      <c r="S10" s="107" t="s">
        <v>4280</v>
      </c>
      <c r="T10" s="136"/>
      <c r="U10" s="140"/>
      <c r="V10" s="106"/>
      <c r="W10" s="106"/>
      <c r="X10" s="106"/>
      <c r="Y10" s="85"/>
    </row>
    <row r="11" customFormat="false" ht="15.75" hidden="false" customHeight="true" outlineLevel="0" collapsed="false">
      <c r="A11" s="143" t="n">
        <v>6</v>
      </c>
      <c r="B11" s="144" t="s">
        <v>4251</v>
      </c>
      <c r="C11" s="143" t="s">
        <v>752</v>
      </c>
      <c r="D11" s="144" t="s">
        <v>4281</v>
      </c>
      <c r="E11" s="143" t="s">
        <v>99</v>
      </c>
      <c r="F11" s="143" t="s">
        <v>4282</v>
      </c>
      <c r="G11" s="145" t="n">
        <v>45992</v>
      </c>
      <c r="H11" s="143" t="s">
        <v>622</v>
      </c>
      <c r="I11" s="138" t="str">
        <f aca="false">IFERROR(VLOOKUP(TEXT(H11,"0"),IPRESS!$A$3:$B$212,2,0),"")</f>
        <v>SALAZAR</v>
      </c>
      <c r="J11" s="143" t="s">
        <v>755</v>
      </c>
      <c r="K11" s="138" t="str">
        <f aca="false">IFERROR(VLOOKUP(TEXT(O11,"0"),CONDUCTORES!$A$3:$G$100,7,0),"")</f>
        <v/>
      </c>
      <c r="L11" s="146" t="n">
        <v>17.95</v>
      </c>
      <c r="M11" s="146" t="n">
        <v>20</v>
      </c>
      <c r="N11" s="139" t="n">
        <f aca="false">IFERROR(IF(L11*M11=0,"",L11*M11),"")</f>
        <v>359</v>
      </c>
      <c r="O11" s="140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147"/>
      <c r="S11" s="144" t="s">
        <v>4283</v>
      </c>
      <c r="T11" s="143"/>
      <c r="U11" s="147"/>
      <c r="V11" s="143"/>
      <c r="W11" s="143"/>
      <c r="X11" s="143"/>
      <c r="Y11" s="85"/>
    </row>
    <row r="12" customFormat="false" ht="15.75" hidden="false" customHeight="true" outlineLevel="0" collapsed="false">
      <c r="A12" s="106" t="n">
        <v>7</v>
      </c>
      <c r="B12" s="107" t="s">
        <v>4284</v>
      </c>
      <c r="C12" s="106" t="s">
        <v>752</v>
      </c>
      <c r="D12" s="107" t="s">
        <v>4285</v>
      </c>
      <c r="E12" s="136" t="s">
        <v>99</v>
      </c>
      <c r="F12" s="106" t="s">
        <v>4286</v>
      </c>
      <c r="G12" s="137" t="n">
        <v>45992</v>
      </c>
      <c r="H12" s="106" t="s">
        <v>595</v>
      </c>
      <c r="I12" s="138" t="str">
        <f aca="false">IFERROR(VLOOKUP(TEXT(H12,"0"),IPRESS!$A$3:$B$212,2,0),"")</f>
        <v>POMACOCHAS</v>
      </c>
      <c r="J12" s="106" t="s">
        <v>755</v>
      </c>
      <c r="K12" s="138" t="str">
        <f aca="false">IFERROR(VLOOKUP(TEXT(O12,"0"),CONDUCTORES!$A$3:$G$100,7,0),"")</f>
        <v/>
      </c>
      <c r="L12" s="50" t="n">
        <v>18.18</v>
      </c>
      <c r="M12" s="50" t="n">
        <v>6</v>
      </c>
      <c r="N12" s="139" t="n">
        <f aca="false">IFERROR(IF(L12*M12=0,"",L12*M12),"")</f>
        <v>109.08</v>
      </c>
      <c r="O12" s="85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40"/>
      <c r="S12" s="107" t="s">
        <v>998</v>
      </c>
      <c r="T12" s="136"/>
      <c r="U12" s="140"/>
      <c r="V12" s="106"/>
      <c r="W12" s="106"/>
      <c r="X12" s="106"/>
      <c r="Y12" s="85"/>
    </row>
    <row r="13" customFormat="false" ht="15.75" hidden="false" customHeight="true" outlineLevel="0" collapsed="false">
      <c r="A13" s="46" t="n">
        <v>8</v>
      </c>
      <c r="B13" s="110" t="s">
        <v>4287</v>
      </c>
      <c r="C13" s="46" t="s">
        <v>752</v>
      </c>
      <c r="D13" s="110" t="s">
        <v>4288</v>
      </c>
      <c r="E13" s="46" t="s">
        <v>99</v>
      </c>
      <c r="F13" s="46" t="s">
        <v>4289</v>
      </c>
      <c r="G13" s="142" t="n">
        <v>45992</v>
      </c>
      <c r="H13" s="46" t="s">
        <v>692</v>
      </c>
      <c r="I13" s="138" t="str">
        <f aca="false">IFERROR(VLOOKUP(TEXT(H13,"0"),IPRESS!$A$3:$B$212,2,0),"")</f>
        <v>TINGO</v>
      </c>
      <c r="J13" s="46" t="s">
        <v>755</v>
      </c>
      <c r="K13" s="138" t="str">
        <f aca="false">IFERROR(VLOOKUP(TEXT(O13,"0"),CONDUCTORES!$A$3:$G$100,7,0),"")</f>
        <v/>
      </c>
      <c r="L13" s="44" t="n">
        <v>18.18</v>
      </c>
      <c r="M13" s="44" t="n">
        <v>5</v>
      </c>
      <c r="N13" s="139" t="n">
        <f aca="false">IFERROR(IF(L13*M13=0,"",L13*M13),"")</f>
        <v>90.9</v>
      </c>
      <c r="O13" s="140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85"/>
      <c r="S13" s="110" t="s">
        <v>4290</v>
      </c>
      <c r="T13" s="46"/>
      <c r="U13" s="85"/>
      <c r="V13" s="46"/>
      <c r="W13" s="46"/>
      <c r="X13" s="46"/>
      <c r="Y13" s="85"/>
    </row>
    <row r="14" customFormat="false" ht="15.75" hidden="false" customHeight="true" outlineLevel="0" collapsed="false">
      <c r="A14" s="106" t="n">
        <v>9</v>
      </c>
      <c r="B14" s="107" t="s">
        <v>1665</v>
      </c>
      <c r="C14" s="106" t="s">
        <v>752</v>
      </c>
      <c r="D14" s="107" t="s">
        <v>4291</v>
      </c>
      <c r="E14" s="136" t="s">
        <v>99</v>
      </c>
      <c r="F14" s="106" t="s">
        <v>4292</v>
      </c>
      <c r="G14" s="137" t="n">
        <v>45993</v>
      </c>
      <c r="H14" s="106" t="s">
        <v>483</v>
      </c>
      <c r="I14" s="138" t="str">
        <f aca="false">IFERROR(VLOOKUP(TEXT(H14,"0"),IPRESS!$A$3:$B$212,2,0),"")</f>
        <v>JUMBILLA</v>
      </c>
      <c r="J14" s="106" t="s">
        <v>595</v>
      </c>
      <c r="K14" s="138" t="str">
        <f aca="false">IFERROR(VLOOKUP(TEXT(O14,"0"),CONDUCTORES!$A$3:$G$100,7,0),"")</f>
        <v/>
      </c>
      <c r="L14" s="50" t="n">
        <v>18.18</v>
      </c>
      <c r="M14" s="50" t="n">
        <v>5</v>
      </c>
      <c r="N14" s="139" t="n">
        <f aca="false">IFERROR(IF(L14*M14=0,"",L14*M14),"")</f>
        <v>90.9</v>
      </c>
      <c r="O14" s="85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40"/>
      <c r="S14" s="107" t="s">
        <v>2411</v>
      </c>
      <c r="T14" s="136"/>
      <c r="U14" s="140"/>
      <c r="V14" s="106"/>
      <c r="W14" s="106"/>
      <c r="X14" s="106"/>
      <c r="Y14" s="85"/>
    </row>
    <row r="15" customFormat="false" ht="15.75" hidden="false" customHeight="true" outlineLevel="0" collapsed="false">
      <c r="A15" s="46" t="n">
        <v>10</v>
      </c>
      <c r="B15" s="110" t="s">
        <v>4293</v>
      </c>
      <c r="C15" s="46" t="s">
        <v>752</v>
      </c>
      <c r="D15" s="110" t="s">
        <v>4294</v>
      </c>
      <c r="E15" s="46" t="s">
        <v>99</v>
      </c>
      <c r="F15" s="46" t="s">
        <v>4295</v>
      </c>
      <c r="G15" s="142" t="n">
        <v>45992</v>
      </c>
      <c r="H15" s="46" t="s">
        <v>581</v>
      </c>
      <c r="I15" s="138" t="str">
        <f aca="false">IFERROR(VLOOKUP(TEXT(H15,"0"),IPRESS!$A$3:$B$212,2,0),"")</f>
        <v>PEDRO RUIZ GALLO</v>
      </c>
      <c r="J15" s="46" t="s">
        <v>755</v>
      </c>
      <c r="K15" s="138" t="str">
        <f aca="false">IFERROR(VLOOKUP(TEXT(O15,"0"),CONDUCTORES!$A$3:$G$100,7,0),"")</f>
        <v/>
      </c>
      <c r="L15" s="44" t="n">
        <v>18.18</v>
      </c>
      <c r="M15" s="44" t="n">
        <v>5</v>
      </c>
      <c r="N15" s="139" t="n">
        <f aca="false">IFERROR(IF(L15*M15=0,"",L15*M15),"")</f>
        <v>90.9</v>
      </c>
      <c r="O15" s="140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85"/>
      <c r="S15" s="110" t="s">
        <v>2308</v>
      </c>
      <c r="T15" s="46"/>
      <c r="U15" s="85"/>
      <c r="V15" s="46"/>
      <c r="W15" s="46"/>
      <c r="X15" s="46"/>
      <c r="Y15" s="85"/>
    </row>
    <row r="16" customFormat="false" ht="15.75" hidden="false" customHeight="true" outlineLevel="0" collapsed="false">
      <c r="A16" s="143" t="n">
        <v>11</v>
      </c>
      <c r="B16" s="144" t="s">
        <v>1507</v>
      </c>
      <c r="C16" s="143" t="s">
        <v>752</v>
      </c>
      <c r="D16" s="144" t="s">
        <v>4296</v>
      </c>
      <c r="E16" s="143" t="s">
        <v>99</v>
      </c>
      <c r="F16" s="143" t="s">
        <v>4297</v>
      </c>
      <c r="G16" s="145" t="n">
        <v>45999</v>
      </c>
      <c r="H16" s="143" t="s">
        <v>547</v>
      </c>
      <c r="I16" s="138" t="str">
        <f aca="false">IFERROR(VLOOKUP(TEXT(H16,"0"),IPRESS!$A$3:$B$212,2,0),"")</f>
        <v>MOLINOPAMPA</v>
      </c>
      <c r="J16" s="143" t="s">
        <v>755</v>
      </c>
      <c r="K16" s="138" t="str">
        <f aca="false">IFERROR(VLOOKUP(TEXT(O16,"0"),CONDUCTORES!$A$3:$G$100,7,0),"")</f>
        <v/>
      </c>
      <c r="L16" s="146" t="n">
        <v>17.95</v>
      </c>
      <c r="M16" s="146" t="n">
        <v>8</v>
      </c>
      <c r="N16" s="139" t="n">
        <f aca="false">IFERROR(IF(L16*M16=0,"",L16*M16),"")</f>
        <v>143.6</v>
      </c>
      <c r="O16" s="85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47"/>
      <c r="S16" s="144" t="s">
        <v>4298</v>
      </c>
      <c r="T16" s="143"/>
      <c r="U16" s="147"/>
      <c r="V16" s="143"/>
      <c r="W16" s="143"/>
      <c r="X16" s="143"/>
      <c r="Y16" s="85"/>
    </row>
    <row r="17" customFormat="false" ht="15.75" hidden="false" customHeight="true" outlineLevel="0" collapsed="false">
      <c r="A17" s="143" t="n">
        <v>12</v>
      </c>
      <c r="B17" s="144" t="s">
        <v>1498</v>
      </c>
      <c r="C17" s="143" t="s">
        <v>752</v>
      </c>
      <c r="D17" s="144" t="s">
        <v>4299</v>
      </c>
      <c r="E17" s="143" t="s">
        <v>99</v>
      </c>
      <c r="F17" s="143" t="s">
        <v>4300</v>
      </c>
      <c r="G17" s="145" t="n">
        <v>45996</v>
      </c>
      <c r="H17" s="143" t="s">
        <v>547</v>
      </c>
      <c r="I17" s="138" t="str">
        <f aca="false">IFERROR(VLOOKUP(TEXT(H17,"0"),IPRESS!$A$3:$B$212,2,0),"")</f>
        <v>MOLINOPAMPA</v>
      </c>
      <c r="J17" s="143" t="s">
        <v>755</v>
      </c>
      <c r="K17" s="138" t="str">
        <f aca="false">IFERROR(VLOOKUP(TEXT(O17,"0"),CONDUCTORES!$A$3:$G$100,7,0),"")</f>
        <v/>
      </c>
      <c r="L17" s="146" t="n">
        <v>17.95</v>
      </c>
      <c r="M17" s="146" t="n">
        <v>8</v>
      </c>
      <c r="N17" s="139" t="n">
        <f aca="false">IFERROR(IF(L17*M17=0,"",L17*M17),"")</f>
        <v>143.6</v>
      </c>
      <c r="O17" s="140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147"/>
      <c r="S17" s="144" t="s">
        <v>1292</v>
      </c>
      <c r="T17" s="143"/>
      <c r="U17" s="147"/>
      <c r="V17" s="143"/>
      <c r="W17" s="143"/>
      <c r="X17" s="143"/>
      <c r="Y17" s="85"/>
    </row>
    <row r="18" customFormat="false" ht="15.75" hidden="false" customHeight="true" outlineLevel="0" collapsed="false">
      <c r="A18" s="143" t="n">
        <v>13</v>
      </c>
      <c r="B18" s="144" t="s">
        <v>1501</v>
      </c>
      <c r="C18" s="143" t="s">
        <v>752</v>
      </c>
      <c r="D18" s="144" t="s">
        <v>4301</v>
      </c>
      <c r="E18" s="143" t="s">
        <v>99</v>
      </c>
      <c r="F18" s="143" t="s">
        <v>4302</v>
      </c>
      <c r="G18" s="145" t="n">
        <v>45997</v>
      </c>
      <c r="H18" s="143" t="s">
        <v>547</v>
      </c>
      <c r="I18" s="138" t="str">
        <f aca="false">IFERROR(VLOOKUP(TEXT(H18,"0"),IPRESS!$A$3:$B$212,2,0),"")</f>
        <v>MOLINOPAMPA</v>
      </c>
      <c r="J18" s="143" t="s">
        <v>755</v>
      </c>
      <c r="K18" s="138" t="str">
        <f aca="false">IFERROR(VLOOKUP(TEXT(O18,"0"),CONDUCTORES!$A$3:$G$100,7,0),"")</f>
        <v/>
      </c>
      <c r="L18" s="146" t="n">
        <v>17.95</v>
      </c>
      <c r="M18" s="146" t="n">
        <v>8</v>
      </c>
      <c r="N18" s="139" t="n">
        <f aca="false">IFERROR(IF(L18*M18=0,"",L18*M18),"")</f>
        <v>143.6</v>
      </c>
      <c r="O18" s="85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47"/>
      <c r="S18" s="144" t="s">
        <v>4303</v>
      </c>
      <c r="T18" s="143"/>
      <c r="U18" s="147"/>
      <c r="V18" s="143"/>
      <c r="W18" s="143"/>
      <c r="X18" s="143"/>
      <c r="Y18" s="85"/>
    </row>
    <row r="19" customFormat="false" ht="15.75" hidden="false" customHeight="true" outlineLevel="0" collapsed="false">
      <c r="A19" s="46" t="n">
        <v>14</v>
      </c>
      <c r="B19" s="110" t="s">
        <v>4304</v>
      </c>
      <c r="C19" s="46" t="s">
        <v>752</v>
      </c>
      <c r="D19" s="110" t="s">
        <v>4305</v>
      </c>
      <c r="E19" s="46" t="s">
        <v>99</v>
      </c>
      <c r="F19" s="46" t="s">
        <v>4306</v>
      </c>
      <c r="G19" s="142" t="n">
        <v>46007</v>
      </c>
      <c r="H19" s="46" t="s">
        <v>529</v>
      </c>
      <c r="I19" s="138" t="str">
        <f aca="false">IFERROR(VLOOKUP(TEXT(H19,"0"),IPRESS!$A$3:$B$212,2,0),"")</f>
        <v>MARIA AUXILIADORA</v>
      </c>
      <c r="J19" s="46" t="s">
        <v>755</v>
      </c>
      <c r="K19" s="138" t="str">
        <f aca="false">IFERROR(VLOOKUP(TEXT(O19,"0"),CONDUCTORES!$A$3:$G$100,7,0),"")</f>
        <v/>
      </c>
      <c r="L19" s="44" t="n">
        <v>20.25</v>
      </c>
      <c r="M19" s="44" t="n">
        <v>7</v>
      </c>
      <c r="N19" s="139" t="n">
        <f aca="false">IFERROR(IF(L19*M19=0,"",L19*M19),"")</f>
        <v>141.75</v>
      </c>
      <c r="O19" s="140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85"/>
      <c r="S19" s="110" t="s">
        <v>4307</v>
      </c>
      <c r="T19" s="46"/>
      <c r="U19" s="85"/>
      <c r="V19" s="46"/>
      <c r="W19" s="46"/>
      <c r="X19" s="46"/>
      <c r="Y19" s="85"/>
    </row>
    <row r="20" customFormat="false" ht="15.75" hidden="false" customHeight="true" outlineLevel="0" collapsed="false">
      <c r="A20" s="106" t="n">
        <v>15</v>
      </c>
      <c r="B20" s="107" t="s">
        <v>4308</v>
      </c>
      <c r="C20" s="106" t="s">
        <v>752</v>
      </c>
      <c r="D20" s="107" t="s">
        <v>4309</v>
      </c>
      <c r="E20" s="136" t="s">
        <v>99</v>
      </c>
      <c r="F20" s="106" t="s">
        <v>4310</v>
      </c>
      <c r="G20" s="137" t="n">
        <v>46006</v>
      </c>
      <c r="H20" s="106" t="s">
        <v>529</v>
      </c>
      <c r="I20" s="138" t="str">
        <f aca="false">IFERROR(VLOOKUP(TEXT(H20,"0"),IPRESS!$A$3:$B$212,2,0),"")</f>
        <v>MARIA AUXILIADORA</v>
      </c>
      <c r="J20" s="106" t="s">
        <v>755</v>
      </c>
      <c r="K20" s="138" t="str">
        <f aca="false">IFERROR(VLOOKUP(TEXT(O20,"0"),CONDUCTORES!$A$3:$G$100,7,0),"")</f>
        <v/>
      </c>
      <c r="L20" s="50" t="n">
        <v>20.25</v>
      </c>
      <c r="M20" s="50" t="n">
        <v>7</v>
      </c>
      <c r="N20" s="139" t="n">
        <f aca="false">IFERROR(IF(L20*M20=0,"",L20*M20),"")</f>
        <v>141.75</v>
      </c>
      <c r="O20" s="85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40"/>
      <c r="S20" s="107" t="s">
        <v>891</v>
      </c>
      <c r="T20" s="136"/>
      <c r="U20" s="140"/>
      <c r="V20" s="106"/>
      <c r="W20" s="106"/>
      <c r="X20" s="106"/>
      <c r="Y20" s="85"/>
    </row>
    <row r="21" customFormat="false" ht="15.75" hidden="false" customHeight="true" outlineLevel="0" collapsed="false">
      <c r="A21" s="46" t="n">
        <v>16</v>
      </c>
      <c r="B21" s="110" t="s">
        <v>4311</v>
      </c>
      <c r="C21" s="46" t="s">
        <v>752</v>
      </c>
      <c r="D21" s="110" t="s">
        <v>4312</v>
      </c>
      <c r="E21" s="46" t="s">
        <v>99</v>
      </c>
      <c r="F21" s="46" t="s">
        <v>4313</v>
      </c>
      <c r="G21" s="142" t="n">
        <v>46003</v>
      </c>
      <c r="H21" s="46" t="s">
        <v>529</v>
      </c>
      <c r="I21" s="138" t="str">
        <f aca="false">IFERROR(VLOOKUP(TEXT(H21,"0"),IPRESS!$A$3:$B$212,2,0),"")</f>
        <v>MARIA AUXILIADORA</v>
      </c>
      <c r="J21" s="46" t="s">
        <v>755</v>
      </c>
      <c r="K21" s="138" t="str">
        <f aca="false">IFERROR(VLOOKUP(TEXT(O21,"0"),CONDUCTORES!$A$3:$G$100,7,0),"")</f>
        <v/>
      </c>
      <c r="L21" s="44" t="n">
        <v>20.25</v>
      </c>
      <c r="M21" s="44" t="n">
        <v>6.5</v>
      </c>
      <c r="N21" s="139" t="n">
        <f aca="false">IFERROR(IF(L21*M21=0,"",L21*M21),"")</f>
        <v>131.625</v>
      </c>
      <c r="O21" s="140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85"/>
      <c r="S21" s="110" t="s">
        <v>1424</v>
      </c>
      <c r="T21" s="46"/>
      <c r="U21" s="85"/>
      <c r="V21" s="46"/>
      <c r="W21" s="46"/>
      <c r="X21" s="46"/>
      <c r="Y21" s="85"/>
    </row>
    <row r="22" customFormat="false" ht="15.75" hidden="false" customHeight="true" outlineLevel="0" collapsed="false">
      <c r="A22" s="106" t="n">
        <v>17</v>
      </c>
      <c r="B22" s="107" t="s">
        <v>4314</v>
      </c>
      <c r="C22" s="106" t="s">
        <v>752</v>
      </c>
      <c r="D22" s="107" t="s">
        <v>4315</v>
      </c>
      <c r="E22" s="136" t="s">
        <v>99</v>
      </c>
      <c r="F22" s="106" t="s">
        <v>4316</v>
      </c>
      <c r="G22" s="137" t="n">
        <v>46004</v>
      </c>
      <c r="H22" s="106" t="s">
        <v>529</v>
      </c>
      <c r="I22" s="138" t="str">
        <f aca="false">IFERROR(VLOOKUP(TEXT(H22,"0"),IPRESS!$A$3:$B$212,2,0),"")</f>
        <v>MARIA AUXILIADORA</v>
      </c>
      <c r="J22" s="106" t="s">
        <v>755</v>
      </c>
      <c r="K22" s="138" t="str">
        <f aca="false">IFERROR(VLOOKUP(TEXT(O22,"0"),CONDUCTORES!$A$3:$G$100,7,0),"")</f>
        <v/>
      </c>
      <c r="L22" s="50" t="n">
        <v>20.25</v>
      </c>
      <c r="M22" s="50" t="n">
        <v>7</v>
      </c>
      <c r="N22" s="139" t="n">
        <f aca="false">IFERROR(IF(L22*M22=0,"",L22*M22),"")</f>
        <v>141.75</v>
      </c>
      <c r="O22" s="85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40"/>
      <c r="S22" s="107" t="s">
        <v>4317</v>
      </c>
      <c r="T22" s="136"/>
      <c r="U22" s="140"/>
      <c r="V22" s="106"/>
      <c r="W22" s="106"/>
      <c r="X22" s="106"/>
      <c r="Y22" s="85"/>
    </row>
    <row r="23" customFormat="false" ht="15.75" hidden="false" customHeight="true" outlineLevel="0" collapsed="false">
      <c r="A23" s="46" t="n">
        <v>18</v>
      </c>
      <c r="B23" s="110" t="s">
        <v>4318</v>
      </c>
      <c r="C23" s="46" t="s">
        <v>752</v>
      </c>
      <c r="D23" s="110" t="s">
        <v>4319</v>
      </c>
      <c r="E23" s="46" t="s">
        <v>99</v>
      </c>
      <c r="F23" s="46" t="s">
        <v>4320</v>
      </c>
      <c r="G23" s="142" t="n">
        <v>46002</v>
      </c>
      <c r="H23" s="46" t="s">
        <v>529</v>
      </c>
      <c r="I23" s="138" t="str">
        <f aca="false">IFERROR(VLOOKUP(TEXT(H23,"0"),IPRESS!$A$3:$B$212,2,0),"")</f>
        <v>MARIA AUXILIADORA</v>
      </c>
      <c r="J23" s="46" t="s">
        <v>755</v>
      </c>
      <c r="K23" s="138" t="str">
        <f aca="false">IFERROR(VLOOKUP(TEXT(O23,"0"),CONDUCTORES!$A$3:$G$100,7,0),"")</f>
        <v/>
      </c>
      <c r="L23" s="44" t="n">
        <v>20.25</v>
      </c>
      <c r="M23" s="44" t="n">
        <v>7</v>
      </c>
      <c r="N23" s="139" t="n">
        <f aca="false">IFERROR(IF(L23*M23=0,"",L23*M23),"")</f>
        <v>141.75</v>
      </c>
      <c r="O23" s="140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85"/>
      <c r="S23" s="110" t="s">
        <v>815</v>
      </c>
      <c r="T23" s="46"/>
      <c r="U23" s="85"/>
      <c r="V23" s="46"/>
      <c r="W23" s="46"/>
      <c r="X23" s="46"/>
      <c r="Y23" s="85"/>
    </row>
    <row r="24" customFormat="false" ht="15.75" hidden="false" customHeight="true" outlineLevel="0" collapsed="false">
      <c r="A24" s="106" t="n">
        <v>19</v>
      </c>
      <c r="B24" s="107" t="s">
        <v>4321</v>
      </c>
      <c r="C24" s="106" t="s">
        <v>752</v>
      </c>
      <c r="D24" s="107" t="s">
        <v>4322</v>
      </c>
      <c r="E24" s="136" t="s">
        <v>99</v>
      </c>
      <c r="F24" s="106" t="s">
        <v>4323</v>
      </c>
      <c r="G24" s="137" t="n">
        <v>45997</v>
      </c>
      <c r="H24" s="106" t="s">
        <v>529</v>
      </c>
      <c r="I24" s="138" t="str">
        <f aca="false">IFERROR(VLOOKUP(TEXT(H24,"0"),IPRESS!$A$3:$B$212,2,0),"")</f>
        <v>MARIA AUXILIADORA</v>
      </c>
      <c r="J24" s="106" t="s">
        <v>755</v>
      </c>
      <c r="K24" s="138" t="str">
        <f aca="false">IFERROR(VLOOKUP(TEXT(O24,"0"),CONDUCTORES!$A$3:$G$100,7,0),"")</f>
        <v/>
      </c>
      <c r="L24" s="50" t="n">
        <v>20.25</v>
      </c>
      <c r="M24" s="50" t="n">
        <v>7</v>
      </c>
      <c r="N24" s="139" t="n">
        <f aca="false">IFERROR(IF(L24*M24=0,"",L24*M24),"")</f>
        <v>141.75</v>
      </c>
      <c r="O24" s="85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40"/>
      <c r="S24" s="107" t="s">
        <v>4324</v>
      </c>
      <c r="T24" s="136"/>
      <c r="U24" s="140"/>
      <c r="V24" s="106"/>
      <c r="W24" s="106"/>
      <c r="X24" s="106"/>
      <c r="Y24" s="85"/>
    </row>
    <row r="25" customFormat="false" ht="15.75" hidden="false" customHeight="true" outlineLevel="0" collapsed="false">
      <c r="A25" s="46" t="n">
        <v>20</v>
      </c>
      <c r="B25" s="110" t="s">
        <v>4325</v>
      </c>
      <c r="C25" s="46" t="s">
        <v>752</v>
      </c>
      <c r="D25" s="110" t="s">
        <v>4326</v>
      </c>
      <c r="E25" s="46" t="s">
        <v>99</v>
      </c>
      <c r="F25" s="46" t="s">
        <v>4327</v>
      </c>
      <c r="G25" s="142" t="n">
        <v>45993</v>
      </c>
      <c r="H25" s="46" t="s">
        <v>529</v>
      </c>
      <c r="I25" s="138" t="str">
        <f aca="false">IFERROR(VLOOKUP(TEXT(H25,"0"),IPRESS!$A$3:$B$212,2,0),"")</f>
        <v>MARIA AUXILIADORA</v>
      </c>
      <c r="J25" s="46" t="s">
        <v>755</v>
      </c>
      <c r="K25" s="138" t="str">
        <f aca="false">IFERROR(VLOOKUP(TEXT(O25,"0"),CONDUCTORES!$A$3:$G$100,7,0),"")</f>
        <v/>
      </c>
      <c r="L25" s="44" t="n">
        <v>20.25</v>
      </c>
      <c r="M25" s="44" t="n">
        <v>7</v>
      </c>
      <c r="N25" s="139" t="n">
        <f aca="false">IFERROR(IF(L25*M25=0,"",L25*M25),"")</f>
        <v>141.75</v>
      </c>
      <c r="O25" s="140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85"/>
      <c r="S25" s="110" t="s">
        <v>891</v>
      </c>
      <c r="T25" s="46"/>
      <c r="U25" s="85"/>
      <c r="V25" s="46"/>
      <c r="W25" s="46"/>
      <c r="X25" s="46"/>
      <c r="Y25" s="85"/>
    </row>
    <row r="26" customFormat="false" ht="15.75" hidden="false" customHeight="true" outlineLevel="0" collapsed="false">
      <c r="A26" s="106" t="n">
        <v>21</v>
      </c>
      <c r="B26" s="107" t="s">
        <v>4328</v>
      </c>
      <c r="C26" s="106" t="s">
        <v>752</v>
      </c>
      <c r="D26" s="107" t="s">
        <v>3520</v>
      </c>
      <c r="E26" s="136" t="s">
        <v>99</v>
      </c>
      <c r="F26" s="106" t="s">
        <v>4329</v>
      </c>
      <c r="G26" s="137" t="n">
        <v>45999</v>
      </c>
      <c r="H26" s="106" t="s">
        <v>529</v>
      </c>
      <c r="I26" s="138" t="str">
        <f aca="false">IFERROR(VLOOKUP(TEXT(H26,"0"),IPRESS!$A$3:$B$212,2,0),"")</f>
        <v>MARIA AUXILIADORA</v>
      </c>
      <c r="J26" s="106" t="s">
        <v>755</v>
      </c>
      <c r="K26" s="138" t="str">
        <f aca="false">IFERROR(VLOOKUP(TEXT(O26,"0"),CONDUCTORES!$A$3:$G$100,7,0),"")</f>
        <v/>
      </c>
      <c r="L26" s="50" t="n">
        <v>20.25</v>
      </c>
      <c r="M26" s="50" t="n">
        <v>7</v>
      </c>
      <c r="N26" s="139" t="n">
        <f aca="false">IFERROR(IF(L26*M26=0,"",L26*M26),"")</f>
        <v>141.75</v>
      </c>
      <c r="O26" s="85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40"/>
      <c r="S26" s="107" t="s">
        <v>4330</v>
      </c>
      <c r="T26" s="136"/>
      <c r="U26" s="140"/>
      <c r="V26" s="106"/>
      <c r="W26" s="106"/>
      <c r="X26" s="106"/>
      <c r="Y26" s="85"/>
    </row>
    <row r="27" customFormat="false" ht="15.75" hidden="false" customHeight="true" outlineLevel="0" collapsed="false">
      <c r="A27" s="46" t="n">
        <v>22</v>
      </c>
      <c r="B27" s="110" t="s">
        <v>4331</v>
      </c>
      <c r="C27" s="46" t="s">
        <v>752</v>
      </c>
      <c r="D27" s="110" t="s">
        <v>4332</v>
      </c>
      <c r="E27" s="46" t="s">
        <v>99</v>
      </c>
      <c r="F27" s="46" t="s">
        <v>4333</v>
      </c>
      <c r="G27" s="142" t="n">
        <v>45992</v>
      </c>
      <c r="H27" s="46" t="s">
        <v>529</v>
      </c>
      <c r="I27" s="138" t="str">
        <f aca="false">IFERROR(VLOOKUP(TEXT(H27,"0"),IPRESS!$A$3:$B$212,2,0),"")</f>
        <v>MARIA AUXILIADORA</v>
      </c>
      <c r="J27" s="46" t="s">
        <v>755</v>
      </c>
      <c r="K27" s="138" t="str">
        <f aca="false">IFERROR(VLOOKUP(TEXT(O27,"0"),CONDUCTORES!$A$3:$G$100,7,0),"")</f>
        <v/>
      </c>
      <c r="L27" s="44" t="n">
        <v>20.25</v>
      </c>
      <c r="M27" s="44" t="n">
        <v>7</v>
      </c>
      <c r="N27" s="139" t="n">
        <f aca="false">IFERROR(IF(L27*M27=0,"",L27*M27),"")</f>
        <v>141.75</v>
      </c>
      <c r="O27" s="140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85"/>
      <c r="S27" s="110" t="s">
        <v>891</v>
      </c>
      <c r="T27" s="46"/>
      <c r="U27" s="85"/>
      <c r="V27" s="46"/>
      <c r="W27" s="46"/>
      <c r="X27" s="46"/>
      <c r="Y27" s="85"/>
    </row>
    <row r="28" customFormat="false" ht="15.75" hidden="false" customHeight="true" outlineLevel="0" collapsed="false">
      <c r="A28" s="106" t="n">
        <v>23</v>
      </c>
      <c r="B28" s="107" t="s">
        <v>1674</v>
      </c>
      <c r="C28" s="106" t="s">
        <v>752</v>
      </c>
      <c r="D28" s="107" t="s">
        <v>4334</v>
      </c>
      <c r="E28" s="136" t="s">
        <v>99</v>
      </c>
      <c r="F28" s="106" t="s">
        <v>4335</v>
      </c>
      <c r="G28" s="137" t="n">
        <v>46001</v>
      </c>
      <c r="H28" s="106" t="s">
        <v>480</v>
      </c>
      <c r="I28" s="138" t="str">
        <f aca="false">IFERROR(VLOOKUP(TEXT(H28,"0"),IPRESS!$A$3:$B$212,2,0),"")</f>
        <v>JALCA GRANDE</v>
      </c>
      <c r="J28" s="106" t="s">
        <v>755</v>
      </c>
      <c r="K28" s="138" t="str">
        <f aca="false">IFERROR(VLOOKUP(TEXT(O28,"0"),CONDUCTORES!$A$3:$G$100,7,0),"")</f>
        <v/>
      </c>
      <c r="L28" s="50" t="n">
        <v>18.18</v>
      </c>
      <c r="M28" s="50" t="n">
        <v>8</v>
      </c>
      <c r="N28" s="139" t="n">
        <f aca="false">IFERROR(IF(L28*M28=0,"",L28*M28),"")</f>
        <v>145.44</v>
      </c>
      <c r="O28" s="85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40"/>
      <c r="S28" s="107" t="s">
        <v>3618</v>
      </c>
      <c r="T28" s="136"/>
      <c r="U28" s="140"/>
      <c r="V28" s="106"/>
      <c r="W28" s="106"/>
      <c r="X28" s="106"/>
      <c r="Y28" s="85"/>
    </row>
    <row r="29" customFormat="false" ht="15.75" hidden="false" customHeight="true" outlineLevel="0" collapsed="false">
      <c r="A29" s="143" t="n">
        <v>24</v>
      </c>
      <c r="B29" s="144" t="s">
        <v>1770</v>
      </c>
      <c r="C29" s="143" t="s">
        <v>752</v>
      </c>
      <c r="D29" s="144" t="s">
        <v>4336</v>
      </c>
      <c r="E29" s="143" t="s">
        <v>99</v>
      </c>
      <c r="F29" s="143" t="s">
        <v>4337</v>
      </c>
      <c r="G29" s="145" t="n">
        <v>46000</v>
      </c>
      <c r="H29" s="143" t="s">
        <v>622</v>
      </c>
      <c r="I29" s="138" t="str">
        <f aca="false">IFERROR(VLOOKUP(TEXT(H29,"0"),IPRESS!$A$3:$B$212,2,0),"")</f>
        <v>SALAZAR</v>
      </c>
      <c r="J29" s="143" t="s">
        <v>1216</v>
      </c>
      <c r="K29" s="138" t="str">
        <f aca="false">IFERROR(VLOOKUP(TEXT(O29,"0"),CONDUCTORES!$A$3:$G$100,7,0),"")</f>
        <v/>
      </c>
      <c r="L29" s="146" t="n">
        <v>17.95</v>
      </c>
      <c r="M29" s="146" t="n">
        <v>14</v>
      </c>
      <c r="N29" s="139" t="n">
        <f aca="false">IFERROR(IF(L29*M29=0,"",L29*M29),"")</f>
        <v>251.3</v>
      </c>
      <c r="O29" s="140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147"/>
      <c r="S29" s="144" t="s">
        <v>4338</v>
      </c>
      <c r="T29" s="143"/>
      <c r="U29" s="147"/>
      <c r="V29" s="143"/>
      <c r="W29" s="143"/>
      <c r="X29" s="143"/>
      <c r="Y29" s="85"/>
    </row>
    <row r="30" customFormat="false" ht="15.75" hidden="false" customHeight="true" outlineLevel="0" collapsed="false">
      <c r="A30" s="106" t="n">
        <v>25</v>
      </c>
      <c r="B30" s="107" t="s">
        <v>4339</v>
      </c>
      <c r="C30" s="106" t="s">
        <v>752</v>
      </c>
      <c r="D30" s="107" t="s">
        <v>4340</v>
      </c>
      <c r="E30" s="136" t="s">
        <v>99</v>
      </c>
      <c r="F30" s="106" t="s">
        <v>4341</v>
      </c>
      <c r="G30" s="137" t="n">
        <v>45996</v>
      </c>
      <c r="H30" s="106" t="s">
        <v>581</v>
      </c>
      <c r="I30" s="138" t="str">
        <f aca="false">IFERROR(VLOOKUP(TEXT(H30,"0"),IPRESS!$A$3:$B$212,2,0),"")</f>
        <v>PEDRO RUIZ GALLO</v>
      </c>
      <c r="J30" s="106" t="s">
        <v>755</v>
      </c>
      <c r="K30" s="138" t="str">
        <f aca="false">IFERROR(VLOOKUP(TEXT(O30,"0"),CONDUCTORES!$A$3:$G$100,7,0),"")</f>
        <v/>
      </c>
      <c r="L30" s="50" t="n">
        <v>18.18</v>
      </c>
      <c r="M30" s="50" t="n">
        <v>5</v>
      </c>
      <c r="N30" s="139" t="n">
        <f aca="false">IFERROR(IF(L30*M30=0,"",L30*M30),"")</f>
        <v>90.9</v>
      </c>
      <c r="O30" s="85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40"/>
      <c r="S30" s="107" t="s">
        <v>4342</v>
      </c>
      <c r="T30" s="136"/>
      <c r="U30" s="140"/>
      <c r="V30" s="106"/>
      <c r="W30" s="106"/>
      <c r="X30" s="106"/>
      <c r="Y30" s="85"/>
    </row>
    <row r="31" customFormat="false" ht="15.75" hidden="false" customHeight="true" outlineLevel="0" collapsed="false">
      <c r="A31" s="46" t="n">
        <v>26</v>
      </c>
      <c r="B31" s="110" t="s">
        <v>4343</v>
      </c>
      <c r="C31" s="46" t="s">
        <v>752</v>
      </c>
      <c r="D31" s="110" t="s">
        <v>4344</v>
      </c>
      <c r="E31" s="46" t="s">
        <v>99</v>
      </c>
      <c r="F31" s="46" t="s">
        <v>4345</v>
      </c>
      <c r="G31" s="142" t="n">
        <v>46009</v>
      </c>
      <c r="H31" s="46" t="s">
        <v>581</v>
      </c>
      <c r="I31" s="138" t="str">
        <f aca="false">IFERROR(VLOOKUP(TEXT(H31,"0"),IPRESS!$A$3:$B$212,2,0),"")</f>
        <v>PEDRO RUIZ GALLO</v>
      </c>
      <c r="J31" s="46" t="s">
        <v>755</v>
      </c>
      <c r="K31" s="138" t="str">
        <f aca="false">IFERROR(VLOOKUP(TEXT(O31,"0"),CONDUCTORES!$A$3:$G$100,7,0),"")</f>
        <v/>
      </c>
      <c r="L31" s="44" t="n">
        <v>18.18</v>
      </c>
      <c r="M31" s="44" t="n">
        <v>5</v>
      </c>
      <c r="N31" s="139" t="n">
        <f aca="false">IFERROR(IF(L31*M31=0,"",L31*M31),"")</f>
        <v>90.9</v>
      </c>
      <c r="O31" s="140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85"/>
      <c r="S31" s="110" t="s">
        <v>847</v>
      </c>
      <c r="T31" s="46"/>
      <c r="U31" s="85"/>
      <c r="V31" s="46"/>
      <c r="W31" s="46"/>
      <c r="X31" s="46"/>
      <c r="Y31" s="85"/>
    </row>
    <row r="32" customFormat="false" ht="15.75" hidden="false" customHeight="true" outlineLevel="0" collapsed="false">
      <c r="A32" s="143" t="n">
        <v>27</v>
      </c>
      <c r="B32" s="144" t="s">
        <v>4346</v>
      </c>
      <c r="C32" s="143" t="s">
        <v>752</v>
      </c>
      <c r="D32" s="144" t="s">
        <v>4347</v>
      </c>
      <c r="E32" s="143" t="s">
        <v>99</v>
      </c>
      <c r="F32" s="143" t="s">
        <v>4348</v>
      </c>
      <c r="G32" s="145" t="n">
        <v>46011</v>
      </c>
      <c r="H32" s="143" t="s">
        <v>581</v>
      </c>
      <c r="I32" s="138" t="str">
        <f aca="false">IFERROR(VLOOKUP(TEXT(H32,"0"),IPRESS!$A$3:$B$212,2,0),"")</f>
        <v>PEDRO RUIZ GALLO</v>
      </c>
      <c r="J32" s="143" t="s">
        <v>755</v>
      </c>
      <c r="K32" s="138" t="str">
        <f aca="false">IFERROR(VLOOKUP(TEXT(O32,"0"),CONDUCTORES!$A$3:$G$100,7,0),"")</f>
        <v/>
      </c>
      <c r="L32" s="146" t="n">
        <v>17.95</v>
      </c>
      <c r="M32" s="146" t="n">
        <v>6</v>
      </c>
      <c r="N32" s="139" t="n">
        <f aca="false">IFERROR(IF(L32*M32=0,"",L32*M32),"")</f>
        <v>107.7</v>
      </c>
      <c r="O32" s="85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47"/>
      <c r="S32" s="144" t="s">
        <v>4349</v>
      </c>
      <c r="T32" s="143"/>
      <c r="U32" s="147"/>
      <c r="V32" s="143"/>
      <c r="W32" s="143"/>
      <c r="X32" s="143"/>
      <c r="Y32" s="85"/>
    </row>
    <row r="33" customFormat="false" ht="15.75" hidden="false" customHeight="true" outlineLevel="0" collapsed="false">
      <c r="A33" s="46" t="n">
        <v>28</v>
      </c>
      <c r="B33" s="110" t="s">
        <v>4350</v>
      </c>
      <c r="C33" s="46" t="s">
        <v>752</v>
      </c>
      <c r="D33" s="110" t="s">
        <v>4351</v>
      </c>
      <c r="E33" s="46" t="s">
        <v>99</v>
      </c>
      <c r="F33" s="46" t="s">
        <v>4352</v>
      </c>
      <c r="G33" s="142" t="n">
        <v>46003</v>
      </c>
      <c r="H33" s="46" t="s">
        <v>717</v>
      </c>
      <c r="I33" s="138" t="str">
        <f aca="false">IFERROR(VLOOKUP(TEXT(H33,"0"),IPRESS!$A$3:$B$212,2,0),"")</f>
        <v>YERBABUENA</v>
      </c>
      <c r="J33" s="46" t="s">
        <v>755</v>
      </c>
      <c r="K33" s="138" t="str">
        <f aca="false">IFERROR(VLOOKUP(TEXT(O33,"0"),CONDUCTORES!$A$3:$G$100,7,0),"")</f>
        <v/>
      </c>
      <c r="L33" s="44" t="n">
        <v>18.18</v>
      </c>
      <c r="M33" s="44" t="n">
        <v>6</v>
      </c>
      <c r="N33" s="139" t="n">
        <f aca="false">IFERROR(IF(L33*M33=0,"",L33*M33),"")</f>
        <v>109.08</v>
      </c>
      <c r="O33" s="140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85"/>
      <c r="S33" s="110" t="s">
        <v>4353</v>
      </c>
      <c r="T33" s="46"/>
      <c r="U33" s="85"/>
      <c r="V33" s="46"/>
      <c r="W33" s="46"/>
      <c r="X33" s="46"/>
      <c r="Y33" s="85"/>
    </row>
    <row r="34" customFormat="false" ht="15.75" hidden="false" customHeight="true" outlineLevel="0" collapsed="false">
      <c r="A34" s="106" t="n">
        <v>29</v>
      </c>
      <c r="B34" s="107" t="s">
        <v>4354</v>
      </c>
      <c r="C34" s="106" t="s">
        <v>752</v>
      </c>
      <c r="D34" s="107" t="s">
        <v>4355</v>
      </c>
      <c r="E34" s="136" t="s">
        <v>99</v>
      </c>
      <c r="F34" s="106" t="s">
        <v>4356</v>
      </c>
      <c r="G34" s="137" t="n">
        <v>46000</v>
      </c>
      <c r="H34" s="106" t="s">
        <v>717</v>
      </c>
      <c r="I34" s="138" t="str">
        <f aca="false">IFERROR(VLOOKUP(TEXT(H34,"0"),IPRESS!$A$3:$B$212,2,0),"")</f>
        <v>YERBABUENA</v>
      </c>
      <c r="J34" s="106" t="s">
        <v>755</v>
      </c>
      <c r="K34" s="138" t="str">
        <f aca="false">IFERROR(VLOOKUP(TEXT(O34,"0"),CONDUCTORES!$A$3:$G$100,7,0),"")</f>
        <v/>
      </c>
      <c r="L34" s="50" t="n">
        <v>18.18</v>
      </c>
      <c r="M34" s="50" t="n">
        <v>6</v>
      </c>
      <c r="N34" s="139" t="n">
        <f aca="false">IFERROR(IF(L34*M34=0,"",L34*M34),"")</f>
        <v>109.08</v>
      </c>
      <c r="O34" s="85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40"/>
      <c r="S34" s="107" t="s">
        <v>1867</v>
      </c>
      <c r="T34" s="136"/>
      <c r="U34" s="140"/>
      <c r="V34" s="106"/>
      <c r="W34" s="106"/>
      <c r="X34" s="106"/>
      <c r="Y34" s="85"/>
    </row>
    <row r="35" customFormat="false" ht="15.75" hidden="false" customHeight="true" outlineLevel="0" collapsed="false">
      <c r="A35" s="46" t="n">
        <v>30</v>
      </c>
      <c r="B35" s="110" t="s">
        <v>4357</v>
      </c>
      <c r="C35" s="46" t="s">
        <v>752</v>
      </c>
      <c r="D35" s="110" t="s">
        <v>3766</v>
      </c>
      <c r="E35" s="46" t="s">
        <v>99</v>
      </c>
      <c r="F35" s="46" t="s">
        <v>3767</v>
      </c>
      <c r="G35" s="142" t="n">
        <v>46011</v>
      </c>
      <c r="H35" s="46" t="s">
        <v>717</v>
      </c>
      <c r="I35" s="138" t="str">
        <f aca="false">IFERROR(VLOOKUP(TEXT(H35,"0"),IPRESS!$A$3:$B$212,2,0),"")</f>
        <v>YERBABUENA</v>
      </c>
      <c r="J35" s="46" t="s">
        <v>755</v>
      </c>
      <c r="K35" s="138" t="str">
        <f aca="false">IFERROR(VLOOKUP(TEXT(O35,"0"),CONDUCTORES!$A$3:$G$100,7,0),"")</f>
        <v/>
      </c>
      <c r="L35" s="44" t="n">
        <v>18.18</v>
      </c>
      <c r="M35" s="44" t="n">
        <v>6</v>
      </c>
      <c r="N35" s="139" t="n">
        <f aca="false">IFERROR(IF(L35*M35=0,"",L35*M35),"")</f>
        <v>109.08</v>
      </c>
      <c r="O35" s="140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85"/>
      <c r="S35" s="110" t="s">
        <v>4358</v>
      </c>
      <c r="T35" s="46"/>
      <c r="U35" s="85"/>
      <c r="V35" s="46"/>
      <c r="W35" s="46"/>
      <c r="X35" s="46"/>
      <c r="Y35" s="85"/>
    </row>
    <row r="36" customFormat="false" ht="15.75" hidden="false" customHeight="true" outlineLevel="0" collapsed="false">
      <c r="A36" s="106" t="n">
        <v>31</v>
      </c>
      <c r="B36" s="107" t="s">
        <v>4359</v>
      </c>
      <c r="C36" s="106" t="s">
        <v>752</v>
      </c>
      <c r="D36" s="107" t="s">
        <v>4360</v>
      </c>
      <c r="E36" s="136" t="s">
        <v>99</v>
      </c>
      <c r="F36" s="106" t="s">
        <v>4361</v>
      </c>
      <c r="G36" s="137" t="n">
        <v>45995</v>
      </c>
      <c r="H36" s="106" t="s">
        <v>717</v>
      </c>
      <c r="I36" s="138" t="str">
        <f aca="false">IFERROR(VLOOKUP(TEXT(H36,"0"),IPRESS!$A$3:$B$212,2,0),"")</f>
        <v>YERBABUENA</v>
      </c>
      <c r="J36" s="106" t="s">
        <v>755</v>
      </c>
      <c r="K36" s="138" t="str">
        <f aca="false">IFERROR(VLOOKUP(TEXT(O36,"0"),CONDUCTORES!$A$3:$G$100,7,0),"")</f>
        <v/>
      </c>
      <c r="L36" s="50" t="n">
        <v>18.18</v>
      </c>
      <c r="M36" s="50" t="n">
        <v>6</v>
      </c>
      <c r="N36" s="139" t="n">
        <f aca="false">IFERROR(IF(L36*M36=0,"",L36*M36),"")</f>
        <v>109.08</v>
      </c>
      <c r="O36" s="85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40"/>
      <c r="S36" s="107" t="s">
        <v>1236</v>
      </c>
      <c r="T36" s="136"/>
      <c r="U36" s="140"/>
      <c r="V36" s="106"/>
      <c r="W36" s="106"/>
      <c r="X36" s="106"/>
      <c r="Y36" s="85"/>
    </row>
    <row r="37" customFormat="false" ht="15.75" hidden="false" customHeight="true" outlineLevel="0" collapsed="false">
      <c r="A37" s="46" t="n">
        <v>32</v>
      </c>
      <c r="B37" s="110" t="s">
        <v>4362</v>
      </c>
      <c r="C37" s="46" t="s">
        <v>752</v>
      </c>
      <c r="D37" s="110" t="s">
        <v>4363</v>
      </c>
      <c r="E37" s="46" t="s">
        <v>99</v>
      </c>
      <c r="F37" s="46" t="s">
        <v>4364</v>
      </c>
      <c r="G37" s="142" t="n">
        <v>46003</v>
      </c>
      <c r="H37" s="46" t="s">
        <v>717</v>
      </c>
      <c r="I37" s="138" t="str">
        <f aca="false">IFERROR(VLOOKUP(TEXT(H37,"0"),IPRESS!$A$3:$B$212,2,0),"")</f>
        <v>YERBABUENA</v>
      </c>
      <c r="J37" s="46" t="s">
        <v>755</v>
      </c>
      <c r="K37" s="138" t="str">
        <f aca="false">IFERROR(VLOOKUP(TEXT(O37,"0"),CONDUCTORES!$A$3:$G$100,7,0),"")</f>
        <v/>
      </c>
      <c r="L37" s="44" t="n">
        <v>18.18</v>
      </c>
      <c r="M37" s="44" t="n">
        <v>6</v>
      </c>
      <c r="N37" s="139" t="n">
        <f aca="false">IFERROR(IF(L37*M37=0,"",L37*M37),"")</f>
        <v>109.08</v>
      </c>
      <c r="O37" s="140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85"/>
      <c r="S37" s="110" t="s">
        <v>4365</v>
      </c>
      <c r="T37" s="46"/>
      <c r="U37" s="85"/>
      <c r="V37" s="46"/>
      <c r="W37" s="46"/>
      <c r="X37" s="46"/>
      <c r="Y37" s="85"/>
    </row>
    <row r="38" customFormat="false" ht="15.75" hidden="false" customHeight="true" outlineLevel="0" collapsed="false">
      <c r="A38" s="106" t="n">
        <v>33</v>
      </c>
      <c r="B38" s="107" t="s">
        <v>1705</v>
      </c>
      <c r="C38" s="106" t="s">
        <v>752</v>
      </c>
      <c r="D38" s="107" t="s">
        <v>4366</v>
      </c>
      <c r="E38" s="136" t="s">
        <v>99</v>
      </c>
      <c r="F38" s="106" t="s">
        <v>4367</v>
      </c>
      <c r="G38" s="137" t="n">
        <v>46011</v>
      </c>
      <c r="H38" s="106" t="s">
        <v>692</v>
      </c>
      <c r="I38" s="138" t="str">
        <f aca="false">IFERROR(VLOOKUP(TEXT(H38,"0"),IPRESS!$A$3:$B$212,2,0),"")</f>
        <v>TINGO</v>
      </c>
      <c r="J38" s="106" t="s">
        <v>755</v>
      </c>
      <c r="K38" s="138" t="str">
        <f aca="false">IFERROR(VLOOKUP(TEXT(O38,"0"),CONDUCTORES!$A$3:$G$100,7,0),"")</f>
        <v/>
      </c>
      <c r="L38" s="50" t="n">
        <v>18.18</v>
      </c>
      <c r="M38" s="50" t="n">
        <v>5</v>
      </c>
      <c r="N38" s="139" t="n">
        <f aca="false">IFERROR(IF(L38*M38=0,"",L38*M38),"")</f>
        <v>90.9</v>
      </c>
      <c r="O38" s="85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40"/>
      <c r="S38" s="107" t="s">
        <v>4368</v>
      </c>
      <c r="T38" s="136"/>
      <c r="U38" s="140"/>
      <c r="V38" s="106"/>
      <c r="W38" s="106"/>
      <c r="X38" s="106"/>
      <c r="Y38" s="85"/>
    </row>
    <row r="39" customFormat="false" ht="15.75" hidden="false" customHeight="true" outlineLevel="0" collapsed="false">
      <c r="A39" s="46" t="n">
        <v>34</v>
      </c>
      <c r="B39" s="110" t="s">
        <v>1695</v>
      </c>
      <c r="C39" s="46" t="s">
        <v>752</v>
      </c>
      <c r="D39" s="110" t="s">
        <v>4369</v>
      </c>
      <c r="E39" s="46" t="s">
        <v>99</v>
      </c>
      <c r="F39" s="46" t="s">
        <v>4370</v>
      </c>
      <c r="G39" s="142" t="n">
        <v>46001</v>
      </c>
      <c r="H39" s="46" t="s">
        <v>692</v>
      </c>
      <c r="I39" s="138" t="str">
        <f aca="false">IFERROR(VLOOKUP(TEXT(H39,"0"),IPRESS!$A$3:$B$212,2,0),"")</f>
        <v>TINGO</v>
      </c>
      <c r="J39" s="46" t="s">
        <v>755</v>
      </c>
      <c r="K39" s="138" t="str">
        <f aca="false">IFERROR(VLOOKUP(TEXT(O39,"0"),CONDUCTORES!$A$3:$G$100,7,0),"")</f>
        <v/>
      </c>
      <c r="L39" s="44" t="n">
        <v>18.18</v>
      </c>
      <c r="M39" s="44" t="n">
        <v>5</v>
      </c>
      <c r="N39" s="139" t="n">
        <f aca="false">IFERROR(IF(L39*M39=0,"",L39*M39),"")</f>
        <v>90.9</v>
      </c>
      <c r="O39" s="140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85"/>
      <c r="S39" s="110" t="s">
        <v>4371</v>
      </c>
      <c r="T39" s="46"/>
      <c r="U39" s="85"/>
      <c r="V39" s="46"/>
      <c r="W39" s="46"/>
      <c r="X39" s="46"/>
      <c r="Y39" s="85"/>
    </row>
    <row r="40" customFormat="false" ht="15.75" hidden="false" customHeight="true" outlineLevel="0" collapsed="false">
      <c r="A40" s="106" t="n">
        <v>35</v>
      </c>
      <c r="B40" s="107" t="s">
        <v>4372</v>
      </c>
      <c r="C40" s="106" t="s">
        <v>752</v>
      </c>
      <c r="D40" s="107" t="s">
        <v>4373</v>
      </c>
      <c r="E40" s="136" t="s">
        <v>99</v>
      </c>
      <c r="F40" s="106" t="s">
        <v>4374</v>
      </c>
      <c r="G40" s="137" t="n">
        <v>46003</v>
      </c>
      <c r="H40" s="106" t="s">
        <v>692</v>
      </c>
      <c r="I40" s="138" t="str">
        <f aca="false">IFERROR(VLOOKUP(TEXT(H40,"0"),IPRESS!$A$3:$B$212,2,0),"")</f>
        <v>TINGO</v>
      </c>
      <c r="J40" s="106" t="s">
        <v>755</v>
      </c>
      <c r="K40" s="138" t="str">
        <f aca="false">IFERROR(VLOOKUP(TEXT(O40,"0"),CONDUCTORES!$A$3:$G$100,7,0),"")</f>
        <v/>
      </c>
      <c r="L40" s="50" t="n">
        <v>18.18</v>
      </c>
      <c r="M40" s="50" t="n">
        <v>5</v>
      </c>
      <c r="N40" s="139" t="n">
        <f aca="false">IFERROR(IF(L40*M40=0,"",L40*M40),"")</f>
        <v>90.9</v>
      </c>
      <c r="O40" s="85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40"/>
      <c r="S40" s="107" t="s">
        <v>4375</v>
      </c>
      <c r="T40" s="136"/>
      <c r="U40" s="140"/>
      <c r="V40" s="106"/>
      <c r="W40" s="106"/>
      <c r="X40" s="106"/>
      <c r="Y40" s="85"/>
    </row>
    <row r="41" customFormat="false" ht="15.75" hidden="false" customHeight="true" outlineLevel="0" collapsed="false">
      <c r="A41" s="46" t="n">
        <v>36</v>
      </c>
      <c r="B41" s="110" t="s">
        <v>1701</v>
      </c>
      <c r="C41" s="46" t="s">
        <v>752</v>
      </c>
      <c r="D41" s="110" t="s">
        <v>4376</v>
      </c>
      <c r="E41" s="46" t="s">
        <v>99</v>
      </c>
      <c r="F41" s="46" t="s">
        <v>4377</v>
      </c>
      <c r="G41" s="142" t="n">
        <v>46010</v>
      </c>
      <c r="H41" s="46" t="s">
        <v>692</v>
      </c>
      <c r="I41" s="138" t="str">
        <f aca="false">IFERROR(VLOOKUP(TEXT(H41,"0"),IPRESS!$A$3:$B$212,2,0),"")</f>
        <v>TINGO</v>
      </c>
      <c r="J41" s="46" t="s">
        <v>755</v>
      </c>
      <c r="K41" s="138" t="str">
        <f aca="false">IFERROR(VLOOKUP(TEXT(O41,"0"),CONDUCTORES!$A$3:$G$100,7,0),"")</f>
        <v/>
      </c>
      <c r="L41" s="44" t="n">
        <v>18.18</v>
      </c>
      <c r="M41" s="44" t="n">
        <v>5</v>
      </c>
      <c r="N41" s="139" t="n">
        <f aca="false">IFERROR(IF(L41*M41=0,"",L41*M41),"")</f>
        <v>90.9</v>
      </c>
      <c r="O41" s="140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85"/>
      <c r="S41" s="110" t="s">
        <v>4378</v>
      </c>
      <c r="T41" s="46"/>
      <c r="U41" s="85"/>
      <c r="V41" s="46"/>
      <c r="W41" s="46"/>
      <c r="X41" s="46"/>
      <c r="Y41" s="85"/>
    </row>
    <row r="42" customFormat="false" ht="15.75" hidden="false" customHeight="true" outlineLevel="0" collapsed="false">
      <c r="A42" s="106" t="n">
        <v>37</v>
      </c>
      <c r="B42" s="107" t="s">
        <v>1698</v>
      </c>
      <c r="C42" s="106" t="s">
        <v>752</v>
      </c>
      <c r="D42" s="107" t="s">
        <v>4379</v>
      </c>
      <c r="E42" s="136" t="s">
        <v>99</v>
      </c>
      <c r="F42" s="106" t="s">
        <v>4380</v>
      </c>
      <c r="G42" s="137" t="n">
        <v>46007</v>
      </c>
      <c r="H42" s="106" t="s">
        <v>692</v>
      </c>
      <c r="I42" s="138" t="str">
        <f aca="false">IFERROR(VLOOKUP(TEXT(H42,"0"),IPRESS!$A$3:$B$212,2,0),"")</f>
        <v>TINGO</v>
      </c>
      <c r="J42" s="106" t="s">
        <v>755</v>
      </c>
      <c r="K42" s="138" t="str">
        <f aca="false">IFERROR(VLOOKUP(TEXT(O42,"0"),CONDUCTORES!$A$3:$G$100,7,0),"")</f>
        <v/>
      </c>
      <c r="L42" s="50" t="n">
        <v>18.18</v>
      </c>
      <c r="M42" s="50" t="n">
        <v>5</v>
      </c>
      <c r="N42" s="139" t="n">
        <f aca="false">IFERROR(IF(L42*M42=0,"",L42*M42),"")</f>
        <v>90.9</v>
      </c>
      <c r="O42" s="85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40"/>
      <c r="S42" s="107" t="s">
        <v>1875</v>
      </c>
      <c r="T42" s="136"/>
      <c r="U42" s="140"/>
      <c r="V42" s="106"/>
      <c r="W42" s="106"/>
      <c r="X42" s="106"/>
      <c r="Y42" s="85"/>
    </row>
    <row r="43" customFormat="false" ht="15.75" hidden="false" customHeight="true" outlineLevel="0" collapsed="false">
      <c r="A43" s="46" t="n">
        <v>38</v>
      </c>
      <c r="B43" s="110" t="s">
        <v>1692</v>
      </c>
      <c r="C43" s="46" t="s">
        <v>752</v>
      </c>
      <c r="D43" s="110" t="s">
        <v>4381</v>
      </c>
      <c r="E43" s="46" t="s">
        <v>99</v>
      </c>
      <c r="F43" s="46" t="s">
        <v>4382</v>
      </c>
      <c r="G43" s="142" t="n">
        <v>45998</v>
      </c>
      <c r="H43" s="46" t="s">
        <v>692</v>
      </c>
      <c r="I43" s="138" t="str">
        <f aca="false">IFERROR(VLOOKUP(TEXT(H43,"0"),IPRESS!$A$3:$B$212,2,0),"")</f>
        <v>TINGO</v>
      </c>
      <c r="J43" s="46" t="s">
        <v>755</v>
      </c>
      <c r="K43" s="138" t="str">
        <f aca="false">IFERROR(VLOOKUP(TEXT(O43,"0"),CONDUCTORES!$A$3:$G$100,7,0),"")</f>
        <v/>
      </c>
      <c r="L43" s="44" t="n">
        <v>18.18</v>
      </c>
      <c r="M43" s="44" t="n">
        <v>5</v>
      </c>
      <c r="N43" s="139" t="n">
        <f aca="false">IFERROR(IF(L43*M43=0,"",L43*M43),"")</f>
        <v>90.9</v>
      </c>
      <c r="O43" s="140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85"/>
      <c r="S43" s="110" t="s">
        <v>4383</v>
      </c>
      <c r="T43" s="46"/>
      <c r="U43" s="85"/>
      <c r="V43" s="46"/>
      <c r="W43" s="46"/>
      <c r="X43" s="46"/>
      <c r="Y43" s="85"/>
    </row>
    <row r="44" customFormat="false" ht="15.75" hidden="false" customHeight="true" outlineLevel="0" collapsed="false">
      <c r="A44" s="106" t="n">
        <v>39</v>
      </c>
      <c r="B44" s="107" t="s">
        <v>4384</v>
      </c>
      <c r="C44" s="106" t="s">
        <v>752</v>
      </c>
      <c r="D44" s="107" t="s">
        <v>4385</v>
      </c>
      <c r="E44" s="136" t="s">
        <v>99</v>
      </c>
      <c r="F44" s="106" t="s">
        <v>3606</v>
      </c>
      <c r="G44" s="137" t="n">
        <v>46002</v>
      </c>
      <c r="H44" s="106" t="s">
        <v>529</v>
      </c>
      <c r="I44" s="138" t="str">
        <f aca="false">IFERROR(VLOOKUP(TEXT(H44,"0"),IPRESS!$A$3:$B$212,2,0),"")</f>
        <v>MARIA AUXILIADORA</v>
      </c>
      <c r="J44" s="106" t="s">
        <v>755</v>
      </c>
      <c r="K44" s="138" t="str">
        <f aca="false">IFERROR(VLOOKUP(TEXT(O44,"0"),CONDUCTORES!$A$3:$G$100,7,0),"")</f>
        <v/>
      </c>
      <c r="L44" s="50" t="n">
        <v>20.25</v>
      </c>
      <c r="M44" s="50" t="n">
        <v>10</v>
      </c>
      <c r="N44" s="139" t="n">
        <f aca="false">IFERROR(IF(L44*M44=0,"",L44*M44),"")</f>
        <v>202.5</v>
      </c>
      <c r="O44" s="85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40"/>
      <c r="S44" s="107" t="s">
        <v>4386</v>
      </c>
      <c r="T44" s="136" t="s">
        <v>4387</v>
      </c>
      <c r="U44" s="140"/>
      <c r="V44" s="106"/>
      <c r="W44" s="106"/>
      <c r="X44" s="106"/>
      <c r="Y44" s="85"/>
    </row>
    <row r="45" customFormat="false" ht="15.75" hidden="false" customHeight="true" outlineLevel="0" collapsed="false">
      <c r="A45" s="46" t="n">
        <v>40</v>
      </c>
      <c r="B45" s="110" t="s">
        <v>4388</v>
      </c>
      <c r="C45" s="46" t="s">
        <v>752</v>
      </c>
      <c r="D45" s="110" t="s">
        <v>4389</v>
      </c>
      <c r="E45" s="46" t="s">
        <v>99</v>
      </c>
      <c r="F45" s="46" t="s">
        <v>4390</v>
      </c>
      <c r="G45" s="142" t="n">
        <v>46006</v>
      </c>
      <c r="H45" s="46" t="s">
        <v>529</v>
      </c>
      <c r="I45" s="138" t="str">
        <f aca="false">IFERROR(VLOOKUP(TEXT(H45,"0"),IPRESS!$A$3:$B$212,2,0),"")</f>
        <v>MARIA AUXILIADORA</v>
      </c>
      <c r="J45" s="46" t="s">
        <v>755</v>
      </c>
      <c r="K45" s="138" t="str">
        <f aca="false">IFERROR(VLOOKUP(TEXT(O45,"0"),CONDUCTORES!$A$3:$G$100,7,0),"")</f>
        <v/>
      </c>
      <c r="L45" s="44" t="n">
        <v>20.25</v>
      </c>
      <c r="M45" s="44" t="n">
        <v>7</v>
      </c>
      <c r="N45" s="139" t="n">
        <f aca="false">IFERROR(IF(L45*M45=0,"",L45*M45),"")</f>
        <v>141.75</v>
      </c>
      <c r="O45" s="140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85"/>
      <c r="S45" s="110" t="s">
        <v>4391</v>
      </c>
      <c r="T45" s="46"/>
      <c r="U45" s="85"/>
      <c r="V45" s="46"/>
      <c r="W45" s="46"/>
      <c r="X45" s="46"/>
      <c r="Y45" s="85"/>
    </row>
    <row r="46" customFormat="false" ht="15.75" hidden="false" customHeight="true" outlineLevel="0" collapsed="false">
      <c r="A46" s="106" t="n">
        <v>41</v>
      </c>
      <c r="B46" s="107" t="s">
        <v>4392</v>
      </c>
      <c r="C46" s="106" t="s">
        <v>752</v>
      </c>
      <c r="D46" s="107" t="s">
        <v>4393</v>
      </c>
      <c r="E46" s="136" t="s">
        <v>99</v>
      </c>
      <c r="F46" s="106" t="s">
        <v>4394</v>
      </c>
      <c r="G46" s="137" t="n">
        <v>46010</v>
      </c>
      <c r="H46" s="106" t="s">
        <v>529</v>
      </c>
      <c r="I46" s="138" t="str">
        <f aca="false">IFERROR(VLOOKUP(TEXT(H46,"0"),IPRESS!$A$3:$B$212,2,0),"")</f>
        <v>MARIA AUXILIADORA</v>
      </c>
      <c r="J46" s="106" t="s">
        <v>755</v>
      </c>
      <c r="K46" s="138" t="str">
        <f aca="false">IFERROR(VLOOKUP(TEXT(O46,"0"),CONDUCTORES!$A$3:$G$100,7,0),"")</f>
        <v/>
      </c>
      <c r="L46" s="50" t="n">
        <v>20.25</v>
      </c>
      <c r="M46" s="50" t="n">
        <v>10</v>
      </c>
      <c r="N46" s="139" t="n">
        <f aca="false">IFERROR(IF(L46*M46=0,"",L46*M46),"")</f>
        <v>202.5</v>
      </c>
      <c r="O46" s="85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40"/>
      <c r="S46" s="107" t="s">
        <v>2304</v>
      </c>
      <c r="T46" s="136" t="s">
        <v>4387</v>
      </c>
      <c r="U46" s="140"/>
      <c r="V46" s="106"/>
      <c r="W46" s="106"/>
      <c r="X46" s="106"/>
      <c r="Y46" s="85"/>
    </row>
    <row r="47" customFormat="false" ht="15.75" hidden="false" customHeight="true" outlineLevel="0" collapsed="false">
      <c r="A47" s="46" t="n">
        <v>42</v>
      </c>
      <c r="B47" s="110" t="s">
        <v>4395</v>
      </c>
      <c r="C47" s="46" t="s">
        <v>752</v>
      </c>
      <c r="D47" s="110" t="s">
        <v>4396</v>
      </c>
      <c r="E47" s="46" t="s">
        <v>99</v>
      </c>
      <c r="F47" s="46" t="s">
        <v>4397</v>
      </c>
      <c r="G47" s="142" t="n">
        <v>46010</v>
      </c>
      <c r="H47" s="46" t="s">
        <v>529</v>
      </c>
      <c r="I47" s="138" t="str">
        <f aca="false">IFERROR(VLOOKUP(TEXT(H47,"0"),IPRESS!$A$3:$B$212,2,0),"")</f>
        <v>MARIA AUXILIADORA</v>
      </c>
      <c r="J47" s="46" t="s">
        <v>755</v>
      </c>
      <c r="K47" s="138" t="str">
        <f aca="false">IFERROR(VLOOKUP(TEXT(O47,"0"),CONDUCTORES!$A$3:$G$100,7,0),"")</f>
        <v/>
      </c>
      <c r="L47" s="44" t="n">
        <v>20.25</v>
      </c>
      <c r="M47" s="44" t="n">
        <v>7</v>
      </c>
      <c r="N47" s="139" t="n">
        <f aca="false">IFERROR(IF(L47*M47=0,"",L47*M47),"")</f>
        <v>141.75</v>
      </c>
      <c r="O47" s="140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85"/>
      <c r="S47" s="110" t="s">
        <v>4398</v>
      </c>
      <c r="T47" s="46"/>
      <c r="U47" s="85"/>
      <c r="V47" s="46"/>
      <c r="W47" s="46"/>
      <c r="X47" s="46"/>
      <c r="Y47" s="85"/>
    </row>
    <row r="48" customFormat="false" ht="15.75" hidden="false" customHeight="true" outlineLevel="0" collapsed="false">
      <c r="A48" s="106" t="n">
        <v>43</v>
      </c>
      <c r="B48" s="107" t="s">
        <v>4399</v>
      </c>
      <c r="C48" s="106" t="s">
        <v>752</v>
      </c>
      <c r="D48" s="107" t="s">
        <v>4400</v>
      </c>
      <c r="E48" s="136" t="s">
        <v>99</v>
      </c>
      <c r="F48" s="106" t="s">
        <v>4401</v>
      </c>
      <c r="G48" s="137" t="n">
        <v>46011</v>
      </c>
      <c r="H48" s="106" t="s">
        <v>529</v>
      </c>
      <c r="I48" s="138" t="str">
        <f aca="false">IFERROR(VLOOKUP(TEXT(H48,"0"),IPRESS!$A$3:$B$212,2,0),"")</f>
        <v>MARIA AUXILIADORA</v>
      </c>
      <c r="J48" s="106" t="s">
        <v>755</v>
      </c>
      <c r="K48" s="138" t="str">
        <f aca="false">IFERROR(VLOOKUP(TEXT(O48,"0"),CONDUCTORES!$A$3:$G$100,7,0),"")</f>
        <v/>
      </c>
      <c r="L48" s="50" t="n">
        <v>20.25</v>
      </c>
      <c r="M48" s="50" t="n">
        <v>7</v>
      </c>
      <c r="N48" s="139" t="n">
        <f aca="false">IFERROR(IF(L48*M48=0,"",L48*M48),"")</f>
        <v>141.75</v>
      </c>
      <c r="O48" s="85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40"/>
      <c r="S48" s="107" t="s">
        <v>4402</v>
      </c>
      <c r="T48" s="136"/>
      <c r="U48" s="140"/>
      <c r="V48" s="106"/>
      <c r="W48" s="106"/>
      <c r="X48" s="106"/>
      <c r="Y48" s="85"/>
    </row>
    <row r="49" customFormat="false" ht="15.75" hidden="false" customHeight="true" outlineLevel="0" collapsed="false">
      <c r="A49" s="46" t="n">
        <v>44</v>
      </c>
      <c r="B49" s="110" t="s">
        <v>4403</v>
      </c>
      <c r="C49" s="46" t="s">
        <v>752</v>
      </c>
      <c r="D49" s="110" t="s">
        <v>4404</v>
      </c>
      <c r="E49" s="46" t="s">
        <v>99</v>
      </c>
      <c r="F49" s="46" t="s">
        <v>4405</v>
      </c>
      <c r="G49" s="142" t="n">
        <v>45995</v>
      </c>
      <c r="H49" s="46" t="s">
        <v>408</v>
      </c>
      <c r="I49" s="138" t="str">
        <f aca="false">IFERROR(VLOOKUP(TEXT(H49,"0"),IPRESS!$A$3:$B$212,2,0),"")</f>
        <v>COLCAMAR</v>
      </c>
      <c r="J49" s="46" t="s">
        <v>755</v>
      </c>
      <c r="K49" s="138" t="str">
        <f aca="false">IFERROR(VLOOKUP(TEXT(O49,"0"),CONDUCTORES!$A$3:$G$100,7,0),"")</f>
        <v/>
      </c>
      <c r="L49" s="44" t="n">
        <v>18.18</v>
      </c>
      <c r="M49" s="44" t="n">
        <v>7</v>
      </c>
      <c r="N49" s="139" t="n">
        <f aca="false">IFERROR(IF(L49*M49=0,"",L49*M49),"")</f>
        <v>127.26</v>
      </c>
      <c r="O49" s="140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85"/>
      <c r="S49" s="110" t="s">
        <v>4406</v>
      </c>
      <c r="T49" s="46"/>
      <c r="U49" s="85"/>
      <c r="V49" s="46"/>
      <c r="W49" s="46"/>
      <c r="X49" s="46"/>
      <c r="Y49" s="85"/>
    </row>
    <row r="50" customFormat="false" ht="15.75" hidden="false" customHeight="true" outlineLevel="0" collapsed="false">
      <c r="A50" s="106" t="n">
        <v>45</v>
      </c>
      <c r="B50" s="107" t="s">
        <v>1568</v>
      </c>
      <c r="C50" s="106" t="s">
        <v>752</v>
      </c>
      <c r="D50" s="107" t="s">
        <v>4407</v>
      </c>
      <c r="E50" s="136" t="s">
        <v>99</v>
      </c>
      <c r="F50" s="106" t="s">
        <v>4408</v>
      </c>
      <c r="G50" s="137" t="n">
        <v>45996</v>
      </c>
      <c r="H50" s="106" t="s">
        <v>408</v>
      </c>
      <c r="I50" s="138" t="str">
        <f aca="false">IFERROR(VLOOKUP(TEXT(H50,"0"),IPRESS!$A$3:$B$212,2,0),"")</f>
        <v>COLCAMAR</v>
      </c>
      <c r="J50" s="106" t="s">
        <v>755</v>
      </c>
      <c r="K50" s="138" t="str">
        <f aca="false">IFERROR(VLOOKUP(TEXT(O50,"0"),CONDUCTORES!$A$3:$G$100,7,0),"")</f>
        <v/>
      </c>
      <c r="L50" s="50" t="n">
        <v>18.18</v>
      </c>
      <c r="M50" s="50" t="n">
        <v>7</v>
      </c>
      <c r="N50" s="139" t="n">
        <f aca="false">IFERROR(IF(L50*M50=0,"",L50*M50),"")</f>
        <v>127.26</v>
      </c>
      <c r="O50" s="85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40"/>
      <c r="S50" s="107" t="s">
        <v>4409</v>
      </c>
      <c r="T50" s="136"/>
      <c r="U50" s="140"/>
      <c r="V50" s="106"/>
      <c r="W50" s="106"/>
      <c r="X50" s="106"/>
      <c r="Y50" s="85"/>
    </row>
    <row r="51" customFormat="false" ht="15.75" hidden="false" customHeight="true" outlineLevel="0" collapsed="false">
      <c r="A51" s="46" t="n">
        <v>46</v>
      </c>
      <c r="B51" s="110" t="s">
        <v>1660</v>
      </c>
      <c r="C51" s="46" t="s">
        <v>752</v>
      </c>
      <c r="D51" s="110" t="s">
        <v>4410</v>
      </c>
      <c r="E51" s="46" t="s">
        <v>99</v>
      </c>
      <c r="F51" s="46" t="s">
        <v>4411</v>
      </c>
      <c r="G51" s="142" t="n">
        <v>45999</v>
      </c>
      <c r="H51" s="46" t="s">
        <v>407</v>
      </c>
      <c r="I51" s="138" t="str">
        <f aca="false">IFERROR(VLOOKUP(TEXT(H51,"0"),IPRESS!$A$3:$B$212,2,0),"")</f>
        <v>COCOCHO</v>
      </c>
      <c r="J51" s="46" t="s">
        <v>1216</v>
      </c>
      <c r="K51" s="138" t="str">
        <f aca="false">IFERROR(VLOOKUP(TEXT(O51,"0"),CONDUCTORES!$A$3:$G$100,7,0),"")</f>
        <v/>
      </c>
      <c r="L51" s="44" t="n">
        <v>18.18</v>
      </c>
      <c r="M51" s="44" t="n">
        <v>20</v>
      </c>
      <c r="N51" s="139" t="n">
        <f aca="false">IFERROR(IF(L51*M51=0,"",L51*M51),"")</f>
        <v>363.6</v>
      </c>
      <c r="O51" s="140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85"/>
      <c r="S51" s="110" t="s">
        <v>3044</v>
      </c>
      <c r="T51" s="46"/>
      <c r="U51" s="85"/>
      <c r="V51" s="46"/>
      <c r="W51" s="46"/>
      <c r="X51" s="46"/>
      <c r="Y51" s="85"/>
    </row>
    <row r="52" customFormat="false" ht="15.75" hidden="false" customHeight="true" outlineLevel="0" collapsed="false">
      <c r="A52" s="106" t="n">
        <v>47</v>
      </c>
      <c r="B52" s="107" t="s">
        <v>1793</v>
      </c>
      <c r="C52" s="106" t="s">
        <v>752</v>
      </c>
      <c r="D52" s="107" t="s">
        <v>4412</v>
      </c>
      <c r="E52" s="136" t="s">
        <v>99</v>
      </c>
      <c r="F52" s="106" t="s">
        <v>4413</v>
      </c>
      <c r="G52" s="137" t="n">
        <v>46008</v>
      </c>
      <c r="H52" s="106" t="s">
        <v>407</v>
      </c>
      <c r="I52" s="138" t="str">
        <f aca="false">IFERROR(VLOOKUP(TEXT(H52,"0"),IPRESS!$A$3:$B$212,2,0),"")</f>
        <v>COCOCHO</v>
      </c>
      <c r="J52" s="106" t="s">
        <v>1216</v>
      </c>
      <c r="K52" s="138" t="str">
        <f aca="false">IFERROR(VLOOKUP(TEXT(O52,"0"),CONDUCTORES!$A$3:$G$100,7,0),"")</f>
        <v/>
      </c>
      <c r="L52" s="50" t="n">
        <v>18.18</v>
      </c>
      <c r="M52" s="50" t="n">
        <v>20</v>
      </c>
      <c r="N52" s="139" t="n">
        <f aca="false">IFERROR(IF(L52*M52=0,"",L52*M52),"")</f>
        <v>363.6</v>
      </c>
      <c r="O52" s="85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40"/>
      <c r="S52" s="107" t="s">
        <v>3445</v>
      </c>
      <c r="T52" s="136"/>
      <c r="U52" s="140"/>
      <c r="V52" s="106"/>
      <c r="W52" s="106"/>
      <c r="X52" s="106"/>
      <c r="Y52" s="85"/>
    </row>
    <row r="53" customFormat="false" ht="15.75" hidden="false" customHeight="true" outlineLevel="0" collapsed="false">
      <c r="A53" s="46" t="n">
        <v>48</v>
      </c>
      <c r="B53" s="110" t="s">
        <v>1568</v>
      </c>
      <c r="C53" s="46" t="s">
        <v>752</v>
      </c>
      <c r="D53" s="110" t="s">
        <v>4414</v>
      </c>
      <c r="E53" s="46" t="s">
        <v>99</v>
      </c>
      <c r="F53" s="46" t="s">
        <v>4415</v>
      </c>
      <c r="G53" s="142" t="n">
        <v>45995</v>
      </c>
      <c r="H53" s="46" t="s">
        <v>466</v>
      </c>
      <c r="I53" s="138" t="str">
        <f aca="false">IFERROR(VLOOKUP(TEXT(H53,"0"),IPRESS!$A$3:$B$212,2,0),"")</f>
        <v>HUAMBO</v>
      </c>
      <c r="J53" s="46" t="s">
        <v>529</v>
      </c>
      <c r="K53" s="138" t="str">
        <f aca="false">IFERROR(VLOOKUP(TEXT(O53,"0"),CONDUCTORES!$A$3:$G$100,7,0),"")</f>
        <v/>
      </c>
      <c r="L53" s="44" t="n">
        <v>20.25</v>
      </c>
      <c r="M53" s="44" t="n">
        <v>3</v>
      </c>
      <c r="N53" s="139" t="n">
        <f aca="false">IFERROR(IF(L53*M53=0,"",L53*M53),"")</f>
        <v>60.75</v>
      </c>
      <c r="O53" s="140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85"/>
      <c r="S53" s="110" t="s">
        <v>2175</v>
      </c>
      <c r="T53" s="46"/>
      <c r="U53" s="85"/>
      <c r="V53" s="46"/>
      <c r="W53" s="46"/>
      <c r="X53" s="46"/>
      <c r="Y53" s="85"/>
    </row>
    <row r="54" customFormat="false" ht="15.75" hidden="false" customHeight="true" outlineLevel="0" collapsed="false">
      <c r="A54" s="106" t="n">
        <v>49</v>
      </c>
      <c r="B54" s="107" t="s">
        <v>1559</v>
      </c>
      <c r="C54" s="106" t="s">
        <v>752</v>
      </c>
      <c r="D54" s="107" t="s">
        <v>4385</v>
      </c>
      <c r="E54" s="136" t="s">
        <v>99</v>
      </c>
      <c r="F54" s="106" t="s">
        <v>3606</v>
      </c>
      <c r="G54" s="137" t="n">
        <v>46001</v>
      </c>
      <c r="H54" s="106" t="s">
        <v>466</v>
      </c>
      <c r="I54" s="138" t="str">
        <f aca="false">IFERROR(VLOOKUP(TEXT(H54,"0"),IPRESS!$A$3:$B$212,2,0),"")</f>
        <v>HUAMBO</v>
      </c>
      <c r="J54" s="106" t="s">
        <v>529</v>
      </c>
      <c r="K54" s="138" t="str">
        <f aca="false">IFERROR(VLOOKUP(TEXT(O54,"0"),CONDUCTORES!$A$3:$G$100,7,0),"")</f>
        <v/>
      </c>
      <c r="L54" s="50" t="n">
        <v>20.25</v>
      </c>
      <c r="M54" s="50" t="n">
        <v>3</v>
      </c>
      <c r="N54" s="139" t="n">
        <f aca="false">IFERROR(IF(L54*M54=0,"",L54*M54),"")</f>
        <v>60.75</v>
      </c>
      <c r="O54" s="85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40"/>
      <c r="S54" s="107" t="s">
        <v>1902</v>
      </c>
      <c r="T54" s="136"/>
      <c r="U54" s="140"/>
      <c r="V54" s="106"/>
      <c r="W54" s="106"/>
      <c r="X54" s="106"/>
      <c r="Y54" s="85"/>
    </row>
    <row r="55" customFormat="false" ht="15.75" hidden="false" customHeight="true" outlineLevel="0" collapsed="false">
      <c r="A55" s="46" t="n">
        <v>50</v>
      </c>
      <c r="B55" s="110" t="s">
        <v>1498</v>
      </c>
      <c r="C55" s="46" t="s">
        <v>752</v>
      </c>
      <c r="D55" s="110" t="s">
        <v>4416</v>
      </c>
      <c r="E55" s="46" t="s">
        <v>99</v>
      </c>
      <c r="F55" s="46" t="s">
        <v>4417</v>
      </c>
      <c r="G55" s="142" t="n">
        <v>46003</v>
      </c>
      <c r="H55" s="46" t="s">
        <v>466</v>
      </c>
      <c r="I55" s="138" t="str">
        <f aca="false">IFERROR(VLOOKUP(TEXT(H55,"0"),IPRESS!$A$3:$B$212,2,0),"")</f>
        <v>HUAMBO</v>
      </c>
      <c r="J55" s="46" t="s">
        <v>529</v>
      </c>
      <c r="K55" s="138" t="str">
        <f aca="false">IFERROR(VLOOKUP(TEXT(O55,"0"),CONDUCTORES!$A$3:$G$100,7,0),"")</f>
        <v/>
      </c>
      <c r="L55" s="44" t="n">
        <v>20.25</v>
      </c>
      <c r="M55" s="44" t="n">
        <v>3</v>
      </c>
      <c r="N55" s="139" t="n">
        <f aca="false">IFERROR(IF(L55*M55=0,"",L55*M55),"")</f>
        <v>60.75</v>
      </c>
      <c r="O55" s="140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85"/>
      <c r="S55" s="110" t="s">
        <v>4418</v>
      </c>
      <c r="T55" s="46"/>
      <c r="U55" s="85"/>
      <c r="V55" s="46"/>
      <c r="W55" s="46"/>
      <c r="X55" s="46"/>
      <c r="Y55" s="85"/>
    </row>
    <row r="56" customFormat="false" ht="15.75" hidden="false" customHeight="true" outlineLevel="0" collapsed="false">
      <c r="A56" s="106" t="n">
        <v>51</v>
      </c>
      <c r="B56" s="107" t="s">
        <v>4419</v>
      </c>
      <c r="C56" s="106" t="s">
        <v>752</v>
      </c>
      <c r="D56" s="107" t="s">
        <v>4420</v>
      </c>
      <c r="E56" s="136" t="s">
        <v>99</v>
      </c>
      <c r="F56" s="106" t="s">
        <v>4421</v>
      </c>
      <c r="G56" s="137" t="n">
        <v>45998</v>
      </c>
      <c r="H56" s="106" t="s">
        <v>529</v>
      </c>
      <c r="I56" s="138" t="str">
        <f aca="false">IFERROR(VLOOKUP(TEXT(H56,"0"),IPRESS!$A$3:$B$212,2,0),"")</f>
        <v>MARIA AUXILIADORA</v>
      </c>
      <c r="J56" s="106" t="s">
        <v>755</v>
      </c>
      <c r="K56" s="138" t="str">
        <f aca="false">IFERROR(VLOOKUP(TEXT(O56,"0"),CONDUCTORES!$A$3:$G$100,7,0),"")</f>
        <v/>
      </c>
      <c r="L56" s="50" t="n">
        <v>20.25</v>
      </c>
      <c r="M56" s="50" t="n">
        <v>7</v>
      </c>
      <c r="N56" s="139" t="n">
        <f aca="false">IFERROR(IF(L56*M56=0,"",L56*M56),"")</f>
        <v>141.75</v>
      </c>
      <c r="O56" s="85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40"/>
      <c r="S56" s="107" t="s">
        <v>2665</v>
      </c>
      <c r="T56" s="136"/>
      <c r="U56" s="140"/>
      <c r="V56" s="106"/>
      <c r="W56" s="106"/>
      <c r="X56" s="106"/>
      <c r="Y56" s="85"/>
    </row>
    <row r="57" customFormat="false" ht="15.75" hidden="false" customHeight="true" outlineLevel="0" collapsed="false">
      <c r="A57" s="46" t="n">
        <v>52</v>
      </c>
      <c r="B57" s="110" t="s">
        <v>4422</v>
      </c>
      <c r="C57" s="46" t="s">
        <v>752</v>
      </c>
      <c r="D57" s="110" t="s">
        <v>4423</v>
      </c>
      <c r="E57" s="46" t="s">
        <v>99</v>
      </c>
      <c r="F57" s="46" t="s">
        <v>4424</v>
      </c>
      <c r="G57" s="142" t="n">
        <v>46003</v>
      </c>
      <c r="H57" s="46" t="s">
        <v>529</v>
      </c>
      <c r="I57" s="138" t="str">
        <f aca="false">IFERROR(VLOOKUP(TEXT(H57,"0"),IPRESS!$A$3:$B$212,2,0),"")</f>
        <v>MARIA AUXILIADORA</v>
      </c>
      <c r="J57" s="46" t="s">
        <v>755</v>
      </c>
      <c r="K57" s="138" t="str">
        <f aca="false">IFERROR(VLOOKUP(TEXT(O57,"0"),CONDUCTORES!$A$3:$G$100,7,0),"")</f>
        <v/>
      </c>
      <c r="L57" s="44" t="n">
        <v>20.25</v>
      </c>
      <c r="M57" s="44" t="n">
        <v>6.8</v>
      </c>
      <c r="N57" s="139" t="n">
        <f aca="false">IFERROR(IF(L57*M57=0,"",L57*M57),"")</f>
        <v>137.7</v>
      </c>
      <c r="O57" s="140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85"/>
      <c r="S57" s="110" t="s">
        <v>4425</v>
      </c>
      <c r="T57" s="46"/>
      <c r="U57" s="85"/>
      <c r="V57" s="46"/>
      <c r="W57" s="46"/>
      <c r="X57" s="46"/>
      <c r="Y57" s="85"/>
    </row>
    <row r="58" customFormat="false" ht="15.75" hidden="false" customHeight="true" outlineLevel="0" collapsed="false">
      <c r="A58" s="106" t="n">
        <v>53</v>
      </c>
      <c r="B58" s="107" t="s">
        <v>4426</v>
      </c>
      <c r="C58" s="106" t="s">
        <v>752</v>
      </c>
      <c r="D58" s="107" t="s">
        <v>4427</v>
      </c>
      <c r="E58" s="136" t="s">
        <v>99</v>
      </c>
      <c r="F58" s="106" t="s">
        <v>4428</v>
      </c>
      <c r="G58" s="137" t="n">
        <v>46009</v>
      </c>
      <c r="H58" s="106" t="s">
        <v>529</v>
      </c>
      <c r="I58" s="138" t="str">
        <f aca="false">IFERROR(VLOOKUP(TEXT(H58,"0"),IPRESS!$A$3:$B$212,2,0),"")</f>
        <v>MARIA AUXILIADORA</v>
      </c>
      <c r="J58" s="106" t="s">
        <v>755</v>
      </c>
      <c r="K58" s="138" t="str">
        <f aca="false">IFERROR(VLOOKUP(TEXT(O58,"0"),CONDUCTORES!$A$3:$G$100,7,0),"")</f>
        <v/>
      </c>
      <c r="L58" s="50" t="n">
        <v>20.25</v>
      </c>
      <c r="M58" s="50" t="n">
        <v>7</v>
      </c>
      <c r="N58" s="139" t="n">
        <f aca="false">IFERROR(IF(L58*M58=0,"",L58*M58),"")</f>
        <v>141.75</v>
      </c>
      <c r="O58" s="85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40"/>
      <c r="S58" s="107" t="s">
        <v>4429</v>
      </c>
      <c r="T58" s="136"/>
      <c r="U58" s="140"/>
      <c r="V58" s="106"/>
      <c r="W58" s="106"/>
      <c r="X58" s="106"/>
      <c r="Y58" s="85"/>
    </row>
    <row r="59" customFormat="false" ht="15.75" hidden="false" customHeight="true" outlineLevel="0" collapsed="false">
      <c r="A59" s="46" t="n">
        <v>54</v>
      </c>
      <c r="B59" s="110" t="s">
        <v>4430</v>
      </c>
      <c r="C59" s="46" t="s">
        <v>752</v>
      </c>
      <c r="D59" s="110" t="s">
        <v>4431</v>
      </c>
      <c r="E59" s="46" t="s">
        <v>99</v>
      </c>
      <c r="F59" s="46" t="s">
        <v>4432</v>
      </c>
      <c r="G59" s="142" t="n">
        <v>46014</v>
      </c>
      <c r="H59" s="46" t="s">
        <v>529</v>
      </c>
      <c r="I59" s="138" t="str">
        <f aca="false">IFERROR(VLOOKUP(TEXT(H59,"0"),IPRESS!$A$3:$B$212,2,0),"")</f>
        <v>MARIA AUXILIADORA</v>
      </c>
      <c r="J59" s="46" t="s">
        <v>755</v>
      </c>
      <c r="K59" s="138" t="str">
        <f aca="false">IFERROR(VLOOKUP(TEXT(O59,"0"),CONDUCTORES!$A$3:$G$100,7,0),"")</f>
        <v/>
      </c>
      <c r="L59" s="44" t="n">
        <v>20.25</v>
      </c>
      <c r="M59" s="44" t="n">
        <v>10</v>
      </c>
      <c r="N59" s="139" t="n">
        <f aca="false">IFERROR(IF(L59*M59=0,"",L59*M59),"")</f>
        <v>202.5</v>
      </c>
      <c r="O59" s="140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85"/>
      <c r="S59" s="110" t="s">
        <v>4433</v>
      </c>
      <c r="T59" s="46" t="s">
        <v>3837</v>
      </c>
      <c r="U59" s="85"/>
      <c r="V59" s="46"/>
      <c r="W59" s="46"/>
      <c r="X59" s="46"/>
      <c r="Y59" s="85"/>
    </row>
    <row r="60" customFormat="false" ht="15.75" hidden="false" customHeight="true" outlineLevel="0" collapsed="false">
      <c r="A60" s="106" t="n">
        <v>55</v>
      </c>
      <c r="B60" s="107" t="s">
        <v>4434</v>
      </c>
      <c r="C60" s="106" t="s">
        <v>752</v>
      </c>
      <c r="D60" s="107" t="s">
        <v>4435</v>
      </c>
      <c r="E60" s="136" t="s">
        <v>99</v>
      </c>
      <c r="F60" s="106" t="s">
        <v>4436</v>
      </c>
      <c r="G60" s="137" t="n">
        <v>46015</v>
      </c>
      <c r="H60" s="106" t="s">
        <v>529</v>
      </c>
      <c r="I60" s="138" t="str">
        <f aca="false">IFERROR(VLOOKUP(TEXT(H60,"0"),IPRESS!$A$3:$B$212,2,0),"")</f>
        <v>MARIA AUXILIADORA</v>
      </c>
      <c r="J60" s="106" t="s">
        <v>755</v>
      </c>
      <c r="K60" s="138" t="str">
        <f aca="false">IFERROR(VLOOKUP(TEXT(O60,"0"),CONDUCTORES!$A$3:$G$100,7,0),"")</f>
        <v/>
      </c>
      <c r="L60" s="50" t="n">
        <v>20.25</v>
      </c>
      <c r="M60" s="50" t="n">
        <v>7</v>
      </c>
      <c r="N60" s="139" t="n">
        <f aca="false">IFERROR(IF(L60*M60=0,"",L60*M60),"")</f>
        <v>141.75</v>
      </c>
      <c r="O60" s="85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40"/>
      <c r="S60" s="107" t="s">
        <v>1276</v>
      </c>
      <c r="T60" s="136"/>
      <c r="U60" s="140"/>
      <c r="V60" s="106"/>
      <c r="W60" s="106"/>
      <c r="X60" s="106"/>
      <c r="Y60" s="85"/>
    </row>
    <row r="61" customFormat="false" ht="15.75" hidden="false" customHeight="true" outlineLevel="0" collapsed="false">
      <c r="A61" s="46" t="n">
        <v>56</v>
      </c>
      <c r="B61" s="110" t="s">
        <v>1871</v>
      </c>
      <c r="C61" s="46" t="s">
        <v>752</v>
      </c>
      <c r="D61" s="110" t="s">
        <v>4437</v>
      </c>
      <c r="E61" s="46" t="s">
        <v>99</v>
      </c>
      <c r="F61" s="46" t="s">
        <v>4438</v>
      </c>
      <c r="G61" s="142" t="n">
        <v>46016</v>
      </c>
      <c r="H61" s="46" t="s">
        <v>717</v>
      </c>
      <c r="I61" s="138" t="str">
        <f aca="false">IFERROR(VLOOKUP(TEXT(H61,"0"),IPRESS!$A$3:$B$212,2,0),"")</f>
        <v>YERBABUENA</v>
      </c>
      <c r="J61" s="46" t="s">
        <v>755</v>
      </c>
      <c r="K61" s="138" t="str">
        <f aca="false">IFERROR(VLOOKUP(TEXT(O61,"0"),CONDUCTORES!$A$3:$G$100,7,0),"")</f>
        <v/>
      </c>
      <c r="L61" s="44" t="n">
        <v>18.18</v>
      </c>
      <c r="M61" s="44" t="n">
        <v>6</v>
      </c>
      <c r="N61" s="139" t="n">
        <f aca="false">IFERROR(IF(L61*M61=0,"",L61*M61),"")</f>
        <v>109.08</v>
      </c>
      <c r="O61" s="140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85"/>
      <c r="S61" s="110" t="s">
        <v>2336</v>
      </c>
      <c r="T61" s="46"/>
      <c r="U61" s="85"/>
      <c r="V61" s="46"/>
      <c r="W61" s="46"/>
      <c r="X61" s="46"/>
      <c r="Y61" s="85"/>
    </row>
    <row r="62" customFormat="false" ht="15.75" hidden="false" customHeight="true" outlineLevel="0" collapsed="false">
      <c r="A62" s="106" t="n">
        <v>57</v>
      </c>
      <c r="B62" s="107" t="s">
        <v>4439</v>
      </c>
      <c r="C62" s="106" t="s">
        <v>752</v>
      </c>
      <c r="D62" s="107" t="s">
        <v>4440</v>
      </c>
      <c r="E62" s="136" t="s">
        <v>99</v>
      </c>
      <c r="F62" s="106" t="s">
        <v>4441</v>
      </c>
      <c r="G62" s="137" t="n">
        <v>46008</v>
      </c>
      <c r="H62" s="106" t="s">
        <v>517</v>
      </c>
      <c r="I62" s="138" t="str">
        <f aca="false">IFERROR(VLOOKUP(TEXT(H62,"0"),IPRESS!$A$3:$B$212,2,0),"")</f>
        <v>LUYA</v>
      </c>
      <c r="J62" s="106" t="s">
        <v>755</v>
      </c>
      <c r="K62" s="138" t="str">
        <f aca="false">IFERROR(VLOOKUP(TEXT(O62,"0"),CONDUCTORES!$A$3:$G$100,7,0),"")</f>
        <v/>
      </c>
      <c r="L62" s="50" t="n">
        <v>18.18</v>
      </c>
      <c r="M62" s="50" t="n">
        <v>4</v>
      </c>
      <c r="N62" s="139" t="n">
        <f aca="false">IFERROR(IF(L62*M62=0,"",L62*M62),"")</f>
        <v>72.72</v>
      </c>
      <c r="O62" s="85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40"/>
      <c r="S62" s="107" t="s">
        <v>1487</v>
      </c>
      <c r="T62" s="136"/>
      <c r="U62" s="140"/>
      <c r="V62" s="106"/>
      <c r="W62" s="106"/>
      <c r="X62" s="106"/>
      <c r="Y62" s="85"/>
    </row>
    <row r="63" customFormat="false" ht="15.75" hidden="false" customHeight="true" outlineLevel="0" collapsed="false">
      <c r="A63" s="46" t="n">
        <v>58</v>
      </c>
      <c r="B63" s="110" t="s">
        <v>4442</v>
      </c>
      <c r="C63" s="46" t="s">
        <v>752</v>
      </c>
      <c r="D63" s="110" t="s">
        <v>4443</v>
      </c>
      <c r="E63" s="46" t="s">
        <v>99</v>
      </c>
      <c r="F63" s="46" t="s">
        <v>4444</v>
      </c>
      <c r="G63" s="142" t="n">
        <v>46009</v>
      </c>
      <c r="H63" s="46" t="s">
        <v>517</v>
      </c>
      <c r="I63" s="138" t="str">
        <f aca="false">IFERROR(VLOOKUP(TEXT(H63,"0"),IPRESS!$A$3:$B$212,2,0),"")</f>
        <v>LUYA</v>
      </c>
      <c r="J63" s="46" t="s">
        <v>755</v>
      </c>
      <c r="K63" s="138" t="str">
        <f aca="false">IFERROR(VLOOKUP(TEXT(O63,"0"),CONDUCTORES!$A$3:$G$100,7,0),"")</f>
        <v/>
      </c>
      <c r="L63" s="44" t="n">
        <v>18.18</v>
      </c>
      <c r="M63" s="44" t="n">
        <v>4</v>
      </c>
      <c r="N63" s="139" t="n">
        <f aca="false">IFERROR(IF(L63*M63=0,"",L63*M63),"")</f>
        <v>72.72</v>
      </c>
      <c r="O63" s="140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85"/>
      <c r="S63" s="110" t="s">
        <v>891</v>
      </c>
      <c r="T63" s="46"/>
      <c r="U63" s="85"/>
      <c r="V63" s="46"/>
      <c r="W63" s="46"/>
      <c r="X63" s="46"/>
      <c r="Y63" s="85"/>
    </row>
    <row r="64" customFormat="false" ht="15.75" hidden="false" customHeight="true" outlineLevel="0" collapsed="false">
      <c r="A64" s="106" t="n">
        <v>59</v>
      </c>
      <c r="B64" s="107" t="s">
        <v>4445</v>
      </c>
      <c r="C64" s="106" t="s">
        <v>752</v>
      </c>
      <c r="D64" s="107" t="s">
        <v>4446</v>
      </c>
      <c r="E64" s="136" t="s">
        <v>99</v>
      </c>
      <c r="F64" s="106" t="s">
        <v>4447</v>
      </c>
      <c r="G64" s="137" t="n">
        <v>46010</v>
      </c>
      <c r="H64" s="106" t="s">
        <v>517</v>
      </c>
      <c r="I64" s="138" t="str">
        <f aca="false">IFERROR(VLOOKUP(TEXT(H64,"0"),IPRESS!$A$3:$B$212,2,0),"")</f>
        <v>LUYA</v>
      </c>
      <c r="J64" s="106" t="s">
        <v>755</v>
      </c>
      <c r="K64" s="138" t="str">
        <f aca="false">IFERROR(VLOOKUP(TEXT(O64,"0"),CONDUCTORES!$A$3:$G$100,7,0),"")</f>
        <v/>
      </c>
      <c r="L64" s="50" t="n">
        <v>18.18</v>
      </c>
      <c r="M64" s="50" t="n">
        <v>4</v>
      </c>
      <c r="N64" s="139" t="n">
        <f aca="false">IFERROR(IF(L64*M64=0,"",L64*M64),"")</f>
        <v>72.72</v>
      </c>
      <c r="O64" s="85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40"/>
      <c r="S64" s="107" t="s">
        <v>2105</v>
      </c>
      <c r="T64" s="136"/>
      <c r="U64" s="140"/>
      <c r="V64" s="106"/>
      <c r="W64" s="106"/>
      <c r="X64" s="106"/>
      <c r="Y64" s="85"/>
    </row>
    <row r="65" customFormat="false" ht="15.75" hidden="false" customHeight="true" outlineLevel="0" collapsed="false">
      <c r="A65" s="46" t="n">
        <v>60</v>
      </c>
      <c r="B65" s="110" t="s">
        <v>4448</v>
      </c>
      <c r="C65" s="46" t="s">
        <v>752</v>
      </c>
      <c r="D65" s="110" t="s">
        <v>4449</v>
      </c>
      <c r="E65" s="46" t="s">
        <v>99</v>
      </c>
      <c r="F65" s="46" t="s">
        <v>4450</v>
      </c>
      <c r="G65" s="142" t="n">
        <v>45997</v>
      </c>
      <c r="H65" s="46" t="s">
        <v>517</v>
      </c>
      <c r="I65" s="138" t="str">
        <f aca="false">IFERROR(VLOOKUP(TEXT(H65,"0"),IPRESS!$A$3:$B$212,2,0),"")</f>
        <v>LUYA</v>
      </c>
      <c r="J65" s="46" t="s">
        <v>755</v>
      </c>
      <c r="K65" s="138" t="str">
        <f aca="false">IFERROR(VLOOKUP(TEXT(O65,"0"),CONDUCTORES!$A$3:$G$100,7,0),"")</f>
        <v/>
      </c>
      <c r="L65" s="44" t="n">
        <v>18.18</v>
      </c>
      <c r="M65" s="44" t="n">
        <v>4</v>
      </c>
      <c r="N65" s="139" t="n">
        <f aca="false">IFERROR(IF(L65*M65=0,"",L65*M65),"")</f>
        <v>72.72</v>
      </c>
      <c r="O65" s="140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85"/>
      <c r="S65" s="110" t="s">
        <v>4451</v>
      </c>
      <c r="T65" s="46"/>
      <c r="U65" s="85"/>
      <c r="V65" s="46"/>
      <c r="W65" s="46"/>
      <c r="X65" s="46"/>
      <c r="Y65" s="85"/>
    </row>
    <row r="66" customFormat="false" ht="15.75" hidden="false" customHeight="true" outlineLevel="0" collapsed="false">
      <c r="A66" s="106" t="n">
        <v>61</v>
      </c>
      <c r="B66" s="107" t="s">
        <v>4452</v>
      </c>
      <c r="C66" s="106" t="s">
        <v>752</v>
      </c>
      <c r="D66" s="107" t="s">
        <v>4453</v>
      </c>
      <c r="E66" s="136" t="s">
        <v>99</v>
      </c>
      <c r="F66" s="106" t="s">
        <v>4454</v>
      </c>
      <c r="G66" s="137" t="n">
        <v>46018</v>
      </c>
      <c r="H66" s="106" t="s">
        <v>529</v>
      </c>
      <c r="I66" s="138" t="str">
        <f aca="false">IFERROR(VLOOKUP(TEXT(H66,"0"),IPRESS!$A$3:$B$212,2,0),"")</f>
        <v>MARIA AUXILIADORA</v>
      </c>
      <c r="J66" s="106" t="s">
        <v>755</v>
      </c>
      <c r="K66" s="138" t="str">
        <f aca="false">IFERROR(VLOOKUP(TEXT(O66,"0"),CONDUCTORES!$A$3:$G$100,7,0),"")</f>
        <v/>
      </c>
      <c r="L66" s="50" t="n">
        <v>20.25</v>
      </c>
      <c r="M66" s="50" t="n">
        <v>7</v>
      </c>
      <c r="N66" s="139" t="n">
        <f aca="false">IFERROR(IF(L66*M66=0,"",L66*M66),"")</f>
        <v>141.75</v>
      </c>
      <c r="O66" s="85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40"/>
      <c r="S66" s="107" t="s">
        <v>4455</v>
      </c>
      <c r="T66" s="136"/>
      <c r="U66" s="140"/>
      <c r="V66" s="106"/>
      <c r="W66" s="106"/>
      <c r="X66" s="106"/>
      <c r="Y66" s="85"/>
    </row>
    <row r="67" customFormat="false" ht="15.75" hidden="false" customHeight="true" outlineLevel="0" collapsed="false">
      <c r="A67" s="46" t="n">
        <v>62</v>
      </c>
      <c r="B67" s="110" t="s">
        <v>4456</v>
      </c>
      <c r="C67" s="46" t="s">
        <v>752</v>
      </c>
      <c r="D67" s="110" t="s">
        <v>4457</v>
      </c>
      <c r="E67" s="46" t="s">
        <v>99</v>
      </c>
      <c r="F67" s="46" t="s">
        <v>4458</v>
      </c>
      <c r="G67" s="142" t="n">
        <v>46022</v>
      </c>
      <c r="H67" s="46" t="s">
        <v>529</v>
      </c>
      <c r="I67" s="138" t="str">
        <f aca="false">IFERROR(VLOOKUP(TEXT(H67,"0"),IPRESS!$A$3:$B$212,2,0),"")</f>
        <v>MARIA AUXILIADORA</v>
      </c>
      <c r="J67" s="46" t="s">
        <v>755</v>
      </c>
      <c r="K67" s="138" t="str">
        <f aca="false">IFERROR(VLOOKUP(TEXT(O67,"0"),CONDUCTORES!$A$3:$G$100,7,0),"")</f>
        <v/>
      </c>
      <c r="L67" s="44" t="n">
        <v>20.25</v>
      </c>
      <c r="M67" s="44" t="n">
        <v>10</v>
      </c>
      <c r="N67" s="139" t="n">
        <f aca="false">IFERROR(IF(L67*M67=0,"",L67*M67),"")</f>
        <v>202.5</v>
      </c>
      <c r="O67" s="140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85"/>
      <c r="S67" s="110" t="s">
        <v>4459</v>
      </c>
      <c r="T67" s="46" t="s">
        <v>2945</v>
      </c>
      <c r="U67" s="85"/>
      <c r="V67" s="46"/>
      <c r="W67" s="46"/>
      <c r="X67" s="46"/>
      <c r="Y67" s="85"/>
    </row>
    <row r="68" customFormat="false" ht="15.75" hidden="false" customHeight="true" outlineLevel="0" collapsed="false">
      <c r="A68" s="106" t="n">
        <v>63</v>
      </c>
      <c r="B68" s="107" t="s">
        <v>1660</v>
      </c>
      <c r="C68" s="106" t="s">
        <v>752</v>
      </c>
      <c r="D68" s="107" t="s">
        <v>4460</v>
      </c>
      <c r="E68" s="136" t="s">
        <v>99</v>
      </c>
      <c r="F68" s="106" t="s">
        <v>4461</v>
      </c>
      <c r="G68" s="137" t="n">
        <v>45994</v>
      </c>
      <c r="H68" s="106" t="s">
        <v>665</v>
      </c>
      <c r="I68" s="138" t="str">
        <f aca="false">IFERROR(VLOOKUP(TEXT(H68,"0"),IPRESS!$A$3:$B$212,2,0),"")</f>
        <v>SANTO TOMAS</v>
      </c>
      <c r="J68" s="106" t="s">
        <v>755</v>
      </c>
      <c r="K68" s="138" t="str">
        <f aca="false">IFERROR(VLOOKUP(TEXT(O68,"0"),CONDUCTORES!$A$3:$G$100,7,0),"")</f>
        <v/>
      </c>
      <c r="L68" s="50" t="n">
        <v>18.18</v>
      </c>
      <c r="M68" s="50" t="n">
        <v>10</v>
      </c>
      <c r="N68" s="139" t="n">
        <f aca="false">IFERROR(IF(L68*M68=0,"",L68*M68),"")</f>
        <v>181.8</v>
      </c>
      <c r="O68" s="85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40"/>
      <c r="S68" s="107" t="s">
        <v>4462</v>
      </c>
      <c r="T68" s="136"/>
      <c r="U68" s="140"/>
      <c r="V68" s="106"/>
      <c r="W68" s="106"/>
      <c r="X68" s="106"/>
      <c r="Y68" s="85"/>
    </row>
    <row r="69" customFormat="false" ht="15.75" hidden="false" customHeight="true" outlineLevel="0" collapsed="false">
      <c r="A69" s="46" t="n">
        <v>64</v>
      </c>
      <c r="B69" s="110" t="s">
        <v>1665</v>
      </c>
      <c r="C69" s="46" t="s">
        <v>752</v>
      </c>
      <c r="D69" s="110" t="s">
        <v>4463</v>
      </c>
      <c r="E69" s="46" t="s">
        <v>99</v>
      </c>
      <c r="F69" s="46" t="s">
        <v>1127</v>
      </c>
      <c r="G69" s="142" t="n">
        <v>46012</v>
      </c>
      <c r="H69" s="46" t="s">
        <v>665</v>
      </c>
      <c r="I69" s="138" t="str">
        <f aca="false">IFERROR(VLOOKUP(TEXT(H69,"0"),IPRESS!$A$3:$B$212,2,0),"")</f>
        <v>SANTO TOMAS</v>
      </c>
      <c r="J69" s="46" t="s">
        <v>755</v>
      </c>
      <c r="K69" s="138" t="str">
        <f aca="false">IFERROR(VLOOKUP(TEXT(O69,"0"),CONDUCTORES!$A$3:$G$100,7,0),"")</f>
        <v/>
      </c>
      <c r="L69" s="44" t="n">
        <v>18.18</v>
      </c>
      <c r="M69" s="44" t="n">
        <v>10</v>
      </c>
      <c r="N69" s="139" t="n">
        <f aca="false">IFERROR(IF(L69*M69=0,"",L69*M69),"")</f>
        <v>181.8</v>
      </c>
      <c r="O69" s="140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85"/>
      <c r="S69" s="110" t="s">
        <v>4464</v>
      </c>
      <c r="T69" s="46"/>
      <c r="U69" s="85"/>
      <c r="V69" s="46"/>
      <c r="W69" s="46"/>
      <c r="X69" s="46"/>
      <c r="Y69" s="85"/>
    </row>
    <row r="70" customFormat="false" ht="15.75" hidden="false" customHeight="true" outlineLevel="0" collapsed="false">
      <c r="A70" s="106" t="n">
        <v>65</v>
      </c>
      <c r="B70" s="107" t="s">
        <v>1674</v>
      </c>
      <c r="C70" s="106" t="s">
        <v>752</v>
      </c>
      <c r="D70" s="107" t="s">
        <v>4463</v>
      </c>
      <c r="E70" s="136" t="s">
        <v>99</v>
      </c>
      <c r="F70" s="106" t="s">
        <v>1127</v>
      </c>
      <c r="G70" s="137" t="n">
        <v>46017</v>
      </c>
      <c r="H70" s="106" t="s">
        <v>665</v>
      </c>
      <c r="I70" s="138" t="str">
        <f aca="false">IFERROR(VLOOKUP(TEXT(H70,"0"),IPRESS!$A$3:$B$212,2,0),"")</f>
        <v>SANTO TOMAS</v>
      </c>
      <c r="J70" s="106" t="s">
        <v>755</v>
      </c>
      <c r="K70" s="138" t="str">
        <f aca="false">IFERROR(VLOOKUP(TEXT(O70,"0"),CONDUCTORES!$A$3:$G$100,7,0),"")</f>
        <v/>
      </c>
      <c r="L70" s="50" t="n">
        <v>18.18</v>
      </c>
      <c r="M70" s="50" t="n">
        <v>10</v>
      </c>
      <c r="N70" s="139" t="n">
        <f aca="false">IFERROR(IF(L70*M70=0,"",L70*M70),"")</f>
        <v>181.8</v>
      </c>
      <c r="O70" s="85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40"/>
      <c r="S70" s="107" t="s">
        <v>4464</v>
      </c>
      <c r="T70" s="136"/>
      <c r="U70" s="140"/>
      <c r="V70" s="106"/>
      <c r="W70" s="106"/>
      <c r="X70" s="106"/>
      <c r="Y70" s="85"/>
    </row>
    <row r="71" customFormat="false" ht="15.75" hidden="false" customHeight="true" outlineLevel="0" collapsed="false">
      <c r="A71" s="46" t="n">
        <v>66</v>
      </c>
      <c r="B71" s="110" t="s">
        <v>1559</v>
      </c>
      <c r="C71" s="46" t="s">
        <v>752</v>
      </c>
      <c r="D71" s="110" t="s">
        <v>4465</v>
      </c>
      <c r="E71" s="46" t="s">
        <v>99</v>
      </c>
      <c r="F71" s="46" t="s">
        <v>4466</v>
      </c>
      <c r="G71" s="142" t="n">
        <v>46005</v>
      </c>
      <c r="H71" s="46" t="s">
        <v>408</v>
      </c>
      <c r="I71" s="138" t="str">
        <f aca="false">IFERROR(VLOOKUP(TEXT(H71,"0"),IPRESS!$A$3:$B$212,2,0),"")</f>
        <v>COLCAMAR</v>
      </c>
      <c r="J71" s="46" t="s">
        <v>755</v>
      </c>
      <c r="K71" s="138" t="str">
        <f aca="false">IFERROR(VLOOKUP(TEXT(O71,"0"),CONDUCTORES!$A$3:$G$100,7,0),"")</f>
        <v/>
      </c>
      <c r="L71" s="44" t="n">
        <v>18.18</v>
      </c>
      <c r="M71" s="44" t="n">
        <v>7</v>
      </c>
      <c r="N71" s="139" t="n">
        <f aca="false">IFERROR(IF(L71*M71=0,"",L71*M71),"")</f>
        <v>127.26</v>
      </c>
      <c r="O71" s="140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85"/>
      <c r="S71" s="110" t="s">
        <v>1236</v>
      </c>
      <c r="T71" s="46"/>
      <c r="U71" s="85"/>
      <c r="V71" s="46"/>
      <c r="W71" s="46"/>
      <c r="X71" s="46"/>
      <c r="Y71" s="85"/>
    </row>
    <row r="72" customFormat="false" ht="15.75" hidden="false" customHeight="true" outlineLevel="0" collapsed="false">
      <c r="A72" s="106" t="n">
        <v>67</v>
      </c>
      <c r="B72" s="107" t="s">
        <v>1674</v>
      </c>
      <c r="C72" s="106" t="s">
        <v>752</v>
      </c>
      <c r="D72" s="107" t="s">
        <v>4467</v>
      </c>
      <c r="E72" s="136" t="s">
        <v>99</v>
      </c>
      <c r="F72" s="106" t="s">
        <v>4468</v>
      </c>
      <c r="G72" s="137" t="n">
        <v>45995</v>
      </c>
      <c r="H72" s="106" t="s">
        <v>407</v>
      </c>
      <c r="I72" s="138" t="str">
        <f aca="false">IFERROR(VLOOKUP(TEXT(H72,"0"),IPRESS!$A$3:$B$212,2,0),"")</f>
        <v>COCOCHO</v>
      </c>
      <c r="J72" s="106" t="s">
        <v>755</v>
      </c>
      <c r="K72" s="138" t="str">
        <f aca="false">IFERROR(VLOOKUP(TEXT(O72,"0"),CONDUCTORES!$A$3:$G$100,7,0),"")</f>
        <v/>
      </c>
      <c r="L72" s="50" t="n">
        <v>18.18</v>
      </c>
      <c r="M72" s="50" t="n">
        <v>25</v>
      </c>
      <c r="N72" s="139" t="n">
        <f aca="false">IFERROR(IF(L72*M72=0,"",L72*M72),"")</f>
        <v>454.5</v>
      </c>
      <c r="O72" s="85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40"/>
      <c r="S72" s="107" t="s">
        <v>891</v>
      </c>
      <c r="T72" s="136"/>
      <c r="U72" s="140"/>
      <c r="V72" s="106"/>
      <c r="W72" s="106"/>
      <c r="X72" s="106"/>
      <c r="Y72" s="85"/>
    </row>
    <row r="73" customFormat="false" ht="15.75" hidden="false" customHeight="true" outlineLevel="0" collapsed="false">
      <c r="A73" s="46" t="n">
        <v>68</v>
      </c>
      <c r="B73" s="110" t="s">
        <v>1789</v>
      </c>
      <c r="C73" s="46" t="s">
        <v>752</v>
      </c>
      <c r="D73" s="110" t="s">
        <v>4469</v>
      </c>
      <c r="E73" s="46" t="s">
        <v>99</v>
      </c>
      <c r="F73" s="46" t="s">
        <v>4470</v>
      </c>
      <c r="G73" s="142" t="n">
        <v>45997</v>
      </c>
      <c r="H73" s="46" t="s">
        <v>407</v>
      </c>
      <c r="I73" s="138" t="str">
        <f aca="false">IFERROR(VLOOKUP(TEXT(H73,"0"),IPRESS!$A$3:$B$212,2,0),"")</f>
        <v>COCOCHO</v>
      </c>
      <c r="J73" s="46" t="s">
        <v>1216</v>
      </c>
      <c r="K73" s="138" t="str">
        <f aca="false">IFERROR(VLOOKUP(TEXT(O73,"0"),CONDUCTORES!$A$3:$G$100,7,0),"")</f>
        <v/>
      </c>
      <c r="L73" s="44" t="n">
        <v>18.18</v>
      </c>
      <c r="M73" s="44" t="n">
        <v>20</v>
      </c>
      <c r="N73" s="139" t="n">
        <f aca="false">IFERROR(IF(L73*M73=0,"",L73*M73),"")</f>
        <v>363.6</v>
      </c>
      <c r="O73" s="140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85"/>
      <c r="S73" s="110" t="s">
        <v>4471</v>
      </c>
      <c r="T73" s="46"/>
      <c r="U73" s="85"/>
      <c r="V73" s="46"/>
      <c r="W73" s="46"/>
      <c r="X73" s="46"/>
      <c r="Y73" s="85"/>
    </row>
    <row r="74" customFormat="false" ht="15.75" hidden="false" customHeight="true" outlineLevel="0" collapsed="false">
      <c r="A74" s="106" t="n">
        <v>69</v>
      </c>
      <c r="B74" s="107" t="s">
        <v>1738</v>
      </c>
      <c r="C74" s="106" t="s">
        <v>752</v>
      </c>
      <c r="D74" s="107" t="s">
        <v>4472</v>
      </c>
      <c r="E74" s="136" t="s">
        <v>99</v>
      </c>
      <c r="F74" s="106" t="s">
        <v>4473</v>
      </c>
      <c r="G74" s="137" t="n">
        <v>46009</v>
      </c>
      <c r="H74" s="106" t="s">
        <v>500</v>
      </c>
      <c r="I74" s="138" t="str">
        <f aca="false">IFERROR(VLOOKUP(TEXT(H74,"0"),IPRESS!$A$3:$B$212,2,0),"")</f>
        <v>LAMUD</v>
      </c>
      <c r="J74" s="106" t="s">
        <v>755</v>
      </c>
      <c r="K74" s="138" t="str">
        <f aca="false">IFERROR(VLOOKUP(TEXT(O74,"0"),CONDUCTORES!$A$3:$G$100,7,0),"")</f>
        <v/>
      </c>
      <c r="L74" s="50" t="n">
        <v>18.18</v>
      </c>
      <c r="M74" s="50" t="n">
        <v>4</v>
      </c>
      <c r="N74" s="139" t="n">
        <f aca="false">IFERROR(IF(L74*M74=0,"",L74*M74),"")</f>
        <v>72.72</v>
      </c>
      <c r="O74" s="85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40"/>
      <c r="S74" s="107" t="s">
        <v>4474</v>
      </c>
      <c r="T74" s="136"/>
      <c r="U74" s="140"/>
      <c r="V74" s="106"/>
      <c r="W74" s="106"/>
      <c r="X74" s="106"/>
      <c r="Y74" s="85"/>
    </row>
    <row r="75" customFormat="false" ht="15.75" hidden="false" customHeight="true" outlineLevel="0" collapsed="false">
      <c r="A75" s="46" t="n">
        <v>70</v>
      </c>
      <c r="B75" s="110" t="s">
        <v>1724</v>
      </c>
      <c r="C75" s="46" t="s">
        <v>752</v>
      </c>
      <c r="D75" s="110" t="s">
        <v>4475</v>
      </c>
      <c r="E75" s="46" t="s">
        <v>99</v>
      </c>
      <c r="F75" s="46" t="s">
        <v>4476</v>
      </c>
      <c r="G75" s="142" t="n">
        <v>46011</v>
      </c>
      <c r="H75" s="46" t="s">
        <v>500</v>
      </c>
      <c r="I75" s="138" t="str">
        <f aca="false">IFERROR(VLOOKUP(TEXT(H75,"0"),IPRESS!$A$3:$B$212,2,0),"")</f>
        <v>LAMUD</v>
      </c>
      <c r="J75" s="46" t="s">
        <v>755</v>
      </c>
      <c r="K75" s="138" t="str">
        <f aca="false">IFERROR(VLOOKUP(TEXT(O75,"0"),CONDUCTORES!$A$3:$G$100,7,0),"")</f>
        <v/>
      </c>
      <c r="L75" s="44" t="n">
        <v>18.18</v>
      </c>
      <c r="M75" s="44" t="n">
        <v>4</v>
      </c>
      <c r="N75" s="139" t="n">
        <f aca="false">IFERROR(IF(L75*M75=0,"",L75*M75),"")</f>
        <v>72.72</v>
      </c>
      <c r="O75" s="140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85"/>
      <c r="S75" s="110" t="s">
        <v>4477</v>
      </c>
      <c r="T75" s="46"/>
      <c r="U75" s="85"/>
      <c r="V75" s="46"/>
      <c r="W75" s="46"/>
      <c r="X75" s="46"/>
      <c r="Y75" s="85"/>
    </row>
    <row r="76" customFormat="false" ht="15.75" hidden="false" customHeight="true" outlineLevel="0" collapsed="false">
      <c r="A76" s="106" t="n">
        <v>71</v>
      </c>
      <c r="B76" s="107" t="s">
        <v>1728</v>
      </c>
      <c r="C76" s="106" t="s">
        <v>752</v>
      </c>
      <c r="D76" s="107" t="s">
        <v>4478</v>
      </c>
      <c r="E76" s="136" t="s">
        <v>99</v>
      </c>
      <c r="F76" s="106" t="s">
        <v>4479</v>
      </c>
      <c r="G76" s="137" t="n">
        <v>46014</v>
      </c>
      <c r="H76" s="106" t="s">
        <v>500</v>
      </c>
      <c r="I76" s="138" t="str">
        <f aca="false">IFERROR(VLOOKUP(TEXT(H76,"0"),IPRESS!$A$3:$B$212,2,0),"")</f>
        <v>LAMUD</v>
      </c>
      <c r="J76" s="106" t="s">
        <v>755</v>
      </c>
      <c r="K76" s="138" t="str">
        <f aca="false">IFERROR(VLOOKUP(TEXT(O76,"0"),CONDUCTORES!$A$3:$G$100,7,0),"")</f>
        <v/>
      </c>
      <c r="L76" s="50" t="n">
        <v>18.18</v>
      </c>
      <c r="M76" s="50" t="n">
        <v>4</v>
      </c>
      <c r="N76" s="139" t="n">
        <f aca="false">IFERROR(IF(L76*M76=0,"",L76*M76),"")</f>
        <v>72.72</v>
      </c>
      <c r="O76" s="85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40"/>
      <c r="S76" s="107" t="s">
        <v>1324</v>
      </c>
      <c r="T76" s="136"/>
      <c r="U76" s="140"/>
      <c r="V76" s="106"/>
      <c r="W76" s="106"/>
      <c r="X76" s="106"/>
      <c r="Y76" s="85"/>
    </row>
    <row r="77" customFormat="false" ht="15.75" hidden="false" customHeight="true" outlineLevel="0" collapsed="false">
      <c r="A77" s="46" t="n">
        <v>72</v>
      </c>
      <c r="B77" s="110" t="s">
        <v>4362</v>
      </c>
      <c r="C77" s="46" t="s">
        <v>752</v>
      </c>
      <c r="D77" s="110" t="s">
        <v>4480</v>
      </c>
      <c r="E77" s="46" t="s">
        <v>99</v>
      </c>
      <c r="F77" s="46" t="s">
        <v>4481</v>
      </c>
      <c r="G77" s="142" t="n">
        <v>46006</v>
      </c>
      <c r="H77" s="46" t="s">
        <v>507</v>
      </c>
      <c r="I77" s="138" t="str">
        <f aca="false">IFERROR(VLOOKUP(TEXT(H77,"0"),IPRESS!$A$3:$B$212,2,0),"")</f>
        <v>LEYMEBAMBA</v>
      </c>
      <c r="J77" s="46" t="s">
        <v>755</v>
      </c>
      <c r="K77" s="138" t="str">
        <f aca="false">IFERROR(VLOOKUP(TEXT(O77,"0"),CONDUCTORES!$A$3:$G$100,7,0),"")</f>
        <v/>
      </c>
      <c r="L77" s="44" t="n">
        <v>18.18</v>
      </c>
      <c r="M77" s="44" t="n">
        <v>7.5</v>
      </c>
      <c r="N77" s="139" t="n">
        <f aca="false">IFERROR(IF(L77*M77=0,"",L77*M77),"")</f>
        <v>136.35</v>
      </c>
      <c r="O77" s="140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85"/>
      <c r="S77" s="110" t="s">
        <v>3621</v>
      </c>
      <c r="T77" s="46"/>
      <c r="U77" s="85"/>
      <c r="V77" s="46"/>
      <c r="W77" s="46"/>
      <c r="X77" s="46"/>
      <c r="Y77" s="85"/>
    </row>
    <row r="78" customFormat="false" ht="15.75" hidden="false" customHeight="true" outlineLevel="0" collapsed="false">
      <c r="A78" s="106" t="n">
        <v>73</v>
      </c>
      <c r="B78" s="107" t="s">
        <v>1568</v>
      </c>
      <c r="C78" s="106" t="s">
        <v>752</v>
      </c>
      <c r="D78" s="107" t="s">
        <v>4482</v>
      </c>
      <c r="E78" s="136" t="s">
        <v>99</v>
      </c>
      <c r="F78" s="106" t="s">
        <v>4483</v>
      </c>
      <c r="G78" s="137" t="n">
        <v>46010</v>
      </c>
      <c r="H78" s="106" t="s">
        <v>395</v>
      </c>
      <c r="I78" s="138" t="str">
        <f aca="false">IFERROR(VLOOKUP(TEXT(H78,"0"),IPRESS!$A$3:$B$212,2,0),"")</f>
        <v>CHUQUIBAMBA</v>
      </c>
      <c r="J78" s="106" t="s">
        <v>755</v>
      </c>
      <c r="K78" s="138" t="str">
        <f aca="false">IFERROR(VLOOKUP(TEXT(O78,"0"),CONDUCTORES!$A$3:$G$100,7,0),"")</f>
        <v/>
      </c>
      <c r="L78" s="50" t="n">
        <v>18.18</v>
      </c>
      <c r="M78" s="50" t="n">
        <v>15</v>
      </c>
      <c r="N78" s="139" t="n">
        <f aca="false">IFERROR(IF(L78*M78=0,"",L78*M78),"")</f>
        <v>272.7</v>
      </c>
      <c r="O78" s="85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40"/>
      <c r="S78" s="107" t="s">
        <v>4484</v>
      </c>
      <c r="T78" s="136"/>
      <c r="U78" s="140"/>
      <c r="V78" s="106"/>
      <c r="W78" s="106"/>
      <c r="X78" s="106"/>
      <c r="Y78" s="85"/>
    </row>
    <row r="79" customFormat="false" ht="15.75" hidden="false" customHeight="true" outlineLevel="0" collapsed="false">
      <c r="A79" s="46" t="n">
        <v>74</v>
      </c>
      <c r="B79" s="110" t="s">
        <v>4485</v>
      </c>
      <c r="C79" s="46" t="s">
        <v>752</v>
      </c>
      <c r="D79" s="110" t="s">
        <v>4486</v>
      </c>
      <c r="E79" s="46" t="s">
        <v>99</v>
      </c>
      <c r="F79" s="46" t="s">
        <v>4487</v>
      </c>
      <c r="G79" s="142" t="n">
        <v>46007</v>
      </c>
      <c r="H79" s="46" t="s">
        <v>595</v>
      </c>
      <c r="I79" s="138" t="str">
        <f aca="false">IFERROR(VLOOKUP(TEXT(H79,"0"),IPRESS!$A$3:$B$212,2,0),"")</f>
        <v>POMACOCHAS</v>
      </c>
      <c r="J79" s="46" t="s">
        <v>755</v>
      </c>
      <c r="K79" s="138" t="str">
        <f aca="false">IFERROR(VLOOKUP(TEXT(O79,"0"),CONDUCTORES!$A$3:$G$100,7,0),"")</f>
        <v/>
      </c>
      <c r="L79" s="44" t="n">
        <v>18.18</v>
      </c>
      <c r="M79" s="44" t="n">
        <v>6</v>
      </c>
      <c r="N79" s="139" t="n">
        <f aca="false">IFERROR(IF(L79*M79=0,"",L79*M79),"")</f>
        <v>109.08</v>
      </c>
      <c r="O79" s="140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85"/>
      <c r="S79" s="110" t="s">
        <v>847</v>
      </c>
      <c r="T79" s="46"/>
      <c r="U79" s="85"/>
      <c r="V79" s="46"/>
      <c r="W79" s="46"/>
      <c r="X79" s="46"/>
      <c r="Y79" s="85"/>
    </row>
    <row r="80" customFormat="false" ht="15.75" hidden="false" customHeight="true" outlineLevel="0" collapsed="false">
      <c r="A80" s="106" t="n">
        <v>75</v>
      </c>
      <c r="B80" s="107" t="s">
        <v>4488</v>
      </c>
      <c r="C80" s="106" t="s">
        <v>752</v>
      </c>
      <c r="D80" s="107" t="s">
        <v>4489</v>
      </c>
      <c r="E80" s="136" t="s">
        <v>99</v>
      </c>
      <c r="F80" s="106" t="s">
        <v>4490</v>
      </c>
      <c r="G80" s="137" t="n">
        <v>46010</v>
      </c>
      <c r="H80" s="106" t="s">
        <v>595</v>
      </c>
      <c r="I80" s="138" t="str">
        <f aca="false">IFERROR(VLOOKUP(TEXT(H80,"0"),IPRESS!$A$3:$B$212,2,0),"")</f>
        <v>POMACOCHAS</v>
      </c>
      <c r="J80" s="106" t="s">
        <v>755</v>
      </c>
      <c r="K80" s="138" t="str">
        <f aca="false">IFERROR(VLOOKUP(TEXT(O80,"0"),CONDUCTORES!$A$3:$G$100,7,0),"")</f>
        <v/>
      </c>
      <c r="L80" s="50" t="n">
        <v>18.18</v>
      </c>
      <c r="M80" s="50" t="n">
        <v>6</v>
      </c>
      <c r="N80" s="139" t="n">
        <f aca="false">IFERROR(IF(L80*M80=0,"",L80*M80),"")</f>
        <v>109.08</v>
      </c>
      <c r="O80" s="85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40"/>
      <c r="S80" s="107" t="s">
        <v>4491</v>
      </c>
      <c r="T80" s="136"/>
      <c r="U80" s="140"/>
      <c r="V80" s="106"/>
      <c r="W80" s="106"/>
      <c r="X80" s="106"/>
      <c r="Y80" s="85"/>
    </row>
    <row r="81" customFormat="false" ht="15.75" hidden="false" customHeight="true" outlineLevel="0" collapsed="false">
      <c r="A81" s="46" t="n">
        <v>76</v>
      </c>
      <c r="B81" s="110" t="s">
        <v>4492</v>
      </c>
      <c r="C81" s="46" t="s">
        <v>752</v>
      </c>
      <c r="D81" s="110" t="s">
        <v>4486</v>
      </c>
      <c r="E81" s="46" t="s">
        <v>99</v>
      </c>
      <c r="F81" s="46" t="s">
        <v>4487</v>
      </c>
      <c r="G81" s="142" t="n">
        <v>46011</v>
      </c>
      <c r="H81" s="46" t="s">
        <v>595</v>
      </c>
      <c r="I81" s="138" t="str">
        <f aca="false">IFERROR(VLOOKUP(TEXT(H81,"0"),IPRESS!$A$3:$B$212,2,0),"")</f>
        <v>POMACOCHAS</v>
      </c>
      <c r="J81" s="46" t="s">
        <v>755</v>
      </c>
      <c r="K81" s="138" t="str">
        <f aca="false">IFERROR(VLOOKUP(TEXT(O81,"0"),CONDUCTORES!$A$3:$G$100,7,0),"")</f>
        <v/>
      </c>
      <c r="L81" s="44" t="n">
        <v>18.18</v>
      </c>
      <c r="M81" s="44" t="n">
        <v>6</v>
      </c>
      <c r="N81" s="139" t="n">
        <f aca="false">IFERROR(IF(L81*M81=0,"",L81*M81),"")</f>
        <v>109.08</v>
      </c>
      <c r="O81" s="140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85"/>
      <c r="S81" s="110" t="s">
        <v>2580</v>
      </c>
      <c r="T81" s="46"/>
      <c r="U81" s="85"/>
      <c r="V81" s="46"/>
      <c r="W81" s="46"/>
      <c r="X81" s="46"/>
      <c r="Y81" s="85"/>
    </row>
    <row r="82" customFormat="false" ht="15.75" hidden="false" customHeight="true" outlineLevel="0" collapsed="false">
      <c r="A82" s="106" t="n">
        <v>77</v>
      </c>
      <c r="B82" s="107" t="s">
        <v>4493</v>
      </c>
      <c r="C82" s="106" t="s">
        <v>752</v>
      </c>
      <c r="D82" s="107" t="s">
        <v>4494</v>
      </c>
      <c r="E82" s="136" t="s">
        <v>99</v>
      </c>
      <c r="F82" s="106" t="s">
        <v>4495</v>
      </c>
      <c r="G82" s="137" t="n">
        <v>46011</v>
      </c>
      <c r="H82" s="106" t="s">
        <v>595</v>
      </c>
      <c r="I82" s="138" t="str">
        <f aca="false">IFERROR(VLOOKUP(TEXT(H82,"0"),IPRESS!$A$3:$B$212,2,0),"")</f>
        <v>POMACOCHAS</v>
      </c>
      <c r="J82" s="106" t="s">
        <v>755</v>
      </c>
      <c r="K82" s="138" t="str">
        <f aca="false">IFERROR(VLOOKUP(TEXT(O82,"0"),CONDUCTORES!$A$3:$G$100,7,0),"")</f>
        <v/>
      </c>
      <c r="L82" s="50" t="n">
        <v>18.18</v>
      </c>
      <c r="M82" s="50" t="n">
        <v>6</v>
      </c>
      <c r="N82" s="139" t="n">
        <f aca="false">IFERROR(IF(L82*M82=0,"",L82*M82),"")</f>
        <v>109.08</v>
      </c>
      <c r="O82" s="85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40"/>
      <c r="S82" s="107" t="s">
        <v>4496</v>
      </c>
      <c r="T82" s="136"/>
      <c r="U82" s="140"/>
      <c r="V82" s="106"/>
      <c r="W82" s="106"/>
      <c r="X82" s="106"/>
      <c r="Y82" s="85"/>
    </row>
    <row r="83" customFormat="false" ht="15.75" hidden="false" customHeight="true" outlineLevel="0" collapsed="false">
      <c r="A83" s="46" t="n">
        <v>78</v>
      </c>
      <c r="B83" s="110" t="s">
        <v>1789</v>
      </c>
      <c r="C83" s="46" t="s">
        <v>752</v>
      </c>
      <c r="D83" s="110" t="s">
        <v>4497</v>
      </c>
      <c r="E83" s="46" t="s">
        <v>99</v>
      </c>
      <c r="F83" s="46" t="s">
        <v>4498</v>
      </c>
      <c r="G83" s="142" t="n">
        <v>46014</v>
      </c>
      <c r="H83" s="46" t="s">
        <v>480</v>
      </c>
      <c r="I83" s="138" t="str">
        <f aca="false">IFERROR(VLOOKUP(TEXT(H83,"0"),IPRESS!$A$3:$B$212,2,0),"")</f>
        <v>JALCA GRANDE</v>
      </c>
      <c r="J83" s="46" t="s">
        <v>755</v>
      </c>
      <c r="K83" s="138" t="str">
        <f aca="false">IFERROR(VLOOKUP(TEXT(O83,"0"),CONDUCTORES!$A$3:$G$100,7,0),"")</f>
        <v/>
      </c>
      <c r="L83" s="44" t="n">
        <v>18.18</v>
      </c>
      <c r="M83" s="44" t="n">
        <v>8</v>
      </c>
      <c r="N83" s="139" t="n">
        <f aca="false">IFERROR(IF(L83*M83=0,"",L83*M83),"")</f>
        <v>145.44</v>
      </c>
      <c r="O83" s="140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85"/>
      <c r="S83" s="110" t="s">
        <v>4499</v>
      </c>
      <c r="T83" s="46"/>
      <c r="U83" s="85"/>
      <c r="V83" s="46"/>
      <c r="W83" s="46"/>
      <c r="X83" s="46"/>
      <c r="Y83" s="85"/>
    </row>
    <row r="84" customFormat="false" ht="15.75" hidden="false" customHeight="true" outlineLevel="0" collapsed="false">
      <c r="A84" s="106" t="n">
        <v>79</v>
      </c>
      <c r="B84" s="107" t="s">
        <v>4500</v>
      </c>
      <c r="C84" s="106" t="s">
        <v>752</v>
      </c>
      <c r="D84" s="107" t="s">
        <v>4501</v>
      </c>
      <c r="E84" s="136" t="s">
        <v>99</v>
      </c>
      <c r="F84" s="106" t="s">
        <v>4502</v>
      </c>
      <c r="G84" s="137" t="n">
        <v>46015</v>
      </c>
      <c r="H84" s="106" t="s">
        <v>595</v>
      </c>
      <c r="I84" s="138" t="str">
        <f aca="false">IFERROR(VLOOKUP(TEXT(H84,"0"),IPRESS!$A$3:$B$212,2,0),"")</f>
        <v>POMACOCHAS</v>
      </c>
      <c r="J84" s="106" t="s">
        <v>755</v>
      </c>
      <c r="K84" s="138" t="str">
        <f aca="false">IFERROR(VLOOKUP(TEXT(O84,"0"),CONDUCTORES!$A$3:$G$100,7,0),"")</f>
        <v/>
      </c>
      <c r="L84" s="50" t="n">
        <v>18.18</v>
      </c>
      <c r="M84" s="50" t="n">
        <v>6</v>
      </c>
      <c r="N84" s="139" t="n">
        <f aca="false">IFERROR(IF(L84*M84=0,"",L84*M84),"")</f>
        <v>109.08</v>
      </c>
      <c r="O84" s="85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40"/>
      <c r="S84" s="107" t="s">
        <v>3986</v>
      </c>
      <c r="T84" s="136"/>
      <c r="U84" s="140"/>
      <c r="V84" s="106"/>
      <c r="W84" s="106"/>
      <c r="X84" s="106"/>
      <c r="Y84" s="85"/>
    </row>
    <row r="85" customFormat="false" ht="15.75" hidden="false" customHeight="true" outlineLevel="0" collapsed="false">
      <c r="A85" s="46" t="n">
        <v>80</v>
      </c>
      <c r="B85" s="110" t="s">
        <v>1709</v>
      </c>
      <c r="C85" s="46" t="s">
        <v>752</v>
      </c>
      <c r="D85" s="110" t="s">
        <v>4503</v>
      </c>
      <c r="E85" s="46" t="s">
        <v>99</v>
      </c>
      <c r="F85" s="46" t="s">
        <v>2474</v>
      </c>
      <c r="G85" s="142" t="n">
        <v>46016</v>
      </c>
      <c r="H85" s="46" t="s">
        <v>692</v>
      </c>
      <c r="I85" s="138" t="str">
        <f aca="false">IFERROR(VLOOKUP(TEXT(H85,"0"),IPRESS!$A$3:$B$212,2,0),"")</f>
        <v>TINGO</v>
      </c>
      <c r="J85" s="46" t="s">
        <v>755</v>
      </c>
      <c r="K85" s="138" t="str">
        <f aca="false">IFERROR(VLOOKUP(TEXT(O85,"0"),CONDUCTORES!$A$3:$G$100,7,0),"")</f>
        <v/>
      </c>
      <c r="L85" s="44" t="n">
        <v>18.18</v>
      </c>
      <c r="M85" s="44" t="n">
        <v>5</v>
      </c>
      <c r="N85" s="139" t="n">
        <f aca="false">IFERROR(IF(L85*M85=0,"",L85*M85),"")</f>
        <v>90.9</v>
      </c>
      <c r="O85" s="140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85"/>
      <c r="S85" s="110" t="s">
        <v>4504</v>
      </c>
      <c r="T85" s="46"/>
      <c r="U85" s="85"/>
      <c r="V85" s="46"/>
      <c r="W85" s="46"/>
      <c r="X85" s="46"/>
      <c r="Y85" s="85"/>
    </row>
    <row r="86" customFormat="false" ht="15.75" hidden="false" customHeight="true" outlineLevel="0" collapsed="false">
      <c r="A86" s="106" t="n">
        <v>81</v>
      </c>
      <c r="B86" s="107" t="s">
        <v>4505</v>
      </c>
      <c r="C86" s="106" t="s">
        <v>752</v>
      </c>
      <c r="D86" s="107" t="s">
        <v>4506</v>
      </c>
      <c r="E86" s="136" t="s">
        <v>99</v>
      </c>
      <c r="F86" s="106" t="s">
        <v>4507</v>
      </c>
      <c r="G86" s="137" t="n">
        <v>46018</v>
      </c>
      <c r="H86" s="106" t="s">
        <v>595</v>
      </c>
      <c r="I86" s="138" t="str">
        <f aca="false">IFERROR(VLOOKUP(TEXT(H86,"0"),IPRESS!$A$3:$B$212,2,0),"")</f>
        <v>POMACOCHAS</v>
      </c>
      <c r="J86" s="106" t="s">
        <v>755</v>
      </c>
      <c r="K86" s="138" t="str">
        <f aca="false">IFERROR(VLOOKUP(TEXT(O86,"0"),CONDUCTORES!$A$3:$G$100,7,0),"")</f>
        <v/>
      </c>
      <c r="L86" s="50" t="n">
        <v>18.18</v>
      </c>
      <c r="M86" s="50" t="n">
        <v>6</v>
      </c>
      <c r="N86" s="139" t="n">
        <f aca="false">IFERROR(IF(L86*M86=0,"",L86*M86),"")</f>
        <v>109.08</v>
      </c>
      <c r="O86" s="85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40"/>
      <c r="S86" s="107" t="s">
        <v>4508</v>
      </c>
      <c r="T86" s="136"/>
      <c r="U86" s="140"/>
      <c r="V86" s="106"/>
      <c r="W86" s="106"/>
      <c r="X86" s="106"/>
      <c r="Y86" s="85"/>
    </row>
    <row r="87" customFormat="false" ht="15.75" hidden="false" customHeight="true" outlineLevel="0" collapsed="false">
      <c r="A87" s="46" t="n">
        <v>82</v>
      </c>
      <c r="B87" s="110" t="s">
        <v>1793</v>
      </c>
      <c r="C87" s="46" t="s">
        <v>752</v>
      </c>
      <c r="D87" s="110" t="s">
        <v>4509</v>
      </c>
      <c r="E87" s="46" t="s">
        <v>99</v>
      </c>
      <c r="F87" s="46" t="s">
        <v>4510</v>
      </c>
      <c r="G87" s="142" t="n">
        <v>46020</v>
      </c>
      <c r="H87" s="46" t="s">
        <v>480</v>
      </c>
      <c r="I87" s="138" t="str">
        <f aca="false">IFERROR(VLOOKUP(TEXT(H87,"0"),IPRESS!$A$3:$B$212,2,0),"")</f>
        <v>JALCA GRANDE</v>
      </c>
      <c r="J87" s="46" t="s">
        <v>755</v>
      </c>
      <c r="K87" s="138" t="str">
        <f aca="false">IFERROR(VLOOKUP(TEXT(O87,"0"),CONDUCTORES!$A$3:$G$100,7,0),"")</f>
        <v/>
      </c>
      <c r="L87" s="44" t="n">
        <v>18.18</v>
      </c>
      <c r="M87" s="44" t="n">
        <v>8</v>
      </c>
      <c r="N87" s="139" t="n">
        <f aca="false">IFERROR(IF(L87*M87=0,"",L87*M87),"")</f>
        <v>145.44</v>
      </c>
      <c r="O87" s="140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85"/>
      <c r="S87" s="110" t="s">
        <v>4511</v>
      </c>
      <c r="T87" s="46"/>
      <c r="U87" s="85"/>
      <c r="V87" s="46"/>
      <c r="W87" s="46"/>
      <c r="X87" s="46"/>
      <c r="Y87" s="85"/>
    </row>
    <row r="88" customFormat="false" ht="15.75" hidden="false" customHeight="true" outlineLevel="0" collapsed="false">
      <c r="A88" s="106" t="n">
        <v>83</v>
      </c>
      <c r="B88" s="107" t="s">
        <v>1797</v>
      </c>
      <c r="C88" s="106" t="s">
        <v>752</v>
      </c>
      <c r="D88" s="107" t="s">
        <v>4512</v>
      </c>
      <c r="E88" s="136" t="s">
        <v>99</v>
      </c>
      <c r="F88" s="106" t="s">
        <v>4513</v>
      </c>
      <c r="G88" s="137" t="n">
        <v>46018</v>
      </c>
      <c r="H88" s="106" t="s">
        <v>480</v>
      </c>
      <c r="I88" s="138" t="str">
        <f aca="false">IFERROR(VLOOKUP(TEXT(H88,"0"),IPRESS!$A$3:$B$212,2,0),"")</f>
        <v>JALCA GRANDE</v>
      </c>
      <c r="J88" s="106" t="s">
        <v>755</v>
      </c>
      <c r="K88" s="138" t="str">
        <f aca="false">IFERROR(VLOOKUP(TEXT(O88,"0"),CONDUCTORES!$A$3:$G$100,7,0),"")</f>
        <v/>
      </c>
      <c r="L88" s="50" t="n">
        <v>18.18</v>
      </c>
      <c r="M88" s="50" t="n">
        <v>8</v>
      </c>
      <c r="N88" s="139" t="n">
        <f aca="false">IFERROR(IF(L88*M88=0,"",L88*M88),"")</f>
        <v>145.44</v>
      </c>
      <c r="O88" s="85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40"/>
      <c r="S88" s="107" t="s">
        <v>1487</v>
      </c>
      <c r="T88" s="136"/>
      <c r="U88" s="140"/>
      <c r="V88" s="106"/>
      <c r="W88" s="106"/>
      <c r="X88" s="106"/>
      <c r="Y88" s="85"/>
    </row>
    <row r="89" customFormat="false" ht="15.75" hidden="false" customHeight="true" outlineLevel="0" collapsed="false">
      <c r="A89" s="46" t="n">
        <v>84</v>
      </c>
      <c r="B89" s="110" t="s">
        <v>1507</v>
      </c>
      <c r="C89" s="46" t="s">
        <v>752</v>
      </c>
      <c r="D89" s="110" t="s">
        <v>4514</v>
      </c>
      <c r="E89" s="46" t="s">
        <v>99</v>
      </c>
      <c r="F89" s="46" t="s">
        <v>4515</v>
      </c>
      <c r="G89" s="142" t="n">
        <v>46016</v>
      </c>
      <c r="H89" s="46" t="s">
        <v>357</v>
      </c>
      <c r="I89" s="138" t="str">
        <f aca="false">IFERROR(VLOOKUP(TEXT(H89,"0"),IPRESS!$A$3:$B$212,2,0),"")</f>
        <v>CAMPORREDONDO</v>
      </c>
      <c r="J89" s="46" t="s">
        <v>755</v>
      </c>
      <c r="K89" s="138" t="str">
        <f aca="false">IFERROR(VLOOKUP(TEXT(O89,"0"),CONDUCTORES!$A$3:$G$100,7,0),"")</f>
        <v/>
      </c>
      <c r="L89" s="44" t="n">
        <v>18.18</v>
      </c>
      <c r="M89" s="44" t="n">
        <v>20</v>
      </c>
      <c r="N89" s="139" t="n">
        <f aca="false">IFERROR(IF(L89*M89=0,"",L89*M89),"")</f>
        <v>363.6</v>
      </c>
      <c r="O89" s="140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85"/>
      <c r="S89" s="110" t="s">
        <v>1487</v>
      </c>
      <c r="T89" s="46"/>
      <c r="U89" s="85"/>
      <c r="V89" s="46"/>
      <c r="W89" s="46"/>
      <c r="X89" s="46"/>
      <c r="Y89" s="85"/>
    </row>
    <row r="90" customFormat="false" ht="15.75" hidden="false" customHeight="true" outlineLevel="0" collapsed="false">
      <c r="A90" s="143" t="n">
        <v>85</v>
      </c>
      <c r="B90" s="144" t="s">
        <v>1513</v>
      </c>
      <c r="C90" s="143" t="s">
        <v>752</v>
      </c>
      <c r="D90" s="144" t="s">
        <v>4296</v>
      </c>
      <c r="E90" s="143" t="s">
        <v>99</v>
      </c>
      <c r="F90" s="143" t="s">
        <v>4297</v>
      </c>
      <c r="G90" s="145" t="n">
        <v>46013</v>
      </c>
      <c r="H90" s="143" t="s">
        <v>547</v>
      </c>
      <c r="I90" s="138" t="str">
        <f aca="false">IFERROR(VLOOKUP(TEXT(H90,"0"),IPRESS!$A$3:$B$212,2,0),"")</f>
        <v>MOLINOPAMPA</v>
      </c>
      <c r="J90" s="143" t="s">
        <v>755</v>
      </c>
      <c r="K90" s="138" t="str">
        <f aca="false">IFERROR(VLOOKUP(TEXT(O90,"0"),CONDUCTORES!$A$3:$G$100,7,0),"")</f>
        <v/>
      </c>
      <c r="L90" s="146" t="n">
        <v>17.95</v>
      </c>
      <c r="M90" s="146" t="n">
        <v>8</v>
      </c>
      <c r="N90" s="139" t="n">
        <f aca="false">IFERROR(IF(L90*M90=0,"",L90*M90),"")</f>
        <v>143.6</v>
      </c>
      <c r="O90" s="85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47"/>
      <c r="S90" s="144" t="s">
        <v>4516</v>
      </c>
      <c r="T90" s="143"/>
      <c r="U90" s="147"/>
      <c r="V90" s="143"/>
      <c r="W90" s="143"/>
      <c r="X90" s="143"/>
      <c r="Y90" s="85"/>
    </row>
    <row r="91" customFormat="false" ht="15.75" hidden="false" customHeight="true" outlineLevel="0" collapsed="false">
      <c r="A91" s="46" t="n">
        <v>86</v>
      </c>
      <c r="B91" s="110" t="s">
        <v>1636</v>
      </c>
      <c r="C91" s="46" t="s">
        <v>752</v>
      </c>
      <c r="D91" s="110" t="s">
        <v>4517</v>
      </c>
      <c r="E91" s="46" t="s">
        <v>99</v>
      </c>
      <c r="F91" s="46" t="s">
        <v>4518</v>
      </c>
      <c r="G91" s="142" t="n">
        <v>46020</v>
      </c>
      <c r="H91" s="46" t="s">
        <v>629</v>
      </c>
      <c r="I91" s="138" t="str">
        <f aca="false">IFERROR(VLOOKUP(TEXT(H91,"0"),IPRESS!$A$3:$B$212,2,0),"")</f>
        <v>SAN FRANCISCO DEL YESO</v>
      </c>
      <c r="J91" s="46" t="s">
        <v>755</v>
      </c>
      <c r="K91" s="138" t="str">
        <f aca="false">IFERROR(VLOOKUP(TEXT(O91,"0"),CONDUCTORES!$A$3:$G$100,7,0),"")</f>
        <v/>
      </c>
      <c r="L91" s="44" t="n">
        <v>18.18</v>
      </c>
      <c r="M91" s="44" t="n">
        <v>6</v>
      </c>
      <c r="N91" s="139" t="n">
        <f aca="false">IFERROR(IF(L91*M91=0,"",L91*M91),"")</f>
        <v>109.08</v>
      </c>
      <c r="O91" s="140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85"/>
      <c r="S91" s="110" t="s">
        <v>891</v>
      </c>
      <c r="T91" s="46" t="s">
        <v>4519</v>
      </c>
      <c r="U91" s="85"/>
      <c r="V91" s="46"/>
      <c r="W91" s="46"/>
      <c r="X91" s="46"/>
      <c r="Y91" s="85"/>
    </row>
    <row r="92" customFormat="false" ht="15.75" hidden="false" customHeight="true" outlineLevel="0" collapsed="false">
      <c r="A92" s="106" t="n">
        <v>87</v>
      </c>
      <c r="B92" s="107" t="s">
        <v>4357</v>
      </c>
      <c r="C92" s="106" t="s">
        <v>752</v>
      </c>
      <c r="D92" s="107" t="s">
        <v>4520</v>
      </c>
      <c r="E92" s="136" t="s">
        <v>99</v>
      </c>
      <c r="F92" s="106" t="s">
        <v>4521</v>
      </c>
      <c r="G92" s="137" t="n">
        <v>46018</v>
      </c>
      <c r="H92" s="106" t="s">
        <v>507</v>
      </c>
      <c r="I92" s="138" t="str">
        <f aca="false">IFERROR(VLOOKUP(TEXT(H92,"0"),IPRESS!$A$3:$B$212,2,0),"")</f>
        <v>LEYMEBAMBA</v>
      </c>
      <c r="J92" s="106" t="s">
        <v>755</v>
      </c>
      <c r="K92" s="138" t="str">
        <f aca="false">IFERROR(VLOOKUP(TEXT(O92,"0"),CONDUCTORES!$A$3:$G$100,7,0),"")</f>
        <v/>
      </c>
      <c r="L92" s="50" t="n">
        <v>18.18</v>
      </c>
      <c r="M92" s="50" t="n">
        <v>6</v>
      </c>
      <c r="N92" s="139" t="n">
        <f aca="false">IFERROR(IF(L92*M92=0,"",L92*M92),"")</f>
        <v>109.08</v>
      </c>
      <c r="O92" s="85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40"/>
      <c r="S92" s="107" t="s">
        <v>4522</v>
      </c>
      <c r="T92" s="136"/>
      <c r="U92" s="140"/>
      <c r="V92" s="106"/>
      <c r="W92" s="106"/>
      <c r="X92" s="106"/>
      <c r="Y92" s="85"/>
    </row>
    <row r="93" customFormat="false" ht="15.75" hidden="false" customHeight="true" outlineLevel="0" collapsed="false">
      <c r="A93" s="46" t="n">
        <v>88</v>
      </c>
      <c r="B93" s="110" t="s">
        <v>1652</v>
      </c>
      <c r="C93" s="46" t="s">
        <v>752</v>
      </c>
      <c r="D93" s="110" t="s">
        <v>4523</v>
      </c>
      <c r="E93" s="46" t="s">
        <v>99</v>
      </c>
      <c r="F93" s="46" t="s">
        <v>4524</v>
      </c>
      <c r="G93" s="142" t="n">
        <v>46021</v>
      </c>
      <c r="H93" s="46" t="s">
        <v>357</v>
      </c>
      <c r="I93" s="138" t="str">
        <f aca="false">IFERROR(VLOOKUP(TEXT(H93,"0"),IPRESS!$A$3:$B$212,2,0),"")</f>
        <v>CAMPORREDONDO</v>
      </c>
      <c r="J93" s="46" t="s">
        <v>755</v>
      </c>
      <c r="K93" s="138" t="str">
        <f aca="false">IFERROR(VLOOKUP(TEXT(O93,"0"),CONDUCTORES!$A$3:$G$100,7,0),"")</f>
        <v/>
      </c>
      <c r="L93" s="44" t="n">
        <v>18.18</v>
      </c>
      <c r="M93" s="44" t="n">
        <v>20</v>
      </c>
      <c r="N93" s="139" t="n">
        <f aca="false">IFERROR(IF(L93*M93=0,"",L93*M93),"")</f>
        <v>363.6</v>
      </c>
      <c r="O93" s="140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85"/>
      <c r="S93" s="110" t="s">
        <v>4525</v>
      </c>
      <c r="T93" s="46"/>
      <c r="U93" s="85"/>
      <c r="V93" s="46"/>
      <c r="W93" s="46"/>
      <c r="X93" s="46"/>
      <c r="Y93" s="85"/>
    </row>
    <row r="94" customFormat="false" ht="15.75" hidden="false" customHeight="true" outlineLevel="0" collapsed="false">
      <c r="A94" s="106" t="n">
        <v>89</v>
      </c>
      <c r="B94" s="107"/>
      <c r="C94" s="106" t="s">
        <v>752</v>
      </c>
      <c r="D94" s="107"/>
      <c r="E94" s="136" t="s">
        <v>99</v>
      </c>
      <c r="F94" s="106"/>
      <c r="G94" s="140"/>
      <c r="H94" s="106"/>
      <c r="I94" s="138" t="str">
        <f aca="false">IFERROR(VLOOKUP(TEXT(H94,"0"),IPRESS!$A$3:$B$212,2,0),"")</f>
        <v/>
      </c>
      <c r="J94" s="106"/>
      <c r="K94" s="138" t="str">
        <f aca="false">IFERROR(VLOOKUP(TEXT(O94,"0"),CONDUCTORES!$A$3:$G$100,7,0),"")</f>
        <v/>
      </c>
      <c r="L94" s="50"/>
      <c r="M94" s="50"/>
      <c r="N94" s="139" t="str">
        <f aca="false">IFERROR(IF(L94*M94=0,"",L94*M94),"")</f>
        <v/>
      </c>
      <c r="O94" s="85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40"/>
      <c r="S94" s="107"/>
      <c r="T94" s="136"/>
      <c r="U94" s="140"/>
      <c r="V94" s="106"/>
      <c r="W94" s="106"/>
      <c r="X94" s="106"/>
      <c r="Y94" s="85"/>
    </row>
    <row r="95" customFormat="false" ht="15.75" hidden="false" customHeight="true" outlineLevel="0" collapsed="false">
      <c r="A95" s="46" t="n">
        <v>90</v>
      </c>
      <c r="B95" s="110"/>
      <c r="C95" s="46" t="s">
        <v>752</v>
      </c>
      <c r="D95" s="110"/>
      <c r="E95" s="46" t="s">
        <v>99</v>
      </c>
      <c r="F95" s="46"/>
      <c r="G95" s="85"/>
      <c r="H95" s="46"/>
      <c r="I95" s="138" t="str">
        <f aca="false">IFERROR(VLOOKUP(TEXT(H95,"0"),IPRESS!$A$3:$B$212,2,0),"")</f>
        <v/>
      </c>
      <c r="J95" s="46"/>
      <c r="K95" s="138" t="str">
        <f aca="false">IFERROR(VLOOKUP(TEXT(O95,"0"),CONDUCTORES!$A$3:$G$100,7,0),"")</f>
        <v/>
      </c>
      <c r="L95" s="44"/>
      <c r="M95" s="44"/>
      <c r="N95" s="139" t="str">
        <f aca="false">IFERROR(IF(L95*M95=0,"",L95*M95),"")</f>
        <v/>
      </c>
      <c r="O95" s="140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85"/>
      <c r="S95" s="110"/>
      <c r="T95" s="46"/>
      <c r="U95" s="85"/>
      <c r="V95" s="46"/>
      <c r="W95" s="46"/>
      <c r="X95" s="46"/>
      <c r="Y95" s="85"/>
    </row>
    <row r="96" customFormat="false" ht="15.75" hidden="false" customHeight="true" outlineLevel="0" collapsed="false">
      <c r="A96" s="106" t="n">
        <v>91</v>
      </c>
      <c r="B96" s="107"/>
      <c r="C96" s="106" t="s">
        <v>752</v>
      </c>
      <c r="D96" s="107"/>
      <c r="E96" s="136" t="s">
        <v>99</v>
      </c>
      <c r="F96" s="106"/>
      <c r="G96" s="140"/>
      <c r="H96" s="106"/>
      <c r="I96" s="138" t="str">
        <f aca="false">IFERROR(VLOOKUP(TEXT(H96,"0"),IPRESS!$A$3:$B$212,2,0),"")</f>
        <v/>
      </c>
      <c r="J96" s="106"/>
      <c r="K96" s="138" t="str">
        <f aca="false">IFERROR(VLOOKUP(TEXT(O96,"0"),CONDUCTORES!$A$3:$G$100,7,0),"")</f>
        <v/>
      </c>
      <c r="L96" s="50"/>
      <c r="M96" s="50"/>
      <c r="N96" s="139" t="str">
        <f aca="false">IFERROR(IF(L96*M96=0,"",L96*M96),"")</f>
        <v/>
      </c>
      <c r="O96" s="85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40"/>
      <c r="S96" s="107"/>
      <c r="T96" s="136"/>
      <c r="U96" s="140"/>
      <c r="V96" s="106"/>
      <c r="W96" s="106"/>
      <c r="X96" s="106"/>
      <c r="Y96" s="85"/>
    </row>
    <row r="97" customFormat="false" ht="15.75" hidden="false" customHeight="true" outlineLevel="0" collapsed="false">
      <c r="A97" s="46" t="n">
        <v>92</v>
      </c>
      <c r="B97" s="110"/>
      <c r="C97" s="46" t="s">
        <v>752</v>
      </c>
      <c r="D97" s="110"/>
      <c r="E97" s="46" t="s">
        <v>99</v>
      </c>
      <c r="F97" s="46"/>
      <c r="G97" s="85"/>
      <c r="H97" s="46"/>
      <c r="I97" s="138" t="str">
        <f aca="false">IFERROR(VLOOKUP(TEXT(H97,"0"),IPRESS!$A$3:$B$212,2,0),"")</f>
        <v/>
      </c>
      <c r="J97" s="46"/>
      <c r="K97" s="138" t="str">
        <f aca="false">IFERROR(VLOOKUP(TEXT(O97,"0"),CONDUCTORES!$A$3:$G$100,7,0),"")</f>
        <v/>
      </c>
      <c r="L97" s="44"/>
      <c r="M97" s="44"/>
      <c r="N97" s="139" t="str">
        <f aca="false">IFERROR(IF(L97*M97=0,"",L97*M97),"")</f>
        <v/>
      </c>
      <c r="O97" s="140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85"/>
      <c r="S97" s="110"/>
      <c r="T97" s="46"/>
      <c r="U97" s="85"/>
      <c r="V97" s="46"/>
      <c r="W97" s="46"/>
      <c r="X97" s="46"/>
      <c r="Y97" s="85"/>
    </row>
    <row r="98" customFormat="false" ht="15.75" hidden="false" customHeight="true" outlineLevel="0" collapsed="false">
      <c r="A98" s="106" t="n">
        <v>93</v>
      </c>
      <c r="B98" s="107"/>
      <c r="C98" s="106" t="s">
        <v>752</v>
      </c>
      <c r="D98" s="107"/>
      <c r="E98" s="136" t="s">
        <v>99</v>
      </c>
      <c r="F98" s="106"/>
      <c r="G98" s="140"/>
      <c r="H98" s="106"/>
      <c r="I98" s="138" t="str">
        <f aca="false">IFERROR(VLOOKUP(TEXT(H98,"0"),IPRESS!$A$3:$B$212,2,0),"")</f>
        <v/>
      </c>
      <c r="J98" s="106"/>
      <c r="K98" s="138" t="str">
        <f aca="false">IFERROR(VLOOKUP(TEXT(O98,"0"),CONDUCTORES!$A$3:$G$100,7,0),"")</f>
        <v/>
      </c>
      <c r="L98" s="50"/>
      <c r="M98" s="50"/>
      <c r="N98" s="139" t="str">
        <f aca="false">IFERROR(IF(L98*M98=0,"",L98*M98),"")</f>
        <v/>
      </c>
      <c r="O98" s="85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40"/>
      <c r="S98" s="107"/>
      <c r="T98" s="136"/>
      <c r="U98" s="140"/>
      <c r="V98" s="106"/>
      <c r="W98" s="106"/>
      <c r="X98" s="106"/>
      <c r="Y98" s="85"/>
    </row>
    <row r="99" customFormat="false" ht="15.75" hidden="false" customHeight="true" outlineLevel="0" collapsed="false">
      <c r="A99" s="46" t="n">
        <v>94</v>
      </c>
      <c r="B99" s="110"/>
      <c r="C99" s="46" t="s">
        <v>752</v>
      </c>
      <c r="D99" s="110"/>
      <c r="E99" s="46" t="s">
        <v>99</v>
      </c>
      <c r="F99" s="46"/>
      <c r="G99" s="85"/>
      <c r="H99" s="46"/>
      <c r="I99" s="138" t="str">
        <f aca="false">IFERROR(VLOOKUP(TEXT(H99,"0"),IPRESS!$A$3:$B$212,2,0),"")</f>
        <v/>
      </c>
      <c r="J99" s="46"/>
      <c r="K99" s="138" t="str">
        <f aca="false">IFERROR(VLOOKUP(TEXT(O99,"0"),CONDUCTORES!$A$3:$G$100,7,0),"")</f>
        <v/>
      </c>
      <c r="L99" s="44"/>
      <c r="M99" s="44"/>
      <c r="N99" s="139" t="str">
        <f aca="false">IFERROR(IF(L99*M99=0,"",L99*M99),"")</f>
        <v/>
      </c>
      <c r="O99" s="140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85"/>
      <c r="S99" s="110"/>
      <c r="T99" s="46"/>
      <c r="U99" s="85"/>
      <c r="V99" s="46"/>
      <c r="W99" s="46"/>
      <c r="X99" s="46"/>
      <c r="Y99" s="85"/>
    </row>
    <row r="100" customFormat="false" ht="15" hidden="false" customHeight="true" outlineLevel="0" collapsed="false">
      <c r="A100" s="85"/>
      <c r="B100" s="85"/>
      <c r="C100" s="85"/>
      <c r="D100" s="85"/>
      <c r="E100" s="85"/>
      <c r="F100" s="85"/>
      <c r="G100" s="85"/>
      <c r="H100" s="85"/>
      <c r="I100" s="138" t="str">
        <f aca="false">IFERROR(VLOOKUP(TEXT(H100,"0"),IPRESS!$A$3:$B$212,2,0),"")</f>
        <v/>
      </c>
      <c r="J100" s="85"/>
      <c r="K100" s="138" t="str">
        <f aca="false">IFERROR(VLOOKUP(TEXT(O100,"0"),CONDUCTORES!$A$3:$G$54,7,0),"")</f>
        <v/>
      </c>
      <c r="L100" s="85"/>
      <c r="M100" s="85"/>
      <c r="N100" s="139" t="str">
        <f aca="false">IFERROR(IF(L100*M100=0,"",L100*M100),"")</f>
        <v/>
      </c>
      <c r="O100" s="85"/>
      <c r="P100" s="138" t="str">
        <f aca="false">IFERROR(VLOOKUP(TEXT(O100,"0"),CONDUCTORES!$A$3:$G$54,2,0),"")</f>
        <v/>
      </c>
      <c r="Q100" s="138" t="str">
        <f aca="false">IFERROR(VLOOKUP(TEXT(O100,"0"),CONDUCTORES!$A$3:$H$54,6,0),"")</f>
        <v/>
      </c>
      <c r="R100" s="85"/>
      <c r="S100" s="85"/>
      <c r="T100" s="85"/>
      <c r="U100" s="85"/>
      <c r="V100" s="85"/>
      <c r="W100" s="85"/>
      <c r="X100" s="85"/>
      <c r="Y100" s="85"/>
    </row>
    <row r="101" customFormat="false" ht="24" hidden="false" customHeight="true" outlineLevel="0" collapsed="false">
      <c r="A101" s="148" t="s">
        <v>1177</v>
      </c>
      <c r="B101" s="148"/>
      <c r="C101" s="148"/>
      <c r="D101" s="148"/>
      <c r="E101" s="148"/>
      <c r="F101" s="148"/>
      <c r="G101" s="148"/>
      <c r="H101" s="148"/>
      <c r="I101" s="148"/>
      <c r="J101" s="148"/>
      <c r="K101" s="149"/>
      <c r="L101" s="85"/>
      <c r="M101" s="150" t="n">
        <f aca="false">SUBTOTAL(9,M4:M99)</f>
        <v>675.8</v>
      </c>
      <c r="N101" s="150" t="n">
        <f aca="false">SUBTOTAL(9,N4:N99)</f>
        <v>12614.415</v>
      </c>
      <c r="O101" s="85"/>
      <c r="P101" s="138" t="str">
        <f aca="false">IFERROR(VLOOKUP(TEXT(O101,"0"),CONDUCTORES!$A$3:$G$100,2,0),"")</f>
        <v/>
      </c>
      <c r="Q101" s="138" t="str">
        <f aca="false">IFERROR(VLOOKUP(TEXT(O101,"0"),CONDUCTORES!$A$3:$H$100,6,0),"")</f>
        <v/>
      </c>
      <c r="R101" s="85"/>
      <c r="S101" s="85"/>
      <c r="T101" s="85"/>
      <c r="U101" s="85"/>
      <c r="V101" s="85"/>
      <c r="W101" s="85"/>
      <c r="X101" s="85"/>
      <c r="Y101" s="85"/>
    </row>
    <row r="102" customFormat="false" ht="15" hidden="false" customHeight="true" outlineLevel="0" collapsed="false">
      <c r="A102" s="85"/>
      <c r="B102" s="85"/>
      <c r="C102" s="85"/>
      <c r="D102" s="85"/>
      <c r="E102" s="85"/>
      <c r="F102" s="85"/>
      <c r="G102" s="85"/>
      <c r="H102" s="85"/>
      <c r="I102" s="149"/>
      <c r="J102" s="85"/>
      <c r="K102" s="149"/>
      <c r="L102" s="85"/>
      <c r="M102" s="85"/>
      <c r="N102" s="151"/>
      <c r="O102" s="85"/>
      <c r="P102" s="149"/>
      <c r="Q102" s="149"/>
      <c r="R102" s="85"/>
      <c r="S102" s="85"/>
      <c r="T102" s="85"/>
      <c r="U102" s="85"/>
      <c r="V102" s="85"/>
      <c r="W102" s="85"/>
      <c r="X102" s="85"/>
      <c r="Y102" s="85"/>
    </row>
    <row r="103" customFormat="false" ht="15" hidden="false" customHeight="true" outlineLevel="0" collapsed="false">
      <c r="A103" s="140"/>
      <c r="B103" s="140"/>
      <c r="C103" s="140"/>
      <c r="D103" s="140"/>
      <c r="E103" s="140"/>
      <c r="F103" s="140"/>
      <c r="G103" s="140"/>
      <c r="H103" s="140"/>
      <c r="I103" s="149"/>
      <c r="J103" s="140"/>
      <c r="K103" s="149"/>
      <c r="L103" s="140"/>
      <c r="M103" s="140"/>
      <c r="N103" s="151"/>
      <c r="O103" s="140"/>
      <c r="P103" s="149"/>
      <c r="Q103" s="149"/>
      <c r="R103" s="140"/>
      <c r="S103" s="140"/>
      <c r="T103" s="140"/>
      <c r="U103" s="140"/>
      <c r="V103" s="140"/>
      <c r="W103" s="140"/>
      <c r="X103" s="140"/>
      <c r="Y103" s="140"/>
    </row>
    <row r="104" customFormat="false" ht="15" hidden="false" customHeight="true" outlineLevel="0" collapsed="false">
      <c r="A104" s="85"/>
      <c r="B104" s="85"/>
      <c r="C104" s="85"/>
      <c r="D104" s="85"/>
      <c r="E104" s="85"/>
      <c r="F104" s="85"/>
      <c r="G104" s="85"/>
      <c r="H104" s="85"/>
      <c r="I104" s="149"/>
      <c r="J104" s="85"/>
      <c r="K104" s="149"/>
      <c r="L104" s="85"/>
      <c r="M104" s="85"/>
      <c r="N104" s="151"/>
      <c r="O104" s="85"/>
      <c r="P104" s="149"/>
      <c r="Q104" s="149"/>
      <c r="R104" s="85"/>
      <c r="S104" s="85"/>
      <c r="T104" s="85"/>
      <c r="U104" s="85"/>
      <c r="V104" s="85"/>
      <c r="W104" s="85"/>
      <c r="X104" s="85"/>
      <c r="Y104" s="85"/>
    </row>
    <row r="105" customFormat="false" ht="15" hidden="false" customHeight="true" outlineLevel="0" collapsed="false">
      <c r="A105" s="140"/>
      <c r="B105" s="140"/>
      <c r="C105" s="140"/>
      <c r="D105" s="140"/>
      <c r="E105" s="140"/>
      <c r="F105" s="140"/>
      <c r="G105" s="140"/>
      <c r="H105" s="140"/>
      <c r="I105" s="149"/>
      <c r="J105" s="140"/>
      <c r="K105" s="149"/>
      <c r="L105" s="140"/>
      <c r="M105" s="140"/>
      <c r="N105" s="151"/>
      <c r="O105" s="140"/>
      <c r="P105" s="149"/>
      <c r="Q105" s="149"/>
      <c r="R105" s="140"/>
      <c r="S105" s="140"/>
      <c r="T105" s="140"/>
      <c r="U105" s="140"/>
      <c r="V105" s="140"/>
      <c r="W105" s="140"/>
      <c r="X105" s="140"/>
      <c r="Y105" s="140"/>
    </row>
    <row r="106" customFormat="false" ht="15" hidden="false" customHeight="true" outlineLevel="0" collapsed="false">
      <c r="A106" s="85"/>
      <c r="B106" s="85"/>
      <c r="C106" s="85"/>
      <c r="D106" s="85"/>
      <c r="E106" s="85"/>
      <c r="F106" s="85"/>
      <c r="G106" s="85"/>
      <c r="H106" s="85"/>
      <c r="I106" s="138" t="str">
        <f aca="false">IFERROR(VLOOKUP(TEXT(H106,"0"),IPRESS!$A$3:$B$212,2,0),"")</f>
        <v/>
      </c>
      <c r="J106" s="85"/>
      <c r="K106" s="138" t="str">
        <f aca="false">IFERROR(VLOOKUP(TEXT(O106,"0"),CONDUCTORES!$A$3:$G$54,7,0),"")</f>
        <v/>
      </c>
      <c r="L106" s="85"/>
      <c r="M106" s="85"/>
      <c r="N106" s="139" t="str">
        <f aca="false">IFERROR(IF(L106*M106=0,"",L106*M106),"")</f>
        <v/>
      </c>
      <c r="O106" s="85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85"/>
      <c r="S106" s="85"/>
      <c r="T106" s="85"/>
      <c r="U106" s="85"/>
      <c r="V106" s="85"/>
      <c r="W106" s="85"/>
      <c r="X106" s="85"/>
      <c r="Y106" s="85"/>
    </row>
    <row r="107" customFormat="false" ht="15" hidden="false" customHeight="true" outlineLevel="0" collapsed="false">
      <c r="A107" s="140"/>
      <c r="B107" s="140"/>
      <c r="C107" s="140"/>
      <c r="D107" s="140"/>
      <c r="E107" s="140"/>
      <c r="F107" s="140"/>
      <c r="G107" s="140"/>
      <c r="H107" s="140"/>
      <c r="I107" s="138" t="str">
        <f aca="false">IFERROR(VLOOKUP(TEXT(H107,"0"),IPRESS!$A$3:$B$212,2,0),"")</f>
        <v/>
      </c>
      <c r="J107" s="140"/>
      <c r="K107" s="138" t="str">
        <f aca="false">IFERROR(VLOOKUP(TEXT(O107,"0"),CONDUCTORES!$A$3:$G$54,7,0),"")</f>
        <v/>
      </c>
      <c r="L107" s="140"/>
      <c r="M107" s="140"/>
      <c r="N107" s="139" t="str">
        <f aca="false">IFERROR(IF(L107*M107=0,"",L107*M107),"")</f>
        <v/>
      </c>
      <c r="O107" s="140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140"/>
      <c r="S107" s="140"/>
      <c r="T107" s="140"/>
      <c r="U107" s="140"/>
      <c r="V107" s="140"/>
      <c r="W107" s="140"/>
      <c r="X107" s="140"/>
      <c r="Y107" s="140"/>
    </row>
    <row r="108" customFormat="false" ht="15" hidden="false" customHeight="true" outlineLevel="0" collapsed="false">
      <c r="A108" s="85"/>
      <c r="B108" s="85"/>
      <c r="C108" s="85"/>
      <c r="D108" s="85"/>
      <c r="E108" s="85"/>
      <c r="F108" s="85"/>
      <c r="G108" s="85"/>
      <c r="H108" s="85"/>
      <c r="I108" s="138" t="str">
        <f aca="false">IFERROR(VLOOKUP(TEXT(H108,"0"),IPRESS!$A$3:$B$212,2,0),"")</f>
        <v/>
      </c>
      <c r="J108" s="85"/>
      <c r="K108" s="138" t="str">
        <f aca="false">IFERROR(VLOOKUP(TEXT(O108,"0"),CONDUCTORES!$A$3:$G$54,7,0),"")</f>
        <v/>
      </c>
      <c r="L108" s="85"/>
      <c r="M108" s="85"/>
      <c r="N108" s="139" t="str">
        <f aca="false">IFERROR(IF(L108*M108=0,"",L108*M108),"")</f>
        <v/>
      </c>
      <c r="O108" s="85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85"/>
      <c r="S108" s="85"/>
      <c r="T108" s="85"/>
      <c r="U108" s="85"/>
      <c r="V108" s="85"/>
      <c r="W108" s="85"/>
      <c r="X108" s="85"/>
      <c r="Y108" s="85"/>
    </row>
    <row r="109" customFormat="false" ht="15" hidden="false" customHeight="true" outlineLevel="0" collapsed="false">
      <c r="A109" s="140"/>
      <c r="B109" s="140"/>
      <c r="C109" s="140"/>
      <c r="D109" s="140"/>
      <c r="E109" s="140"/>
      <c r="F109" s="140"/>
      <c r="G109" s="140"/>
      <c r="H109" s="140"/>
      <c r="I109" s="138" t="str">
        <f aca="false">IFERROR(VLOOKUP(TEXT(H109,"0"),IPRESS!$A$3:$B$212,2,0),"")</f>
        <v/>
      </c>
      <c r="J109" s="140"/>
      <c r="K109" s="138" t="str">
        <f aca="false">IFERROR(VLOOKUP(TEXT(O109,"0"),CONDUCTORES!$A$3:$G$54,7,0),"")</f>
        <v/>
      </c>
      <c r="L109" s="140"/>
      <c r="M109" s="140"/>
      <c r="N109" s="139" t="str">
        <f aca="false">IFERROR(IF(L109*M109=0,"",L109*M109),"")</f>
        <v/>
      </c>
      <c r="O109" s="140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140"/>
      <c r="S109" s="140"/>
      <c r="T109" s="140"/>
      <c r="U109" s="140"/>
      <c r="V109" s="140"/>
      <c r="W109" s="140"/>
      <c r="X109" s="140"/>
      <c r="Y109" s="140"/>
    </row>
    <row r="110" customFormat="false" ht="15" hidden="false" customHeight="true" outlineLevel="0" collapsed="false">
      <c r="A110" s="85"/>
      <c r="B110" s="85"/>
      <c r="C110" s="85"/>
      <c r="D110" s="85"/>
      <c r="E110" s="85"/>
      <c r="F110" s="85"/>
      <c r="G110" s="85"/>
      <c r="H110" s="85"/>
      <c r="I110" s="138" t="str">
        <f aca="false">IFERROR(VLOOKUP(TEXT(H110,"0"),IPRESS!$A$3:$B$212,2,0),"")</f>
        <v/>
      </c>
      <c r="J110" s="85"/>
      <c r="K110" s="138" t="str">
        <f aca="false">IFERROR(VLOOKUP(TEXT(O110,"0"),CONDUCTORES!$A$3:$G$54,7,0),"")</f>
        <v/>
      </c>
      <c r="L110" s="85"/>
      <c r="M110" s="85"/>
      <c r="N110" s="139" t="str">
        <f aca="false">IFERROR(IF(L110*M110=0,"",L110*M110),"")</f>
        <v/>
      </c>
      <c r="O110" s="85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85"/>
      <c r="S110" s="85"/>
      <c r="T110" s="85"/>
      <c r="U110" s="85"/>
      <c r="V110" s="85"/>
      <c r="W110" s="85"/>
      <c r="X110" s="85"/>
      <c r="Y110" s="85"/>
    </row>
    <row r="111" customFormat="false" ht="15" hidden="false" customHeight="true" outlineLevel="0" collapsed="false">
      <c r="A111" s="140"/>
      <c r="B111" s="140"/>
      <c r="C111" s="140"/>
      <c r="D111" s="140"/>
      <c r="E111" s="140"/>
      <c r="F111" s="140"/>
      <c r="G111" s="140"/>
      <c r="H111" s="140"/>
      <c r="I111" s="138" t="str">
        <f aca="false">IFERROR(VLOOKUP(TEXT(H111,"0"),IPRESS!$A$3:$B$212,2,0),"")</f>
        <v/>
      </c>
      <c r="J111" s="140"/>
      <c r="K111" s="138" t="str">
        <f aca="false">IFERROR(VLOOKUP(TEXT(O111,"0"),CONDUCTORES!$A$3:$G$54,7,0),"")</f>
        <v/>
      </c>
      <c r="L111" s="140"/>
      <c r="M111" s="140"/>
      <c r="N111" s="139" t="str">
        <f aca="false">IFERROR(IF(L111*M111=0,"",L111*M111),"")</f>
        <v/>
      </c>
      <c r="O111" s="140"/>
      <c r="P111" s="138" t="str">
        <f aca="false">IFERROR(VLOOKUP(TEXT(O111,"0"),CONDUCTORES!$A$3:$G$54,2,0),"")</f>
        <v/>
      </c>
      <c r="Q111" s="138" t="str">
        <f aca="false">IFERROR(VLOOKUP(TEXT(O111,"0"),CONDUCTORES!$A$3:$H$54,6,0),"")</f>
        <v/>
      </c>
      <c r="R111" s="140"/>
      <c r="S111" s="140"/>
      <c r="T111" s="140"/>
      <c r="U111" s="140"/>
      <c r="V111" s="140"/>
      <c r="W111" s="140"/>
      <c r="X111" s="140"/>
      <c r="Y111" s="140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38" t="str">
        <f aca="false">IFERROR(VLOOKUP(TEXT(H112,"0"),IPRESS!$A$3:$B$212,2,0),"")</f>
        <v/>
      </c>
      <c r="J112" s="85"/>
      <c r="K112" s="138" t="str">
        <f aca="false">IFERROR(VLOOKUP(TEXT(O112,"0"),CONDUCTORES!$A$3:$G$54,7,0),"")</f>
        <v/>
      </c>
      <c r="L112" s="85"/>
      <c r="M112" s="85"/>
      <c r="N112" s="139" t="str">
        <f aca="false">IFERROR(IF(L112*M112=0,"",L112*M112),"")</f>
        <v/>
      </c>
      <c r="O112" s="85"/>
      <c r="P112" s="138" t="str">
        <f aca="false">IFERROR(VLOOKUP(TEXT(O112,"0"),CONDUCTORES!$A$3:$G$54,2,0),"")</f>
        <v/>
      </c>
      <c r="Q112" s="138" t="str">
        <f aca="false">IFERROR(VLOOKUP(TEXT(O112,"0"),CONDUCTORES!$A$3:$H$54,6,0),"")</f>
        <v/>
      </c>
      <c r="R112" s="85"/>
      <c r="S112" s="85"/>
      <c r="T112" s="85"/>
      <c r="U112" s="85"/>
      <c r="V112" s="85"/>
      <c r="W112" s="85"/>
      <c r="X112" s="85"/>
      <c r="Y112" s="85"/>
    </row>
    <row r="113" customFormat="false" ht="15" hidden="false" customHeight="true" outlineLevel="0" collapsed="false">
      <c r="A113" s="140"/>
      <c r="B113" s="140"/>
      <c r="C113" s="140"/>
      <c r="D113" s="140"/>
      <c r="E113" s="140"/>
      <c r="F113" s="140"/>
      <c r="G113" s="140"/>
      <c r="H113" s="140"/>
      <c r="I113" s="138" t="str">
        <f aca="false">IFERROR(VLOOKUP(TEXT(H113,"0"),IPRESS!$A$3:$B$212,2,0),"")</f>
        <v/>
      </c>
      <c r="J113" s="140"/>
      <c r="K113" s="138" t="str">
        <f aca="false">IFERROR(VLOOKUP(TEXT(O113,"0"),CONDUCTORES!$A$3:$G$54,7,0),"")</f>
        <v/>
      </c>
      <c r="L113" s="140"/>
      <c r="M113" s="140"/>
      <c r="N113" s="139" t="str">
        <f aca="false">IFERROR(IF(L113*M113=0,"",L113*M113),"")</f>
        <v/>
      </c>
      <c r="O113" s="140"/>
      <c r="P113" s="138" t="str">
        <f aca="false">IFERROR(VLOOKUP(TEXT(O113,"0"),CONDUCTORES!$A$3:$G$54,2,0),"")</f>
        <v/>
      </c>
      <c r="Q113" s="138" t="str">
        <f aca="false">IFERROR(VLOOKUP(TEXT(O113,"0"),CONDUCTORES!$A$3:$H$54,6,0),"")</f>
        <v/>
      </c>
      <c r="R113" s="140"/>
      <c r="S113" s="140"/>
      <c r="T113" s="140"/>
      <c r="U113" s="140"/>
      <c r="V113" s="140"/>
      <c r="W113" s="140"/>
      <c r="X113" s="140"/>
      <c r="Y113" s="140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38" t="str">
        <f aca="false">IFERROR(VLOOKUP(TEXT(H114,"0"),IPRESS!$A$3:$B$212,2,0),"")</f>
        <v/>
      </c>
      <c r="J114" s="85"/>
      <c r="K114" s="138" t="str">
        <f aca="false">IFERROR(VLOOKUP(TEXT(O114,"0"),CONDUCTORES!$A$3:$G$54,7,0),"")</f>
        <v/>
      </c>
      <c r="L114" s="85"/>
      <c r="M114" s="85"/>
      <c r="N114" s="139" t="str">
        <f aca="false">IFERROR(IF(L114*M114=0,"",L114*M114),"")</f>
        <v/>
      </c>
      <c r="O114" s="85"/>
      <c r="P114" s="138" t="str">
        <f aca="false">IFERROR(VLOOKUP(TEXT(O114,"0"),CONDUCTORES!$A$3:$G$54,2,0),"")</f>
        <v/>
      </c>
      <c r="Q114" s="138" t="str">
        <f aca="false">IFERROR(VLOOKUP(TEXT(O114,"0"),CONDUCTORES!$A$3:$H$54,6,0),"")</f>
        <v/>
      </c>
      <c r="R114" s="85"/>
      <c r="S114" s="85"/>
      <c r="T114" s="85"/>
      <c r="U114" s="85"/>
      <c r="V114" s="85"/>
      <c r="W114" s="85"/>
      <c r="X114" s="85"/>
      <c r="Y114" s="85"/>
    </row>
    <row r="115" customFormat="false" ht="15" hidden="false" customHeight="true" outlineLevel="0" collapsed="false">
      <c r="A115" s="140"/>
      <c r="B115" s="140"/>
      <c r="C115" s="140"/>
      <c r="D115" s="140"/>
      <c r="E115" s="140"/>
      <c r="F115" s="140"/>
      <c r="G115" s="140"/>
      <c r="H115" s="140"/>
      <c r="I115" s="138" t="str">
        <f aca="false">IFERROR(VLOOKUP(TEXT(H115,"0"),IPRESS!$A$3:$B$212,2,0),"")</f>
        <v/>
      </c>
      <c r="J115" s="140"/>
      <c r="K115" s="138" t="str">
        <f aca="false">IFERROR(VLOOKUP(TEXT(O115,"0"),CONDUCTORES!$A$3:$G$54,7,0),"")</f>
        <v/>
      </c>
      <c r="L115" s="140"/>
      <c r="M115" s="140"/>
      <c r="N115" s="139" t="str">
        <f aca="false">IFERROR(IF(L115*M115=0,"",L115*M115),"")</f>
        <v/>
      </c>
      <c r="O115" s="140"/>
      <c r="P115" s="138" t="str">
        <f aca="false">IFERROR(VLOOKUP(TEXT(O115,"0"),CONDUCTORES!$A$3:$G$54,2,0),"")</f>
        <v/>
      </c>
      <c r="Q115" s="138" t="str">
        <f aca="false">IFERROR(VLOOKUP(TEXT(O115,"0"),CONDUCTORES!$A$3:$H$54,6,0),"")</f>
        <v/>
      </c>
      <c r="R115" s="140"/>
      <c r="S115" s="140"/>
      <c r="T115" s="140"/>
      <c r="U115" s="140"/>
      <c r="V115" s="140"/>
      <c r="W115" s="140"/>
      <c r="X115" s="140"/>
      <c r="Y115" s="140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38" t="str">
        <f aca="false">IFERROR(VLOOKUP(TEXT(H116,"0"),IPRESS!$A$3:$B$212,2,0),"")</f>
        <v/>
      </c>
      <c r="J116" s="85"/>
      <c r="K116" s="138" t="str">
        <f aca="false">IFERROR(VLOOKUP(TEXT(O116,"0"),CONDUCTORES!$A$3:$G$54,7,0),"")</f>
        <v/>
      </c>
      <c r="L116" s="85"/>
      <c r="M116" s="85"/>
      <c r="N116" s="139" t="str">
        <f aca="false">IFERROR(IF(L116*M116=0,"",L116*M116),"")</f>
        <v/>
      </c>
      <c r="O116" s="85"/>
      <c r="P116" s="138" t="str">
        <f aca="false">IFERROR(VLOOKUP(TEXT(O116,"0"),CONDUCTORES!$A$3:$G$54,2,0),"")</f>
        <v/>
      </c>
      <c r="Q116" s="138" t="str">
        <f aca="false">IFERROR(VLOOKUP(TEXT(O116,"0"),CONDUCTORES!$A$3:$H$54,6,0),"")</f>
        <v/>
      </c>
      <c r="R116" s="85"/>
      <c r="S116" s="85"/>
      <c r="T116" s="85"/>
      <c r="U116" s="85"/>
      <c r="V116" s="85"/>
      <c r="W116" s="85"/>
      <c r="X116" s="85"/>
      <c r="Y116" s="85"/>
    </row>
    <row r="117" customFormat="false" ht="15" hidden="false" customHeight="true" outlineLevel="0" collapsed="false">
      <c r="A117" s="140"/>
      <c r="B117" s="140"/>
      <c r="C117" s="140"/>
      <c r="D117" s="140"/>
      <c r="E117" s="140"/>
      <c r="F117" s="140"/>
      <c r="G117" s="140"/>
      <c r="H117" s="140"/>
      <c r="I117" s="138" t="str">
        <f aca="false">IFERROR(VLOOKUP(TEXT(H117,"0"),IPRESS!$A$3:$B$212,2,0),"")</f>
        <v/>
      </c>
      <c r="J117" s="140"/>
      <c r="K117" s="138" t="str">
        <f aca="false">IFERROR(VLOOKUP(TEXT(O117,"0"),CONDUCTORES!$A$3:$G$54,7,0),"")</f>
        <v/>
      </c>
      <c r="L117" s="140"/>
      <c r="M117" s="140"/>
      <c r="N117" s="139" t="str">
        <f aca="false">IFERROR(IF(L117*M117=0,"",L117*M117),"")</f>
        <v/>
      </c>
      <c r="O117" s="140"/>
      <c r="P117" s="138" t="str">
        <f aca="false">IFERROR(VLOOKUP(TEXT(O117,"0"),CONDUCTORES!$A$3:$G$54,2,0),"")</f>
        <v/>
      </c>
      <c r="Q117" s="138" t="str">
        <f aca="false">IFERROR(VLOOKUP(TEXT(O117,"0"),CONDUCTORES!$A$3:$H$54,6,0),"")</f>
        <v/>
      </c>
      <c r="R117" s="140"/>
      <c r="S117" s="140"/>
      <c r="T117" s="140"/>
      <c r="U117" s="140"/>
      <c r="V117" s="140"/>
      <c r="W117" s="140"/>
      <c r="X117" s="140"/>
      <c r="Y117" s="140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38" t="str">
        <f aca="false">IFERROR(VLOOKUP(TEXT(O118,"0"),CONDUCTORES!$A$3:$G$54,7,0),"")</f>
        <v/>
      </c>
      <c r="L118" s="85"/>
      <c r="M118" s="85"/>
      <c r="N118" s="139" t="str">
        <f aca="false">IFERROR(IF(L118*M118=0,"",L118*M118),"")</f>
        <v/>
      </c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</row>
    <row r="119" customFormat="false" ht="15" hidden="false" customHeight="true" outlineLevel="0" collapsed="false">
      <c r="A119" s="140"/>
      <c r="B119" s="140"/>
      <c r="C119" s="140"/>
      <c r="D119" s="140"/>
      <c r="E119" s="140"/>
      <c r="F119" s="140"/>
      <c r="G119" s="140"/>
      <c r="H119" s="140"/>
      <c r="I119" s="138" t="str">
        <f aca="false">IFERROR(VLOOKUP(TEXT(H119,"0"),IPRESS!$A$3:$B$212,2,0),"")</f>
        <v/>
      </c>
      <c r="J119" s="140"/>
      <c r="K119" s="138" t="str">
        <f aca="false">IFERROR(VLOOKUP(TEXT(O119,"0"),CONDUCTORES!$A$3:$G$54,7,0),"")</f>
        <v/>
      </c>
      <c r="L119" s="140"/>
      <c r="M119" s="140"/>
      <c r="N119" s="139" t="str">
        <f aca="false">IFERROR(IF(L119*M119=0,"",L119*M119),"")</f>
        <v/>
      </c>
      <c r="O119" s="140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140"/>
      <c r="S119" s="140"/>
      <c r="T119" s="140"/>
      <c r="U119" s="140"/>
      <c r="V119" s="140"/>
      <c r="W119" s="140"/>
      <c r="X119" s="140"/>
      <c r="Y119" s="140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1351.6</v>
      </c>
      <c r="N506" s="153" t="n">
        <f aca="false">SUM(N6:N505)</f>
        <v>25228.83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01:J101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</conditionalFormatting>
  <conditionalFormatting sqref="K6:K505">
    <cfRule type="expression" priority="4" aboveAverage="0" equalAverage="0" bottom="0" percent="0" rank="0" text="" dxfId="8">
      <formula>EXACT(K6,"GASOLINA")</formula>
    </cfRule>
  </conditionalFormatting>
  <conditionalFormatting sqref="Y4:Y130">
    <cfRule type="expression" priority="5" aboveAverage="0" equalAverage="0" bottom="0" percent="0" rank="0" text="" dxfId="9">
      <formula>Y4&lt;&gt;""</formula>
    </cfRule>
  </conditionalFormatting>
  <dataValidations count="4"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00 E102:E505" type="list">
      <formula1>"DNI,CE,PASAPORTE"</formula1>
      <formula2>0</formula2>
    </dataValidation>
    <dataValidation allowBlank="true" errorStyle="stop" operator="between" showDropDown="false" showErrorMessage="false" showInputMessage="false" sqref="Y5:Y130" type="list">
      <formula1>CONDUCTORES!$H$3:$H$104</formula1>
      <formula2>0</formula2>
    </dataValidation>
    <dataValidation allowBlank="true" errorStyle="stop" operator="between" showDropDown="false" showErrorMessage="false" showInputMessage="false" sqref="T6:T505" type="list">
      <formula1>"APROBADO,PENDIENTE,OBSERVADO"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33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22" t="s">
        <v>4526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IFERROR(SUMPRODUCT((K6:K99="PETROLEO")*ISNUMBER(M6:M99)*M6:M99),0)</f>
        <v>630.55</v>
      </c>
      <c r="E2" s="124"/>
      <c r="F2" s="124"/>
      <c r="G2" s="123" t="s">
        <v>725</v>
      </c>
      <c r="H2" s="123"/>
      <c r="I2" s="123"/>
      <c r="J2" s="124" t="n">
        <f aca="false">IFERROR(SUMPRODUCT((K6:K99="GASOLINA")*ISNUMBER(M6:M99)*M6:M99),0)</f>
        <v>36</v>
      </c>
      <c r="K2" s="124"/>
      <c r="L2" s="124"/>
      <c r="M2" s="123" t="s">
        <v>726</v>
      </c>
      <c r="N2" s="123"/>
      <c r="O2" s="123"/>
      <c r="P2" s="125" t="n">
        <f aca="false">IFERROR(SUMPRODUCT(ISNUMBER(M6:M99)*L6:L99*M6:M99),0)</f>
        <v>12522.6675</v>
      </c>
      <c r="Q2" s="125"/>
      <c r="R2" s="125"/>
      <c r="S2" s="123" t="s">
        <v>727</v>
      </c>
      <c r="T2" s="123"/>
      <c r="U2" s="126" t="n">
        <f aca="false">SUBTOTAL(2,A6:A99)</f>
        <v>5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3" t="s">
        <v>4527</v>
      </c>
      <c r="Q5" s="133" t="s">
        <v>104</v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55" t="s">
        <v>729</v>
      </c>
      <c r="Z5" s="156" t="s">
        <v>4528</v>
      </c>
    </row>
    <row r="6" customFormat="false" ht="15.75" hidden="true" customHeight="true" outlineLevel="0" collapsed="false">
      <c r="A6" s="106" t="n">
        <v>1</v>
      </c>
      <c r="B6" s="107" t="s">
        <v>4293</v>
      </c>
      <c r="C6" s="106" t="s">
        <v>752</v>
      </c>
      <c r="D6" s="107" t="s">
        <v>4529</v>
      </c>
      <c r="E6" s="136" t="s">
        <v>99</v>
      </c>
      <c r="F6" s="106" t="s">
        <v>4530</v>
      </c>
      <c r="G6" s="137" t="n">
        <v>46023</v>
      </c>
      <c r="H6" s="106" t="s">
        <v>595</v>
      </c>
      <c r="I6" s="138" t="str">
        <f aca="false">IFERROR(VLOOKUP(TEXT(H6,"0"),IPRESS!$A$3:$B$212,2,0),"")</f>
        <v>POMACOCHAS</v>
      </c>
      <c r="J6" s="106" t="s">
        <v>755</v>
      </c>
      <c r="K6" s="138" t="s">
        <v>14</v>
      </c>
      <c r="L6" s="50" t="n">
        <v>18.18</v>
      </c>
      <c r="M6" s="50" t="n">
        <v>6</v>
      </c>
      <c r="N6" s="139" t="n">
        <f aca="false">IFERROR(IF(L6*M6=0,"",L6*M6),"")</f>
        <v>109.08</v>
      </c>
      <c r="O6" s="106" t="s">
        <v>248</v>
      </c>
      <c r="P6" s="138" t="str">
        <f aca="false">IFERROR(VLOOKUP(TEXT(O6,"0"),CONDUCTORES!$A$3:$G$100,2,0),"")</f>
        <v>CARRERA ARAUJO JEINER</v>
      </c>
      <c r="Q6" s="138" t="str">
        <f aca="false">IFERROR(VLOOKUP(TEXT(O6,"0"),CONDUCTORES!$A$3:$H$100,6,0),"")</f>
        <v>EUH747</v>
      </c>
      <c r="R6" s="137"/>
      <c r="S6" s="107" t="s">
        <v>4531</v>
      </c>
      <c r="T6" s="136" t="s">
        <v>758</v>
      </c>
      <c r="U6" s="140"/>
      <c r="V6" s="107"/>
      <c r="W6" s="106"/>
      <c r="X6" s="106"/>
      <c r="Y6" s="85"/>
      <c r="Z6" s="157" t="str">
        <f aca="false">IF(AND(R6&lt;&gt;"",V6&lt;&gt;"",W6&lt;&gt;"",X6&lt;&gt;""),"ENTREGADO","POR RECOGER")</f>
        <v>POR RECOGER</v>
      </c>
      <c r="AA6" s="4"/>
      <c r="AB6" s="4"/>
      <c r="AC6" s="4"/>
    </row>
    <row r="7" customFormat="false" ht="15.75" hidden="true" customHeight="true" outlineLevel="0" collapsed="false">
      <c r="A7" s="46" t="n">
        <v>2</v>
      </c>
      <c r="B7" s="110" t="s">
        <v>1493</v>
      </c>
      <c r="C7" s="46" t="s">
        <v>752</v>
      </c>
      <c r="D7" s="110" t="s">
        <v>4532</v>
      </c>
      <c r="E7" s="46" t="s">
        <v>99</v>
      </c>
      <c r="F7" s="46" t="s">
        <v>4533</v>
      </c>
      <c r="G7" s="142" t="n">
        <v>46024</v>
      </c>
      <c r="H7" s="46" t="s">
        <v>408</v>
      </c>
      <c r="I7" s="138" t="str">
        <f aca="false">IFERROR(VLOOKUP(TEXT(H7,"0"),IPRESS!$A$3:$B$212,2,0),"")</f>
        <v>COLCAMAR</v>
      </c>
      <c r="J7" s="46" t="s">
        <v>755</v>
      </c>
      <c r="K7" s="138" t="s">
        <v>14</v>
      </c>
      <c r="L7" s="44" t="n">
        <v>18.18</v>
      </c>
      <c r="M7" s="44" t="n">
        <v>7</v>
      </c>
      <c r="N7" s="139" t="n">
        <f aca="false">IFERROR(IF(L7*M7=0,"",L7*M7),"")</f>
        <v>127.26</v>
      </c>
      <c r="O7" s="46" t="s">
        <v>113</v>
      </c>
      <c r="P7" s="138" t="str">
        <f aca="false">IFERROR(VLOOKUP(TEXT(O7,"0"),CONDUCTORES!$A$3:$G$100,2,0),"")</f>
        <v>BUELOT VISALOT CARLO MAGNO</v>
      </c>
      <c r="Q7" s="138" t="str">
        <f aca="false">IFERROR(VLOOKUP(TEXT(O7,"0"),CONDUCTORES!$A$3:$H$100,6,0),"")</f>
        <v>EUD 634</v>
      </c>
      <c r="R7" s="85"/>
      <c r="S7" s="110" t="s">
        <v>1487</v>
      </c>
      <c r="T7" s="46" t="s">
        <v>758</v>
      </c>
      <c r="U7" s="85"/>
      <c r="V7" s="110"/>
      <c r="W7" s="46"/>
      <c r="X7" s="46"/>
      <c r="Y7" s="85"/>
      <c r="Z7" s="157" t="str">
        <f aca="false">IF(AND(R7&lt;&gt;"",V7&lt;&gt;"",W7&lt;&gt;"",X7&lt;&gt;""),"ENTREGADO","POR RECOGER")</f>
        <v>POR RECOGER</v>
      </c>
      <c r="AA7" s="4"/>
      <c r="AB7" s="4"/>
      <c r="AC7" s="4"/>
    </row>
    <row r="8" customFormat="false" ht="15.75" hidden="true" customHeight="true" outlineLevel="0" collapsed="false">
      <c r="A8" s="106" t="n">
        <v>3</v>
      </c>
      <c r="B8" s="107" t="s">
        <v>4534</v>
      </c>
      <c r="C8" s="106" t="s">
        <v>752</v>
      </c>
      <c r="D8" s="107" t="s">
        <v>4535</v>
      </c>
      <c r="E8" s="136" t="s">
        <v>99</v>
      </c>
      <c r="F8" s="106" t="s">
        <v>4536</v>
      </c>
      <c r="G8" s="137" t="n">
        <v>46024</v>
      </c>
      <c r="H8" s="106" t="s">
        <v>529</v>
      </c>
      <c r="I8" s="138" t="str">
        <f aca="false">IFERROR(VLOOKUP(TEXT(H8,"0"),IPRESS!$A$3:$B$212,2,0),"")</f>
        <v>MARIA AUXILIADORA</v>
      </c>
      <c r="J8" s="106" t="s">
        <v>755</v>
      </c>
      <c r="K8" s="138" t="s">
        <v>14</v>
      </c>
      <c r="L8" s="50" t="n">
        <v>20.25</v>
      </c>
      <c r="M8" s="50" t="n">
        <v>7</v>
      </c>
      <c r="N8" s="139" t="n">
        <f aca="false">IFERROR(IF(L8*M8=0,"",L8*M8),"")</f>
        <v>141.75</v>
      </c>
      <c r="O8" s="106" t="s">
        <v>145</v>
      </c>
      <c r="P8" s="138" t="str">
        <f aca="false">IFERROR(VLOOKUP(TEXT(O8,"0"),CONDUCTORES!$A$3:$G$100,2,0),"")</f>
        <v>SERNAQUE PELAEZ WILMER</v>
      </c>
      <c r="Q8" s="138" t="str">
        <f aca="false">IFERROR(VLOOKUP(TEXT(O8,"0"),CONDUCTORES!$A$3:$H$100,6,0),"")</f>
        <v>EUH-421</v>
      </c>
      <c r="R8" s="140"/>
      <c r="S8" s="107" t="s">
        <v>4537</v>
      </c>
      <c r="T8" s="136" t="s">
        <v>758</v>
      </c>
      <c r="U8" s="140"/>
      <c r="V8" s="107"/>
      <c r="W8" s="106"/>
      <c r="X8" s="106"/>
      <c r="Y8" s="85"/>
      <c r="Z8" s="157" t="str">
        <f aca="false">IF(AND(R8&lt;&gt;"",V8&lt;&gt;"",W8&lt;&gt;"",X8&lt;&gt;""),"ENTREGADO","POR RECOGER")</f>
        <v>POR RECOGER</v>
      </c>
      <c r="AA8" s="4"/>
      <c r="AB8" s="4"/>
      <c r="AC8" s="4"/>
    </row>
    <row r="9" customFormat="false" ht="15.75" hidden="true" customHeight="true" outlineLevel="0" collapsed="false">
      <c r="A9" s="46" t="n">
        <v>4</v>
      </c>
      <c r="B9" s="110" t="s">
        <v>4538</v>
      </c>
      <c r="C9" s="46" t="s">
        <v>752</v>
      </c>
      <c r="D9" s="110" t="s">
        <v>4539</v>
      </c>
      <c r="E9" s="46" t="s">
        <v>99</v>
      </c>
      <c r="F9" s="46" t="s">
        <v>4540</v>
      </c>
      <c r="G9" s="142" t="n">
        <v>46025</v>
      </c>
      <c r="H9" s="46" t="s">
        <v>529</v>
      </c>
      <c r="I9" s="138" t="str">
        <f aca="false">IFERROR(VLOOKUP(TEXT(H9,"0"),IPRESS!$A$3:$B$212,2,0),"")</f>
        <v>MARIA AUXILIADORA</v>
      </c>
      <c r="J9" s="46" t="s">
        <v>755</v>
      </c>
      <c r="K9" s="138" t="s">
        <v>14</v>
      </c>
      <c r="L9" s="44" t="n">
        <v>20.25</v>
      </c>
      <c r="M9" s="44" t="n">
        <v>7</v>
      </c>
      <c r="N9" s="139" t="n">
        <f aca="false">IFERROR(IF(L9*M9=0,"",L9*M9),"")</f>
        <v>141.75</v>
      </c>
      <c r="O9" s="46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85"/>
      <c r="S9" s="110" t="s">
        <v>4541</v>
      </c>
      <c r="T9" s="46" t="s">
        <v>758</v>
      </c>
      <c r="U9" s="85"/>
      <c r="V9" s="110"/>
      <c r="W9" s="46"/>
      <c r="X9" s="46"/>
      <c r="Y9" s="85"/>
      <c r="Z9" s="157" t="str">
        <f aca="false">IF(AND(R9&lt;&gt;"",V9&lt;&gt;"",W9&lt;&gt;"",X9&lt;&gt;""),"ENTREGADO","POR RECOGER")</f>
        <v>POR RECOGER</v>
      </c>
      <c r="AA9" s="4"/>
      <c r="AB9" s="4"/>
      <c r="AC9" s="4"/>
    </row>
    <row r="10" customFormat="false" ht="15.75" hidden="true" customHeight="true" outlineLevel="0" collapsed="false">
      <c r="A10" s="106" t="n">
        <v>5</v>
      </c>
      <c r="B10" s="107" t="s">
        <v>4542</v>
      </c>
      <c r="C10" s="106" t="s">
        <v>752</v>
      </c>
      <c r="D10" s="107" t="s">
        <v>4543</v>
      </c>
      <c r="E10" s="136" t="s">
        <v>99</v>
      </c>
      <c r="F10" s="106" t="s">
        <v>4544</v>
      </c>
      <c r="G10" s="137" t="n">
        <v>46026</v>
      </c>
      <c r="H10" s="106" t="s">
        <v>529</v>
      </c>
      <c r="I10" s="138" t="str">
        <f aca="false">IFERROR(VLOOKUP(TEXT(H10,"0"),IPRESS!$A$3:$B$212,2,0),"")</f>
        <v>MARIA AUXILIADORA</v>
      </c>
      <c r="J10" s="106" t="s">
        <v>755</v>
      </c>
      <c r="K10" s="138" t="s">
        <v>14</v>
      </c>
      <c r="L10" s="50" t="n">
        <v>20.25</v>
      </c>
      <c r="M10" s="50" t="n">
        <v>7</v>
      </c>
      <c r="N10" s="139" t="n">
        <f aca="false">IFERROR(IF(L10*M10=0,"",L10*M10),"")</f>
        <v>141.75</v>
      </c>
      <c r="O10" s="106" t="s">
        <v>148</v>
      </c>
      <c r="P10" s="138" t="str">
        <f aca="false">IFERROR(VLOOKUP(TEXT(O10,"0"),CONDUCTORES!$A$3:$G$100,2,0),"")</f>
        <v>ROJAS ALVARADO BENJAMIN</v>
      </c>
      <c r="Q10" s="138" t="str">
        <f aca="false">IFERROR(VLOOKUP(TEXT(O10,"0"),CONDUCTORES!$A$3:$H$100,6,0),"")</f>
        <v>421 EUH</v>
      </c>
      <c r="R10" s="140"/>
      <c r="S10" s="107" t="s">
        <v>4545</v>
      </c>
      <c r="T10" s="136" t="s">
        <v>758</v>
      </c>
      <c r="U10" s="140"/>
      <c r="V10" s="107"/>
      <c r="W10" s="106"/>
      <c r="X10" s="106"/>
      <c r="Y10" s="85"/>
      <c r="Z10" s="157" t="str">
        <f aca="false">IF(AND(R10&lt;&gt;"",V10&lt;&gt;"",W10&lt;&gt;"",X10&lt;&gt;""),"ENTREGADO","POR RECOGER")</f>
        <v>POR RECOGER</v>
      </c>
      <c r="AA10" s="4"/>
      <c r="AB10" s="4"/>
      <c r="AC10" s="4"/>
    </row>
    <row r="11" customFormat="false" ht="15.75" hidden="true" customHeight="true" outlineLevel="0" collapsed="false">
      <c r="A11" s="46" t="n">
        <v>6</v>
      </c>
      <c r="B11" s="110" t="s">
        <v>1498</v>
      </c>
      <c r="C11" s="46" t="s">
        <v>752</v>
      </c>
      <c r="D11" s="110" t="s">
        <v>4546</v>
      </c>
      <c r="E11" s="46" t="s">
        <v>99</v>
      </c>
      <c r="F11" s="46" t="s">
        <v>4547</v>
      </c>
      <c r="G11" s="142" t="n">
        <v>46027</v>
      </c>
      <c r="H11" s="46" t="s">
        <v>408</v>
      </c>
      <c r="I11" s="138" t="str">
        <f aca="false">IFERROR(VLOOKUP(TEXT(H11,"0"),IPRESS!$A$3:$B$212,2,0),"")</f>
        <v>COLCAMAR</v>
      </c>
      <c r="J11" s="46" t="s">
        <v>755</v>
      </c>
      <c r="K11" s="138" t="s">
        <v>14</v>
      </c>
      <c r="L11" s="44" t="n">
        <v>18.18</v>
      </c>
      <c r="M11" s="44" t="n">
        <v>7</v>
      </c>
      <c r="N11" s="139" t="n">
        <f aca="false">IFERROR(IF(L11*M11=0,"",L11*M11),"")</f>
        <v>127.26</v>
      </c>
      <c r="O11" s="46" t="s">
        <v>113</v>
      </c>
      <c r="P11" s="138" t="str">
        <f aca="false">IFERROR(VLOOKUP(TEXT(O11,"0"),CONDUCTORES!$A$3:$G$100,2,0),"")</f>
        <v>BUELOT VISALOT CARLO MAGNO</v>
      </c>
      <c r="Q11" s="138" t="str">
        <f aca="false">IFERROR(VLOOKUP(TEXT(O11,"0"),CONDUCTORES!$A$3:$H$100,6,0),"")</f>
        <v>EUD 634</v>
      </c>
      <c r="R11" s="85"/>
      <c r="S11" s="110" t="s">
        <v>891</v>
      </c>
      <c r="T11" s="46" t="s">
        <v>758</v>
      </c>
      <c r="U11" s="85"/>
      <c r="V11" s="110"/>
      <c r="W11" s="46"/>
      <c r="X11" s="46"/>
      <c r="Y11" s="85"/>
      <c r="Z11" s="157" t="str">
        <f aca="false">IF(AND(R11&lt;&gt;"",V11&lt;&gt;"",W11&lt;&gt;"",X11&lt;&gt;""),"ENTREGADO","POR RECOGER")</f>
        <v>POR RECOGER</v>
      </c>
      <c r="AA11" s="4"/>
      <c r="AB11" s="4"/>
      <c r="AC11" s="4"/>
    </row>
    <row r="12" customFormat="false" ht="15.75" hidden="true" customHeight="true" outlineLevel="0" collapsed="false">
      <c r="A12" s="106" t="n">
        <v>7</v>
      </c>
      <c r="B12" s="107" t="s">
        <v>4548</v>
      </c>
      <c r="C12" s="106" t="s">
        <v>752</v>
      </c>
      <c r="D12" s="107" t="s">
        <v>4549</v>
      </c>
      <c r="E12" s="136" t="s">
        <v>99</v>
      </c>
      <c r="F12" s="106" t="s">
        <v>4550</v>
      </c>
      <c r="G12" s="137" t="n">
        <v>46027</v>
      </c>
      <c r="H12" s="106" t="s">
        <v>529</v>
      </c>
      <c r="I12" s="138" t="str">
        <f aca="false">IFERROR(VLOOKUP(TEXT(H12,"0"),IPRESS!$A$3:$B$212,2,0),"")</f>
        <v>MARIA AUXILIADORA</v>
      </c>
      <c r="J12" s="106" t="s">
        <v>755</v>
      </c>
      <c r="K12" s="138" t="s">
        <v>14</v>
      </c>
      <c r="L12" s="50" t="n">
        <v>20.25</v>
      </c>
      <c r="M12" s="50" t="n">
        <v>7</v>
      </c>
      <c r="N12" s="139" t="n">
        <f aca="false">IFERROR(IF(L12*M12=0,"",L12*M12),"")</f>
        <v>141.75</v>
      </c>
      <c r="O12" s="69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40"/>
      <c r="S12" s="107" t="s">
        <v>4551</v>
      </c>
      <c r="T12" s="136" t="s">
        <v>758</v>
      </c>
      <c r="U12" s="140"/>
      <c r="V12" s="107"/>
      <c r="W12" s="106"/>
      <c r="X12" s="106"/>
      <c r="Y12" s="85"/>
      <c r="Z12" s="157" t="str">
        <f aca="false">IF(AND(R12&lt;&gt;"",V12&lt;&gt;"",W12&lt;&gt;"",X12&lt;&gt;""),"ENTREGADO","POR RECOGER")</f>
        <v>POR RECOGER</v>
      </c>
      <c r="AA12" s="4"/>
      <c r="AB12" s="4"/>
      <c r="AC12" s="4"/>
    </row>
    <row r="13" customFormat="false" ht="15.75" hidden="true" customHeight="true" outlineLevel="0" collapsed="false">
      <c r="A13" s="158" t="n">
        <v>8</v>
      </c>
      <c r="B13" s="159" t="s">
        <v>4552</v>
      </c>
      <c r="C13" s="158" t="s">
        <v>752</v>
      </c>
      <c r="D13" s="159" t="s">
        <v>4553</v>
      </c>
      <c r="E13" s="158" t="s">
        <v>99</v>
      </c>
      <c r="F13" s="158" t="s">
        <v>4554</v>
      </c>
      <c r="G13" s="160" t="n">
        <v>46028</v>
      </c>
      <c r="H13" s="158" t="s">
        <v>529</v>
      </c>
      <c r="I13" s="138" t="str">
        <f aca="false">IFERROR(VLOOKUP(TEXT(H13,"0"),IPRESS!$A$3:$B$212,2,0),"")</f>
        <v>MARIA AUXILIADORA</v>
      </c>
      <c r="J13" s="158" t="s">
        <v>755</v>
      </c>
      <c r="K13" s="138" t="s">
        <v>14</v>
      </c>
      <c r="L13" s="161" t="n">
        <v>20.25</v>
      </c>
      <c r="M13" s="161" t="n">
        <v>10</v>
      </c>
      <c r="N13" s="139" t="n">
        <f aca="false">IFERROR(IF(L13*M13=0,"",L13*M13),"")</f>
        <v>202.5</v>
      </c>
      <c r="O13" s="158" t="s">
        <v>153</v>
      </c>
      <c r="P13" s="138" t="str">
        <f aca="false">IFERROR(VLOOKUP(TEXT(O13,"0"),CONDUCTORES!$A$3:$G$100,2,0),"")</f>
        <v>LOPEZ HOYOS MIGUEL ANGEL</v>
      </c>
      <c r="Q13" s="138" t="str">
        <f aca="false">IFERROR(VLOOKUP(TEXT(O13,"0"),CONDUCTORES!$A$3:$H$100,6,0),"")</f>
        <v>EUH-698</v>
      </c>
      <c r="R13" s="162"/>
      <c r="S13" s="159" t="s">
        <v>4555</v>
      </c>
      <c r="T13" s="158" t="s">
        <v>758</v>
      </c>
      <c r="U13" s="162"/>
      <c r="V13" s="159"/>
      <c r="W13" s="158"/>
      <c r="X13" s="158"/>
      <c r="Y13" s="163" t="s">
        <v>48</v>
      </c>
      <c r="Z13" s="157" t="str">
        <f aca="false">IF(AND(R13&lt;&gt;"",V13&lt;&gt;"",W13&lt;&gt;"",X13&lt;&gt;""),"ENTREGADO","POR RECOGER")</f>
        <v>POR RECOGER</v>
      </c>
      <c r="AA13" s="4"/>
      <c r="AB13" s="4"/>
      <c r="AC13" s="4"/>
    </row>
    <row r="14" customFormat="false" ht="15.75" hidden="true" customHeight="true" outlineLevel="0" collapsed="false">
      <c r="A14" s="106" t="n">
        <v>9</v>
      </c>
      <c r="B14" s="107" t="s">
        <v>1674</v>
      </c>
      <c r="C14" s="106" t="s">
        <v>752</v>
      </c>
      <c r="D14" s="107" t="s">
        <v>4556</v>
      </c>
      <c r="E14" s="136" t="s">
        <v>99</v>
      </c>
      <c r="F14" s="106" t="s">
        <v>4557</v>
      </c>
      <c r="G14" s="137" t="n">
        <v>45663</v>
      </c>
      <c r="H14" s="106" t="s">
        <v>483</v>
      </c>
      <c r="I14" s="138" t="str">
        <f aca="false">IFERROR(VLOOKUP(TEXT(H14,"0"),IPRESS!$A$3:$B$212,2,0),"")</f>
        <v>JUMBILLA</v>
      </c>
      <c r="J14" s="106" t="s">
        <v>595</v>
      </c>
      <c r="K14" s="138" t="s">
        <v>14</v>
      </c>
      <c r="L14" s="50" t="n">
        <v>18.18</v>
      </c>
      <c r="M14" s="50" t="n">
        <v>5</v>
      </c>
      <c r="N14" s="139" t="n">
        <f aca="false">IFERROR(IF(L14*M14=0,"",L14*M14),"")</f>
        <v>90.9</v>
      </c>
      <c r="O14" s="106" t="s">
        <v>166</v>
      </c>
      <c r="P14" s="138" t="str">
        <f aca="false">IFERROR(VLOOKUP(TEXT(O14,"0"),CONDUCTORES!$A$3:$G$100,2,0),"")</f>
        <v>BRICENO OXOLON MANUEL</v>
      </c>
      <c r="Q14" s="138" t="str">
        <f aca="false">IFERROR(VLOOKUP(TEXT(O14,"0"),CONDUCTORES!$A$3:$H$100,6,0),"")</f>
        <v>EUC976</v>
      </c>
      <c r="R14" s="140"/>
      <c r="S14" s="107" t="s">
        <v>1292</v>
      </c>
      <c r="T14" s="136" t="s">
        <v>758</v>
      </c>
      <c r="U14" s="140"/>
      <c r="V14" s="107"/>
      <c r="W14" s="106"/>
      <c r="X14" s="106"/>
      <c r="Y14" s="85"/>
      <c r="Z14" s="157" t="str">
        <f aca="false">IF(AND(R14&lt;&gt;"",V14&lt;&gt;"",W14&lt;&gt;"",X14&lt;&gt;""),"ENTREGADO","POR RECOGER")</f>
        <v>POR RECOGER</v>
      </c>
      <c r="AA14" s="4"/>
      <c r="AB14" s="4"/>
      <c r="AC14" s="4"/>
    </row>
    <row r="15" customFormat="false" ht="15.75" hidden="true" customHeight="true" outlineLevel="0" collapsed="false">
      <c r="A15" s="46" t="n">
        <v>10</v>
      </c>
      <c r="B15" s="110" t="s">
        <v>4558</v>
      </c>
      <c r="C15" s="46" t="s">
        <v>752</v>
      </c>
      <c r="D15" s="110" t="s">
        <v>4559</v>
      </c>
      <c r="E15" s="46" t="s">
        <v>99</v>
      </c>
      <c r="F15" s="46" t="s">
        <v>4560</v>
      </c>
      <c r="G15" s="142" t="n">
        <v>46029</v>
      </c>
      <c r="H15" s="46" t="s">
        <v>529</v>
      </c>
      <c r="I15" s="138" t="str">
        <f aca="false">IFERROR(VLOOKUP(TEXT(H15,"0"),IPRESS!$A$3:$B$212,2,0),"")</f>
        <v>MARIA AUXILIADORA</v>
      </c>
      <c r="J15" s="46" t="s">
        <v>755</v>
      </c>
      <c r="K15" s="138" t="s">
        <v>14</v>
      </c>
      <c r="L15" s="44" t="n">
        <v>20.25</v>
      </c>
      <c r="M15" s="44" t="n">
        <v>7</v>
      </c>
      <c r="N15" s="139" t="n">
        <f aca="false">IFERROR(IF(L15*M15=0,"",L15*M15),"")</f>
        <v>141.75</v>
      </c>
      <c r="O15" s="46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85"/>
      <c r="S15" s="110" t="s">
        <v>4561</v>
      </c>
      <c r="T15" s="46" t="s">
        <v>758</v>
      </c>
      <c r="U15" s="85"/>
      <c r="V15" s="110"/>
      <c r="W15" s="46"/>
      <c r="X15" s="46"/>
      <c r="Y15" s="85"/>
      <c r="Z15" s="157" t="str">
        <f aca="false">IF(AND(R15&lt;&gt;"",V15&lt;&gt;"",W15&lt;&gt;"",X15&lt;&gt;""),"ENTREGADO","POR RECOGER")</f>
        <v>POR RECOGER</v>
      </c>
      <c r="AA15" s="4"/>
      <c r="AB15" s="4"/>
      <c r="AC15" s="4"/>
    </row>
    <row r="16" customFormat="false" ht="15.75" hidden="true" customHeight="true" outlineLevel="0" collapsed="false">
      <c r="A16" s="106" t="n">
        <v>11</v>
      </c>
      <c r="B16" s="107" t="s">
        <v>4562</v>
      </c>
      <c r="C16" s="106" t="s">
        <v>752</v>
      </c>
      <c r="D16" s="107" t="s">
        <v>4563</v>
      </c>
      <c r="E16" s="136" t="s">
        <v>99</v>
      </c>
      <c r="F16" s="106" t="s">
        <v>4564</v>
      </c>
      <c r="G16" s="137" t="n">
        <v>46030</v>
      </c>
      <c r="H16" s="106" t="s">
        <v>529</v>
      </c>
      <c r="I16" s="138" t="str">
        <f aca="false">IFERROR(VLOOKUP(TEXT(H16,"0"),IPRESS!$A$3:$B$212,2,0),"")</f>
        <v>MARIA AUXILIADORA</v>
      </c>
      <c r="J16" s="106" t="s">
        <v>755</v>
      </c>
      <c r="K16" s="138" t="s">
        <v>14</v>
      </c>
      <c r="L16" s="50" t="n">
        <v>20.25</v>
      </c>
      <c r="M16" s="50" t="n">
        <v>7</v>
      </c>
      <c r="N16" s="139" t="n">
        <f aca="false">IFERROR(IF(L16*M16=0,"",L16*M16),"")</f>
        <v>141.75</v>
      </c>
      <c r="O16" s="106" t="s">
        <v>148</v>
      </c>
      <c r="P16" s="138" t="str">
        <f aca="false">IFERROR(VLOOKUP(TEXT(O16,"0"),CONDUCTORES!$A$3:$G$100,2,0),"")</f>
        <v>ROJAS ALVARADO BENJAMIN</v>
      </c>
      <c r="Q16" s="138" t="str">
        <f aca="false">IFERROR(VLOOKUP(TEXT(O16,"0"),CONDUCTORES!$A$3:$H$100,6,0),"")</f>
        <v>421 EUH</v>
      </c>
      <c r="R16" s="140"/>
      <c r="S16" s="107" t="s">
        <v>1487</v>
      </c>
      <c r="T16" s="136" t="s">
        <v>758</v>
      </c>
      <c r="U16" s="140"/>
      <c r="V16" s="107"/>
      <c r="W16" s="106"/>
      <c r="X16" s="106"/>
      <c r="Y16" s="85"/>
      <c r="Z16" s="157" t="str">
        <f aca="false">IF(AND(R16&lt;&gt;"",V16&lt;&gt;"",W16&lt;&gt;"",X16&lt;&gt;""),"ENTREGADO","POR RECOGER")</f>
        <v>POR RECOGER</v>
      </c>
      <c r="AA16" s="4"/>
      <c r="AB16" s="4"/>
      <c r="AC16" s="4"/>
    </row>
    <row r="17" customFormat="false" ht="15.75" hidden="true" customHeight="true" outlineLevel="0" collapsed="false">
      <c r="A17" s="46" t="n">
        <v>12</v>
      </c>
      <c r="B17" s="110" t="s">
        <v>4565</v>
      </c>
      <c r="C17" s="46" t="s">
        <v>752</v>
      </c>
      <c r="D17" s="110" t="s">
        <v>4566</v>
      </c>
      <c r="E17" s="46" t="s">
        <v>99</v>
      </c>
      <c r="F17" s="46" t="s">
        <v>4567</v>
      </c>
      <c r="G17" s="142" t="n">
        <v>46031</v>
      </c>
      <c r="H17" s="46" t="s">
        <v>529</v>
      </c>
      <c r="I17" s="138" t="str">
        <f aca="false">IFERROR(VLOOKUP(TEXT(H17,"0"),IPRESS!$A$3:$B$212,2,0),"")</f>
        <v>MARIA AUXILIADORA</v>
      </c>
      <c r="J17" s="46" t="s">
        <v>755</v>
      </c>
      <c r="K17" s="138" t="s">
        <v>14</v>
      </c>
      <c r="L17" s="44" t="n">
        <v>20.25</v>
      </c>
      <c r="M17" s="44" t="n">
        <v>7</v>
      </c>
      <c r="N17" s="139" t="n">
        <f aca="false">IFERROR(IF(L17*M17=0,"",L17*M17),"")</f>
        <v>141.75</v>
      </c>
      <c r="O17" s="46" t="n">
        <v>9990954</v>
      </c>
      <c r="P17" s="138" t="str">
        <f aca="false">IFERROR(VLOOKUP(TEXT(O17,"0"),CONDUCTORES!$A$3:$G$100,2,0),"")</f>
        <v>TRIGOSO TAFUR JOSE GILBER</v>
      </c>
      <c r="Q17" s="138" t="str">
        <f aca="false">IFERROR(VLOOKUP(TEXT(O17,"0"),CONDUCTORES!$A$3:$H$100,6,0),"")</f>
        <v>EUH 421</v>
      </c>
      <c r="R17" s="85"/>
      <c r="S17" s="110" t="s">
        <v>4568</v>
      </c>
      <c r="T17" s="46" t="s">
        <v>758</v>
      </c>
      <c r="U17" s="85"/>
      <c r="V17" s="110"/>
      <c r="W17" s="46"/>
      <c r="X17" s="46"/>
      <c r="Y17" s="85"/>
      <c r="Z17" s="157" t="str">
        <f aca="false">IF(AND(R17&lt;&gt;"",V17&lt;&gt;"",W17&lt;&gt;"",X17&lt;&gt;""),"ENTREGADO","POR RECOGER")</f>
        <v>POR RECOGER</v>
      </c>
      <c r="AA17" s="4"/>
      <c r="AB17" s="4"/>
      <c r="AC17" s="4"/>
    </row>
    <row r="18" customFormat="false" ht="15.75" hidden="true" customHeight="true" outlineLevel="0" collapsed="false">
      <c r="A18" s="106" t="n">
        <v>13</v>
      </c>
      <c r="B18" s="107" t="s">
        <v>4569</v>
      </c>
      <c r="C18" s="106" t="s">
        <v>752</v>
      </c>
      <c r="D18" s="107" t="s">
        <v>4570</v>
      </c>
      <c r="E18" s="136" t="s">
        <v>99</v>
      </c>
      <c r="F18" s="106" t="s">
        <v>4571</v>
      </c>
      <c r="G18" s="137" t="n">
        <v>46032</v>
      </c>
      <c r="H18" s="106" t="s">
        <v>529</v>
      </c>
      <c r="I18" s="138" t="str">
        <f aca="false">IFERROR(VLOOKUP(TEXT(H18,"0"),IPRESS!$A$3:$B$212,2,0),"")</f>
        <v>MARIA AUXILIADORA</v>
      </c>
      <c r="J18" s="106" t="s">
        <v>755</v>
      </c>
      <c r="K18" s="138" t="s">
        <v>14</v>
      </c>
      <c r="L18" s="50" t="n">
        <v>20.25</v>
      </c>
      <c r="M18" s="50" t="n">
        <v>6.8</v>
      </c>
      <c r="N18" s="139" t="n">
        <f aca="false">IFERROR(IF(L18*M18=0,"",L18*M18),"")</f>
        <v>137.7</v>
      </c>
      <c r="O18" s="106" t="s">
        <v>133</v>
      </c>
      <c r="P18" s="138" t="str">
        <f aca="false">IFERROR(VLOOKUP(TEXT(O18,"0"),CONDUCTORES!$A$3:$G$100,2,0),"")</f>
        <v>TRIGOSO TAFUR JOSE GILBER</v>
      </c>
      <c r="Q18" s="138" t="str">
        <f aca="false">IFERROR(VLOOKUP(TEXT(O18,"0"),CONDUCTORES!$A$3:$H$100,6,0),"")</f>
        <v>EUH 421</v>
      </c>
      <c r="R18" s="140"/>
      <c r="S18" s="107" t="s">
        <v>4572</v>
      </c>
      <c r="T18" s="136" t="s">
        <v>758</v>
      </c>
      <c r="U18" s="140"/>
      <c r="V18" s="107"/>
      <c r="W18" s="106"/>
      <c r="X18" s="106"/>
      <c r="Y18" s="85"/>
      <c r="Z18" s="157" t="str">
        <f aca="false">IF(AND(R18&lt;&gt;"",V18&lt;&gt;"",W18&lt;&gt;"",X18&lt;&gt;""),"ENTREGADO","POR RECOGER")</f>
        <v>POR RECOGER</v>
      </c>
      <c r="AA18" s="4"/>
      <c r="AB18" s="4"/>
      <c r="AC18" s="4"/>
    </row>
    <row r="19" customFormat="false" ht="15.75" hidden="true" customHeight="true" outlineLevel="0" collapsed="false">
      <c r="A19" s="46" t="n">
        <v>14</v>
      </c>
      <c r="B19" s="110" t="s">
        <v>4573</v>
      </c>
      <c r="C19" s="46" t="s">
        <v>752</v>
      </c>
      <c r="D19" s="110" t="s">
        <v>4574</v>
      </c>
      <c r="E19" s="46" t="s">
        <v>99</v>
      </c>
      <c r="F19" s="46" t="s">
        <v>4575</v>
      </c>
      <c r="G19" s="142" t="n">
        <v>46034</v>
      </c>
      <c r="H19" s="46" t="s">
        <v>529</v>
      </c>
      <c r="I19" s="138" t="str">
        <f aca="false">IFERROR(VLOOKUP(TEXT(H19,"0"),IPRESS!$A$3:$B$212,2,0),"")</f>
        <v>MARIA AUXILIADORA</v>
      </c>
      <c r="J19" s="46" t="s">
        <v>755</v>
      </c>
      <c r="K19" s="138" t="s">
        <v>14</v>
      </c>
      <c r="L19" s="44" t="n">
        <v>20.25</v>
      </c>
      <c r="M19" s="44" t="n">
        <v>5</v>
      </c>
      <c r="N19" s="139" t="n">
        <f aca="false">IFERROR(IF(L19*M19=0,"",L19*M19),"")</f>
        <v>101.25</v>
      </c>
      <c r="O19" s="46" t="s">
        <v>148</v>
      </c>
      <c r="P19" s="138" t="str">
        <f aca="false">IFERROR(VLOOKUP(TEXT(O19,"0"),CONDUCTORES!$A$3:$G$100,2,0),"")</f>
        <v>ROJAS ALVARADO BENJAMIN</v>
      </c>
      <c r="Q19" s="138" t="str">
        <f aca="false">IFERROR(VLOOKUP(TEXT(O19,"0"),CONDUCTORES!$A$3:$H$100,6,0),"")</f>
        <v>421 EUH</v>
      </c>
      <c r="R19" s="85"/>
      <c r="S19" s="110" t="s">
        <v>4576</v>
      </c>
      <c r="T19" s="46" t="s">
        <v>758</v>
      </c>
      <c r="U19" s="85"/>
      <c r="V19" s="110"/>
      <c r="W19" s="46"/>
      <c r="X19" s="46"/>
      <c r="Y19" s="85"/>
      <c r="Z19" s="157" t="str">
        <f aca="false">IF(AND(R19&lt;&gt;"",V19&lt;&gt;"",W19&lt;&gt;"",X19&lt;&gt;""),"ENTREGADO","POR RECOGER")</f>
        <v>POR RECOGER</v>
      </c>
      <c r="AA19" s="4"/>
      <c r="AB19" s="4"/>
      <c r="AC19" s="4"/>
    </row>
    <row r="20" customFormat="false" ht="15.75" hidden="true" customHeight="true" outlineLevel="0" collapsed="false">
      <c r="A20" s="106" t="n">
        <v>15</v>
      </c>
      <c r="B20" s="107" t="s">
        <v>4277</v>
      </c>
      <c r="C20" s="106" t="s">
        <v>752</v>
      </c>
      <c r="D20" s="107" t="s">
        <v>4577</v>
      </c>
      <c r="E20" s="136" t="s">
        <v>99</v>
      </c>
      <c r="F20" s="106" t="s">
        <v>4578</v>
      </c>
      <c r="G20" s="137" t="n">
        <v>46036</v>
      </c>
      <c r="H20" s="106" t="s">
        <v>595</v>
      </c>
      <c r="I20" s="138" t="str">
        <f aca="false">IFERROR(VLOOKUP(TEXT(H20,"0"),IPRESS!$A$3:$B$212,2,0),"")</f>
        <v>POMACOCHAS</v>
      </c>
      <c r="J20" s="106" t="s">
        <v>755</v>
      </c>
      <c r="K20" s="138" t="s">
        <v>14</v>
      </c>
      <c r="L20" s="50" t="n">
        <v>18.18</v>
      </c>
      <c r="M20" s="50" t="n">
        <v>6</v>
      </c>
      <c r="N20" s="139" t="n">
        <f aca="false">IFERROR(IF(L20*M20=0,"",L20*M20),"")</f>
        <v>109.08</v>
      </c>
      <c r="O20" s="106" t="s">
        <v>248</v>
      </c>
      <c r="P20" s="138" t="str">
        <f aca="false">IFERROR(VLOOKUP(TEXT(O20,"0"),CONDUCTORES!$A$3:$G$100,2,0),"")</f>
        <v>CARRERA ARAUJO JEINER</v>
      </c>
      <c r="Q20" s="138" t="str">
        <f aca="false">IFERROR(VLOOKUP(TEXT(O20,"0"),CONDUCTORES!$A$3:$H$100,6,0),"")</f>
        <v>EUH747</v>
      </c>
      <c r="R20" s="140"/>
      <c r="S20" s="107" t="s">
        <v>4579</v>
      </c>
      <c r="T20" s="136" t="s">
        <v>758</v>
      </c>
      <c r="U20" s="140"/>
      <c r="V20" s="107"/>
      <c r="W20" s="106"/>
      <c r="X20" s="106"/>
      <c r="Y20" s="85"/>
      <c r="Z20" s="157" t="str">
        <f aca="false">IF(AND(R20&lt;&gt;"",V20&lt;&gt;"",W20&lt;&gt;"",X20&lt;&gt;""),"ENTREGADO","POR RECOGER")</f>
        <v>POR RECOGER</v>
      </c>
      <c r="AA20" s="4"/>
      <c r="AB20" s="4"/>
      <c r="AC20" s="4"/>
    </row>
    <row r="21" customFormat="false" ht="15.75" hidden="true" customHeight="true" outlineLevel="0" collapsed="false">
      <c r="A21" s="46" t="n">
        <v>16</v>
      </c>
      <c r="B21" s="110" t="s">
        <v>4580</v>
      </c>
      <c r="C21" s="46" t="s">
        <v>752</v>
      </c>
      <c r="D21" s="110" t="s">
        <v>4581</v>
      </c>
      <c r="E21" s="46" t="s">
        <v>99</v>
      </c>
      <c r="F21" s="46" t="s">
        <v>4582</v>
      </c>
      <c r="G21" s="142" t="n">
        <v>46036</v>
      </c>
      <c r="H21" s="46" t="s">
        <v>529</v>
      </c>
      <c r="I21" s="138" t="str">
        <f aca="false">IFERROR(VLOOKUP(TEXT(H21,"0"),IPRESS!$A$3:$B$212,2,0),"")</f>
        <v>MARIA AUXILIADORA</v>
      </c>
      <c r="J21" s="46" t="s">
        <v>755</v>
      </c>
      <c r="K21" s="138" t="s">
        <v>14</v>
      </c>
      <c r="L21" s="44" t="n">
        <v>20.25</v>
      </c>
      <c r="M21" s="44" t="n">
        <v>7</v>
      </c>
      <c r="N21" s="139" t="n">
        <f aca="false">IFERROR(IF(L21*M21=0,"",L21*M21),"")</f>
        <v>141.75</v>
      </c>
      <c r="O21" s="46" t="s">
        <v>133</v>
      </c>
      <c r="P21" s="138" t="str">
        <f aca="false">IFERROR(VLOOKUP(TEXT(O21,"0"),CONDUCTORES!$A$3:$G$100,2,0),"")</f>
        <v>TRIGOSO TAFUR JOSE GILBER</v>
      </c>
      <c r="Q21" s="138" t="str">
        <f aca="false">IFERROR(VLOOKUP(TEXT(O21,"0"),CONDUCTORES!$A$3:$H$100,6,0),"")</f>
        <v>EUH 421</v>
      </c>
      <c r="R21" s="85"/>
      <c r="S21" s="110" t="s">
        <v>4583</v>
      </c>
      <c r="T21" s="46" t="s">
        <v>758</v>
      </c>
      <c r="U21" s="85"/>
      <c r="V21" s="110"/>
      <c r="W21" s="46"/>
      <c r="X21" s="46"/>
      <c r="Y21" s="85"/>
      <c r="Z21" s="157" t="str">
        <f aca="false">IF(AND(R21&lt;&gt;"",V21&lt;&gt;"",W21&lt;&gt;"",X21&lt;&gt;""),"ENTREGADO","POR RECOGER")</f>
        <v>POR RECOGER</v>
      </c>
      <c r="AA21" s="4"/>
      <c r="AB21" s="4"/>
      <c r="AC21" s="4"/>
    </row>
    <row r="22" customFormat="false" ht="15.75" hidden="true" customHeight="true" outlineLevel="0" collapsed="false">
      <c r="A22" s="106" t="n">
        <v>17</v>
      </c>
      <c r="B22" s="107" t="s">
        <v>4339</v>
      </c>
      <c r="C22" s="106" t="s">
        <v>752</v>
      </c>
      <c r="D22" s="107" t="s">
        <v>4584</v>
      </c>
      <c r="E22" s="136" t="s">
        <v>99</v>
      </c>
      <c r="F22" s="106" t="s">
        <v>4585</v>
      </c>
      <c r="G22" s="137" t="n">
        <v>46039</v>
      </c>
      <c r="H22" s="106" t="s">
        <v>595</v>
      </c>
      <c r="I22" s="138" t="str">
        <f aca="false">IFERROR(VLOOKUP(TEXT(H22,"0"),IPRESS!$A$3:$B$212,2,0),"")</f>
        <v>POMACOCHAS</v>
      </c>
      <c r="J22" s="106" t="s">
        <v>755</v>
      </c>
      <c r="K22" s="138" t="s">
        <v>14</v>
      </c>
      <c r="L22" s="50" t="n">
        <v>18.18</v>
      </c>
      <c r="M22" s="50" t="n">
        <v>6</v>
      </c>
      <c r="N22" s="139" t="n">
        <f aca="false">IFERROR(IF(L22*M22=0,"",L22*M22),"")</f>
        <v>109.08</v>
      </c>
      <c r="O22" s="106" t="s">
        <v>248</v>
      </c>
      <c r="P22" s="138" t="str">
        <f aca="false">IFERROR(VLOOKUP(TEXT(O22,"0"),CONDUCTORES!$A$3:$G$100,2,0),"")</f>
        <v>CARRERA ARAUJO JEINER</v>
      </c>
      <c r="Q22" s="138" t="str">
        <f aca="false">IFERROR(VLOOKUP(TEXT(O22,"0"),CONDUCTORES!$A$3:$H$100,6,0),"")</f>
        <v>EUH747</v>
      </c>
      <c r="R22" s="140"/>
      <c r="S22" s="107" t="s">
        <v>860</v>
      </c>
      <c r="T22" s="136" t="s">
        <v>758</v>
      </c>
      <c r="U22" s="140"/>
      <c r="V22" s="107"/>
      <c r="W22" s="106"/>
      <c r="X22" s="106"/>
      <c r="Y22" s="85"/>
      <c r="Z22" s="157" t="str">
        <f aca="false">IF(AND(R22&lt;&gt;"",V22&lt;&gt;"",W22&lt;&gt;"",X22&lt;&gt;""),"ENTREGADO","POR RECOGER")</f>
        <v>POR RECOGER</v>
      </c>
      <c r="AA22" s="4"/>
      <c r="AB22" s="4"/>
      <c r="AC22" s="4"/>
    </row>
    <row r="23" customFormat="false" ht="15.75" hidden="true" customHeight="true" outlineLevel="0" collapsed="false">
      <c r="A23" s="46" t="n">
        <v>18</v>
      </c>
      <c r="B23" s="110" t="s">
        <v>4586</v>
      </c>
      <c r="C23" s="46" t="s">
        <v>752</v>
      </c>
      <c r="D23" s="110" t="s">
        <v>4587</v>
      </c>
      <c r="E23" s="46" t="s">
        <v>99</v>
      </c>
      <c r="F23" s="46" t="s">
        <v>4588</v>
      </c>
      <c r="G23" s="142" t="n">
        <v>46039</v>
      </c>
      <c r="H23" s="46" t="s">
        <v>529</v>
      </c>
      <c r="I23" s="138" t="str">
        <f aca="false">IFERROR(VLOOKUP(TEXT(H23,"0"),IPRESS!$A$3:$B$212,2,0),"")</f>
        <v>MARIA AUXILIADORA</v>
      </c>
      <c r="J23" s="46" t="s">
        <v>755</v>
      </c>
      <c r="K23" s="138" t="s">
        <v>14</v>
      </c>
      <c r="L23" s="44" t="n">
        <v>20.25</v>
      </c>
      <c r="M23" s="44" t="n">
        <v>7</v>
      </c>
      <c r="N23" s="139" t="n">
        <f aca="false">IFERROR(IF(L23*M23=0,"",L23*M23),"")</f>
        <v>141.75</v>
      </c>
      <c r="O23" s="46" t="s">
        <v>133</v>
      </c>
      <c r="P23" s="138" t="str">
        <f aca="false">IFERROR(VLOOKUP(TEXT(O23,"0"),CONDUCTORES!$A$3:$G$100,2,0),"")</f>
        <v>TRIGOSO TAFUR JOSE GILBER</v>
      </c>
      <c r="Q23" s="138" t="str">
        <f aca="false">IFERROR(VLOOKUP(TEXT(O23,"0"),CONDUCTORES!$A$3:$H$100,6,0),"")</f>
        <v>EUH 421</v>
      </c>
      <c r="R23" s="85"/>
      <c r="S23" s="110" t="s">
        <v>4589</v>
      </c>
      <c r="T23" s="46" t="s">
        <v>758</v>
      </c>
      <c r="U23" s="85"/>
      <c r="V23" s="110"/>
      <c r="W23" s="46"/>
      <c r="X23" s="46"/>
      <c r="Y23" s="85"/>
      <c r="Z23" s="157" t="str">
        <f aca="false">IF(AND(R23&lt;&gt;"",V23&lt;&gt;"",W23&lt;&gt;"",X23&lt;&gt;""),"ENTREGADO","POR RECOGER")</f>
        <v>POR RECOGER</v>
      </c>
      <c r="AA23" s="4"/>
      <c r="AB23" s="4"/>
      <c r="AC23" s="4"/>
    </row>
    <row r="24" customFormat="false" ht="15.75" hidden="true" customHeight="true" outlineLevel="0" collapsed="false">
      <c r="A24" s="106" t="n">
        <v>19</v>
      </c>
      <c r="B24" s="107" t="s">
        <v>4590</v>
      </c>
      <c r="C24" s="106" t="s">
        <v>752</v>
      </c>
      <c r="D24" s="107" t="s">
        <v>4591</v>
      </c>
      <c r="E24" s="136" t="s">
        <v>99</v>
      </c>
      <c r="F24" s="106" t="s">
        <v>4592</v>
      </c>
      <c r="G24" s="137" t="n">
        <v>46040</v>
      </c>
      <c r="H24" s="106" t="s">
        <v>529</v>
      </c>
      <c r="I24" s="138" t="str">
        <f aca="false">IFERROR(VLOOKUP(TEXT(H24,"0"),IPRESS!$A$3:$B$212,2,0),"")</f>
        <v>MARIA AUXILIADORA</v>
      </c>
      <c r="J24" s="106" t="s">
        <v>755</v>
      </c>
      <c r="K24" s="138" t="s">
        <v>14</v>
      </c>
      <c r="L24" s="50" t="n">
        <v>20.25</v>
      </c>
      <c r="M24" s="50" t="n">
        <v>6</v>
      </c>
      <c r="N24" s="139" t="n">
        <f aca="false">IFERROR(IF(L24*M24=0,"",L24*M24),"")</f>
        <v>121.5</v>
      </c>
      <c r="O24" s="106" t="s">
        <v>145</v>
      </c>
      <c r="P24" s="138" t="str">
        <f aca="false">IFERROR(VLOOKUP(TEXT(O24,"0"),CONDUCTORES!$A$3:$G$100,2,0),"")</f>
        <v>SERNAQUE PELAEZ WILMER</v>
      </c>
      <c r="Q24" s="138" t="str">
        <f aca="false">IFERROR(VLOOKUP(TEXT(O24,"0"),CONDUCTORES!$A$3:$H$100,6,0),"")</f>
        <v>EUH-421</v>
      </c>
      <c r="R24" s="140"/>
      <c r="S24" s="107" t="s">
        <v>1292</v>
      </c>
      <c r="T24" s="136" t="s">
        <v>758</v>
      </c>
      <c r="U24" s="140"/>
      <c r="V24" s="107"/>
      <c r="W24" s="106"/>
      <c r="X24" s="106"/>
      <c r="Y24" s="85"/>
      <c r="Z24" s="157" t="str">
        <f aca="false">IF(AND(R24&lt;&gt;"",V24&lt;&gt;"",W24&lt;&gt;"",X24&lt;&gt;""),"ENTREGADO","POR RECOGER")</f>
        <v>POR RECOGER</v>
      </c>
      <c r="AA24" s="4"/>
      <c r="AB24" s="4"/>
      <c r="AC24" s="4"/>
    </row>
    <row r="25" customFormat="false" ht="15.75" hidden="true" customHeight="true" outlineLevel="0" collapsed="false">
      <c r="A25" s="46" t="n">
        <v>20</v>
      </c>
      <c r="B25" s="110" t="s">
        <v>1717</v>
      </c>
      <c r="C25" s="46" t="s">
        <v>752</v>
      </c>
      <c r="D25" s="110" t="s">
        <v>4593</v>
      </c>
      <c r="E25" s="46" t="s">
        <v>99</v>
      </c>
      <c r="F25" s="46" t="s">
        <v>4594</v>
      </c>
      <c r="G25" s="142" t="n">
        <v>46041</v>
      </c>
      <c r="H25" s="46" t="s">
        <v>692</v>
      </c>
      <c r="I25" s="138" t="str">
        <f aca="false">IFERROR(VLOOKUP(TEXT(H25,"0"),IPRESS!$A$3:$B$212,2,0),"")</f>
        <v>TINGO</v>
      </c>
      <c r="J25" s="46" t="s">
        <v>755</v>
      </c>
      <c r="K25" s="138" t="s">
        <v>14</v>
      </c>
      <c r="L25" s="44" t="n">
        <v>18.18</v>
      </c>
      <c r="M25" s="44" t="n">
        <v>5</v>
      </c>
      <c r="N25" s="139" t="n">
        <f aca="false">IFERROR(IF(L25*M25=0,"",L25*M25),"")</f>
        <v>90.9</v>
      </c>
      <c r="O25" s="46" t="s">
        <v>263</v>
      </c>
      <c r="P25" s="138" t="str">
        <f aca="false">IFERROR(VLOOKUP(TEXT(O25,"0"),CONDUCTORES!$A$3:$G$100,2,0),"")</f>
        <v>VILCARROMERO TORREJON HERMERSON</v>
      </c>
      <c r="Q25" s="138" t="str">
        <f aca="false">IFERROR(VLOOKUP(TEXT(O25,"0"),CONDUCTORES!$A$3:$H$100,6,0),"")</f>
        <v>EUD-917</v>
      </c>
      <c r="R25" s="85"/>
      <c r="S25" s="110" t="s">
        <v>4595</v>
      </c>
      <c r="T25" s="46" t="s">
        <v>758</v>
      </c>
      <c r="U25" s="85"/>
      <c r="V25" s="110"/>
      <c r="W25" s="46"/>
      <c r="X25" s="46"/>
      <c r="Y25" s="85"/>
      <c r="Z25" s="157" t="str">
        <f aca="false">IF(AND(R25&lt;&gt;"",V25&lt;&gt;"",W25&lt;&gt;"",X25&lt;&gt;""),"ENTREGADO","POR RECOGER")</f>
        <v>POR RECOGER</v>
      </c>
      <c r="AA25" s="4"/>
      <c r="AB25" s="4"/>
      <c r="AC25" s="4"/>
    </row>
    <row r="26" customFormat="false" ht="15.75" hidden="true" customHeight="true" outlineLevel="0" collapsed="false">
      <c r="A26" s="106" t="n">
        <v>21</v>
      </c>
      <c r="B26" s="107" t="s">
        <v>4596</v>
      </c>
      <c r="C26" s="106" t="s">
        <v>752</v>
      </c>
      <c r="D26" s="107" t="s">
        <v>4597</v>
      </c>
      <c r="E26" s="136" t="s">
        <v>99</v>
      </c>
      <c r="F26" s="106" t="s">
        <v>4598</v>
      </c>
      <c r="G26" s="137" t="n">
        <v>46041</v>
      </c>
      <c r="H26" s="106" t="s">
        <v>529</v>
      </c>
      <c r="I26" s="138" t="str">
        <f aca="false">IFERROR(VLOOKUP(TEXT(H26,"0"),IPRESS!$A$3:$B$212,2,0),"")</f>
        <v>MARIA AUXILIADORA</v>
      </c>
      <c r="J26" s="106" t="s">
        <v>755</v>
      </c>
      <c r="K26" s="138" t="s">
        <v>14</v>
      </c>
      <c r="L26" s="50" t="n">
        <v>20.25</v>
      </c>
      <c r="M26" s="50" t="n">
        <v>7</v>
      </c>
      <c r="N26" s="139" t="n">
        <f aca="false">IFERROR(IF(L26*M26=0,"",L26*M26),"")</f>
        <v>141.75</v>
      </c>
      <c r="O26" s="106" t="s">
        <v>133</v>
      </c>
      <c r="P26" s="138" t="str">
        <f aca="false">IFERROR(VLOOKUP(TEXT(O26,"0"),CONDUCTORES!$A$3:$G$100,2,0),"")</f>
        <v>TRIGOSO TAFUR JOSE GILBER</v>
      </c>
      <c r="Q26" s="138" t="str">
        <f aca="false">IFERROR(VLOOKUP(TEXT(O26,"0"),CONDUCTORES!$A$3:$H$100,6,0),"")</f>
        <v>EUH 421</v>
      </c>
      <c r="R26" s="140"/>
      <c r="S26" s="107" t="s">
        <v>4599</v>
      </c>
      <c r="T26" s="136" t="s">
        <v>758</v>
      </c>
      <c r="U26" s="140"/>
      <c r="V26" s="107"/>
      <c r="W26" s="106"/>
      <c r="X26" s="106"/>
      <c r="Y26" s="85"/>
      <c r="Z26" s="157" t="str">
        <f aca="false">IF(AND(R26&lt;&gt;"",V26&lt;&gt;"",W26&lt;&gt;"",X26&lt;&gt;""),"ENTREGADO","POR RECOGER")</f>
        <v>POR RECOGER</v>
      </c>
      <c r="AA26" s="4"/>
      <c r="AB26" s="4"/>
      <c r="AC26" s="4"/>
    </row>
    <row r="27" customFormat="false" ht="15.75" hidden="true" customHeight="true" outlineLevel="0" collapsed="false">
      <c r="A27" s="46" t="n">
        <v>22</v>
      </c>
      <c r="B27" s="110" t="s">
        <v>1720</v>
      </c>
      <c r="C27" s="46" t="s">
        <v>752</v>
      </c>
      <c r="D27" s="110" t="s">
        <v>4600</v>
      </c>
      <c r="E27" s="46" t="s">
        <v>99</v>
      </c>
      <c r="F27" s="46" t="s">
        <v>4601</v>
      </c>
      <c r="G27" s="142" t="n">
        <v>46042</v>
      </c>
      <c r="H27" s="46" t="s">
        <v>692</v>
      </c>
      <c r="I27" s="138" t="str">
        <f aca="false">IFERROR(VLOOKUP(TEXT(H27,"0"),IPRESS!$A$3:$B$212,2,0),"")</f>
        <v>TINGO</v>
      </c>
      <c r="J27" s="46" t="s">
        <v>755</v>
      </c>
      <c r="K27" s="138" t="s">
        <v>14</v>
      </c>
      <c r="L27" s="44" t="n">
        <v>18.18</v>
      </c>
      <c r="M27" s="44" t="n">
        <v>5</v>
      </c>
      <c r="N27" s="139" t="n">
        <f aca="false">IFERROR(IF(L27*M27=0,"",L27*M27),"")</f>
        <v>90.9</v>
      </c>
      <c r="O27" s="46" t="s">
        <v>263</v>
      </c>
      <c r="P27" s="138" t="str">
        <f aca="false">IFERROR(VLOOKUP(TEXT(O27,"0"),CONDUCTORES!$A$3:$G$100,2,0),"")</f>
        <v>VILCARROMERO TORREJON HERMERSON</v>
      </c>
      <c r="Q27" s="138" t="str">
        <f aca="false">IFERROR(VLOOKUP(TEXT(O27,"0"),CONDUCTORES!$A$3:$H$100,6,0),"")</f>
        <v>EUD-917</v>
      </c>
      <c r="R27" s="85"/>
      <c r="S27" s="110" t="s">
        <v>4474</v>
      </c>
      <c r="T27" s="46" t="s">
        <v>758</v>
      </c>
      <c r="U27" s="85"/>
      <c r="V27" s="110"/>
      <c r="W27" s="46"/>
      <c r="X27" s="46"/>
      <c r="Y27" s="85"/>
      <c r="Z27" s="157" t="str">
        <f aca="false">IF(AND(R27&lt;&gt;"",V27&lt;&gt;"",W27&lt;&gt;"",X27&lt;&gt;""),"ENTREGADO","POR RECOGER")</f>
        <v>POR RECOGER</v>
      </c>
      <c r="AA27" s="4"/>
      <c r="AB27" s="4"/>
      <c r="AC27" s="4"/>
    </row>
    <row r="28" customFormat="false" ht="15.75" hidden="true" customHeight="true" outlineLevel="0" collapsed="false">
      <c r="A28" s="106" t="n">
        <v>23</v>
      </c>
      <c r="B28" s="107" t="s">
        <v>1731</v>
      </c>
      <c r="C28" s="106" t="s">
        <v>752</v>
      </c>
      <c r="D28" s="107" t="s">
        <v>4602</v>
      </c>
      <c r="E28" s="136" t="s">
        <v>99</v>
      </c>
      <c r="F28" s="106" t="s">
        <v>4603</v>
      </c>
      <c r="G28" s="137" t="n">
        <v>46042</v>
      </c>
      <c r="H28" s="106" t="s">
        <v>692</v>
      </c>
      <c r="I28" s="138" t="str">
        <f aca="false">IFERROR(VLOOKUP(TEXT(H28,"0"),IPRESS!$A$3:$B$212,2,0),"")</f>
        <v>TINGO</v>
      </c>
      <c r="J28" s="106" t="s">
        <v>755</v>
      </c>
      <c r="K28" s="138" t="s">
        <v>14</v>
      </c>
      <c r="L28" s="50" t="n">
        <v>18.18</v>
      </c>
      <c r="M28" s="50" t="n">
        <v>5</v>
      </c>
      <c r="N28" s="139" t="n">
        <f aca="false">IFERROR(IF(L28*M28=0,"",L28*M28),"")</f>
        <v>90.9</v>
      </c>
      <c r="O28" s="106" t="s">
        <v>263</v>
      </c>
      <c r="P28" s="138" t="str">
        <f aca="false">IFERROR(VLOOKUP(TEXT(O28,"0"),CONDUCTORES!$A$3:$G$100,2,0),"")</f>
        <v>VILCARROMERO TORREJON HERMERSON</v>
      </c>
      <c r="Q28" s="138" t="str">
        <f aca="false">IFERROR(VLOOKUP(TEXT(O28,"0"),CONDUCTORES!$A$3:$H$100,6,0),"")</f>
        <v>EUD-917</v>
      </c>
      <c r="R28" s="140"/>
      <c r="S28" s="107" t="s">
        <v>4604</v>
      </c>
      <c r="T28" s="136" t="s">
        <v>758</v>
      </c>
      <c r="U28" s="140"/>
      <c r="V28" s="107"/>
      <c r="W28" s="106"/>
      <c r="X28" s="106"/>
      <c r="Y28" s="85"/>
      <c r="Z28" s="157" t="str">
        <f aca="false">IF(AND(R28&lt;&gt;"",V28&lt;&gt;"",W28&lt;&gt;"",X28&lt;&gt;""),"ENTREGADO","POR RECOGER")</f>
        <v>POR RECOGER</v>
      </c>
      <c r="AA28" s="4"/>
      <c r="AB28" s="4"/>
      <c r="AC28" s="4"/>
    </row>
    <row r="29" customFormat="false" ht="15.75" hidden="true" customHeight="true" outlineLevel="0" collapsed="false">
      <c r="A29" s="46" t="n">
        <v>24</v>
      </c>
      <c r="B29" s="110" t="s">
        <v>4605</v>
      </c>
      <c r="C29" s="46" t="s">
        <v>752</v>
      </c>
      <c r="D29" s="110" t="s">
        <v>4606</v>
      </c>
      <c r="E29" s="46" t="s">
        <v>99</v>
      </c>
      <c r="F29" s="46" t="s">
        <v>4607</v>
      </c>
      <c r="G29" s="142" t="n">
        <v>46043</v>
      </c>
      <c r="H29" s="46" t="s">
        <v>529</v>
      </c>
      <c r="I29" s="138" t="str">
        <f aca="false">IFERROR(VLOOKUP(TEXT(H29,"0"),IPRESS!$A$3:$B$212,2,0),"")</f>
        <v>MARIA AUXILIADORA</v>
      </c>
      <c r="J29" s="46" t="s">
        <v>755</v>
      </c>
      <c r="K29" s="138" t="s">
        <v>14</v>
      </c>
      <c r="L29" s="44" t="n">
        <v>20.25</v>
      </c>
      <c r="M29" s="44" t="n">
        <v>7</v>
      </c>
      <c r="N29" s="139" t="n">
        <f aca="false">IFERROR(IF(L29*M29=0,"",L29*M29),"")</f>
        <v>141.75</v>
      </c>
      <c r="O29" s="46" t="s">
        <v>133</v>
      </c>
      <c r="P29" s="138" t="str">
        <f aca="false">IFERROR(VLOOKUP(TEXT(O29,"0"),CONDUCTORES!$A$3:$G$100,2,0),"")</f>
        <v>TRIGOSO TAFUR JOSE GILBER</v>
      </c>
      <c r="Q29" s="138" t="str">
        <f aca="false">IFERROR(VLOOKUP(TEXT(O29,"0"),CONDUCTORES!$A$3:$H$100,6,0),"")</f>
        <v>EUH 421</v>
      </c>
      <c r="R29" s="85"/>
      <c r="S29" s="110" t="s">
        <v>4608</v>
      </c>
      <c r="T29" s="46" t="s">
        <v>758</v>
      </c>
      <c r="U29" s="85"/>
      <c r="V29" s="110"/>
      <c r="W29" s="46"/>
      <c r="X29" s="46"/>
      <c r="Y29" s="85"/>
      <c r="Z29" s="157" t="str">
        <f aca="false">IF(AND(R29&lt;&gt;"",V29&lt;&gt;"",W29&lt;&gt;"",X29&lt;&gt;""),"ENTREGADO","POR RECOGER")</f>
        <v>POR RECOGER</v>
      </c>
      <c r="AA29" s="4"/>
      <c r="AB29" s="4"/>
      <c r="AC29" s="4"/>
    </row>
    <row r="30" customFormat="false" ht="15.75" hidden="true" customHeight="true" outlineLevel="0" collapsed="false">
      <c r="A30" s="106" t="n">
        <v>25</v>
      </c>
      <c r="B30" s="107" t="s">
        <v>4609</v>
      </c>
      <c r="C30" s="106" t="s">
        <v>752</v>
      </c>
      <c r="D30" s="107" t="s">
        <v>4610</v>
      </c>
      <c r="E30" s="136" t="s">
        <v>99</v>
      </c>
      <c r="F30" s="106" t="s">
        <v>4611</v>
      </c>
      <c r="G30" s="137" t="n">
        <v>46043</v>
      </c>
      <c r="H30" s="106" t="s">
        <v>529</v>
      </c>
      <c r="I30" s="138" t="str">
        <f aca="false">IFERROR(VLOOKUP(TEXT(H30,"0"),IPRESS!$A$3:$B$212,2,0),"")</f>
        <v>MARIA AUXILIADORA</v>
      </c>
      <c r="J30" s="106" t="s">
        <v>755</v>
      </c>
      <c r="K30" s="138" t="s">
        <v>14</v>
      </c>
      <c r="L30" s="50" t="n">
        <v>20.25</v>
      </c>
      <c r="M30" s="50" t="n">
        <v>6.55</v>
      </c>
      <c r="N30" s="139" t="n">
        <f aca="false">IFERROR(IF(L30*M30=0,"",L30*M30),"")</f>
        <v>132.6375</v>
      </c>
      <c r="O30" s="106" t="s">
        <v>148</v>
      </c>
      <c r="P30" s="138" t="str">
        <f aca="false">IFERROR(VLOOKUP(TEXT(O30,"0"),CONDUCTORES!$A$3:$G$100,2,0),"")</f>
        <v>ROJAS ALVARADO BENJAMIN</v>
      </c>
      <c r="Q30" s="138" t="str">
        <f aca="false">IFERROR(VLOOKUP(TEXT(O30,"0"),CONDUCTORES!$A$3:$H$100,6,0),"")</f>
        <v>421 EUH</v>
      </c>
      <c r="R30" s="140"/>
      <c r="S30" s="107" t="s">
        <v>4612</v>
      </c>
      <c r="T30" s="136" t="s">
        <v>758</v>
      </c>
      <c r="U30" s="140"/>
      <c r="V30" s="107"/>
      <c r="W30" s="106"/>
      <c r="X30" s="106"/>
      <c r="Y30" s="85"/>
      <c r="Z30" s="157" t="str">
        <f aca="false">IF(AND(R30&lt;&gt;"",V30&lt;&gt;"",W30&lt;&gt;"",X30&lt;&gt;""),"ENTREGADO","POR RECOGER")</f>
        <v>POR RECOGER</v>
      </c>
      <c r="AA30" s="4"/>
      <c r="AB30" s="4"/>
      <c r="AC30" s="4"/>
    </row>
    <row r="31" customFormat="false" ht="15.75" hidden="true" customHeight="true" outlineLevel="0" collapsed="false">
      <c r="A31" s="46" t="n">
        <v>26</v>
      </c>
      <c r="B31" s="110" t="s">
        <v>4613</v>
      </c>
      <c r="C31" s="46" t="s">
        <v>752</v>
      </c>
      <c r="D31" s="110" t="s">
        <v>4614</v>
      </c>
      <c r="E31" s="46" t="s">
        <v>99</v>
      </c>
      <c r="F31" s="46" t="s">
        <v>4615</v>
      </c>
      <c r="G31" s="142" t="n">
        <v>46025</v>
      </c>
      <c r="H31" s="46" t="s">
        <v>480</v>
      </c>
      <c r="I31" s="138" t="str">
        <f aca="false">IFERROR(VLOOKUP(TEXT(H31,"0"),IPRESS!$A$3:$B$212,2,0),"")</f>
        <v>JALCA GRANDE</v>
      </c>
      <c r="J31" s="46" t="s">
        <v>755</v>
      </c>
      <c r="K31" s="138" t="s">
        <v>14</v>
      </c>
      <c r="L31" s="44" t="n">
        <v>18.18</v>
      </c>
      <c r="M31" s="44" t="n">
        <v>7</v>
      </c>
      <c r="N31" s="139" t="n">
        <f aca="false">IFERROR(IF(L31*M31=0,"",L31*M31),"")</f>
        <v>127.26</v>
      </c>
      <c r="O31" s="46" t="s">
        <v>159</v>
      </c>
      <c r="P31" s="138" t="str">
        <f aca="false">IFERROR(VLOOKUP(TEXT(O31,"0"),CONDUCTORES!$A$3:$G$100,2,0),"")</f>
        <v>LEIVA LARA JUNIOR</v>
      </c>
      <c r="Q31" s="138" t="str">
        <f aca="false">IFERROR(VLOOKUP(TEXT(O31,"0"),CONDUCTORES!$A$3:$H$100,6,0),"")</f>
        <v>EUC 959</v>
      </c>
      <c r="R31" s="85"/>
      <c r="S31" s="110" t="s">
        <v>4616</v>
      </c>
      <c r="T31" s="46" t="s">
        <v>758</v>
      </c>
      <c r="U31" s="85"/>
      <c r="V31" s="110"/>
      <c r="W31" s="46"/>
      <c r="X31" s="46"/>
      <c r="Y31" s="85"/>
      <c r="Z31" s="157" t="str">
        <f aca="false">IF(AND(R31&lt;&gt;"",V31&lt;&gt;"",W31&lt;&gt;"",X31&lt;&gt;""),"ENTREGADO","POR RECOGER")</f>
        <v>POR RECOGER</v>
      </c>
      <c r="AA31" s="4"/>
      <c r="AB31" s="4"/>
      <c r="AC31" s="4"/>
    </row>
    <row r="32" customFormat="false" ht="15.75" hidden="true" customHeight="true" outlineLevel="0" collapsed="false">
      <c r="A32" s="106" t="n">
        <v>27</v>
      </c>
      <c r="B32" s="107" t="s">
        <v>4617</v>
      </c>
      <c r="C32" s="106" t="s">
        <v>752</v>
      </c>
      <c r="D32" s="107" t="s">
        <v>4618</v>
      </c>
      <c r="E32" s="136" t="s">
        <v>99</v>
      </c>
      <c r="F32" s="106" t="s">
        <v>4619</v>
      </c>
      <c r="G32" s="137" t="n">
        <v>46041</v>
      </c>
      <c r="H32" s="106" t="s">
        <v>480</v>
      </c>
      <c r="I32" s="138" t="str">
        <f aca="false">IFERROR(VLOOKUP(TEXT(H32,"0"),IPRESS!$A$3:$B$212,2,0),"")</f>
        <v>JALCA GRANDE</v>
      </c>
      <c r="J32" s="106" t="s">
        <v>755</v>
      </c>
      <c r="K32" s="138" t="s">
        <v>14</v>
      </c>
      <c r="L32" s="50" t="n">
        <v>18.18</v>
      </c>
      <c r="M32" s="50" t="n">
        <v>7</v>
      </c>
      <c r="N32" s="139" t="n">
        <f aca="false">IFERROR(IF(L32*M32=0,"",L32*M32),"")</f>
        <v>127.26</v>
      </c>
      <c r="O32" s="106" t="s">
        <v>159</v>
      </c>
      <c r="P32" s="138" t="str">
        <f aca="false">IFERROR(VLOOKUP(TEXT(O32,"0"),CONDUCTORES!$A$3:$G$100,2,0),"")</f>
        <v>LEIVA LARA JUNIOR</v>
      </c>
      <c r="Q32" s="138" t="str">
        <f aca="false">IFERROR(VLOOKUP(TEXT(O32,"0"),CONDUCTORES!$A$3:$H$100,6,0),"")</f>
        <v>EUC 959</v>
      </c>
      <c r="R32" s="140"/>
      <c r="S32" s="107" t="s">
        <v>4620</v>
      </c>
      <c r="T32" s="136" t="s">
        <v>758</v>
      </c>
      <c r="U32" s="140"/>
      <c r="V32" s="107"/>
      <c r="W32" s="106"/>
      <c r="X32" s="106"/>
      <c r="Y32" s="85"/>
      <c r="Z32" s="157" t="str">
        <f aca="false">IF(AND(R32&lt;&gt;"",V32&lt;&gt;"",W32&lt;&gt;"",X32&lt;&gt;""),"ENTREGADO","POR RECOGER")</f>
        <v>POR RECOGER</v>
      </c>
      <c r="AA32" s="4"/>
      <c r="AB32" s="4"/>
      <c r="AC32" s="4"/>
    </row>
    <row r="33" customFormat="false" ht="15.75" hidden="true" customHeight="true" outlineLevel="0" collapsed="false">
      <c r="A33" s="46" t="n">
        <v>28</v>
      </c>
      <c r="B33" s="110" t="s">
        <v>1498</v>
      </c>
      <c r="C33" s="46" t="s">
        <v>752</v>
      </c>
      <c r="D33" s="110" t="s">
        <v>4621</v>
      </c>
      <c r="E33" s="46" t="s">
        <v>99</v>
      </c>
      <c r="F33" s="46" t="s">
        <v>4622</v>
      </c>
      <c r="G33" s="142" t="n">
        <v>45683</v>
      </c>
      <c r="H33" s="46" t="s">
        <v>528</v>
      </c>
      <c r="I33" s="138" t="str">
        <f aca="false">IFERROR(VLOOKUP(TEXT(H33,"0"),IPRESS!$A$3:$B$212,2,0),"")</f>
        <v>MARIA</v>
      </c>
      <c r="J33" s="46" t="s">
        <v>755</v>
      </c>
      <c r="K33" s="138" t="s">
        <v>14</v>
      </c>
      <c r="L33" s="44" t="n">
        <v>18.18</v>
      </c>
      <c r="M33" s="44" t="n">
        <v>12</v>
      </c>
      <c r="N33" s="139" t="n">
        <f aca="false">IFERROR(IF(L33*M33=0,"",L33*M33),"")</f>
        <v>218.16</v>
      </c>
      <c r="O33" s="46" t="s">
        <v>202</v>
      </c>
      <c r="P33" s="138" t="str">
        <f aca="false">IFERROR(VLOOKUP(TEXT(O33,"0"),CONDUCTORES!$A$3:$G$100,2,0),"")</f>
        <v>MACHUCA GARRIDO RIDER ALFONSO</v>
      </c>
      <c r="Q33" s="138" t="str">
        <f aca="false">IFERROR(VLOOKUP(TEXT(O33,"0"),CONDUCTORES!$A$3:$H$100,6,0),"")</f>
        <v>EUC 956</v>
      </c>
      <c r="R33" s="85"/>
      <c r="S33" s="110" t="s">
        <v>4623</v>
      </c>
      <c r="T33" s="46" t="s">
        <v>758</v>
      </c>
      <c r="U33" s="85"/>
      <c r="V33" s="110"/>
      <c r="W33" s="46"/>
      <c r="X33" s="46"/>
      <c r="Y33" s="85"/>
      <c r="Z33" s="157" t="str">
        <f aca="false">IF(AND(R33&lt;&gt;"",V33&lt;&gt;"",W33&lt;&gt;"",X33&lt;&gt;""),"ENTREGADO","POR RECOGER")</f>
        <v>POR RECOGER</v>
      </c>
      <c r="AA33" s="4"/>
      <c r="AB33" s="4"/>
      <c r="AC33" s="4"/>
    </row>
    <row r="34" customFormat="false" ht="15.75" hidden="false" customHeight="true" outlineLevel="0" collapsed="false">
      <c r="A34" s="143" t="n">
        <v>29</v>
      </c>
      <c r="B34" s="144" t="s">
        <v>1525</v>
      </c>
      <c r="C34" s="143" t="s">
        <v>752</v>
      </c>
      <c r="D34" s="144" t="s">
        <v>4624</v>
      </c>
      <c r="E34" s="143" t="s">
        <v>99</v>
      </c>
      <c r="F34" s="143" t="s">
        <v>4625</v>
      </c>
      <c r="G34" s="145" t="n">
        <v>46025</v>
      </c>
      <c r="H34" s="143" t="s">
        <v>547</v>
      </c>
      <c r="I34" s="138" t="str">
        <f aca="false">IFERROR(VLOOKUP(TEXT(H34,"0"),IPRESS!$A$3:$B$212,2,0),"")</f>
        <v>MOLINOPAMPA</v>
      </c>
      <c r="J34" s="143" t="s">
        <v>755</v>
      </c>
      <c r="K34" s="164" t="s">
        <v>16</v>
      </c>
      <c r="L34" s="146" t="n">
        <v>17.95</v>
      </c>
      <c r="M34" s="146" t="n">
        <v>8</v>
      </c>
      <c r="N34" s="139" t="n">
        <f aca="false">IFERROR(IF(L34*M34=0,"",L34*M34),"")</f>
        <v>143.6</v>
      </c>
      <c r="O34" s="143" t="s">
        <v>214</v>
      </c>
      <c r="P34" s="138" t="str">
        <f aca="false">IFERROR(VLOOKUP(TEXT(O34,"0"),CONDUCTORES!$A$3:$G$100,2,0),"")</f>
        <v>MAGNO CULQUIMBOS RUIZ</v>
      </c>
      <c r="Q34" s="138" t="str">
        <f aca="false">IFERROR(VLOOKUP(TEXT(O34,"0"),CONDUCTORES!$A$3:$H$100,6,0),"")</f>
        <v>EUE-469</v>
      </c>
      <c r="R34" s="147"/>
      <c r="S34" s="144" t="s">
        <v>4626</v>
      </c>
      <c r="T34" s="143" t="s">
        <v>758</v>
      </c>
      <c r="U34" s="147"/>
      <c r="V34" s="144"/>
      <c r="W34" s="143"/>
      <c r="X34" s="143"/>
      <c r="Y34" s="85"/>
      <c r="Z34" s="157" t="str">
        <f aca="false">IF(AND(R34&lt;&gt;"",V34&lt;&gt;"",W34&lt;&gt;"",X34&lt;&gt;""),"ENTREGADO","POR RECOGER")</f>
        <v>POR RECOGER</v>
      </c>
      <c r="AA34" s="4"/>
      <c r="AB34" s="4"/>
      <c r="AC34" s="4"/>
    </row>
    <row r="35" customFormat="false" ht="15.75" hidden="false" customHeight="true" outlineLevel="0" collapsed="false">
      <c r="A35" s="143" t="n">
        <v>30</v>
      </c>
      <c r="B35" s="144" t="s">
        <v>1517</v>
      </c>
      <c r="C35" s="143" t="s">
        <v>752</v>
      </c>
      <c r="D35" s="144" t="s">
        <v>4627</v>
      </c>
      <c r="E35" s="143" t="s">
        <v>99</v>
      </c>
      <c r="F35" s="143" t="s">
        <v>4628</v>
      </c>
      <c r="G35" s="145" t="n">
        <v>46029</v>
      </c>
      <c r="H35" s="143" t="s">
        <v>547</v>
      </c>
      <c r="I35" s="138" t="str">
        <f aca="false">IFERROR(VLOOKUP(TEXT(H35,"0"),IPRESS!$A$3:$B$212,2,0),"")</f>
        <v>MOLINOPAMPA</v>
      </c>
      <c r="J35" s="143" t="s">
        <v>755</v>
      </c>
      <c r="K35" s="164" t="s">
        <v>16</v>
      </c>
      <c r="L35" s="146" t="n">
        <v>17.95</v>
      </c>
      <c r="M35" s="146" t="n">
        <v>8</v>
      </c>
      <c r="N35" s="139" t="n">
        <f aca="false">IFERROR(IF(L35*M35=0,"",L35*M35),"")</f>
        <v>143.6</v>
      </c>
      <c r="O35" s="143" t="s">
        <v>214</v>
      </c>
      <c r="P35" s="138" t="str">
        <f aca="false">IFERROR(VLOOKUP(TEXT(O35,"0"),CONDUCTORES!$A$3:$G$100,2,0),"")</f>
        <v>MAGNO CULQUIMBOS RUIZ</v>
      </c>
      <c r="Q35" s="138" t="str">
        <f aca="false">IFERROR(VLOOKUP(TEXT(O35,"0"),CONDUCTORES!$A$3:$H$100,6,0),"")</f>
        <v>EUE-469</v>
      </c>
      <c r="R35" s="147"/>
      <c r="S35" s="144" t="s">
        <v>4629</v>
      </c>
      <c r="T35" s="143" t="s">
        <v>758</v>
      </c>
      <c r="U35" s="147"/>
      <c r="V35" s="144"/>
      <c r="W35" s="143"/>
      <c r="X35" s="143"/>
      <c r="Y35" s="85"/>
      <c r="Z35" s="157" t="str">
        <f aca="false">IF(AND(R35&lt;&gt;"",V35&lt;&gt;"",W35&lt;&gt;"",X35&lt;&gt;""),"ENTREGADO","POR RECOGER")</f>
        <v>POR RECOGER</v>
      </c>
      <c r="AA35" s="4"/>
      <c r="AB35" s="4"/>
      <c r="AC35" s="4"/>
    </row>
    <row r="36" customFormat="false" ht="15.75" hidden="true" customHeight="true" outlineLevel="0" collapsed="false">
      <c r="A36" s="106" t="n">
        <v>31</v>
      </c>
      <c r="B36" s="107" t="s">
        <v>1544</v>
      </c>
      <c r="C36" s="106" t="s">
        <v>752</v>
      </c>
      <c r="D36" s="107" t="s">
        <v>949</v>
      </c>
      <c r="E36" s="136" t="s">
        <v>99</v>
      </c>
      <c r="F36" s="106" t="s">
        <v>950</v>
      </c>
      <c r="G36" s="137" t="n">
        <v>46035</v>
      </c>
      <c r="H36" s="106" t="s">
        <v>409</v>
      </c>
      <c r="I36" s="138" t="str">
        <f aca="false">IFERROR(VLOOKUP(TEXT(H36,"0"),IPRESS!$A$3:$B$212,2,0),"")</f>
        <v>COLLONCE</v>
      </c>
      <c r="J36" s="106" t="s">
        <v>755</v>
      </c>
      <c r="K36" s="138" t="s">
        <v>14</v>
      </c>
      <c r="L36" s="50" t="n">
        <v>18.18</v>
      </c>
      <c r="M36" s="50" t="n">
        <v>20</v>
      </c>
      <c r="N36" s="139" t="n">
        <f aca="false">IFERROR(IF(L36*M36=0,"",L36*M36),"")</f>
        <v>363.6</v>
      </c>
      <c r="O36" s="106" t="s">
        <v>120</v>
      </c>
      <c r="P36" s="138" t="str">
        <f aca="false">IFERROR(VLOOKUP(TEXT(O36,"0"),CONDUCTORES!$A$3:$G$100,2,0),"")</f>
        <v>SAUCEDO LOPEZ ELDIN NOLASCO</v>
      </c>
      <c r="Q36" s="138" t="str">
        <f aca="false">IFERROR(VLOOKUP(TEXT(O36,"0"),CONDUCTORES!$A$3:$H$100,6,0),"")</f>
        <v>EUH699</v>
      </c>
      <c r="R36" s="140"/>
      <c r="S36" s="107" t="s">
        <v>951</v>
      </c>
      <c r="T36" s="136" t="s">
        <v>758</v>
      </c>
      <c r="U36" s="140"/>
      <c r="V36" s="107"/>
      <c r="W36" s="106"/>
      <c r="X36" s="106"/>
      <c r="Y36" s="85"/>
      <c r="Z36" s="157" t="str">
        <f aca="false">IF(AND(R36&lt;&gt;"",V36&lt;&gt;"",W36&lt;&gt;"",X36&lt;&gt;""),"ENTREGADO","POR RECOGER")</f>
        <v>POR RECOGER</v>
      </c>
      <c r="AA36" s="4"/>
      <c r="AB36" s="4"/>
      <c r="AC36" s="4"/>
    </row>
    <row r="37" customFormat="false" ht="15.75" hidden="false" customHeight="true" outlineLevel="0" collapsed="false">
      <c r="A37" s="143" t="n">
        <v>32</v>
      </c>
      <c r="B37" s="144" t="s">
        <v>1391</v>
      </c>
      <c r="C37" s="143" t="s">
        <v>752</v>
      </c>
      <c r="D37" s="144" t="s">
        <v>4630</v>
      </c>
      <c r="E37" s="143" t="s">
        <v>99</v>
      </c>
      <c r="F37" s="143" t="s">
        <v>4631</v>
      </c>
      <c r="G37" s="145" t="n">
        <v>46041</v>
      </c>
      <c r="H37" s="143" t="s">
        <v>547</v>
      </c>
      <c r="I37" s="138" t="str">
        <f aca="false">IFERROR(VLOOKUP(TEXT(H37,"0"),IPRESS!$A$3:$B$212,2,0),"")</f>
        <v>MOLINOPAMPA</v>
      </c>
      <c r="J37" s="143" t="s">
        <v>755</v>
      </c>
      <c r="K37" s="164" t="s">
        <v>16</v>
      </c>
      <c r="L37" s="146" t="n">
        <v>17.95</v>
      </c>
      <c r="M37" s="146" t="n">
        <v>8</v>
      </c>
      <c r="N37" s="139" t="n">
        <f aca="false">IFERROR(IF(L37*M37=0,"",L37*M37),"")</f>
        <v>143.6</v>
      </c>
      <c r="O37" s="143" t="s">
        <v>214</v>
      </c>
      <c r="P37" s="138" t="str">
        <f aca="false">IFERROR(VLOOKUP(TEXT(O37,"0"),CONDUCTORES!$A$3:$G$100,2,0),"")</f>
        <v>MAGNO CULQUIMBOS RUIZ</v>
      </c>
      <c r="Q37" s="138" t="str">
        <f aca="false">IFERROR(VLOOKUP(TEXT(O37,"0"),CONDUCTORES!$A$3:$H$100,6,0),"")</f>
        <v>EUE-469</v>
      </c>
      <c r="R37" s="147"/>
      <c r="S37" s="144" t="s">
        <v>847</v>
      </c>
      <c r="T37" s="143" t="s">
        <v>758</v>
      </c>
      <c r="U37" s="147"/>
      <c r="V37" s="144"/>
      <c r="W37" s="143"/>
      <c r="X37" s="143"/>
      <c r="Y37" s="85"/>
      <c r="Z37" s="157" t="str">
        <f aca="false">IF(AND(R37&lt;&gt;"",V37&lt;&gt;"",W37&lt;&gt;"",X37&lt;&gt;""),"ENTREGADO","POR RECOGER")</f>
        <v>POR RECOGER</v>
      </c>
      <c r="AA37" s="4"/>
      <c r="AB37" s="4"/>
      <c r="AC37" s="4"/>
    </row>
    <row r="38" customFormat="false" ht="15.75" hidden="true" customHeight="true" outlineLevel="0" collapsed="false">
      <c r="A38" s="158" t="n">
        <v>33</v>
      </c>
      <c r="B38" s="159" t="s">
        <v>1555</v>
      </c>
      <c r="C38" s="158" t="s">
        <v>752</v>
      </c>
      <c r="D38" s="159" t="s">
        <v>4632</v>
      </c>
      <c r="E38" s="158" t="s">
        <v>99</v>
      </c>
      <c r="F38" s="158" t="s">
        <v>4633</v>
      </c>
      <c r="G38" s="160" t="n">
        <v>46042</v>
      </c>
      <c r="H38" s="158" t="s">
        <v>715</v>
      </c>
      <c r="I38" s="138" t="str">
        <f aca="false">IFERROR(VLOOKUP(TEXT(H38,"0"),IPRESS!$A$3:$B$212,2,0),"")</f>
        <v>YAULICACHI</v>
      </c>
      <c r="J38" s="158" t="s">
        <v>755</v>
      </c>
      <c r="K38" s="138" t="s">
        <v>14</v>
      </c>
      <c r="L38" s="161" t="n">
        <v>18.18</v>
      </c>
      <c r="M38" s="161" t="n">
        <v>20</v>
      </c>
      <c r="N38" s="139" t="n">
        <f aca="false">IFERROR(IF(L38*M38=0,"",L38*M38),"")</f>
        <v>363.6</v>
      </c>
      <c r="O38" s="158" t="s">
        <v>120</v>
      </c>
      <c r="P38" s="138" t="str">
        <f aca="false">IFERROR(VLOOKUP(TEXT(O38,"0"),CONDUCTORES!$A$3:$G$100,2,0),"")</f>
        <v>SAUCEDO LOPEZ ELDIN NOLASCO</v>
      </c>
      <c r="Q38" s="138" t="str">
        <f aca="false">IFERROR(VLOOKUP(TEXT(O38,"0"),CONDUCTORES!$A$3:$H$100,6,0),"")</f>
        <v>EUH699</v>
      </c>
      <c r="R38" s="162"/>
      <c r="S38" s="159" t="s">
        <v>911</v>
      </c>
      <c r="T38" s="158" t="s">
        <v>758</v>
      </c>
      <c r="U38" s="162"/>
      <c r="V38" s="159"/>
      <c r="W38" s="158"/>
      <c r="X38" s="158"/>
      <c r="Y38" s="163" t="s">
        <v>44</v>
      </c>
      <c r="Z38" s="157" t="str">
        <f aca="false">IF(AND(R38&lt;&gt;"",V38&lt;&gt;"",W38&lt;&gt;"",X38&lt;&gt;""),"ENTREGADO","POR RECOGER")</f>
        <v>POR RECOGER</v>
      </c>
      <c r="AA38" s="4"/>
      <c r="AB38" s="4"/>
      <c r="AC38" s="4"/>
    </row>
    <row r="39" customFormat="false" ht="15.75" hidden="true" customHeight="true" outlineLevel="0" collapsed="false">
      <c r="A39" s="46" t="n">
        <v>34</v>
      </c>
      <c r="B39" s="110" t="s">
        <v>4634</v>
      </c>
      <c r="C39" s="46" t="s">
        <v>752</v>
      </c>
      <c r="D39" s="110" t="s">
        <v>4635</v>
      </c>
      <c r="E39" s="46" t="s">
        <v>99</v>
      </c>
      <c r="F39" s="46" t="s">
        <v>4636</v>
      </c>
      <c r="G39" s="142" t="n">
        <v>46024</v>
      </c>
      <c r="H39" s="46" t="s">
        <v>507</v>
      </c>
      <c r="I39" s="138" t="str">
        <f aca="false">IFERROR(VLOOKUP(TEXT(H39,"0"),IPRESS!$A$3:$B$212,2,0),"")</f>
        <v>LEYMEBAMBA</v>
      </c>
      <c r="J39" s="46" t="s">
        <v>755</v>
      </c>
      <c r="K39" s="138" t="s">
        <v>14</v>
      </c>
      <c r="L39" s="44" t="n">
        <v>18.18</v>
      </c>
      <c r="M39" s="44" t="n">
        <v>7.5</v>
      </c>
      <c r="N39" s="139" t="n">
        <f aca="false">IFERROR(IF(L39*M39=0,"",L39*M39),"")</f>
        <v>136.35</v>
      </c>
      <c r="O39" s="46" t="s">
        <v>187</v>
      </c>
      <c r="P39" s="138" t="str">
        <f aca="false">IFERROR(VLOOKUP(TEXT(O39,"0"),CONDUCTORES!$A$3:$G$100,2,0),"")</f>
        <v>CHAVEZ MORI DIMAS</v>
      </c>
      <c r="Q39" s="138" t="str">
        <f aca="false">IFERROR(VLOOKUP(TEXT(O39,"0"),CONDUCTORES!$A$3:$H$100,6,0),"")</f>
        <v>EUH 636</v>
      </c>
      <c r="R39" s="85"/>
      <c r="S39" s="110" t="s">
        <v>2540</v>
      </c>
      <c r="T39" s="46" t="s">
        <v>758</v>
      </c>
      <c r="U39" s="85"/>
      <c r="V39" s="110"/>
      <c r="W39" s="46"/>
      <c r="X39" s="46"/>
      <c r="Y39" s="85"/>
      <c r="Z39" s="157" t="str">
        <f aca="false">IF(AND(R39&lt;&gt;"",V39&lt;&gt;"",W39&lt;&gt;"",X39&lt;&gt;""),"ENTREGADO","POR RECOGER")</f>
        <v>POR RECOGER</v>
      </c>
      <c r="AA39" s="4"/>
      <c r="AB39" s="4"/>
      <c r="AC39" s="4"/>
    </row>
    <row r="40" customFormat="false" ht="15.75" hidden="true" customHeight="true" outlineLevel="0" collapsed="false">
      <c r="A40" s="106" t="n">
        <v>35</v>
      </c>
      <c r="B40" s="107" t="s">
        <v>4637</v>
      </c>
      <c r="C40" s="106" t="s">
        <v>752</v>
      </c>
      <c r="D40" s="107" t="s">
        <v>4638</v>
      </c>
      <c r="E40" s="136" t="s">
        <v>99</v>
      </c>
      <c r="F40" s="106" t="s">
        <v>4639</v>
      </c>
      <c r="G40" s="137" t="n">
        <v>46031</v>
      </c>
      <c r="H40" s="106" t="s">
        <v>507</v>
      </c>
      <c r="I40" s="138" t="str">
        <f aca="false">IFERROR(VLOOKUP(TEXT(H40,"0"),IPRESS!$A$3:$B$212,2,0),"")</f>
        <v>LEYMEBAMBA</v>
      </c>
      <c r="J40" s="106" t="s">
        <v>755</v>
      </c>
      <c r="K40" s="138" t="s">
        <v>14</v>
      </c>
      <c r="L40" s="50" t="n">
        <v>18.18</v>
      </c>
      <c r="M40" s="50" t="n">
        <v>6</v>
      </c>
      <c r="N40" s="139" t="n">
        <f aca="false">IFERROR(IF(L40*M40=0,"",L40*M40),"")</f>
        <v>109.08</v>
      </c>
      <c r="O40" s="106" t="s">
        <v>181</v>
      </c>
      <c r="P40" s="138" t="str">
        <f aca="false">IFERROR(VLOOKUP(TEXT(O40,"0"),CONDUCTORES!$A$3:$G$100,2,0),"")</f>
        <v>SALCEDO ZAGACETA FEDERICO</v>
      </c>
      <c r="Q40" s="138" t="str">
        <f aca="false">IFERROR(VLOOKUP(TEXT(O40,"0"),CONDUCTORES!$A$3:$H$100,6,0),"")</f>
        <v>EUH-636</v>
      </c>
      <c r="R40" s="140"/>
      <c r="S40" s="107" t="s">
        <v>4640</v>
      </c>
      <c r="T40" s="136" t="s">
        <v>758</v>
      </c>
      <c r="U40" s="140"/>
      <c r="V40" s="107"/>
      <c r="W40" s="106"/>
      <c r="X40" s="106"/>
      <c r="Y40" s="85"/>
      <c r="Z40" s="157" t="str">
        <f aca="false">IF(AND(R40&lt;&gt;"",V40&lt;&gt;"",W40&lt;&gt;"",X40&lt;&gt;""),"ENTREGADO","POR RECOGER")</f>
        <v>POR RECOGER</v>
      </c>
      <c r="AA40" s="4"/>
      <c r="AB40" s="4"/>
      <c r="AC40" s="4"/>
    </row>
    <row r="41" customFormat="false" ht="15.75" hidden="true" customHeight="true" outlineLevel="0" collapsed="false">
      <c r="A41" s="46" t="n">
        <v>36</v>
      </c>
      <c r="B41" s="110" t="s">
        <v>4641</v>
      </c>
      <c r="C41" s="46" t="s">
        <v>752</v>
      </c>
      <c r="D41" s="110" t="s">
        <v>4642</v>
      </c>
      <c r="E41" s="46" t="s">
        <v>99</v>
      </c>
      <c r="F41" s="46" t="s">
        <v>4643</v>
      </c>
      <c r="G41" s="142" t="n">
        <v>46041</v>
      </c>
      <c r="H41" s="46" t="s">
        <v>507</v>
      </c>
      <c r="I41" s="138" t="str">
        <f aca="false">IFERROR(VLOOKUP(TEXT(H41,"0"),IPRESS!$A$3:$B$212,2,0),"")</f>
        <v>LEYMEBAMBA</v>
      </c>
      <c r="J41" s="46" t="s">
        <v>755</v>
      </c>
      <c r="K41" s="138" t="s">
        <v>14</v>
      </c>
      <c r="L41" s="44" t="n">
        <v>18.18</v>
      </c>
      <c r="M41" s="44" t="n">
        <v>7.5</v>
      </c>
      <c r="N41" s="139" t="n">
        <f aca="false">IFERROR(IF(L41*M41=0,"",L41*M41),"")</f>
        <v>136.35</v>
      </c>
      <c r="O41" s="46" t="s">
        <v>181</v>
      </c>
      <c r="P41" s="138" t="str">
        <f aca="false">IFERROR(VLOOKUP(TEXT(O41,"0"),CONDUCTORES!$A$3:$G$100,2,0),"")</f>
        <v>SALCEDO ZAGACETA FEDERICO</v>
      </c>
      <c r="Q41" s="138" t="str">
        <f aca="false">IFERROR(VLOOKUP(TEXT(O41,"0"),CONDUCTORES!$A$3:$H$100,6,0),"")</f>
        <v>EUH-636</v>
      </c>
      <c r="R41" s="85"/>
      <c r="S41" s="110" t="s">
        <v>2540</v>
      </c>
      <c r="T41" s="46" t="s">
        <v>758</v>
      </c>
      <c r="U41" s="85"/>
      <c r="V41" s="110"/>
      <c r="W41" s="46"/>
      <c r="X41" s="46"/>
      <c r="Y41" s="85"/>
      <c r="Z41" s="157" t="str">
        <f aca="false">IF(AND(R41&lt;&gt;"",V41&lt;&gt;"",W41&lt;&gt;"",X41&lt;&gt;""),"ENTREGADO","POR RECOGER")</f>
        <v>POR RECOGER</v>
      </c>
      <c r="AA41" s="4"/>
      <c r="AB41" s="4"/>
      <c r="AC41" s="4"/>
    </row>
    <row r="42" customFormat="false" ht="15.75" hidden="true" customHeight="true" outlineLevel="0" collapsed="false">
      <c r="A42" s="106" t="n">
        <v>37</v>
      </c>
      <c r="B42" s="107" t="s">
        <v>1555</v>
      </c>
      <c r="C42" s="106" t="s">
        <v>752</v>
      </c>
      <c r="D42" s="107" t="s">
        <v>4644</v>
      </c>
      <c r="E42" s="136" t="s">
        <v>99</v>
      </c>
      <c r="F42" s="106" t="s">
        <v>4645</v>
      </c>
      <c r="G42" s="137" t="n">
        <v>46045</v>
      </c>
      <c r="H42" s="106" t="s">
        <v>645</v>
      </c>
      <c r="I42" s="138" t="str">
        <f aca="false">IFERROR(VLOOKUP(TEXT(H42,"0"),IPRESS!$A$3:$B$212,2,0),"")</f>
        <v>SAN JUAN DE OCUMAL</v>
      </c>
      <c r="J42" s="106" t="s">
        <v>755</v>
      </c>
      <c r="K42" s="138" t="s">
        <v>14</v>
      </c>
      <c r="L42" s="50" t="n">
        <v>18.18</v>
      </c>
      <c r="M42" s="50" t="n">
        <v>20</v>
      </c>
      <c r="N42" s="139" t="n">
        <f aca="false">IFERROR(IF(L42*M42=0,"",L42*M42),"")</f>
        <v>363.6</v>
      </c>
      <c r="O42" s="106" t="s">
        <v>120</v>
      </c>
      <c r="P42" s="138" t="str">
        <f aca="false">IFERROR(VLOOKUP(TEXT(O42,"0"),CONDUCTORES!$A$3:$G$100,2,0),"")</f>
        <v>SAUCEDO LOPEZ ELDIN NOLASCO</v>
      </c>
      <c r="Q42" s="138" t="str">
        <f aca="false">IFERROR(VLOOKUP(TEXT(O42,"0"),CONDUCTORES!$A$3:$H$100,6,0),"")</f>
        <v>EUH699</v>
      </c>
      <c r="R42" s="140"/>
      <c r="S42" s="107" t="s">
        <v>4646</v>
      </c>
      <c r="T42" s="136" t="s">
        <v>758</v>
      </c>
      <c r="U42" s="140"/>
      <c r="V42" s="107"/>
      <c r="W42" s="106"/>
      <c r="X42" s="106"/>
      <c r="Y42" s="85" t="s">
        <v>44</v>
      </c>
      <c r="Z42" s="157" t="str">
        <f aca="false">IF(AND(R42&lt;&gt;"",V42&lt;&gt;"",W42&lt;&gt;"",X42&lt;&gt;""),"ENTREGADO","POR RECOGER")</f>
        <v>POR RECOGER</v>
      </c>
      <c r="AA42" s="4"/>
      <c r="AB42" s="4"/>
      <c r="AC42" s="4"/>
    </row>
    <row r="43" customFormat="false" ht="15.75" hidden="true" customHeight="true" outlineLevel="0" collapsed="false">
      <c r="A43" s="158" t="n">
        <v>38</v>
      </c>
      <c r="B43" s="159" t="s">
        <v>4403</v>
      </c>
      <c r="C43" s="158" t="s">
        <v>752</v>
      </c>
      <c r="D43" s="159" t="s">
        <v>4647</v>
      </c>
      <c r="E43" s="158" t="s">
        <v>99</v>
      </c>
      <c r="F43" s="158" t="s">
        <v>4633</v>
      </c>
      <c r="G43" s="160" t="n">
        <v>46048</v>
      </c>
      <c r="H43" s="158" t="s">
        <v>715</v>
      </c>
      <c r="I43" s="138" t="str">
        <f aca="false">IFERROR(VLOOKUP(TEXT(H43,"0"),IPRESS!$A$3:$B$212,2,0),"")</f>
        <v>YAULICACHI</v>
      </c>
      <c r="J43" s="158" t="s">
        <v>755</v>
      </c>
      <c r="K43" s="138" t="s">
        <v>14</v>
      </c>
      <c r="L43" s="161" t="n">
        <v>18.18</v>
      </c>
      <c r="M43" s="161" t="n">
        <v>20</v>
      </c>
      <c r="N43" s="139" t="n">
        <f aca="false">IFERROR(IF(L43*M43=0,"",L43*M43),"")</f>
        <v>363.6</v>
      </c>
      <c r="O43" s="158" t="s">
        <v>120</v>
      </c>
      <c r="P43" s="138" t="str">
        <f aca="false">IFERROR(VLOOKUP(TEXT(O43,"0"),CONDUCTORES!$A$3:$G$100,2,0),"")</f>
        <v>SAUCEDO LOPEZ ELDIN NOLASCO</v>
      </c>
      <c r="Q43" s="138" t="str">
        <f aca="false">IFERROR(VLOOKUP(TEXT(O43,"0"),CONDUCTORES!$A$3:$H$100,6,0),"")</f>
        <v>EUH699</v>
      </c>
      <c r="R43" s="162"/>
      <c r="S43" s="159" t="s">
        <v>839</v>
      </c>
      <c r="T43" s="158" t="s">
        <v>758</v>
      </c>
      <c r="U43" s="162"/>
      <c r="V43" s="159"/>
      <c r="W43" s="158"/>
      <c r="X43" s="158"/>
      <c r="Y43" s="163" t="s">
        <v>44</v>
      </c>
      <c r="Z43" s="157" t="str">
        <f aca="false">IF(AND(R43&lt;&gt;"",V43&lt;&gt;"",W43&lt;&gt;"",X43&lt;&gt;""),"ENTREGADO","POR RECOGER")</f>
        <v>POR RECOGER</v>
      </c>
      <c r="AA43" s="4"/>
      <c r="AB43" s="4"/>
      <c r="AC43" s="4"/>
    </row>
    <row r="44" customFormat="false" ht="15.75" hidden="true" customHeight="true" outlineLevel="0" collapsed="false">
      <c r="A44" s="106" t="n">
        <v>40</v>
      </c>
      <c r="B44" s="107" t="s">
        <v>1713</v>
      </c>
      <c r="C44" s="106" t="s">
        <v>752</v>
      </c>
      <c r="D44" s="107" t="s">
        <v>4648</v>
      </c>
      <c r="E44" s="136" t="s">
        <v>99</v>
      </c>
      <c r="F44" s="106" t="s">
        <v>4649</v>
      </c>
      <c r="G44" s="137" t="n">
        <v>46034</v>
      </c>
      <c r="H44" s="106" t="s">
        <v>692</v>
      </c>
      <c r="I44" s="138" t="str">
        <f aca="false">IFERROR(VLOOKUP(TEXT(H44,"0"),IPRESS!$A$3:$B$212,2,0),"")</f>
        <v>TINGO</v>
      </c>
      <c r="J44" s="106" t="s">
        <v>755</v>
      </c>
      <c r="K44" s="138" t="s">
        <v>14</v>
      </c>
      <c r="L44" s="50" t="n">
        <v>18.18</v>
      </c>
      <c r="M44" s="50" t="n">
        <v>5</v>
      </c>
      <c r="N44" s="139" t="n">
        <f aca="false">IFERROR(IF(L44*M44=0,"",L44*M44),"")</f>
        <v>90.9</v>
      </c>
      <c r="O44" s="106" t="s">
        <v>263</v>
      </c>
      <c r="P44" s="138" t="str">
        <f aca="false">IFERROR(VLOOKUP(TEXT(O44,"0"),CONDUCTORES!$A$3:$G$100,2,0),"")</f>
        <v>VILCARROMERO TORREJON HERMERSON</v>
      </c>
      <c r="Q44" s="138" t="str">
        <f aca="false">IFERROR(VLOOKUP(TEXT(O44,"0"),CONDUCTORES!$A$3:$H$100,6,0),"")</f>
        <v>EUD-917</v>
      </c>
      <c r="R44" s="140"/>
      <c r="S44" s="107" t="s">
        <v>4623</v>
      </c>
      <c r="T44" s="136" t="s">
        <v>758</v>
      </c>
      <c r="U44" s="140"/>
      <c r="V44" s="107"/>
      <c r="W44" s="106"/>
      <c r="X44" s="106"/>
      <c r="Y44" s="85"/>
      <c r="Z44" s="157" t="str">
        <f aca="false">IF(AND(R44&lt;&gt;"",V44&lt;&gt;"",W44&lt;&gt;"",X44&lt;&gt;""),"ENTREGADO","POR RECOGER")</f>
        <v>POR RECOGER</v>
      </c>
      <c r="AA44" s="4"/>
      <c r="AB44" s="4"/>
      <c r="AC44" s="4"/>
    </row>
    <row r="45" customFormat="false" ht="15.75" hidden="true" customHeight="true" outlineLevel="0" collapsed="false">
      <c r="A45" s="46" t="n">
        <v>39</v>
      </c>
      <c r="B45" s="110" t="s">
        <v>1734</v>
      </c>
      <c r="C45" s="46" t="s">
        <v>752</v>
      </c>
      <c r="D45" s="110" t="s">
        <v>4650</v>
      </c>
      <c r="E45" s="46" t="s">
        <v>99</v>
      </c>
      <c r="F45" s="46" t="s">
        <v>4380</v>
      </c>
      <c r="G45" s="142" t="n">
        <v>46046</v>
      </c>
      <c r="H45" s="46" t="s">
        <v>692</v>
      </c>
      <c r="I45" s="138" t="str">
        <f aca="false">IFERROR(VLOOKUP(TEXT(H45,"0"),IPRESS!$A$3:$B$212,2,0),"")</f>
        <v>TINGO</v>
      </c>
      <c r="J45" s="46" t="s">
        <v>755</v>
      </c>
      <c r="K45" s="138" t="s">
        <v>14</v>
      </c>
      <c r="L45" s="44" t="n">
        <v>18.18</v>
      </c>
      <c r="M45" s="44" t="n">
        <v>5</v>
      </c>
      <c r="N45" s="139" t="n">
        <f aca="false">IFERROR(IF(L45*M45=0,"",L45*M45),"")</f>
        <v>90.9</v>
      </c>
      <c r="O45" s="46" t="s">
        <v>263</v>
      </c>
      <c r="P45" s="138" t="str">
        <f aca="false">IFERROR(VLOOKUP(TEXT(O45,"0"),CONDUCTORES!$A$3:$G$100,2,0),"")</f>
        <v>VILCARROMERO TORREJON HERMERSON</v>
      </c>
      <c r="Q45" s="138" t="str">
        <f aca="false">IFERROR(VLOOKUP(TEXT(O45,"0"),CONDUCTORES!$A$3:$H$100,6,0),"")</f>
        <v>EUD-917</v>
      </c>
      <c r="R45" s="85"/>
      <c r="S45" s="110" t="s">
        <v>4651</v>
      </c>
      <c r="T45" s="46" t="s">
        <v>758</v>
      </c>
      <c r="U45" s="85"/>
      <c r="V45" s="110"/>
      <c r="W45" s="46"/>
      <c r="X45" s="46"/>
      <c r="Y45" s="85"/>
      <c r="Z45" s="157" t="str">
        <f aca="false">IF(AND(R45&lt;&gt;"",V45&lt;&gt;"",W45&lt;&gt;"",X45&lt;&gt;""),"ENTREGADO","POR RECOGER")</f>
        <v>POR RECOGER</v>
      </c>
      <c r="AA45" s="4"/>
      <c r="AB45" s="4"/>
      <c r="AC45" s="4"/>
    </row>
    <row r="46" customFormat="false" ht="15.75" hidden="true" customHeight="true" outlineLevel="0" collapsed="false">
      <c r="A46" s="106" t="n">
        <v>41</v>
      </c>
      <c r="B46" s="107" t="s">
        <v>1739</v>
      </c>
      <c r="C46" s="106" t="s">
        <v>752</v>
      </c>
      <c r="D46" s="107" t="s">
        <v>4652</v>
      </c>
      <c r="E46" s="136" t="s">
        <v>99</v>
      </c>
      <c r="F46" s="106" t="s">
        <v>4653</v>
      </c>
      <c r="G46" s="137" t="n">
        <v>46026</v>
      </c>
      <c r="H46" s="106" t="s">
        <v>500</v>
      </c>
      <c r="I46" s="138" t="str">
        <f aca="false">IFERROR(VLOOKUP(TEXT(H46,"0"),IPRESS!$A$3:$B$212,2,0),"")</f>
        <v>LAMUD</v>
      </c>
      <c r="J46" s="106" t="s">
        <v>755</v>
      </c>
      <c r="K46" s="138" t="s">
        <v>14</v>
      </c>
      <c r="L46" s="50" t="n">
        <v>18.18</v>
      </c>
      <c r="M46" s="50" t="n">
        <v>4</v>
      </c>
      <c r="N46" s="139" t="n">
        <f aca="false">IFERROR(IF(L46*M46=0,"",L46*M46),"")</f>
        <v>72.72</v>
      </c>
      <c r="O46" s="106" t="s">
        <v>175</v>
      </c>
      <c r="P46" s="138" t="str">
        <f aca="false">IFERROR(VLOOKUP(TEXT(O46,"0"),CONDUCTORES!$A$3:$G$100,2,0),"")</f>
        <v>DANIEL ZELADA TRUJILLO</v>
      </c>
      <c r="Q46" s="138" t="str">
        <f aca="false">IFERROR(VLOOKUP(TEXT(O46,"0"),CONDUCTORES!$A$3:$H$100,6,0),"")</f>
        <v>EUA-963</v>
      </c>
      <c r="R46" s="140"/>
      <c r="S46" s="107" t="s">
        <v>4654</v>
      </c>
      <c r="T46" s="136" t="s">
        <v>758</v>
      </c>
      <c r="U46" s="140"/>
      <c r="V46" s="107"/>
      <c r="W46" s="106"/>
      <c r="X46" s="106"/>
      <c r="Y46" s="85"/>
      <c r="Z46" s="157" t="str">
        <f aca="false">IF(AND(R46&lt;&gt;"",V46&lt;&gt;"",W46&lt;&gt;"",X46&lt;&gt;""),"ENTREGADO","POR RECOGER")</f>
        <v>POR RECOGER</v>
      </c>
      <c r="AA46" s="4"/>
      <c r="AB46" s="4"/>
      <c r="AC46" s="4"/>
    </row>
    <row r="47" customFormat="false" ht="15.75" hidden="true" customHeight="true" outlineLevel="0" collapsed="false">
      <c r="A47" s="46" t="n">
        <v>42</v>
      </c>
      <c r="B47" s="110" t="s">
        <v>4655</v>
      </c>
      <c r="C47" s="46" t="s">
        <v>752</v>
      </c>
      <c r="D47" s="110" t="s">
        <v>4656</v>
      </c>
      <c r="E47" s="46" t="s">
        <v>99</v>
      </c>
      <c r="F47" s="46" t="s">
        <v>4657</v>
      </c>
      <c r="G47" s="142" t="n">
        <v>46024</v>
      </c>
      <c r="H47" s="46" t="s">
        <v>581</v>
      </c>
      <c r="I47" s="138" t="str">
        <f aca="false">IFERROR(VLOOKUP(TEXT(H47,"0"),IPRESS!$A$3:$B$212,2,0),"")</f>
        <v>PEDRO RUIZ GALLO</v>
      </c>
      <c r="J47" s="46" t="s">
        <v>755</v>
      </c>
      <c r="K47" s="138" t="s">
        <v>14</v>
      </c>
      <c r="L47" s="44" t="n">
        <v>18.18</v>
      </c>
      <c r="M47" s="44" t="n">
        <v>5</v>
      </c>
      <c r="N47" s="139" t="n">
        <f aca="false">IFERROR(IF(L47*M47=0,"",L47*M47),"")</f>
        <v>90.9</v>
      </c>
      <c r="O47" s="46" t="s">
        <v>238</v>
      </c>
      <c r="P47" s="138" t="str">
        <f aca="false">IFERROR(VLOOKUP(TEXT(O47,"0"),CONDUCTORES!$A$3:$G$100,2,0),"")</f>
        <v>RIOS CHAVEZ WUILQUE</v>
      </c>
      <c r="Q47" s="138" t="str">
        <f aca="false">IFERROR(VLOOKUP(TEXT(O47,"0"),CONDUCTORES!$A$3:$H$100,6,0),"")</f>
        <v>EUD360</v>
      </c>
      <c r="R47" s="85"/>
      <c r="S47" s="110" t="s">
        <v>4658</v>
      </c>
      <c r="T47" s="46" t="s">
        <v>758</v>
      </c>
      <c r="U47" s="85"/>
      <c r="V47" s="110"/>
      <c r="W47" s="46"/>
      <c r="X47" s="46"/>
      <c r="Y47" s="85"/>
      <c r="Z47" s="157" t="str">
        <f aca="false">IF(AND(R47&lt;&gt;"",V47&lt;&gt;"",W47&lt;&gt;"",X47&lt;&gt;""),"ENTREGADO","POR RECOGER")</f>
        <v>POR RECOGER</v>
      </c>
      <c r="AA47" s="4"/>
      <c r="AB47" s="4"/>
      <c r="AC47" s="4"/>
    </row>
    <row r="48" customFormat="false" ht="15.75" hidden="true" customHeight="true" outlineLevel="0" collapsed="false">
      <c r="A48" s="106" t="n">
        <v>43</v>
      </c>
      <c r="B48" s="107" t="s">
        <v>1544</v>
      </c>
      <c r="C48" s="106" t="s">
        <v>752</v>
      </c>
      <c r="D48" s="107" t="s">
        <v>4659</v>
      </c>
      <c r="E48" s="136" t="s">
        <v>99</v>
      </c>
      <c r="F48" s="106" t="s">
        <v>4660</v>
      </c>
      <c r="G48" s="137" t="n">
        <v>46027</v>
      </c>
      <c r="H48" s="106" t="s">
        <v>357</v>
      </c>
      <c r="I48" s="138" t="str">
        <f aca="false">IFERROR(VLOOKUP(TEXT(H48,"0"),IPRESS!$A$3:$B$212,2,0),"")</f>
        <v>CAMPORREDONDO</v>
      </c>
      <c r="J48" s="106" t="s">
        <v>755</v>
      </c>
      <c r="K48" s="138" t="s">
        <v>14</v>
      </c>
      <c r="L48" s="50" t="n">
        <v>18.18</v>
      </c>
      <c r="M48" s="50" t="n">
        <v>20</v>
      </c>
      <c r="N48" s="139" t="n">
        <f aca="false">IFERROR(IF(L48*M48=0,"",L48*M48),"")</f>
        <v>363.6</v>
      </c>
      <c r="O48" s="106" t="s">
        <v>107</v>
      </c>
      <c r="P48" s="138" t="str">
        <f aca="false">IFERROR(VLOOKUP(TEXT(O48,"0"),CONDUCTORES!$A$3:$G$100,2,0),"")</f>
        <v>GUEVARA VASQUEZ GREIMER MELGAR</v>
      </c>
      <c r="Q48" s="138" t="str">
        <f aca="false">IFERROR(VLOOKUP(TEXT(O48,"0"),CONDUCTORES!$A$3:$H$100,6,0),"")</f>
        <v>EUE 651</v>
      </c>
      <c r="R48" s="140"/>
      <c r="S48" s="107" t="s">
        <v>4661</v>
      </c>
      <c r="T48" s="136" t="s">
        <v>758</v>
      </c>
      <c r="U48" s="140"/>
      <c r="V48" s="107"/>
      <c r="W48" s="106"/>
      <c r="X48" s="106"/>
      <c r="Y48" s="85"/>
      <c r="Z48" s="157" t="str">
        <f aca="false">IF(AND(R48&lt;&gt;"",V48&lt;&gt;"",W48&lt;&gt;"",X48&lt;&gt;""),"ENTREGADO","POR RECOGER")</f>
        <v>POR RECOGER</v>
      </c>
      <c r="AA48" s="4"/>
      <c r="AB48" s="4"/>
      <c r="AC48" s="4"/>
    </row>
    <row r="49" customFormat="false" ht="15.75" hidden="true" customHeight="true" outlineLevel="0" collapsed="false">
      <c r="A49" s="46" t="n">
        <v>44</v>
      </c>
      <c r="B49" s="110" t="s">
        <v>4662</v>
      </c>
      <c r="C49" s="46" t="s">
        <v>752</v>
      </c>
      <c r="D49" s="110" t="s">
        <v>4663</v>
      </c>
      <c r="E49" s="46" t="s">
        <v>99</v>
      </c>
      <c r="F49" s="46" t="s">
        <v>4664</v>
      </c>
      <c r="G49" s="142" t="n">
        <v>46030</v>
      </c>
      <c r="H49" s="46" t="s">
        <v>581</v>
      </c>
      <c r="I49" s="138" t="str">
        <f aca="false">IFERROR(VLOOKUP(TEXT(H49,"0"),IPRESS!$A$3:$B$212,2,0),"")</f>
        <v>PEDRO RUIZ GALLO</v>
      </c>
      <c r="J49" s="46" t="s">
        <v>755</v>
      </c>
      <c r="K49" s="138" t="s">
        <v>14</v>
      </c>
      <c r="L49" s="44" t="n">
        <v>18.18</v>
      </c>
      <c r="M49" s="44" t="n">
        <v>5</v>
      </c>
      <c r="N49" s="139" t="n">
        <f aca="false">IFERROR(IF(L49*M49=0,"",L49*M49),"")</f>
        <v>90.9</v>
      </c>
      <c r="O49" s="46" t="s">
        <v>238</v>
      </c>
      <c r="P49" s="138" t="str">
        <f aca="false">IFERROR(VLOOKUP(TEXT(O49,"0"),CONDUCTORES!$A$3:$G$100,2,0),"")</f>
        <v>RIOS CHAVEZ WUILQUE</v>
      </c>
      <c r="Q49" s="138" t="str">
        <f aca="false">IFERROR(VLOOKUP(TEXT(O49,"0"),CONDUCTORES!$A$3:$H$100,6,0),"")</f>
        <v>EUD360</v>
      </c>
      <c r="R49" s="85"/>
      <c r="S49" s="110" t="s">
        <v>1487</v>
      </c>
      <c r="T49" s="46" t="s">
        <v>758</v>
      </c>
      <c r="U49" s="85"/>
      <c r="V49" s="110"/>
      <c r="W49" s="46"/>
      <c r="X49" s="46"/>
      <c r="Y49" s="85"/>
      <c r="Z49" s="157" t="str">
        <f aca="false">IF(AND(R49&lt;&gt;"",V49&lt;&gt;"",W49&lt;&gt;"",X49&lt;&gt;""),"ENTREGADO","POR RECOGER")</f>
        <v>POR RECOGER</v>
      </c>
      <c r="AA49" s="4"/>
      <c r="AB49" s="4"/>
      <c r="AC49" s="4"/>
    </row>
    <row r="50" customFormat="false" ht="15.75" hidden="true" customHeight="true" outlineLevel="0" collapsed="false">
      <c r="A50" s="158" t="n">
        <v>45</v>
      </c>
      <c r="B50" s="159" t="s">
        <v>1489</v>
      </c>
      <c r="C50" s="158" t="s">
        <v>752</v>
      </c>
      <c r="D50" s="159" t="s">
        <v>4570</v>
      </c>
      <c r="E50" s="158" t="s">
        <v>99</v>
      </c>
      <c r="F50" s="158" t="s">
        <v>4571</v>
      </c>
      <c r="G50" s="160" t="n">
        <v>46032</v>
      </c>
      <c r="H50" s="158" t="s">
        <v>450</v>
      </c>
      <c r="I50" s="138" t="str">
        <f aca="false">IFERROR(VLOOKUP(TEXT(H50,"0"),IPRESS!$A$3:$B$212,2,0),"")</f>
        <v>EL TRIUNFO</v>
      </c>
      <c r="J50" s="158" t="s">
        <v>529</v>
      </c>
      <c r="K50" s="138" t="s">
        <v>14</v>
      </c>
      <c r="L50" s="161" t="n">
        <v>20.25</v>
      </c>
      <c r="M50" s="161" t="n">
        <v>12</v>
      </c>
      <c r="N50" s="139" t="n">
        <f aca="false">IFERROR(IF(L50*M50=0,"",L50*M50),"")</f>
        <v>243</v>
      </c>
      <c r="O50" s="158" t="s">
        <v>268</v>
      </c>
      <c r="P50" s="138" t="str">
        <f aca="false">IFERROR(VLOOKUP(TEXT(O50,"0"),CONDUCTORES!$A$3:$G$100,2,0),"")</f>
        <v>VILLA GONGORA RODVIN LUIS</v>
      </c>
      <c r="Q50" s="138" t="str">
        <f aca="false">IFERROR(VLOOKUP(TEXT(O50,"0"),CONDUCTORES!$A$3:$H$100,6,0),"")</f>
        <v>EUD-684</v>
      </c>
      <c r="R50" s="162"/>
      <c r="S50" s="159" t="s">
        <v>1292</v>
      </c>
      <c r="T50" s="158" t="s">
        <v>758</v>
      </c>
      <c r="U50" s="162"/>
      <c r="V50" s="159"/>
      <c r="W50" s="158"/>
      <c r="X50" s="158"/>
      <c r="Y50" s="163" t="s">
        <v>80</v>
      </c>
      <c r="Z50" s="157" t="str">
        <f aca="false">IF(AND(R50&lt;&gt;"",V50&lt;&gt;"",W50&lt;&gt;"",X50&lt;&gt;""),"ENTREGADO","POR RECOGER")</f>
        <v>POR RECOGER</v>
      </c>
      <c r="AA50" s="4"/>
      <c r="AB50" s="4"/>
      <c r="AC50" s="4"/>
    </row>
    <row r="51" customFormat="false" ht="15.75" hidden="true" customHeight="true" outlineLevel="0" collapsed="false">
      <c r="A51" s="46" t="n">
        <v>46</v>
      </c>
      <c r="B51" s="110" t="s">
        <v>1489</v>
      </c>
      <c r="C51" s="46" t="s">
        <v>752</v>
      </c>
      <c r="D51" s="110" t="s">
        <v>4665</v>
      </c>
      <c r="E51" s="46" t="s">
        <v>99</v>
      </c>
      <c r="F51" s="46" t="s">
        <v>4666</v>
      </c>
      <c r="G51" s="142" t="n">
        <v>46034</v>
      </c>
      <c r="H51" s="46" t="s">
        <v>697</v>
      </c>
      <c r="I51" s="138" t="str">
        <f aca="false">IFERROR(VLOOKUP(TEXT(H51,"0"),IPRESS!$A$3:$B$212,2,0),"")</f>
        <v>TOTORA</v>
      </c>
      <c r="J51" s="46" t="s">
        <v>529</v>
      </c>
      <c r="K51" s="138" t="s">
        <v>14</v>
      </c>
      <c r="L51" s="44" t="n">
        <v>20.25</v>
      </c>
      <c r="M51" s="44" t="n">
        <v>6</v>
      </c>
      <c r="N51" s="139" t="n">
        <f aca="false">IFERROR(IF(L51*M51=0,"",L51*M51),"")</f>
        <v>121.5</v>
      </c>
      <c r="O51" s="46" t="s">
        <v>268</v>
      </c>
      <c r="P51" s="138" t="str">
        <f aca="false">IFERROR(VLOOKUP(TEXT(O51,"0"),CONDUCTORES!$A$3:$G$100,2,0),"")</f>
        <v>VILLA GONGORA RODVIN LUIS</v>
      </c>
      <c r="Q51" s="138" t="str">
        <f aca="false">IFERROR(VLOOKUP(TEXT(O51,"0"),CONDUCTORES!$A$3:$H$100,6,0),"")</f>
        <v>EUD-684</v>
      </c>
      <c r="R51" s="85"/>
      <c r="S51" s="110" t="s">
        <v>4667</v>
      </c>
      <c r="T51" s="46" t="s">
        <v>758</v>
      </c>
      <c r="U51" s="85"/>
      <c r="V51" s="110"/>
      <c r="W51" s="46"/>
      <c r="X51" s="46"/>
      <c r="Y51" s="85"/>
      <c r="Z51" s="157" t="str">
        <f aca="false">IF(AND(R51&lt;&gt;"",V51&lt;&gt;"",W51&lt;&gt;"",X51&lt;&gt;""),"ENTREGADO","POR RECOGER")</f>
        <v>POR RECOGER</v>
      </c>
      <c r="AA51" s="4"/>
      <c r="AB51" s="4"/>
      <c r="AC51" s="4"/>
    </row>
    <row r="52" customFormat="false" ht="15.75" hidden="true" customHeight="true" outlineLevel="0" collapsed="false">
      <c r="A52" s="106" t="n">
        <v>47</v>
      </c>
      <c r="B52" s="107" t="s">
        <v>1501</v>
      </c>
      <c r="C52" s="106" t="s">
        <v>752</v>
      </c>
      <c r="D52" s="107" t="s">
        <v>4668</v>
      </c>
      <c r="E52" s="136" t="s">
        <v>99</v>
      </c>
      <c r="F52" s="106" t="s">
        <v>4669</v>
      </c>
      <c r="G52" s="137" t="n">
        <v>46037</v>
      </c>
      <c r="H52" s="106" t="s">
        <v>466</v>
      </c>
      <c r="I52" s="138" t="str">
        <f aca="false">IFERROR(VLOOKUP(TEXT(H52,"0"),IPRESS!$A$3:$B$212,2,0),"")</f>
        <v>HUAMBO</v>
      </c>
      <c r="J52" s="106" t="s">
        <v>529</v>
      </c>
      <c r="K52" s="138" t="s">
        <v>14</v>
      </c>
      <c r="L52" s="50" t="n">
        <v>20.25</v>
      </c>
      <c r="M52" s="50" t="n">
        <v>3</v>
      </c>
      <c r="N52" s="139" t="n">
        <f aca="false">IFERROR(IF(L52*M52=0,"",L52*M52),"")</f>
        <v>60.75</v>
      </c>
      <c r="O52" s="106" t="s">
        <v>153</v>
      </c>
      <c r="P52" s="138" t="str">
        <f aca="false">IFERROR(VLOOKUP(TEXT(O52,"0"),CONDUCTORES!$A$3:$G$100,2,0),"")</f>
        <v>LOPEZ HOYOS MIGUEL ANGEL</v>
      </c>
      <c r="Q52" s="138" t="str">
        <f aca="false">IFERROR(VLOOKUP(TEXT(O52,"0"),CONDUCTORES!$A$3:$H$100,6,0),"")</f>
        <v>EUH-698</v>
      </c>
      <c r="R52" s="140"/>
      <c r="S52" s="107" t="s">
        <v>1375</v>
      </c>
      <c r="T52" s="136" t="s">
        <v>758</v>
      </c>
      <c r="U52" s="140"/>
      <c r="V52" s="107"/>
      <c r="W52" s="106"/>
      <c r="X52" s="106"/>
      <c r="Y52" s="85"/>
      <c r="Z52" s="157" t="str">
        <f aca="false">IF(AND(R52&lt;&gt;"",V52&lt;&gt;"",W52&lt;&gt;"",X52&lt;&gt;""),"ENTREGADO","POR RECOGER")</f>
        <v>POR RECOGER</v>
      </c>
      <c r="AA52" s="4"/>
      <c r="AB52" s="4"/>
      <c r="AC52" s="4"/>
    </row>
    <row r="53" customFormat="false" ht="15.75" hidden="false" customHeight="true" outlineLevel="0" collapsed="false">
      <c r="A53" s="143" t="n">
        <v>48</v>
      </c>
      <c r="B53" s="144" t="s">
        <v>4670</v>
      </c>
      <c r="C53" s="143" t="s">
        <v>752</v>
      </c>
      <c r="D53" s="144" t="s">
        <v>4671</v>
      </c>
      <c r="E53" s="143" t="s">
        <v>99</v>
      </c>
      <c r="F53" s="143" t="s">
        <v>4672</v>
      </c>
      <c r="G53" s="145" t="n">
        <v>46042</v>
      </c>
      <c r="H53" s="143" t="s">
        <v>581</v>
      </c>
      <c r="I53" s="138" t="str">
        <f aca="false">IFERROR(VLOOKUP(TEXT(H53,"0"),IPRESS!$A$3:$B$212,2,0),"")</f>
        <v>PEDRO RUIZ GALLO</v>
      </c>
      <c r="J53" s="143" t="s">
        <v>755</v>
      </c>
      <c r="K53" s="164" t="s">
        <v>16</v>
      </c>
      <c r="L53" s="146" t="n">
        <v>17.95</v>
      </c>
      <c r="M53" s="146" t="n">
        <v>6</v>
      </c>
      <c r="N53" s="139" t="n">
        <f aca="false">IFERROR(IF(L53*M53=0,"",L53*M53),"")</f>
        <v>107.7</v>
      </c>
      <c r="O53" s="143" t="s">
        <v>238</v>
      </c>
      <c r="P53" s="138" t="str">
        <f aca="false">IFERROR(VLOOKUP(TEXT(O53,"0"),CONDUCTORES!$A$3:$G$100,2,0),"")</f>
        <v>RIOS CHAVEZ WUILQUE</v>
      </c>
      <c r="Q53" s="138" t="str">
        <f aca="false">IFERROR(VLOOKUP(TEXT(O53,"0"),CONDUCTORES!$A$3:$H$100,6,0),"")</f>
        <v>EUD360</v>
      </c>
      <c r="R53" s="147"/>
      <c r="S53" s="144" t="s">
        <v>1324</v>
      </c>
      <c r="T53" s="143" t="s">
        <v>758</v>
      </c>
      <c r="U53" s="147"/>
      <c r="V53" s="144"/>
      <c r="W53" s="143"/>
      <c r="X53" s="143"/>
      <c r="Y53" s="85"/>
      <c r="Z53" s="157" t="str">
        <f aca="false">IF(AND(R53&lt;&gt;"",V53&lt;&gt;"",W53&lt;&gt;"",X53&lt;&gt;""),"ENTREGADO","POR RECOGER")</f>
        <v>POR RECOGER</v>
      </c>
      <c r="AA53" s="4"/>
      <c r="AB53" s="4"/>
      <c r="AC53" s="4"/>
    </row>
    <row r="54" customFormat="false" ht="15.75" hidden="true" customHeight="true" outlineLevel="0" collapsed="false">
      <c r="A54" s="106" t="n">
        <v>49</v>
      </c>
      <c r="B54" s="107" t="s">
        <v>4673</v>
      </c>
      <c r="C54" s="106" t="s">
        <v>752</v>
      </c>
      <c r="D54" s="107" t="s">
        <v>4674</v>
      </c>
      <c r="E54" s="136" t="s">
        <v>99</v>
      </c>
      <c r="F54" s="106" t="s">
        <v>4675</v>
      </c>
      <c r="G54" s="137" t="n">
        <v>46042</v>
      </c>
      <c r="H54" s="106" t="s">
        <v>581</v>
      </c>
      <c r="I54" s="138" t="str">
        <f aca="false">IFERROR(VLOOKUP(TEXT(H54,"0"),IPRESS!$A$3:$B$212,2,0),"")</f>
        <v>PEDRO RUIZ GALLO</v>
      </c>
      <c r="J54" s="106" t="s">
        <v>755</v>
      </c>
      <c r="K54" s="138" t="s">
        <v>14</v>
      </c>
      <c r="L54" s="50" t="n">
        <v>18.18</v>
      </c>
      <c r="M54" s="50" t="n">
        <v>5</v>
      </c>
      <c r="N54" s="139" t="n">
        <f aca="false">IFERROR(IF(L54*M54=0,"",L54*M54),"")</f>
        <v>90.9</v>
      </c>
      <c r="O54" s="106" t="s">
        <v>238</v>
      </c>
      <c r="P54" s="138" t="str">
        <f aca="false">IFERROR(VLOOKUP(TEXT(O54,"0"),CONDUCTORES!$A$3:$G$100,2,0),"")</f>
        <v>RIOS CHAVEZ WUILQUE</v>
      </c>
      <c r="Q54" s="138" t="str">
        <f aca="false">IFERROR(VLOOKUP(TEXT(O54,"0"),CONDUCTORES!$A$3:$H$100,6,0),"")</f>
        <v>EUD360</v>
      </c>
      <c r="R54" s="140"/>
      <c r="S54" s="107" t="s">
        <v>4676</v>
      </c>
      <c r="T54" s="136" t="s">
        <v>758</v>
      </c>
      <c r="U54" s="140"/>
      <c r="V54" s="107"/>
      <c r="W54" s="106"/>
      <c r="X54" s="106"/>
      <c r="Y54" s="85"/>
      <c r="Z54" s="157" t="str">
        <f aca="false">IF(AND(R54&lt;&gt;"",V54&lt;&gt;"",W54&lt;&gt;"",X54&lt;&gt;""),"ENTREGADO","POR RECOGER")</f>
        <v>POR RECOGER</v>
      </c>
      <c r="AA54" s="4"/>
      <c r="AB54" s="4"/>
      <c r="AC54" s="4"/>
    </row>
    <row r="55" customFormat="false" ht="15.75" hidden="true" customHeight="true" outlineLevel="0" collapsed="false">
      <c r="A55" s="158" t="n">
        <v>50</v>
      </c>
      <c r="B55" s="159" t="s">
        <v>1551</v>
      </c>
      <c r="C55" s="158" t="s">
        <v>752</v>
      </c>
      <c r="D55" s="159" t="s">
        <v>4677</v>
      </c>
      <c r="E55" s="158" t="s">
        <v>99</v>
      </c>
      <c r="F55" s="158" t="s">
        <v>4678</v>
      </c>
      <c r="G55" s="160" t="n">
        <v>46044</v>
      </c>
      <c r="H55" s="158" t="s">
        <v>508</v>
      </c>
      <c r="I55" s="138" t="str">
        <f aca="false">IFERROR(VLOOKUP(TEXT(H55,"0"),IPRESS!$A$3:$B$212,2,0),"")</f>
        <v>LIMABAMBA</v>
      </c>
      <c r="J55" s="158" t="s">
        <v>529</v>
      </c>
      <c r="K55" s="138" t="s">
        <v>14</v>
      </c>
      <c r="L55" s="161" t="n">
        <v>20.25</v>
      </c>
      <c r="M55" s="161" t="n">
        <v>8</v>
      </c>
      <c r="N55" s="139" t="n">
        <f aca="false">IFERROR(IF(L55*M55=0,"",L55*M55),"")</f>
        <v>162</v>
      </c>
      <c r="O55" s="158" t="s">
        <v>268</v>
      </c>
      <c r="P55" s="138" t="str">
        <f aca="false">IFERROR(VLOOKUP(TEXT(O55,"0"),CONDUCTORES!$A$3:$G$100,2,0),"")</f>
        <v>VILLA GONGORA RODVIN LUIS</v>
      </c>
      <c r="Q55" s="138" t="str">
        <f aca="false">IFERROR(VLOOKUP(TEXT(O55,"0"),CONDUCTORES!$A$3:$H$100,6,0),"")</f>
        <v>EUD-684</v>
      </c>
      <c r="R55" s="162"/>
      <c r="S55" s="159" t="s">
        <v>4679</v>
      </c>
      <c r="T55" s="158" t="s">
        <v>758</v>
      </c>
      <c r="U55" s="162"/>
      <c r="V55" s="159"/>
      <c r="W55" s="158"/>
      <c r="X55" s="158"/>
      <c r="Y55" s="163" t="s">
        <v>80</v>
      </c>
      <c r="Z55" s="157" t="str">
        <f aca="false">IF(AND(R55&lt;&gt;"",V55&lt;&gt;"",W55&lt;&gt;"",X55&lt;&gt;""),"ENTREGADO","POR RECOGER")</f>
        <v>POR RECOGER</v>
      </c>
      <c r="AA55" s="4"/>
      <c r="AB55" s="4"/>
      <c r="AC55" s="4"/>
    </row>
    <row r="56" customFormat="false" ht="15.75" hidden="true" customHeight="true" outlineLevel="0" collapsed="false">
      <c r="A56" s="106" t="n">
        <v>51</v>
      </c>
      <c r="B56" s="107" t="s">
        <v>4680</v>
      </c>
      <c r="C56" s="106" t="s">
        <v>752</v>
      </c>
      <c r="D56" s="107" t="s">
        <v>4681</v>
      </c>
      <c r="E56" s="136" t="s">
        <v>99</v>
      </c>
      <c r="F56" s="106" t="s">
        <v>4682</v>
      </c>
      <c r="G56" s="137" t="n">
        <v>46045</v>
      </c>
      <c r="H56" s="106" t="s">
        <v>581</v>
      </c>
      <c r="I56" s="138" t="str">
        <f aca="false">IFERROR(VLOOKUP(TEXT(H56,"0"),IPRESS!$A$3:$B$212,2,0),"")</f>
        <v>PEDRO RUIZ GALLO</v>
      </c>
      <c r="J56" s="106" t="s">
        <v>755</v>
      </c>
      <c r="K56" s="138" t="s">
        <v>14</v>
      </c>
      <c r="L56" s="50" t="n">
        <v>18.18</v>
      </c>
      <c r="M56" s="50" t="n">
        <v>5</v>
      </c>
      <c r="N56" s="139" t="n">
        <f aca="false">IFERROR(IF(L56*M56=0,"",L56*M56),"")</f>
        <v>90.9</v>
      </c>
      <c r="O56" s="106" t="s">
        <v>234</v>
      </c>
      <c r="P56" s="138" t="str">
        <f aca="false">IFERROR(VLOOKUP(TEXT(O56,"0"),CONDUCTORES!$A$3:$G$100,2,0),"")</f>
        <v>MONTENEGRO RUIZ LUIS MIGUEL</v>
      </c>
      <c r="Q56" s="138" t="str">
        <f aca="false">IFERROR(VLOOKUP(TEXT(O56,"0"),CONDUCTORES!$A$3:$H$100,6,0),"")</f>
        <v>EUH-427</v>
      </c>
      <c r="R56" s="140"/>
      <c r="S56" s="107" t="s">
        <v>4683</v>
      </c>
      <c r="T56" s="136" t="s">
        <v>758</v>
      </c>
      <c r="U56" s="140"/>
      <c r="V56" s="107"/>
      <c r="W56" s="106"/>
      <c r="X56" s="106"/>
      <c r="Y56" s="85"/>
      <c r="Z56" s="157" t="str">
        <f aca="false">IF(AND(R56&lt;&gt;"",V56&lt;&gt;"",W56&lt;&gt;"",X56&lt;&gt;""),"ENTREGADO","POR RECOGER")</f>
        <v>POR RECOGER</v>
      </c>
      <c r="AA56" s="4"/>
      <c r="AB56" s="4"/>
      <c r="AC56" s="4"/>
    </row>
    <row r="57" customFormat="false" ht="15.75" hidden="true" customHeight="true" outlineLevel="0" collapsed="false">
      <c r="A57" s="158" t="n">
        <v>52</v>
      </c>
      <c r="B57" s="159" t="s">
        <v>4684</v>
      </c>
      <c r="C57" s="158" t="s">
        <v>752</v>
      </c>
      <c r="D57" s="159" t="s">
        <v>4685</v>
      </c>
      <c r="E57" s="158" t="s">
        <v>99</v>
      </c>
      <c r="F57" s="158" t="s">
        <v>4686</v>
      </c>
      <c r="G57" s="160" t="n">
        <v>46046</v>
      </c>
      <c r="H57" s="158" t="s">
        <v>508</v>
      </c>
      <c r="I57" s="138" t="str">
        <f aca="false">IFERROR(VLOOKUP(TEXT(H57,"0"),IPRESS!$A$3:$B$212,2,0),"")</f>
        <v>LIMABAMBA</v>
      </c>
      <c r="J57" s="158" t="s">
        <v>529</v>
      </c>
      <c r="K57" s="138" t="s">
        <v>14</v>
      </c>
      <c r="L57" s="161" t="n">
        <v>20.25</v>
      </c>
      <c r="M57" s="161" t="n">
        <v>10</v>
      </c>
      <c r="N57" s="139" t="n">
        <f aca="false">IFERROR(IF(L57*M57=0,"",L57*M57),"")</f>
        <v>202.5</v>
      </c>
      <c r="O57" s="158" t="s">
        <v>268</v>
      </c>
      <c r="P57" s="138" t="str">
        <f aca="false">IFERROR(VLOOKUP(TEXT(O57,"0"),CONDUCTORES!$A$3:$G$100,2,0),"")</f>
        <v>VILLA GONGORA RODVIN LUIS</v>
      </c>
      <c r="Q57" s="138" t="str">
        <f aca="false">IFERROR(VLOOKUP(TEXT(O57,"0"),CONDUCTORES!$A$3:$H$100,6,0),"")</f>
        <v>EUD-684</v>
      </c>
      <c r="R57" s="162"/>
      <c r="S57" s="159" t="s">
        <v>4687</v>
      </c>
      <c r="T57" s="158" t="s">
        <v>758</v>
      </c>
      <c r="U57" s="162"/>
      <c r="V57" s="159"/>
      <c r="W57" s="158"/>
      <c r="X57" s="158"/>
      <c r="Y57" s="163" t="s">
        <v>80</v>
      </c>
      <c r="Z57" s="157" t="str">
        <f aca="false">IF(AND(R57&lt;&gt;"",V57&lt;&gt;"",W57&lt;&gt;"",X57&lt;&gt;""),"ENTREGADO","POR RECOGER")</f>
        <v>POR RECOGER</v>
      </c>
      <c r="AA57" s="4"/>
      <c r="AB57" s="4"/>
      <c r="AC57" s="4"/>
    </row>
    <row r="58" customFormat="false" ht="15.75" hidden="true" customHeight="true" outlineLevel="0" collapsed="false">
      <c r="A58" s="106" t="n">
        <v>53</v>
      </c>
      <c r="B58" s="107" t="s">
        <v>4637</v>
      </c>
      <c r="C58" s="106" t="s">
        <v>752</v>
      </c>
      <c r="D58" s="107" t="s">
        <v>4688</v>
      </c>
      <c r="E58" s="136" t="s">
        <v>99</v>
      </c>
      <c r="F58" s="106" t="s">
        <v>4689</v>
      </c>
      <c r="G58" s="137" t="n">
        <v>46046</v>
      </c>
      <c r="H58" s="106" t="s">
        <v>717</v>
      </c>
      <c r="I58" s="138" t="str">
        <f aca="false">IFERROR(VLOOKUP(TEXT(H58,"0"),IPRESS!$A$3:$B$212,2,0),"")</f>
        <v>YERBABUENA</v>
      </c>
      <c r="J58" s="106" t="s">
        <v>755</v>
      </c>
      <c r="K58" s="138" t="s">
        <v>14</v>
      </c>
      <c r="L58" s="50" t="n">
        <v>18.18</v>
      </c>
      <c r="M58" s="50" t="n">
        <v>6</v>
      </c>
      <c r="N58" s="139" t="n">
        <f aca="false">IFERROR(IF(L58*M58=0,"",L58*M58),"")</f>
        <v>109.08</v>
      </c>
      <c r="O58" s="106" t="s">
        <v>280</v>
      </c>
      <c r="P58" s="138" t="str">
        <f aca="false">IFERROR(VLOOKUP(TEXT(O58,"0"),CONDUCTORES!$A$3:$G$100,2,0),"")</f>
        <v>SANCHEZ CAJO VICENTE</v>
      </c>
      <c r="Q58" s="138" t="str">
        <f aca="false">IFERROR(VLOOKUP(TEXT(O58,"0"),CONDUCTORES!$A$3:$H$100,6,0),"")</f>
        <v>EGL-296</v>
      </c>
      <c r="R58" s="140"/>
      <c r="S58" s="107" t="s">
        <v>2235</v>
      </c>
      <c r="T58" s="136" t="s">
        <v>758</v>
      </c>
      <c r="U58" s="140"/>
      <c r="V58" s="107"/>
      <c r="W58" s="106"/>
      <c r="X58" s="106"/>
      <c r="Y58" s="85"/>
      <c r="Z58" s="157" t="str">
        <f aca="false">IF(AND(R58&lt;&gt;"",V58&lt;&gt;"",W58&lt;&gt;"",X58&lt;&gt;""),"ENTREGADO","POR RECOGER")</f>
        <v>POR RECOGER</v>
      </c>
      <c r="AA58" s="4"/>
      <c r="AB58" s="4"/>
      <c r="AC58" s="4"/>
    </row>
    <row r="59" customFormat="false" ht="15.75" hidden="true" customHeight="true" outlineLevel="0" collapsed="false">
      <c r="A59" s="46" t="n">
        <v>54</v>
      </c>
      <c r="B59" s="110" t="s">
        <v>1513</v>
      </c>
      <c r="C59" s="46" t="s">
        <v>752</v>
      </c>
      <c r="D59" s="110" t="s">
        <v>4690</v>
      </c>
      <c r="E59" s="46" t="s">
        <v>99</v>
      </c>
      <c r="F59" s="46" t="s">
        <v>4691</v>
      </c>
      <c r="G59" s="142" t="n">
        <v>46048</v>
      </c>
      <c r="H59" s="46" t="s">
        <v>466</v>
      </c>
      <c r="I59" s="138" t="str">
        <f aca="false">IFERROR(VLOOKUP(TEXT(H59,"0"),IPRESS!$A$3:$B$212,2,0),"")</f>
        <v>HUAMBO</v>
      </c>
      <c r="J59" s="46" t="s">
        <v>529</v>
      </c>
      <c r="K59" s="138" t="s">
        <v>14</v>
      </c>
      <c r="L59" s="44" t="n">
        <v>20.25</v>
      </c>
      <c r="M59" s="44" t="n">
        <v>3</v>
      </c>
      <c r="N59" s="139" t="n">
        <f aca="false">IFERROR(IF(L59*M59=0,"",L59*M59),"")</f>
        <v>60.75</v>
      </c>
      <c r="O59" s="46" t="s">
        <v>153</v>
      </c>
      <c r="P59" s="138" t="str">
        <f aca="false">IFERROR(VLOOKUP(TEXT(O59,"0"),CONDUCTORES!$A$3:$G$100,2,0),"")</f>
        <v>LOPEZ HOYOS MIGUEL ANGEL</v>
      </c>
      <c r="Q59" s="138" t="str">
        <f aca="false">IFERROR(VLOOKUP(TEXT(O59,"0"),CONDUCTORES!$A$3:$H$100,6,0),"")</f>
        <v>EUH-698</v>
      </c>
      <c r="R59" s="85"/>
      <c r="S59" s="110" t="s">
        <v>4692</v>
      </c>
      <c r="T59" s="46" t="s">
        <v>758</v>
      </c>
      <c r="U59" s="85"/>
      <c r="V59" s="110"/>
      <c r="W59" s="46"/>
      <c r="X59" s="46"/>
      <c r="Y59" s="85"/>
      <c r="Z59" s="157" t="str">
        <f aca="false">IF(AND(R59&lt;&gt;"",V59&lt;&gt;"",W59&lt;&gt;"",X59&lt;&gt;""),"ENTREGADO","POR RECOGER")</f>
        <v>POR RECOGER</v>
      </c>
      <c r="AA59" s="4"/>
      <c r="AB59" s="4"/>
      <c r="AC59" s="4"/>
    </row>
    <row r="60" customFormat="false" ht="15.75" hidden="true" customHeight="true" outlineLevel="0" collapsed="false">
      <c r="A60" s="106" t="n">
        <v>55</v>
      </c>
      <c r="B60" s="107" t="s">
        <v>4693</v>
      </c>
      <c r="C60" s="106" t="s">
        <v>752</v>
      </c>
      <c r="D60" s="107" t="s">
        <v>4694</v>
      </c>
      <c r="E60" s="136" t="s">
        <v>99</v>
      </c>
      <c r="F60" s="106" t="s">
        <v>4695</v>
      </c>
      <c r="G60" s="137" t="n">
        <v>46048</v>
      </c>
      <c r="H60" s="106" t="s">
        <v>581</v>
      </c>
      <c r="I60" s="138" t="str">
        <f aca="false">IFERROR(VLOOKUP(TEXT(H60,"0"),IPRESS!$A$3:$B$212,2,0),"")</f>
        <v>PEDRO RUIZ GALLO</v>
      </c>
      <c r="J60" s="106" t="s">
        <v>755</v>
      </c>
      <c r="K60" s="138" t="s">
        <v>14</v>
      </c>
      <c r="L60" s="50" t="n">
        <v>18.18</v>
      </c>
      <c r="M60" s="50" t="n">
        <v>5</v>
      </c>
      <c r="N60" s="139" t="n">
        <f aca="false">IFERROR(IF(L60*M60=0,"",L60*M60),"")</f>
        <v>90.9</v>
      </c>
      <c r="O60" s="106" t="s">
        <v>234</v>
      </c>
      <c r="P60" s="138" t="str">
        <f aca="false">IFERROR(VLOOKUP(TEXT(O60,"0"),CONDUCTORES!$A$3:$G$100,2,0),"")</f>
        <v>MONTENEGRO RUIZ LUIS MIGUEL</v>
      </c>
      <c r="Q60" s="138" t="str">
        <f aca="false">IFERROR(VLOOKUP(TEXT(O60,"0"),CONDUCTORES!$A$3:$H$100,6,0),"")</f>
        <v>EUH-427</v>
      </c>
      <c r="R60" s="140"/>
      <c r="S60" s="107" t="s">
        <v>1737</v>
      </c>
      <c r="T60" s="136" t="s">
        <v>758</v>
      </c>
      <c r="U60" s="140"/>
      <c r="V60" s="107"/>
      <c r="W60" s="106"/>
      <c r="X60" s="106"/>
      <c r="Y60" s="85"/>
      <c r="Z60" s="157" t="str">
        <f aca="false">IF(AND(R60&lt;&gt;"",V60&lt;&gt;"",W60&lt;&gt;"",X60&lt;&gt;""),"ENTREGADO","POR RECOGER")</f>
        <v>POR RECOGER</v>
      </c>
      <c r="AA60" s="4"/>
      <c r="AB60" s="4"/>
      <c r="AC60" s="4"/>
    </row>
    <row r="61" customFormat="false" ht="15.75" hidden="true" customHeight="true" outlineLevel="0" collapsed="false">
      <c r="A61" s="46" t="n">
        <v>56</v>
      </c>
      <c r="B61" s="110" t="s">
        <v>1501</v>
      </c>
      <c r="C61" s="46" t="s">
        <v>752</v>
      </c>
      <c r="D61" s="110" t="s">
        <v>4696</v>
      </c>
      <c r="E61" s="46" t="s">
        <v>99</v>
      </c>
      <c r="F61" s="46" t="s">
        <v>4697</v>
      </c>
      <c r="G61" s="142" t="n">
        <v>46049</v>
      </c>
      <c r="H61" s="46" t="s">
        <v>408</v>
      </c>
      <c r="I61" s="138" t="str">
        <f aca="false">IFERROR(VLOOKUP(TEXT(H61,"0"),IPRESS!$A$3:$B$212,2,0),"")</f>
        <v>COLCAMAR</v>
      </c>
      <c r="J61" s="46" t="s">
        <v>755</v>
      </c>
      <c r="K61" s="138" t="s">
        <v>14</v>
      </c>
      <c r="L61" s="44" t="n">
        <v>18.18</v>
      </c>
      <c r="M61" s="44" t="n">
        <v>7</v>
      </c>
      <c r="N61" s="139" t="n">
        <f aca="false">IFERROR(IF(L61*M61=0,"",L61*M61),"")</f>
        <v>127.26</v>
      </c>
      <c r="O61" s="46" t="s">
        <v>113</v>
      </c>
      <c r="P61" s="138" t="str">
        <f aca="false">IFERROR(VLOOKUP(TEXT(O61,"0"),CONDUCTORES!$A$3:$G$100,2,0),"")</f>
        <v>BUELOT VISALOT CARLO MAGNO</v>
      </c>
      <c r="Q61" s="138" t="str">
        <f aca="false">IFERROR(VLOOKUP(TEXT(O61,"0"),CONDUCTORES!$A$3:$H$100,6,0),"")</f>
        <v>EUD 634</v>
      </c>
      <c r="R61" s="85"/>
      <c r="S61" s="110" t="s">
        <v>1236</v>
      </c>
      <c r="T61" s="46" t="s">
        <v>758</v>
      </c>
      <c r="U61" s="85"/>
      <c r="V61" s="110"/>
      <c r="W61" s="46"/>
      <c r="X61" s="46"/>
      <c r="Y61" s="85"/>
      <c r="Z61" s="157" t="str">
        <f aca="false">IF(AND(R61&lt;&gt;"",V61&lt;&gt;"",W61&lt;&gt;"",X61&lt;&gt;""),"ENTREGADO","POR RECOGER")</f>
        <v>POR RECOGER</v>
      </c>
      <c r="AA61" s="4"/>
      <c r="AB61" s="4"/>
      <c r="AC61" s="4"/>
    </row>
    <row r="62" customFormat="false" ht="15.75" hidden="true" customHeight="true" outlineLevel="0" collapsed="false">
      <c r="A62" s="158" t="n">
        <v>57</v>
      </c>
      <c r="B62" s="159" t="s">
        <v>1551</v>
      </c>
      <c r="C62" s="158" t="s">
        <v>752</v>
      </c>
      <c r="D62" s="159" t="s">
        <v>4698</v>
      </c>
      <c r="E62" s="158" t="s">
        <v>99</v>
      </c>
      <c r="F62" s="158" t="s">
        <v>4699</v>
      </c>
      <c r="G62" s="160" t="n">
        <v>46051</v>
      </c>
      <c r="H62" s="158" t="s">
        <v>432</v>
      </c>
      <c r="I62" s="138" t="str">
        <f aca="false">IFERROR(VLOOKUP(TEXT(H62,"0"),IPRESS!$A$3:$B$212,2,0),"")</f>
        <v>DURAZNOPAMPA</v>
      </c>
      <c r="J62" s="158" t="s">
        <v>755</v>
      </c>
      <c r="K62" s="138" t="s">
        <v>14</v>
      </c>
      <c r="L62" s="161" t="n">
        <v>18.18</v>
      </c>
      <c r="M62" s="161" t="n">
        <v>8</v>
      </c>
      <c r="N62" s="139" t="n">
        <f aca="false">IFERROR(IF(L62*M62=0,"",L62*M62),"")</f>
        <v>145.44</v>
      </c>
      <c r="O62" s="158" t="s">
        <v>280</v>
      </c>
      <c r="P62" s="138" t="str">
        <f aca="false">IFERROR(VLOOKUP(TEXT(O62,"0"),CONDUCTORES!$A$3:$G$100,2,0),"")</f>
        <v>SANCHEZ CAJO VICENTE</v>
      </c>
      <c r="Q62" s="138" t="str">
        <f aca="false">IFERROR(VLOOKUP(TEXT(O62,"0"),CONDUCTORES!$A$3:$H$100,6,0),"")</f>
        <v>EGL-296</v>
      </c>
      <c r="R62" s="162"/>
      <c r="S62" s="159" t="s">
        <v>4700</v>
      </c>
      <c r="T62" s="158" t="s">
        <v>758</v>
      </c>
      <c r="U62" s="162"/>
      <c r="V62" s="159"/>
      <c r="W62" s="158"/>
      <c r="X62" s="158"/>
      <c r="Y62" s="163" t="s">
        <v>46</v>
      </c>
      <c r="Z62" s="157" t="str">
        <f aca="false">IF(AND(R62&lt;&gt;"",V62&lt;&gt;"",W62&lt;&gt;"",X62&lt;&gt;""),"ENTREGADO","POR RECOGER")</f>
        <v>POR RECOGER</v>
      </c>
      <c r="AA62" s="4"/>
      <c r="AB62" s="4"/>
      <c r="AC62" s="4"/>
    </row>
    <row r="63" customFormat="false" ht="15.75" hidden="true" customHeight="true" outlineLevel="0" collapsed="false">
      <c r="A63" s="46" t="n">
        <v>58</v>
      </c>
      <c r="B63" s="110" t="s">
        <v>1507</v>
      </c>
      <c r="C63" s="46" t="s">
        <v>752</v>
      </c>
      <c r="D63" s="110" t="s">
        <v>4532</v>
      </c>
      <c r="E63" s="46" t="s">
        <v>99</v>
      </c>
      <c r="F63" s="46" t="s">
        <v>4533</v>
      </c>
      <c r="G63" s="142" t="n">
        <v>46051</v>
      </c>
      <c r="H63" s="46" t="s">
        <v>408</v>
      </c>
      <c r="I63" s="138" t="str">
        <f aca="false">IFERROR(VLOOKUP(TEXT(H63,"0"),IPRESS!$A$3:$B$212,2,0),"")</f>
        <v>COLCAMAR</v>
      </c>
      <c r="J63" s="46" t="s">
        <v>755</v>
      </c>
      <c r="K63" s="138" t="s">
        <v>14</v>
      </c>
      <c r="L63" s="44" t="n">
        <v>18.18</v>
      </c>
      <c r="M63" s="44" t="n">
        <v>7</v>
      </c>
      <c r="N63" s="139" t="n">
        <f aca="false">IFERROR(IF(L63*M63=0,"",L63*M63),"")</f>
        <v>127.26</v>
      </c>
      <c r="O63" s="46" t="s">
        <v>113</v>
      </c>
      <c r="P63" s="138" t="str">
        <f aca="false">IFERROR(VLOOKUP(TEXT(O63,"0"),CONDUCTORES!$A$3:$G$100,2,0),"")</f>
        <v>BUELOT VISALOT CARLO MAGNO</v>
      </c>
      <c r="Q63" s="138" t="str">
        <f aca="false">IFERROR(VLOOKUP(TEXT(O63,"0"),CONDUCTORES!$A$3:$H$100,6,0),"")</f>
        <v>EUD 634</v>
      </c>
      <c r="R63" s="85"/>
      <c r="S63" s="110" t="s">
        <v>4701</v>
      </c>
      <c r="T63" s="46" t="s">
        <v>758</v>
      </c>
      <c r="U63" s="85"/>
      <c r="V63" s="110"/>
      <c r="W63" s="46"/>
      <c r="X63" s="46"/>
      <c r="Y63" s="85"/>
      <c r="Z63" s="157" t="str">
        <f aca="false">IF(AND(R63&lt;&gt;"",V63&lt;&gt;"",W63&lt;&gt;"",X63&lt;&gt;""),"ENTREGADO","POR RECOGER")</f>
        <v>POR RECOGER</v>
      </c>
      <c r="AA63" s="4"/>
      <c r="AB63" s="4"/>
      <c r="AC63" s="4"/>
    </row>
    <row r="64" customFormat="false" ht="15.75" hidden="true" customHeight="true" outlineLevel="0" collapsed="false">
      <c r="A64" s="106" t="n">
        <v>59</v>
      </c>
      <c r="B64" s="107" t="s">
        <v>4702</v>
      </c>
      <c r="C64" s="106" t="s">
        <v>752</v>
      </c>
      <c r="D64" s="107" t="s">
        <v>4703</v>
      </c>
      <c r="E64" s="136" t="s">
        <v>99</v>
      </c>
      <c r="F64" s="106" t="s">
        <v>4704</v>
      </c>
      <c r="G64" s="137" t="n">
        <v>46051</v>
      </c>
      <c r="H64" s="106" t="s">
        <v>581</v>
      </c>
      <c r="I64" s="138" t="str">
        <f aca="false">IFERROR(VLOOKUP(TEXT(H64,"0"),IPRESS!$A$3:$B$212,2,0),"")</f>
        <v>PEDRO RUIZ GALLO</v>
      </c>
      <c r="J64" s="106" t="s">
        <v>755</v>
      </c>
      <c r="K64" s="138" t="s">
        <v>14</v>
      </c>
      <c r="L64" s="50" t="n">
        <v>18.18</v>
      </c>
      <c r="M64" s="50" t="n">
        <v>5</v>
      </c>
      <c r="N64" s="139" t="n">
        <f aca="false">IFERROR(IF(L64*M64=0,"",L64*M64),"")</f>
        <v>90.9</v>
      </c>
      <c r="O64" s="106" t="s">
        <v>234</v>
      </c>
      <c r="P64" s="138" t="str">
        <f aca="false">IFERROR(VLOOKUP(TEXT(O64,"0"),CONDUCTORES!$A$3:$G$100,2,0),"")</f>
        <v>MONTENEGRO RUIZ LUIS MIGUEL</v>
      </c>
      <c r="Q64" s="138" t="str">
        <f aca="false">IFERROR(VLOOKUP(TEXT(O64,"0"),CONDUCTORES!$A$3:$H$100,6,0),"")</f>
        <v>EUH-427</v>
      </c>
      <c r="R64" s="140"/>
      <c r="S64" s="107" t="s">
        <v>2711</v>
      </c>
      <c r="T64" s="136" t="s">
        <v>758</v>
      </c>
      <c r="U64" s="140"/>
      <c r="V64" s="107"/>
      <c r="W64" s="106"/>
      <c r="X64" s="106"/>
      <c r="Y64" s="85"/>
      <c r="Z64" s="157" t="str">
        <f aca="false">IF(AND(R64&lt;&gt;"",V64&lt;&gt;"",W64&lt;&gt;"",X64&lt;&gt;""),"ENTREGADO","POR RECOGER")</f>
        <v>POR RECOGER</v>
      </c>
      <c r="AA64" s="4"/>
      <c r="AB64" s="4"/>
      <c r="AC64" s="4"/>
    </row>
    <row r="65" customFormat="false" ht="15.75" hidden="true" customHeight="true" outlineLevel="0" collapsed="false">
      <c r="A65" s="46" t="n">
        <v>60</v>
      </c>
      <c r="B65" s="110" t="s">
        <v>4705</v>
      </c>
      <c r="C65" s="46" t="s">
        <v>752</v>
      </c>
      <c r="D65" s="110" t="s">
        <v>4606</v>
      </c>
      <c r="E65" s="46" t="s">
        <v>99</v>
      </c>
      <c r="F65" s="46" t="s">
        <v>4607</v>
      </c>
      <c r="G65" s="142" t="n">
        <v>46051</v>
      </c>
      <c r="H65" s="46" t="s">
        <v>529</v>
      </c>
      <c r="I65" s="138" t="str">
        <f aca="false">IFERROR(VLOOKUP(TEXT(H65,"0"),IPRESS!$A$3:$B$212,2,0),"")</f>
        <v>MARIA AUXILIADORA</v>
      </c>
      <c r="J65" s="46" t="s">
        <v>755</v>
      </c>
      <c r="K65" s="138" t="s">
        <v>14</v>
      </c>
      <c r="L65" s="44" t="n">
        <v>20.25</v>
      </c>
      <c r="M65" s="44" t="n">
        <v>7.5</v>
      </c>
      <c r="N65" s="139" t="n">
        <f aca="false">IFERROR(IF(L65*M65=0,"",L65*M65),"")</f>
        <v>151.875</v>
      </c>
      <c r="O65" s="46" t="s">
        <v>145</v>
      </c>
      <c r="P65" s="138" t="str">
        <f aca="false">IFERROR(VLOOKUP(TEXT(O65,"0"),CONDUCTORES!$A$3:$G$100,2,0),"")</f>
        <v>SERNAQUE PELAEZ WILMER</v>
      </c>
      <c r="Q65" s="138" t="str">
        <f aca="false">IFERROR(VLOOKUP(TEXT(O65,"0"),CONDUCTORES!$A$3:$H$100,6,0),"")</f>
        <v>EUH-421</v>
      </c>
      <c r="R65" s="85"/>
      <c r="S65" s="110" t="s">
        <v>4706</v>
      </c>
      <c r="T65" s="46" t="s">
        <v>758</v>
      </c>
      <c r="U65" s="85"/>
      <c r="V65" s="110"/>
      <c r="W65" s="46"/>
      <c r="X65" s="46"/>
      <c r="Y65" s="85"/>
      <c r="Z65" s="157" t="str">
        <f aca="false">IF(AND(R65&lt;&gt;"",V65&lt;&gt;"",W65&lt;&gt;"",X65&lt;&gt;""),"ENTREGADO","POR RECOGER")</f>
        <v>POR RECOGER</v>
      </c>
      <c r="AA65" s="4"/>
      <c r="AB65" s="4"/>
      <c r="AC65" s="4"/>
    </row>
    <row r="66" customFormat="false" ht="15.75" hidden="true" customHeight="true" outlineLevel="0" collapsed="false">
      <c r="A66" s="106" t="n">
        <v>61</v>
      </c>
      <c r="B66" s="107" t="s">
        <v>1507</v>
      </c>
      <c r="C66" s="106" t="s">
        <v>752</v>
      </c>
      <c r="D66" s="107" t="s">
        <v>4707</v>
      </c>
      <c r="E66" s="136" t="s">
        <v>99</v>
      </c>
      <c r="F66" s="106" t="s">
        <v>4708</v>
      </c>
      <c r="G66" s="137" t="n">
        <v>46043</v>
      </c>
      <c r="H66" s="106" t="s">
        <v>466</v>
      </c>
      <c r="I66" s="138" t="str">
        <f aca="false">IFERROR(VLOOKUP(TEXT(H66,"0"),IPRESS!$A$3:$B$212,2,0),"")</f>
        <v>HUAMBO</v>
      </c>
      <c r="J66" s="106" t="s">
        <v>529</v>
      </c>
      <c r="K66" s="138" t="s">
        <v>14</v>
      </c>
      <c r="L66" s="50" t="n">
        <v>20.25</v>
      </c>
      <c r="M66" s="50" t="n">
        <v>3</v>
      </c>
      <c r="N66" s="139" t="n">
        <f aca="false">IFERROR(IF(L66*M66=0,"",L66*M66),"")</f>
        <v>60.75</v>
      </c>
      <c r="O66" s="106" t="s">
        <v>153</v>
      </c>
      <c r="P66" s="138" t="str">
        <f aca="false">IFERROR(VLOOKUP(TEXT(O66,"0"),CONDUCTORES!$A$3:$G$100,2,0),"")</f>
        <v>LOPEZ HOYOS MIGUEL ANGEL</v>
      </c>
      <c r="Q66" s="138" t="str">
        <f aca="false">IFERROR(VLOOKUP(TEXT(O66,"0"),CONDUCTORES!$A$3:$H$100,6,0),"")</f>
        <v>EUH-698</v>
      </c>
      <c r="R66" s="140"/>
      <c r="S66" s="107" t="s">
        <v>4709</v>
      </c>
      <c r="T66" s="136" t="s">
        <v>758</v>
      </c>
      <c r="U66" s="140"/>
      <c r="V66" s="107"/>
      <c r="W66" s="106"/>
      <c r="X66" s="106"/>
      <c r="Y66" s="85"/>
      <c r="Z66" s="157" t="str">
        <f aca="false">IF(AND(R66&lt;&gt;"",V66&lt;&gt;"",W66&lt;&gt;"",X66&lt;&gt;""),"ENTREGADO","POR RECOGER")</f>
        <v>POR RECOGER</v>
      </c>
      <c r="AA66" s="4"/>
      <c r="AB66" s="4"/>
      <c r="AC66" s="4"/>
    </row>
    <row r="67" customFormat="false" ht="15.75" hidden="true" customHeight="true" outlineLevel="0" collapsed="false">
      <c r="A67" s="46" t="n">
        <v>62</v>
      </c>
      <c r="B67" s="110" t="s">
        <v>1743</v>
      </c>
      <c r="C67" s="46" t="s">
        <v>752</v>
      </c>
      <c r="D67" s="110" t="s">
        <v>4710</v>
      </c>
      <c r="E67" s="46" t="s">
        <v>99</v>
      </c>
      <c r="F67" s="46" t="s">
        <v>4711</v>
      </c>
      <c r="G67" s="142" t="n">
        <v>46041</v>
      </c>
      <c r="H67" s="46" t="s">
        <v>500</v>
      </c>
      <c r="I67" s="138" t="str">
        <f aca="false">IFERROR(VLOOKUP(TEXT(H67,"0"),IPRESS!$A$3:$B$212,2,0),"")</f>
        <v>LAMUD</v>
      </c>
      <c r="J67" s="46" t="s">
        <v>755</v>
      </c>
      <c r="K67" s="138" t="s">
        <v>14</v>
      </c>
      <c r="L67" s="44" t="n">
        <v>18.18</v>
      </c>
      <c r="M67" s="44" t="n">
        <v>4</v>
      </c>
      <c r="N67" s="139" t="n">
        <f aca="false">IFERROR(IF(L67*M67=0,"",L67*M67),"")</f>
        <v>72.72</v>
      </c>
      <c r="O67" s="46" t="s">
        <v>175</v>
      </c>
      <c r="P67" s="138" t="str">
        <f aca="false">IFERROR(VLOOKUP(TEXT(O67,"0"),CONDUCTORES!$A$3:$G$100,2,0),"")</f>
        <v>DANIEL ZELADA TRUJILLO</v>
      </c>
      <c r="Q67" s="138" t="str">
        <f aca="false">IFERROR(VLOOKUP(TEXT(O67,"0"),CONDUCTORES!$A$3:$H$100,6,0),"")</f>
        <v>EUA-963</v>
      </c>
      <c r="R67" s="85"/>
      <c r="S67" s="110" t="s">
        <v>1651</v>
      </c>
      <c r="T67" s="46" t="s">
        <v>758</v>
      </c>
      <c r="U67" s="85"/>
      <c r="V67" s="110"/>
      <c r="W67" s="46"/>
      <c r="X67" s="46"/>
      <c r="Y67" s="85"/>
      <c r="Z67" s="157" t="str">
        <f aca="false">IF(AND(R67&lt;&gt;"",V67&lt;&gt;"",W67&lt;&gt;"",X67&lt;&gt;""),"ENTREGADO","POR RECOGER")</f>
        <v>POR RECOGER</v>
      </c>
      <c r="AA67" s="4"/>
      <c r="AB67" s="4"/>
      <c r="AC67" s="4"/>
    </row>
    <row r="68" customFormat="false" ht="15.75" hidden="true" customHeight="true" outlineLevel="0" collapsed="false">
      <c r="A68" s="106" t="n">
        <v>63</v>
      </c>
      <c r="B68" s="107" t="s">
        <v>1745</v>
      </c>
      <c r="C68" s="106" t="s">
        <v>752</v>
      </c>
      <c r="D68" s="107" t="s">
        <v>4712</v>
      </c>
      <c r="E68" s="136" t="s">
        <v>99</v>
      </c>
      <c r="F68" s="106" t="s">
        <v>4713</v>
      </c>
      <c r="G68" s="137" t="n">
        <v>46045</v>
      </c>
      <c r="H68" s="106" t="s">
        <v>500</v>
      </c>
      <c r="I68" s="138" t="str">
        <f aca="false">IFERROR(VLOOKUP(TEXT(H68,"0"),IPRESS!$A$3:$B$212,2,0),"")</f>
        <v>LAMUD</v>
      </c>
      <c r="J68" s="106" t="s">
        <v>755</v>
      </c>
      <c r="K68" s="138" t="s">
        <v>14</v>
      </c>
      <c r="L68" s="50" t="n">
        <v>18.18</v>
      </c>
      <c r="M68" s="50" t="n">
        <v>4</v>
      </c>
      <c r="N68" s="139" t="n">
        <f aca="false">IFERROR(IF(L68*M68=0,"",L68*M68),"")</f>
        <v>72.72</v>
      </c>
      <c r="O68" s="106" t="s">
        <v>170</v>
      </c>
      <c r="P68" s="138" t="str">
        <f aca="false">IFERROR(VLOOKUP(TEXT(O68,"0"),CONDUCTORES!$A$3:$G$100,2,0),"")</f>
        <v>RUFASTO CHUQUIZUTA JUAN KAROOL</v>
      </c>
      <c r="Q68" s="138" t="str">
        <f aca="false">IFERROR(VLOOKUP(TEXT(O68,"0"),CONDUCTORES!$A$3:$H$100,6,0),"")</f>
        <v>EUA963</v>
      </c>
      <c r="R68" s="140"/>
      <c r="S68" s="107" t="s">
        <v>4714</v>
      </c>
      <c r="T68" s="136" t="s">
        <v>758</v>
      </c>
      <c r="U68" s="140"/>
      <c r="V68" s="107"/>
      <c r="W68" s="106"/>
      <c r="X68" s="106"/>
      <c r="Y68" s="85"/>
      <c r="Z68" s="157" t="str">
        <f aca="false">IF(AND(R68&lt;&gt;"",V68&lt;&gt;"",W68&lt;&gt;"",X68&lt;&gt;""),"ENTREGADO","POR RECOGER")</f>
        <v>POR RECOGER</v>
      </c>
      <c r="AA68" s="4"/>
      <c r="AB68" s="4"/>
      <c r="AC68" s="4"/>
    </row>
    <row r="69" customFormat="false" ht="15.75" hidden="true" customHeight="true" outlineLevel="0" collapsed="false">
      <c r="A69" s="46" t="n">
        <v>64</v>
      </c>
      <c r="B69" s="110" t="s">
        <v>1747</v>
      </c>
      <c r="C69" s="46" t="s">
        <v>752</v>
      </c>
      <c r="D69" s="110" t="s">
        <v>4715</v>
      </c>
      <c r="E69" s="46" t="s">
        <v>99</v>
      </c>
      <c r="F69" s="46" t="s">
        <v>4716</v>
      </c>
      <c r="G69" s="142" t="n">
        <v>46050</v>
      </c>
      <c r="H69" s="46" t="s">
        <v>500</v>
      </c>
      <c r="I69" s="138" t="str">
        <f aca="false">IFERROR(VLOOKUP(TEXT(H69,"0"),IPRESS!$A$3:$B$212,2,0),"")</f>
        <v>LAMUD</v>
      </c>
      <c r="J69" s="46" t="s">
        <v>755</v>
      </c>
      <c r="K69" s="138" t="s">
        <v>14</v>
      </c>
      <c r="L69" s="44" t="n">
        <v>18.18</v>
      </c>
      <c r="M69" s="44" t="n">
        <v>4</v>
      </c>
      <c r="N69" s="139" t="n">
        <f aca="false">IFERROR(IF(L69*M69=0,"",L69*M69),"")</f>
        <v>72.72</v>
      </c>
      <c r="O69" s="46" t="s">
        <v>175</v>
      </c>
      <c r="P69" s="138" t="str">
        <f aca="false">IFERROR(VLOOKUP(TEXT(O69,"0"),CONDUCTORES!$A$3:$G$100,2,0),"")</f>
        <v>DANIEL ZELADA TRUJILLO</v>
      </c>
      <c r="Q69" s="138" t="str">
        <f aca="false">IFERROR(VLOOKUP(TEXT(O69,"0"),CONDUCTORES!$A$3:$H$100,6,0),"")</f>
        <v>EUA-963</v>
      </c>
      <c r="R69" s="85"/>
      <c r="S69" s="110" t="s">
        <v>4717</v>
      </c>
      <c r="T69" s="46" t="s">
        <v>758</v>
      </c>
      <c r="U69" s="85"/>
      <c r="V69" s="110"/>
      <c r="W69" s="46"/>
      <c r="X69" s="46"/>
      <c r="Y69" s="85"/>
      <c r="Z69" s="157" t="str">
        <f aca="false">IF(AND(R69&lt;&gt;"",V69&lt;&gt;"",W69&lt;&gt;"",X69&lt;&gt;""),"ENTREGADO","POR RECOGER")</f>
        <v>POR RECOGER</v>
      </c>
      <c r="AA69" s="4"/>
      <c r="AB69" s="4"/>
      <c r="AC69" s="4"/>
    </row>
    <row r="70" customFormat="false" ht="15.75" hidden="true" customHeight="true" outlineLevel="0" collapsed="false">
      <c r="A70" s="106" t="n">
        <v>65</v>
      </c>
      <c r="B70" s="107" t="s">
        <v>1559</v>
      </c>
      <c r="C70" s="106" t="s">
        <v>752</v>
      </c>
      <c r="D70" s="107" t="s">
        <v>4718</v>
      </c>
      <c r="E70" s="136" t="s">
        <v>99</v>
      </c>
      <c r="F70" s="106" t="s">
        <v>4719</v>
      </c>
      <c r="G70" s="137" t="n">
        <v>46038</v>
      </c>
      <c r="H70" s="106" t="s">
        <v>395</v>
      </c>
      <c r="I70" s="138" t="str">
        <f aca="false">IFERROR(VLOOKUP(TEXT(H70,"0"),IPRESS!$A$3:$B$212,2,0),"")</f>
        <v>CHUQUIBAMBA</v>
      </c>
      <c r="J70" s="106" t="s">
        <v>755</v>
      </c>
      <c r="K70" s="138" t="s">
        <v>14</v>
      </c>
      <c r="L70" s="50" t="n">
        <v>18.18</v>
      </c>
      <c r="M70" s="50" t="n">
        <v>15</v>
      </c>
      <c r="N70" s="139" t="n">
        <f aca="false">IFERROR(IF(L70*M70=0,"",L70*M70),"")</f>
        <v>272.7</v>
      </c>
      <c r="O70" s="106" t="s">
        <v>126</v>
      </c>
      <c r="P70" s="138" t="str">
        <f aca="false">IFERROR(VLOOKUP(TEXT(O70,"0"),CONDUCTORES!$A$3:$G$100,2,0),"")</f>
        <v>ABANTO VALDIVIA HANS MIKKEL</v>
      </c>
      <c r="Q70" s="138" t="str">
        <f aca="false">IFERROR(VLOOKUP(TEXT(O70,"0"),CONDUCTORES!$A$3:$H$100,6,0),"")</f>
        <v>EUH 640</v>
      </c>
      <c r="R70" s="140"/>
      <c r="S70" s="107" t="s">
        <v>4720</v>
      </c>
      <c r="T70" s="136" t="s">
        <v>758</v>
      </c>
      <c r="U70" s="140"/>
      <c r="V70" s="107"/>
      <c r="W70" s="106"/>
      <c r="X70" s="106"/>
      <c r="Y70" s="85"/>
      <c r="Z70" s="157" t="str">
        <f aca="false">IF(AND(R70&lt;&gt;"",V70&lt;&gt;"",W70&lt;&gt;"",X70&lt;&gt;""),"ENTREGADO","POR RECOGER")</f>
        <v>POR RECOGER</v>
      </c>
      <c r="AA70" s="4"/>
      <c r="AB70" s="4"/>
      <c r="AC70" s="4"/>
    </row>
    <row r="71" customFormat="false" ht="15.75" hidden="true" customHeight="true" outlineLevel="0" collapsed="false">
      <c r="A71" s="46" t="n">
        <v>66</v>
      </c>
      <c r="B71" s="110" t="s">
        <v>4721</v>
      </c>
      <c r="C71" s="46" t="s">
        <v>752</v>
      </c>
      <c r="D71" s="110" t="s">
        <v>4722</v>
      </c>
      <c r="E71" s="46" t="s">
        <v>99</v>
      </c>
      <c r="F71" s="46" t="s">
        <v>4723</v>
      </c>
      <c r="G71" s="142" t="n">
        <v>46037</v>
      </c>
      <c r="H71" s="46" t="s">
        <v>581</v>
      </c>
      <c r="I71" s="138" t="str">
        <f aca="false">IFERROR(VLOOKUP(TEXT(H71,"0"),IPRESS!$A$3:$B$212,2,0),"")</f>
        <v>PEDRO RUIZ GALLO</v>
      </c>
      <c r="J71" s="46" t="s">
        <v>755</v>
      </c>
      <c r="K71" s="138" t="s">
        <v>14</v>
      </c>
      <c r="L71" s="44" t="n">
        <v>18.18</v>
      </c>
      <c r="M71" s="44" t="n">
        <v>5</v>
      </c>
      <c r="N71" s="139" t="n">
        <f aca="false">IFERROR(IF(L71*M71=0,"",L71*M71),"")</f>
        <v>90.9</v>
      </c>
      <c r="O71" s="46" t="s">
        <v>230</v>
      </c>
      <c r="P71" s="138" t="str">
        <f aca="false">IFERROR(VLOOKUP(TEXT(O71,"0"),CONDUCTORES!$A$3:$G$100,2,0),"")</f>
        <v>MUNOZ VERGARAY JORGE ENRRIQUE</v>
      </c>
      <c r="Q71" s="138" t="str">
        <f aca="false">IFERROR(VLOOKUP(TEXT(O71,"0"),CONDUCTORES!$A$3:$H$100,6,0),"")</f>
        <v>EUH 427</v>
      </c>
      <c r="R71" s="85"/>
      <c r="S71" s="110" t="s">
        <v>4724</v>
      </c>
      <c r="T71" s="46" t="s">
        <v>758</v>
      </c>
      <c r="U71" s="85"/>
      <c r="V71" s="110"/>
      <c r="W71" s="46"/>
      <c r="X71" s="46"/>
      <c r="Y71" s="85"/>
      <c r="Z71" s="157" t="str">
        <f aca="false">IF(AND(R71&lt;&gt;"",V71&lt;&gt;"",W71&lt;&gt;"",X71&lt;&gt;""),"ENTREGADO","POR RECOGER")</f>
        <v>POR RECOGER</v>
      </c>
      <c r="AA71" s="4"/>
      <c r="AB71" s="4"/>
      <c r="AC71" s="4"/>
    </row>
    <row r="72" customFormat="false" ht="15.75" hidden="true" customHeight="true" outlineLevel="0" collapsed="false">
      <c r="A72" s="106" t="n">
        <v>67</v>
      </c>
      <c r="B72" s="107" t="s">
        <v>4372</v>
      </c>
      <c r="C72" s="106" t="s">
        <v>752</v>
      </c>
      <c r="D72" s="107" t="s">
        <v>4725</v>
      </c>
      <c r="E72" s="136" t="s">
        <v>99</v>
      </c>
      <c r="F72" s="106" t="s">
        <v>4726</v>
      </c>
      <c r="G72" s="137" t="n">
        <v>46047</v>
      </c>
      <c r="H72" s="106" t="s">
        <v>569</v>
      </c>
      <c r="I72" s="138" t="str">
        <f aca="false">IFERROR(VLOOKUP(TEXT(H72,"0"),IPRESS!$A$3:$B$212,2,0),"")</f>
        <v>OCALLI</v>
      </c>
      <c r="J72" s="106" t="s">
        <v>755</v>
      </c>
      <c r="K72" s="138" t="s">
        <v>14</v>
      </c>
      <c r="L72" s="50" t="n">
        <v>18.18</v>
      </c>
      <c r="M72" s="50" t="n">
        <v>20</v>
      </c>
      <c r="N72" s="139" t="n">
        <f aca="false">IFERROR(IF(L72*M72=0,"",L72*M72),"")</f>
        <v>363.6</v>
      </c>
      <c r="O72" s="106" t="n">
        <v>16712192</v>
      </c>
      <c r="P72" s="138" t="str">
        <f aca="false">IFERROR(VLOOKUP(TEXT(O72,"0"),CONDUCTORES!$A$3:$G$100,2,0),"")</f>
        <v>ALBERTO FARRO PEREZ</v>
      </c>
      <c r="Q72" s="138" t="str">
        <f aca="false">IFERROR(VLOOKUP(TEXT(O72,"0"),CONDUCTORES!$A$3:$H$100,6,0),"")</f>
        <v>EGO-124</v>
      </c>
      <c r="R72" s="140"/>
      <c r="S72" s="107" t="s">
        <v>4727</v>
      </c>
      <c r="T72" s="136" t="s">
        <v>758</v>
      </c>
      <c r="U72" s="140"/>
      <c r="V72" s="107"/>
      <c r="W72" s="106"/>
      <c r="X72" s="106"/>
      <c r="Y72" s="85"/>
      <c r="Z72" s="157" t="str">
        <f aca="false">IF(AND(R72&lt;&gt;"",V72&lt;&gt;"",W72&lt;&gt;"",X72&lt;&gt;""),"ENTREGADO","POR RECOGER")</f>
        <v>POR RECOGER</v>
      </c>
      <c r="AA72" s="4"/>
      <c r="AB72" s="4"/>
      <c r="AC72" s="4"/>
    </row>
    <row r="73" customFormat="false" ht="15.75" hidden="true" customHeight="true" outlineLevel="0" collapsed="false">
      <c r="A73" s="46" t="n">
        <v>68</v>
      </c>
      <c r="B73" s="110" t="s">
        <v>1695</v>
      </c>
      <c r="C73" s="46" t="s">
        <v>752</v>
      </c>
      <c r="D73" s="110" t="s">
        <v>4728</v>
      </c>
      <c r="E73" s="46" t="s">
        <v>99</v>
      </c>
      <c r="F73" s="46" t="s">
        <v>4729</v>
      </c>
      <c r="G73" s="142" t="n">
        <v>46037</v>
      </c>
      <c r="H73" s="46" t="s">
        <v>569</v>
      </c>
      <c r="I73" s="138" t="str">
        <f aca="false">IFERROR(VLOOKUP(TEXT(H73,"0"),IPRESS!$A$3:$B$212,2,0),"")</f>
        <v>OCALLI</v>
      </c>
      <c r="J73" s="46" t="s">
        <v>755</v>
      </c>
      <c r="K73" s="138" t="s">
        <v>14</v>
      </c>
      <c r="L73" s="44" t="n">
        <v>18.18</v>
      </c>
      <c r="M73" s="44" t="n">
        <v>20</v>
      </c>
      <c r="N73" s="139" t="n">
        <f aca="false">IFERROR(IF(L73*M73=0,"",L73*M73),"")</f>
        <v>363.6</v>
      </c>
      <c r="O73" s="46" t="n">
        <v>16712192</v>
      </c>
      <c r="P73" s="138" t="str">
        <f aca="false">IFERROR(VLOOKUP(TEXT(O73,"0"),CONDUCTORES!$A$3:$G$100,2,0),"")</f>
        <v>ALBERTO FARRO PEREZ</v>
      </c>
      <c r="Q73" s="138" t="str">
        <f aca="false">IFERROR(VLOOKUP(TEXT(O73,"0"),CONDUCTORES!$A$3:$H$100,6,0),"")</f>
        <v>EGO-124</v>
      </c>
      <c r="R73" s="85"/>
      <c r="S73" s="110" t="s">
        <v>1424</v>
      </c>
      <c r="T73" s="46" t="s">
        <v>758</v>
      </c>
      <c r="U73" s="85"/>
      <c r="V73" s="110"/>
      <c r="W73" s="46"/>
      <c r="X73" s="46"/>
      <c r="Y73" s="85"/>
      <c r="Z73" s="157" t="str">
        <f aca="false">IF(AND(R73&lt;&gt;"",V73&lt;&gt;"",W73&lt;&gt;"",X73&lt;&gt;""),"ENTREGADO","POR RECOGER")</f>
        <v>POR RECOGER</v>
      </c>
      <c r="AA73" s="4"/>
      <c r="AB73" s="4"/>
      <c r="AC73" s="4"/>
    </row>
    <row r="74" customFormat="false" ht="15.75" hidden="true" customHeight="true" outlineLevel="0" collapsed="false">
      <c r="A74" s="106" t="n">
        <v>69</v>
      </c>
      <c r="B74" s="107" t="s">
        <v>4270</v>
      </c>
      <c r="C74" s="106" t="s">
        <v>752</v>
      </c>
      <c r="D74" s="107" t="s">
        <v>4730</v>
      </c>
      <c r="E74" s="136" t="s">
        <v>99</v>
      </c>
      <c r="F74" s="106" t="s">
        <v>4731</v>
      </c>
      <c r="G74" s="137" t="n">
        <v>46045</v>
      </c>
      <c r="H74" s="106" t="s">
        <v>595</v>
      </c>
      <c r="I74" s="138" t="str">
        <f aca="false">IFERROR(VLOOKUP(TEXT(H74,"0"),IPRESS!$A$3:$B$212,2,0),"")</f>
        <v>POMACOCHAS</v>
      </c>
      <c r="J74" s="106" t="s">
        <v>755</v>
      </c>
      <c r="K74" s="138" t="s">
        <v>14</v>
      </c>
      <c r="L74" s="50" t="n">
        <v>18.18</v>
      </c>
      <c r="M74" s="50" t="n">
        <v>6</v>
      </c>
      <c r="N74" s="139" t="n">
        <f aca="false">IFERROR(IF(L74*M74=0,"",L74*M74),"")</f>
        <v>109.08</v>
      </c>
      <c r="O74" s="106" t="s">
        <v>248</v>
      </c>
      <c r="P74" s="138" t="str">
        <f aca="false">IFERROR(VLOOKUP(TEXT(O74,"0"),CONDUCTORES!$A$3:$G$100,2,0),"")</f>
        <v>CARRERA ARAUJO JEINER</v>
      </c>
      <c r="Q74" s="138" t="str">
        <f aca="false">IFERROR(VLOOKUP(TEXT(O74,"0"),CONDUCTORES!$A$3:$H$100,6,0),"")</f>
        <v>EUH747</v>
      </c>
      <c r="R74" s="140"/>
      <c r="S74" s="107" t="s">
        <v>1268</v>
      </c>
      <c r="T74" s="136" t="s">
        <v>758</v>
      </c>
      <c r="U74" s="140"/>
      <c r="V74" s="107"/>
      <c r="W74" s="106"/>
      <c r="X74" s="106"/>
      <c r="Y74" s="85"/>
      <c r="Z74" s="157" t="str">
        <f aca="false">IF(AND(R74&lt;&gt;"",V74&lt;&gt;"",W74&lt;&gt;"",X74&lt;&gt;""),"ENTREGADO","POR RECOGER")</f>
        <v>POR RECOGER</v>
      </c>
      <c r="AA74" s="4"/>
      <c r="AB74" s="4"/>
      <c r="AC74" s="4"/>
    </row>
    <row r="75" customFormat="false" ht="15.75" hidden="true" customHeight="true" outlineLevel="0" collapsed="false">
      <c r="A75" s="46" t="n">
        <v>70</v>
      </c>
      <c r="B75" s="110" t="s">
        <v>4346</v>
      </c>
      <c r="C75" s="46" t="s">
        <v>752</v>
      </c>
      <c r="D75" s="110" t="s">
        <v>4732</v>
      </c>
      <c r="E75" s="46" t="s">
        <v>99</v>
      </c>
      <c r="F75" s="46" t="s">
        <v>4733</v>
      </c>
      <c r="G75" s="142" t="n">
        <v>46050</v>
      </c>
      <c r="H75" s="46" t="s">
        <v>595</v>
      </c>
      <c r="I75" s="138" t="str">
        <f aca="false">IFERROR(VLOOKUP(TEXT(H75,"0"),IPRESS!$A$3:$B$212,2,0),"")</f>
        <v>POMACOCHAS</v>
      </c>
      <c r="J75" s="46" t="s">
        <v>755</v>
      </c>
      <c r="K75" s="138" t="s">
        <v>14</v>
      </c>
      <c r="L75" s="44" t="n">
        <v>18.18</v>
      </c>
      <c r="M75" s="44" t="n">
        <v>6</v>
      </c>
      <c r="N75" s="139" t="n">
        <f aca="false">IFERROR(IF(L75*M75=0,"",L75*M75),"")</f>
        <v>109.08</v>
      </c>
      <c r="O75" s="46" t="s">
        <v>248</v>
      </c>
      <c r="P75" s="138" t="str">
        <f aca="false">IFERROR(VLOOKUP(TEXT(O75,"0"),CONDUCTORES!$A$3:$G$100,2,0),"")</f>
        <v>CARRERA ARAUJO JEINER</v>
      </c>
      <c r="Q75" s="138" t="str">
        <f aca="false">IFERROR(VLOOKUP(TEXT(O75,"0"),CONDUCTORES!$A$3:$H$100,6,0),"")</f>
        <v>EUH747</v>
      </c>
      <c r="R75" s="85"/>
      <c r="S75" s="110" t="s">
        <v>4709</v>
      </c>
      <c r="T75" s="46" t="s">
        <v>758</v>
      </c>
      <c r="U75" s="85"/>
      <c r="V75" s="110"/>
      <c r="W75" s="46"/>
      <c r="X75" s="46"/>
      <c r="Y75" s="85"/>
      <c r="Z75" s="157" t="str">
        <f aca="false">IF(AND(R75&lt;&gt;"",V75&lt;&gt;"",W75&lt;&gt;"",X75&lt;&gt;""),"ENTREGADO","POR RECOGER")</f>
        <v>POR RECOGER</v>
      </c>
      <c r="AA75" s="4"/>
      <c r="AB75" s="4"/>
      <c r="AC75" s="4"/>
    </row>
    <row r="76" customFormat="false" ht="15.75" hidden="true" customHeight="true" outlineLevel="0" collapsed="false">
      <c r="A76" s="106" t="n">
        <v>71</v>
      </c>
      <c r="B76" s="107" t="s">
        <v>4274</v>
      </c>
      <c r="C76" s="106" t="s">
        <v>752</v>
      </c>
      <c r="D76" s="107" t="s">
        <v>4734</v>
      </c>
      <c r="E76" s="136" t="s">
        <v>99</v>
      </c>
      <c r="F76" s="106" t="s">
        <v>4735</v>
      </c>
      <c r="G76" s="137" t="n">
        <v>46044</v>
      </c>
      <c r="H76" s="106" t="s">
        <v>595</v>
      </c>
      <c r="I76" s="138" t="str">
        <f aca="false">IFERROR(VLOOKUP(TEXT(H76,"0"),IPRESS!$A$3:$B$212,2,0),"")</f>
        <v>POMACOCHAS</v>
      </c>
      <c r="J76" s="106" t="s">
        <v>755</v>
      </c>
      <c r="K76" s="138" t="s">
        <v>14</v>
      </c>
      <c r="L76" s="50" t="n">
        <v>18.18</v>
      </c>
      <c r="M76" s="50" t="n">
        <v>6</v>
      </c>
      <c r="N76" s="139" t="n">
        <f aca="false">IFERROR(IF(L76*M76=0,"",L76*M76),"")</f>
        <v>109.08</v>
      </c>
      <c r="O76" s="106" t="s">
        <v>248</v>
      </c>
      <c r="P76" s="138" t="str">
        <f aca="false">IFERROR(VLOOKUP(TEXT(O76,"0"),CONDUCTORES!$A$3:$G$100,2,0),"")</f>
        <v>CARRERA ARAUJO JEINER</v>
      </c>
      <c r="Q76" s="138" t="str">
        <f aca="false">IFERROR(VLOOKUP(TEXT(O76,"0"),CONDUCTORES!$A$3:$H$100,6,0),"")</f>
        <v>EUH747</v>
      </c>
      <c r="R76" s="140"/>
      <c r="S76" s="107" t="s">
        <v>4736</v>
      </c>
      <c r="T76" s="136" t="s">
        <v>758</v>
      </c>
      <c r="U76" s="140"/>
      <c r="V76" s="107"/>
      <c r="W76" s="106"/>
      <c r="X76" s="106"/>
      <c r="Y76" s="85"/>
      <c r="Z76" s="157" t="str">
        <f aca="false">IF(AND(R76&lt;&gt;"",V76&lt;&gt;"",W76&lt;&gt;"",X76&lt;&gt;""),"ENTREGADO","POR RECOGER")</f>
        <v>POR RECOGER</v>
      </c>
      <c r="AA76" s="4"/>
      <c r="AB76" s="4"/>
      <c r="AC76" s="4"/>
    </row>
    <row r="77" customFormat="false" ht="15.75" hidden="true" customHeight="true" outlineLevel="0" collapsed="false">
      <c r="A77" s="46" t="n">
        <v>72</v>
      </c>
      <c r="B77" s="110" t="s">
        <v>4343</v>
      </c>
      <c r="C77" s="46" t="s">
        <v>752</v>
      </c>
      <c r="D77" s="110" t="s">
        <v>4737</v>
      </c>
      <c r="E77" s="46" t="s">
        <v>99</v>
      </c>
      <c r="F77" s="46" t="s">
        <v>4738</v>
      </c>
      <c r="G77" s="142" t="n">
        <v>46048</v>
      </c>
      <c r="H77" s="46" t="s">
        <v>595</v>
      </c>
      <c r="I77" s="138" t="str">
        <f aca="false">IFERROR(VLOOKUP(TEXT(H77,"0"),IPRESS!$A$3:$B$212,2,0),"")</f>
        <v>POMACOCHAS</v>
      </c>
      <c r="J77" s="46" t="s">
        <v>755</v>
      </c>
      <c r="K77" s="138" t="s">
        <v>14</v>
      </c>
      <c r="L77" s="44" t="n">
        <v>18.18</v>
      </c>
      <c r="M77" s="44" t="n">
        <v>6</v>
      </c>
      <c r="N77" s="139" t="n">
        <f aca="false">IFERROR(IF(L77*M77=0,"",L77*M77),"")</f>
        <v>109.08</v>
      </c>
      <c r="O77" s="46" t="s">
        <v>248</v>
      </c>
      <c r="P77" s="138" t="str">
        <f aca="false">IFERROR(VLOOKUP(TEXT(O77,"0"),CONDUCTORES!$A$3:$G$100,2,0),"")</f>
        <v>CARRERA ARAUJO JEINER</v>
      </c>
      <c r="Q77" s="138" t="str">
        <f aca="false">IFERROR(VLOOKUP(TEXT(O77,"0"),CONDUCTORES!$A$3:$H$100,6,0),"")</f>
        <v>EUH747</v>
      </c>
      <c r="R77" s="85"/>
      <c r="S77" s="110" t="s">
        <v>4739</v>
      </c>
      <c r="T77" s="46" t="s">
        <v>758</v>
      </c>
      <c r="U77" s="85"/>
      <c r="V77" s="110"/>
      <c r="W77" s="46"/>
      <c r="X77" s="46"/>
      <c r="Y77" s="85"/>
      <c r="Z77" s="157" t="str">
        <f aca="false">IF(AND(R77&lt;&gt;"",V77&lt;&gt;"",W77&lt;&gt;"",X77&lt;&gt;""),"ENTREGADO","POR RECOGER")</f>
        <v>POR RECOGER</v>
      </c>
      <c r="AA77" s="4"/>
      <c r="AB77" s="4"/>
      <c r="AC77" s="4"/>
    </row>
    <row r="78" customFormat="false" ht="15.75" hidden="true" customHeight="true" outlineLevel="0" collapsed="false">
      <c r="A78" s="106" t="n">
        <v>73</v>
      </c>
      <c r="B78" s="107" t="s">
        <v>4662</v>
      </c>
      <c r="C78" s="106" t="s">
        <v>752</v>
      </c>
      <c r="D78" s="107" t="s">
        <v>4740</v>
      </c>
      <c r="E78" s="136" t="s">
        <v>99</v>
      </c>
      <c r="F78" s="106" t="s">
        <v>4741</v>
      </c>
      <c r="G78" s="137" t="n">
        <v>46050</v>
      </c>
      <c r="H78" s="106" t="s">
        <v>595</v>
      </c>
      <c r="I78" s="138" t="str">
        <f aca="false">IFERROR(VLOOKUP(TEXT(H78,"0"),IPRESS!$A$3:$B$212,2,0),"")</f>
        <v>POMACOCHAS</v>
      </c>
      <c r="J78" s="106" t="s">
        <v>755</v>
      </c>
      <c r="K78" s="138" t="s">
        <v>14</v>
      </c>
      <c r="L78" s="50" t="n">
        <v>18.18</v>
      </c>
      <c r="M78" s="50" t="n">
        <v>6</v>
      </c>
      <c r="N78" s="139" t="n">
        <f aca="false">IFERROR(IF(L78*M78=0,"",L78*M78),"")</f>
        <v>109.08</v>
      </c>
      <c r="O78" s="106" t="s">
        <v>248</v>
      </c>
      <c r="P78" s="138" t="str">
        <f aca="false">IFERROR(VLOOKUP(TEXT(O78,"0"),CONDUCTORES!$A$3:$G$100,2,0),"")</f>
        <v>CARRERA ARAUJO JEINER</v>
      </c>
      <c r="Q78" s="138" t="str">
        <f aca="false">IFERROR(VLOOKUP(TEXT(O78,"0"),CONDUCTORES!$A$3:$H$100,6,0),"")</f>
        <v>EUH747</v>
      </c>
      <c r="R78" s="140"/>
      <c r="S78" s="107" t="s">
        <v>2362</v>
      </c>
      <c r="T78" s="136" t="s">
        <v>758</v>
      </c>
      <c r="U78" s="140"/>
      <c r="V78" s="107"/>
      <c r="W78" s="106"/>
      <c r="X78" s="106"/>
      <c r="Y78" s="85"/>
      <c r="Z78" s="157" t="str">
        <f aca="false">IF(AND(R78&lt;&gt;"",V78&lt;&gt;"",W78&lt;&gt;"",X78&lt;&gt;""),"ENTREGADO","POR RECOGER")</f>
        <v>POR RECOGER</v>
      </c>
      <c r="AA78" s="4"/>
      <c r="AB78" s="4"/>
      <c r="AC78" s="4"/>
    </row>
    <row r="79" customFormat="false" ht="15.75" hidden="true" customHeight="true" outlineLevel="0" collapsed="false">
      <c r="A79" s="46" t="n">
        <v>74</v>
      </c>
      <c r="B79" s="110" t="s">
        <v>4742</v>
      </c>
      <c r="C79" s="46" t="s">
        <v>752</v>
      </c>
      <c r="D79" s="110" t="s">
        <v>4743</v>
      </c>
      <c r="E79" s="46" t="s">
        <v>99</v>
      </c>
      <c r="F79" s="46" t="s">
        <v>4744</v>
      </c>
      <c r="G79" s="142" t="n">
        <v>46047</v>
      </c>
      <c r="H79" s="46" t="s">
        <v>529</v>
      </c>
      <c r="I79" s="138" t="str">
        <f aca="false">IFERROR(VLOOKUP(TEXT(H79,"0"),IPRESS!$A$3:$B$212,2,0),"")</f>
        <v>MARIA AUXILIADORA</v>
      </c>
      <c r="J79" s="46" t="s">
        <v>755</v>
      </c>
      <c r="K79" s="138" t="s">
        <v>14</v>
      </c>
      <c r="L79" s="44" t="n">
        <v>20.25</v>
      </c>
      <c r="M79" s="44" t="n">
        <v>7</v>
      </c>
      <c r="N79" s="139" t="n">
        <f aca="false">IFERROR(IF(L79*M79=0,"",L79*M79),"")</f>
        <v>141.75</v>
      </c>
      <c r="O79" s="46" t="s">
        <v>133</v>
      </c>
      <c r="P79" s="138" t="str">
        <f aca="false">IFERROR(VLOOKUP(TEXT(O79,"0"),CONDUCTORES!$A$3:$G$100,2,0),"")</f>
        <v>TRIGOSO TAFUR JOSE GILBER</v>
      </c>
      <c r="Q79" s="138" t="str">
        <f aca="false">IFERROR(VLOOKUP(TEXT(O79,"0"),CONDUCTORES!$A$3:$H$100,6,0),"")</f>
        <v>EUH 421</v>
      </c>
      <c r="R79" s="85"/>
      <c r="S79" s="110" t="s">
        <v>1292</v>
      </c>
      <c r="T79" s="46" t="s">
        <v>758</v>
      </c>
      <c r="U79" s="85"/>
      <c r="V79" s="110"/>
      <c r="W79" s="46"/>
      <c r="X79" s="46"/>
      <c r="Y79" s="85"/>
      <c r="Z79" s="157" t="str">
        <f aca="false">IF(AND(R79&lt;&gt;"",V79&lt;&gt;"",W79&lt;&gt;"",X79&lt;&gt;""),"ENTREGADO","POR RECOGER")</f>
        <v>POR RECOGER</v>
      </c>
      <c r="AA79" s="4"/>
      <c r="AB79" s="4"/>
      <c r="AC79" s="4"/>
    </row>
    <row r="80" customFormat="false" ht="15.75" hidden="true" customHeight="true" outlineLevel="0" collapsed="false">
      <c r="A80" s="106" t="n">
        <v>75</v>
      </c>
      <c r="B80" s="107" t="s">
        <v>4745</v>
      </c>
      <c r="C80" s="106" t="s">
        <v>752</v>
      </c>
      <c r="D80" s="107" t="s">
        <v>4746</v>
      </c>
      <c r="E80" s="136" t="s">
        <v>99</v>
      </c>
      <c r="F80" s="106" t="s">
        <v>4747</v>
      </c>
      <c r="G80" s="137" t="n">
        <v>46040</v>
      </c>
      <c r="H80" s="106" t="s">
        <v>529</v>
      </c>
      <c r="I80" s="138" t="str">
        <f aca="false">IFERROR(VLOOKUP(TEXT(H80,"0"),IPRESS!$A$3:$B$212,2,0),"")</f>
        <v>MARIA AUXILIADORA</v>
      </c>
      <c r="J80" s="106" t="s">
        <v>755</v>
      </c>
      <c r="K80" s="138" t="s">
        <v>14</v>
      </c>
      <c r="L80" s="50" t="n">
        <v>20.25</v>
      </c>
      <c r="M80" s="50" t="n">
        <v>6</v>
      </c>
      <c r="N80" s="139" t="n">
        <f aca="false">IFERROR(IF(L80*M80=0,"",L80*M80),"")</f>
        <v>121.5</v>
      </c>
      <c r="O80" s="106" t="s">
        <v>148</v>
      </c>
      <c r="P80" s="138" t="str">
        <f aca="false">IFERROR(VLOOKUP(TEXT(O80,"0"),CONDUCTORES!$A$3:$G$100,2,0),"")</f>
        <v>ROJAS ALVARADO BENJAMIN</v>
      </c>
      <c r="Q80" s="138" t="str">
        <f aca="false">IFERROR(VLOOKUP(TEXT(O80,"0"),CONDUCTORES!$A$3:$H$100,6,0),"")</f>
        <v>421 EUH</v>
      </c>
      <c r="R80" s="140"/>
      <c r="S80" s="107" t="s">
        <v>4748</v>
      </c>
      <c r="T80" s="136" t="s">
        <v>758</v>
      </c>
      <c r="U80" s="140"/>
      <c r="V80" s="107"/>
      <c r="W80" s="106"/>
      <c r="X80" s="106"/>
      <c r="Y80" s="85"/>
      <c r="Z80" s="157" t="str">
        <f aca="false">IF(AND(R80&lt;&gt;"",V80&lt;&gt;"",W80&lt;&gt;"",X80&lt;&gt;""),"ENTREGADO","POR RECOGER")</f>
        <v>POR RECOGER</v>
      </c>
      <c r="AA80" s="4"/>
      <c r="AB80" s="4"/>
      <c r="AC80" s="4"/>
    </row>
    <row r="81" customFormat="false" ht="15.75" hidden="true" customHeight="true" outlineLevel="0" collapsed="false">
      <c r="A81" s="46" t="n">
        <v>76</v>
      </c>
      <c r="B81" s="110" t="s">
        <v>4749</v>
      </c>
      <c r="C81" s="46" t="s">
        <v>752</v>
      </c>
      <c r="D81" s="110" t="s">
        <v>4707</v>
      </c>
      <c r="E81" s="46" t="s">
        <v>99</v>
      </c>
      <c r="F81" s="46" t="s">
        <v>4708</v>
      </c>
      <c r="G81" s="142" t="n">
        <v>46043</v>
      </c>
      <c r="H81" s="46" t="s">
        <v>529</v>
      </c>
      <c r="I81" s="138" t="str">
        <f aca="false">IFERROR(VLOOKUP(TEXT(H81,"0"),IPRESS!$A$3:$B$212,2,0),"")</f>
        <v>MARIA AUXILIADORA</v>
      </c>
      <c r="J81" s="46" t="s">
        <v>755</v>
      </c>
      <c r="K81" s="138" t="s">
        <v>14</v>
      </c>
      <c r="L81" s="44" t="n">
        <v>20.25</v>
      </c>
      <c r="M81" s="44" t="n">
        <v>7</v>
      </c>
      <c r="N81" s="139" t="n">
        <f aca="false">IFERROR(IF(L81*M81=0,"",L81*M81),"")</f>
        <v>141.75</v>
      </c>
      <c r="O81" s="46" t="s">
        <v>153</v>
      </c>
      <c r="P81" s="138" t="str">
        <f aca="false">IFERROR(VLOOKUP(TEXT(O81,"0"),CONDUCTORES!$A$3:$G$100,2,0),"")</f>
        <v>LOPEZ HOYOS MIGUEL ANGEL</v>
      </c>
      <c r="Q81" s="138" t="str">
        <f aca="false">IFERROR(VLOOKUP(TEXT(O81,"0"),CONDUCTORES!$A$3:$H$100,6,0),"")</f>
        <v>EUH-698</v>
      </c>
      <c r="R81" s="85"/>
      <c r="S81" s="110" t="s">
        <v>1737</v>
      </c>
      <c r="T81" s="46" t="s">
        <v>758</v>
      </c>
      <c r="U81" s="85"/>
      <c r="V81" s="110"/>
      <c r="W81" s="46"/>
      <c r="X81" s="46"/>
      <c r="Y81" s="85"/>
      <c r="Z81" s="157" t="str">
        <f aca="false">IF(AND(R81&lt;&gt;"",V81&lt;&gt;"",W81&lt;&gt;"",X81&lt;&gt;""),"ENTREGADO","POR RECOGER")</f>
        <v>POR RECOGER</v>
      </c>
      <c r="AA81" s="4"/>
      <c r="AB81" s="4"/>
      <c r="AC81" s="4"/>
    </row>
    <row r="82" customFormat="false" ht="15.75" hidden="true" customHeight="true" outlineLevel="0" collapsed="false">
      <c r="A82" s="106" t="n">
        <v>77</v>
      </c>
      <c r="B82" s="107" t="s">
        <v>4721</v>
      </c>
      <c r="C82" s="106" t="s">
        <v>752</v>
      </c>
      <c r="D82" s="107" t="s">
        <v>4750</v>
      </c>
      <c r="E82" s="136" t="s">
        <v>99</v>
      </c>
      <c r="F82" s="106" t="s">
        <v>4751</v>
      </c>
      <c r="G82" s="137" t="n">
        <v>46041</v>
      </c>
      <c r="H82" s="106" t="s">
        <v>595</v>
      </c>
      <c r="I82" s="138" t="str">
        <f aca="false">IFERROR(VLOOKUP(TEXT(H82,"0"),IPRESS!$A$3:$B$212,2,0),"")</f>
        <v>POMACOCHAS</v>
      </c>
      <c r="J82" s="106" t="s">
        <v>755</v>
      </c>
      <c r="K82" s="138" t="s">
        <v>14</v>
      </c>
      <c r="L82" s="50" t="n">
        <v>18.18</v>
      </c>
      <c r="M82" s="50" t="n">
        <v>6</v>
      </c>
      <c r="N82" s="139" t="n">
        <f aca="false">IFERROR(IF(L82*M82=0,"",L82*M82),"")</f>
        <v>109.08</v>
      </c>
      <c r="O82" s="106" t="s">
        <v>243</v>
      </c>
      <c r="P82" s="138" t="str">
        <f aca="false">IFERROR(VLOOKUP(TEXT(O82,"0"),CONDUCTORES!$A$3:$G$100,2,0),"")</f>
        <v>CHICANA LOPEZ MANUEL HECTOR</v>
      </c>
      <c r="Q82" s="138" t="str">
        <f aca="false">IFERROR(VLOOKUP(TEXT(O82,"0"),CONDUCTORES!$A$3:$H$100,6,0),"")</f>
        <v>EUH747</v>
      </c>
      <c r="R82" s="140"/>
      <c r="S82" s="107" t="s">
        <v>4752</v>
      </c>
      <c r="T82" s="136" t="s">
        <v>758</v>
      </c>
      <c r="U82" s="140"/>
      <c r="V82" s="107"/>
      <c r="W82" s="106"/>
      <c r="X82" s="106"/>
      <c r="Y82" s="85"/>
      <c r="Z82" s="157" t="str">
        <f aca="false">IF(AND(R82&lt;&gt;"",V82&lt;&gt;"",W82&lt;&gt;"",X82&lt;&gt;""),"ENTREGADO","POR RECOGER")</f>
        <v>POR RECOGER</v>
      </c>
      <c r="AA82" s="4"/>
      <c r="AB82" s="4"/>
      <c r="AC82" s="4"/>
    </row>
    <row r="83" customFormat="false" ht="15.75" hidden="true" customHeight="true" outlineLevel="0" collapsed="false">
      <c r="A83" s="46" t="n">
        <v>78</v>
      </c>
      <c r="B83" s="110" t="s">
        <v>4753</v>
      </c>
      <c r="C83" s="46" t="s">
        <v>752</v>
      </c>
      <c r="D83" s="110" t="s">
        <v>4754</v>
      </c>
      <c r="E83" s="46" t="s">
        <v>99</v>
      </c>
      <c r="F83" s="46" t="s">
        <v>4755</v>
      </c>
      <c r="G83" s="142" t="n">
        <v>46046</v>
      </c>
      <c r="H83" s="46" t="s">
        <v>595</v>
      </c>
      <c r="I83" s="138" t="str">
        <f aca="false">IFERROR(VLOOKUP(TEXT(H83,"0"),IPRESS!$A$3:$B$212,2,0),"")</f>
        <v>POMACOCHAS</v>
      </c>
      <c r="J83" s="46" t="s">
        <v>755</v>
      </c>
      <c r="K83" s="138" t="s">
        <v>14</v>
      </c>
      <c r="L83" s="44" t="n">
        <v>18.18</v>
      </c>
      <c r="M83" s="44" t="n">
        <v>6</v>
      </c>
      <c r="N83" s="139" t="n">
        <f aca="false">IFERROR(IF(L83*M83=0,"",L83*M83),"")</f>
        <v>109.08</v>
      </c>
      <c r="O83" s="46" t="s">
        <v>243</v>
      </c>
      <c r="P83" s="138" t="str">
        <f aca="false">IFERROR(VLOOKUP(TEXT(O83,"0"),CONDUCTORES!$A$3:$G$100,2,0),"")</f>
        <v>CHICANA LOPEZ MANUEL HECTOR</v>
      </c>
      <c r="Q83" s="138" t="str">
        <f aca="false">IFERROR(VLOOKUP(TEXT(O83,"0"),CONDUCTORES!$A$3:$H$100,6,0),"")</f>
        <v>EUH747</v>
      </c>
      <c r="R83" s="85"/>
      <c r="S83" s="110" t="s">
        <v>998</v>
      </c>
      <c r="T83" s="46" t="s">
        <v>758</v>
      </c>
      <c r="U83" s="85"/>
      <c r="V83" s="110"/>
      <c r="W83" s="46"/>
      <c r="X83" s="46"/>
      <c r="Y83" s="85"/>
      <c r="Z83" s="157" t="str">
        <f aca="false">IF(AND(R83&lt;&gt;"",V83&lt;&gt;"",W83&lt;&gt;"",X83&lt;&gt;""),"ENTREGADO","POR RECOGER")</f>
        <v>POR RECOGER</v>
      </c>
      <c r="AA83" s="4"/>
      <c r="AB83" s="4"/>
      <c r="AC83" s="4"/>
    </row>
    <row r="84" customFormat="false" ht="15.75" hidden="true" customHeight="true" outlineLevel="0" collapsed="false">
      <c r="A84" s="106" t="n">
        <v>79</v>
      </c>
      <c r="B84" s="107" t="s">
        <v>4670</v>
      </c>
      <c r="C84" s="106" t="s">
        <v>752</v>
      </c>
      <c r="D84" s="107" t="s">
        <v>4756</v>
      </c>
      <c r="E84" s="136" t="s">
        <v>99</v>
      </c>
      <c r="F84" s="106" t="s">
        <v>4757</v>
      </c>
      <c r="G84" s="137" t="n">
        <v>46051</v>
      </c>
      <c r="H84" s="106" t="s">
        <v>595</v>
      </c>
      <c r="I84" s="138" t="str">
        <f aca="false">IFERROR(VLOOKUP(TEXT(H84,"0"),IPRESS!$A$3:$B$212,2,0),"")</f>
        <v>POMACOCHAS</v>
      </c>
      <c r="J84" s="106" t="s">
        <v>755</v>
      </c>
      <c r="K84" s="138" t="s">
        <v>14</v>
      </c>
      <c r="L84" s="50" t="n">
        <v>18.18</v>
      </c>
      <c r="M84" s="50" t="n">
        <v>6</v>
      </c>
      <c r="N84" s="139" t="n">
        <f aca="false">IFERROR(IF(L84*M84=0,"",L84*M84),"")</f>
        <v>109.08</v>
      </c>
      <c r="O84" s="106" t="s">
        <v>243</v>
      </c>
      <c r="P84" s="138" t="str">
        <f aca="false">IFERROR(VLOOKUP(TEXT(O84,"0"),CONDUCTORES!$A$3:$G$100,2,0),"")</f>
        <v>CHICANA LOPEZ MANUEL HECTOR</v>
      </c>
      <c r="Q84" s="138" t="str">
        <f aca="false">IFERROR(VLOOKUP(TEXT(O84,"0"),CONDUCTORES!$A$3:$H$100,6,0),"")</f>
        <v>EUH747</v>
      </c>
      <c r="R84" s="140"/>
      <c r="S84" s="107" t="s">
        <v>1737</v>
      </c>
      <c r="T84" s="136" t="s">
        <v>758</v>
      </c>
      <c r="U84" s="140"/>
      <c r="V84" s="107"/>
      <c r="W84" s="106"/>
      <c r="X84" s="106"/>
      <c r="Y84" s="85"/>
      <c r="Z84" s="157" t="str">
        <f aca="false">IF(AND(R84&lt;&gt;"",V84&lt;&gt;"",W84&lt;&gt;"",X84&lt;&gt;""),"ENTREGADO","POR RECOGER")</f>
        <v>POR RECOGER</v>
      </c>
      <c r="AA84" s="4"/>
      <c r="AB84" s="4"/>
      <c r="AC84" s="4"/>
    </row>
    <row r="85" customFormat="false" ht="15.75" hidden="true" customHeight="true" outlineLevel="0" collapsed="false">
      <c r="A85" s="46" t="n">
        <v>80</v>
      </c>
      <c r="B85" s="110" t="s">
        <v>4403</v>
      </c>
      <c r="C85" s="46" t="s">
        <v>752</v>
      </c>
      <c r="D85" s="110" t="s">
        <v>4758</v>
      </c>
      <c r="E85" s="46" t="s">
        <v>99</v>
      </c>
      <c r="F85" s="46" t="s">
        <v>4759</v>
      </c>
      <c r="G85" s="142" t="n">
        <v>46047</v>
      </c>
      <c r="H85" s="46" t="s">
        <v>659</v>
      </c>
      <c r="I85" s="138" t="str">
        <f aca="false">IFERROR(VLOOKUP(TEXT(H85,"0"),IPRESS!$A$3:$B$212,2,0),"")</f>
        <v>SAN SALVADOR</v>
      </c>
      <c r="J85" s="46" t="s">
        <v>755</v>
      </c>
      <c r="K85" s="138" t="s">
        <v>14</v>
      </c>
      <c r="L85" s="44" t="n">
        <v>18.18</v>
      </c>
      <c r="M85" s="44" t="n">
        <v>10</v>
      </c>
      <c r="N85" s="139" t="n">
        <f aca="false">IFERROR(IF(L85*M85=0,"",L85*M85),"")</f>
        <v>181.8</v>
      </c>
      <c r="O85" s="46" t="s">
        <v>252</v>
      </c>
      <c r="P85" s="138" t="str">
        <f aca="false">IFERROR(VLOOKUP(TEXT(O85,"0"),CONDUCTORES!$A$3:$G$100,2,0),"")</f>
        <v>JULCA RITUAY ROGER</v>
      </c>
      <c r="Q85" s="138" t="str">
        <f aca="false">IFERROR(VLOOKUP(TEXT(O85,"0"),CONDUCTORES!$A$3:$H$100,6,0),"")</f>
        <v>EUH 414</v>
      </c>
      <c r="R85" s="85"/>
      <c r="S85" s="110" t="s">
        <v>4760</v>
      </c>
      <c r="T85" s="46" t="s">
        <v>758</v>
      </c>
      <c r="U85" s="85"/>
      <c r="V85" s="110"/>
      <c r="W85" s="46"/>
      <c r="X85" s="46"/>
      <c r="Y85" s="85" t="s">
        <v>75</v>
      </c>
      <c r="Z85" s="157" t="str">
        <f aca="false">IF(AND(R85&lt;&gt;"",V85&lt;&gt;"",W85&lt;&gt;"",X85&lt;&gt;""),"ENTREGADO","POR RECOGER")</f>
        <v>POR RECOGER</v>
      </c>
      <c r="AA85" s="4"/>
      <c r="AB85" s="4"/>
      <c r="AC85" s="4"/>
    </row>
    <row r="86" customFormat="false" ht="15.75" hidden="true" customHeight="true" outlineLevel="0" collapsed="false">
      <c r="A86" s="106" t="n">
        <v>81</v>
      </c>
      <c r="B86" s="107" t="s">
        <v>1489</v>
      </c>
      <c r="C86" s="106" t="s">
        <v>752</v>
      </c>
      <c r="D86" s="107" t="s">
        <v>4761</v>
      </c>
      <c r="E86" s="136" t="s">
        <v>99</v>
      </c>
      <c r="F86" s="106" t="s">
        <v>4762</v>
      </c>
      <c r="G86" s="137" t="n">
        <v>46043</v>
      </c>
      <c r="H86" s="106" t="s">
        <v>510</v>
      </c>
      <c r="I86" s="138" t="str">
        <f aca="false">IFERROR(VLOOKUP(TEXT(H86,"0"),IPRESS!$A$3:$B$212,2,0),"")</f>
        <v>LLACTAPAMPA</v>
      </c>
      <c r="J86" s="106" t="s">
        <v>755</v>
      </c>
      <c r="K86" s="138" t="s">
        <v>14</v>
      </c>
      <c r="L86" s="50" t="n">
        <v>18.18</v>
      </c>
      <c r="M86" s="50" t="n">
        <v>10</v>
      </c>
      <c r="N86" s="139" t="n">
        <f aca="false">IFERROR(IF(L86*M86=0,"",L86*M86),"")</f>
        <v>181.8</v>
      </c>
      <c r="O86" s="106" t="s">
        <v>252</v>
      </c>
      <c r="P86" s="138" t="str">
        <f aca="false">IFERROR(VLOOKUP(TEXT(O86,"0"),CONDUCTORES!$A$3:$G$100,2,0),"")</f>
        <v>JULCA RITUAY ROGER</v>
      </c>
      <c r="Q86" s="138" t="str">
        <f aca="false">IFERROR(VLOOKUP(TEXT(O86,"0"),CONDUCTORES!$A$3:$H$100,6,0),"")</f>
        <v>EUH 414</v>
      </c>
      <c r="R86" s="140"/>
      <c r="S86" s="107" t="s">
        <v>2393</v>
      </c>
      <c r="T86" s="136" t="s">
        <v>758</v>
      </c>
      <c r="U86" s="140"/>
      <c r="V86" s="107"/>
      <c r="W86" s="106"/>
      <c r="X86" s="106"/>
      <c r="Y86" s="85" t="s">
        <v>75</v>
      </c>
      <c r="Z86" s="157" t="str">
        <f aca="false">IF(AND(R86&lt;&gt;"",V86&lt;&gt;"",W86&lt;&gt;"",X86&lt;&gt;""),"ENTREGADO","POR RECOGER")</f>
        <v>POR RECOGER</v>
      </c>
      <c r="AA86" s="4"/>
      <c r="AB86" s="4"/>
      <c r="AC86" s="4"/>
    </row>
    <row r="87" customFormat="false" ht="15.75" hidden="true" customHeight="true" outlineLevel="0" collapsed="false">
      <c r="A87" s="46" t="n">
        <v>82</v>
      </c>
      <c r="B87" s="110" t="s">
        <v>1568</v>
      </c>
      <c r="C87" s="46" t="s">
        <v>752</v>
      </c>
      <c r="D87" s="110" t="s">
        <v>4763</v>
      </c>
      <c r="E87" s="46" t="s">
        <v>99</v>
      </c>
      <c r="F87" s="46" t="s">
        <v>4764</v>
      </c>
      <c r="G87" s="142" t="n">
        <v>46043</v>
      </c>
      <c r="H87" s="46" t="s">
        <v>714</v>
      </c>
      <c r="I87" s="138" t="str">
        <f aca="false">IFERROR(VLOOKUP(TEXT(H87,"0"),IPRESS!$A$3:$B$212,2,0),"")</f>
        <v>YAMBRASBAMBA</v>
      </c>
      <c r="J87" s="46" t="s">
        <v>595</v>
      </c>
      <c r="K87" s="138" t="s">
        <v>14</v>
      </c>
      <c r="L87" s="44" t="n">
        <v>18.18</v>
      </c>
      <c r="M87" s="44" t="n">
        <v>4</v>
      </c>
      <c r="N87" s="139" t="n">
        <f aca="false">IFERROR(IF(L87*M87=0,"",L87*M87),"")</f>
        <v>72.72</v>
      </c>
      <c r="O87" s="46" t="s">
        <v>274</v>
      </c>
      <c r="P87" s="138" t="str">
        <f aca="false">IFERROR(VLOOKUP(TEXT(O87,"0"),CONDUCTORES!$A$3:$G$100,2,0),"")</f>
        <v>CHICANA VALLE JAIME</v>
      </c>
      <c r="Q87" s="138" t="str">
        <f aca="false">IFERROR(VLOOKUP(TEXT(O87,"0"),CONDUCTORES!$A$3:$H$100,6,0),"")</f>
        <v>EGU 916</v>
      </c>
      <c r="R87" s="85"/>
      <c r="S87" s="110" t="s">
        <v>4765</v>
      </c>
      <c r="T87" s="46" t="s">
        <v>758</v>
      </c>
      <c r="U87" s="85"/>
      <c r="V87" s="110"/>
      <c r="W87" s="46"/>
      <c r="X87" s="46"/>
      <c r="Y87" s="85"/>
      <c r="Z87" s="157" t="str">
        <f aca="false">IF(AND(R87&lt;&gt;"",V87&lt;&gt;"",W87&lt;&gt;"",X87&lt;&gt;""),"ENTREGADO","POR RECOGER")</f>
        <v>POR RECOGER</v>
      </c>
      <c r="AA87" s="4"/>
      <c r="AB87" s="4"/>
      <c r="AC87" s="4"/>
    </row>
    <row r="88" customFormat="false" ht="15.75" hidden="true" customHeight="true" outlineLevel="0" collapsed="false">
      <c r="A88" s="106" t="n">
        <v>83</v>
      </c>
      <c r="B88" s="107" t="s">
        <v>1559</v>
      </c>
      <c r="C88" s="106" t="s">
        <v>752</v>
      </c>
      <c r="D88" s="107" t="s">
        <v>4766</v>
      </c>
      <c r="E88" s="136" t="s">
        <v>99</v>
      </c>
      <c r="F88" s="106" t="s">
        <v>4767</v>
      </c>
      <c r="G88" s="137" t="n">
        <v>46048</v>
      </c>
      <c r="H88" s="106" t="s">
        <v>714</v>
      </c>
      <c r="I88" s="138" t="str">
        <f aca="false">IFERROR(VLOOKUP(TEXT(H88,"0"),IPRESS!$A$3:$B$212,2,0),"")</f>
        <v>YAMBRASBAMBA</v>
      </c>
      <c r="J88" s="106" t="s">
        <v>595</v>
      </c>
      <c r="K88" s="138" t="s">
        <v>14</v>
      </c>
      <c r="L88" s="50" t="n">
        <v>18.18</v>
      </c>
      <c r="M88" s="50" t="n">
        <v>4</v>
      </c>
      <c r="N88" s="139" t="n">
        <f aca="false">IFERROR(IF(L88*M88=0,"",L88*M88),"")</f>
        <v>72.72</v>
      </c>
      <c r="O88" s="106" t="s">
        <v>274</v>
      </c>
      <c r="P88" s="138" t="str">
        <f aca="false">IFERROR(VLOOKUP(TEXT(O88,"0"),CONDUCTORES!$A$3:$G$100,2,0),"")</f>
        <v>CHICANA VALLE JAIME</v>
      </c>
      <c r="Q88" s="138" t="str">
        <f aca="false">IFERROR(VLOOKUP(TEXT(O88,"0"),CONDUCTORES!$A$3:$H$100,6,0),"")</f>
        <v>EGU 916</v>
      </c>
      <c r="R88" s="140"/>
      <c r="S88" s="107" t="s">
        <v>1140</v>
      </c>
      <c r="T88" s="136" t="s">
        <v>758</v>
      </c>
      <c r="U88" s="140"/>
      <c r="V88" s="107"/>
      <c r="W88" s="106"/>
      <c r="X88" s="106"/>
      <c r="Y88" s="85"/>
      <c r="Z88" s="157" t="str">
        <f aca="false">IF(AND(R88&lt;&gt;"",V88&lt;&gt;"",W88&lt;&gt;"",X88&lt;&gt;""),"ENTREGADO","POR RECOGER")</f>
        <v>POR RECOGER</v>
      </c>
      <c r="AA88" s="4"/>
      <c r="AB88" s="4"/>
      <c r="AC88" s="4"/>
    </row>
    <row r="89" customFormat="false" ht="15.75" hidden="true" customHeight="true" outlineLevel="0" collapsed="false">
      <c r="A89" s="46" t="n">
        <v>84</v>
      </c>
      <c r="B89" s="110" t="s">
        <v>1493</v>
      </c>
      <c r="C89" s="46" t="s">
        <v>752</v>
      </c>
      <c r="D89" s="110" t="s">
        <v>4732</v>
      </c>
      <c r="E89" s="46" t="s">
        <v>99</v>
      </c>
      <c r="F89" s="46" t="s">
        <v>4733</v>
      </c>
      <c r="G89" s="142" t="n">
        <v>46050</v>
      </c>
      <c r="H89" s="46" t="s">
        <v>714</v>
      </c>
      <c r="I89" s="138" t="str">
        <f aca="false">IFERROR(VLOOKUP(TEXT(H89,"0"),IPRESS!$A$3:$B$212,2,0),"")</f>
        <v>YAMBRASBAMBA</v>
      </c>
      <c r="J89" s="46" t="s">
        <v>595</v>
      </c>
      <c r="K89" s="138" t="s">
        <v>14</v>
      </c>
      <c r="L89" s="44" t="n">
        <v>18.18</v>
      </c>
      <c r="M89" s="44" t="n">
        <v>4</v>
      </c>
      <c r="N89" s="139" t="n">
        <f aca="false">IFERROR(IF(L89*M89=0,"",L89*M89),"")</f>
        <v>72.72</v>
      </c>
      <c r="O89" s="46" t="s">
        <v>274</v>
      </c>
      <c r="P89" s="138" t="str">
        <f aca="false">IFERROR(VLOOKUP(TEXT(O89,"0"),CONDUCTORES!$A$3:$G$100,2,0),"")</f>
        <v>CHICANA VALLE JAIME</v>
      </c>
      <c r="Q89" s="138" t="str">
        <f aca="false">IFERROR(VLOOKUP(TEXT(O89,"0"),CONDUCTORES!$A$3:$H$100,6,0),"")</f>
        <v>EGU 916</v>
      </c>
      <c r="R89" s="85"/>
      <c r="S89" s="110" t="s">
        <v>4066</v>
      </c>
      <c r="T89" s="46" t="s">
        <v>758</v>
      </c>
      <c r="U89" s="85"/>
      <c r="V89" s="110"/>
      <c r="W89" s="46"/>
      <c r="X89" s="46"/>
      <c r="Y89" s="85"/>
      <c r="Z89" s="157" t="str">
        <f aca="false">IF(AND(R89&lt;&gt;"",V89&lt;&gt;"",W89&lt;&gt;"",X89&lt;&gt;""),"ENTREGADO","POR RECOGER")</f>
        <v>POR RECOGER</v>
      </c>
      <c r="AA89" s="4"/>
      <c r="AB89" s="4"/>
      <c r="AC89" s="4"/>
    </row>
    <row r="90" customFormat="false" ht="15.75" hidden="true" customHeight="true" outlineLevel="0" collapsed="false">
      <c r="A90" s="106" t="n">
        <v>85</v>
      </c>
      <c r="B90" s="107" t="s">
        <v>1819</v>
      </c>
      <c r="C90" s="106" t="s">
        <v>752</v>
      </c>
      <c r="D90" s="107" t="s">
        <v>2666</v>
      </c>
      <c r="E90" s="136" t="s">
        <v>99</v>
      </c>
      <c r="F90" s="106" t="s">
        <v>2667</v>
      </c>
      <c r="G90" s="137" t="n">
        <v>46042</v>
      </c>
      <c r="H90" s="106" t="s">
        <v>500</v>
      </c>
      <c r="I90" s="138" t="str">
        <f aca="false">IFERROR(VLOOKUP(TEXT(H90,"0"),IPRESS!$A$3:$B$212,2,0),"")</f>
        <v>LAMUD</v>
      </c>
      <c r="J90" s="106" t="s">
        <v>755</v>
      </c>
      <c r="K90" s="138" t="s">
        <v>14</v>
      </c>
      <c r="L90" s="50" t="n">
        <v>18.18</v>
      </c>
      <c r="M90" s="50" t="n">
        <v>4</v>
      </c>
      <c r="N90" s="139" t="n">
        <f aca="false">IFERROR(IF(L90*M90=0,"",L90*M90),"")</f>
        <v>72.72</v>
      </c>
      <c r="O90" s="106" t="s">
        <v>170</v>
      </c>
      <c r="P90" s="138" t="str">
        <f aca="false">IFERROR(VLOOKUP(TEXT(O90,"0"),CONDUCTORES!$A$3:$G$100,2,0),"")</f>
        <v>RUFASTO CHUQUIZUTA JUAN KAROOL</v>
      </c>
      <c r="Q90" s="138" t="str">
        <f aca="false">IFERROR(VLOOKUP(TEXT(O90,"0"),CONDUCTORES!$A$3:$H$100,6,0),"")</f>
        <v>EUA963</v>
      </c>
      <c r="R90" s="140"/>
      <c r="S90" s="107" t="s">
        <v>4768</v>
      </c>
      <c r="T90" s="136" t="s">
        <v>758</v>
      </c>
      <c r="U90" s="140"/>
      <c r="V90" s="107"/>
      <c r="W90" s="106"/>
      <c r="X90" s="106"/>
      <c r="Y90" s="85"/>
      <c r="Z90" s="157" t="str">
        <f aca="false">IF(AND(R90&lt;&gt;"",V90&lt;&gt;"",W90&lt;&gt;"",X90&lt;&gt;""),"ENTREGADO","POR RECOGER")</f>
        <v>POR RECOGER</v>
      </c>
      <c r="AA90" s="4"/>
      <c r="AB90" s="4"/>
      <c r="AC90" s="4"/>
    </row>
    <row r="91" customFormat="false" ht="15.75" hidden="false" customHeight="true" outlineLevel="0" collapsed="false">
      <c r="A91" s="143" t="n">
        <v>86</v>
      </c>
      <c r="B91" s="144" t="s">
        <v>4769</v>
      </c>
      <c r="C91" s="143" t="s">
        <v>752</v>
      </c>
      <c r="D91" s="144" t="s">
        <v>4770</v>
      </c>
      <c r="E91" s="143" t="s">
        <v>99</v>
      </c>
      <c r="F91" s="143" t="s">
        <v>4771</v>
      </c>
      <c r="G91" s="145" t="n">
        <v>46050</v>
      </c>
      <c r="H91" s="143" t="s">
        <v>581</v>
      </c>
      <c r="I91" s="138" t="str">
        <f aca="false">IFERROR(VLOOKUP(TEXT(H91,"0"),IPRESS!$A$3:$B$212,2,0),"")</f>
        <v>PEDRO RUIZ GALLO</v>
      </c>
      <c r="J91" s="143" t="s">
        <v>755</v>
      </c>
      <c r="K91" s="164" t="s">
        <v>16</v>
      </c>
      <c r="L91" s="146" t="n">
        <v>17.95</v>
      </c>
      <c r="M91" s="146" t="n">
        <v>6</v>
      </c>
      <c r="N91" s="139" t="n">
        <f aca="false">IFERROR(IF(L91*M91=0,"",L91*M91),"")</f>
        <v>107.7</v>
      </c>
      <c r="O91" s="143" t="s">
        <v>230</v>
      </c>
      <c r="P91" s="138" t="str">
        <f aca="false">IFERROR(VLOOKUP(TEXT(O91,"0"),CONDUCTORES!$A$3:$G$100,2,0),"")</f>
        <v>MUNOZ VERGARAY JORGE ENRRIQUE</v>
      </c>
      <c r="Q91" s="138" t="str">
        <f aca="false">IFERROR(VLOOKUP(TEXT(O91,"0"),CONDUCTORES!$A$3:$H$100,6,0),"")</f>
        <v>EUH 427</v>
      </c>
      <c r="R91" s="147"/>
      <c r="S91" s="144" t="s">
        <v>4772</v>
      </c>
      <c r="T91" s="143" t="s">
        <v>758</v>
      </c>
      <c r="U91" s="147"/>
      <c r="V91" s="144"/>
      <c r="W91" s="143"/>
      <c r="X91" s="143"/>
      <c r="Y91" s="85"/>
      <c r="Z91" s="157" t="str">
        <f aca="false">IF(AND(R91&lt;&gt;"",V91&lt;&gt;"",W91&lt;&gt;"",X91&lt;&gt;""),"ENTREGADO","POR RECOGER")</f>
        <v>POR RECOGER</v>
      </c>
      <c r="AA91" s="4"/>
      <c r="AB91" s="4"/>
      <c r="AC91" s="4"/>
    </row>
    <row r="92" customFormat="false" ht="15.75" hidden="true" customHeight="true" outlineLevel="0" collapsed="false">
      <c r="A92" s="106" t="n">
        <v>87</v>
      </c>
      <c r="B92" s="107" t="s">
        <v>1823</v>
      </c>
      <c r="C92" s="106" t="s">
        <v>752</v>
      </c>
      <c r="D92" s="107" t="s">
        <v>4773</v>
      </c>
      <c r="E92" s="136" t="s">
        <v>99</v>
      </c>
      <c r="F92" s="106" t="s">
        <v>4774</v>
      </c>
      <c r="G92" s="137" t="n">
        <v>46052</v>
      </c>
      <c r="H92" s="106" t="s">
        <v>500</v>
      </c>
      <c r="I92" s="138" t="str">
        <f aca="false">IFERROR(VLOOKUP(TEXT(H92,"0"),IPRESS!$A$3:$B$212,2,0),"")</f>
        <v>LAMUD</v>
      </c>
      <c r="J92" s="106" t="s">
        <v>755</v>
      </c>
      <c r="K92" s="138" t="s">
        <v>14</v>
      </c>
      <c r="L92" s="50" t="n">
        <v>18.18</v>
      </c>
      <c r="M92" s="50" t="n">
        <v>4</v>
      </c>
      <c r="N92" s="139" t="n">
        <f aca="false">IFERROR(IF(L92*M92=0,"",L92*M92),"")</f>
        <v>72.72</v>
      </c>
      <c r="O92" s="106" t="s">
        <v>175</v>
      </c>
      <c r="P92" s="138" t="str">
        <f aca="false">IFERROR(VLOOKUP(TEXT(O92,"0"),CONDUCTORES!$A$3:$G$100,2,0),"")</f>
        <v>DANIEL ZELADA TRUJILLO</v>
      </c>
      <c r="Q92" s="138" t="str">
        <f aca="false">IFERROR(VLOOKUP(TEXT(O92,"0"),CONDUCTORES!$A$3:$H$100,6,0),"")</f>
        <v>EUA-963</v>
      </c>
      <c r="R92" s="140"/>
      <c r="S92" s="107" t="s">
        <v>4775</v>
      </c>
      <c r="T92" s="136" t="s">
        <v>758</v>
      </c>
      <c r="U92" s="140"/>
      <c r="V92" s="107"/>
      <c r="W92" s="106"/>
      <c r="X92" s="106"/>
      <c r="Y92" s="85"/>
      <c r="Z92" s="157" t="str">
        <f aca="false">IF(AND(R92&lt;&gt;"",V92&lt;&gt;"",W92&lt;&gt;"",X92&lt;&gt;""),"ENTREGADO","POR RECOGER")</f>
        <v>POR RECOGER</v>
      </c>
      <c r="AA92" s="4"/>
      <c r="AB92" s="4"/>
      <c r="AC92" s="4"/>
    </row>
    <row r="93" customFormat="false" ht="15.75" hidden="true" customHeight="true" outlineLevel="0" collapsed="false">
      <c r="A93" s="46" t="n">
        <v>88</v>
      </c>
      <c r="B93" s="110" t="s">
        <v>4776</v>
      </c>
      <c r="C93" s="46" t="s">
        <v>752</v>
      </c>
      <c r="D93" s="110" t="s">
        <v>4777</v>
      </c>
      <c r="E93" s="46" t="s">
        <v>99</v>
      </c>
      <c r="F93" s="46" t="s">
        <v>4778</v>
      </c>
      <c r="G93" s="142" t="n">
        <v>46046</v>
      </c>
      <c r="H93" s="46" t="s">
        <v>529</v>
      </c>
      <c r="I93" s="138" t="str">
        <f aca="false">IFERROR(VLOOKUP(TEXT(H93,"0"),IPRESS!$A$3:$B$212,2,0),"")</f>
        <v>MARIA AUXILIADORA</v>
      </c>
      <c r="J93" s="46" t="s">
        <v>755</v>
      </c>
      <c r="K93" s="138" t="s">
        <v>14</v>
      </c>
      <c r="L93" s="44" t="n">
        <v>20.25</v>
      </c>
      <c r="M93" s="44" t="n">
        <v>5.7</v>
      </c>
      <c r="N93" s="139" t="n">
        <f aca="false">IFERROR(IF(L93*M93=0,"",L93*M93),"")</f>
        <v>115.425</v>
      </c>
      <c r="O93" s="46" t="s">
        <v>148</v>
      </c>
      <c r="P93" s="138" t="str">
        <f aca="false">IFERROR(VLOOKUP(TEXT(O93,"0"),CONDUCTORES!$A$3:$G$100,2,0),"")</f>
        <v>ROJAS ALVARADO BENJAMIN</v>
      </c>
      <c r="Q93" s="138" t="str">
        <f aca="false">IFERROR(VLOOKUP(TEXT(O93,"0"),CONDUCTORES!$A$3:$H$100,6,0),"")</f>
        <v>421 EUH</v>
      </c>
      <c r="R93" s="85"/>
      <c r="S93" s="110" t="s">
        <v>4779</v>
      </c>
      <c r="T93" s="46" t="s">
        <v>758</v>
      </c>
      <c r="U93" s="85"/>
      <c r="V93" s="110"/>
      <c r="W93" s="46"/>
      <c r="X93" s="46"/>
      <c r="Y93" s="85"/>
      <c r="Z93" s="157" t="str">
        <f aca="false">IF(AND(R93&lt;&gt;"",V93&lt;&gt;"",W93&lt;&gt;"",X93&lt;&gt;""),"ENTREGADO","POR RECOGER")</f>
        <v>POR RECOGER</v>
      </c>
      <c r="AA93" s="4"/>
      <c r="AB93" s="4"/>
      <c r="AC93" s="4"/>
    </row>
    <row r="94" customFormat="false" ht="15.75" hidden="true" customHeight="true" outlineLevel="0" collapsed="false">
      <c r="A94" s="106" t="n">
        <v>89</v>
      </c>
      <c r="B94" s="107"/>
      <c r="C94" s="106" t="s">
        <v>752</v>
      </c>
      <c r="D94" s="107" t="s">
        <v>4780</v>
      </c>
      <c r="E94" s="136" t="s">
        <v>99</v>
      </c>
      <c r="F94" s="106" t="s">
        <v>4781</v>
      </c>
      <c r="G94" s="137" t="n">
        <v>46048</v>
      </c>
      <c r="H94" s="106" t="s">
        <v>529</v>
      </c>
      <c r="I94" s="138" t="str">
        <f aca="false">IFERROR(VLOOKUP(TEXT(H94,"0"),IPRESS!$A$3:$B$212,2,0),"")</f>
        <v>MARIA AUXILIADORA</v>
      </c>
      <c r="J94" s="106" t="s">
        <v>755</v>
      </c>
      <c r="K94" s="138" t="s">
        <v>14</v>
      </c>
      <c r="L94" s="50" t="n">
        <v>20.25</v>
      </c>
      <c r="M94" s="50" t="n">
        <v>10</v>
      </c>
      <c r="N94" s="139" t="n">
        <f aca="false">IFERROR(IF(L94*M94=0,"",L94*M94),"")</f>
        <v>202.5</v>
      </c>
      <c r="O94" s="106" t="s">
        <v>153</v>
      </c>
      <c r="P94" s="138" t="str">
        <f aca="false">IFERROR(VLOOKUP(TEXT(O94,"0"),CONDUCTORES!$A$3:$G$100,2,0),"")</f>
        <v>LOPEZ HOYOS MIGUEL ANGEL</v>
      </c>
      <c r="Q94" s="138" t="str">
        <f aca="false">IFERROR(VLOOKUP(TEXT(O94,"0"),CONDUCTORES!$A$3:$H$100,6,0),"")</f>
        <v>EUH-698</v>
      </c>
      <c r="R94" s="140"/>
      <c r="S94" s="107" t="s">
        <v>4782</v>
      </c>
      <c r="T94" s="136" t="s">
        <v>758</v>
      </c>
      <c r="U94" s="140"/>
      <c r="V94" s="107"/>
      <c r="W94" s="106"/>
      <c r="X94" s="106"/>
      <c r="Y94" s="85"/>
      <c r="Z94" s="157" t="str">
        <f aca="false">IF(AND(R94&lt;&gt;"",V94&lt;&gt;"",W94&lt;&gt;"",X94&lt;&gt;""),"ENTREGADO","POR RECOGER")</f>
        <v>POR RECOGER</v>
      </c>
      <c r="AA94" s="4"/>
      <c r="AB94" s="4"/>
      <c r="AC94" s="4"/>
    </row>
    <row r="95" customFormat="false" ht="15.75" hidden="true" customHeight="true" outlineLevel="0" collapsed="false">
      <c r="A95" s="46" t="n">
        <v>90</v>
      </c>
      <c r="B95" s="110"/>
      <c r="C95" s="46" t="s">
        <v>752</v>
      </c>
      <c r="D95" s="110"/>
      <c r="E95" s="46" t="s">
        <v>99</v>
      </c>
      <c r="F95" s="46"/>
      <c r="G95" s="85"/>
      <c r="H95" s="46"/>
      <c r="I95" s="138" t="str">
        <f aca="false">IFERROR(VLOOKUP(TEXT(H95,"0"),IPRESS!$A$3:$B$212,2,0),"")</f>
        <v/>
      </c>
      <c r="J95" s="46"/>
      <c r="K95" s="138"/>
      <c r="L95" s="44"/>
      <c r="M95" s="44"/>
      <c r="N95" s="139" t="str">
        <f aca="false">IFERROR(IF(L95*M95=0,"",L95*M95),"")</f>
        <v/>
      </c>
      <c r="O95" s="46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85"/>
      <c r="S95" s="110"/>
      <c r="T95" s="46"/>
      <c r="U95" s="85"/>
      <c r="V95" s="110"/>
      <c r="W95" s="46"/>
      <c r="X95" s="46"/>
      <c r="Y95" s="85"/>
      <c r="Z95" s="157" t="str">
        <f aca="false">IF(AND(R95&lt;&gt;"",V95&lt;&gt;"",W95&lt;&gt;"",X95&lt;&gt;""),"ENTREGADO","POR RECOGER")</f>
        <v>POR RECOGER</v>
      </c>
      <c r="AA95" s="4"/>
      <c r="AB95" s="4"/>
      <c r="AC95" s="4"/>
    </row>
    <row r="96" customFormat="false" ht="15.75" hidden="true" customHeight="true" outlineLevel="0" collapsed="false">
      <c r="A96" s="106" t="n">
        <v>91</v>
      </c>
      <c r="B96" s="107"/>
      <c r="C96" s="106" t="s">
        <v>752</v>
      </c>
      <c r="D96" s="107"/>
      <c r="E96" s="136" t="s">
        <v>99</v>
      </c>
      <c r="F96" s="106"/>
      <c r="G96" s="140"/>
      <c r="H96" s="106"/>
      <c r="I96" s="138" t="str">
        <f aca="false">IFERROR(VLOOKUP(TEXT(H96,"0"),IPRESS!$A$3:$B$212,2,0),"")</f>
        <v/>
      </c>
      <c r="J96" s="106"/>
      <c r="K96" s="138"/>
      <c r="L96" s="50"/>
      <c r="M96" s="50"/>
      <c r="N96" s="139" t="str">
        <f aca="false">IFERROR(IF(L96*M96=0,"",L96*M96),"")</f>
        <v/>
      </c>
      <c r="O96" s="106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40"/>
      <c r="S96" s="107"/>
      <c r="T96" s="136"/>
      <c r="U96" s="140"/>
      <c r="V96" s="107"/>
      <c r="W96" s="106"/>
      <c r="X96" s="106"/>
      <c r="Y96" s="85"/>
      <c r="Z96" s="157" t="str">
        <f aca="false">IF(AND(R96&lt;&gt;"",V96&lt;&gt;"",W96&lt;&gt;"",X96&lt;&gt;""),"ENTREGADO","POR RECOGER")</f>
        <v>POR RECOGER</v>
      </c>
      <c r="AA96" s="4"/>
      <c r="AB96" s="4"/>
      <c r="AC96" s="4"/>
    </row>
    <row r="97" customFormat="false" ht="15.75" hidden="true" customHeight="true" outlineLevel="0" collapsed="false">
      <c r="A97" s="46" t="n">
        <v>92</v>
      </c>
      <c r="B97" s="110"/>
      <c r="C97" s="46" t="s">
        <v>752</v>
      </c>
      <c r="D97" s="110"/>
      <c r="E97" s="46" t="s">
        <v>99</v>
      </c>
      <c r="F97" s="46"/>
      <c r="G97" s="85"/>
      <c r="H97" s="46"/>
      <c r="I97" s="138" t="str">
        <f aca="false">IFERROR(VLOOKUP(TEXT(H97,"0"),IPRESS!$A$3:$B$212,2,0),"")</f>
        <v/>
      </c>
      <c r="J97" s="46"/>
      <c r="K97" s="138"/>
      <c r="L97" s="44"/>
      <c r="M97" s="44"/>
      <c r="N97" s="139" t="str">
        <f aca="false">IFERROR(IF(L97*M97=0,"",L97*M97),"")</f>
        <v/>
      </c>
      <c r="O97" s="46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85"/>
      <c r="S97" s="110"/>
      <c r="T97" s="46"/>
      <c r="U97" s="85"/>
      <c r="V97" s="110"/>
      <c r="W97" s="46"/>
      <c r="X97" s="46"/>
      <c r="Y97" s="85"/>
      <c r="Z97" s="157" t="str">
        <f aca="false">IF(AND(R97&lt;&gt;"",V97&lt;&gt;"",W97&lt;&gt;"",X97&lt;&gt;""),"ENTREGADO","POR RECOGER")</f>
        <v>POR RECOGER</v>
      </c>
      <c r="AA97" s="4"/>
      <c r="AB97" s="4"/>
      <c r="AC97" s="4"/>
    </row>
    <row r="98" customFormat="false" ht="15.75" hidden="true" customHeight="true" outlineLevel="0" collapsed="false">
      <c r="A98" s="106" t="n">
        <v>93</v>
      </c>
      <c r="B98" s="107"/>
      <c r="C98" s="106" t="s">
        <v>752</v>
      </c>
      <c r="D98" s="107"/>
      <c r="E98" s="136" t="s">
        <v>99</v>
      </c>
      <c r="F98" s="106"/>
      <c r="G98" s="140"/>
      <c r="H98" s="106"/>
      <c r="I98" s="138" t="str">
        <f aca="false">IFERROR(VLOOKUP(TEXT(H98,"0"),IPRESS!$A$3:$B$212,2,0),"")</f>
        <v/>
      </c>
      <c r="J98" s="106"/>
      <c r="K98" s="138"/>
      <c r="L98" s="50"/>
      <c r="M98" s="50"/>
      <c r="N98" s="139" t="str">
        <f aca="false">IFERROR(IF(L98*M98=0,"",L98*M98),"")</f>
        <v/>
      </c>
      <c r="O98" s="106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40"/>
      <c r="S98" s="107"/>
      <c r="T98" s="136"/>
      <c r="U98" s="140"/>
      <c r="V98" s="107"/>
      <c r="W98" s="106"/>
      <c r="X98" s="106"/>
      <c r="Y98" s="85"/>
      <c r="Z98" s="157" t="str">
        <f aca="false">IF(AND(R98&lt;&gt;"",V98&lt;&gt;"",W98&lt;&gt;"",X98&lt;&gt;""),"ENTREGADO","POR RECOGER")</f>
        <v>POR RECOGER</v>
      </c>
      <c r="AA98" s="4"/>
      <c r="AB98" s="4"/>
      <c r="AC98" s="4"/>
    </row>
    <row r="99" customFormat="false" ht="15.75" hidden="true" customHeight="true" outlineLevel="0" collapsed="false">
      <c r="A99" s="46" t="n">
        <v>94</v>
      </c>
      <c r="B99" s="110"/>
      <c r="C99" s="46" t="s">
        <v>752</v>
      </c>
      <c r="D99" s="110"/>
      <c r="E99" s="46" t="s">
        <v>99</v>
      </c>
      <c r="F99" s="46"/>
      <c r="G99" s="85"/>
      <c r="H99" s="46"/>
      <c r="I99" s="138" t="str">
        <f aca="false">IFERROR(VLOOKUP(TEXT(H99,"0"),IPRESS!$A$3:$B$212,2,0),"")</f>
        <v/>
      </c>
      <c r="J99" s="46"/>
      <c r="K99" s="138"/>
      <c r="L99" s="44"/>
      <c r="M99" s="44"/>
      <c r="N99" s="139" t="str">
        <f aca="false">IFERROR(IF(L99*M99=0,"",L99*M99),"")</f>
        <v/>
      </c>
      <c r="O99" s="46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85"/>
      <c r="S99" s="110"/>
      <c r="T99" s="46"/>
      <c r="U99" s="85"/>
      <c r="V99" s="110"/>
      <c r="W99" s="46"/>
      <c r="X99" s="46"/>
      <c r="Y99" s="85"/>
      <c r="Z99" s="157" t="str">
        <f aca="false">IF(AND(R99&lt;&gt;"",V99&lt;&gt;"",W99&lt;&gt;"",X99&lt;&gt;""),"ENTREGADO","POR RECOGER")</f>
        <v>POR RECOGER</v>
      </c>
      <c r="AA99" s="4"/>
      <c r="AB99" s="4"/>
      <c r="AC99" s="4"/>
    </row>
    <row r="100" customFormat="false" ht="15" hidden="false" customHeight="true" outlineLevel="0" collapsed="false">
      <c r="A100" s="85"/>
      <c r="B100" s="85"/>
      <c r="C100" s="85"/>
      <c r="D100" s="85"/>
      <c r="E100" s="85"/>
      <c r="F100" s="85"/>
      <c r="G100" s="85"/>
      <c r="H100" s="85"/>
      <c r="I100" s="149"/>
      <c r="J100" s="85"/>
      <c r="K100" s="149"/>
      <c r="L100" s="85"/>
      <c r="M100" s="85"/>
      <c r="N100" s="151"/>
      <c r="O100" s="85"/>
      <c r="P100" s="149"/>
      <c r="Q100" s="149"/>
      <c r="R100" s="85"/>
      <c r="S100" s="85"/>
      <c r="T100" s="85"/>
      <c r="U100" s="85"/>
      <c r="V100" s="85"/>
      <c r="W100" s="85"/>
      <c r="X100" s="85"/>
      <c r="Y100" s="85"/>
      <c r="Z100" s="157"/>
      <c r="AA100" s="4"/>
      <c r="AB100" s="4"/>
      <c r="AC100" s="4"/>
    </row>
    <row r="101" customFormat="false" ht="24" hidden="false" customHeight="true" outlineLevel="0" collapsed="false">
      <c r="A101" s="165"/>
      <c r="B101" s="165"/>
      <c r="C101" s="165"/>
      <c r="D101" s="165"/>
      <c r="E101" s="165"/>
      <c r="F101" s="165"/>
      <c r="G101" s="165"/>
      <c r="H101" s="165"/>
      <c r="I101" s="165"/>
      <c r="J101" s="165"/>
      <c r="K101" s="149"/>
      <c r="L101" s="85"/>
      <c r="M101" s="166"/>
      <c r="N101" s="166"/>
      <c r="O101" s="85"/>
      <c r="P101" s="149"/>
      <c r="Q101" s="149"/>
      <c r="R101" s="85"/>
      <c r="S101" s="85"/>
      <c r="T101" s="85"/>
      <c r="U101" s="85"/>
      <c r="V101" s="85"/>
      <c r="W101" s="85"/>
      <c r="X101" s="85"/>
      <c r="Y101" s="85"/>
      <c r="Z101" s="157"/>
      <c r="AA101" s="4"/>
      <c r="AB101" s="4"/>
      <c r="AC101" s="4"/>
    </row>
    <row r="102" customFormat="false" ht="15" hidden="false" customHeight="true" outlineLevel="0" collapsed="false">
      <c r="A102" s="85"/>
      <c r="B102" s="85"/>
      <c r="C102" s="85"/>
      <c r="D102" s="85"/>
      <c r="E102" s="85"/>
      <c r="F102" s="85"/>
      <c r="G102" s="85"/>
      <c r="H102" s="85"/>
      <c r="I102" s="149"/>
      <c r="J102" s="85"/>
      <c r="K102" s="149"/>
      <c r="L102" s="85"/>
      <c r="M102" s="85"/>
      <c r="N102" s="151"/>
      <c r="O102" s="85"/>
      <c r="P102" s="149"/>
      <c r="Q102" s="149"/>
      <c r="R102" s="85"/>
      <c r="S102" s="85"/>
      <c r="T102" s="85"/>
      <c r="U102" s="85"/>
      <c r="V102" s="85"/>
      <c r="W102" s="85"/>
      <c r="X102" s="85"/>
      <c r="Y102" s="85"/>
      <c r="Z102" s="157"/>
      <c r="AA102" s="4"/>
      <c r="AB102" s="4"/>
      <c r="AC102" s="4"/>
    </row>
    <row r="103" customFormat="false" ht="1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149"/>
      <c r="J103" s="85"/>
      <c r="K103" s="149"/>
      <c r="L103" s="85"/>
      <c r="M103" s="85"/>
      <c r="N103" s="151"/>
      <c r="O103" s="85"/>
      <c r="P103" s="149"/>
      <c r="Q103" s="149"/>
      <c r="R103" s="85"/>
      <c r="S103" s="85"/>
      <c r="T103" s="85"/>
      <c r="U103" s="85"/>
      <c r="V103" s="85"/>
      <c r="W103" s="85"/>
      <c r="X103" s="85"/>
      <c r="Y103" s="85"/>
      <c r="Z103" s="157"/>
      <c r="AA103" s="4"/>
      <c r="AB103" s="4"/>
      <c r="AC103" s="4"/>
    </row>
    <row r="104" customFormat="false" ht="15" hidden="false" customHeight="true" outlineLevel="0" collapsed="false">
      <c r="A104" s="85"/>
      <c r="B104" s="85"/>
      <c r="C104" s="85"/>
      <c r="D104" s="85"/>
      <c r="E104" s="85"/>
      <c r="F104" s="85"/>
      <c r="G104" s="85"/>
      <c r="H104" s="85"/>
      <c r="I104" s="138" t="str">
        <f aca="false">IFERROR(VLOOKUP(TEXT(H104,"0"),IPRESS!$A$3:$B$212,2,0),"")</f>
        <v/>
      </c>
      <c r="J104" s="85"/>
      <c r="K104" s="149"/>
      <c r="L104" s="85"/>
      <c r="M104" s="85"/>
      <c r="N104" s="151"/>
      <c r="O104" s="85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85"/>
      <c r="S104" s="85"/>
      <c r="T104" s="85"/>
      <c r="U104" s="85"/>
      <c r="V104" s="85"/>
      <c r="W104" s="85"/>
      <c r="X104" s="85"/>
      <c r="Y104" s="85"/>
      <c r="Z104" s="157"/>
      <c r="AA104" s="4"/>
      <c r="AB104" s="4"/>
      <c r="AC104" s="4"/>
    </row>
    <row r="105" customFormat="false" ht="1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38" t="str">
        <f aca="false">IFERROR(VLOOKUP(TEXT(H105,"0"),IPRESS!$A$3:$B$212,2,0),"")</f>
        <v/>
      </c>
      <c r="J105" s="85"/>
      <c r="K105" s="149"/>
      <c r="L105" s="85"/>
      <c r="M105" s="85"/>
      <c r="N105" s="151"/>
      <c r="O105" s="85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85"/>
      <c r="S105" s="85"/>
      <c r="T105" s="85"/>
      <c r="U105" s="85"/>
      <c r="V105" s="85"/>
      <c r="W105" s="85"/>
      <c r="X105" s="85"/>
      <c r="Y105" s="85"/>
      <c r="Z105" s="157"/>
      <c r="AA105" s="4"/>
      <c r="AB105" s="4"/>
      <c r="AC105" s="4"/>
    </row>
    <row r="106" customFormat="false" ht="15" hidden="false" customHeight="true" outlineLevel="0" collapsed="false">
      <c r="A106" s="85"/>
      <c r="B106" s="85"/>
      <c r="C106" s="85"/>
      <c r="D106" s="85"/>
      <c r="E106" s="85"/>
      <c r="F106" s="85"/>
      <c r="G106" s="85"/>
      <c r="H106" s="85"/>
      <c r="I106" s="138" t="str">
        <f aca="false">IFERROR(VLOOKUP(TEXT(H106,"0"),IPRESS!$A$3:$B$212,2,0),"")</f>
        <v/>
      </c>
      <c r="J106" s="85"/>
      <c r="K106" s="149"/>
      <c r="L106" s="85"/>
      <c r="M106" s="85"/>
      <c r="N106" s="151"/>
      <c r="O106" s="85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85"/>
      <c r="S106" s="85"/>
      <c r="T106" s="85"/>
      <c r="U106" s="85"/>
      <c r="V106" s="85"/>
      <c r="W106" s="85"/>
      <c r="X106" s="85"/>
      <c r="Y106" s="85"/>
      <c r="Z106" s="157"/>
      <c r="AA106" s="4"/>
      <c r="AB106" s="4"/>
      <c r="AC106" s="4"/>
    </row>
    <row r="107" customFormat="false" ht="1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38" t="str">
        <f aca="false">IFERROR(VLOOKUP(TEXT(H107,"0"),IPRESS!$A$3:$B$212,2,0),"")</f>
        <v/>
      </c>
      <c r="J107" s="85"/>
      <c r="K107" s="149"/>
      <c r="L107" s="85"/>
      <c r="M107" s="85"/>
      <c r="N107" s="151"/>
      <c r="O107" s="85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85"/>
      <c r="S107" s="85"/>
      <c r="T107" s="85"/>
      <c r="U107" s="85"/>
      <c r="V107" s="85"/>
      <c r="W107" s="85"/>
      <c r="X107" s="85"/>
      <c r="Y107" s="85"/>
      <c r="Z107" s="157"/>
      <c r="AA107" s="4"/>
      <c r="AB107" s="4"/>
      <c r="AC107" s="4"/>
    </row>
    <row r="108" customFormat="false" ht="15" hidden="false" customHeight="true" outlineLevel="0" collapsed="false">
      <c r="A108" s="85"/>
      <c r="B108" s="85"/>
      <c r="C108" s="85"/>
      <c r="D108" s="85"/>
      <c r="E108" s="85"/>
      <c r="F108" s="85"/>
      <c r="G108" s="85"/>
      <c r="H108" s="85"/>
      <c r="I108" s="138" t="str">
        <f aca="false">IFERROR(VLOOKUP(TEXT(H108,"0"),IPRESS!$A$3:$B$212,2,0),"")</f>
        <v/>
      </c>
      <c r="J108" s="85"/>
      <c r="K108" s="149"/>
      <c r="L108" s="85"/>
      <c r="M108" s="85"/>
      <c r="N108" s="151"/>
      <c r="O108" s="85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85"/>
      <c r="S108" s="85"/>
      <c r="T108" s="85"/>
      <c r="U108" s="85"/>
      <c r="V108" s="85"/>
      <c r="W108" s="85"/>
      <c r="X108" s="85"/>
      <c r="Y108" s="85"/>
      <c r="Z108" s="157"/>
      <c r="AA108" s="4"/>
      <c r="AB108" s="4"/>
      <c r="AC108" s="4"/>
    </row>
    <row r="109" customFormat="false" ht="1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49"/>
      <c r="L109" s="85"/>
      <c r="M109" s="85"/>
      <c r="N109" s="151"/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157"/>
      <c r="AA109" s="4"/>
      <c r="AB109" s="4"/>
      <c r="AC109" s="4"/>
    </row>
    <row r="110" customFormat="false" ht="15" hidden="false" customHeight="true" outlineLevel="0" collapsed="false">
      <c r="A110" s="85"/>
      <c r="B110" s="85"/>
      <c r="C110" s="85"/>
      <c r="D110" s="85"/>
      <c r="E110" s="85"/>
      <c r="F110" s="85"/>
      <c r="G110" s="85"/>
      <c r="H110" s="85"/>
      <c r="I110" s="138" t="str">
        <f aca="false">IFERROR(VLOOKUP(TEXT(H110,"0"),IPRESS!$A$3:$B$212,2,0),"")</f>
        <v/>
      </c>
      <c r="J110" s="85"/>
      <c r="K110" s="149"/>
      <c r="L110" s="85"/>
      <c r="M110" s="85"/>
      <c r="N110" s="151"/>
      <c r="O110" s="85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85"/>
      <c r="S110" s="85"/>
      <c r="T110" s="85"/>
      <c r="U110" s="85"/>
      <c r="V110" s="85"/>
      <c r="W110" s="85"/>
      <c r="X110" s="85"/>
      <c r="Y110" s="85"/>
      <c r="Z110" s="157"/>
      <c r="AA110" s="4"/>
      <c r="AB110" s="4"/>
      <c r="AC110" s="4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138" t="str">
        <f aca="false">IFERROR(VLOOKUP(TEXT(H111,"0"),IPRESS!$A$3:$B$212,2,0),"")</f>
        <v/>
      </c>
      <c r="J111" s="85"/>
      <c r="K111" s="149"/>
      <c r="L111" s="85"/>
      <c r="M111" s="85"/>
      <c r="N111" s="151"/>
      <c r="O111" s="85"/>
      <c r="P111" s="138" t="str">
        <f aca="false">IFERROR(VLOOKUP(TEXT(O111,"0"),CONDUCTORES!$A$3:$G$54,2,0),"")</f>
        <v/>
      </c>
      <c r="Q111" s="138" t="str">
        <f aca="false">IFERROR(VLOOKUP(TEXT(O111,"0"),CONDUCTORES!$A$3:$H$54,6,0),"")</f>
        <v/>
      </c>
      <c r="R111" s="85"/>
      <c r="S111" s="85"/>
      <c r="T111" s="85"/>
      <c r="U111" s="85"/>
      <c r="V111" s="85"/>
      <c r="W111" s="85"/>
      <c r="X111" s="85"/>
      <c r="Y111" s="85"/>
      <c r="Z111" s="157"/>
      <c r="AA111" s="4"/>
      <c r="AB111" s="4"/>
      <c r="AC111" s="4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38" t="str">
        <f aca="false">IFERROR(VLOOKUP(TEXT(H112,"0"),IPRESS!$A$3:$B$212,2,0),"")</f>
        <v/>
      </c>
      <c r="J112" s="85"/>
      <c r="K112" s="149"/>
      <c r="L112" s="85"/>
      <c r="M112" s="85"/>
      <c r="N112" s="151"/>
      <c r="O112" s="85"/>
      <c r="P112" s="138" t="str">
        <f aca="false">IFERROR(VLOOKUP(TEXT(O112,"0"),CONDUCTORES!$A$3:$G$54,2,0),"")</f>
        <v/>
      </c>
      <c r="Q112" s="138" t="str">
        <f aca="false">IFERROR(VLOOKUP(TEXT(O112,"0"),CONDUCTORES!$A$3:$H$54,6,0),"")</f>
        <v/>
      </c>
      <c r="R112" s="85"/>
      <c r="S112" s="85"/>
      <c r="T112" s="85"/>
      <c r="U112" s="85"/>
      <c r="V112" s="85"/>
      <c r="W112" s="85"/>
      <c r="X112" s="85"/>
      <c r="Y112" s="85"/>
      <c r="Z112" s="157"/>
      <c r="AA112" s="4"/>
      <c r="AB112" s="4"/>
      <c r="AC112" s="4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138" t="str">
        <f aca="false">IFERROR(VLOOKUP(TEXT(H113,"0"),IPRESS!$A$3:$B$212,2,0),"")</f>
        <v/>
      </c>
      <c r="J113" s="85"/>
      <c r="K113" s="149"/>
      <c r="L113" s="85"/>
      <c r="M113" s="85"/>
      <c r="N113" s="151"/>
      <c r="O113" s="85"/>
      <c r="P113" s="138" t="str">
        <f aca="false">IFERROR(VLOOKUP(TEXT(O113,"0"),CONDUCTORES!$A$3:$G$54,2,0),"")</f>
        <v/>
      </c>
      <c r="Q113" s="138" t="str">
        <f aca="false">IFERROR(VLOOKUP(TEXT(O113,"0"),CONDUCTORES!$A$3:$H$54,6,0),"")</f>
        <v/>
      </c>
      <c r="R113" s="85"/>
      <c r="S113" s="85"/>
      <c r="T113" s="85"/>
      <c r="U113" s="85"/>
      <c r="V113" s="85"/>
      <c r="W113" s="85"/>
      <c r="X113" s="85"/>
      <c r="Y113" s="85"/>
      <c r="Z113" s="157"/>
      <c r="AA113" s="4"/>
      <c r="AB113" s="4"/>
      <c r="AC113" s="4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38" t="str">
        <f aca="false">IFERROR(VLOOKUP(TEXT(H114,"0"),IPRESS!$A$3:$B$212,2,0),"")</f>
        <v/>
      </c>
      <c r="J114" s="85"/>
      <c r="K114" s="149"/>
      <c r="L114" s="85"/>
      <c r="M114" s="85"/>
      <c r="N114" s="151"/>
      <c r="O114" s="85"/>
      <c r="P114" s="138" t="str">
        <f aca="false">IFERROR(VLOOKUP(TEXT(O114,"0"),CONDUCTORES!$A$3:$G$54,2,0),"")</f>
        <v/>
      </c>
      <c r="Q114" s="138" t="str">
        <f aca="false">IFERROR(VLOOKUP(TEXT(O114,"0"),CONDUCTORES!$A$3:$H$54,6,0),"")</f>
        <v/>
      </c>
      <c r="R114" s="85"/>
      <c r="S114" s="85"/>
      <c r="T114" s="85"/>
      <c r="U114" s="85"/>
      <c r="V114" s="85"/>
      <c r="W114" s="85"/>
      <c r="X114" s="85"/>
      <c r="Y114" s="85"/>
      <c r="Z114" s="157"/>
      <c r="AA114" s="4"/>
      <c r="AB114" s="4"/>
      <c r="AC114" s="4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138" t="str">
        <f aca="false">IFERROR(VLOOKUP(TEXT(H115,"0"),IPRESS!$A$3:$B$212,2,0),"")</f>
        <v/>
      </c>
      <c r="J115" s="85"/>
      <c r="K115" s="149"/>
      <c r="L115" s="85"/>
      <c r="M115" s="85"/>
      <c r="N115" s="151"/>
      <c r="O115" s="85"/>
      <c r="P115" s="138" t="str">
        <f aca="false">IFERROR(VLOOKUP(TEXT(O115,"0"),CONDUCTORES!$A$3:$G$54,2,0),"")</f>
        <v/>
      </c>
      <c r="Q115" s="138" t="str">
        <f aca="false">IFERROR(VLOOKUP(TEXT(O115,"0"),CONDUCTORES!$A$3:$H$54,6,0),"")</f>
        <v/>
      </c>
      <c r="R115" s="85"/>
      <c r="S115" s="85"/>
      <c r="T115" s="85"/>
      <c r="U115" s="85"/>
      <c r="V115" s="85"/>
      <c r="W115" s="85"/>
      <c r="X115" s="85"/>
      <c r="Y115" s="85"/>
      <c r="Z115" s="157"/>
      <c r="AA115" s="4"/>
      <c r="AB115" s="4"/>
      <c r="AC115" s="4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38" t="str">
        <f aca="false">IFERROR(VLOOKUP(TEXT(H116,"0"),IPRESS!$A$3:$B$212,2,0),"")</f>
        <v/>
      </c>
      <c r="J116" s="85"/>
      <c r="K116" s="149"/>
      <c r="L116" s="85"/>
      <c r="M116" s="85"/>
      <c r="N116" s="151"/>
      <c r="O116" s="85"/>
      <c r="P116" s="138" t="str">
        <f aca="false">IFERROR(VLOOKUP(TEXT(O116,"0"),CONDUCTORES!$A$3:$G$54,2,0),"")</f>
        <v/>
      </c>
      <c r="Q116" s="138" t="str">
        <f aca="false">IFERROR(VLOOKUP(TEXT(O116,"0"),CONDUCTORES!$A$3:$H$54,6,0),"")</f>
        <v/>
      </c>
      <c r="R116" s="85"/>
      <c r="S116" s="85"/>
      <c r="T116" s="85"/>
      <c r="U116" s="85"/>
      <c r="V116" s="85"/>
      <c r="W116" s="85"/>
      <c r="X116" s="85"/>
      <c r="Y116" s="85"/>
      <c r="Z116" s="157"/>
      <c r="AA116" s="4"/>
      <c r="AB116" s="4"/>
      <c r="AC116" s="4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138" t="str">
        <f aca="false">IFERROR(VLOOKUP(TEXT(H117,"0"),IPRESS!$A$3:$B$212,2,0),"")</f>
        <v/>
      </c>
      <c r="J117" s="85"/>
      <c r="K117" s="149"/>
      <c r="L117" s="85"/>
      <c r="M117" s="85"/>
      <c r="N117" s="151"/>
      <c r="O117" s="85"/>
      <c r="P117" s="138" t="str">
        <f aca="false">IFERROR(VLOOKUP(TEXT(O117,"0"),CONDUCTORES!$A$3:$G$54,2,0),"")</f>
        <v/>
      </c>
      <c r="Q117" s="138" t="str">
        <f aca="false">IFERROR(VLOOKUP(TEXT(O117,"0"),CONDUCTORES!$A$3:$H$54,6,0),"")</f>
        <v/>
      </c>
      <c r="R117" s="85"/>
      <c r="S117" s="85"/>
      <c r="T117" s="85"/>
      <c r="U117" s="85"/>
      <c r="V117" s="85"/>
      <c r="W117" s="85"/>
      <c r="X117" s="85"/>
      <c r="Y117" s="85"/>
      <c r="Z117" s="157"/>
      <c r="AA117" s="4"/>
      <c r="AB117" s="4"/>
      <c r="AC117" s="4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49"/>
      <c r="L118" s="85"/>
      <c r="M118" s="85"/>
      <c r="N118" s="151"/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  <c r="Z118" s="157"/>
      <c r="AA118" s="4"/>
      <c r="AB118" s="4"/>
      <c r="AC118" s="4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138" t="str">
        <f aca="false">IFERROR(VLOOKUP(TEXT(H119,"0"),IPRESS!$A$3:$B$212,2,0),"")</f>
        <v/>
      </c>
      <c r="J119" s="85"/>
      <c r="K119" s="149"/>
      <c r="L119" s="85"/>
      <c r="M119" s="85"/>
      <c r="N119" s="151"/>
      <c r="O119" s="85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85"/>
      <c r="S119" s="85"/>
      <c r="T119" s="85"/>
      <c r="U119" s="85"/>
      <c r="V119" s="85"/>
      <c r="W119" s="85"/>
      <c r="X119" s="85"/>
      <c r="Y119" s="85"/>
      <c r="Z119" s="157"/>
      <c r="AA119" s="4"/>
      <c r="AB119" s="4"/>
      <c r="AC119" s="4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49"/>
      <c r="L120" s="85"/>
      <c r="M120" s="85"/>
      <c r="N120" s="151"/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57"/>
      <c r="AA120" s="4"/>
      <c r="AB120" s="4"/>
      <c r="AC120" s="4"/>
    </row>
    <row r="121" customFormat="false" ht="15" hidden="false" customHeight="true" outlineLevel="0" collapsed="false">
      <c r="A121" s="85"/>
      <c r="B121" s="85"/>
      <c r="C121" s="85"/>
      <c r="D121" s="85"/>
      <c r="E121" s="85"/>
      <c r="F121" s="85"/>
      <c r="G121" s="85"/>
      <c r="H121" s="85"/>
      <c r="I121" s="138" t="str">
        <f aca="false">IFERROR(VLOOKUP(TEXT(H121,"0"),IPRESS!$A$3:$B$212,2,0),"")</f>
        <v/>
      </c>
      <c r="J121" s="85"/>
      <c r="K121" s="149"/>
      <c r="L121" s="85"/>
      <c r="M121" s="85"/>
      <c r="N121" s="151"/>
      <c r="O121" s="85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85"/>
      <c r="S121" s="85"/>
      <c r="T121" s="85"/>
      <c r="U121" s="85"/>
      <c r="V121" s="85"/>
      <c r="W121" s="85"/>
      <c r="X121" s="85"/>
      <c r="Y121" s="85"/>
      <c r="Z121" s="157"/>
      <c r="AA121" s="4"/>
      <c r="AB121" s="4"/>
      <c r="AC121" s="4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49"/>
      <c r="L122" s="85"/>
      <c r="M122" s="85"/>
      <c r="N122" s="151"/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57"/>
      <c r="AA122" s="4"/>
      <c r="AB122" s="4"/>
      <c r="AC122" s="4"/>
    </row>
    <row r="123" customFormat="false" ht="15" hidden="false" customHeight="true" outlineLevel="0" collapsed="false">
      <c r="A123" s="85"/>
      <c r="B123" s="85"/>
      <c r="C123" s="85"/>
      <c r="D123" s="85"/>
      <c r="E123" s="85"/>
      <c r="F123" s="85"/>
      <c r="G123" s="85"/>
      <c r="H123" s="85"/>
      <c r="I123" s="138" t="str">
        <f aca="false">IFERROR(VLOOKUP(TEXT(H123,"0"),IPRESS!$A$3:$B$212,2,0),"")</f>
        <v/>
      </c>
      <c r="J123" s="85"/>
      <c r="K123" s="149"/>
      <c r="L123" s="85"/>
      <c r="M123" s="85"/>
      <c r="N123" s="151"/>
      <c r="O123" s="85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85"/>
      <c r="S123" s="85"/>
      <c r="T123" s="85"/>
      <c r="U123" s="85"/>
      <c r="V123" s="85"/>
      <c r="W123" s="85"/>
      <c r="X123" s="85"/>
      <c r="Y123" s="85"/>
      <c r="Z123" s="157"/>
      <c r="AA123" s="4"/>
      <c r="AB123" s="4"/>
      <c r="AC123" s="4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49"/>
      <c r="L124" s="85"/>
      <c r="M124" s="85"/>
      <c r="N124" s="151"/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57"/>
      <c r="AA124" s="4"/>
      <c r="AB124" s="4"/>
      <c r="AC124" s="4"/>
    </row>
    <row r="125" customFormat="false" ht="15" hidden="false" customHeight="true" outlineLevel="0" collapsed="false">
      <c r="A125" s="85"/>
      <c r="B125" s="85"/>
      <c r="C125" s="85"/>
      <c r="D125" s="85"/>
      <c r="E125" s="85"/>
      <c r="F125" s="85"/>
      <c r="G125" s="85"/>
      <c r="H125" s="85"/>
      <c r="I125" s="138" t="str">
        <f aca="false">IFERROR(VLOOKUP(TEXT(H125,"0"),IPRESS!$A$3:$B$212,2,0),"")</f>
        <v/>
      </c>
      <c r="J125" s="85"/>
      <c r="K125" s="149"/>
      <c r="L125" s="85"/>
      <c r="M125" s="85"/>
      <c r="N125" s="151"/>
      <c r="O125" s="85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85"/>
      <c r="S125" s="85"/>
      <c r="T125" s="85"/>
      <c r="U125" s="85"/>
      <c r="V125" s="85"/>
      <c r="W125" s="85"/>
      <c r="X125" s="85"/>
      <c r="Y125" s="85"/>
      <c r="Z125" s="157"/>
      <c r="AA125" s="4"/>
      <c r="AB125" s="4"/>
      <c r="AC125" s="4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49"/>
      <c r="L126" s="85"/>
      <c r="M126" s="85"/>
      <c r="N126" s="151"/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57"/>
      <c r="AA126" s="4"/>
      <c r="AB126" s="4"/>
      <c r="AC126" s="4"/>
    </row>
    <row r="127" customFormat="false" ht="15" hidden="false" customHeight="true" outlineLevel="0" collapsed="false">
      <c r="A127" s="85"/>
      <c r="B127" s="85"/>
      <c r="C127" s="85"/>
      <c r="D127" s="85"/>
      <c r="E127" s="85"/>
      <c r="F127" s="85"/>
      <c r="G127" s="85"/>
      <c r="H127" s="85"/>
      <c r="I127" s="138" t="str">
        <f aca="false">IFERROR(VLOOKUP(TEXT(H127,"0"),IPRESS!$A$3:$B$212,2,0),"")</f>
        <v/>
      </c>
      <c r="J127" s="85"/>
      <c r="K127" s="149"/>
      <c r="L127" s="85"/>
      <c r="M127" s="85"/>
      <c r="N127" s="151"/>
      <c r="O127" s="85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85"/>
      <c r="S127" s="85"/>
      <c r="T127" s="85"/>
      <c r="U127" s="85"/>
      <c r="V127" s="85"/>
      <c r="W127" s="85"/>
      <c r="X127" s="85"/>
      <c r="Y127" s="85"/>
      <c r="Z127" s="157"/>
      <c r="AA127" s="4"/>
      <c r="AB127" s="4"/>
      <c r="AC127" s="4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49"/>
      <c r="L128" s="85"/>
      <c r="M128" s="85"/>
      <c r="N128" s="151"/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57"/>
      <c r="AA128" s="4"/>
      <c r="AB128" s="4"/>
      <c r="AC128" s="4"/>
    </row>
    <row r="129" customFormat="false" ht="15" hidden="false" customHeight="true" outlineLevel="0" collapsed="false">
      <c r="A129" s="85"/>
      <c r="B129" s="85"/>
      <c r="C129" s="85"/>
      <c r="D129" s="85"/>
      <c r="E129" s="85"/>
      <c r="F129" s="85"/>
      <c r="G129" s="85"/>
      <c r="H129" s="85"/>
      <c r="I129" s="138" t="str">
        <f aca="false">IFERROR(VLOOKUP(TEXT(H129,"0"),IPRESS!$A$3:$B$212,2,0),"")</f>
        <v/>
      </c>
      <c r="J129" s="85"/>
      <c r="K129" s="149"/>
      <c r="L129" s="85"/>
      <c r="M129" s="85"/>
      <c r="N129" s="151"/>
      <c r="O129" s="85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85"/>
      <c r="S129" s="85"/>
      <c r="T129" s="85"/>
      <c r="U129" s="85"/>
      <c r="V129" s="85"/>
      <c r="W129" s="85"/>
      <c r="X129" s="85"/>
      <c r="Y129" s="85"/>
      <c r="Z129" s="157"/>
      <c r="AA129" s="4"/>
      <c r="AB129" s="4"/>
      <c r="AC129" s="4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49"/>
      <c r="L130" s="85"/>
      <c r="M130" s="85"/>
      <c r="N130" s="151"/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57"/>
      <c r="AA130" s="4"/>
      <c r="AB130" s="4"/>
      <c r="AC130" s="4"/>
    </row>
    <row r="131" customFormat="false" ht="15" hidden="false" customHeight="true" outlineLevel="0" collapsed="false">
      <c r="A131" s="85"/>
      <c r="B131" s="85"/>
      <c r="C131" s="85"/>
      <c r="D131" s="85"/>
      <c r="E131" s="85"/>
      <c r="F131" s="85"/>
      <c r="G131" s="85"/>
      <c r="H131" s="85"/>
      <c r="I131" s="138" t="str">
        <f aca="false">IFERROR(VLOOKUP(TEXT(H131,"0"),IPRESS!$A$3:$B$212,2,0),"")</f>
        <v/>
      </c>
      <c r="J131" s="85"/>
      <c r="K131" s="149"/>
      <c r="L131" s="85"/>
      <c r="M131" s="85"/>
      <c r="N131" s="151"/>
      <c r="O131" s="85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85"/>
      <c r="S131" s="85"/>
      <c r="T131" s="85"/>
      <c r="U131" s="85"/>
      <c r="V131" s="85"/>
      <c r="W131" s="85"/>
      <c r="X131" s="85"/>
      <c r="Y131" s="85"/>
      <c r="Z131" s="157"/>
      <c r="AA131" s="4"/>
      <c r="AB131" s="4"/>
      <c r="AC131" s="4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49"/>
      <c r="L132" s="85"/>
      <c r="M132" s="85"/>
      <c r="N132" s="151"/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57"/>
      <c r="AA132" s="4"/>
      <c r="AB132" s="4"/>
      <c r="AC132" s="4"/>
    </row>
    <row r="133" customFormat="false" ht="15" hidden="false" customHeight="true" outlineLevel="0" collapsed="false">
      <c r="A133" s="85"/>
      <c r="B133" s="85"/>
      <c r="C133" s="85"/>
      <c r="D133" s="85"/>
      <c r="E133" s="85"/>
      <c r="F133" s="85"/>
      <c r="G133" s="85"/>
      <c r="H133" s="85"/>
      <c r="I133" s="138" t="str">
        <f aca="false">IFERROR(VLOOKUP(TEXT(H133,"0"),IPRESS!$A$3:$B$212,2,0),"")</f>
        <v/>
      </c>
      <c r="J133" s="85"/>
      <c r="K133" s="149"/>
      <c r="L133" s="85"/>
      <c r="M133" s="85"/>
      <c r="N133" s="151"/>
      <c r="O133" s="85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85"/>
      <c r="S133" s="85"/>
      <c r="T133" s="85"/>
      <c r="U133" s="85"/>
      <c r="V133" s="85"/>
      <c r="W133" s="85"/>
      <c r="X133" s="85"/>
      <c r="Y133" s="85"/>
      <c r="Z133" s="157"/>
      <c r="AA133" s="4"/>
      <c r="AB133" s="4"/>
      <c r="AC133" s="4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49"/>
      <c r="L134" s="85"/>
      <c r="M134" s="85"/>
      <c r="N134" s="151"/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57"/>
      <c r="AA134" s="4"/>
      <c r="AB134" s="4"/>
      <c r="AC134" s="4"/>
    </row>
    <row r="135" customFormat="false" ht="15" hidden="false" customHeight="true" outlineLevel="0" collapsed="false">
      <c r="A135" s="85"/>
      <c r="B135" s="85"/>
      <c r="C135" s="85"/>
      <c r="D135" s="85"/>
      <c r="E135" s="85"/>
      <c r="F135" s="85"/>
      <c r="G135" s="85"/>
      <c r="H135" s="85"/>
      <c r="I135" s="138" t="str">
        <f aca="false">IFERROR(VLOOKUP(TEXT(H135,"0"),IPRESS!$A$3:$B$212,2,0),"")</f>
        <v/>
      </c>
      <c r="J135" s="85"/>
      <c r="K135" s="149"/>
      <c r="L135" s="85"/>
      <c r="M135" s="85"/>
      <c r="N135" s="151"/>
      <c r="O135" s="85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85"/>
      <c r="S135" s="85"/>
      <c r="T135" s="85"/>
      <c r="U135" s="85"/>
      <c r="V135" s="85"/>
      <c r="W135" s="85"/>
      <c r="X135" s="85"/>
      <c r="Y135" s="85"/>
      <c r="Z135" s="157"/>
      <c r="AA135" s="4"/>
      <c r="AB135" s="4"/>
      <c r="AC135" s="4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49"/>
      <c r="L136" s="85"/>
      <c r="M136" s="85"/>
      <c r="N136" s="151"/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57"/>
      <c r="AA136" s="4"/>
      <c r="AB136" s="4"/>
      <c r="AC136" s="4"/>
    </row>
    <row r="137" customFormat="false" ht="15" hidden="false" customHeight="true" outlineLevel="0" collapsed="false">
      <c r="A137" s="85"/>
      <c r="B137" s="85"/>
      <c r="C137" s="85"/>
      <c r="D137" s="85"/>
      <c r="E137" s="85"/>
      <c r="F137" s="85"/>
      <c r="G137" s="85"/>
      <c r="H137" s="85"/>
      <c r="I137" s="138" t="str">
        <f aca="false">IFERROR(VLOOKUP(TEXT(H137,"0"),IPRESS!$A$3:$B$212,2,0),"")</f>
        <v/>
      </c>
      <c r="J137" s="85"/>
      <c r="K137" s="149"/>
      <c r="L137" s="85"/>
      <c r="M137" s="85"/>
      <c r="N137" s="151"/>
      <c r="O137" s="85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85"/>
      <c r="S137" s="85"/>
      <c r="T137" s="85"/>
      <c r="U137" s="85"/>
      <c r="V137" s="85"/>
      <c r="W137" s="85"/>
      <c r="X137" s="85"/>
      <c r="Y137" s="85"/>
      <c r="Z137" s="157"/>
      <c r="AA137" s="4"/>
      <c r="AB137" s="4"/>
      <c r="AC137" s="4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49"/>
      <c r="L138" s="85"/>
      <c r="M138" s="85"/>
      <c r="N138" s="151"/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57"/>
      <c r="AA138" s="4"/>
      <c r="AB138" s="4"/>
      <c r="AC138" s="4"/>
    </row>
    <row r="139" customFormat="false" ht="15" hidden="false" customHeight="true" outlineLevel="0" collapsed="false">
      <c r="A139" s="85"/>
      <c r="B139" s="85"/>
      <c r="C139" s="85"/>
      <c r="D139" s="85"/>
      <c r="E139" s="85"/>
      <c r="F139" s="85"/>
      <c r="G139" s="85"/>
      <c r="H139" s="85"/>
      <c r="I139" s="138" t="str">
        <f aca="false">IFERROR(VLOOKUP(TEXT(H139,"0"),IPRESS!$A$3:$B$212,2,0),"")</f>
        <v/>
      </c>
      <c r="J139" s="85"/>
      <c r="K139" s="149"/>
      <c r="L139" s="85"/>
      <c r="M139" s="85"/>
      <c r="N139" s="151"/>
      <c r="O139" s="85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85"/>
      <c r="S139" s="85"/>
      <c r="T139" s="85"/>
      <c r="U139" s="85"/>
      <c r="V139" s="85"/>
      <c r="W139" s="85"/>
      <c r="X139" s="85"/>
      <c r="Y139" s="85"/>
      <c r="Z139" s="157"/>
      <c r="AA139" s="4"/>
      <c r="AB139" s="4"/>
      <c r="AC139" s="4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49"/>
      <c r="L140" s="85"/>
      <c r="M140" s="85"/>
      <c r="N140" s="151"/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57"/>
      <c r="AA140" s="4"/>
      <c r="AB140" s="4"/>
      <c r="AC140" s="4"/>
    </row>
    <row r="141" customFormat="false" ht="15" hidden="false" customHeight="true" outlineLevel="0" collapsed="false">
      <c r="A141" s="85"/>
      <c r="B141" s="85"/>
      <c r="C141" s="85"/>
      <c r="D141" s="85"/>
      <c r="E141" s="85"/>
      <c r="F141" s="85"/>
      <c r="G141" s="85"/>
      <c r="H141" s="85"/>
      <c r="I141" s="138" t="str">
        <f aca="false">IFERROR(VLOOKUP(TEXT(H141,"0"),IPRESS!$A$3:$B$212,2,0),"")</f>
        <v/>
      </c>
      <c r="J141" s="85"/>
      <c r="K141" s="149"/>
      <c r="L141" s="85"/>
      <c r="M141" s="85"/>
      <c r="N141" s="151"/>
      <c r="O141" s="85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85"/>
      <c r="S141" s="85"/>
      <c r="T141" s="85"/>
      <c r="U141" s="85"/>
      <c r="V141" s="85"/>
      <c r="W141" s="85"/>
      <c r="X141" s="85"/>
      <c r="Y141" s="85"/>
      <c r="Z141" s="157"/>
      <c r="AA141" s="4"/>
      <c r="AB141" s="4"/>
      <c r="AC141" s="4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49"/>
      <c r="L142" s="85"/>
      <c r="M142" s="85"/>
      <c r="N142" s="151"/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57"/>
      <c r="AA142" s="4"/>
      <c r="AB142" s="4"/>
      <c r="AC142" s="4"/>
    </row>
    <row r="143" customFormat="false" ht="15" hidden="false" customHeight="true" outlineLevel="0" collapsed="false">
      <c r="A143" s="85"/>
      <c r="B143" s="85"/>
      <c r="C143" s="85"/>
      <c r="D143" s="85"/>
      <c r="E143" s="85"/>
      <c r="F143" s="85"/>
      <c r="G143" s="85"/>
      <c r="H143" s="85"/>
      <c r="I143" s="138" t="str">
        <f aca="false">IFERROR(VLOOKUP(TEXT(H143,"0"),IPRESS!$A$3:$B$212,2,0),"")</f>
        <v/>
      </c>
      <c r="J143" s="85"/>
      <c r="K143" s="149"/>
      <c r="L143" s="85"/>
      <c r="M143" s="85"/>
      <c r="N143" s="151"/>
      <c r="O143" s="85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85"/>
      <c r="S143" s="85"/>
      <c r="T143" s="85"/>
      <c r="U143" s="85"/>
      <c r="V143" s="85"/>
      <c r="W143" s="85"/>
      <c r="X143" s="85"/>
      <c r="Y143" s="85"/>
      <c r="Z143" s="157"/>
      <c r="AA143" s="4"/>
      <c r="AB143" s="4"/>
      <c r="AC143" s="4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49"/>
      <c r="L144" s="85"/>
      <c r="M144" s="85"/>
      <c r="N144" s="151"/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57"/>
      <c r="AA144" s="4"/>
      <c r="AB144" s="4"/>
      <c r="AC144" s="4"/>
    </row>
    <row r="145" customFormat="false" ht="15" hidden="false" customHeight="true" outlineLevel="0" collapsed="false">
      <c r="A145" s="85"/>
      <c r="B145" s="85"/>
      <c r="C145" s="85"/>
      <c r="D145" s="85"/>
      <c r="E145" s="85"/>
      <c r="F145" s="85"/>
      <c r="G145" s="85"/>
      <c r="H145" s="85"/>
      <c r="I145" s="138" t="str">
        <f aca="false">IFERROR(VLOOKUP(TEXT(H145,"0"),IPRESS!$A$3:$B$212,2,0),"")</f>
        <v/>
      </c>
      <c r="J145" s="85"/>
      <c r="K145" s="149"/>
      <c r="L145" s="85"/>
      <c r="M145" s="85"/>
      <c r="N145" s="151"/>
      <c r="O145" s="85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85"/>
      <c r="S145" s="85"/>
      <c r="T145" s="85"/>
      <c r="U145" s="85"/>
      <c r="V145" s="85"/>
      <c r="W145" s="85"/>
      <c r="X145" s="85"/>
      <c r="Y145" s="85"/>
      <c r="Z145" s="157"/>
      <c r="AA145" s="4"/>
      <c r="AB145" s="4"/>
      <c r="AC145" s="4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49"/>
      <c r="L146" s="85"/>
      <c r="M146" s="85"/>
      <c r="N146" s="151"/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57"/>
      <c r="AA146" s="4"/>
      <c r="AB146" s="4"/>
      <c r="AC146" s="4"/>
    </row>
    <row r="147" customFormat="false" ht="15" hidden="false" customHeight="true" outlineLevel="0" collapsed="false">
      <c r="A147" s="85"/>
      <c r="B147" s="85"/>
      <c r="C147" s="85"/>
      <c r="D147" s="85"/>
      <c r="E147" s="85"/>
      <c r="F147" s="85"/>
      <c r="G147" s="85"/>
      <c r="H147" s="85"/>
      <c r="I147" s="138" t="str">
        <f aca="false">IFERROR(VLOOKUP(TEXT(H147,"0"),IPRESS!$A$3:$B$212,2,0),"")</f>
        <v/>
      </c>
      <c r="J147" s="85"/>
      <c r="K147" s="149"/>
      <c r="L147" s="85"/>
      <c r="M147" s="85"/>
      <c r="N147" s="151"/>
      <c r="O147" s="85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85"/>
      <c r="S147" s="85"/>
      <c r="T147" s="85"/>
      <c r="U147" s="85"/>
      <c r="V147" s="85"/>
      <c r="W147" s="85"/>
      <c r="X147" s="85"/>
      <c r="Y147" s="85"/>
      <c r="Z147" s="157"/>
      <c r="AA147" s="4"/>
      <c r="AB147" s="4"/>
      <c r="AC147" s="4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49"/>
      <c r="L148" s="85"/>
      <c r="M148" s="85"/>
      <c r="N148" s="151"/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57"/>
      <c r="AA148" s="4"/>
      <c r="AB148" s="4"/>
      <c r="AC148" s="4"/>
    </row>
    <row r="149" customFormat="false" ht="15" hidden="false" customHeight="true" outlineLevel="0" collapsed="false">
      <c r="A149" s="85"/>
      <c r="B149" s="85"/>
      <c r="C149" s="85"/>
      <c r="D149" s="85"/>
      <c r="E149" s="85"/>
      <c r="F149" s="85"/>
      <c r="G149" s="85"/>
      <c r="H149" s="85"/>
      <c r="I149" s="138" t="str">
        <f aca="false">IFERROR(VLOOKUP(TEXT(H149,"0"),IPRESS!$A$3:$B$212,2,0),"")</f>
        <v/>
      </c>
      <c r="J149" s="85"/>
      <c r="K149" s="149"/>
      <c r="L149" s="85"/>
      <c r="M149" s="85"/>
      <c r="N149" s="151"/>
      <c r="O149" s="85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85"/>
      <c r="S149" s="85"/>
      <c r="T149" s="85"/>
      <c r="U149" s="85"/>
      <c r="V149" s="85"/>
      <c r="W149" s="85"/>
      <c r="X149" s="85"/>
      <c r="Y149" s="85"/>
      <c r="Z149" s="157"/>
      <c r="AA149" s="4"/>
      <c r="AB149" s="4"/>
      <c r="AC149" s="4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49"/>
      <c r="L150" s="85"/>
      <c r="M150" s="85"/>
      <c r="N150" s="151"/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57"/>
      <c r="AA150" s="4"/>
      <c r="AB150" s="4"/>
      <c r="AC150" s="4"/>
    </row>
    <row r="151" customFormat="false" ht="15" hidden="false" customHeight="true" outlineLevel="0" collapsed="false">
      <c r="A151" s="85"/>
      <c r="B151" s="85"/>
      <c r="C151" s="85"/>
      <c r="D151" s="85"/>
      <c r="E151" s="85"/>
      <c r="F151" s="85"/>
      <c r="G151" s="85"/>
      <c r="H151" s="85"/>
      <c r="I151" s="138" t="str">
        <f aca="false">IFERROR(VLOOKUP(TEXT(H151,"0"),IPRESS!$A$3:$B$212,2,0),"")</f>
        <v/>
      </c>
      <c r="J151" s="85"/>
      <c r="K151" s="149"/>
      <c r="L151" s="85"/>
      <c r="M151" s="85"/>
      <c r="N151" s="151"/>
      <c r="O151" s="85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85"/>
      <c r="S151" s="85"/>
      <c r="T151" s="85"/>
      <c r="U151" s="85"/>
      <c r="V151" s="85"/>
      <c r="W151" s="85"/>
      <c r="X151" s="85"/>
      <c r="Y151" s="85"/>
      <c r="Z151" s="157"/>
      <c r="AA151" s="4"/>
      <c r="AB151" s="4"/>
      <c r="AC151" s="4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49"/>
      <c r="L152" s="85"/>
      <c r="M152" s="85"/>
      <c r="N152" s="151"/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57"/>
      <c r="AA152" s="4"/>
      <c r="AB152" s="4"/>
      <c r="AC152" s="4"/>
    </row>
    <row r="153" customFormat="false" ht="15" hidden="false" customHeight="true" outlineLevel="0" collapsed="false">
      <c r="A153" s="85"/>
      <c r="B153" s="85"/>
      <c r="C153" s="85"/>
      <c r="D153" s="85"/>
      <c r="E153" s="85"/>
      <c r="F153" s="85"/>
      <c r="G153" s="85"/>
      <c r="H153" s="85"/>
      <c r="I153" s="138" t="str">
        <f aca="false">IFERROR(VLOOKUP(TEXT(H153,"0"),IPRESS!$A$3:$B$212,2,0),"")</f>
        <v/>
      </c>
      <c r="J153" s="85"/>
      <c r="K153" s="149"/>
      <c r="L153" s="85"/>
      <c r="M153" s="85"/>
      <c r="N153" s="151"/>
      <c r="O153" s="85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85"/>
      <c r="S153" s="85"/>
      <c r="T153" s="85"/>
      <c r="U153" s="85"/>
      <c r="V153" s="85"/>
      <c r="W153" s="85"/>
      <c r="X153" s="85"/>
      <c r="Y153" s="85"/>
      <c r="Z153" s="157"/>
      <c r="AA153" s="4"/>
      <c r="AB153" s="4"/>
      <c r="AC153" s="4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49"/>
      <c r="L154" s="85"/>
      <c r="M154" s="85"/>
      <c r="N154" s="151"/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57"/>
      <c r="AA154" s="4"/>
      <c r="AB154" s="4"/>
      <c r="AC154" s="4"/>
    </row>
    <row r="155" customFormat="false" ht="15" hidden="false" customHeight="true" outlineLevel="0" collapsed="false">
      <c r="A155" s="85"/>
      <c r="B155" s="85"/>
      <c r="C155" s="85"/>
      <c r="D155" s="85"/>
      <c r="E155" s="85"/>
      <c r="F155" s="85"/>
      <c r="G155" s="85"/>
      <c r="H155" s="85"/>
      <c r="I155" s="138" t="str">
        <f aca="false">IFERROR(VLOOKUP(TEXT(H155,"0"),IPRESS!$A$3:$B$212,2,0),"")</f>
        <v/>
      </c>
      <c r="J155" s="85"/>
      <c r="K155" s="149"/>
      <c r="L155" s="85"/>
      <c r="M155" s="85"/>
      <c r="N155" s="151"/>
      <c r="O155" s="85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85"/>
      <c r="S155" s="85"/>
      <c r="T155" s="85"/>
      <c r="U155" s="85"/>
      <c r="V155" s="85"/>
      <c r="W155" s="85"/>
      <c r="X155" s="85"/>
      <c r="Y155" s="85"/>
      <c r="Z155" s="157"/>
      <c r="AA155" s="4"/>
      <c r="AB155" s="4"/>
      <c r="AC155" s="4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49"/>
      <c r="L156" s="85"/>
      <c r="M156" s="85"/>
      <c r="N156" s="151"/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57"/>
      <c r="AA156" s="4"/>
      <c r="AB156" s="4"/>
      <c r="AC156" s="4"/>
    </row>
    <row r="157" customFormat="false" ht="15" hidden="false" customHeight="true" outlineLevel="0" collapsed="false">
      <c r="A157" s="85"/>
      <c r="B157" s="85"/>
      <c r="C157" s="85"/>
      <c r="D157" s="85"/>
      <c r="E157" s="85"/>
      <c r="F157" s="85"/>
      <c r="G157" s="85"/>
      <c r="H157" s="85"/>
      <c r="I157" s="138" t="str">
        <f aca="false">IFERROR(VLOOKUP(TEXT(H157,"0"),IPRESS!$A$3:$B$212,2,0),"")</f>
        <v/>
      </c>
      <c r="J157" s="85"/>
      <c r="K157" s="149"/>
      <c r="L157" s="85"/>
      <c r="M157" s="85"/>
      <c r="N157" s="151"/>
      <c r="O157" s="85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85"/>
      <c r="S157" s="85"/>
      <c r="T157" s="85"/>
      <c r="U157" s="85"/>
      <c r="V157" s="85"/>
      <c r="W157" s="85"/>
      <c r="X157" s="85"/>
      <c r="Y157" s="85"/>
      <c r="Z157" s="157"/>
      <c r="AA157" s="4"/>
      <c r="AB157" s="4"/>
      <c r="AC157" s="4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49"/>
      <c r="L158" s="85"/>
      <c r="M158" s="85"/>
      <c r="N158" s="151"/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57"/>
      <c r="AA158" s="4"/>
      <c r="AB158" s="4"/>
      <c r="AC158" s="4"/>
    </row>
    <row r="159" customFormat="false" ht="15" hidden="false" customHeight="true" outlineLevel="0" collapsed="false">
      <c r="A159" s="85"/>
      <c r="B159" s="85"/>
      <c r="C159" s="85"/>
      <c r="D159" s="85"/>
      <c r="E159" s="85"/>
      <c r="F159" s="85"/>
      <c r="G159" s="85"/>
      <c r="H159" s="85"/>
      <c r="I159" s="138" t="str">
        <f aca="false">IFERROR(VLOOKUP(TEXT(H159,"0"),IPRESS!$A$3:$B$212,2,0),"")</f>
        <v/>
      </c>
      <c r="J159" s="85"/>
      <c r="K159" s="149"/>
      <c r="L159" s="85"/>
      <c r="M159" s="85"/>
      <c r="N159" s="151"/>
      <c r="O159" s="85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85"/>
      <c r="S159" s="85"/>
      <c r="T159" s="85"/>
      <c r="U159" s="85"/>
      <c r="V159" s="85"/>
      <c r="W159" s="85"/>
      <c r="X159" s="85"/>
      <c r="Y159" s="85"/>
      <c r="Z159" s="157"/>
      <c r="AA159" s="4"/>
      <c r="AB159" s="4"/>
      <c r="AC159" s="4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49"/>
      <c r="L160" s="85"/>
      <c r="M160" s="85"/>
      <c r="N160" s="151"/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57"/>
      <c r="AA160" s="4"/>
      <c r="AB160" s="4"/>
      <c r="AC160" s="4"/>
    </row>
    <row r="161" customFormat="false" ht="15" hidden="false" customHeight="true" outlineLevel="0" collapsed="false">
      <c r="A161" s="85"/>
      <c r="B161" s="85"/>
      <c r="C161" s="85"/>
      <c r="D161" s="85"/>
      <c r="E161" s="85"/>
      <c r="F161" s="85"/>
      <c r="G161" s="85"/>
      <c r="H161" s="85"/>
      <c r="I161" s="138" t="str">
        <f aca="false">IFERROR(VLOOKUP(TEXT(H161,"0"),IPRESS!$A$3:$B$212,2,0),"")</f>
        <v/>
      </c>
      <c r="J161" s="85"/>
      <c r="K161" s="149"/>
      <c r="L161" s="85"/>
      <c r="M161" s="85"/>
      <c r="N161" s="151"/>
      <c r="O161" s="85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85"/>
      <c r="S161" s="85"/>
      <c r="T161" s="85"/>
      <c r="U161" s="85"/>
      <c r="V161" s="85"/>
      <c r="W161" s="85"/>
      <c r="X161" s="85"/>
      <c r="Y161" s="85"/>
      <c r="Z161" s="157"/>
      <c r="AA161" s="4"/>
      <c r="AB161" s="4"/>
      <c r="AC161" s="4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49"/>
      <c r="L162" s="85"/>
      <c r="M162" s="85"/>
      <c r="N162" s="151"/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57"/>
      <c r="AA162" s="4"/>
      <c r="AB162" s="4"/>
      <c r="AC162" s="4"/>
    </row>
    <row r="163" customFormat="false" ht="15" hidden="false" customHeight="true" outlineLevel="0" collapsed="false">
      <c r="A163" s="85"/>
      <c r="B163" s="85"/>
      <c r="C163" s="85"/>
      <c r="D163" s="85"/>
      <c r="E163" s="85"/>
      <c r="F163" s="85"/>
      <c r="G163" s="85"/>
      <c r="H163" s="85"/>
      <c r="I163" s="138" t="str">
        <f aca="false">IFERROR(VLOOKUP(TEXT(H163,"0"),IPRESS!$A$3:$B$212,2,0),"")</f>
        <v/>
      </c>
      <c r="J163" s="85"/>
      <c r="K163" s="149"/>
      <c r="L163" s="85"/>
      <c r="M163" s="85"/>
      <c r="N163" s="151"/>
      <c r="O163" s="85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85"/>
      <c r="S163" s="85"/>
      <c r="T163" s="85"/>
      <c r="U163" s="85"/>
      <c r="V163" s="85"/>
      <c r="W163" s="85"/>
      <c r="X163" s="85"/>
      <c r="Y163" s="85"/>
      <c r="Z163" s="157"/>
      <c r="AA163" s="4"/>
      <c r="AB163" s="4"/>
      <c r="AC163" s="4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49"/>
      <c r="L164" s="85"/>
      <c r="M164" s="85"/>
      <c r="N164" s="151"/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57"/>
      <c r="AA164" s="4"/>
      <c r="AB164" s="4"/>
      <c r="AC164" s="4"/>
    </row>
    <row r="165" customFormat="false" ht="15" hidden="false" customHeight="true" outlineLevel="0" collapsed="false">
      <c r="A165" s="85"/>
      <c r="B165" s="85"/>
      <c r="C165" s="85"/>
      <c r="D165" s="85"/>
      <c r="E165" s="85"/>
      <c r="F165" s="85"/>
      <c r="G165" s="85"/>
      <c r="H165" s="85"/>
      <c r="I165" s="138" t="str">
        <f aca="false">IFERROR(VLOOKUP(TEXT(H165,"0"),IPRESS!$A$3:$B$212,2,0),"")</f>
        <v/>
      </c>
      <c r="J165" s="85"/>
      <c r="K165" s="149"/>
      <c r="L165" s="85"/>
      <c r="M165" s="85"/>
      <c r="N165" s="151"/>
      <c r="O165" s="85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85"/>
      <c r="S165" s="85"/>
      <c r="T165" s="85"/>
      <c r="U165" s="85"/>
      <c r="V165" s="85"/>
      <c r="W165" s="85"/>
      <c r="X165" s="85"/>
      <c r="Y165" s="85"/>
      <c r="Z165" s="157"/>
      <c r="AA165" s="4"/>
      <c r="AB165" s="4"/>
      <c r="AC165" s="4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49"/>
      <c r="L166" s="85"/>
      <c r="M166" s="85"/>
      <c r="N166" s="151"/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57"/>
      <c r="AA166" s="4"/>
      <c r="AB166" s="4"/>
      <c r="AC166" s="4"/>
    </row>
    <row r="167" customFormat="false" ht="15" hidden="false" customHeight="true" outlineLevel="0" collapsed="false">
      <c r="A167" s="85"/>
      <c r="B167" s="85"/>
      <c r="C167" s="85"/>
      <c r="D167" s="85"/>
      <c r="E167" s="85"/>
      <c r="F167" s="85"/>
      <c r="G167" s="85"/>
      <c r="H167" s="85"/>
      <c r="I167" s="138" t="str">
        <f aca="false">IFERROR(VLOOKUP(TEXT(H167,"0"),IPRESS!$A$3:$B$212,2,0),"")</f>
        <v/>
      </c>
      <c r="J167" s="85"/>
      <c r="K167" s="149"/>
      <c r="L167" s="85"/>
      <c r="M167" s="85"/>
      <c r="N167" s="151"/>
      <c r="O167" s="85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85"/>
      <c r="S167" s="85"/>
      <c r="T167" s="85"/>
      <c r="U167" s="85"/>
      <c r="V167" s="85"/>
      <c r="W167" s="85"/>
      <c r="X167" s="85"/>
      <c r="Y167" s="85"/>
      <c r="Z167" s="157"/>
      <c r="AA167" s="4"/>
      <c r="AB167" s="4"/>
      <c r="AC167" s="4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49"/>
      <c r="L168" s="85"/>
      <c r="M168" s="85"/>
      <c r="N168" s="151"/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57"/>
      <c r="AA168" s="4"/>
      <c r="AB168" s="4"/>
      <c r="AC168" s="4"/>
    </row>
    <row r="169" customFormat="false" ht="15" hidden="false" customHeight="true" outlineLevel="0" collapsed="false">
      <c r="A169" s="85"/>
      <c r="B169" s="85"/>
      <c r="C169" s="85"/>
      <c r="D169" s="85"/>
      <c r="E169" s="85"/>
      <c r="F169" s="85"/>
      <c r="G169" s="85"/>
      <c r="H169" s="85"/>
      <c r="I169" s="138" t="str">
        <f aca="false">IFERROR(VLOOKUP(TEXT(H169,"0"),IPRESS!$A$3:$B$212,2,0),"")</f>
        <v/>
      </c>
      <c r="J169" s="85"/>
      <c r="K169" s="149"/>
      <c r="L169" s="85"/>
      <c r="M169" s="85"/>
      <c r="N169" s="151"/>
      <c r="O169" s="85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85"/>
      <c r="S169" s="85"/>
      <c r="T169" s="85"/>
      <c r="U169" s="85"/>
      <c r="V169" s="85"/>
      <c r="W169" s="85"/>
      <c r="X169" s="85"/>
      <c r="Y169" s="85"/>
      <c r="Z169" s="157"/>
      <c r="AA169" s="4"/>
      <c r="AB169" s="4"/>
      <c r="AC169" s="4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49"/>
      <c r="L170" s="85"/>
      <c r="M170" s="85"/>
      <c r="N170" s="151"/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57"/>
      <c r="AA170" s="4"/>
      <c r="AB170" s="4"/>
      <c r="AC170" s="4"/>
    </row>
    <row r="171" customFormat="false" ht="15" hidden="false" customHeight="true" outlineLevel="0" collapsed="false">
      <c r="A171" s="85"/>
      <c r="B171" s="85"/>
      <c r="C171" s="85"/>
      <c r="D171" s="85"/>
      <c r="E171" s="85"/>
      <c r="F171" s="85"/>
      <c r="G171" s="85"/>
      <c r="H171" s="85"/>
      <c r="I171" s="138" t="str">
        <f aca="false">IFERROR(VLOOKUP(TEXT(H171,"0"),IPRESS!$A$3:$B$212,2,0),"")</f>
        <v/>
      </c>
      <c r="J171" s="85"/>
      <c r="K171" s="149"/>
      <c r="L171" s="85"/>
      <c r="M171" s="85"/>
      <c r="N171" s="151"/>
      <c r="O171" s="85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85"/>
      <c r="S171" s="85"/>
      <c r="T171" s="85"/>
      <c r="U171" s="85"/>
      <c r="V171" s="85"/>
      <c r="W171" s="85"/>
      <c r="X171" s="85"/>
      <c r="Y171" s="85"/>
      <c r="Z171" s="157"/>
      <c r="AA171" s="4"/>
      <c r="AB171" s="4"/>
      <c r="AC171" s="4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49"/>
      <c r="L172" s="85"/>
      <c r="M172" s="85"/>
      <c r="N172" s="151"/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57"/>
      <c r="AA172" s="4"/>
      <c r="AB172" s="4"/>
      <c r="AC172" s="4"/>
    </row>
    <row r="173" customFormat="false" ht="15" hidden="false" customHeight="true" outlineLevel="0" collapsed="false">
      <c r="A173" s="85"/>
      <c r="B173" s="85"/>
      <c r="C173" s="85"/>
      <c r="D173" s="85"/>
      <c r="E173" s="85"/>
      <c r="F173" s="85"/>
      <c r="G173" s="85"/>
      <c r="H173" s="85"/>
      <c r="I173" s="138" t="str">
        <f aca="false">IFERROR(VLOOKUP(TEXT(H173,"0"),IPRESS!$A$3:$B$212,2,0),"")</f>
        <v/>
      </c>
      <c r="J173" s="85"/>
      <c r="K173" s="149"/>
      <c r="L173" s="85"/>
      <c r="M173" s="85"/>
      <c r="N173" s="151"/>
      <c r="O173" s="85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85"/>
      <c r="S173" s="85"/>
      <c r="T173" s="85"/>
      <c r="U173" s="85"/>
      <c r="V173" s="85"/>
      <c r="W173" s="85"/>
      <c r="X173" s="85"/>
      <c r="Y173" s="85"/>
      <c r="Z173" s="157"/>
      <c r="AA173" s="4"/>
      <c r="AB173" s="4"/>
      <c r="AC173" s="4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49"/>
      <c r="L174" s="85"/>
      <c r="M174" s="85"/>
      <c r="N174" s="151"/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57"/>
      <c r="AA174" s="4"/>
      <c r="AB174" s="4"/>
      <c r="AC174" s="4"/>
    </row>
    <row r="175" customFormat="false" ht="15" hidden="false" customHeight="true" outlineLevel="0" collapsed="false">
      <c r="A175" s="85"/>
      <c r="B175" s="85"/>
      <c r="C175" s="85"/>
      <c r="D175" s="85"/>
      <c r="E175" s="85"/>
      <c r="F175" s="85"/>
      <c r="G175" s="85"/>
      <c r="H175" s="85"/>
      <c r="I175" s="138" t="str">
        <f aca="false">IFERROR(VLOOKUP(TEXT(H175,"0"),IPRESS!$A$3:$B$212,2,0),"")</f>
        <v/>
      </c>
      <c r="J175" s="85"/>
      <c r="K175" s="149"/>
      <c r="L175" s="85"/>
      <c r="M175" s="85"/>
      <c r="N175" s="151"/>
      <c r="O175" s="85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85"/>
      <c r="S175" s="85"/>
      <c r="T175" s="85"/>
      <c r="U175" s="85"/>
      <c r="V175" s="85"/>
      <c r="W175" s="85"/>
      <c r="X175" s="85"/>
      <c r="Y175" s="85"/>
      <c r="Z175" s="157"/>
      <c r="AA175" s="4"/>
      <c r="AB175" s="4"/>
      <c r="AC175" s="4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49"/>
      <c r="L176" s="85"/>
      <c r="M176" s="85"/>
      <c r="N176" s="151"/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57"/>
      <c r="AA176" s="4"/>
      <c r="AB176" s="4"/>
      <c r="AC176" s="4"/>
    </row>
    <row r="177" customFormat="false" ht="15" hidden="false" customHeight="true" outlineLevel="0" collapsed="false">
      <c r="A177" s="85"/>
      <c r="B177" s="85"/>
      <c r="C177" s="85"/>
      <c r="D177" s="85"/>
      <c r="E177" s="85"/>
      <c r="F177" s="85"/>
      <c r="G177" s="85"/>
      <c r="H177" s="85"/>
      <c r="I177" s="138" t="str">
        <f aca="false">IFERROR(VLOOKUP(TEXT(H177,"0"),IPRESS!$A$3:$B$212,2,0),"")</f>
        <v/>
      </c>
      <c r="J177" s="85"/>
      <c r="K177" s="149"/>
      <c r="L177" s="85"/>
      <c r="M177" s="85"/>
      <c r="N177" s="151"/>
      <c r="O177" s="85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85"/>
      <c r="S177" s="85"/>
      <c r="T177" s="85"/>
      <c r="U177" s="85"/>
      <c r="V177" s="85"/>
      <c r="W177" s="85"/>
      <c r="X177" s="85"/>
      <c r="Y177" s="85"/>
      <c r="Z177" s="157"/>
      <c r="AA177" s="4"/>
      <c r="AB177" s="4"/>
      <c r="AC177" s="4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49"/>
      <c r="L178" s="85"/>
      <c r="M178" s="85"/>
      <c r="N178" s="151"/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57"/>
      <c r="AA178" s="4"/>
      <c r="AB178" s="4"/>
      <c r="AC178" s="4"/>
    </row>
    <row r="179" customFormat="false" ht="15" hidden="false" customHeight="true" outlineLevel="0" collapsed="false">
      <c r="A179" s="85"/>
      <c r="B179" s="85"/>
      <c r="C179" s="85"/>
      <c r="D179" s="85"/>
      <c r="E179" s="85"/>
      <c r="F179" s="85"/>
      <c r="G179" s="85"/>
      <c r="H179" s="85"/>
      <c r="I179" s="138" t="str">
        <f aca="false">IFERROR(VLOOKUP(TEXT(H179,"0"),IPRESS!$A$3:$B$212,2,0),"")</f>
        <v/>
      </c>
      <c r="J179" s="85"/>
      <c r="K179" s="149"/>
      <c r="L179" s="85"/>
      <c r="M179" s="85"/>
      <c r="N179" s="151"/>
      <c r="O179" s="85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85"/>
      <c r="S179" s="85"/>
      <c r="T179" s="85"/>
      <c r="U179" s="85"/>
      <c r="V179" s="85"/>
      <c r="W179" s="85"/>
      <c r="X179" s="85"/>
      <c r="Y179" s="85"/>
      <c r="Z179" s="157"/>
      <c r="AA179" s="4"/>
      <c r="AB179" s="4"/>
      <c r="AC179" s="4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49"/>
      <c r="L180" s="85"/>
      <c r="M180" s="85"/>
      <c r="N180" s="151"/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57"/>
      <c r="AA180" s="4"/>
      <c r="AB180" s="4"/>
      <c r="AC180" s="4"/>
    </row>
    <row r="181" customFormat="false" ht="15" hidden="false" customHeight="true" outlineLevel="0" collapsed="false">
      <c r="A181" s="85"/>
      <c r="B181" s="85"/>
      <c r="C181" s="85"/>
      <c r="D181" s="85"/>
      <c r="E181" s="85"/>
      <c r="F181" s="85"/>
      <c r="G181" s="85"/>
      <c r="H181" s="85"/>
      <c r="I181" s="138" t="str">
        <f aca="false">IFERROR(VLOOKUP(TEXT(H181,"0"),IPRESS!$A$3:$B$212,2,0),"")</f>
        <v/>
      </c>
      <c r="J181" s="85"/>
      <c r="K181" s="149"/>
      <c r="L181" s="85"/>
      <c r="M181" s="85"/>
      <c r="N181" s="151"/>
      <c r="O181" s="85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85"/>
      <c r="S181" s="85"/>
      <c r="T181" s="85"/>
      <c r="U181" s="85"/>
      <c r="V181" s="85"/>
      <c r="W181" s="85"/>
      <c r="X181" s="85"/>
      <c r="Y181" s="85"/>
      <c r="Z181" s="157"/>
      <c r="AA181" s="4"/>
      <c r="AB181" s="4"/>
      <c r="AC181" s="4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49"/>
      <c r="L182" s="85"/>
      <c r="M182" s="85"/>
      <c r="N182" s="151"/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57"/>
      <c r="AA182" s="4"/>
      <c r="AB182" s="4"/>
      <c r="AC182" s="4"/>
    </row>
    <row r="183" customFormat="false" ht="15" hidden="false" customHeight="true" outlineLevel="0" collapsed="false">
      <c r="A183" s="85"/>
      <c r="B183" s="85"/>
      <c r="C183" s="85"/>
      <c r="D183" s="85"/>
      <c r="E183" s="85"/>
      <c r="F183" s="85"/>
      <c r="G183" s="85"/>
      <c r="H183" s="85"/>
      <c r="I183" s="138" t="str">
        <f aca="false">IFERROR(VLOOKUP(TEXT(H183,"0"),IPRESS!$A$3:$B$212,2,0),"")</f>
        <v/>
      </c>
      <c r="J183" s="85"/>
      <c r="K183" s="149"/>
      <c r="L183" s="85"/>
      <c r="M183" s="85"/>
      <c r="N183" s="151"/>
      <c r="O183" s="85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85"/>
      <c r="S183" s="85"/>
      <c r="T183" s="85"/>
      <c r="U183" s="85"/>
      <c r="V183" s="85"/>
      <c r="W183" s="85"/>
      <c r="X183" s="85"/>
      <c r="Y183" s="85"/>
      <c r="Z183" s="157"/>
      <c r="AA183" s="4"/>
      <c r="AB183" s="4"/>
      <c r="AC183" s="4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49"/>
      <c r="L184" s="85"/>
      <c r="M184" s="85"/>
      <c r="N184" s="151"/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57"/>
      <c r="AA184" s="4"/>
      <c r="AB184" s="4"/>
      <c r="AC184" s="4"/>
    </row>
    <row r="185" customFormat="false" ht="15" hidden="false" customHeight="true" outlineLevel="0" collapsed="false">
      <c r="A185" s="85"/>
      <c r="B185" s="85"/>
      <c r="C185" s="85"/>
      <c r="D185" s="85"/>
      <c r="E185" s="85"/>
      <c r="F185" s="85"/>
      <c r="G185" s="85"/>
      <c r="H185" s="85"/>
      <c r="I185" s="138" t="str">
        <f aca="false">IFERROR(VLOOKUP(TEXT(H185,"0"),IPRESS!$A$3:$B$212,2,0),"")</f>
        <v/>
      </c>
      <c r="J185" s="85"/>
      <c r="K185" s="149"/>
      <c r="L185" s="85"/>
      <c r="M185" s="85"/>
      <c r="N185" s="151"/>
      <c r="O185" s="85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85"/>
      <c r="S185" s="85"/>
      <c r="T185" s="85"/>
      <c r="U185" s="85"/>
      <c r="V185" s="85"/>
      <c r="W185" s="85"/>
      <c r="X185" s="85"/>
      <c r="Y185" s="85"/>
      <c r="Z185" s="157"/>
      <c r="AA185" s="4"/>
      <c r="AB185" s="4"/>
      <c r="AC185" s="4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49"/>
      <c r="L186" s="85"/>
      <c r="M186" s="85"/>
      <c r="N186" s="151"/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57"/>
      <c r="AA186" s="4"/>
      <c r="AB186" s="4"/>
      <c r="AC186" s="4"/>
    </row>
    <row r="187" customFormat="false" ht="15" hidden="false" customHeight="true" outlineLevel="0" collapsed="false">
      <c r="A187" s="85"/>
      <c r="B187" s="85"/>
      <c r="C187" s="85"/>
      <c r="D187" s="85"/>
      <c r="E187" s="85"/>
      <c r="F187" s="85"/>
      <c r="G187" s="85"/>
      <c r="H187" s="85"/>
      <c r="I187" s="138" t="str">
        <f aca="false">IFERROR(VLOOKUP(TEXT(H187,"0"),IPRESS!$A$3:$B$212,2,0),"")</f>
        <v/>
      </c>
      <c r="J187" s="85"/>
      <c r="K187" s="149"/>
      <c r="L187" s="85"/>
      <c r="M187" s="85"/>
      <c r="N187" s="151"/>
      <c r="O187" s="85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85"/>
      <c r="S187" s="85"/>
      <c r="T187" s="85"/>
      <c r="U187" s="85"/>
      <c r="V187" s="85"/>
      <c r="W187" s="85"/>
      <c r="X187" s="85"/>
      <c r="Y187" s="85"/>
      <c r="Z187" s="157"/>
      <c r="AA187" s="4"/>
      <c r="AB187" s="4"/>
      <c r="AC187" s="4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49"/>
      <c r="L188" s="85"/>
      <c r="M188" s="85"/>
      <c r="N188" s="151"/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57"/>
      <c r="AA188" s="4"/>
      <c r="AB188" s="4"/>
      <c r="AC188" s="4"/>
    </row>
    <row r="189" customFormat="false" ht="15" hidden="false" customHeight="true" outlineLevel="0" collapsed="false">
      <c r="A189" s="85"/>
      <c r="B189" s="85"/>
      <c r="C189" s="85"/>
      <c r="D189" s="85"/>
      <c r="E189" s="85"/>
      <c r="F189" s="85"/>
      <c r="G189" s="85"/>
      <c r="H189" s="85"/>
      <c r="I189" s="138" t="str">
        <f aca="false">IFERROR(VLOOKUP(TEXT(H189,"0"),IPRESS!$A$3:$B$212,2,0),"")</f>
        <v/>
      </c>
      <c r="J189" s="85"/>
      <c r="K189" s="149"/>
      <c r="L189" s="85"/>
      <c r="M189" s="85"/>
      <c r="N189" s="151"/>
      <c r="O189" s="85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85"/>
      <c r="S189" s="85"/>
      <c r="T189" s="85"/>
      <c r="U189" s="85"/>
      <c r="V189" s="85"/>
      <c r="W189" s="85"/>
      <c r="X189" s="85"/>
      <c r="Y189" s="85"/>
      <c r="Z189" s="157"/>
      <c r="AA189" s="4"/>
      <c r="AB189" s="4"/>
      <c r="AC189" s="4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49"/>
      <c r="L190" s="85"/>
      <c r="M190" s="85"/>
      <c r="N190" s="151"/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57"/>
      <c r="AA190" s="4"/>
      <c r="AB190" s="4"/>
      <c r="AC190" s="4"/>
    </row>
    <row r="191" customFormat="false" ht="15" hidden="false" customHeight="true" outlineLevel="0" collapsed="false">
      <c r="A191" s="85"/>
      <c r="B191" s="85"/>
      <c r="C191" s="85"/>
      <c r="D191" s="85"/>
      <c r="E191" s="85"/>
      <c r="F191" s="85"/>
      <c r="G191" s="85"/>
      <c r="H191" s="85"/>
      <c r="I191" s="138" t="str">
        <f aca="false">IFERROR(VLOOKUP(TEXT(H191,"0"),IPRESS!$A$3:$B$212,2,0),"")</f>
        <v/>
      </c>
      <c r="J191" s="85"/>
      <c r="K191" s="149"/>
      <c r="L191" s="85"/>
      <c r="M191" s="85"/>
      <c r="N191" s="151"/>
      <c r="O191" s="85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85"/>
      <c r="S191" s="85"/>
      <c r="T191" s="85"/>
      <c r="U191" s="85"/>
      <c r="V191" s="85"/>
      <c r="W191" s="85"/>
      <c r="X191" s="85"/>
      <c r="Y191" s="85"/>
      <c r="Z191" s="157"/>
      <c r="AA191" s="4"/>
      <c r="AB191" s="4"/>
      <c r="AC191" s="4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49"/>
      <c r="L192" s="85"/>
      <c r="M192" s="85"/>
      <c r="N192" s="151"/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57"/>
      <c r="AA192" s="4"/>
      <c r="AB192" s="4"/>
      <c r="AC192" s="4"/>
    </row>
    <row r="193" customFormat="false" ht="15" hidden="false" customHeight="true" outlineLevel="0" collapsed="false">
      <c r="A193" s="85"/>
      <c r="B193" s="85"/>
      <c r="C193" s="85"/>
      <c r="D193" s="85"/>
      <c r="E193" s="85"/>
      <c r="F193" s="85"/>
      <c r="G193" s="85"/>
      <c r="H193" s="85"/>
      <c r="I193" s="138" t="str">
        <f aca="false">IFERROR(VLOOKUP(TEXT(H193,"0"),IPRESS!$A$3:$B$212,2,0),"")</f>
        <v/>
      </c>
      <c r="J193" s="85"/>
      <c r="K193" s="149"/>
      <c r="L193" s="85"/>
      <c r="M193" s="85"/>
      <c r="N193" s="151"/>
      <c r="O193" s="85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85"/>
      <c r="S193" s="85"/>
      <c r="T193" s="85"/>
      <c r="U193" s="85"/>
      <c r="V193" s="85"/>
      <c r="W193" s="85"/>
      <c r="X193" s="85"/>
      <c r="Y193" s="85"/>
      <c r="Z193" s="157"/>
      <c r="AA193" s="4"/>
      <c r="AB193" s="4"/>
      <c r="AC193" s="4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49"/>
      <c r="L194" s="85"/>
      <c r="M194" s="85"/>
      <c r="N194" s="151"/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57"/>
      <c r="AA194" s="4"/>
      <c r="AB194" s="4"/>
      <c r="AC194" s="4"/>
    </row>
    <row r="195" customFormat="false" ht="15" hidden="false" customHeight="true" outlineLevel="0" collapsed="false">
      <c r="A195" s="85"/>
      <c r="B195" s="85"/>
      <c r="C195" s="85"/>
      <c r="D195" s="85"/>
      <c r="E195" s="85"/>
      <c r="F195" s="85"/>
      <c r="G195" s="85"/>
      <c r="H195" s="85"/>
      <c r="I195" s="138" t="str">
        <f aca="false">IFERROR(VLOOKUP(TEXT(H195,"0"),IPRESS!$A$3:$B$212,2,0),"")</f>
        <v/>
      </c>
      <c r="J195" s="85"/>
      <c r="K195" s="149"/>
      <c r="L195" s="85"/>
      <c r="M195" s="85"/>
      <c r="N195" s="151"/>
      <c r="O195" s="85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85"/>
      <c r="S195" s="85"/>
      <c r="T195" s="85"/>
      <c r="U195" s="85"/>
      <c r="V195" s="85"/>
      <c r="W195" s="85"/>
      <c r="X195" s="85"/>
      <c r="Y195" s="85"/>
      <c r="Z195" s="157"/>
      <c r="AA195" s="4"/>
      <c r="AB195" s="4"/>
      <c r="AC195" s="4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49"/>
      <c r="L196" s="85"/>
      <c r="M196" s="85"/>
      <c r="N196" s="151"/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57"/>
      <c r="AA196" s="4"/>
      <c r="AB196" s="4"/>
      <c r="AC196" s="4"/>
    </row>
    <row r="197" customFormat="false" ht="15" hidden="false" customHeight="true" outlineLevel="0" collapsed="false">
      <c r="A197" s="85"/>
      <c r="B197" s="85"/>
      <c r="C197" s="85"/>
      <c r="D197" s="85"/>
      <c r="E197" s="85"/>
      <c r="F197" s="85"/>
      <c r="G197" s="85"/>
      <c r="H197" s="85"/>
      <c r="I197" s="138" t="str">
        <f aca="false">IFERROR(VLOOKUP(TEXT(H197,"0"),IPRESS!$A$3:$B$212,2,0),"")</f>
        <v/>
      </c>
      <c r="J197" s="85"/>
      <c r="K197" s="149"/>
      <c r="L197" s="85"/>
      <c r="M197" s="85"/>
      <c r="N197" s="151"/>
      <c r="O197" s="85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85"/>
      <c r="S197" s="85"/>
      <c r="T197" s="85"/>
      <c r="U197" s="85"/>
      <c r="V197" s="85"/>
      <c r="W197" s="85"/>
      <c r="X197" s="85"/>
      <c r="Y197" s="85"/>
      <c r="Z197" s="157"/>
      <c r="AA197" s="4"/>
      <c r="AB197" s="4"/>
      <c r="AC197" s="4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49"/>
      <c r="L198" s="85"/>
      <c r="M198" s="85"/>
      <c r="N198" s="151"/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57"/>
      <c r="AA198" s="4"/>
      <c r="AB198" s="4"/>
      <c r="AC198" s="4"/>
    </row>
    <row r="199" customFormat="false" ht="15" hidden="false" customHeight="true" outlineLevel="0" collapsed="false">
      <c r="A199" s="85"/>
      <c r="B199" s="85"/>
      <c r="C199" s="85"/>
      <c r="D199" s="85"/>
      <c r="E199" s="85"/>
      <c r="F199" s="85"/>
      <c r="G199" s="85"/>
      <c r="H199" s="85"/>
      <c r="I199" s="138" t="str">
        <f aca="false">IFERROR(VLOOKUP(TEXT(H199,"0"),IPRESS!$A$3:$B$212,2,0),"")</f>
        <v/>
      </c>
      <c r="J199" s="85"/>
      <c r="K199" s="149"/>
      <c r="L199" s="85"/>
      <c r="M199" s="85"/>
      <c r="N199" s="151"/>
      <c r="O199" s="85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85"/>
      <c r="S199" s="85"/>
      <c r="T199" s="85"/>
      <c r="U199" s="85"/>
      <c r="V199" s="85"/>
      <c r="W199" s="85"/>
      <c r="X199" s="85"/>
      <c r="Y199" s="85"/>
      <c r="Z199" s="157"/>
      <c r="AA199" s="4"/>
      <c r="AB199" s="4"/>
      <c r="AC199" s="4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49"/>
      <c r="L200" s="85"/>
      <c r="M200" s="85"/>
      <c r="N200" s="151"/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57"/>
      <c r="AA200" s="4"/>
      <c r="AB200" s="4"/>
      <c r="AC200" s="4"/>
    </row>
    <row r="201" customFormat="false" ht="15" hidden="false" customHeight="true" outlineLevel="0" collapsed="false">
      <c r="A201" s="85"/>
      <c r="B201" s="85"/>
      <c r="C201" s="85"/>
      <c r="D201" s="85"/>
      <c r="E201" s="85"/>
      <c r="F201" s="85"/>
      <c r="G201" s="85"/>
      <c r="H201" s="85"/>
      <c r="I201" s="138" t="str">
        <f aca="false">IFERROR(VLOOKUP(TEXT(H201,"0"),IPRESS!$A$3:$B$212,2,0),"")</f>
        <v/>
      </c>
      <c r="J201" s="85"/>
      <c r="K201" s="149"/>
      <c r="L201" s="85"/>
      <c r="M201" s="85"/>
      <c r="N201" s="151"/>
      <c r="O201" s="85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85"/>
      <c r="S201" s="85"/>
      <c r="T201" s="85"/>
      <c r="U201" s="85"/>
      <c r="V201" s="85"/>
      <c r="W201" s="85"/>
      <c r="X201" s="85"/>
      <c r="Y201" s="85"/>
      <c r="Z201" s="157"/>
      <c r="AA201" s="4"/>
      <c r="AB201" s="4"/>
      <c r="AC201" s="4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49"/>
      <c r="L202" s="85"/>
      <c r="M202" s="85"/>
      <c r="N202" s="151"/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57"/>
      <c r="AA202" s="4"/>
      <c r="AB202" s="4"/>
      <c r="AC202" s="4"/>
    </row>
    <row r="203" customFormat="false" ht="15" hidden="false" customHeight="true" outlineLevel="0" collapsed="false">
      <c r="A203" s="85"/>
      <c r="B203" s="85"/>
      <c r="C203" s="85"/>
      <c r="D203" s="85"/>
      <c r="E203" s="85"/>
      <c r="F203" s="85"/>
      <c r="G203" s="85"/>
      <c r="H203" s="85"/>
      <c r="I203" s="138" t="str">
        <f aca="false">IFERROR(VLOOKUP(TEXT(H203,"0"),IPRESS!$A$3:$B$212,2,0),"")</f>
        <v/>
      </c>
      <c r="J203" s="85"/>
      <c r="K203" s="149"/>
      <c r="L203" s="85"/>
      <c r="M203" s="85"/>
      <c r="N203" s="151"/>
      <c r="O203" s="85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85"/>
      <c r="S203" s="85"/>
      <c r="T203" s="85"/>
      <c r="U203" s="85"/>
      <c r="V203" s="85"/>
      <c r="W203" s="85"/>
      <c r="X203" s="85"/>
      <c r="Y203" s="85"/>
      <c r="Z203" s="157"/>
      <c r="AA203" s="4"/>
      <c r="AB203" s="4"/>
      <c r="AC203" s="4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49"/>
      <c r="L204" s="85"/>
      <c r="M204" s="85"/>
      <c r="N204" s="151"/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57"/>
      <c r="AA204" s="4"/>
      <c r="AB204" s="4"/>
      <c r="AC204" s="4"/>
    </row>
    <row r="205" customFormat="false" ht="15" hidden="false" customHeight="true" outlineLevel="0" collapsed="false">
      <c r="A205" s="85"/>
      <c r="B205" s="85"/>
      <c r="C205" s="85"/>
      <c r="D205" s="85"/>
      <c r="E205" s="85"/>
      <c r="F205" s="85"/>
      <c r="G205" s="85"/>
      <c r="H205" s="85"/>
      <c r="I205" s="138" t="str">
        <f aca="false">IFERROR(VLOOKUP(TEXT(H205,"0"),IPRESS!$A$3:$B$212,2,0),"")</f>
        <v/>
      </c>
      <c r="J205" s="85"/>
      <c r="K205" s="149"/>
      <c r="L205" s="85"/>
      <c r="M205" s="85"/>
      <c r="N205" s="151"/>
      <c r="O205" s="85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85"/>
      <c r="S205" s="85"/>
      <c r="T205" s="85"/>
      <c r="U205" s="85"/>
      <c r="V205" s="85"/>
      <c r="W205" s="85"/>
      <c r="X205" s="85"/>
      <c r="Y205" s="85"/>
      <c r="Z205" s="157"/>
      <c r="AA205" s="4"/>
      <c r="AB205" s="4"/>
      <c r="AC205" s="4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49"/>
      <c r="L206" s="85"/>
      <c r="M206" s="85"/>
      <c r="N206" s="151"/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57"/>
      <c r="AA206" s="4"/>
      <c r="AB206" s="4"/>
      <c r="AC206" s="4"/>
    </row>
    <row r="207" customFormat="false" ht="15" hidden="false" customHeight="true" outlineLevel="0" collapsed="false">
      <c r="A207" s="85"/>
      <c r="B207" s="85"/>
      <c r="C207" s="85"/>
      <c r="D207" s="85"/>
      <c r="E207" s="85"/>
      <c r="F207" s="85"/>
      <c r="G207" s="85"/>
      <c r="H207" s="85"/>
      <c r="I207" s="138" t="str">
        <f aca="false">IFERROR(VLOOKUP(TEXT(H207,"0"),IPRESS!$A$3:$B$212,2,0),"")</f>
        <v/>
      </c>
      <c r="J207" s="85"/>
      <c r="K207" s="149"/>
      <c r="L207" s="85"/>
      <c r="M207" s="85"/>
      <c r="N207" s="151"/>
      <c r="O207" s="85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85"/>
      <c r="S207" s="85"/>
      <c r="T207" s="85"/>
      <c r="U207" s="85"/>
      <c r="V207" s="85"/>
      <c r="W207" s="85"/>
      <c r="X207" s="85"/>
      <c r="Y207" s="85"/>
      <c r="Z207" s="157"/>
      <c r="AA207" s="4"/>
      <c r="AB207" s="4"/>
      <c r="AC207" s="4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49"/>
      <c r="L208" s="85"/>
      <c r="M208" s="85"/>
      <c r="N208" s="151"/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57"/>
      <c r="AA208" s="4"/>
      <c r="AB208" s="4"/>
      <c r="AC208" s="4"/>
    </row>
    <row r="209" customFormat="false" ht="15" hidden="false" customHeight="true" outlineLevel="0" collapsed="false">
      <c r="A209" s="85"/>
      <c r="B209" s="85"/>
      <c r="C209" s="85"/>
      <c r="D209" s="85"/>
      <c r="E209" s="85"/>
      <c r="F209" s="85"/>
      <c r="G209" s="85"/>
      <c r="H209" s="85"/>
      <c r="I209" s="138" t="str">
        <f aca="false">IFERROR(VLOOKUP(TEXT(H209,"0"),IPRESS!$A$3:$B$212,2,0),"")</f>
        <v/>
      </c>
      <c r="J209" s="85"/>
      <c r="K209" s="149"/>
      <c r="L209" s="85"/>
      <c r="M209" s="85"/>
      <c r="N209" s="151"/>
      <c r="O209" s="85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85"/>
      <c r="S209" s="85"/>
      <c r="T209" s="85"/>
      <c r="U209" s="85"/>
      <c r="V209" s="85"/>
      <c r="W209" s="85"/>
      <c r="X209" s="85"/>
      <c r="Y209" s="85"/>
      <c r="Z209" s="157"/>
      <c r="AA209" s="4"/>
      <c r="AB209" s="4"/>
      <c r="AC209" s="4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49"/>
      <c r="L210" s="85"/>
      <c r="M210" s="85"/>
      <c r="N210" s="151"/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57"/>
      <c r="AA210" s="4"/>
      <c r="AB210" s="4"/>
      <c r="AC210" s="4"/>
    </row>
    <row r="211" customFormat="false" ht="15" hidden="false" customHeight="true" outlineLevel="0" collapsed="false">
      <c r="A211" s="85"/>
      <c r="B211" s="85"/>
      <c r="C211" s="85"/>
      <c r="D211" s="85"/>
      <c r="E211" s="85"/>
      <c r="F211" s="85"/>
      <c r="G211" s="85"/>
      <c r="H211" s="85"/>
      <c r="I211" s="138" t="str">
        <f aca="false">IFERROR(VLOOKUP(TEXT(H211,"0"),IPRESS!$A$3:$B$212,2,0),"")</f>
        <v/>
      </c>
      <c r="J211" s="85"/>
      <c r="K211" s="149"/>
      <c r="L211" s="85"/>
      <c r="M211" s="85"/>
      <c r="N211" s="151"/>
      <c r="O211" s="85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85"/>
      <c r="S211" s="85"/>
      <c r="T211" s="85"/>
      <c r="U211" s="85"/>
      <c r="V211" s="85"/>
      <c r="W211" s="85"/>
      <c r="X211" s="85"/>
      <c r="Y211" s="85"/>
      <c r="Z211" s="157"/>
      <c r="AA211" s="4"/>
      <c r="AB211" s="4"/>
      <c r="AC211" s="4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49"/>
      <c r="L212" s="85"/>
      <c r="M212" s="85"/>
      <c r="N212" s="151"/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57"/>
      <c r="AA212" s="4"/>
      <c r="AB212" s="4"/>
      <c r="AC212" s="4"/>
    </row>
    <row r="213" customFormat="false" ht="15" hidden="false" customHeight="true" outlineLevel="0" collapsed="false">
      <c r="A213" s="85"/>
      <c r="B213" s="85"/>
      <c r="C213" s="85"/>
      <c r="D213" s="85"/>
      <c r="E213" s="85"/>
      <c r="F213" s="85"/>
      <c r="G213" s="85"/>
      <c r="H213" s="85"/>
      <c r="I213" s="138" t="str">
        <f aca="false">IFERROR(VLOOKUP(TEXT(H213,"0"),IPRESS!$A$3:$B$212,2,0),"")</f>
        <v/>
      </c>
      <c r="J213" s="85"/>
      <c r="K213" s="149"/>
      <c r="L213" s="85"/>
      <c r="M213" s="85"/>
      <c r="N213" s="151"/>
      <c r="O213" s="85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85"/>
      <c r="S213" s="85"/>
      <c r="T213" s="85"/>
      <c r="U213" s="85"/>
      <c r="V213" s="85"/>
      <c r="W213" s="85"/>
      <c r="X213" s="85"/>
      <c r="Y213" s="85"/>
      <c r="Z213" s="157"/>
      <c r="AA213" s="4"/>
      <c r="AB213" s="4"/>
      <c r="AC213" s="4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49"/>
      <c r="L214" s="85"/>
      <c r="M214" s="85"/>
      <c r="N214" s="151"/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57"/>
      <c r="AA214" s="4"/>
      <c r="AB214" s="4"/>
      <c r="AC214" s="4"/>
    </row>
    <row r="215" customFormat="false" ht="15" hidden="false" customHeight="true" outlineLevel="0" collapsed="false">
      <c r="A215" s="85"/>
      <c r="B215" s="85"/>
      <c r="C215" s="85"/>
      <c r="D215" s="85"/>
      <c r="E215" s="85"/>
      <c r="F215" s="85"/>
      <c r="G215" s="85"/>
      <c r="H215" s="85"/>
      <c r="I215" s="138" t="str">
        <f aca="false">IFERROR(VLOOKUP(TEXT(H215,"0"),IPRESS!$A$3:$B$212,2,0),"")</f>
        <v/>
      </c>
      <c r="J215" s="85"/>
      <c r="K215" s="149"/>
      <c r="L215" s="85"/>
      <c r="M215" s="85"/>
      <c r="N215" s="151"/>
      <c r="O215" s="85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85"/>
      <c r="S215" s="85"/>
      <c r="T215" s="85"/>
      <c r="U215" s="85"/>
      <c r="V215" s="85"/>
      <c r="W215" s="85"/>
      <c r="X215" s="85"/>
      <c r="Y215" s="85"/>
      <c r="Z215" s="157"/>
      <c r="AA215" s="4"/>
      <c r="AB215" s="4"/>
      <c r="AC215" s="4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49"/>
      <c r="L216" s="85"/>
      <c r="M216" s="85"/>
      <c r="N216" s="151"/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57"/>
      <c r="AA216" s="4"/>
      <c r="AB216" s="4"/>
      <c r="AC216" s="4"/>
    </row>
    <row r="217" customFormat="false" ht="15" hidden="false" customHeight="true" outlineLevel="0" collapsed="false">
      <c r="A217" s="85"/>
      <c r="B217" s="85"/>
      <c r="C217" s="85"/>
      <c r="D217" s="85"/>
      <c r="E217" s="85"/>
      <c r="F217" s="85"/>
      <c r="G217" s="85"/>
      <c r="H217" s="85"/>
      <c r="I217" s="138" t="str">
        <f aca="false">IFERROR(VLOOKUP(TEXT(H217,"0"),IPRESS!$A$3:$B$212,2,0),"")</f>
        <v/>
      </c>
      <c r="J217" s="85"/>
      <c r="K217" s="149"/>
      <c r="L217" s="85"/>
      <c r="M217" s="85"/>
      <c r="N217" s="151"/>
      <c r="O217" s="85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85"/>
      <c r="S217" s="85"/>
      <c r="T217" s="85"/>
      <c r="U217" s="85"/>
      <c r="V217" s="85"/>
      <c r="W217" s="85"/>
      <c r="X217" s="85"/>
      <c r="Y217" s="85"/>
      <c r="Z217" s="157"/>
      <c r="AA217" s="4"/>
      <c r="AB217" s="4"/>
      <c r="AC217" s="4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49"/>
      <c r="L218" s="85"/>
      <c r="M218" s="85"/>
      <c r="N218" s="151"/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57"/>
      <c r="AA218" s="4"/>
      <c r="AB218" s="4"/>
      <c r="AC218" s="4"/>
    </row>
    <row r="219" customFormat="false" ht="15" hidden="false" customHeight="true" outlineLevel="0" collapsed="false">
      <c r="A219" s="85"/>
      <c r="B219" s="85"/>
      <c r="C219" s="85"/>
      <c r="D219" s="85"/>
      <c r="E219" s="85"/>
      <c r="F219" s="85"/>
      <c r="G219" s="85"/>
      <c r="H219" s="85"/>
      <c r="I219" s="138" t="str">
        <f aca="false">IFERROR(VLOOKUP(TEXT(H219,"0"),IPRESS!$A$3:$B$212,2,0),"")</f>
        <v/>
      </c>
      <c r="J219" s="85"/>
      <c r="K219" s="149"/>
      <c r="L219" s="85"/>
      <c r="M219" s="85"/>
      <c r="N219" s="151"/>
      <c r="O219" s="85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85"/>
      <c r="S219" s="85"/>
      <c r="T219" s="85"/>
      <c r="U219" s="85"/>
      <c r="V219" s="85"/>
      <c r="W219" s="85"/>
      <c r="X219" s="85"/>
      <c r="Y219" s="85"/>
      <c r="Z219" s="157"/>
      <c r="AA219" s="4"/>
      <c r="AB219" s="4"/>
      <c r="AC219" s="4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49"/>
      <c r="L220" s="85"/>
      <c r="M220" s="85"/>
      <c r="N220" s="151"/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57"/>
      <c r="AA220" s="4"/>
      <c r="AB220" s="4"/>
      <c r="AC220" s="4"/>
    </row>
    <row r="221" customFormat="false" ht="15" hidden="false" customHeight="true" outlineLevel="0" collapsed="false">
      <c r="A221" s="85"/>
      <c r="B221" s="85"/>
      <c r="C221" s="85"/>
      <c r="D221" s="85"/>
      <c r="E221" s="85"/>
      <c r="F221" s="85"/>
      <c r="G221" s="85"/>
      <c r="H221" s="85"/>
      <c r="I221" s="138" t="str">
        <f aca="false">IFERROR(VLOOKUP(TEXT(H221,"0"),IPRESS!$A$3:$B$212,2,0),"")</f>
        <v/>
      </c>
      <c r="J221" s="85"/>
      <c r="K221" s="149"/>
      <c r="L221" s="85"/>
      <c r="M221" s="85"/>
      <c r="N221" s="151"/>
      <c r="O221" s="85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85"/>
      <c r="S221" s="85"/>
      <c r="T221" s="85"/>
      <c r="U221" s="85"/>
      <c r="V221" s="85"/>
      <c r="W221" s="85"/>
      <c r="X221" s="85"/>
      <c r="Y221" s="85"/>
      <c r="Z221" s="157"/>
      <c r="AA221" s="4"/>
      <c r="AB221" s="4"/>
      <c r="AC221" s="4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49"/>
      <c r="L222" s="85"/>
      <c r="M222" s="85"/>
      <c r="N222" s="151"/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57"/>
      <c r="AA222" s="4"/>
      <c r="AB222" s="4"/>
      <c r="AC222" s="4"/>
    </row>
    <row r="223" customFormat="false" ht="15" hidden="false" customHeight="true" outlineLevel="0" collapsed="false">
      <c r="A223" s="85"/>
      <c r="B223" s="85"/>
      <c r="C223" s="85"/>
      <c r="D223" s="85"/>
      <c r="E223" s="85"/>
      <c r="F223" s="85"/>
      <c r="G223" s="85"/>
      <c r="H223" s="85"/>
      <c r="I223" s="138" t="str">
        <f aca="false">IFERROR(VLOOKUP(TEXT(H223,"0"),IPRESS!$A$3:$B$212,2,0),"")</f>
        <v/>
      </c>
      <c r="J223" s="85"/>
      <c r="K223" s="149"/>
      <c r="L223" s="85"/>
      <c r="M223" s="85"/>
      <c r="N223" s="151"/>
      <c r="O223" s="85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85"/>
      <c r="S223" s="85"/>
      <c r="T223" s="85"/>
      <c r="U223" s="85"/>
      <c r="V223" s="85"/>
      <c r="W223" s="85"/>
      <c r="X223" s="85"/>
      <c r="Y223" s="85"/>
      <c r="Z223" s="157"/>
      <c r="AA223" s="4"/>
      <c r="AB223" s="4"/>
      <c r="AC223" s="4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49"/>
      <c r="L224" s="85"/>
      <c r="M224" s="85"/>
      <c r="N224" s="151"/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57"/>
      <c r="AA224" s="4"/>
      <c r="AB224" s="4"/>
      <c r="AC224" s="4"/>
    </row>
    <row r="225" customFormat="false" ht="15" hidden="false" customHeight="true" outlineLevel="0" collapsed="false">
      <c r="A225" s="85"/>
      <c r="B225" s="85"/>
      <c r="C225" s="85"/>
      <c r="D225" s="85"/>
      <c r="E225" s="85"/>
      <c r="F225" s="85"/>
      <c r="G225" s="85"/>
      <c r="H225" s="85"/>
      <c r="I225" s="138" t="str">
        <f aca="false">IFERROR(VLOOKUP(TEXT(H225,"0"),IPRESS!$A$3:$B$212,2,0),"")</f>
        <v/>
      </c>
      <c r="J225" s="85"/>
      <c r="K225" s="149"/>
      <c r="L225" s="85"/>
      <c r="M225" s="85"/>
      <c r="N225" s="151"/>
      <c r="O225" s="85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85"/>
      <c r="S225" s="85"/>
      <c r="T225" s="85"/>
      <c r="U225" s="85"/>
      <c r="V225" s="85"/>
      <c r="W225" s="85"/>
      <c r="X225" s="85"/>
      <c r="Y225" s="85"/>
      <c r="Z225" s="157"/>
      <c r="AA225" s="4"/>
      <c r="AB225" s="4"/>
      <c r="AC225" s="4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49"/>
      <c r="L226" s="85"/>
      <c r="M226" s="85"/>
      <c r="N226" s="151"/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57"/>
      <c r="AA226" s="4"/>
      <c r="AB226" s="4"/>
      <c r="AC226" s="4"/>
    </row>
    <row r="227" customFormat="false" ht="15" hidden="false" customHeight="true" outlineLevel="0" collapsed="false">
      <c r="A227" s="85"/>
      <c r="B227" s="85"/>
      <c r="C227" s="85"/>
      <c r="D227" s="85"/>
      <c r="E227" s="85"/>
      <c r="F227" s="85"/>
      <c r="G227" s="85"/>
      <c r="H227" s="85"/>
      <c r="I227" s="138" t="str">
        <f aca="false">IFERROR(VLOOKUP(TEXT(H227,"0"),IPRESS!$A$3:$B$212,2,0),"")</f>
        <v/>
      </c>
      <c r="J227" s="85"/>
      <c r="K227" s="149"/>
      <c r="L227" s="85"/>
      <c r="M227" s="85"/>
      <c r="N227" s="151"/>
      <c r="O227" s="85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85"/>
      <c r="S227" s="85"/>
      <c r="T227" s="85"/>
      <c r="U227" s="85"/>
      <c r="V227" s="85"/>
      <c r="W227" s="85"/>
      <c r="X227" s="85"/>
      <c r="Y227" s="85"/>
      <c r="Z227" s="157"/>
      <c r="AA227" s="4"/>
      <c r="AB227" s="4"/>
      <c r="AC227" s="4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49"/>
      <c r="L228" s="85"/>
      <c r="M228" s="85"/>
      <c r="N228" s="151"/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57"/>
      <c r="AA228" s="4"/>
      <c r="AB228" s="4"/>
      <c r="AC228" s="4"/>
    </row>
    <row r="229" customFormat="false" ht="15" hidden="false" customHeight="true" outlineLevel="0" collapsed="false">
      <c r="A229" s="85"/>
      <c r="B229" s="85"/>
      <c r="C229" s="85"/>
      <c r="D229" s="85"/>
      <c r="E229" s="85"/>
      <c r="F229" s="85"/>
      <c r="G229" s="85"/>
      <c r="H229" s="85"/>
      <c r="I229" s="138" t="str">
        <f aca="false">IFERROR(VLOOKUP(TEXT(H229,"0"),IPRESS!$A$3:$B$212,2,0),"")</f>
        <v/>
      </c>
      <c r="J229" s="85"/>
      <c r="K229" s="149"/>
      <c r="L229" s="85"/>
      <c r="M229" s="85"/>
      <c r="N229" s="151"/>
      <c r="O229" s="85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85"/>
      <c r="S229" s="85"/>
      <c r="T229" s="85"/>
      <c r="U229" s="85"/>
      <c r="V229" s="85"/>
      <c r="W229" s="85"/>
      <c r="X229" s="85"/>
      <c r="Y229" s="85"/>
      <c r="Z229" s="157"/>
      <c r="AA229" s="4"/>
      <c r="AB229" s="4"/>
      <c r="AC229" s="4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49"/>
      <c r="L230" s="85"/>
      <c r="M230" s="85"/>
      <c r="N230" s="151"/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57"/>
      <c r="AA230" s="4"/>
      <c r="AB230" s="4"/>
      <c r="AC230" s="4"/>
    </row>
    <row r="231" customFormat="false" ht="15" hidden="false" customHeight="true" outlineLevel="0" collapsed="false">
      <c r="A231" s="85"/>
      <c r="B231" s="85"/>
      <c r="C231" s="85"/>
      <c r="D231" s="85"/>
      <c r="E231" s="85"/>
      <c r="F231" s="85"/>
      <c r="G231" s="85"/>
      <c r="H231" s="85"/>
      <c r="I231" s="138" t="str">
        <f aca="false">IFERROR(VLOOKUP(TEXT(H231,"0"),IPRESS!$A$3:$B$212,2,0),"")</f>
        <v/>
      </c>
      <c r="J231" s="85"/>
      <c r="K231" s="149"/>
      <c r="L231" s="85"/>
      <c r="M231" s="85"/>
      <c r="N231" s="151"/>
      <c r="O231" s="85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85"/>
      <c r="S231" s="85"/>
      <c r="T231" s="85"/>
      <c r="U231" s="85"/>
      <c r="V231" s="85"/>
      <c r="W231" s="85"/>
      <c r="X231" s="85"/>
      <c r="Y231" s="85"/>
      <c r="Z231" s="157"/>
      <c r="AA231" s="4"/>
      <c r="AB231" s="4"/>
      <c r="AC231" s="4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49"/>
      <c r="L232" s="85"/>
      <c r="M232" s="85"/>
      <c r="N232" s="151"/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57"/>
      <c r="AA232" s="4"/>
      <c r="AB232" s="4"/>
      <c r="AC232" s="4"/>
    </row>
    <row r="233" customFormat="false" ht="15" hidden="false" customHeight="true" outlineLevel="0" collapsed="false">
      <c r="A233" s="85"/>
      <c r="B233" s="85"/>
      <c r="C233" s="85"/>
      <c r="D233" s="85"/>
      <c r="E233" s="85"/>
      <c r="F233" s="85"/>
      <c r="G233" s="85"/>
      <c r="H233" s="85"/>
      <c r="I233" s="138" t="str">
        <f aca="false">IFERROR(VLOOKUP(TEXT(H233,"0"),IPRESS!$A$3:$B$212,2,0),"")</f>
        <v/>
      </c>
      <c r="J233" s="85"/>
      <c r="K233" s="149"/>
      <c r="L233" s="85"/>
      <c r="M233" s="85"/>
      <c r="N233" s="151"/>
      <c r="O233" s="85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85"/>
      <c r="S233" s="85"/>
      <c r="T233" s="85"/>
      <c r="U233" s="85"/>
      <c r="V233" s="85"/>
      <c r="W233" s="85"/>
      <c r="X233" s="85"/>
      <c r="Y233" s="85"/>
      <c r="Z233" s="157"/>
      <c r="AA233" s="4"/>
      <c r="AB233" s="4"/>
      <c r="AC233" s="4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49"/>
      <c r="L234" s="85"/>
      <c r="M234" s="85"/>
      <c r="N234" s="151"/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57"/>
      <c r="AA234" s="4"/>
      <c r="AB234" s="4"/>
      <c r="AC234" s="4"/>
    </row>
    <row r="235" customFormat="false" ht="15" hidden="false" customHeight="true" outlineLevel="0" collapsed="false">
      <c r="A235" s="85"/>
      <c r="B235" s="85"/>
      <c r="C235" s="85"/>
      <c r="D235" s="85"/>
      <c r="E235" s="85"/>
      <c r="F235" s="85"/>
      <c r="G235" s="85"/>
      <c r="H235" s="85"/>
      <c r="I235" s="138" t="str">
        <f aca="false">IFERROR(VLOOKUP(TEXT(H235,"0"),IPRESS!$A$3:$B$212,2,0),"")</f>
        <v/>
      </c>
      <c r="J235" s="85"/>
      <c r="K235" s="149"/>
      <c r="L235" s="85"/>
      <c r="M235" s="85"/>
      <c r="N235" s="151"/>
      <c r="O235" s="85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85"/>
      <c r="S235" s="85"/>
      <c r="T235" s="85"/>
      <c r="U235" s="85"/>
      <c r="V235" s="85"/>
      <c r="W235" s="85"/>
      <c r="X235" s="85"/>
      <c r="Y235" s="85"/>
      <c r="Z235" s="157"/>
      <c r="AA235" s="4"/>
      <c r="AB235" s="4"/>
      <c r="AC235" s="4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49"/>
      <c r="L236" s="85"/>
      <c r="M236" s="85"/>
      <c r="N236" s="151"/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57"/>
      <c r="AA236" s="4"/>
      <c r="AB236" s="4"/>
      <c r="AC236" s="4"/>
    </row>
    <row r="237" customFormat="false" ht="15" hidden="false" customHeight="true" outlineLevel="0" collapsed="false">
      <c r="A237" s="85"/>
      <c r="B237" s="85"/>
      <c r="C237" s="85"/>
      <c r="D237" s="85"/>
      <c r="E237" s="85"/>
      <c r="F237" s="85"/>
      <c r="G237" s="85"/>
      <c r="H237" s="85"/>
      <c r="I237" s="138" t="str">
        <f aca="false">IFERROR(VLOOKUP(TEXT(H237,"0"),IPRESS!$A$3:$B$212,2,0),"")</f>
        <v/>
      </c>
      <c r="J237" s="85"/>
      <c r="K237" s="149"/>
      <c r="L237" s="85"/>
      <c r="M237" s="85"/>
      <c r="N237" s="151"/>
      <c r="O237" s="85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85"/>
      <c r="S237" s="85"/>
      <c r="T237" s="85"/>
      <c r="U237" s="85"/>
      <c r="V237" s="85"/>
      <c r="W237" s="85"/>
      <c r="X237" s="85"/>
      <c r="Y237" s="85"/>
      <c r="Z237" s="157"/>
      <c r="AA237" s="4"/>
      <c r="AB237" s="4"/>
      <c r="AC237" s="4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49"/>
      <c r="L238" s="85"/>
      <c r="M238" s="85"/>
      <c r="N238" s="151"/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57"/>
      <c r="AA238" s="4"/>
      <c r="AB238" s="4"/>
      <c r="AC238" s="4"/>
    </row>
    <row r="239" customFormat="false" ht="15" hidden="false" customHeight="true" outlineLevel="0" collapsed="false">
      <c r="A239" s="85"/>
      <c r="B239" s="85"/>
      <c r="C239" s="85"/>
      <c r="D239" s="85"/>
      <c r="E239" s="85"/>
      <c r="F239" s="85"/>
      <c r="G239" s="85"/>
      <c r="H239" s="85"/>
      <c r="I239" s="138" t="str">
        <f aca="false">IFERROR(VLOOKUP(TEXT(H239,"0"),IPRESS!$A$3:$B$212,2,0),"")</f>
        <v/>
      </c>
      <c r="J239" s="85"/>
      <c r="K239" s="149"/>
      <c r="L239" s="85"/>
      <c r="M239" s="85"/>
      <c r="N239" s="151"/>
      <c r="O239" s="85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85"/>
      <c r="S239" s="85"/>
      <c r="T239" s="85"/>
      <c r="U239" s="85"/>
      <c r="V239" s="85"/>
      <c r="W239" s="85"/>
      <c r="X239" s="85"/>
      <c r="Y239" s="85"/>
      <c r="Z239" s="157"/>
      <c r="AA239" s="4"/>
      <c r="AB239" s="4"/>
      <c r="AC239" s="4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49"/>
      <c r="L240" s="85"/>
      <c r="M240" s="85"/>
      <c r="N240" s="151"/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57"/>
      <c r="AA240" s="4"/>
      <c r="AB240" s="4"/>
      <c r="AC240" s="4"/>
    </row>
    <row r="241" customFormat="false" ht="15" hidden="false" customHeight="true" outlineLevel="0" collapsed="false">
      <c r="A241" s="85"/>
      <c r="B241" s="85"/>
      <c r="C241" s="85"/>
      <c r="D241" s="85"/>
      <c r="E241" s="85"/>
      <c r="F241" s="85"/>
      <c r="G241" s="85"/>
      <c r="H241" s="85"/>
      <c r="I241" s="138" t="str">
        <f aca="false">IFERROR(VLOOKUP(TEXT(H241,"0"),IPRESS!$A$3:$B$212,2,0),"")</f>
        <v/>
      </c>
      <c r="J241" s="85"/>
      <c r="K241" s="149"/>
      <c r="L241" s="85"/>
      <c r="M241" s="85"/>
      <c r="N241" s="151"/>
      <c r="O241" s="85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85"/>
      <c r="S241" s="85"/>
      <c r="T241" s="85"/>
      <c r="U241" s="85"/>
      <c r="V241" s="85"/>
      <c r="W241" s="85"/>
      <c r="X241" s="85"/>
      <c r="Y241" s="85"/>
      <c r="Z241" s="157"/>
      <c r="AA241" s="4"/>
      <c r="AB241" s="4"/>
      <c r="AC241" s="4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49"/>
      <c r="L242" s="85"/>
      <c r="M242" s="85"/>
      <c r="N242" s="151"/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57"/>
      <c r="AA242" s="4"/>
      <c r="AB242" s="4"/>
      <c r="AC242" s="4"/>
    </row>
    <row r="243" customFormat="false" ht="15" hidden="false" customHeight="true" outlineLevel="0" collapsed="false">
      <c r="A243" s="85"/>
      <c r="B243" s="85"/>
      <c r="C243" s="85"/>
      <c r="D243" s="85"/>
      <c r="E243" s="85"/>
      <c r="F243" s="85"/>
      <c r="G243" s="85"/>
      <c r="H243" s="85"/>
      <c r="I243" s="138" t="str">
        <f aca="false">IFERROR(VLOOKUP(TEXT(H243,"0"),IPRESS!$A$3:$B$212,2,0),"")</f>
        <v/>
      </c>
      <c r="J243" s="85"/>
      <c r="K243" s="149"/>
      <c r="L243" s="85"/>
      <c r="M243" s="85"/>
      <c r="N243" s="151"/>
      <c r="O243" s="85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85"/>
      <c r="S243" s="85"/>
      <c r="T243" s="85"/>
      <c r="U243" s="85"/>
      <c r="V243" s="85"/>
      <c r="W243" s="85"/>
      <c r="X243" s="85"/>
      <c r="Y243" s="85"/>
      <c r="Z243" s="157"/>
      <c r="AA243" s="4"/>
      <c r="AB243" s="4"/>
      <c r="AC243" s="4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49"/>
      <c r="L244" s="85"/>
      <c r="M244" s="85"/>
      <c r="N244" s="151"/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57"/>
      <c r="AA244" s="4"/>
      <c r="AB244" s="4"/>
      <c r="AC244" s="4"/>
    </row>
    <row r="245" customFormat="false" ht="15" hidden="false" customHeight="true" outlineLevel="0" collapsed="false">
      <c r="A245" s="85"/>
      <c r="B245" s="85"/>
      <c r="C245" s="85"/>
      <c r="D245" s="85"/>
      <c r="E245" s="85"/>
      <c r="F245" s="85"/>
      <c r="G245" s="85"/>
      <c r="H245" s="85"/>
      <c r="I245" s="138" t="str">
        <f aca="false">IFERROR(VLOOKUP(TEXT(H245,"0"),IPRESS!$A$3:$B$212,2,0),"")</f>
        <v/>
      </c>
      <c r="J245" s="85"/>
      <c r="K245" s="149"/>
      <c r="L245" s="85"/>
      <c r="M245" s="85"/>
      <c r="N245" s="151"/>
      <c r="O245" s="85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85"/>
      <c r="S245" s="85"/>
      <c r="T245" s="85"/>
      <c r="U245" s="85"/>
      <c r="V245" s="85"/>
      <c r="W245" s="85"/>
      <c r="X245" s="85"/>
      <c r="Y245" s="85"/>
      <c r="Z245" s="157"/>
      <c r="AA245" s="4"/>
      <c r="AB245" s="4"/>
      <c r="AC245" s="4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49"/>
      <c r="L246" s="85"/>
      <c r="M246" s="85"/>
      <c r="N246" s="151"/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57"/>
      <c r="AA246" s="4"/>
      <c r="AB246" s="4"/>
      <c r="AC246" s="4"/>
    </row>
    <row r="247" customFormat="false" ht="15" hidden="false" customHeight="true" outlineLevel="0" collapsed="false">
      <c r="A247" s="85"/>
      <c r="B247" s="85"/>
      <c r="C247" s="85"/>
      <c r="D247" s="85"/>
      <c r="E247" s="85"/>
      <c r="F247" s="85"/>
      <c r="G247" s="85"/>
      <c r="H247" s="85"/>
      <c r="I247" s="138" t="str">
        <f aca="false">IFERROR(VLOOKUP(TEXT(H247,"0"),IPRESS!$A$3:$B$212,2,0),"")</f>
        <v/>
      </c>
      <c r="J247" s="85"/>
      <c r="K247" s="149"/>
      <c r="L247" s="85"/>
      <c r="M247" s="85"/>
      <c r="N247" s="151"/>
      <c r="O247" s="85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85"/>
      <c r="S247" s="85"/>
      <c r="T247" s="85"/>
      <c r="U247" s="85"/>
      <c r="V247" s="85"/>
      <c r="W247" s="85"/>
      <c r="X247" s="85"/>
      <c r="Y247" s="85"/>
      <c r="Z247" s="157"/>
      <c r="AA247" s="4"/>
      <c r="AB247" s="4"/>
      <c r="AC247" s="4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49"/>
      <c r="L248" s="85"/>
      <c r="M248" s="85"/>
      <c r="N248" s="151"/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57"/>
      <c r="AA248" s="4"/>
      <c r="AB248" s="4"/>
      <c r="AC248" s="4"/>
    </row>
    <row r="249" customFormat="false" ht="15" hidden="false" customHeight="true" outlineLevel="0" collapsed="false">
      <c r="A249" s="85"/>
      <c r="B249" s="85"/>
      <c r="C249" s="85"/>
      <c r="D249" s="85"/>
      <c r="E249" s="85"/>
      <c r="F249" s="85"/>
      <c r="G249" s="85"/>
      <c r="H249" s="85"/>
      <c r="I249" s="138" t="str">
        <f aca="false">IFERROR(VLOOKUP(TEXT(H249,"0"),IPRESS!$A$3:$B$212,2,0),"")</f>
        <v/>
      </c>
      <c r="J249" s="85"/>
      <c r="K249" s="149"/>
      <c r="L249" s="85"/>
      <c r="M249" s="85"/>
      <c r="N249" s="151"/>
      <c r="O249" s="85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85"/>
      <c r="S249" s="85"/>
      <c r="T249" s="85"/>
      <c r="U249" s="85"/>
      <c r="V249" s="85"/>
      <c r="W249" s="85"/>
      <c r="X249" s="85"/>
      <c r="Y249" s="85"/>
      <c r="Z249" s="157"/>
      <c r="AA249" s="4"/>
      <c r="AB249" s="4"/>
      <c r="AC249" s="4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49"/>
      <c r="L250" s="85"/>
      <c r="M250" s="85"/>
      <c r="N250" s="151"/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57"/>
      <c r="AA250" s="4"/>
      <c r="AB250" s="4"/>
      <c r="AC250" s="4"/>
    </row>
    <row r="251" customFormat="false" ht="15" hidden="false" customHeight="true" outlineLevel="0" collapsed="false">
      <c r="A251" s="85"/>
      <c r="B251" s="85"/>
      <c r="C251" s="85"/>
      <c r="D251" s="85"/>
      <c r="E251" s="85"/>
      <c r="F251" s="85"/>
      <c r="G251" s="85"/>
      <c r="H251" s="85"/>
      <c r="I251" s="138" t="str">
        <f aca="false">IFERROR(VLOOKUP(TEXT(H251,"0"),IPRESS!$A$3:$B$212,2,0),"")</f>
        <v/>
      </c>
      <c r="J251" s="85"/>
      <c r="K251" s="149"/>
      <c r="L251" s="85"/>
      <c r="M251" s="85"/>
      <c r="N251" s="151"/>
      <c r="O251" s="85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85"/>
      <c r="S251" s="85"/>
      <c r="T251" s="85"/>
      <c r="U251" s="85"/>
      <c r="V251" s="85"/>
      <c r="W251" s="85"/>
      <c r="X251" s="85"/>
      <c r="Y251" s="85"/>
      <c r="Z251" s="157"/>
      <c r="AA251" s="4"/>
      <c r="AB251" s="4"/>
      <c r="AC251" s="4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49"/>
      <c r="L252" s="85"/>
      <c r="M252" s="85"/>
      <c r="N252" s="151"/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57"/>
      <c r="AA252" s="4"/>
      <c r="AB252" s="4"/>
      <c r="AC252" s="4"/>
    </row>
    <row r="253" customFormat="false" ht="15" hidden="false" customHeight="true" outlineLevel="0" collapsed="false">
      <c r="A253" s="85"/>
      <c r="B253" s="85"/>
      <c r="C253" s="85"/>
      <c r="D253" s="85"/>
      <c r="E253" s="85"/>
      <c r="F253" s="85"/>
      <c r="G253" s="85"/>
      <c r="H253" s="85"/>
      <c r="I253" s="138" t="str">
        <f aca="false">IFERROR(VLOOKUP(TEXT(H253,"0"),IPRESS!$A$3:$B$212,2,0),"")</f>
        <v/>
      </c>
      <c r="J253" s="85"/>
      <c r="K253" s="149"/>
      <c r="L253" s="85"/>
      <c r="M253" s="85"/>
      <c r="N253" s="151"/>
      <c r="O253" s="85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85"/>
      <c r="S253" s="85"/>
      <c r="T253" s="85"/>
      <c r="U253" s="85"/>
      <c r="V253" s="85"/>
      <c r="W253" s="85"/>
      <c r="X253" s="85"/>
      <c r="Y253" s="85"/>
      <c r="Z253" s="157"/>
      <c r="AA253" s="4"/>
      <c r="AB253" s="4"/>
      <c r="AC253" s="4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49"/>
      <c r="L254" s="85"/>
      <c r="M254" s="85"/>
      <c r="N254" s="151"/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57"/>
      <c r="AA254" s="4"/>
      <c r="AB254" s="4"/>
      <c r="AC254" s="4"/>
    </row>
    <row r="255" customFormat="false" ht="15" hidden="false" customHeight="true" outlineLevel="0" collapsed="false">
      <c r="A255" s="85"/>
      <c r="B255" s="85"/>
      <c r="C255" s="85"/>
      <c r="D255" s="85"/>
      <c r="E255" s="85"/>
      <c r="F255" s="85"/>
      <c r="G255" s="85"/>
      <c r="H255" s="85"/>
      <c r="I255" s="138" t="str">
        <f aca="false">IFERROR(VLOOKUP(TEXT(H255,"0"),IPRESS!$A$3:$B$212,2,0),"")</f>
        <v/>
      </c>
      <c r="J255" s="85"/>
      <c r="K255" s="149"/>
      <c r="L255" s="85"/>
      <c r="M255" s="85"/>
      <c r="N255" s="151"/>
      <c r="O255" s="85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85"/>
      <c r="S255" s="85"/>
      <c r="T255" s="85"/>
      <c r="U255" s="85"/>
      <c r="V255" s="85"/>
      <c r="W255" s="85"/>
      <c r="X255" s="85"/>
      <c r="Y255" s="85"/>
      <c r="Z255" s="157"/>
      <c r="AA255" s="4"/>
      <c r="AB255" s="4"/>
      <c r="AC255" s="4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49"/>
      <c r="L256" s="85"/>
      <c r="M256" s="85"/>
      <c r="N256" s="151"/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57"/>
      <c r="AA256" s="4"/>
      <c r="AB256" s="4"/>
      <c r="AC256" s="4"/>
    </row>
    <row r="257" customFormat="false" ht="15" hidden="false" customHeight="true" outlineLevel="0" collapsed="false">
      <c r="A257" s="85"/>
      <c r="B257" s="85"/>
      <c r="C257" s="85"/>
      <c r="D257" s="85"/>
      <c r="E257" s="85"/>
      <c r="F257" s="85"/>
      <c r="G257" s="85"/>
      <c r="H257" s="85"/>
      <c r="I257" s="138" t="str">
        <f aca="false">IFERROR(VLOOKUP(TEXT(H257,"0"),IPRESS!$A$3:$B$212,2,0),"")</f>
        <v/>
      </c>
      <c r="J257" s="85"/>
      <c r="K257" s="149"/>
      <c r="L257" s="85"/>
      <c r="M257" s="85"/>
      <c r="N257" s="151"/>
      <c r="O257" s="85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85"/>
      <c r="S257" s="85"/>
      <c r="T257" s="85"/>
      <c r="U257" s="85"/>
      <c r="V257" s="85"/>
      <c r="W257" s="85"/>
      <c r="X257" s="85"/>
      <c r="Y257" s="85"/>
      <c r="Z257" s="157"/>
      <c r="AA257" s="4"/>
      <c r="AB257" s="4"/>
      <c r="AC257" s="4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49"/>
      <c r="L258" s="85"/>
      <c r="M258" s="85"/>
      <c r="N258" s="151"/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57"/>
      <c r="AA258" s="4"/>
      <c r="AB258" s="4"/>
      <c r="AC258" s="4"/>
    </row>
    <row r="259" customFormat="false" ht="15" hidden="false" customHeight="true" outlineLevel="0" collapsed="false">
      <c r="A259" s="85"/>
      <c r="B259" s="85"/>
      <c r="C259" s="85"/>
      <c r="D259" s="85"/>
      <c r="E259" s="85"/>
      <c r="F259" s="85"/>
      <c r="G259" s="85"/>
      <c r="H259" s="85"/>
      <c r="I259" s="138" t="str">
        <f aca="false">IFERROR(VLOOKUP(TEXT(H259,"0"),IPRESS!$A$3:$B$212,2,0),"")</f>
        <v/>
      </c>
      <c r="J259" s="85"/>
      <c r="K259" s="149"/>
      <c r="L259" s="85"/>
      <c r="M259" s="85"/>
      <c r="N259" s="151"/>
      <c r="O259" s="85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85"/>
      <c r="S259" s="85"/>
      <c r="T259" s="85"/>
      <c r="U259" s="85"/>
      <c r="V259" s="85"/>
      <c r="W259" s="85"/>
      <c r="X259" s="85"/>
      <c r="Y259" s="85"/>
      <c r="Z259" s="157"/>
      <c r="AA259" s="4"/>
      <c r="AB259" s="4"/>
      <c r="AC259" s="4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49"/>
      <c r="L260" s="85"/>
      <c r="M260" s="85"/>
      <c r="N260" s="151"/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57"/>
      <c r="AA260" s="4"/>
      <c r="AB260" s="4"/>
      <c r="AC260" s="4"/>
    </row>
    <row r="261" customFormat="false" ht="15" hidden="false" customHeight="true" outlineLevel="0" collapsed="false">
      <c r="A261" s="85"/>
      <c r="B261" s="85"/>
      <c r="C261" s="85"/>
      <c r="D261" s="85"/>
      <c r="E261" s="85"/>
      <c r="F261" s="85"/>
      <c r="G261" s="85"/>
      <c r="H261" s="85"/>
      <c r="I261" s="138" t="str">
        <f aca="false">IFERROR(VLOOKUP(TEXT(H261,"0"),IPRESS!$A$3:$B$212,2,0),"")</f>
        <v/>
      </c>
      <c r="J261" s="85"/>
      <c r="K261" s="149"/>
      <c r="L261" s="85"/>
      <c r="M261" s="85"/>
      <c r="N261" s="151"/>
      <c r="O261" s="85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85"/>
      <c r="S261" s="85"/>
      <c r="T261" s="85"/>
      <c r="U261" s="85"/>
      <c r="V261" s="85"/>
      <c r="W261" s="85"/>
      <c r="X261" s="85"/>
      <c r="Y261" s="85"/>
      <c r="Z261" s="157"/>
      <c r="AA261" s="4"/>
      <c r="AB261" s="4"/>
      <c r="AC261" s="4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49"/>
      <c r="L262" s="85"/>
      <c r="M262" s="85"/>
      <c r="N262" s="151"/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57"/>
      <c r="AA262" s="4"/>
      <c r="AB262" s="4"/>
      <c r="AC262" s="4"/>
    </row>
    <row r="263" customFormat="false" ht="15" hidden="false" customHeight="true" outlineLevel="0" collapsed="false">
      <c r="A263" s="85"/>
      <c r="B263" s="85"/>
      <c r="C263" s="85"/>
      <c r="D263" s="85"/>
      <c r="E263" s="85"/>
      <c r="F263" s="85"/>
      <c r="G263" s="85"/>
      <c r="H263" s="85"/>
      <c r="I263" s="138" t="str">
        <f aca="false">IFERROR(VLOOKUP(TEXT(H263,"0"),IPRESS!$A$3:$B$212,2,0),"")</f>
        <v/>
      </c>
      <c r="J263" s="85"/>
      <c r="K263" s="149"/>
      <c r="L263" s="85"/>
      <c r="M263" s="85"/>
      <c r="N263" s="151"/>
      <c r="O263" s="85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85"/>
      <c r="S263" s="85"/>
      <c r="T263" s="85"/>
      <c r="U263" s="85"/>
      <c r="V263" s="85"/>
      <c r="W263" s="85"/>
      <c r="X263" s="85"/>
      <c r="Y263" s="85"/>
      <c r="Z263" s="157"/>
      <c r="AA263" s="4"/>
      <c r="AB263" s="4"/>
      <c r="AC263" s="4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49"/>
      <c r="L264" s="85"/>
      <c r="M264" s="85"/>
      <c r="N264" s="151"/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57"/>
      <c r="AA264" s="4"/>
      <c r="AB264" s="4"/>
      <c r="AC264" s="4"/>
    </row>
    <row r="265" customFormat="false" ht="15" hidden="false" customHeight="true" outlineLevel="0" collapsed="false">
      <c r="A265" s="85"/>
      <c r="B265" s="85"/>
      <c r="C265" s="85"/>
      <c r="D265" s="85"/>
      <c r="E265" s="85"/>
      <c r="F265" s="85"/>
      <c r="G265" s="85"/>
      <c r="H265" s="85"/>
      <c r="I265" s="138" t="str">
        <f aca="false">IFERROR(VLOOKUP(TEXT(H265,"0"),IPRESS!$A$3:$B$212,2,0),"")</f>
        <v/>
      </c>
      <c r="J265" s="85"/>
      <c r="K265" s="149"/>
      <c r="L265" s="85"/>
      <c r="M265" s="85"/>
      <c r="N265" s="151"/>
      <c r="O265" s="85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85"/>
      <c r="S265" s="85"/>
      <c r="T265" s="85"/>
      <c r="U265" s="85"/>
      <c r="V265" s="85"/>
      <c r="W265" s="85"/>
      <c r="X265" s="85"/>
      <c r="Y265" s="85"/>
      <c r="Z265" s="157"/>
      <c r="AA265" s="4"/>
      <c r="AB265" s="4"/>
      <c r="AC265" s="4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49"/>
      <c r="L266" s="85"/>
      <c r="M266" s="85"/>
      <c r="N266" s="151"/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57"/>
      <c r="AA266" s="4"/>
      <c r="AB266" s="4"/>
      <c r="AC266" s="4"/>
    </row>
    <row r="267" customFormat="false" ht="15" hidden="false" customHeight="true" outlineLevel="0" collapsed="false">
      <c r="A267" s="85"/>
      <c r="B267" s="85"/>
      <c r="C267" s="85"/>
      <c r="D267" s="85"/>
      <c r="E267" s="85"/>
      <c r="F267" s="85"/>
      <c r="G267" s="85"/>
      <c r="H267" s="85"/>
      <c r="I267" s="138" t="str">
        <f aca="false">IFERROR(VLOOKUP(TEXT(H267,"0"),IPRESS!$A$3:$B$212,2,0),"")</f>
        <v/>
      </c>
      <c r="J267" s="85"/>
      <c r="K267" s="149"/>
      <c r="L267" s="85"/>
      <c r="M267" s="85"/>
      <c r="N267" s="151"/>
      <c r="O267" s="85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85"/>
      <c r="S267" s="85"/>
      <c r="T267" s="85"/>
      <c r="U267" s="85"/>
      <c r="V267" s="85"/>
      <c r="W267" s="85"/>
      <c r="X267" s="85"/>
      <c r="Y267" s="85"/>
      <c r="Z267" s="157"/>
      <c r="AA267" s="4"/>
      <c r="AB267" s="4"/>
      <c r="AC267" s="4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49"/>
      <c r="L268" s="85"/>
      <c r="M268" s="85"/>
      <c r="N268" s="151"/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57"/>
      <c r="AA268" s="4"/>
      <c r="AB268" s="4"/>
      <c r="AC268" s="4"/>
    </row>
    <row r="269" customFormat="false" ht="15" hidden="false" customHeight="true" outlineLevel="0" collapsed="false">
      <c r="A269" s="85"/>
      <c r="B269" s="85"/>
      <c r="C269" s="85"/>
      <c r="D269" s="85"/>
      <c r="E269" s="85"/>
      <c r="F269" s="85"/>
      <c r="G269" s="85"/>
      <c r="H269" s="85"/>
      <c r="I269" s="138" t="str">
        <f aca="false">IFERROR(VLOOKUP(TEXT(H269,"0"),IPRESS!$A$3:$B$212,2,0),"")</f>
        <v/>
      </c>
      <c r="J269" s="85"/>
      <c r="K269" s="149"/>
      <c r="L269" s="85"/>
      <c r="M269" s="85"/>
      <c r="N269" s="151"/>
      <c r="O269" s="85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85"/>
      <c r="S269" s="85"/>
      <c r="T269" s="85"/>
      <c r="U269" s="85"/>
      <c r="V269" s="85"/>
      <c r="W269" s="85"/>
      <c r="X269" s="85"/>
      <c r="Y269" s="85"/>
      <c r="Z269" s="157"/>
      <c r="AA269" s="4"/>
      <c r="AB269" s="4"/>
      <c r="AC269" s="4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49"/>
      <c r="L270" s="85"/>
      <c r="M270" s="85"/>
      <c r="N270" s="151"/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57"/>
      <c r="AA270" s="4"/>
      <c r="AB270" s="4"/>
      <c r="AC270" s="4"/>
    </row>
    <row r="271" customFormat="false" ht="15" hidden="false" customHeight="true" outlineLevel="0" collapsed="false">
      <c r="A271" s="85"/>
      <c r="B271" s="85"/>
      <c r="C271" s="85"/>
      <c r="D271" s="85"/>
      <c r="E271" s="85"/>
      <c r="F271" s="85"/>
      <c r="G271" s="85"/>
      <c r="H271" s="85"/>
      <c r="I271" s="138" t="str">
        <f aca="false">IFERROR(VLOOKUP(TEXT(H271,"0"),IPRESS!$A$3:$B$212,2,0),"")</f>
        <v/>
      </c>
      <c r="J271" s="85"/>
      <c r="K271" s="149"/>
      <c r="L271" s="85"/>
      <c r="M271" s="85"/>
      <c r="N271" s="151"/>
      <c r="O271" s="85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85"/>
      <c r="S271" s="85"/>
      <c r="T271" s="85"/>
      <c r="U271" s="85"/>
      <c r="V271" s="85"/>
      <c r="W271" s="85"/>
      <c r="X271" s="85"/>
      <c r="Y271" s="85"/>
      <c r="Z271" s="157"/>
      <c r="AA271" s="4"/>
      <c r="AB271" s="4"/>
      <c r="AC271" s="4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49"/>
      <c r="L272" s="85"/>
      <c r="M272" s="85"/>
      <c r="N272" s="151"/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57"/>
      <c r="AA272" s="4"/>
      <c r="AB272" s="4"/>
      <c r="AC272" s="4"/>
    </row>
    <row r="273" customFormat="false" ht="15" hidden="false" customHeight="true" outlineLevel="0" collapsed="false">
      <c r="A273" s="85"/>
      <c r="B273" s="85"/>
      <c r="C273" s="85"/>
      <c r="D273" s="85"/>
      <c r="E273" s="85"/>
      <c r="F273" s="85"/>
      <c r="G273" s="85"/>
      <c r="H273" s="85"/>
      <c r="I273" s="138" t="str">
        <f aca="false">IFERROR(VLOOKUP(TEXT(H273,"0"),IPRESS!$A$3:$B$212,2,0),"")</f>
        <v/>
      </c>
      <c r="J273" s="85"/>
      <c r="K273" s="149"/>
      <c r="L273" s="85"/>
      <c r="M273" s="85"/>
      <c r="N273" s="151"/>
      <c r="O273" s="85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85"/>
      <c r="S273" s="85"/>
      <c r="T273" s="85"/>
      <c r="U273" s="85"/>
      <c r="V273" s="85"/>
      <c r="W273" s="85"/>
      <c r="X273" s="85"/>
      <c r="Y273" s="85"/>
      <c r="Z273" s="157"/>
      <c r="AA273" s="4"/>
      <c r="AB273" s="4"/>
      <c r="AC273" s="4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49"/>
      <c r="L274" s="85"/>
      <c r="M274" s="85"/>
      <c r="N274" s="151"/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57"/>
      <c r="AA274" s="4"/>
      <c r="AB274" s="4"/>
      <c r="AC274" s="4"/>
    </row>
    <row r="275" customFormat="false" ht="15" hidden="false" customHeight="true" outlineLevel="0" collapsed="false">
      <c r="A275" s="85"/>
      <c r="B275" s="85"/>
      <c r="C275" s="85"/>
      <c r="D275" s="85"/>
      <c r="E275" s="85"/>
      <c r="F275" s="85"/>
      <c r="G275" s="85"/>
      <c r="H275" s="85"/>
      <c r="I275" s="138" t="str">
        <f aca="false">IFERROR(VLOOKUP(TEXT(H275,"0"),IPRESS!$A$3:$B$212,2,0),"")</f>
        <v/>
      </c>
      <c r="J275" s="85"/>
      <c r="K275" s="149"/>
      <c r="L275" s="85"/>
      <c r="M275" s="85"/>
      <c r="N275" s="151"/>
      <c r="O275" s="85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85"/>
      <c r="S275" s="85"/>
      <c r="T275" s="85"/>
      <c r="U275" s="85"/>
      <c r="V275" s="85"/>
      <c r="W275" s="85"/>
      <c r="X275" s="85"/>
      <c r="Y275" s="85"/>
      <c r="Z275" s="157"/>
      <c r="AA275" s="4"/>
      <c r="AB275" s="4"/>
      <c r="AC275" s="4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49"/>
      <c r="L276" s="85"/>
      <c r="M276" s="85"/>
      <c r="N276" s="151"/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57"/>
      <c r="AA276" s="4"/>
      <c r="AB276" s="4"/>
      <c r="AC276" s="4"/>
    </row>
    <row r="277" customFormat="false" ht="15" hidden="false" customHeight="true" outlineLevel="0" collapsed="false">
      <c r="A277" s="85"/>
      <c r="B277" s="85"/>
      <c r="C277" s="85"/>
      <c r="D277" s="85"/>
      <c r="E277" s="85"/>
      <c r="F277" s="85"/>
      <c r="G277" s="85"/>
      <c r="H277" s="85"/>
      <c r="I277" s="138" t="str">
        <f aca="false">IFERROR(VLOOKUP(TEXT(H277,"0"),IPRESS!$A$3:$B$212,2,0),"")</f>
        <v/>
      </c>
      <c r="J277" s="85"/>
      <c r="K277" s="149"/>
      <c r="L277" s="85"/>
      <c r="M277" s="85"/>
      <c r="N277" s="151"/>
      <c r="O277" s="85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85"/>
      <c r="S277" s="85"/>
      <c r="T277" s="85"/>
      <c r="U277" s="85"/>
      <c r="V277" s="85"/>
      <c r="W277" s="85"/>
      <c r="X277" s="85"/>
      <c r="Y277" s="85"/>
      <c r="Z277" s="157"/>
      <c r="AA277" s="4"/>
      <c r="AB277" s="4"/>
      <c r="AC277" s="4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49"/>
      <c r="L278" s="85"/>
      <c r="M278" s="85"/>
      <c r="N278" s="151"/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57"/>
      <c r="AA278" s="4"/>
      <c r="AB278" s="4"/>
      <c r="AC278" s="4"/>
    </row>
    <row r="279" customFormat="false" ht="15" hidden="false" customHeight="true" outlineLevel="0" collapsed="false">
      <c r="A279" s="85"/>
      <c r="B279" s="85"/>
      <c r="C279" s="85"/>
      <c r="D279" s="85"/>
      <c r="E279" s="85"/>
      <c r="F279" s="85"/>
      <c r="G279" s="85"/>
      <c r="H279" s="85"/>
      <c r="I279" s="138" t="str">
        <f aca="false">IFERROR(VLOOKUP(TEXT(H279,"0"),IPRESS!$A$3:$B$212,2,0),"")</f>
        <v/>
      </c>
      <c r="J279" s="85"/>
      <c r="K279" s="149"/>
      <c r="L279" s="85"/>
      <c r="M279" s="85"/>
      <c r="N279" s="151"/>
      <c r="O279" s="85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85"/>
      <c r="S279" s="85"/>
      <c r="T279" s="85"/>
      <c r="U279" s="85"/>
      <c r="V279" s="85"/>
      <c r="W279" s="85"/>
      <c r="X279" s="85"/>
      <c r="Y279" s="85"/>
      <c r="Z279" s="157"/>
      <c r="AA279" s="4"/>
      <c r="AB279" s="4"/>
      <c r="AC279" s="4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49"/>
      <c r="L280" s="85"/>
      <c r="M280" s="85"/>
      <c r="N280" s="151"/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57"/>
      <c r="AA280" s="4"/>
      <c r="AB280" s="4"/>
      <c r="AC280" s="4"/>
    </row>
    <row r="281" customFormat="false" ht="15" hidden="false" customHeight="true" outlineLevel="0" collapsed="false">
      <c r="A281" s="85"/>
      <c r="B281" s="85"/>
      <c r="C281" s="85"/>
      <c r="D281" s="85"/>
      <c r="E281" s="85"/>
      <c r="F281" s="85"/>
      <c r="G281" s="85"/>
      <c r="H281" s="85"/>
      <c r="I281" s="138" t="str">
        <f aca="false">IFERROR(VLOOKUP(TEXT(H281,"0"),IPRESS!$A$3:$B$212,2,0),"")</f>
        <v/>
      </c>
      <c r="J281" s="85"/>
      <c r="K281" s="149"/>
      <c r="L281" s="85"/>
      <c r="M281" s="85"/>
      <c r="N281" s="151"/>
      <c r="O281" s="85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85"/>
      <c r="S281" s="85"/>
      <c r="T281" s="85"/>
      <c r="U281" s="85"/>
      <c r="V281" s="85"/>
      <c r="W281" s="85"/>
      <c r="X281" s="85"/>
      <c r="Y281" s="85"/>
      <c r="Z281" s="157"/>
      <c r="AA281" s="4"/>
      <c r="AB281" s="4"/>
      <c r="AC281" s="4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49"/>
      <c r="L282" s="85"/>
      <c r="M282" s="85"/>
      <c r="N282" s="151"/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57"/>
      <c r="AA282" s="4"/>
      <c r="AB282" s="4"/>
      <c r="AC282" s="4"/>
    </row>
    <row r="283" customFormat="false" ht="15" hidden="false" customHeight="true" outlineLevel="0" collapsed="false">
      <c r="A283" s="85"/>
      <c r="B283" s="85"/>
      <c r="C283" s="85"/>
      <c r="D283" s="85"/>
      <c r="E283" s="85"/>
      <c r="F283" s="85"/>
      <c r="G283" s="85"/>
      <c r="H283" s="85"/>
      <c r="I283" s="138" t="str">
        <f aca="false">IFERROR(VLOOKUP(TEXT(H283,"0"),IPRESS!$A$3:$B$212,2,0),"")</f>
        <v/>
      </c>
      <c r="J283" s="85"/>
      <c r="K283" s="149"/>
      <c r="L283" s="85"/>
      <c r="M283" s="85"/>
      <c r="N283" s="151"/>
      <c r="O283" s="85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85"/>
      <c r="S283" s="85"/>
      <c r="T283" s="85"/>
      <c r="U283" s="85"/>
      <c r="V283" s="85"/>
      <c r="W283" s="85"/>
      <c r="X283" s="85"/>
      <c r="Y283" s="85"/>
      <c r="Z283" s="157"/>
      <c r="AA283" s="4"/>
      <c r="AB283" s="4"/>
      <c r="AC283" s="4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49"/>
      <c r="L284" s="85"/>
      <c r="M284" s="85"/>
      <c r="N284" s="151"/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57"/>
      <c r="AA284" s="4"/>
      <c r="AB284" s="4"/>
      <c r="AC284" s="4"/>
    </row>
    <row r="285" customFormat="false" ht="15" hidden="false" customHeight="true" outlineLevel="0" collapsed="false">
      <c r="A285" s="85"/>
      <c r="B285" s="85"/>
      <c r="C285" s="85"/>
      <c r="D285" s="85"/>
      <c r="E285" s="85"/>
      <c r="F285" s="85"/>
      <c r="G285" s="85"/>
      <c r="H285" s="85"/>
      <c r="I285" s="138" t="str">
        <f aca="false">IFERROR(VLOOKUP(TEXT(H285,"0"),IPRESS!$A$3:$B$212,2,0),"")</f>
        <v/>
      </c>
      <c r="J285" s="85"/>
      <c r="K285" s="149"/>
      <c r="L285" s="85"/>
      <c r="M285" s="85"/>
      <c r="N285" s="151"/>
      <c r="O285" s="85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85"/>
      <c r="S285" s="85"/>
      <c r="T285" s="85"/>
      <c r="U285" s="85"/>
      <c r="V285" s="85"/>
      <c r="W285" s="85"/>
      <c r="X285" s="85"/>
      <c r="Y285" s="85"/>
      <c r="Z285" s="157"/>
      <c r="AA285" s="4"/>
      <c r="AB285" s="4"/>
      <c r="AC285" s="4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49"/>
      <c r="L286" s="85"/>
      <c r="M286" s="85"/>
      <c r="N286" s="151"/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57"/>
      <c r="AA286" s="4"/>
      <c r="AB286" s="4"/>
      <c r="AC286" s="4"/>
    </row>
    <row r="287" customFormat="false" ht="15" hidden="false" customHeight="true" outlineLevel="0" collapsed="false">
      <c r="A287" s="85"/>
      <c r="B287" s="85"/>
      <c r="C287" s="85"/>
      <c r="D287" s="85"/>
      <c r="E287" s="85"/>
      <c r="F287" s="85"/>
      <c r="G287" s="85"/>
      <c r="H287" s="85"/>
      <c r="I287" s="138" t="str">
        <f aca="false">IFERROR(VLOOKUP(TEXT(H287,"0"),IPRESS!$A$3:$B$212,2,0),"")</f>
        <v/>
      </c>
      <c r="J287" s="85"/>
      <c r="K287" s="149"/>
      <c r="L287" s="85"/>
      <c r="M287" s="85"/>
      <c r="N287" s="151"/>
      <c r="O287" s="85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85"/>
      <c r="S287" s="85"/>
      <c r="T287" s="85"/>
      <c r="U287" s="85"/>
      <c r="V287" s="85"/>
      <c r="W287" s="85"/>
      <c r="X287" s="85"/>
      <c r="Y287" s="85"/>
      <c r="Z287" s="157"/>
      <c r="AA287" s="4"/>
      <c r="AB287" s="4"/>
      <c r="AC287" s="4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49"/>
      <c r="L288" s="85"/>
      <c r="M288" s="85"/>
      <c r="N288" s="151"/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57"/>
      <c r="AA288" s="4"/>
      <c r="AB288" s="4"/>
      <c r="AC288" s="4"/>
    </row>
    <row r="289" customFormat="false" ht="15" hidden="false" customHeight="true" outlineLevel="0" collapsed="false">
      <c r="A289" s="85"/>
      <c r="B289" s="85"/>
      <c r="C289" s="85"/>
      <c r="D289" s="85"/>
      <c r="E289" s="85"/>
      <c r="F289" s="85"/>
      <c r="G289" s="85"/>
      <c r="H289" s="85"/>
      <c r="I289" s="138" t="str">
        <f aca="false">IFERROR(VLOOKUP(TEXT(H289,"0"),IPRESS!$A$3:$B$212,2,0),"")</f>
        <v/>
      </c>
      <c r="J289" s="85"/>
      <c r="K289" s="149"/>
      <c r="L289" s="85"/>
      <c r="M289" s="85"/>
      <c r="N289" s="151"/>
      <c r="O289" s="85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85"/>
      <c r="S289" s="85"/>
      <c r="T289" s="85"/>
      <c r="U289" s="85"/>
      <c r="V289" s="85"/>
      <c r="W289" s="85"/>
      <c r="X289" s="85"/>
      <c r="Y289" s="85"/>
      <c r="Z289" s="157"/>
      <c r="AA289" s="4"/>
      <c r="AB289" s="4"/>
      <c r="AC289" s="4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49"/>
      <c r="L290" s="85"/>
      <c r="M290" s="85"/>
      <c r="N290" s="151"/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57"/>
      <c r="AA290" s="4"/>
      <c r="AB290" s="4"/>
      <c r="AC290" s="4"/>
    </row>
    <row r="291" customFormat="false" ht="15" hidden="false" customHeight="true" outlineLevel="0" collapsed="false">
      <c r="A291" s="85"/>
      <c r="B291" s="85"/>
      <c r="C291" s="85"/>
      <c r="D291" s="85"/>
      <c r="E291" s="85"/>
      <c r="F291" s="85"/>
      <c r="G291" s="85"/>
      <c r="H291" s="85"/>
      <c r="I291" s="138" t="str">
        <f aca="false">IFERROR(VLOOKUP(TEXT(H291,"0"),IPRESS!$A$3:$B$212,2,0),"")</f>
        <v/>
      </c>
      <c r="J291" s="85"/>
      <c r="K291" s="149"/>
      <c r="L291" s="85"/>
      <c r="M291" s="85"/>
      <c r="N291" s="151"/>
      <c r="O291" s="85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85"/>
      <c r="S291" s="85"/>
      <c r="T291" s="85"/>
      <c r="U291" s="85"/>
      <c r="V291" s="85"/>
      <c r="W291" s="85"/>
      <c r="X291" s="85"/>
      <c r="Y291" s="85"/>
      <c r="Z291" s="157"/>
      <c r="AA291" s="4"/>
      <c r="AB291" s="4"/>
      <c r="AC291" s="4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49"/>
      <c r="L292" s="85"/>
      <c r="M292" s="85"/>
      <c r="N292" s="151"/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57"/>
      <c r="AA292" s="4"/>
      <c r="AB292" s="4"/>
      <c r="AC292" s="4"/>
    </row>
    <row r="293" customFormat="false" ht="15" hidden="false" customHeight="true" outlineLevel="0" collapsed="false">
      <c r="A293" s="85"/>
      <c r="B293" s="85"/>
      <c r="C293" s="85"/>
      <c r="D293" s="85"/>
      <c r="E293" s="85"/>
      <c r="F293" s="85"/>
      <c r="G293" s="85"/>
      <c r="H293" s="85"/>
      <c r="I293" s="138" t="str">
        <f aca="false">IFERROR(VLOOKUP(TEXT(H293,"0"),IPRESS!$A$3:$B$212,2,0),"")</f>
        <v/>
      </c>
      <c r="J293" s="85"/>
      <c r="K293" s="149"/>
      <c r="L293" s="85"/>
      <c r="M293" s="85"/>
      <c r="N293" s="151"/>
      <c r="O293" s="85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85"/>
      <c r="S293" s="85"/>
      <c r="T293" s="85"/>
      <c r="U293" s="85"/>
      <c r="V293" s="85"/>
      <c r="W293" s="85"/>
      <c r="X293" s="85"/>
      <c r="Y293" s="85"/>
      <c r="Z293" s="157"/>
      <c r="AA293" s="4"/>
      <c r="AB293" s="4"/>
      <c r="AC293" s="4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49"/>
      <c r="L294" s="85"/>
      <c r="M294" s="85"/>
      <c r="N294" s="151"/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57"/>
      <c r="AA294" s="4"/>
      <c r="AB294" s="4"/>
      <c r="AC294" s="4"/>
    </row>
    <row r="295" customFormat="false" ht="15" hidden="false" customHeight="true" outlineLevel="0" collapsed="false">
      <c r="A295" s="85"/>
      <c r="B295" s="85"/>
      <c r="C295" s="85"/>
      <c r="D295" s="85"/>
      <c r="E295" s="85"/>
      <c r="F295" s="85"/>
      <c r="G295" s="85"/>
      <c r="H295" s="85"/>
      <c r="I295" s="138" t="str">
        <f aca="false">IFERROR(VLOOKUP(TEXT(H295,"0"),IPRESS!$A$3:$B$212,2,0),"")</f>
        <v/>
      </c>
      <c r="J295" s="85"/>
      <c r="K295" s="149"/>
      <c r="L295" s="85"/>
      <c r="M295" s="85"/>
      <c r="N295" s="151"/>
      <c r="O295" s="85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85"/>
      <c r="S295" s="85"/>
      <c r="T295" s="85"/>
      <c r="U295" s="85"/>
      <c r="V295" s="85"/>
      <c r="W295" s="85"/>
      <c r="X295" s="85"/>
      <c r="Y295" s="85"/>
      <c r="Z295" s="157"/>
      <c r="AA295" s="4"/>
      <c r="AB295" s="4"/>
      <c r="AC295" s="4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49"/>
      <c r="L296" s="85"/>
      <c r="M296" s="85"/>
      <c r="N296" s="151"/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57"/>
      <c r="AA296" s="4"/>
      <c r="AB296" s="4"/>
      <c r="AC296" s="4"/>
    </row>
    <row r="297" customFormat="false" ht="15" hidden="false" customHeight="true" outlineLevel="0" collapsed="false">
      <c r="A297" s="85"/>
      <c r="B297" s="85"/>
      <c r="C297" s="85"/>
      <c r="D297" s="85"/>
      <c r="E297" s="85"/>
      <c r="F297" s="85"/>
      <c r="G297" s="85"/>
      <c r="H297" s="85"/>
      <c r="I297" s="138" t="str">
        <f aca="false">IFERROR(VLOOKUP(TEXT(H297,"0"),IPRESS!$A$3:$B$212,2,0),"")</f>
        <v/>
      </c>
      <c r="J297" s="85"/>
      <c r="K297" s="149"/>
      <c r="L297" s="85"/>
      <c r="M297" s="85"/>
      <c r="N297" s="151"/>
      <c r="O297" s="85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85"/>
      <c r="S297" s="85"/>
      <c r="T297" s="85"/>
      <c r="U297" s="85"/>
      <c r="V297" s="85"/>
      <c r="W297" s="85"/>
      <c r="X297" s="85"/>
      <c r="Y297" s="85"/>
      <c r="Z297" s="157"/>
      <c r="AA297" s="4"/>
      <c r="AB297" s="4"/>
      <c r="AC297" s="4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49"/>
      <c r="L298" s="85"/>
      <c r="M298" s="85"/>
      <c r="N298" s="151"/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57"/>
      <c r="AA298" s="4"/>
      <c r="AB298" s="4"/>
      <c r="AC298" s="4"/>
    </row>
    <row r="299" customFormat="false" ht="15" hidden="false" customHeight="true" outlineLevel="0" collapsed="false">
      <c r="A299" s="85"/>
      <c r="B299" s="85"/>
      <c r="C299" s="85"/>
      <c r="D299" s="85"/>
      <c r="E299" s="85"/>
      <c r="F299" s="85"/>
      <c r="G299" s="85"/>
      <c r="H299" s="85"/>
      <c r="I299" s="138" t="str">
        <f aca="false">IFERROR(VLOOKUP(TEXT(H299,"0"),IPRESS!$A$3:$B$212,2,0),"")</f>
        <v/>
      </c>
      <c r="J299" s="85"/>
      <c r="K299" s="149"/>
      <c r="L299" s="85"/>
      <c r="M299" s="85"/>
      <c r="N299" s="151"/>
      <c r="O299" s="85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85"/>
      <c r="S299" s="85"/>
      <c r="T299" s="85"/>
      <c r="U299" s="85"/>
      <c r="V299" s="85"/>
      <c r="W299" s="85"/>
      <c r="X299" s="85"/>
      <c r="Y299" s="85"/>
      <c r="Z299" s="157"/>
      <c r="AA299" s="4"/>
      <c r="AB299" s="4"/>
      <c r="AC299" s="4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49"/>
      <c r="L300" s="85"/>
      <c r="M300" s="85"/>
      <c r="N300" s="151"/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57"/>
      <c r="AA300" s="4"/>
      <c r="AB300" s="4"/>
      <c r="AC300" s="4"/>
    </row>
    <row r="301" customFormat="false" ht="15" hidden="false" customHeight="true" outlineLevel="0" collapsed="false">
      <c r="A301" s="85"/>
      <c r="B301" s="85"/>
      <c r="C301" s="85"/>
      <c r="D301" s="85"/>
      <c r="E301" s="85"/>
      <c r="F301" s="85"/>
      <c r="G301" s="85"/>
      <c r="H301" s="85"/>
      <c r="I301" s="138" t="str">
        <f aca="false">IFERROR(VLOOKUP(TEXT(H301,"0"),IPRESS!$A$3:$B$212,2,0),"")</f>
        <v/>
      </c>
      <c r="J301" s="85"/>
      <c r="K301" s="149"/>
      <c r="L301" s="85"/>
      <c r="M301" s="85"/>
      <c r="N301" s="151"/>
      <c r="O301" s="85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85"/>
      <c r="S301" s="85"/>
      <c r="T301" s="85"/>
      <c r="U301" s="85"/>
      <c r="V301" s="85"/>
      <c r="W301" s="85"/>
      <c r="X301" s="85"/>
      <c r="Y301" s="85"/>
      <c r="Z301" s="157"/>
      <c r="AA301" s="4"/>
      <c r="AB301" s="4"/>
      <c r="AC301" s="4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49"/>
      <c r="L302" s="85"/>
      <c r="M302" s="85"/>
      <c r="N302" s="151"/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57"/>
      <c r="AA302" s="4"/>
      <c r="AB302" s="4"/>
      <c r="AC302" s="4"/>
    </row>
    <row r="303" customFormat="false" ht="15" hidden="false" customHeight="true" outlineLevel="0" collapsed="false">
      <c r="A303" s="85"/>
      <c r="B303" s="85"/>
      <c r="C303" s="85"/>
      <c r="D303" s="85"/>
      <c r="E303" s="85"/>
      <c r="F303" s="85"/>
      <c r="G303" s="85"/>
      <c r="H303" s="85"/>
      <c r="I303" s="138" t="str">
        <f aca="false">IFERROR(VLOOKUP(TEXT(H303,"0"),IPRESS!$A$3:$B$212,2,0),"")</f>
        <v/>
      </c>
      <c r="J303" s="85"/>
      <c r="K303" s="149"/>
      <c r="L303" s="85"/>
      <c r="M303" s="85"/>
      <c r="N303" s="151"/>
      <c r="O303" s="85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85"/>
      <c r="S303" s="85"/>
      <c r="T303" s="85"/>
      <c r="U303" s="85"/>
      <c r="V303" s="85"/>
      <c r="W303" s="85"/>
      <c r="X303" s="85"/>
      <c r="Y303" s="85"/>
      <c r="Z303" s="157"/>
      <c r="AA303" s="4"/>
      <c r="AB303" s="4"/>
      <c r="AC303" s="4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49"/>
      <c r="L304" s="85"/>
      <c r="M304" s="85"/>
      <c r="N304" s="151"/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57"/>
      <c r="AA304" s="4"/>
      <c r="AB304" s="4"/>
      <c r="AC304" s="4"/>
    </row>
    <row r="305" customFormat="false" ht="15" hidden="false" customHeight="true" outlineLevel="0" collapsed="false">
      <c r="A305" s="85"/>
      <c r="B305" s="85"/>
      <c r="C305" s="85"/>
      <c r="D305" s="85"/>
      <c r="E305" s="85"/>
      <c r="F305" s="85"/>
      <c r="G305" s="85"/>
      <c r="H305" s="85"/>
      <c r="I305" s="138" t="str">
        <f aca="false">IFERROR(VLOOKUP(TEXT(H305,"0"),IPRESS!$A$3:$B$212,2,0),"")</f>
        <v/>
      </c>
      <c r="J305" s="85"/>
      <c r="K305" s="149"/>
      <c r="L305" s="85"/>
      <c r="M305" s="85"/>
      <c r="N305" s="151"/>
      <c r="O305" s="85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85"/>
      <c r="S305" s="85"/>
      <c r="T305" s="85"/>
      <c r="U305" s="85"/>
      <c r="V305" s="85"/>
      <c r="W305" s="85"/>
      <c r="X305" s="85"/>
      <c r="Y305" s="85"/>
      <c r="Z305" s="157"/>
      <c r="AA305" s="4"/>
      <c r="AB305" s="4"/>
      <c r="AC305" s="4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49"/>
      <c r="L306" s="85"/>
      <c r="M306" s="85"/>
      <c r="N306" s="151"/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57"/>
      <c r="AA306" s="4"/>
      <c r="AB306" s="4"/>
      <c r="AC306" s="4"/>
    </row>
    <row r="307" customFormat="false" ht="15" hidden="false" customHeight="true" outlineLevel="0" collapsed="false">
      <c r="A307" s="85"/>
      <c r="B307" s="85"/>
      <c r="C307" s="85"/>
      <c r="D307" s="85"/>
      <c r="E307" s="85"/>
      <c r="F307" s="85"/>
      <c r="G307" s="85"/>
      <c r="H307" s="85"/>
      <c r="I307" s="138" t="str">
        <f aca="false">IFERROR(VLOOKUP(TEXT(H307,"0"),IPRESS!$A$3:$B$212,2,0),"")</f>
        <v/>
      </c>
      <c r="J307" s="85"/>
      <c r="K307" s="149"/>
      <c r="L307" s="85"/>
      <c r="M307" s="85"/>
      <c r="N307" s="151"/>
      <c r="O307" s="85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85"/>
      <c r="S307" s="85"/>
      <c r="T307" s="85"/>
      <c r="U307" s="85"/>
      <c r="V307" s="85"/>
      <c r="W307" s="85"/>
      <c r="X307" s="85"/>
      <c r="Y307" s="85"/>
      <c r="Z307" s="157"/>
      <c r="AA307" s="4"/>
      <c r="AB307" s="4"/>
      <c r="AC307" s="4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49"/>
      <c r="L308" s="85"/>
      <c r="M308" s="85"/>
      <c r="N308" s="151"/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57"/>
      <c r="AA308" s="4"/>
      <c r="AB308" s="4"/>
      <c r="AC308" s="4"/>
    </row>
    <row r="309" customFormat="false" ht="15" hidden="false" customHeight="true" outlineLevel="0" collapsed="false">
      <c r="A309" s="85"/>
      <c r="B309" s="85"/>
      <c r="C309" s="85"/>
      <c r="D309" s="85"/>
      <c r="E309" s="85"/>
      <c r="F309" s="85"/>
      <c r="G309" s="85"/>
      <c r="H309" s="85"/>
      <c r="I309" s="138" t="str">
        <f aca="false">IFERROR(VLOOKUP(TEXT(H309,"0"),IPRESS!$A$3:$B$212,2,0),"")</f>
        <v/>
      </c>
      <c r="J309" s="85"/>
      <c r="K309" s="149"/>
      <c r="L309" s="85"/>
      <c r="M309" s="85"/>
      <c r="N309" s="151"/>
      <c r="O309" s="85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85"/>
      <c r="S309" s="85"/>
      <c r="T309" s="85"/>
      <c r="U309" s="85"/>
      <c r="V309" s="85"/>
      <c r="W309" s="85"/>
      <c r="X309" s="85"/>
      <c r="Y309" s="85"/>
      <c r="Z309" s="157"/>
      <c r="AA309" s="4"/>
      <c r="AB309" s="4"/>
      <c r="AC309" s="4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49"/>
      <c r="L310" s="85"/>
      <c r="M310" s="85"/>
      <c r="N310" s="151"/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57"/>
      <c r="AA310" s="4"/>
      <c r="AB310" s="4"/>
      <c r="AC310" s="4"/>
    </row>
    <row r="311" customFormat="false" ht="15" hidden="false" customHeight="true" outlineLevel="0" collapsed="false">
      <c r="A311" s="85"/>
      <c r="B311" s="85"/>
      <c r="C311" s="85"/>
      <c r="D311" s="85"/>
      <c r="E311" s="85"/>
      <c r="F311" s="85"/>
      <c r="G311" s="85"/>
      <c r="H311" s="85"/>
      <c r="I311" s="138" t="str">
        <f aca="false">IFERROR(VLOOKUP(TEXT(H311,"0"),IPRESS!$A$3:$B$212,2,0),"")</f>
        <v/>
      </c>
      <c r="J311" s="85"/>
      <c r="K311" s="149"/>
      <c r="L311" s="85"/>
      <c r="M311" s="85"/>
      <c r="N311" s="151"/>
      <c r="O311" s="85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85"/>
      <c r="S311" s="85"/>
      <c r="T311" s="85"/>
      <c r="U311" s="85"/>
      <c r="V311" s="85"/>
      <c r="W311" s="85"/>
      <c r="X311" s="85"/>
      <c r="Y311" s="85"/>
      <c r="Z311" s="157"/>
      <c r="AA311" s="4"/>
      <c r="AB311" s="4"/>
      <c r="AC311" s="4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49"/>
      <c r="L312" s="85"/>
      <c r="M312" s="85"/>
      <c r="N312" s="151"/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57"/>
      <c r="AA312" s="4"/>
      <c r="AB312" s="4"/>
      <c r="AC312" s="4"/>
    </row>
    <row r="313" customFormat="false" ht="15" hidden="false" customHeight="true" outlineLevel="0" collapsed="false">
      <c r="A313" s="85"/>
      <c r="B313" s="85"/>
      <c r="C313" s="85"/>
      <c r="D313" s="85"/>
      <c r="E313" s="85"/>
      <c r="F313" s="85"/>
      <c r="G313" s="85"/>
      <c r="H313" s="85"/>
      <c r="I313" s="138" t="str">
        <f aca="false">IFERROR(VLOOKUP(TEXT(H313,"0"),IPRESS!$A$3:$B$212,2,0),"")</f>
        <v/>
      </c>
      <c r="J313" s="85"/>
      <c r="K313" s="149"/>
      <c r="L313" s="85"/>
      <c r="M313" s="85"/>
      <c r="N313" s="151"/>
      <c r="O313" s="85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85"/>
      <c r="S313" s="85"/>
      <c r="T313" s="85"/>
      <c r="U313" s="85"/>
      <c r="V313" s="85"/>
      <c r="W313" s="85"/>
      <c r="X313" s="85"/>
      <c r="Y313" s="85"/>
      <c r="Z313" s="157"/>
      <c r="AA313" s="4"/>
      <c r="AB313" s="4"/>
      <c r="AC313" s="4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49"/>
      <c r="L314" s="85"/>
      <c r="M314" s="85"/>
      <c r="N314" s="151"/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57"/>
      <c r="AA314" s="4"/>
      <c r="AB314" s="4"/>
      <c r="AC314" s="4"/>
    </row>
    <row r="315" customFormat="false" ht="15" hidden="false" customHeight="true" outlineLevel="0" collapsed="false">
      <c r="A315" s="85"/>
      <c r="B315" s="85"/>
      <c r="C315" s="85"/>
      <c r="D315" s="85"/>
      <c r="E315" s="85"/>
      <c r="F315" s="85"/>
      <c r="G315" s="85"/>
      <c r="H315" s="85"/>
      <c r="I315" s="138" t="str">
        <f aca="false">IFERROR(VLOOKUP(TEXT(H315,"0"),IPRESS!$A$3:$B$212,2,0),"")</f>
        <v/>
      </c>
      <c r="J315" s="85"/>
      <c r="K315" s="149"/>
      <c r="L315" s="85"/>
      <c r="M315" s="85"/>
      <c r="N315" s="151"/>
      <c r="O315" s="85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85"/>
      <c r="S315" s="85"/>
      <c r="T315" s="85"/>
      <c r="U315" s="85"/>
      <c r="V315" s="85"/>
      <c r="W315" s="85"/>
      <c r="X315" s="85"/>
      <c r="Y315" s="85"/>
      <c r="Z315" s="157"/>
      <c r="AA315" s="4"/>
      <c r="AB315" s="4"/>
      <c r="AC315" s="4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49"/>
      <c r="L316" s="85"/>
      <c r="M316" s="85"/>
      <c r="N316" s="151"/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57"/>
      <c r="AA316" s="4"/>
      <c r="AB316" s="4"/>
      <c r="AC316" s="4"/>
    </row>
    <row r="317" customFormat="false" ht="15" hidden="false" customHeight="true" outlineLevel="0" collapsed="false">
      <c r="A317" s="85"/>
      <c r="B317" s="85"/>
      <c r="C317" s="85"/>
      <c r="D317" s="85"/>
      <c r="E317" s="85"/>
      <c r="F317" s="85"/>
      <c r="G317" s="85"/>
      <c r="H317" s="85"/>
      <c r="I317" s="138" t="str">
        <f aca="false">IFERROR(VLOOKUP(TEXT(H317,"0"),IPRESS!$A$3:$B$212,2,0),"")</f>
        <v/>
      </c>
      <c r="J317" s="85"/>
      <c r="K317" s="149"/>
      <c r="L317" s="85"/>
      <c r="M317" s="85"/>
      <c r="N317" s="151"/>
      <c r="O317" s="85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85"/>
      <c r="S317" s="85"/>
      <c r="T317" s="85"/>
      <c r="U317" s="85"/>
      <c r="V317" s="85"/>
      <c r="W317" s="85"/>
      <c r="X317" s="85"/>
      <c r="Y317" s="85"/>
      <c r="Z317" s="157"/>
      <c r="AA317" s="4"/>
      <c r="AB317" s="4"/>
      <c r="AC317" s="4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49"/>
      <c r="L318" s="85"/>
      <c r="M318" s="85"/>
      <c r="N318" s="151"/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57"/>
      <c r="AA318" s="4"/>
      <c r="AB318" s="4"/>
      <c r="AC318" s="4"/>
    </row>
    <row r="319" customFormat="false" ht="15" hidden="false" customHeight="true" outlineLevel="0" collapsed="false">
      <c r="A319" s="85"/>
      <c r="B319" s="85"/>
      <c r="C319" s="85"/>
      <c r="D319" s="85"/>
      <c r="E319" s="85"/>
      <c r="F319" s="85"/>
      <c r="G319" s="85"/>
      <c r="H319" s="85"/>
      <c r="I319" s="138" t="str">
        <f aca="false">IFERROR(VLOOKUP(TEXT(H319,"0"),IPRESS!$A$3:$B$212,2,0),"")</f>
        <v/>
      </c>
      <c r="J319" s="85"/>
      <c r="K319" s="149"/>
      <c r="L319" s="85"/>
      <c r="M319" s="85"/>
      <c r="N319" s="151"/>
      <c r="O319" s="85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85"/>
      <c r="S319" s="85"/>
      <c r="T319" s="85"/>
      <c r="U319" s="85"/>
      <c r="V319" s="85"/>
      <c r="W319" s="85"/>
      <c r="X319" s="85"/>
      <c r="Y319" s="85"/>
      <c r="Z319" s="157"/>
      <c r="AA319" s="4"/>
      <c r="AB319" s="4"/>
      <c r="AC319" s="4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49"/>
      <c r="L320" s="85"/>
      <c r="M320" s="85"/>
      <c r="N320" s="151"/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57"/>
      <c r="AA320" s="4"/>
      <c r="AB320" s="4"/>
      <c r="AC320" s="4"/>
    </row>
    <row r="321" customFormat="false" ht="15" hidden="false" customHeight="true" outlineLevel="0" collapsed="false">
      <c r="A321" s="85"/>
      <c r="B321" s="85"/>
      <c r="C321" s="85"/>
      <c r="D321" s="85"/>
      <c r="E321" s="85"/>
      <c r="F321" s="85"/>
      <c r="G321" s="85"/>
      <c r="H321" s="85"/>
      <c r="I321" s="138" t="str">
        <f aca="false">IFERROR(VLOOKUP(TEXT(H321,"0"),IPRESS!$A$3:$B$212,2,0),"")</f>
        <v/>
      </c>
      <c r="J321" s="85"/>
      <c r="K321" s="149"/>
      <c r="L321" s="85"/>
      <c r="M321" s="85"/>
      <c r="N321" s="151"/>
      <c r="O321" s="85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85"/>
      <c r="S321" s="85"/>
      <c r="T321" s="85"/>
      <c r="U321" s="85"/>
      <c r="V321" s="85"/>
      <c r="W321" s="85"/>
      <c r="X321" s="85"/>
      <c r="Y321" s="85"/>
      <c r="Z321" s="157"/>
      <c r="AA321" s="4"/>
      <c r="AB321" s="4"/>
      <c r="AC321" s="4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49"/>
      <c r="L322" s="85"/>
      <c r="M322" s="85"/>
      <c r="N322" s="151"/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57"/>
      <c r="AA322" s="4"/>
      <c r="AB322" s="4"/>
      <c r="AC322" s="4"/>
    </row>
    <row r="323" customFormat="false" ht="15" hidden="false" customHeight="true" outlineLevel="0" collapsed="false">
      <c r="A323" s="85"/>
      <c r="B323" s="85"/>
      <c r="C323" s="85"/>
      <c r="D323" s="85"/>
      <c r="E323" s="85"/>
      <c r="F323" s="85"/>
      <c r="G323" s="85"/>
      <c r="H323" s="85"/>
      <c r="I323" s="138" t="str">
        <f aca="false">IFERROR(VLOOKUP(TEXT(H323,"0"),IPRESS!$A$3:$B$212,2,0),"")</f>
        <v/>
      </c>
      <c r="J323" s="85"/>
      <c r="K323" s="149"/>
      <c r="L323" s="85"/>
      <c r="M323" s="85"/>
      <c r="N323" s="151"/>
      <c r="O323" s="85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85"/>
      <c r="S323" s="85"/>
      <c r="T323" s="85"/>
      <c r="U323" s="85"/>
      <c r="V323" s="85"/>
      <c r="W323" s="85"/>
      <c r="X323" s="85"/>
      <c r="Y323" s="85"/>
      <c r="Z323" s="157"/>
      <c r="AA323" s="4"/>
      <c r="AB323" s="4"/>
      <c r="AC323" s="4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49"/>
      <c r="L324" s="85"/>
      <c r="M324" s="85"/>
      <c r="N324" s="151"/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57"/>
      <c r="AA324" s="4"/>
      <c r="AB324" s="4"/>
      <c r="AC324" s="4"/>
    </row>
    <row r="325" customFormat="false" ht="15" hidden="false" customHeight="true" outlineLevel="0" collapsed="false">
      <c r="A325" s="85"/>
      <c r="B325" s="85"/>
      <c r="C325" s="85"/>
      <c r="D325" s="85"/>
      <c r="E325" s="85"/>
      <c r="F325" s="85"/>
      <c r="G325" s="85"/>
      <c r="H325" s="85"/>
      <c r="I325" s="138" t="str">
        <f aca="false">IFERROR(VLOOKUP(TEXT(H325,"0"),IPRESS!$A$3:$B$212,2,0),"")</f>
        <v/>
      </c>
      <c r="J325" s="85"/>
      <c r="K325" s="149"/>
      <c r="L325" s="85"/>
      <c r="M325" s="85"/>
      <c r="N325" s="151"/>
      <c r="O325" s="85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85"/>
      <c r="S325" s="85"/>
      <c r="T325" s="85"/>
      <c r="U325" s="85"/>
      <c r="V325" s="85"/>
      <c r="W325" s="85"/>
      <c r="X325" s="85"/>
      <c r="Y325" s="85"/>
      <c r="Z325" s="157"/>
      <c r="AA325" s="4"/>
      <c r="AB325" s="4"/>
      <c r="AC325" s="4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49"/>
      <c r="L326" s="85"/>
      <c r="M326" s="85"/>
      <c r="N326" s="151"/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57"/>
      <c r="AA326" s="4"/>
      <c r="AB326" s="4"/>
      <c r="AC326" s="4"/>
    </row>
    <row r="327" customFormat="false" ht="15" hidden="false" customHeight="true" outlineLevel="0" collapsed="false">
      <c r="A327" s="85"/>
      <c r="B327" s="85"/>
      <c r="C327" s="85"/>
      <c r="D327" s="85"/>
      <c r="E327" s="85"/>
      <c r="F327" s="85"/>
      <c r="G327" s="85"/>
      <c r="H327" s="85"/>
      <c r="I327" s="138" t="str">
        <f aca="false">IFERROR(VLOOKUP(TEXT(H327,"0"),IPRESS!$A$3:$B$212,2,0),"")</f>
        <v/>
      </c>
      <c r="J327" s="85"/>
      <c r="K327" s="149"/>
      <c r="L327" s="85"/>
      <c r="M327" s="85"/>
      <c r="N327" s="151"/>
      <c r="O327" s="85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85"/>
      <c r="S327" s="85"/>
      <c r="T327" s="85"/>
      <c r="U327" s="85"/>
      <c r="V327" s="85"/>
      <c r="W327" s="85"/>
      <c r="X327" s="85"/>
      <c r="Y327" s="85"/>
      <c r="Z327" s="157"/>
      <c r="AA327" s="4"/>
      <c r="AB327" s="4"/>
      <c r="AC327" s="4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49"/>
      <c r="L328" s="85"/>
      <c r="M328" s="85"/>
      <c r="N328" s="151"/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57"/>
      <c r="AA328" s="4"/>
      <c r="AB328" s="4"/>
      <c r="AC328" s="4"/>
    </row>
    <row r="329" customFormat="false" ht="15" hidden="false" customHeight="true" outlineLevel="0" collapsed="false">
      <c r="A329" s="85"/>
      <c r="B329" s="85"/>
      <c r="C329" s="85"/>
      <c r="D329" s="85"/>
      <c r="E329" s="85"/>
      <c r="F329" s="85"/>
      <c r="G329" s="85"/>
      <c r="H329" s="85"/>
      <c r="I329" s="138" t="str">
        <f aca="false">IFERROR(VLOOKUP(TEXT(H329,"0"),IPRESS!$A$3:$B$212,2,0),"")</f>
        <v/>
      </c>
      <c r="J329" s="85"/>
      <c r="K329" s="149"/>
      <c r="L329" s="85"/>
      <c r="M329" s="85"/>
      <c r="N329" s="151"/>
      <c r="O329" s="85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85"/>
      <c r="S329" s="85"/>
      <c r="T329" s="85"/>
      <c r="U329" s="85"/>
      <c r="V329" s="85"/>
      <c r="W329" s="85"/>
      <c r="X329" s="85"/>
      <c r="Y329" s="85"/>
      <c r="Z329" s="157"/>
      <c r="AA329" s="4"/>
      <c r="AB329" s="4"/>
      <c r="AC329" s="4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49"/>
      <c r="L330" s="85"/>
      <c r="M330" s="85"/>
      <c r="N330" s="151"/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57"/>
      <c r="AA330" s="4"/>
      <c r="AB330" s="4"/>
      <c r="AC330" s="4"/>
    </row>
    <row r="331" customFormat="false" ht="15" hidden="false" customHeight="true" outlineLevel="0" collapsed="false">
      <c r="A331" s="85"/>
      <c r="B331" s="85"/>
      <c r="C331" s="85"/>
      <c r="D331" s="85"/>
      <c r="E331" s="85"/>
      <c r="F331" s="85"/>
      <c r="G331" s="85"/>
      <c r="H331" s="85"/>
      <c r="I331" s="138" t="str">
        <f aca="false">IFERROR(VLOOKUP(TEXT(H331,"0"),IPRESS!$A$3:$B$212,2,0),"")</f>
        <v/>
      </c>
      <c r="J331" s="85"/>
      <c r="K331" s="149"/>
      <c r="L331" s="85"/>
      <c r="M331" s="85"/>
      <c r="N331" s="151"/>
      <c r="O331" s="85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85"/>
      <c r="S331" s="85"/>
      <c r="T331" s="85"/>
      <c r="U331" s="85"/>
      <c r="V331" s="85"/>
      <c r="W331" s="85"/>
      <c r="X331" s="85"/>
      <c r="Y331" s="85"/>
      <c r="Z331" s="157"/>
      <c r="AA331" s="4"/>
      <c r="AB331" s="4"/>
      <c r="AC331" s="4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49"/>
      <c r="L332" s="85"/>
      <c r="M332" s="85"/>
      <c r="N332" s="151"/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57"/>
      <c r="AA332" s="4"/>
      <c r="AB332" s="4"/>
      <c r="AC332" s="4"/>
    </row>
    <row r="333" customFormat="false" ht="15" hidden="false" customHeight="true" outlineLevel="0" collapsed="false">
      <c r="A333" s="85"/>
      <c r="B333" s="85"/>
      <c r="C333" s="85"/>
      <c r="D333" s="85"/>
      <c r="E333" s="85"/>
      <c r="F333" s="85"/>
      <c r="G333" s="85"/>
      <c r="H333" s="85"/>
      <c r="I333" s="138" t="str">
        <f aca="false">IFERROR(VLOOKUP(TEXT(H333,"0"),IPRESS!$A$3:$B$212,2,0),"")</f>
        <v/>
      </c>
      <c r="J333" s="85"/>
      <c r="K333" s="149"/>
      <c r="L333" s="85"/>
      <c r="M333" s="85"/>
      <c r="N333" s="151"/>
      <c r="O333" s="85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85"/>
      <c r="S333" s="85"/>
      <c r="T333" s="85"/>
      <c r="U333" s="85"/>
      <c r="V333" s="85"/>
      <c r="W333" s="85"/>
      <c r="X333" s="85"/>
      <c r="Y333" s="85"/>
      <c r="Z333" s="157"/>
      <c r="AA333" s="4"/>
      <c r="AB333" s="4"/>
      <c r="AC333" s="4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49"/>
      <c r="L334" s="85"/>
      <c r="M334" s="85"/>
      <c r="N334" s="151"/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57"/>
      <c r="AA334" s="4"/>
      <c r="AB334" s="4"/>
      <c r="AC334" s="4"/>
    </row>
    <row r="335" customFormat="false" ht="15" hidden="false" customHeight="true" outlineLevel="0" collapsed="false">
      <c r="A335" s="85"/>
      <c r="B335" s="85"/>
      <c r="C335" s="85"/>
      <c r="D335" s="85"/>
      <c r="E335" s="85"/>
      <c r="F335" s="85"/>
      <c r="G335" s="85"/>
      <c r="H335" s="85"/>
      <c r="I335" s="138" t="str">
        <f aca="false">IFERROR(VLOOKUP(TEXT(H335,"0"),IPRESS!$A$3:$B$212,2,0),"")</f>
        <v/>
      </c>
      <c r="J335" s="85"/>
      <c r="K335" s="149"/>
      <c r="L335" s="85"/>
      <c r="M335" s="85"/>
      <c r="N335" s="151"/>
      <c r="O335" s="85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85"/>
      <c r="S335" s="85"/>
      <c r="T335" s="85"/>
      <c r="U335" s="85"/>
      <c r="V335" s="85"/>
      <c r="W335" s="85"/>
      <c r="X335" s="85"/>
      <c r="Y335" s="85"/>
      <c r="Z335" s="157"/>
      <c r="AA335" s="4"/>
      <c r="AB335" s="4"/>
      <c r="AC335" s="4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49"/>
      <c r="L336" s="85"/>
      <c r="M336" s="85"/>
      <c r="N336" s="151"/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57"/>
      <c r="AA336" s="4"/>
      <c r="AB336" s="4"/>
      <c r="AC336" s="4"/>
    </row>
    <row r="337" customFormat="false" ht="15" hidden="false" customHeight="true" outlineLevel="0" collapsed="false">
      <c r="A337" s="85"/>
      <c r="B337" s="85"/>
      <c r="C337" s="85"/>
      <c r="D337" s="85"/>
      <c r="E337" s="85"/>
      <c r="F337" s="85"/>
      <c r="G337" s="85"/>
      <c r="H337" s="85"/>
      <c r="I337" s="138" t="str">
        <f aca="false">IFERROR(VLOOKUP(TEXT(H337,"0"),IPRESS!$A$3:$B$212,2,0),"")</f>
        <v/>
      </c>
      <c r="J337" s="85"/>
      <c r="K337" s="149"/>
      <c r="L337" s="85"/>
      <c r="M337" s="85"/>
      <c r="N337" s="151"/>
      <c r="O337" s="85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85"/>
      <c r="S337" s="85"/>
      <c r="T337" s="85"/>
      <c r="U337" s="85"/>
      <c r="V337" s="85"/>
      <c r="W337" s="85"/>
      <c r="X337" s="85"/>
      <c r="Y337" s="85"/>
      <c r="Z337" s="157"/>
      <c r="AA337" s="4"/>
      <c r="AB337" s="4"/>
      <c r="AC337" s="4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49"/>
      <c r="L338" s="85"/>
      <c r="M338" s="85"/>
      <c r="N338" s="151"/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57"/>
      <c r="AA338" s="4"/>
      <c r="AB338" s="4"/>
      <c r="AC338" s="4"/>
    </row>
    <row r="339" customFormat="false" ht="15" hidden="false" customHeight="true" outlineLevel="0" collapsed="false">
      <c r="A339" s="85"/>
      <c r="B339" s="85"/>
      <c r="C339" s="85"/>
      <c r="D339" s="85"/>
      <c r="E339" s="85"/>
      <c r="F339" s="85"/>
      <c r="G339" s="85"/>
      <c r="H339" s="85"/>
      <c r="I339" s="138" t="str">
        <f aca="false">IFERROR(VLOOKUP(TEXT(H339,"0"),IPRESS!$A$3:$B$212,2,0),"")</f>
        <v/>
      </c>
      <c r="J339" s="85"/>
      <c r="K339" s="149"/>
      <c r="L339" s="85"/>
      <c r="M339" s="85"/>
      <c r="N339" s="151"/>
      <c r="O339" s="85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85"/>
      <c r="S339" s="85"/>
      <c r="T339" s="85"/>
      <c r="U339" s="85"/>
      <c r="V339" s="85"/>
      <c r="W339" s="85"/>
      <c r="X339" s="85"/>
      <c r="Y339" s="85"/>
      <c r="Z339" s="157"/>
      <c r="AA339" s="4"/>
      <c r="AB339" s="4"/>
      <c r="AC339" s="4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49"/>
      <c r="L340" s="85"/>
      <c r="M340" s="85"/>
      <c r="N340" s="151"/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57"/>
      <c r="AA340" s="4"/>
      <c r="AB340" s="4"/>
      <c r="AC340" s="4"/>
    </row>
    <row r="341" customFormat="false" ht="15" hidden="false" customHeight="true" outlineLevel="0" collapsed="false">
      <c r="A341" s="85"/>
      <c r="B341" s="85"/>
      <c r="C341" s="85"/>
      <c r="D341" s="85"/>
      <c r="E341" s="85"/>
      <c r="F341" s="85"/>
      <c r="G341" s="85"/>
      <c r="H341" s="85"/>
      <c r="I341" s="138" t="str">
        <f aca="false">IFERROR(VLOOKUP(TEXT(H341,"0"),IPRESS!$A$3:$B$212,2,0),"")</f>
        <v/>
      </c>
      <c r="J341" s="85"/>
      <c r="K341" s="149"/>
      <c r="L341" s="85"/>
      <c r="M341" s="85"/>
      <c r="N341" s="151"/>
      <c r="O341" s="85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85"/>
      <c r="S341" s="85"/>
      <c r="T341" s="85"/>
      <c r="U341" s="85"/>
      <c r="V341" s="85"/>
      <c r="W341" s="85"/>
      <c r="X341" s="85"/>
      <c r="Y341" s="85"/>
      <c r="Z341" s="157"/>
      <c r="AA341" s="4"/>
      <c r="AB341" s="4"/>
      <c r="AC341" s="4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49"/>
      <c r="L342" s="85"/>
      <c r="M342" s="85"/>
      <c r="N342" s="151"/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57"/>
      <c r="AA342" s="4"/>
      <c r="AB342" s="4"/>
      <c r="AC342" s="4"/>
    </row>
    <row r="343" customFormat="false" ht="15" hidden="false" customHeight="true" outlineLevel="0" collapsed="false">
      <c r="A343" s="85"/>
      <c r="B343" s="85"/>
      <c r="C343" s="85"/>
      <c r="D343" s="85"/>
      <c r="E343" s="85"/>
      <c r="F343" s="85"/>
      <c r="G343" s="85"/>
      <c r="H343" s="85"/>
      <c r="I343" s="138" t="str">
        <f aca="false">IFERROR(VLOOKUP(TEXT(H343,"0"),IPRESS!$A$3:$B$212,2,0),"")</f>
        <v/>
      </c>
      <c r="J343" s="85"/>
      <c r="K343" s="149"/>
      <c r="L343" s="85"/>
      <c r="M343" s="85"/>
      <c r="N343" s="151"/>
      <c r="O343" s="85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85"/>
      <c r="S343" s="85"/>
      <c r="T343" s="85"/>
      <c r="U343" s="85"/>
      <c r="V343" s="85"/>
      <c r="W343" s="85"/>
      <c r="X343" s="85"/>
      <c r="Y343" s="85"/>
      <c r="Z343" s="157"/>
      <c r="AA343" s="4"/>
      <c r="AB343" s="4"/>
      <c r="AC343" s="4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49"/>
      <c r="L344" s="85"/>
      <c r="M344" s="85"/>
      <c r="N344" s="151"/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57"/>
      <c r="AA344" s="4"/>
      <c r="AB344" s="4"/>
      <c r="AC344" s="4"/>
    </row>
    <row r="345" customFormat="false" ht="15" hidden="false" customHeight="true" outlineLevel="0" collapsed="false">
      <c r="A345" s="85"/>
      <c r="B345" s="85"/>
      <c r="C345" s="85"/>
      <c r="D345" s="85"/>
      <c r="E345" s="85"/>
      <c r="F345" s="85"/>
      <c r="G345" s="85"/>
      <c r="H345" s="85"/>
      <c r="I345" s="138" t="str">
        <f aca="false">IFERROR(VLOOKUP(TEXT(H345,"0"),IPRESS!$A$3:$B$212,2,0),"")</f>
        <v/>
      </c>
      <c r="J345" s="85"/>
      <c r="K345" s="149"/>
      <c r="L345" s="85"/>
      <c r="M345" s="85"/>
      <c r="N345" s="151"/>
      <c r="O345" s="85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85"/>
      <c r="S345" s="85"/>
      <c r="T345" s="85"/>
      <c r="U345" s="85"/>
      <c r="V345" s="85"/>
      <c r="W345" s="85"/>
      <c r="X345" s="85"/>
      <c r="Y345" s="85"/>
      <c r="Z345" s="157"/>
      <c r="AA345" s="4"/>
      <c r="AB345" s="4"/>
      <c r="AC345" s="4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49"/>
      <c r="L346" s="85"/>
      <c r="M346" s="85"/>
      <c r="N346" s="151"/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57"/>
      <c r="AA346" s="4"/>
      <c r="AB346" s="4"/>
      <c r="AC346" s="4"/>
    </row>
    <row r="347" customFormat="false" ht="15" hidden="false" customHeight="true" outlineLevel="0" collapsed="false">
      <c r="A347" s="85"/>
      <c r="B347" s="85"/>
      <c r="C347" s="85"/>
      <c r="D347" s="85"/>
      <c r="E347" s="85"/>
      <c r="F347" s="85"/>
      <c r="G347" s="85"/>
      <c r="H347" s="85"/>
      <c r="I347" s="138" t="str">
        <f aca="false">IFERROR(VLOOKUP(TEXT(H347,"0"),IPRESS!$A$3:$B$212,2,0),"")</f>
        <v/>
      </c>
      <c r="J347" s="85"/>
      <c r="K347" s="149"/>
      <c r="L347" s="85"/>
      <c r="M347" s="85"/>
      <c r="N347" s="151"/>
      <c r="O347" s="85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85"/>
      <c r="S347" s="85"/>
      <c r="T347" s="85"/>
      <c r="U347" s="85"/>
      <c r="V347" s="85"/>
      <c r="W347" s="85"/>
      <c r="X347" s="85"/>
      <c r="Y347" s="85"/>
      <c r="Z347" s="157"/>
      <c r="AA347" s="4"/>
      <c r="AB347" s="4"/>
      <c r="AC347" s="4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49"/>
      <c r="L348" s="85"/>
      <c r="M348" s="85"/>
      <c r="N348" s="151"/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57"/>
      <c r="AA348" s="4"/>
      <c r="AB348" s="4"/>
      <c r="AC348" s="4"/>
    </row>
    <row r="349" customFormat="false" ht="15" hidden="false" customHeight="true" outlineLevel="0" collapsed="false">
      <c r="A349" s="85"/>
      <c r="B349" s="85"/>
      <c r="C349" s="85"/>
      <c r="D349" s="85"/>
      <c r="E349" s="85"/>
      <c r="F349" s="85"/>
      <c r="G349" s="85"/>
      <c r="H349" s="85"/>
      <c r="I349" s="138" t="str">
        <f aca="false">IFERROR(VLOOKUP(TEXT(H349,"0"),IPRESS!$A$3:$B$212,2,0),"")</f>
        <v/>
      </c>
      <c r="J349" s="85"/>
      <c r="K349" s="149"/>
      <c r="L349" s="85"/>
      <c r="M349" s="85"/>
      <c r="N349" s="151"/>
      <c r="O349" s="85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85"/>
      <c r="S349" s="85"/>
      <c r="T349" s="85"/>
      <c r="U349" s="85"/>
      <c r="V349" s="85"/>
      <c r="W349" s="85"/>
      <c r="X349" s="85"/>
      <c r="Y349" s="85"/>
      <c r="Z349" s="157"/>
      <c r="AA349" s="4"/>
      <c r="AB349" s="4"/>
      <c r="AC349" s="4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49"/>
      <c r="L350" s="85"/>
      <c r="M350" s="85"/>
      <c r="N350" s="151"/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57"/>
      <c r="AA350" s="4"/>
      <c r="AB350" s="4"/>
      <c r="AC350" s="4"/>
    </row>
    <row r="351" customFormat="false" ht="15" hidden="false" customHeight="true" outlineLevel="0" collapsed="false">
      <c r="A351" s="85"/>
      <c r="B351" s="85"/>
      <c r="C351" s="85"/>
      <c r="D351" s="85"/>
      <c r="E351" s="85"/>
      <c r="F351" s="85"/>
      <c r="G351" s="85"/>
      <c r="H351" s="85"/>
      <c r="I351" s="138" t="str">
        <f aca="false">IFERROR(VLOOKUP(TEXT(H351,"0"),IPRESS!$A$3:$B$212,2,0),"")</f>
        <v/>
      </c>
      <c r="J351" s="85"/>
      <c r="K351" s="149"/>
      <c r="L351" s="85"/>
      <c r="M351" s="85"/>
      <c r="N351" s="151"/>
      <c r="O351" s="85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85"/>
      <c r="S351" s="85"/>
      <c r="T351" s="85"/>
      <c r="U351" s="85"/>
      <c r="V351" s="85"/>
      <c r="W351" s="85"/>
      <c r="X351" s="85"/>
      <c r="Y351" s="85"/>
      <c r="Z351" s="157"/>
      <c r="AA351" s="4"/>
      <c r="AB351" s="4"/>
      <c r="AC351" s="4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49"/>
      <c r="L352" s="85"/>
      <c r="M352" s="85"/>
      <c r="N352" s="151"/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57"/>
      <c r="AA352" s="4"/>
      <c r="AB352" s="4"/>
      <c r="AC352" s="4"/>
    </row>
    <row r="353" customFormat="false" ht="15" hidden="false" customHeight="true" outlineLevel="0" collapsed="false">
      <c r="A353" s="85"/>
      <c r="B353" s="85"/>
      <c r="C353" s="85"/>
      <c r="D353" s="85"/>
      <c r="E353" s="85"/>
      <c r="F353" s="85"/>
      <c r="G353" s="85"/>
      <c r="H353" s="85"/>
      <c r="I353" s="138" t="str">
        <f aca="false">IFERROR(VLOOKUP(TEXT(H353,"0"),IPRESS!$A$3:$B$212,2,0),"")</f>
        <v/>
      </c>
      <c r="J353" s="85"/>
      <c r="K353" s="149"/>
      <c r="L353" s="85"/>
      <c r="M353" s="85"/>
      <c r="N353" s="151"/>
      <c r="O353" s="85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85"/>
      <c r="S353" s="85"/>
      <c r="T353" s="85"/>
      <c r="U353" s="85"/>
      <c r="V353" s="85"/>
      <c r="W353" s="85"/>
      <c r="X353" s="85"/>
      <c r="Y353" s="85"/>
      <c r="Z353" s="157"/>
      <c r="AA353" s="4"/>
      <c r="AB353" s="4"/>
      <c r="AC353" s="4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49"/>
      <c r="L354" s="85"/>
      <c r="M354" s="85"/>
      <c r="N354" s="151"/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57"/>
      <c r="AA354" s="4"/>
      <c r="AB354" s="4"/>
      <c r="AC354" s="4"/>
    </row>
    <row r="355" customFormat="false" ht="15" hidden="false" customHeight="true" outlineLevel="0" collapsed="false">
      <c r="A355" s="85"/>
      <c r="B355" s="85"/>
      <c r="C355" s="85"/>
      <c r="D355" s="85"/>
      <c r="E355" s="85"/>
      <c r="F355" s="85"/>
      <c r="G355" s="85"/>
      <c r="H355" s="85"/>
      <c r="I355" s="138" t="str">
        <f aca="false">IFERROR(VLOOKUP(TEXT(H355,"0"),IPRESS!$A$3:$B$212,2,0),"")</f>
        <v/>
      </c>
      <c r="J355" s="85"/>
      <c r="K355" s="149"/>
      <c r="L355" s="85"/>
      <c r="M355" s="85"/>
      <c r="N355" s="151"/>
      <c r="O355" s="85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85"/>
      <c r="S355" s="85"/>
      <c r="T355" s="85"/>
      <c r="U355" s="85"/>
      <c r="V355" s="85"/>
      <c r="W355" s="85"/>
      <c r="X355" s="85"/>
      <c r="Y355" s="85"/>
      <c r="Z355" s="157"/>
      <c r="AA355" s="4"/>
      <c r="AB355" s="4"/>
      <c r="AC355" s="4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49"/>
      <c r="L356" s="85"/>
      <c r="M356" s="85"/>
      <c r="N356" s="151"/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57"/>
      <c r="AA356" s="4"/>
      <c r="AB356" s="4"/>
      <c r="AC356" s="4"/>
    </row>
    <row r="357" customFormat="false" ht="15" hidden="false" customHeight="true" outlineLevel="0" collapsed="false">
      <c r="A357" s="85"/>
      <c r="B357" s="85"/>
      <c r="C357" s="85"/>
      <c r="D357" s="85"/>
      <c r="E357" s="85"/>
      <c r="F357" s="85"/>
      <c r="G357" s="85"/>
      <c r="H357" s="85"/>
      <c r="I357" s="138" t="str">
        <f aca="false">IFERROR(VLOOKUP(TEXT(H357,"0"),IPRESS!$A$3:$B$212,2,0),"")</f>
        <v/>
      </c>
      <c r="J357" s="85"/>
      <c r="K357" s="149"/>
      <c r="L357" s="85"/>
      <c r="M357" s="85"/>
      <c r="N357" s="151"/>
      <c r="O357" s="85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85"/>
      <c r="S357" s="85"/>
      <c r="T357" s="85"/>
      <c r="U357" s="85"/>
      <c r="V357" s="85"/>
      <c r="W357" s="85"/>
      <c r="X357" s="85"/>
      <c r="Y357" s="85"/>
      <c r="Z357" s="157"/>
      <c r="AA357" s="4"/>
      <c r="AB357" s="4"/>
      <c r="AC357" s="4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49"/>
      <c r="L358" s="85"/>
      <c r="M358" s="85"/>
      <c r="N358" s="151"/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57"/>
      <c r="AA358" s="4"/>
      <c r="AB358" s="4"/>
      <c r="AC358" s="4"/>
    </row>
    <row r="359" customFormat="false" ht="15" hidden="false" customHeight="true" outlineLevel="0" collapsed="false">
      <c r="A359" s="85"/>
      <c r="B359" s="85"/>
      <c r="C359" s="85"/>
      <c r="D359" s="85"/>
      <c r="E359" s="85"/>
      <c r="F359" s="85"/>
      <c r="G359" s="85"/>
      <c r="H359" s="85"/>
      <c r="I359" s="138" t="str">
        <f aca="false">IFERROR(VLOOKUP(TEXT(H359,"0"),IPRESS!$A$3:$B$212,2,0),"")</f>
        <v/>
      </c>
      <c r="J359" s="85"/>
      <c r="K359" s="149"/>
      <c r="L359" s="85"/>
      <c r="M359" s="85"/>
      <c r="N359" s="151"/>
      <c r="O359" s="85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85"/>
      <c r="S359" s="85"/>
      <c r="T359" s="85"/>
      <c r="U359" s="85"/>
      <c r="V359" s="85"/>
      <c r="W359" s="85"/>
      <c r="X359" s="85"/>
      <c r="Y359" s="85"/>
      <c r="Z359" s="157"/>
      <c r="AA359" s="4"/>
      <c r="AB359" s="4"/>
      <c r="AC359" s="4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49"/>
      <c r="L360" s="85"/>
      <c r="M360" s="85"/>
      <c r="N360" s="151"/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57"/>
      <c r="AA360" s="4"/>
      <c r="AB360" s="4"/>
      <c r="AC360" s="4"/>
    </row>
    <row r="361" customFormat="false" ht="15" hidden="false" customHeight="true" outlineLevel="0" collapsed="false">
      <c r="A361" s="85"/>
      <c r="B361" s="85"/>
      <c r="C361" s="85"/>
      <c r="D361" s="85"/>
      <c r="E361" s="85"/>
      <c r="F361" s="85"/>
      <c r="G361" s="85"/>
      <c r="H361" s="85"/>
      <c r="I361" s="138" t="str">
        <f aca="false">IFERROR(VLOOKUP(TEXT(H361,"0"),IPRESS!$A$3:$B$212,2,0),"")</f>
        <v/>
      </c>
      <c r="J361" s="85"/>
      <c r="K361" s="149"/>
      <c r="L361" s="85"/>
      <c r="M361" s="85"/>
      <c r="N361" s="151"/>
      <c r="O361" s="85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85"/>
      <c r="S361" s="85"/>
      <c r="T361" s="85"/>
      <c r="U361" s="85"/>
      <c r="V361" s="85"/>
      <c r="W361" s="85"/>
      <c r="X361" s="85"/>
      <c r="Y361" s="85"/>
      <c r="Z361" s="157"/>
      <c r="AA361" s="4"/>
      <c r="AB361" s="4"/>
      <c r="AC361" s="4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49"/>
      <c r="L362" s="85"/>
      <c r="M362" s="85"/>
      <c r="N362" s="151"/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57"/>
      <c r="AA362" s="4"/>
      <c r="AB362" s="4"/>
      <c r="AC362" s="4"/>
    </row>
    <row r="363" customFormat="false" ht="15" hidden="false" customHeight="true" outlineLevel="0" collapsed="false">
      <c r="A363" s="85"/>
      <c r="B363" s="85"/>
      <c r="C363" s="85"/>
      <c r="D363" s="85"/>
      <c r="E363" s="85"/>
      <c r="F363" s="85"/>
      <c r="G363" s="85"/>
      <c r="H363" s="85"/>
      <c r="I363" s="138" t="str">
        <f aca="false">IFERROR(VLOOKUP(TEXT(H363,"0"),IPRESS!$A$3:$B$212,2,0),"")</f>
        <v/>
      </c>
      <c r="J363" s="85"/>
      <c r="K363" s="149"/>
      <c r="L363" s="85"/>
      <c r="M363" s="85"/>
      <c r="N363" s="151"/>
      <c r="O363" s="85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85"/>
      <c r="S363" s="85"/>
      <c r="T363" s="85"/>
      <c r="U363" s="85"/>
      <c r="V363" s="85"/>
      <c r="W363" s="85"/>
      <c r="X363" s="85"/>
      <c r="Y363" s="85"/>
      <c r="Z363" s="157"/>
      <c r="AA363" s="4"/>
      <c r="AB363" s="4"/>
      <c r="AC363" s="4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49"/>
      <c r="L364" s="85"/>
      <c r="M364" s="85"/>
      <c r="N364" s="151"/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57"/>
      <c r="AA364" s="4"/>
      <c r="AB364" s="4"/>
      <c r="AC364" s="4"/>
    </row>
    <row r="365" customFormat="false" ht="15" hidden="false" customHeight="true" outlineLevel="0" collapsed="false">
      <c r="A365" s="85"/>
      <c r="B365" s="85"/>
      <c r="C365" s="85"/>
      <c r="D365" s="85"/>
      <c r="E365" s="85"/>
      <c r="F365" s="85"/>
      <c r="G365" s="85"/>
      <c r="H365" s="85"/>
      <c r="I365" s="138" t="str">
        <f aca="false">IFERROR(VLOOKUP(TEXT(H365,"0"),IPRESS!$A$3:$B$212,2,0),"")</f>
        <v/>
      </c>
      <c r="J365" s="85"/>
      <c r="K365" s="149"/>
      <c r="L365" s="85"/>
      <c r="M365" s="85"/>
      <c r="N365" s="151"/>
      <c r="O365" s="85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85"/>
      <c r="S365" s="85"/>
      <c r="T365" s="85"/>
      <c r="U365" s="85"/>
      <c r="V365" s="85"/>
      <c r="W365" s="85"/>
      <c r="X365" s="85"/>
      <c r="Y365" s="85"/>
      <c r="Z365" s="157"/>
      <c r="AA365" s="4"/>
      <c r="AB365" s="4"/>
      <c r="AC365" s="4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49"/>
      <c r="L366" s="85"/>
      <c r="M366" s="85"/>
      <c r="N366" s="151"/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57"/>
      <c r="AA366" s="4"/>
      <c r="AB366" s="4"/>
      <c r="AC366" s="4"/>
    </row>
    <row r="367" customFormat="false" ht="15" hidden="false" customHeight="true" outlineLevel="0" collapsed="false">
      <c r="A367" s="85"/>
      <c r="B367" s="85"/>
      <c r="C367" s="85"/>
      <c r="D367" s="85"/>
      <c r="E367" s="85"/>
      <c r="F367" s="85"/>
      <c r="G367" s="85"/>
      <c r="H367" s="85"/>
      <c r="I367" s="138" t="str">
        <f aca="false">IFERROR(VLOOKUP(TEXT(H367,"0"),IPRESS!$A$3:$B$212,2,0),"")</f>
        <v/>
      </c>
      <c r="J367" s="85"/>
      <c r="K367" s="149"/>
      <c r="L367" s="85"/>
      <c r="M367" s="85"/>
      <c r="N367" s="151"/>
      <c r="O367" s="85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85"/>
      <c r="S367" s="85"/>
      <c r="T367" s="85"/>
      <c r="U367" s="85"/>
      <c r="V367" s="85"/>
      <c r="W367" s="85"/>
      <c r="X367" s="85"/>
      <c r="Y367" s="85"/>
      <c r="Z367" s="157"/>
      <c r="AA367" s="4"/>
      <c r="AB367" s="4"/>
      <c r="AC367" s="4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49"/>
      <c r="L368" s="85"/>
      <c r="M368" s="85"/>
      <c r="N368" s="151"/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57"/>
      <c r="AA368" s="4"/>
      <c r="AB368" s="4"/>
      <c r="AC368" s="4"/>
    </row>
    <row r="369" customFormat="false" ht="15" hidden="false" customHeight="true" outlineLevel="0" collapsed="false">
      <c r="A369" s="85"/>
      <c r="B369" s="85"/>
      <c r="C369" s="85"/>
      <c r="D369" s="85"/>
      <c r="E369" s="85"/>
      <c r="F369" s="85"/>
      <c r="G369" s="85"/>
      <c r="H369" s="85"/>
      <c r="I369" s="138" t="str">
        <f aca="false">IFERROR(VLOOKUP(TEXT(H369,"0"),IPRESS!$A$3:$B$212,2,0),"")</f>
        <v/>
      </c>
      <c r="J369" s="85"/>
      <c r="K369" s="149"/>
      <c r="L369" s="85"/>
      <c r="M369" s="85"/>
      <c r="N369" s="151"/>
      <c r="O369" s="85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85"/>
      <c r="S369" s="85"/>
      <c r="T369" s="85"/>
      <c r="U369" s="85"/>
      <c r="V369" s="85"/>
      <c r="W369" s="85"/>
      <c r="X369" s="85"/>
      <c r="Y369" s="85"/>
      <c r="Z369" s="157"/>
      <c r="AA369" s="4"/>
      <c r="AB369" s="4"/>
      <c r="AC369" s="4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49"/>
      <c r="L370" s="85"/>
      <c r="M370" s="85"/>
      <c r="N370" s="151"/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57"/>
      <c r="AA370" s="4"/>
      <c r="AB370" s="4"/>
      <c r="AC370" s="4"/>
    </row>
    <row r="371" customFormat="false" ht="15" hidden="false" customHeight="true" outlineLevel="0" collapsed="false">
      <c r="A371" s="85"/>
      <c r="B371" s="85"/>
      <c r="C371" s="85"/>
      <c r="D371" s="85"/>
      <c r="E371" s="85"/>
      <c r="F371" s="85"/>
      <c r="G371" s="85"/>
      <c r="H371" s="85"/>
      <c r="I371" s="138" t="str">
        <f aca="false">IFERROR(VLOOKUP(TEXT(H371,"0"),IPRESS!$A$3:$B$212,2,0),"")</f>
        <v/>
      </c>
      <c r="J371" s="85"/>
      <c r="K371" s="149"/>
      <c r="L371" s="85"/>
      <c r="M371" s="85"/>
      <c r="N371" s="151"/>
      <c r="O371" s="85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85"/>
      <c r="S371" s="85"/>
      <c r="T371" s="85"/>
      <c r="U371" s="85"/>
      <c r="V371" s="85"/>
      <c r="W371" s="85"/>
      <c r="X371" s="85"/>
      <c r="Y371" s="85"/>
      <c r="Z371" s="157"/>
      <c r="AA371" s="4"/>
      <c r="AB371" s="4"/>
      <c r="AC371" s="4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49"/>
      <c r="L372" s="85"/>
      <c r="M372" s="85"/>
      <c r="N372" s="151"/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57"/>
      <c r="AA372" s="4"/>
      <c r="AB372" s="4"/>
      <c r="AC372" s="4"/>
    </row>
    <row r="373" customFormat="false" ht="15" hidden="false" customHeight="true" outlineLevel="0" collapsed="false">
      <c r="A373" s="85"/>
      <c r="B373" s="85"/>
      <c r="C373" s="85"/>
      <c r="D373" s="85"/>
      <c r="E373" s="85"/>
      <c r="F373" s="85"/>
      <c r="G373" s="85"/>
      <c r="H373" s="85"/>
      <c r="I373" s="138" t="str">
        <f aca="false">IFERROR(VLOOKUP(TEXT(H373,"0"),IPRESS!$A$3:$B$212,2,0),"")</f>
        <v/>
      </c>
      <c r="J373" s="85"/>
      <c r="K373" s="149"/>
      <c r="L373" s="85"/>
      <c r="M373" s="85"/>
      <c r="N373" s="151"/>
      <c r="O373" s="85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85"/>
      <c r="S373" s="85"/>
      <c r="T373" s="85"/>
      <c r="U373" s="85"/>
      <c r="V373" s="85"/>
      <c r="W373" s="85"/>
      <c r="X373" s="85"/>
      <c r="Y373" s="85"/>
      <c r="Z373" s="157"/>
      <c r="AA373" s="4"/>
      <c r="AB373" s="4"/>
      <c r="AC373" s="4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49"/>
      <c r="L374" s="85"/>
      <c r="M374" s="85"/>
      <c r="N374" s="151"/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57"/>
      <c r="AA374" s="4"/>
      <c r="AB374" s="4"/>
      <c r="AC374" s="4"/>
    </row>
    <row r="375" customFormat="false" ht="15" hidden="false" customHeight="true" outlineLevel="0" collapsed="false">
      <c r="A375" s="85"/>
      <c r="B375" s="85"/>
      <c r="C375" s="85"/>
      <c r="D375" s="85"/>
      <c r="E375" s="85"/>
      <c r="F375" s="85"/>
      <c r="G375" s="85"/>
      <c r="H375" s="85"/>
      <c r="I375" s="138" t="str">
        <f aca="false">IFERROR(VLOOKUP(TEXT(H375,"0"),IPRESS!$A$3:$B$212,2,0),"")</f>
        <v/>
      </c>
      <c r="J375" s="85"/>
      <c r="K375" s="149"/>
      <c r="L375" s="85"/>
      <c r="M375" s="85"/>
      <c r="N375" s="151"/>
      <c r="O375" s="85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85"/>
      <c r="S375" s="85"/>
      <c r="T375" s="85"/>
      <c r="U375" s="85"/>
      <c r="V375" s="85"/>
      <c r="W375" s="85"/>
      <c r="X375" s="85"/>
      <c r="Y375" s="85"/>
      <c r="Z375" s="157"/>
      <c r="AA375" s="4"/>
      <c r="AB375" s="4"/>
      <c r="AC375" s="4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49"/>
      <c r="L376" s="85"/>
      <c r="M376" s="85"/>
      <c r="N376" s="151"/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57"/>
      <c r="AA376" s="4"/>
      <c r="AB376" s="4"/>
      <c r="AC376" s="4"/>
    </row>
    <row r="377" customFormat="false" ht="15" hidden="false" customHeight="true" outlineLevel="0" collapsed="false">
      <c r="A377" s="85"/>
      <c r="B377" s="85"/>
      <c r="C377" s="85"/>
      <c r="D377" s="85"/>
      <c r="E377" s="85"/>
      <c r="F377" s="85"/>
      <c r="G377" s="85"/>
      <c r="H377" s="85"/>
      <c r="I377" s="138" t="str">
        <f aca="false">IFERROR(VLOOKUP(TEXT(H377,"0"),IPRESS!$A$3:$B$212,2,0),"")</f>
        <v/>
      </c>
      <c r="J377" s="85"/>
      <c r="K377" s="149"/>
      <c r="L377" s="85"/>
      <c r="M377" s="85"/>
      <c r="N377" s="151"/>
      <c r="O377" s="85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85"/>
      <c r="S377" s="85"/>
      <c r="T377" s="85"/>
      <c r="U377" s="85"/>
      <c r="V377" s="85"/>
      <c r="W377" s="85"/>
      <c r="X377" s="85"/>
      <c r="Y377" s="85"/>
      <c r="Z377" s="157"/>
      <c r="AA377" s="4"/>
      <c r="AB377" s="4"/>
      <c r="AC377" s="4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49"/>
      <c r="L378" s="85"/>
      <c r="M378" s="85"/>
      <c r="N378" s="151"/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57"/>
      <c r="AA378" s="4"/>
      <c r="AB378" s="4"/>
      <c r="AC378" s="4"/>
    </row>
    <row r="379" customFormat="false" ht="15" hidden="false" customHeight="true" outlineLevel="0" collapsed="false">
      <c r="A379" s="85"/>
      <c r="B379" s="85"/>
      <c r="C379" s="85"/>
      <c r="D379" s="85"/>
      <c r="E379" s="85"/>
      <c r="F379" s="85"/>
      <c r="G379" s="85"/>
      <c r="H379" s="85"/>
      <c r="I379" s="138" t="str">
        <f aca="false">IFERROR(VLOOKUP(TEXT(H379,"0"),IPRESS!$A$3:$B$212,2,0),"")</f>
        <v/>
      </c>
      <c r="J379" s="85"/>
      <c r="K379" s="149"/>
      <c r="L379" s="85"/>
      <c r="M379" s="85"/>
      <c r="N379" s="151"/>
      <c r="O379" s="85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85"/>
      <c r="S379" s="85"/>
      <c r="T379" s="85"/>
      <c r="U379" s="85"/>
      <c r="V379" s="85"/>
      <c r="W379" s="85"/>
      <c r="X379" s="85"/>
      <c r="Y379" s="85"/>
      <c r="Z379" s="157"/>
      <c r="AA379" s="4"/>
      <c r="AB379" s="4"/>
      <c r="AC379" s="4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49"/>
      <c r="L380" s="85"/>
      <c r="M380" s="85"/>
      <c r="N380" s="151"/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57"/>
      <c r="AA380" s="4"/>
      <c r="AB380" s="4"/>
      <c r="AC380" s="4"/>
    </row>
    <row r="381" customFormat="false" ht="15" hidden="false" customHeight="true" outlineLevel="0" collapsed="false">
      <c r="A381" s="85"/>
      <c r="B381" s="85"/>
      <c r="C381" s="85"/>
      <c r="D381" s="85"/>
      <c r="E381" s="85"/>
      <c r="F381" s="85"/>
      <c r="G381" s="85"/>
      <c r="H381" s="85"/>
      <c r="I381" s="138" t="str">
        <f aca="false">IFERROR(VLOOKUP(TEXT(H381,"0"),IPRESS!$A$3:$B$212,2,0),"")</f>
        <v/>
      </c>
      <c r="J381" s="85"/>
      <c r="K381" s="149"/>
      <c r="L381" s="85"/>
      <c r="M381" s="85"/>
      <c r="N381" s="151"/>
      <c r="O381" s="85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85"/>
      <c r="S381" s="85"/>
      <c r="T381" s="85"/>
      <c r="U381" s="85"/>
      <c r="V381" s="85"/>
      <c r="W381" s="85"/>
      <c r="X381" s="85"/>
      <c r="Y381" s="85"/>
      <c r="Z381" s="157"/>
      <c r="AA381" s="4"/>
      <c r="AB381" s="4"/>
      <c r="AC381" s="4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49"/>
      <c r="L382" s="85"/>
      <c r="M382" s="85"/>
      <c r="N382" s="151"/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57"/>
      <c r="AA382" s="4"/>
      <c r="AB382" s="4"/>
      <c r="AC382" s="4"/>
    </row>
    <row r="383" customFormat="false" ht="15" hidden="false" customHeight="true" outlineLevel="0" collapsed="false">
      <c r="A383" s="85"/>
      <c r="B383" s="85"/>
      <c r="C383" s="85"/>
      <c r="D383" s="85"/>
      <c r="E383" s="85"/>
      <c r="F383" s="85"/>
      <c r="G383" s="85"/>
      <c r="H383" s="85"/>
      <c r="I383" s="138" t="str">
        <f aca="false">IFERROR(VLOOKUP(TEXT(H383,"0"),IPRESS!$A$3:$B$212,2,0),"")</f>
        <v/>
      </c>
      <c r="J383" s="85"/>
      <c r="K383" s="149"/>
      <c r="L383" s="85"/>
      <c r="M383" s="85"/>
      <c r="N383" s="151"/>
      <c r="O383" s="85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85"/>
      <c r="S383" s="85"/>
      <c r="T383" s="85"/>
      <c r="U383" s="85"/>
      <c r="V383" s="85"/>
      <c r="W383" s="85"/>
      <c r="X383" s="85"/>
      <c r="Y383" s="85"/>
      <c r="Z383" s="157"/>
      <c r="AA383" s="4"/>
      <c r="AB383" s="4"/>
      <c r="AC383" s="4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49"/>
      <c r="L384" s="85"/>
      <c r="M384" s="85"/>
      <c r="N384" s="151"/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57"/>
      <c r="AA384" s="4"/>
      <c r="AB384" s="4"/>
      <c r="AC384" s="4"/>
    </row>
    <row r="385" customFormat="false" ht="15" hidden="false" customHeight="true" outlineLevel="0" collapsed="false">
      <c r="A385" s="85"/>
      <c r="B385" s="85"/>
      <c r="C385" s="85"/>
      <c r="D385" s="85"/>
      <c r="E385" s="85"/>
      <c r="F385" s="85"/>
      <c r="G385" s="85"/>
      <c r="H385" s="85"/>
      <c r="I385" s="138" t="str">
        <f aca="false">IFERROR(VLOOKUP(TEXT(H385,"0"),IPRESS!$A$3:$B$212,2,0),"")</f>
        <v/>
      </c>
      <c r="J385" s="85"/>
      <c r="K385" s="149"/>
      <c r="L385" s="85"/>
      <c r="M385" s="85"/>
      <c r="N385" s="151"/>
      <c r="O385" s="85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85"/>
      <c r="S385" s="85"/>
      <c r="T385" s="85"/>
      <c r="U385" s="85"/>
      <c r="V385" s="85"/>
      <c r="W385" s="85"/>
      <c r="X385" s="85"/>
      <c r="Y385" s="85"/>
      <c r="Z385" s="157"/>
      <c r="AA385" s="4"/>
      <c r="AB385" s="4"/>
      <c r="AC385" s="4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49"/>
      <c r="L386" s="85"/>
      <c r="M386" s="85"/>
      <c r="N386" s="151"/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57"/>
      <c r="AA386" s="4"/>
      <c r="AB386" s="4"/>
      <c r="AC386" s="4"/>
    </row>
    <row r="387" customFormat="false" ht="15" hidden="false" customHeight="true" outlineLevel="0" collapsed="false">
      <c r="A387" s="85"/>
      <c r="B387" s="85"/>
      <c r="C387" s="85"/>
      <c r="D387" s="85"/>
      <c r="E387" s="85"/>
      <c r="F387" s="85"/>
      <c r="G387" s="85"/>
      <c r="H387" s="85"/>
      <c r="I387" s="138" t="str">
        <f aca="false">IFERROR(VLOOKUP(TEXT(H387,"0"),IPRESS!$A$3:$B$212,2,0),"")</f>
        <v/>
      </c>
      <c r="J387" s="85"/>
      <c r="K387" s="149"/>
      <c r="L387" s="85"/>
      <c r="M387" s="85"/>
      <c r="N387" s="151"/>
      <c r="O387" s="85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85"/>
      <c r="S387" s="85"/>
      <c r="T387" s="85"/>
      <c r="U387" s="85"/>
      <c r="V387" s="85"/>
      <c r="W387" s="85"/>
      <c r="X387" s="85"/>
      <c r="Y387" s="85"/>
      <c r="Z387" s="157"/>
      <c r="AA387" s="4"/>
      <c r="AB387" s="4"/>
      <c r="AC387" s="4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49"/>
      <c r="L388" s="85"/>
      <c r="M388" s="85"/>
      <c r="N388" s="151"/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57"/>
      <c r="AA388" s="4"/>
      <c r="AB388" s="4"/>
      <c r="AC388" s="4"/>
    </row>
    <row r="389" customFormat="false" ht="15" hidden="false" customHeight="true" outlineLevel="0" collapsed="false">
      <c r="A389" s="85"/>
      <c r="B389" s="85"/>
      <c r="C389" s="85"/>
      <c r="D389" s="85"/>
      <c r="E389" s="85"/>
      <c r="F389" s="85"/>
      <c r="G389" s="85"/>
      <c r="H389" s="85"/>
      <c r="I389" s="138" t="str">
        <f aca="false">IFERROR(VLOOKUP(TEXT(H389,"0"),IPRESS!$A$3:$B$212,2,0),"")</f>
        <v/>
      </c>
      <c r="J389" s="85"/>
      <c r="K389" s="149"/>
      <c r="L389" s="85"/>
      <c r="M389" s="85"/>
      <c r="N389" s="151"/>
      <c r="O389" s="85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85"/>
      <c r="S389" s="85"/>
      <c r="T389" s="85"/>
      <c r="U389" s="85"/>
      <c r="V389" s="85"/>
      <c r="W389" s="85"/>
      <c r="X389" s="85"/>
      <c r="Y389" s="85"/>
      <c r="Z389" s="157"/>
      <c r="AA389" s="4"/>
      <c r="AB389" s="4"/>
      <c r="AC389" s="4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49"/>
      <c r="L390" s="85"/>
      <c r="M390" s="85"/>
      <c r="N390" s="151"/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57"/>
      <c r="AA390" s="4"/>
      <c r="AB390" s="4"/>
      <c r="AC390" s="4"/>
    </row>
    <row r="391" customFormat="false" ht="15" hidden="false" customHeight="true" outlineLevel="0" collapsed="false">
      <c r="A391" s="85"/>
      <c r="B391" s="85"/>
      <c r="C391" s="85"/>
      <c r="D391" s="85"/>
      <c r="E391" s="85"/>
      <c r="F391" s="85"/>
      <c r="G391" s="85"/>
      <c r="H391" s="85"/>
      <c r="I391" s="138" t="str">
        <f aca="false">IFERROR(VLOOKUP(TEXT(H391,"0"),IPRESS!$A$3:$B$212,2,0),"")</f>
        <v/>
      </c>
      <c r="J391" s="85"/>
      <c r="K391" s="149"/>
      <c r="L391" s="85"/>
      <c r="M391" s="85"/>
      <c r="N391" s="151"/>
      <c r="O391" s="85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85"/>
      <c r="S391" s="85"/>
      <c r="T391" s="85"/>
      <c r="U391" s="85"/>
      <c r="V391" s="85"/>
      <c r="W391" s="85"/>
      <c r="X391" s="85"/>
      <c r="Y391" s="85"/>
      <c r="Z391" s="157"/>
      <c r="AA391" s="4"/>
      <c r="AB391" s="4"/>
      <c r="AC391" s="4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49"/>
      <c r="L392" s="85"/>
      <c r="M392" s="85"/>
      <c r="N392" s="151"/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57"/>
      <c r="AA392" s="4"/>
      <c r="AB392" s="4"/>
      <c r="AC392" s="4"/>
    </row>
    <row r="393" customFormat="false" ht="15" hidden="false" customHeight="true" outlineLevel="0" collapsed="false">
      <c r="A393" s="85"/>
      <c r="B393" s="85"/>
      <c r="C393" s="85"/>
      <c r="D393" s="85"/>
      <c r="E393" s="85"/>
      <c r="F393" s="85"/>
      <c r="G393" s="85"/>
      <c r="H393" s="85"/>
      <c r="I393" s="138" t="str">
        <f aca="false">IFERROR(VLOOKUP(TEXT(H393,"0"),IPRESS!$A$3:$B$212,2,0),"")</f>
        <v/>
      </c>
      <c r="J393" s="85"/>
      <c r="K393" s="149"/>
      <c r="L393" s="85"/>
      <c r="M393" s="85"/>
      <c r="N393" s="151"/>
      <c r="O393" s="85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85"/>
      <c r="S393" s="85"/>
      <c r="T393" s="85"/>
      <c r="U393" s="85"/>
      <c r="V393" s="85"/>
      <c r="W393" s="85"/>
      <c r="X393" s="85"/>
      <c r="Y393" s="85"/>
      <c r="Z393" s="157"/>
      <c r="AA393" s="4"/>
      <c r="AB393" s="4"/>
      <c r="AC393" s="4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49"/>
      <c r="L394" s="85"/>
      <c r="M394" s="85"/>
      <c r="N394" s="151"/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57"/>
      <c r="AA394" s="4"/>
      <c r="AB394" s="4"/>
      <c r="AC394" s="4"/>
    </row>
    <row r="395" customFormat="false" ht="15" hidden="false" customHeight="true" outlineLevel="0" collapsed="false">
      <c r="A395" s="85"/>
      <c r="B395" s="85"/>
      <c r="C395" s="85"/>
      <c r="D395" s="85"/>
      <c r="E395" s="85"/>
      <c r="F395" s="85"/>
      <c r="G395" s="85"/>
      <c r="H395" s="85"/>
      <c r="I395" s="138" t="str">
        <f aca="false">IFERROR(VLOOKUP(TEXT(H395,"0"),IPRESS!$A$3:$B$212,2,0),"")</f>
        <v/>
      </c>
      <c r="J395" s="85"/>
      <c r="K395" s="149"/>
      <c r="L395" s="85"/>
      <c r="M395" s="85"/>
      <c r="N395" s="151"/>
      <c r="O395" s="85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85"/>
      <c r="S395" s="85"/>
      <c r="T395" s="85"/>
      <c r="U395" s="85"/>
      <c r="V395" s="85"/>
      <c r="W395" s="85"/>
      <c r="X395" s="85"/>
      <c r="Y395" s="85"/>
      <c r="Z395" s="157"/>
      <c r="AA395" s="4"/>
      <c r="AB395" s="4"/>
      <c r="AC395" s="4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49"/>
      <c r="L396" s="85"/>
      <c r="M396" s="85"/>
      <c r="N396" s="151"/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57"/>
      <c r="AA396" s="4"/>
      <c r="AB396" s="4"/>
      <c r="AC396" s="4"/>
    </row>
    <row r="397" customFormat="false" ht="15" hidden="false" customHeight="true" outlineLevel="0" collapsed="false">
      <c r="A397" s="85"/>
      <c r="B397" s="85"/>
      <c r="C397" s="85"/>
      <c r="D397" s="85"/>
      <c r="E397" s="85"/>
      <c r="F397" s="85"/>
      <c r="G397" s="85"/>
      <c r="H397" s="85"/>
      <c r="I397" s="138" t="str">
        <f aca="false">IFERROR(VLOOKUP(TEXT(H397,"0"),IPRESS!$A$3:$B$212,2,0),"")</f>
        <v/>
      </c>
      <c r="J397" s="85"/>
      <c r="K397" s="149"/>
      <c r="L397" s="85"/>
      <c r="M397" s="85"/>
      <c r="N397" s="151"/>
      <c r="O397" s="85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85"/>
      <c r="S397" s="85"/>
      <c r="T397" s="85"/>
      <c r="U397" s="85"/>
      <c r="V397" s="85"/>
      <c r="W397" s="85"/>
      <c r="X397" s="85"/>
      <c r="Y397" s="85"/>
      <c r="Z397" s="157"/>
      <c r="AA397" s="4"/>
      <c r="AB397" s="4"/>
      <c r="AC397" s="4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49"/>
      <c r="L398" s="85"/>
      <c r="M398" s="85"/>
      <c r="N398" s="151"/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57"/>
      <c r="AA398" s="4"/>
      <c r="AB398" s="4"/>
      <c r="AC398" s="4"/>
    </row>
    <row r="399" customFormat="false" ht="15" hidden="false" customHeight="true" outlineLevel="0" collapsed="false">
      <c r="A399" s="85"/>
      <c r="B399" s="85"/>
      <c r="C399" s="85"/>
      <c r="D399" s="85"/>
      <c r="E399" s="85"/>
      <c r="F399" s="85"/>
      <c r="G399" s="85"/>
      <c r="H399" s="85"/>
      <c r="I399" s="138" t="str">
        <f aca="false">IFERROR(VLOOKUP(TEXT(H399,"0"),IPRESS!$A$3:$B$212,2,0),"")</f>
        <v/>
      </c>
      <c r="J399" s="85"/>
      <c r="K399" s="149"/>
      <c r="L399" s="85"/>
      <c r="M399" s="85"/>
      <c r="N399" s="151"/>
      <c r="O399" s="85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85"/>
      <c r="S399" s="85"/>
      <c r="T399" s="85"/>
      <c r="U399" s="85"/>
      <c r="V399" s="85"/>
      <c r="W399" s="85"/>
      <c r="X399" s="85"/>
      <c r="Y399" s="85"/>
      <c r="Z399" s="157"/>
      <c r="AA399" s="4"/>
      <c r="AB399" s="4"/>
      <c r="AC399" s="4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49"/>
      <c r="L400" s="85"/>
      <c r="M400" s="85"/>
      <c r="N400" s="151"/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57"/>
      <c r="AA400" s="4"/>
      <c r="AB400" s="4"/>
      <c r="AC400" s="4"/>
    </row>
    <row r="401" customFormat="false" ht="15" hidden="false" customHeight="true" outlineLevel="0" collapsed="false">
      <c r="A401" s="85"/>
      <c r="B401" s="85"/>
      <c r="C401" s="85"/>
      <c r="D401" s="85"/>
      <c r="E401" s="85"/>
      <c r="F401" s="85"/>
      <c r="G401" s="85"/>
      <c r="H401" s="85"/>
      <c r="I401" s="138" t="str">
        <f aca="false">IFERROR(VLOOKUP(TEXT(H401,"0"),IPRESS!$A$3:$B$212,2,0),"")</f>
        <v/>
      </c>
      <c r="J401" s="85"/>
      <c r="K401" s="149"/>
      <c r="L401" s="85"/>
      <c r="M401" s="85"/>
      <c r="N401" s="151"/>
      <c r="O401" s="85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85"/>
      <c r="S401" s="85"/>
      <c r="T401" s="85"/>
      <c r="U401" s="85"/>
      <c r="V401" s="85"/>
      <c r="W401" s="85"/>
      <c r="X401" s="85"/>
      <c r="Y401" s="85"/>
      <c r="Z401" s="157"/>
      <c r="AA401" s="4"/>
      <c r="AB401" s="4"/>
      <c r="AC401" s="4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49"/>
      <c r="L402" s="85"/>
      <c r="M402" s="85"/>
      <c r="N402" s="151"/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57"/>
      <c r="AA402" s="4"/>
      <c r="AB402" s="4"/>
      <c r="AC402" s="4"/>
    </row>
    <row r="403" customFormat="false" ht="15" hidden="false" customHeight="true" outlineLevel="0" collapsed="false">
      <c r="A403" s="85"/>
      <c r="B403" s="85"/>
      <c r="C403" s="85"/>
      <c r="D403" s="85"/>
      <c r="E403" s="85"/>
      <c r="F403" s="85"/>
      <c r="G403" s="85"/>
      <c r="H403" s="85"/>
      <c r="I403" s="138" t="str">
        <f aca="false">IFERROR(VLOOKUP(TEXT(H403,"0"),IPRESS!$A$3:$B$212,2,0),"")</f>
        <v/>
      </c>
      <c r="J403" s="85"/>
      <c r="K403" s="149"/>
      <c r="L403" s="85"/>
      <c r="M403" s="85"/>
      <c r="N403" s="151"/>
      <c r="O403" s="85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85"/>
      <c r="S403" s="85"/>
      <c r="T403" s="85"/>
      <c r="U403" s="85"/>
      <c r="V403" s="85"/>
      <c r="W403" s="85"/>
      <c r="X403" s="85"/>
      <c r="Y403" s="85"/>
      <c r="Z403" s="157"/>
      <c r="AA403" s="4"/>
      <c r="AB403" s="4"/>
      <c r="AC403" s="4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49"/>
      <c r="L404" s="85"/>
      <c r="M404" s="85"/>
      <c r="N404" s="151"/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57"/>
      <c r="AA404" s="4"/>
      <c r="AB404" s="4"/>
      <c r="AC404" s="4"/>
    </row>
    <row r="405" customFormat="false" ht="15" hidden="false" customHeight="true" outlineLevel="0" collapsed="false">
      <c r="A405" s="85"/>
      <c r="B405" s="85"/>
      <c r="C405" s="85"/>
      <c r="D405" s="85"/>
      <c r="E405" s="85"/>
      <c r="F405" s="85"/>
      <c r="G405" s="85"/>
      <c r="H405" s="85"/>
      <c r="I405" s="138" t="str">
        <f aca="false">IFERROR(VLOOKUP(TEXT(H405,"0"),IPRESS!$A$3:$B$212,2,0),"")</f>
        <v/>
      </c>
      <c r="J405" s="85"/>
      <c r="K405" s="149"/>
      <c r="L405" s="85"/>
      <c r="M405" s="85"/>
      <c r="N405" s="151"/>
      <c r="O405" s="85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85"/>
      <c r="S405" s="85"/>
      <c r="T405" s="85"/>
      <c r="U405" s="85"/>
      <c r="V405" s="85"/>
      <c r="W405" s="85"/>
      <c r="X405" s="85"/>
      <c r="Y405" s="85"/>
      <c r="Z405" s="157"/>
      <c r="AA405" s="4"/>
      <c r="AB405" s="4"/>
      <c r="AC405" s="4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49"/>
      <c r="L406" s="85"/>
      <c r="M406" s="85"/>
      <c r="N406" s="151"/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57"/>
      <c r="AA406" s="4"/>
      <c r="AB406" s="4"/>
      <c r="AC406" s="4"/>
    </row>
    <row r="407" customFormat="false" ht="15" hidden="false" customHeight="true" outlineLevel="0" collapsed="false">
      <c r="A407" s="85"/>
      <c r="B407" s="85"/>
      <c r="C407" s="85"/>
      <c r="D407" s="85"/>
      <c r="E407" s="85"/>
      <c r="F407" s="85"/>
      <c r="G407" s="85"/>
      <c r="H407" s="85"/>
      <c r="I407" s="138" t="str">
        <f aca="false">IFERROR(VLOOKUP(TEXT(H407,"0"),IPRESS!$A$3:$B$212,2,0),"")</f>
        <v/>
      </c>
      <c r="J407" s="85"/>
      <c r="K407" s="149"/>
      <c r="L407" s="85"/>
      <c r="M407" s="85"/>
      <c r="N407" s="151"/>
      <c r="O407" s="85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85"/>
      <c r="S407" s="85"/>
      <c r="T407" s="85"/>
      <c r="U407" s="85"/>
      <c r="V407" s="85"/>
      <c r="W407" s="85"/>
      <c r="X407" s="85"/>
      <c r="Y407" s="85"/>
      <c r="Z407" s="157"/>
      <c r="AA407" s="4"/>
      <c r="AB407" s="4"/>
      <c r="AC407" s="4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49"/>
      <c r="L408" s="85"/>
      <c r="M408" s="85"/>
      <c r="N408" s="151"/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57"/>
      <c r="AA408" s="4"/>
      <c r="AB408" s="4"/>
      <c r="AC408" s="4"/>
    </row>
    <row r="409" customFormat="false" ht="15" hidden="false" customHeight="true" outlineLevel="0" collapsed="false">
      <c r="A409" s="85"/>
      <c r="B409" s="85"/>
      <c r="C409" s="85"/>
      <c r="D409" s="85"/>
      <c r="E409" s="85"/>
      <c r="F409" s="85"/>
      <c r="G409" s="85"/>
      <c r="H409" s="85"/>
      <c r="I409" s="138" t="str">
        <f aca="false">IFERROR(VLOOKUP(TEXT(H409,"0"),IPRESS!$A$3:$B$212,2,0),"")</f>
        <v/>
      </c>
      <c r="J409" s="85"/>
      <c r="K409" s="149"/>
      <c r="L409" s="85"/>
      <c r="M409" s="85"/>
      <c r="N409" s="151"/>
      <c r="O409" s="85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85"/>
      <c r="S409" s="85"/>
      <c r="T409" s="85"/>
      <c r="U409" s="85"/>
      <c r="V409" s="85"/>
      <c r="W409" s="85"/>
      <c r="X409" s="85"/>
      <c r="Y409" s="85"/>
      <c r="Z409" s="157"/>
      <c r="AA409" s="4"/>
      <c r="AB409" s="4"/>
      <c r="AC409" s="4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49"/>
      <c r="L410" s="85"/>
      <c r="M410" s="85"/>
      <c r="N410" s="151"/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57"/>
      <c r="AA410" s="4"/>
      <c r="AB410" s="4"/>
      <c r="AC410" s="4"/>
    </row>
    <row r="411" customFormat="false" ht="15" hidden="false" customHeight="true" outlineLevel="0" collapsed="false">
      <c r="A411" s="85"/>
      <c r="B411" s="85"/>
      <c r="C411" s="85"/>
      <c r="D411" s="85"/>
      <c r="E411" s="85"/>
      <c r="F411" s="85"/>
      <c r="G411" s="85"/>
      <c r="H411" s="85"/>
      <c r="I411" s="138" t="str">
        <f aca="false">IFERROR(VLOOKUP(TEXT(H411,"0"),IPRESS!$A$3:$B$212,2,0),"")</f>
        <v/>
      </c>
      <c r="J411" s="85"/>
      <c r="K411" s="149"/>
      <c r="L411" s="85"/>
      <c r="M411" s="85"/>
      <c r="N411" s="151"/>
      <c r="O411" s="85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85"/>
      <c r="S411" s="85"/>
      <c r="T411" s="85"/>
      <c r="U411" s="85"/>
      <c r="V411" s="85"/>
      <c r="W411" s="85"/>
      <c r="X411" s="85"/>
      <c r="Y411" s="85"/>
      <c r="Z411" s="157"/>
      <c r="AA411" s="4"/>
      <c r="AB411" s="4"/>
      <c r="AC411" s="4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49"/>
      <c r="L412" s="85"/>
      <c r="M412" s="85"/>
      <c r="N412" s="151"/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57"/>
      <c r="AA412" s="4"/>
      <c r="AB412" s="4"/>
      <c r="AC412" s="4"/>
    </row>
    <row r="413" customFormat="false" ht="15" hidden="false" customHeight="true" outlineLevel="0" collapsed="false">
      <c r="A413" s="85"/>
      <c r="B413" s="85"/>
      <c r="C413" s="85"/>
      <c r="D413" s="85"/>
      <c r="E413" s="85"/>
      <c r="F413" s="85"/>
      <c r="G413" s="85"/>
      <c r="H413" s="85"/>
      <c r="I413" s="138" t="str">
        <f aca="false">IFERROR(VLOOKUP(TEXT(H413,"0"),IPRESS!$A$3:$B$212,2,0),"")</f>
        <v/>
      </c>
      <c r="J413" s="85"/>
      <c r="K413" s="149"/>
      <c r="L413" s="85"/>
      <c r="M413" s="85"/>
      <c r="N413" s="151"/>
      <c r="O413" s="85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85"/>
      <c r="S413" s="85"/>
      <c r="T413" s="85"/>
      <c r="U413" s="85"/>
      <c r="V413" s="85"/>
      <c r="W413" s="85"/>
      <c r="X413" s="85"/>
      <c r="Y413" s="85"/>
      <c r="Z413" s="157"/>
      <c r="AA413" s="4"/>
      <c r="AB413" s="4"/>
      <c r="AC413" s="4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49"/>
      <c r="L414" s="85"/>
      <c r="M414" s="85"/>
      <c r="N414" s="151"/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57"/>
      <c r="AA414" s="4"/>
      <c r="AB414" s="4"/>
      <c r="AC414" s="4"/>
    </row>
    <row r="415" customFormat="false" ht="15" hidden="false" customHeight="true" outlineLevel="0" collapsed="false">
      <c r="A415" s="85"/>
      <c r="B415" s="85"/>
      <c r="C415" s="85"/>
      <c r="D415" s="85"/>
      <c r="E415" s="85"/>
      <c r="F415" s="85"/>
      <c r="G415" s="85"/>
      <c r="H415" s="85"/>
      <c r="I415" s="138" t="str">
        <f aca="false">IFERROR(VLOOKUP(TEXT(H415,"0"),IPRESS!$A$3:$B$212,2,0),"")</f>
        <v/>
      </c>
      <c r="J415" s="85"/>
      <c r="K415" s="149"/>
      <c r="L415" s="85"/>
      <c r="M415" s="85"/>
      <c r="N415" s="151"/>
      <c r="O415" s="85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85"/>
      <c r="S415" s="85"/>
      <c r="T415" s="85"/>
      <c r="U415" s="85"/>
      <c r="V415" s="85"/>
      <c r="W415" s="85"/>
      <c r="X415" s="85"/>
      <c r="Y415" s="85"/>
      <c r="Z415" s="157"/>
      <c r="AA415" s="4"/>
      <c r="AB415" s="4"/>
      <c r="AC415" s="4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49"/>
      <c r="L416" s="85"/>
      <c r="M416" s="85"/>
      <c r="N416" s="151"/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57"/>
      <c r="AA416" s="4"/>
      <c r="AB416" s="4"/>
      <c r="AC416" s="4"/>
    </row>
    <row r="417" customFormat="false" ht="15" hidden="false" customHeight="true" outlineLevel="0" collapsed="false">
      <c r="A417" s="85"/>
      <c r="B417" s="85"/>
      <c r="C417" s="85"/>
      <c r="D417" s="85"/>
      <c r="E417" s="85"/>
      <c r="F417" s="85"/>
      <c r="G417" s="85"/>
      <c r="H417" s="85"/>
      <c r="I417" s="138" t="str">
        <f aca="false">IFERROR(VLOOKUP(TEXT(H417,"0"),IPRESS!$A$3:$B$212,2,0),"")</f>
        <v/>
      </c>
      <c r="J417" s="85"/>
      <c r="K417" s="149"/>
      <c r="L417" s="85"/>
      <c r="M417" s="85"/>
      <c r="N417" s="151"/>
      <c r="O417" s="85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85"/>
      <c r="S417" s="85"/>
      <c r="T417" s="85"/>
      <c r="U417" s="85"/>
      <c r="V417" s="85"/>
      <c r="W417" s="85"/>
      <c r="X417" s="85"/>
      <c r="Y417" s="85"/>
      <c r="Z417" s="157"/>
      <c r="AA417" s="4"/>
      <c r="AB417" s="4"/>
      <c r="AC417" s="4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49"/>
      <c r="L418" s="85"/>
      <c r="M418" s="85"/>
      <c r="N418" s="151"/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57"/>
      <c r="AA418" s="4"/>
      <c r="AB418" s="4"/>
      <c r="AC418" s="4"/>
    </row>
    <row r="419" customFormat="false" ht="15" hidden="false" customHeight="true" outlineLevel="0" collapsed="false">
      <c r="A419" s="85"/>
      <c r="B419" s="85"/>
      <c r="C419" s="85"/>
      <c r="D419" s="85"/>
      <c r="E419" s="85"/>
      <c r="F419" s="85"/>
      <c r="G419" s="85"/>
      <c r="H419" s="85"/>
      <c r="I419" s="138" t="str">
        <f aca="false">IFERROR(VLOOKUP(TEXT(H419,"0"),IPRESS!$A$3:$B$212,2,0),"")</f>
        <v/>
      </c>
      <c r="J419" s="85"/>
      <c r="K419" s="149"/>
      <c r="L419" s="85"/>
      <c r="M419" s="85"/>
      <c r="N419" s="151"/>
      <c r="O419" s="85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85"/>
      <c r="S419" s="85"/>
      <c r="T419" s="85"/>
      <c r="U419" s="85"/>
      <c r="V419" s="85"/>
      <c r="W419" s="85"/>
      <c r="X419" s="85"/>
      <c r="Y419" s="85"/>
      <c r="Z419" s="157"/>
      <c r="AA419" s="4"/>
      <c r="AB419" s="4"/>
      <c r="AC419" s="4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49"/>
      <c r="L420" s="85"/>
      <c r="M420" s="85"/>
      <c r="N420" s="151"/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57"/>
      <c r="AA420" s="4"/>
      <c r="AB420" s="4"/>
      <c r="AC420" s="4"/>
    </row>
    <row r="421" customFormat="false" ht="15" hidden="false" customHeight="true" outlineLevel="0" collapsed="false">
      <c r="A421" s="85"/>
      <c r="B421" s="85"/>
      <c r="C421" s="85"/>
      <c r="D421" s="85"/>
      <c r="E421" s="85"/>
      <c r="F421" s="85"/>
      <c r="G421" s="85"/>
      <c r="H421" s="85"/>
      <c r="I421" s="138" t="str">
        <f aca="false">IFERROR(VLOOKUP(TEXT(H421,"0"),IPRESS!$A$3:$B$212,2,0),"")</f>
        <v/>
      </c>
      <c r="J421" s="85"/>
      <c r="K421" s="149"/>
      <c r="L421" s="85"/>
      <c r="M421" s="85"/>
      <c r="N421" s="151"/>
      <c r="O421" s="85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85"/>
      <c r="S421" s="85"/>
      <c r="T421" s="85"/>
      <c r="U421" s="85"/>
      <c r="V421" s="85"/>
      <c r="W421" s="85"/>
      <c r="X421" s="85"/>
      <c r="Y421" s="85"/>
      <c r="Z421" s="157"/>
      <c r="AA421" s="4"/>
      <c r="AB421" s="4"/>
      <c r="AC421" s="4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49"/>
      <c r="L422" s="85"/>
      <c r="M422" s="85"/>
      <c r="N422" s="151"/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57"/>
      <c r="AA422" s="4"/>
      <c r="AB422" s="4"/>
      <c r="AC422" s="4"/>
    </row>
    <row r="423" customFormat="false" ht="15" hidden="false" customHeight="true" outlineLevel="0" collapsed="false">
      <c r="A423" s="85"/>
      <c r="B423" s="85"/>
      <c r="C423" s="85"/>
      <c r="D423" s="85"/>
      <c r="E423" s="85"/>
      <c r="F423" s="85"/>
      <c r="G423" s="85"/>
      <c r="H423" s="85"/>
      <c r="I423" s="138" t="str">
        <f aca="false">IFERROR(VLOOKUP(TEXT(H423,"0"),IPRESS!$A$3:$B$212,2,0),"")</f>
        <v/>
      </c>
      <c r="J423" s="85"/>
      <c r="K423" s="149"/>
      <c r="L423" s="85"/>
      <c r="M423" s="85"/>
      <c r="N423" s="151"/>
      <c r="O423" s="85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85"/>
      <c r="S423" s="85"/>
      <c r="T423" s="85"/>
      <c r="U423" s="85"/>
      <c r="V423" s="85"/>
      <c r="W423" s="85"/>
      <c r="X423" s="85"/>
      <c r="Y423" s="85"/>
      <c r="Z423" s="157"/>
      <c r="AA423" s="4"/>
      <c r="AB423" s="4"/>
      <c r="AC423" s="4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49"/>
      <c r="L424" s="85"/>
      <c r="M424" s="85"/>
      <c r="N424" s="151"/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57"/>
      <c r="AA424" s="4"/>
      <c r="AB424" s="4"/>
      <c r="AC424" s="4"/>
    </row>
    <row r="425" customFormat="false" ht="15" hidden="false" customHeight="true" outlineLevel="0" collapsed="false">
      <c r="A425" s="85"/>
      <c r="B425" s="85"/>
      <c r="C425" s="85"/>
      <c r="D425" s="85"/>
      <c r="E425" s="85"/>
      <c r="F425" s="85"/>
      <c r="G425" s="85"/>
      <c r="H425" s="85"/>
      <c r="I425" s="138" t="str">
        <f aca="false">IFERROR(VLOOKUP(TEXT(H425,"0"),IPRESS!$A$3:$B$212,2,0),"")</f>
        <v/>
      </c>
      <c r="J425" s="85"/>
      <c r="K425" s="149"/>
      <c r="L425" s="85"/>
      <c r="M425" s="85"/>
      <c r="N425" s="151"/>
      <c r="O425" s="85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85"/>
      <c r="S425" s="85"/>
      <c r="T425" s="85"/>
      <c r="U425" s="85"/>
      <c r="V425" s="85"/>
      <c r="W425" s="85"/>
      <c r="X425" s="85"/>
      <c r="Y425" s="85"/>
      <c r="Z425" s="157"/>
      <c r="AA425" s="4"/>
      <c r="AB425" s="4"/>
      <c r="AC425" s="4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49"/>
      <c r="L426" s="85"/>
      <c r="M426" s="85"/>
      <c r="N426" s="151"/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57"/>
      <c r="AA426" s="4"/>
      <c r="AB426" s="4"/>
      <c r="AC426" s="4"/>
    </row>
    <row r="427" customFormat="false" ht="15" hidden="false" customHeight="true" outlineLevel="0" collapsed="false">
      <c r="A427" s="85"/>
      <c r="B427" s="85"/>
      <c r="C427" s="85"/>
      <c r="D427" s="85"/>
      <c r="E427" s="85"/>
      <c r="F427" s="85"/>
      <c r="G427" s="85"/>
      <c r="H427" s="85"/>
      <c r="I427" s="138" t="str">
        <f aca="false">IFERROR(VLOOKUP(TEXT(H427,"0"),IPRESS!$A$3:$B$212,2,0),"")</f>
        <v/>
      </c>
      <c r="J427" s="85"/>
      <c r="K427" s="149"/>
      <c r="L427" s="85"/>
      <c r="M427" s="85"/>
      <c r="N427" s="151"/>
      <c r="O427" s="85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85"/>
      <c r="S427" s="85"/>
      <c r="T427" s="85"/>
      <c r="U427" s="85"/>
      <c r="V427" s="85"/>
      <c r="W427" s="85"/>
      <c r="X427" s="85"/>
      <c r="Y427" s="85"/>
      <c r="Z427" s="157"/>
      <c r="AA427" s="4"/>
      <c r="AB427" s="4"/>
      <c r="AC427" s="4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49"/>
      <c r="L428" s="85"/>
      <c r="M428" s="85"/>
      <c r="N428" s="151"/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57"/>
      <c r="AA428" s="4"/>
      <c r="AB428" s="4"/>
      <c r="AC428" s="4"/>
    </row>
    <row r="429" customFormat="false" ht="15" hidden="false" customHeight="true" outlineLevel="0" collapsed="false">
      <c r="A429" s="85"/>
      <c r="B429" s="85"/>
      <c r="C429" s="85"/>
      <c r="D429" s="85"/>
      <c r="E429" s="85"/>
      <c r="F429" s="85"/>
      <c r="G429" s="85"/>
      <c r="H429" s="85"/>
      <c r="I429" s="138" t="str">
        <f aca="false">IFERROR(VLOOKUP(TEXT(H429,"0"),IPRESS!$A$3:$B$212,2,0),"")</f>
        <v/>
      </c>
      <c r="J429" s="85"/>
      <c r="K429" s="149"/>
      <c r="L429" s="85"/>
      <c r="M429" s="85"/>
      <c r="N429" s="151"/>
      <c r="O429" s="85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85"/>
      <c r="S429" s="85"/>
      <c r="T429" s="85"/>
      <c r="U429" s="85"/>
      <c r="V429" s="85"/>
      <c r="W429" s="85"/>
      <c r="X429" s="85"/>
      <c r="Y429" s="85"/>
      <c r="Z429" s="157"/>
      <c r="AA429" s="4"/>
      <c r="AB429" s="4"/>
      <c r="AC429" s="4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49"/>
      <c r="L430" s="85"/>
      <c r="M430" s="85"/>
      <c r="N430" s="151"/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57"/>
      <c r="AA430" s="4"/>
      <c r="AB430" s="4"/>
      <c r="AC430" s="4"/>
    </row>
    <row r="431" customFormat="false" ht="15" hidden="false" customHeight="true" outlineLevel="0" collapsed="false">
      <c r="A431" s="85"/>
      <c r="B431" s="85"/>
      <c r="C431" s="85"/>
      <c r="D431" s="85"/>
      <c r="E431" s="85"/>
      <c r="F431" s="85"/>
      <c r="G431" s="85"/>
      <c r="H431" s="85"/>
      <c r="I431" s="138" t="str">
        <f aca="false">IFERROR(VLOOKUP(TEXT(H431,"0"),IPRESS!$A$3:$B$212,2,0),"")</f>
        <v/>
      </c>
      <c r="J431" s="85"/>
      <c r="K431" s="149"/>
      <c r="L431" s="85"/>
      <c r="M431" s="85"/>
      <c r="N431" s="151"/>
      <c r="O431" s="85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85"/>
      <c r="S431" s="85"/>
      <c r="T431" s="85"/>
      <c r="U431" s="85"/>
      <c r="V431" s="85"/>
      <c r="W431" s="85"/>
      <c r="X431" s="85"/>
      <c r="Y431" s="85"/>
      <c r="Z431" s="157"/>
      <c r="AA431" s="4"/>
      <c r="AB431" s="4"/>
      <c r="AC431" s="4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49"/>
      <c r="L432" s="85"/>
      <c r="M432" s="85"/>
      <c r="N432" s="151"/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57"/>
      <c r="AA432" s="4"/>
      <c r="AB432" s="4"/>
      <c r="AC432" s="4"/>
    </row>
    <row r="433" customFormat="false" ht="15" hidden="false" customHeight="true" outlineLevel="0" collapsed="false">
      <c r="A433" s="85"/>
      <c r="B433" s="85"/>
      <c r="C433" s="85"/>
      <c r="D433" s="85"/>
      <c r="E433" s="85"/>
      <c r="F433" s="85"/>
      <c r="G433" s="85"/>
      <c r="H433" s="85"/>
      <c r="I433" s="138" t="str">
        <f aca="false">IFERROR(VLOOKUP(TEXT(H433,"0"),IPRESS!$A$3:$B$212,2,0),"")</f>
        <v/>
      </c>
      <c r="J433" s="85"/>
      <c r="K433" s="149"/>
      <c r="L433" s="85"/>
      <c r="M433" s="85"/>
      <c r="N433" s="151"/>
      <c r="O433" s="85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85"/>
      <c r="S433" s="85"/>
      <c r="T433" s="85"/>
      <c r="U433" s="85"/>
      <c r="V433" s="85"/>
      <c r="W433" s="85"/>
      <c r="X433" s="85"/>
      <c r="Y433" s="85"/>
      <c r="Z433" s="157"/>
      <c r="AA433" s="4"/>
      <c r="AB433" s="4"/>
      <c r="AC433" s="4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49"/>
      <c r="L434" s="85"/>
      <c r="M434" s="85"/>
      <c r="N434" s="151"/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57"/>
      <c r="AA434" s="4"/>
      <c r="AB434" s="4"/>
      <c r="AC434" s="4"/>
    </row>
    <row r="435" customFormat="false" ht="15" hidden="false" customHeight="true" outlineLevel="0" collapsed="false">
      <c r="A435" s="85"/>
      <c r="B435" s="85"/>
      <c r="C435" s="85"/>
      <c r="D435" s="85"/>
      <c r="E435" s="85"/>
      <c r="F435" s="85"/>
      <c r="G435" s="85"/>
      <c r="H435" s="85"/>
      <c r="I435" s="138" t="str">
        <f aca="false">IFERROR(VLOOKUP(TEXT(H435,"0"),IPRESS!$A$3:$B$212,2,0),"")</f>
        <v/>
      </c>
      <c r="J435" s="85"/>
      <c r="K435" s="149"/>
      <c r="L435" s="85"/>
      <c r="M435" s="85"/>
      <c r="N435" s="151"/>
      <c r="O435" s="85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85"/>
      <c r="S435" s="85"/>
      <c r="T435" s="85"/>
      <c r="U435" s="85"/>
      <c r="V435" s="85"/>
      <c r="W435" s="85"/>
      <c r="X435" s="85"/>
      <c r="Y435" s="85"/>
      <c r="Z435" s="157"/>
      <c r="AA435" s="4"/>
      <c r="AB435" s="4"/>
      <c r="AC435" s="4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49"/>
      <c r="L436" s="85"/>
      <c r="M436" s="85"/>
      <c r="N436" s="151"/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57"/>
      <c r="AA436" s="4"/>
      <c r="AB436" s="4"/>
      <c r="AC436" s="4"/>
    </row>
    <row r="437" customFormat="false" ht="15" hidden="false" customHeight="true" outlineLevel="0" collapsed="false">
      <c r="A437" s="85"/>
      <c r="B437" s="85"/>
      <c r="C437" s="85"/>
      <c r="D437" s="85"/>
      <c r="E437" s="85"/>
      <c r="F437" s="85"/>
      <c r="G437" s="85"/>
      <c r="H437" s="85"/>
      <c r="I437" s="138" t="str">
        <f aca="false">IFERROR(VLOOKUP(TEXT(H437,"0"),IPRESS!$A$3:$B$212,2,0),"")</f>
        <v/>
      </c>
      <c r="J437" s="85"/>
      <c r="K437" s="149"/>
      <c r="L437" s="85"/>
      <c r="M437" s="85"/>
      <c r="N437" s="151"/>
      <c r="O437" s="85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85"/>
      <c r="S437" s="85"/>
      <c r="T437" s="85"/>
      <c r="U437" s="85"/>
      <c r="V437" s="85"/>
      <c r="W437" s="85"/>
      <c r="X437" s="85"/>
      <c r="Y437" s="85"/>
      <c r="Z437" s="157"/>
      <c r="AA437" s="4"/>
      <c r="AB437" s="4"/>
      <c r="AC437" s="4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49"/>
      <c r="L438" s="85"/>
      <c r="M438" s="85"/>
      <c r="N438" s="151"/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57"/>
      <c r="AA438" s="4"/>
      <c r="AB438" s="4"/>
      <c r="AC438" s="4"/>
    </row>
    <row r="439" customFormat="false" ht="15" hidden="false" customHeight="true" outlineLevel="0" collapsed="false">
      <c r="A439" s="85"/>
      <c r="B439" s="85"/>
      <c r="C439" s="85"/>
      <c r="D439" s="85"/>
      <c r="E439" s="85"/>
      <c r="F439" s="85"/>
      <c r="G439" s="85"/>
      <c r="H439" s="85"/>
      <c r="I439" s="138" t="str">
        <f aca="false">IFERROR(VLOOKUP(TEXT(H439,"0"),IPRESS!$A$3:$B$212,2,0),"")</f>
        <v/>
      </c>
      <c r="J439" s="85"/>
      <c r="K439" s="149"/>
      <c r="L439" s="85"/>
      <c r="M439" s="85"/>
      <c r="N439" s="151"/>
      <c r="O439" s="85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85"/>
      <c r="S439" s="85"/>
      <c r="T439" s="85"/>
      <c r="U439" s="85"/>
      <c r="V439" s="85"/>
      <c r="W439" s="85"/>
      <c r="X439" s="85"/>
      <c r="Y439" s="85"/>
      <c r="Z439" s="157"/>
      <c r="AA439" s="4"/>
      <c r="AB439" s="4"/>
      <c r="AC439" s="4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49"/>
      <c r="L440" s="85"/>
      <c r="M440" s="85"/>
      <c r="N440" s="151"/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57"/>
      <c r="AA440" s="4"/>
      <c r="AB440" s="4"/>
      <c r="AC440" s="4"/>
    </row>
    <row r="441" customFormat="false" ht="15" hidden="false" customHeight="true" outlineLevel="0" collapsed="false">
      <c r="A441" s="85"/>
      <c r="B441" s="85"/>
      <c r="C441" s="85"/>
      <c r="D441" s="85"/>
      <c r="E441" s="85"/>
      <c r="F441" s="85"/>
      <c r="G441" s="85"/>
      <c r="H441" s="85"/>
      <c r="I441" s="138" t="str">
        <f aca="false">IFERROR(VLOOKUP(TEXT(H441,"0"),IPRESS!$A$3:$B$212,2,0),"")</f>
        <v/>
      </c>
      <c r="J441" s="85"/>
      <c r="K441" s="149"/>
      <c r="L441" s="85"/>
      <c r="M441" s="85"/>
      <c r="N441" s="151"/>
      <c r="O441" s="85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85"/>
      <c r="S441" s="85"/>
      <c r="T441" s="85"/>
      <c r="U441" s="85"/>
      <c r="V441" s="85"/>
      <c r="W441" s="85"/>
      <c r="X441" s="85"/>
      <c r="Y441" s="85"/>
      <c r="Z441" s="157"/>
      <c r="AA441" s="4"/>
      <c r="AB441" s="4"/>
      <c r="AC441" s="4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49"/>
      <c r="L442" s="85"/>
      <c r="M442" s="85"/>
      <c r="N442" s="151"/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57"/>
      <c r="AA442" s="4"/>
      <c r="AB442" s="4"/>
      <c r="AC442" s="4"/>
    </row>
    <row r="443" customFormat="false" ht="15" hidden="false" customHeight="true" outlineLevel="0" collapsed="false">
      <c r="A443" s="85"/>
      <c r="B443" s="85"/>
      <c r="C443" s="85"/>
      <c r="D443" s="85"/>
      <c r="E443" s="85"/>
      <c r="F443" s="85"/>
      <c r="G443" s="85"/>
      <c r="H443" s="85"/>
      <c r="I443" s="138" t="str">
        <f aca="false">IFERROR(VLOOKUP(TEXT(H443,"0"),IPRESS!$A$3:$B$212,2,0),"")</f>
        <v/>
      </c>
      <c r="J443" s="85"/>
      <c r="K443" s="149"/>
      <c r="L443" s="85"/>
      <c r="M443" s="85"/>
      <c r="N443" s="151"/>
      <c r="O443" s="85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85"/>
      <c r="S443" s="85"/>
      <c r="T443" s="85"/>
      <c r="U443" s="85"/>
      <c r="V443" s="85"/>
      <c r="W443" s="85"/>
      <c r="X443" s="85"/>
      <c r="Y443" s="85"/>
      <c r="Z443" s="157"/>
      <c r="AA443" s="4"/>
      <c r="AB443" s="4"/>
      <c r="AC443" s="4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49"/>
      <c r="L444" s="85"/>
      <c r="M444" s="85"/>
      <c r="N444" s="151"/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57"/>
      <c r="AA444" s="4"/>
      <c r="AB444" s="4"/>
      <c r="AC444" s="4"/>
    </row>
    <row r="445" customFormat="false" ht="15" hidden="false" customHeight="true" outlineLevel="0" collapsed="false">
      <c r="A445" s="85"/>
      <c r="B445" s="85"/>
      <c r="C445" s="85"/>
      <c r="D445" s="85"/>
      <c r="E445" s="85"/>
      <c r="F445" s="85"/>
      <c r="G445" s="85"/>
      <c r="H445" s="85"/>
      <c r="I445" s="138" t="str">
        <f aca="false">IFERROR(VLOOKUP(TEXT(H445,"0"),IPRESS!$A$3:$B$212,2,0),"")</f>
        <v/>
      </c>
      <c r="J445" s="85"/>
      <c r="K445" s="149"/>
      <c r="L445" s="85"/>
      <c r="M445" s="85"/>
      <c r="N445" s="151"/>
      <c r="O445" s="85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85"/>
      <c r="S445" s="85"/>
      <c r="T445" s="85"/>
      <c r="U445" s="85"/>
      <c r="V445" s="85"/>
      <c r="W445" s="85"/>
      <c r="X445" s="85"/>
      <c r="Y445" s="85"/>
      <c r="Z445" s="157"/>
      <c r="AA445" s="4"/>
      <c r="AB445" s="4"/>
      <c r="AC445" s="4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49"/>
      <c r="L446" s="85"/>
      <c r="M446" s="85"/>
      <c r="N446" s="151"/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57"/>
      <c r="AA446" s="4"/>
      <c r="AB446" s="4"/>
      <c r="AC446" s="4"/>
    </row>
    <row r="447" customFormat="false" ht="15" hidden="false" customHeight="true" outlineLevel="0" collapsed="false">
      <c r="A447" s="85"/>
      <c r="B447" s="85"/>
      <c r="C447" s="85"/>
      <c r="D447" s="85"/>
      <c r="E447" s="85"/>
      <c r="F447" s="85"/>
      <c r="G447" s="85"/>
      <c r="H447" s="85"/>
      <c r="I447" s="138" t="str">
        <f aca="false">IFERROR(VLOOKUP(TEXT(H447,"0"),IPRESS!$A$3:$B$212,2,0),"")</f>
        <v/>
      </c>
      <c r="J447" s="85"/>
      <c r="K447" s="149"/>
      <c r="L447" s="85"/>
      <c r="M447" s="85"/>
      <c r="N447" s="151"/>
      <c r="O447" s="85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85"/>
      <c r="S447" s="85"/>
      <c r="T447" s="85"/>
      <c r="U447" s="85"/>
      <c r="V447" s="85"/>
      <c r="W447" s="85"/>
      <c r="X447" s="85"/>
      <c r="Y447" s="85"/>
      <c r="Z447" s="157"/>
      <c r="AA447" s="4"/>
      <c r="AB447" s="4"/>
      <c r="AC447" s="4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49"/>
      <c r="L448" s="85"/>
      <c r="M448" s="85"/>
      <c r="N448" s="151"/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57"/>
      <c r="AA448" s="4"/>
      <c r="AB448" s="4"/>
      <c r="AC448" s="4"/>
    </row>
    <row r="449" customFormat="false" ht="15" hidden="false" customHeight="true" outlineLevel="0" collapsed="false">
      <c r="A449" s="85"/>
      <c r="B449" s="85"/>
      <c r="C449" s="85"/>
      <c r="D449" s="85"/>
      <c r="E449" s="85"/>
      <c r="F449" s="85"/>
      <c r="G449" s="85"/>
      <c r="H449" s="85"/>
      <c r="I449" s="138" t="str">
        <f aca="false">IFERROR(VLOOKUP(TEXT(H449,"0"),IPRESS!$A$3:$B$212,2,0),"")</f>
        <v/>
      </c>
      <c r="J449" s="85"/>
      <c r="K449" s="149"/>
      <c r="L449" s="85"/>
      <c r="M449" s="85"/>
      <c r="N449" s="151"/>
      <c r="O449" s="85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85"/>
      <c r="S449" s="85"/>
      <c r="T449" s="85"/>
      <c r="U449" s="85"/>
      <c r="V449" s="85"/>
      <c r="W449" s="85"/>
      <c r="X449" s="85"/>
      <c r="Y449" s="85"/>
      <c r="Z449" s="157"/>
      <c r="AA449" s="4"/>
      <c r="AB449" s="4"/>
      <c r="AC449" s="4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49"/>
      <c r="L450" s="85"/>
      <c r="M450" s="85"/>
      <c r="N450" s="151"/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57"/>
      <c r="AA450" s="4"/>
      <c r="AB450" s="4"/>
      <c r="AC450" s="4"/>
    </row>
    <row r="451" customFormat="false" ht="15" hidden="false" customHeight="true" outlineLevel="0" collapsed="false">
      <c r="A451" s="85"/>
      <c r="B451" s="85"/>
      <c r="C451" s="85"/>
      <c r="D451" s="85"/>
      <c r="E451" s="85"/>
      <c r="F451" s="85"/>
      <c r="G451" s="85"/>
      <c r="H451" s="85"/>
      <c r="I451" s="138" t="str">
        <f aca="false">IFERROR(VLOOKUP(TEXT(H451,"0"),IPRESS!$A$3:$B$212,2,0),"")</f>
        <v/>
      </c>
      <c r="J451" s="85"/>
      <c r="K451" s="149"/>
      <c r="L451" s="85"/>
      <c r="M451" s="85"/>
      <c r="N451" s="151"/>
      <c r="O451" s="85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85"/>
      <c r="S451" s="85"/>
      <c r="T451" s="85"/>
      <c r="U451" s="85"/>
      <c r="V451" s="85"/>
      <c r="W451" s="85"/>
      <c r="X451" s="85"/>
      <c r="Y451" s="85"/>
      <c r="Z451" s="157"/>
      <c r="AA451" s="4"/>
      <c r="AB451" s="4"/>
      <c r="AC451" s="4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49"/>
      <c r="L452" s="85"/>
      <c r="M452" s="85"/>
      <c r="N452" s="151"/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57"/>
      <c r="AA452" s="4"/>
      <c r="AB452" s="4"/>
      <c r="AC452" s="4"/>
    </row>
    <row r="453" customFormat="false" ht="15" hidden="false" customHeight="true" outlineLevel="0" collapsed="false">
      <c r="A453" s="85"/>
      <c r="B453" s="85"/>
      <c r="C453" s="85"/>
      <c r="D453" s="85"/>
      <c r="E453" s="85"/>
      <c r="F453" s="85"/>
      <c r="G453" s="85"/>
      <c r="H453" s="85"/>
      <c r="I453" s="138" t="str">
        <f aca="false">IFERROR(VLOOKUP(TEXT(H453,"0"),IPRESS!$A$3:$B$212,2,0),"")</f>
        <v/>
      </c>
      <c r="J453" s="85"/>
      <c r="K453" s="149"/>
      <c r="L453" s="85"/>
      <c r="M453" s="85"/>
      <c r="N453" s="151"/>
      <c r="O453" s="85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85"/>
      <c r="S453" s="85"/>
      <c r="T453" s="85"/>
      <c r="U453" s="85"/>
      <c r="V453" s="85"/>
      <c r="W453" s="85"/>
      <c r="X453" s="85"/>
      <c r="Y453" s="85"/>
      <c r="Z453" s="157"/>
      <c r="AA453" s="4"/>
      <c r="AB453" s="4"/>
      <c r="AC453" s="4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49"/>
      <c r="L454" s="85"/>
      <c r="M454" s="85"/>
      <c r="N454" s="151"/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57"/>
      <c r="AA454" s="4"/>
      <c r="AB454" s="4"/>
      <c r="AC454" s="4"/>
    </row>
    <row r="455" customFormat="false" ht="15" hidden="false" customHeight="true" outlineLevel="0" collapsed="false">
      <c r="A455" s="85"/>
      <c r="B455" s="85"/>
      <c r="C455" s="85"/>
      <c r="D455" s="85"/>
      <c r="E455" s="85"/>
      <c r="F455" s="85"/>
      <c r="G455" s="85"/>
      <c r="H455" s="85"/>
      <c r="I455" s="138" t="str">
        <f aca="false">IFERROR(VLOOKUP(TEXT(H455,"0"),IPRESS!$A$3:$B$212,2,0),"")</f>
        <v/>
      </c>
      <c r="J455" s="85"/>
      <c r="K455" s="149"/>
      <c r="L455" s="85"/>
      <c r="M455" s="85"/>
      <c r="N455" s="151"/>
      <c r="O455" s="85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85"/>
      <c r="S455" s="85"/>
      <c r="T455" s="85"/>
      <c r="U455" s="85"/>
      <c r="V455" s="85"/>
      <c r="W455" s="85"/>
      <c r="X455" s="85"/>
      <c r="Y455" s="85"/>
      <c r="Z455" s="157"/>
      <c r="AA455" s="4"/>
      <c r="AB455" s="4"/>
      <c r="AC455" s="4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49"/>
      <c r="L456" s="85"/>
      <c r="M456" s="85"/>
      <c r="N456" s="151"/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57"/>
      <c r="AA456" s="4"/>
      <c r="AB456" s="4"/>
      <c r="AC456" s="4"/>
    </row>
    <row r="457" customFormat="false" ht="15" hidden="false" customHeight="true" outlineLevel="0" collapsed="false">
      <c r="A457" s="85"/>
      <c r="B457" s="85"/>
      <c r="C457" s="85"/>
      <c r="D457" s="85"/>
      <c r="E457" s="85"/>
      <c r="F457" s="85"/>
      <c r="G457" s="85"/>
      <c r="H457" s="85"/>
      <c r="I457" s="138" t="str">
        <f aca="false">IFERROR(VLOOKUP(TEXT(H457,"0"),IPRESS!$A$3:$B$212,2,0),"")</f>
        <v/>
      </c>
      <c r="J457" s="85"/>
      <c r="K457" s="149"/>
      <c r="L457" s="85"/>
      <c r="M457" s="85"/>
      <c r="N457" s="151"/>
      <c r="O457" s="85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85"/>
      <c r="S457" s="85"/>
      <c r="T457" s="85"/>
      <c r="U457" s="85"/>
      <c r="V457" s="85"/>
      <c r="W457" s="85"/>
      <c r="X457" s="85"/>
      <c r="Y457" s="85"/>
      <c r="Z457" s="157"/>
      <c r="AA457" s="4"/>
      <c r="AB457" s="4"/>
      <c r="AC457" s="4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49"/>
      <c r="L458" s="85"/>
      <c r="M458" s="85"/>
      <c r="N458" s="151"/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57"/>
      <c r="AA458" s="4"/>
      <c r="AB458" s="4"/>
      <c r="AC458" s="4"/>
    </row>
    <row r="459" customFormat="false" ht="15" hidden="false" customHeight="true" outlineLevel="0" collapsed="false">
      <c r="A459" s="85"/>
      <c r="B459" s="85"/>
      <c r="C459" s="85"/>
      <c r="D459" s="85"/>
      <c r="E459" s="85"/>
      <c r="F459" s="85"/>
      <c r="G459" s="85"/>
      <c r="H459" s="85"/>
      <c r="I459" s="138" t="str">
        <f aca="false">IFERROR(VLOOKUP(TEXT(H459,"0"),IPRESS!$A$3:$B$212,2,0),"")</f>
        <v/>
      </c>
      <c r="J459" s="85"/>
      <c r="K459" s="149"/>
      <c r="L459" s="85"/>
      <c r="M459" s="85"/>
      <c r="N459" s="151"/>
      <c r="O459" s="85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85"/>
      <c r="S459" s="85"/>
      <c r="T459" s="85"/>
      <c r="U459" s="85"/>
      <c r="V459" s="85"/>
      <c r="W459" s="85"/>
      <c r="X459" s="85"/>
      <c r="Y459" s="85"/>
      <c r="Z459" s="157"/>
      <c r="AA459" s="4"/>
      <c r="AB459" s="4"/>
      <c r="AC459" s="4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49"/>
      <c r="L460" s="85"/>
      <c r="M460" s="85"/>
      <c r="N460" s="151"/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57"/>
      <c r="AA460" s="4"/>
      <c r="AB460" s="4"/>
      <c r="AC460" s="4"/>
    </row>
    <row r="461" customFormat="false" ht="15" hidden="false" customHeight="true" outlineLevel="0" collapsed="false">
      <c r="A461" s="85"/>
      <c r="B461" s="85"/>
      <c r="C461" s="85"/>
      <c r="D461" s="85"/>
      <c r="E461" s="85"/>
      <c r="F461" s="85"/>
      <c r="G461" s="85"/>
      <c r="H461" s="85"/>
      <c r="I461" s="138" t="str">
        <f aca="false">IFERROR(VLOOKUP(TEXT(H461,"0"),IPRESS!$A$3:$B$212,2,0),"")</f>
        <v/>
      </c>
      <c r="J461" s="85"/>
      <c r="K461" s="149"/>
      <c r="L461" s="85"/>
      <c r="M461" s="85"/>
      <c r="N461" s="151"/>
      <c r="O461" s="85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85"/>
      <c r="S461" s="85"/>
      <c r="T461" s="85"/>
      <c r="U461" s="85"/>
      <c r="V461" s="85"/>
      <c r="W461" s="85"/>
      <c r="X461" s="85"/>
      <c r="Y461" s="85"/>
      <c r="Z461" s="157"/>
      <c r="AA461" s="4"/>
      <c r="AB461" s="4"/>
      <c r="AC461" s="4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49"/>
      <c r="L462" s="85"/>
      <c r="M462" s="85"/>
      <c r="N462" s="151"/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57"/>
      <c r="AA462" s="4"/>
      <c r="AB462" s="4"/>
      <c r="AC462" s="4"/>
    </row>
    <row r="463" customFormat="false" ht="15" hidden="false" customHeight="true" outlineLevel="0" collapsed="false">
      <c r="A463" s="85"/>
      <c r="B463" s="85"/>
      <c r="C463" s="85"/>
      <c r="D463" s="85"/>
      <c r="E463" s="85"/>
      <c r="F463" s="85"/>
      <c r="G463" s="85"/>
      <c r="H463" s="85"/>
      <c r="I463" s="138" t="str">
        <f aca="false">IFERROR(VLOOKUP(TEXT(H463,"0"),IPRESS!$A$3:$B$212,2,0),"")</f>
        <v/>
      </c>
      <c r="J463" s="85"/>
      <c r="K463" s="149"/>
      <c r="L463" s="85"/>
      <c r="M463" s="85"/>
      <c r="N463" s="151"/>
      <c r="O463" s="85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85"/>
      <c r="S463" s="85"/>
      <c r="T463" s="85"/>
      <c r="U463" s="85"/>
      <c r="V463" s="85"/>
      <c r="W463" s="85"/>
      <c r="X463" s="85"/>
      <c r="Y463" s="85"/>
      <c r="Z463" s="157"/>
      <c r="AA463" s="4"/>
      <c r="AB463" s="4"/>
      <c r="AC463" s="4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49"/>
      <c r="L464" s="85"/>
      <c r="M464" s="85"/>
      <c r="N464" s="151"/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57"/>
      <c r="AA464" s="4"/>
      <c r="AB464" s="4"/>
      <c r="AC464" s="4"/>
    </row>
    <row r="465" customFormat="false" ht="15" hidden="false" customHeight="true" outlineLevel="0" collapsed="false">
      <c r="A465" s="85"/>
      <c r="B465" s="85"/>
      <c r="C465" s="85"/>
      <c r="D465" s="85"/>
      <c r="E465" s="85"/>
      <c r="F465" s="85"/>
      <c r="G465" s="85"/>
      <c r="H465" s="85"/>
      <c r="I465" s="138" t="str">
        <f aca="false">IFERROR(VLOOKUP(TEXT(H465,"0"),IPRESS!$A$3:$B$212,2,0),"")</f>
        <v/>
      </c>
      <c r="J465" s="85"/>
      <c r="K465" s="149"/>
      <c r="L465" s="85"/>
      <c r="M465" s="85"/>
      <c r="N465" s="151"/>
      <c r="O465" s="85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85"/>
      <c r="S465" s="85"/>
      <c r="T465" s="85"/>
      <c r="U465" s="85"/>
      <c r="V465" s="85"/>
      <c r="W465" s="85"/>
      <c r="X465" s="85"/>
      <c r="Y465" s="85"/>
      <c r="Z465" s="157"/>
      <c r="AA465" s="4"/>
      <c r="AB465" s="4"/>
      <c r="AC465" s="4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49"/>
      <c r="L466" s="85"/>
      <c r="M466" s="85"/>
      <c r="N466" s="151"/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57"/>
      <c r="AA466" s="4"/>
      <c r="AB466" s="4"/>
      <c r="AC466" s="4"/>
    </row>
    <row r="467" customFormat="false" ht="15" hidden="false" customHeight="true" outlineLevel="0" collapsed="false">
      <c r="A467" s="85"/>
      <c r="B467" s="85"/>
      <c r="C467" s="85"/>
      <c r="D467" s="85"/>
      <c r="E467" s="85"/>
      <c r="F467" s="85"/>
      <c r="G467" s="85"/>
      <c r="H467" s="85"/>
      <c r="I467" s="138" t="str">
        <f aca="false">IFERROR(VLOOKUP(TEXT(H467,"0"),IPRESS!$A$3:$B$212,2,0),"")</f>
        <v/>
      </c>
      <c r="J467" s="85"/>
      <c r="K467" s="149"/>
      <c r="L467" s="85"/>
      <c r="M467" s="85"/>
      <c r="N467" s="151"/>
      <c r="O467" s="85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85"/>
      <c r="S467" s="85"/>
      <c r="T467" s="85"/>
      <c r="U467" s="85"/>
      <c r="V467" s="85"/>
      <c r="W467" s="85"/>
      <c r="X467" s="85"/>
      <c r="Y467" s="85"/>
      <c r="Z467" s="157"/>
      <c r="AA467" s="4"/>
      <c r="AB467" s="4"/>
      <c r="AC467" s="4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49"/>
      <c r="L468" s="85"/>
      <c r="M468" s="85"/>
      <c r="N468" s="151"/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57"/>
      <c r="AA468" s="4"/>
      <c r="AB468" s="4"/>
      <c r="AC468" s="4"/>
    </row>
    <row r="469" customFormat="false" ht="15" hidden="false" customHeight="true" outlineLevel="0" collapsed="false">
      <c r="A469" s="85"/>
      <c r="B469" s="85"/>
      <c r="C469" s="85"/>
      <c r="D469" s="85"/>
      <c r="E469" s="85"/>
      <c r="F469" s="85"/>
      <c r="G469" s="85"/>
      <c r="H469" s="85"/>
      <c r="I469" s="138" t="str">
        <f aca="false">IFERROR(VLOOKUP(TEXT(H469,"0"),IPRESS!$A$3:$B$212,2,0),"")</f>
        <v/>
      </c>
      <c r="J469" s="85"/>
      <c r="K469" s="149"/>
      <c r="L469" s="85"/>
      <c r="M469" s="85"/>
      <c r="N469" s="151"/>
      <c r="O469" s="85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85"/>
      <c r="S469" s="85"/>
      <c r="T469" s="85"/>
      <c r="U469" s="85"/>
      <c r="V469" s="85"/>
      <c r="W469" s="85"/>
      <c r="X469" s="85"/>
      <c r="Y469" s="85"/>
      <c r="Z469" s="157"/>
      <c r="AA469" s="4"/>
      <c r="AB469" s="4"/>
      <c r="AC469" s="4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49"/>
      <c r="L470" s="85"/>
      <c r="M470" s="85"/>
      <c r="N470" s="151"/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57"/>
      <c r="AA470" s="4"/>
      <c r="AB470" s="4"/>
      <c r="AC470" s="4"/>
    </row>
    <row r="471" customFormat="false" ht="15" hidden="false" customHeight="true" outlineLevel="0" collapsed="false">
      <c r="A471" s="85"/>
      <c r="B471" s="85"/>
      <c r="C471" s="85"/>
      <c r="D471" s="85"/>
      <c r="E471" s="85"/>
      <c r="F471" s="85"/>
      <c r="G471" s="85"/>
      <c r="H471" s="85"/>
      <c r="I471" s="138" t="str">
        <f aca="false">IFERROR(VLOOKUP(TEXT(H471,"0"),IPRESS!$A$3:$B$212,2,0),"")</f>
        <v/>
      </c>
      <c r="J471" s="85"/>
      <c r="K471" s="149"/>
      <c r="L471" s="85"/>
      <c r="M471" s="85"/>
      <c r="N471" s="151"/>
      <c r="O471" s="85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85"/>
      <c r="S471" s="85"/>
      <c r="T471" s="85"/>
      <c r="U471" s="85"/>
      <c r="V471" s="85"/>
      <c r="W471" s="85"/>
      <c r="X471" s="85"/>
      <c r="Y471" s="85"/>
      <c r="Z471" s="157"/>
      <c r="AA471" s="4"/>
      <c r="AB471" s="4"/>
      <c r="AC471" s="4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49"/>
      <c r="L472" s="85"/>
      <c r="M472" s="85"/>
      <c r="N472" s="151"/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57"/>
      <c r="AA472" s="4"/>
      <c r="AB472" s="4"/>
      <c r="AC472" s="4"/>
    </row>
    <row r="473" customFormat="false" ht="15" hidden="false" customHeight="true" outlineLevel="0" collapsed="false">
      <c r="A473" s="85"/>
      <c r="B473" s="85"/>
      <c r="C473" s="85"/>
      <c r="D473" s="85"/>
      <c r="E473" s="85"/>
      <c r="F473" s="85"/>
      <c r="G473" s="85"/>
      <c r="H473" s="85"/>
      <c r="I473" s="138" t="str">
        <f aca="false">IFERROR(VLOOKUP(TEXT(H473,"0"),IPRESS!$A$3:$B$212,2,0),"")</f>
        <v/>
      </c>
      <c r="J473" s="85"/>
      <c r="K473" s="149"/>
      <c r="L473" s="85"/>
      <c r="M473" s="85"/>
      <c r="N473" s="151"/>
      <c r="O473" s="85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85"/>
      <c r="S473" s="85"/>
      <c r="T473" s="85"/>
      <c r="U473" s="85"/>
      <c r="V473" s="85"/>
      <c r="W473" s="85"/>
      <c r="X473" s="85"/>
      <c r="Y473" s="85"/>
      <c r="Z473" s="157"/>
      <c r="AA473" s="4"/>
      <c r="AB473" s="4"/>
      <c r="AC473" s="4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49"/>
      <c r="L474" s="85"/>
      <c r="M474" s="85"/>
      <c r="N474" s="151"/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57"/>
      <c r="AA474" s="4"/>
      <c r="AB474" s="4"/>
      <c r="AC474" s="4"/>
    </row>
    <row r="475" customFormat="false" ht="15" hidden="false" customHeight="true" outlineLevel="0" collapsed="false">
      <c r="A475" s="85"/>
      <c r="B475" s="85"/>
      <c r="C475" s="85"/>
      <c r="D475" s="85"/>
      <c r="E475" s="85"/>
      <c r="F475" s="85"/>
      <c r="G475" s="85"/>
      <c r="H475" s="85"/>
      <c r="I475" s="138" t="str">
        <f aca="false">IFERROR(VLOOKUP(TEXT(H475,"0"),IPRESS!$A$3:$B$212,2,0),"")</f>
        <v/>
      </c>
      <c r="J475" s="85"/>
      <c r="K475" s="149"/>
      <c r="L475" s="85"/>
      <c r="M475" s="85"/>
      <c r="N475" s="151"/>
      <c r="O475" s="85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85"/>
      <c r="S475" s="85"/>
      <c r="T475" s="85"/>
      <c r="U475" s="85"/>
      <c r="V475" s="85"/>
      <c r="W475" s="85"/>
      <c r="X475" s="85"/>
      <c r="Y475" s="85"/>
      <c r="Z475" s="157"/>
      <c r="AA475" s="4"/>
      <c r="AB475" s="4"/>
      <c r="AC475" s="4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49"/>
      <c r="L476" s="85"/>
      <c r="M476" s="85"/>
      <c r="N476" s="151"/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57"/>
      <c r="AA476" s="4"/>
      <c r="AB476" s="4"/>
      <c r="AC476" s="4"/>
    </row>
    <row r="477" customFormat="false" ht="15" hidden="false" customHeight="true" outlineLevel="0" collapsed="false">
      <c r="A477" s="85"/>
      <c r="B477" s="85"/>
      <c r="C477" s="85"/>
      <c r="D477" s="85"/>
      <c r="E477" s="85"/>
      <c r="F477" s="85"/>
      <c r="G477" s="85"/>
      <c r="H477" s="85"/>
      <c r="I477" s="138" t="str">
        <f aca="false">IFERROR(VLOOKUP(TEXT(H477,"0"),IPRESS!$A$3:$B$212,2,0),"")</f>
        <v/>
      </c>
      <c r="J477" s="85"/>
      <c r="K477" s="149"/>
      <c r="L477" s="85"/>
      <c r="M477" s="85"/>
      <c r="N477" s="151"/>
      <c r="O477" s="85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85"/>
      <c r="S477" s="85"/>
      <c r="T477" s="85"/>
      <c r="U477" s="85"/>
      <c r="V477" s="85"/>
      <c r="W477" s="85"/>
      <c r="X477" s="85"/>
      <c r="Y477" s="85"/>
      <c r="Z477" s="157"/>
      <c r="AA477" s="4"/>
      <c r="AB477" s="4"/>
      <c r="AC477" s="4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49"/>
      <c r="L478" s="85"/>
      <c r="M478" s="85"/>
      <c r="N478" s="151"/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57"/>
      <c r="AA478" s="4"/>
      <c r="AB478" s="4"/>
      <c r="AC478" s="4"/>
    </row>
    <row r="479" customFormat="false" ht="15" hidden="false" customHeight="true" outlineLevel="0" collapsed="false">
      <c r="A479" s="85"/>
      <c r="B479" s="85"/>
      <c r="C479" s="85"/>
      <c r="D479" s="85"/>
      <c r="E479" s="85"/>
      <c r="F479" s="85"/>
      <c r="G479" s="85"/>
      <c r="H479" s="85"/>
      <c r="I479" s="138" t="str">
        <f aca="false">IFERROR(VLOOKUP(TEXT(H479,"0"),IPRESS!$A$3:$B$212,2,0),"")</f>
        <v/>
      </c>
      <c r="J479" s="85"/>
      <c r="K479" s="149"/>
      <c r="L479" s="85"/>
      <c r="M479" s="85"/>
      <c r="N479" s="151"/>
      <c r="O479" s="85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85"/>
      <c r="S479" s="85"/>
      <c r="T479" s="85"/>
      <c r="U479" s="85"/>
      <c r="V479" s="85"/>
      <c r="W479" s="85"/>
      <c r="X479" s="85"/>
      <c r="Y479" s="85"/>
      <c r="Z479" s="157"/>
      <c r="AA479" s="4"/>
      <c r="AB479" s="4"/>
      <c r="AC479" s="4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49"/>
      <c r="L480" s="85"/>
      <c r="M480" s="85"/>
      <c r="N480" s="151"/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57"/>
      <c r="AA480" s="4"/>
      <c r="AB480" s="4"/>
      <c r="AC480" s="4"/>
    </row>
    <row r="481" customFormat="false" ht="15" hidden="false" customHeight="true" outlineLevel="0" collapsed="false">
      <c r="A481" s="85"/>
      <c r="B481" s="85"/>
      <c r="C481" s="85"/>
      <c r="D481" s="85"/>
      <c r="E481" s="85"/>
      <c r="F481" s="85"/>
      <c r="G481" s="85"/>
      <c r="H481" s="85"/>
      <c r="I481" s="138" t="str">
        <f aca="false">IFERROR(VLOOKUP(TEXT(H481,"0"),IPRESS!$A$3:$B$212,2,0),"")</f>
        <v/>
      </c>
      <c r="J481" s="85"/>
      <c r="K481" s="149"/>
      <c r="L481" s="85"/>
      <c r="M481" s="85"/>
      <c r="N481" s="151"/>
      <c r="O481" s="85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85"/>
      <c r="S481" s="85"/>
      <c r="T481" s="85"/>
      <c r="U481" s="85"/>
      <c r="V481" s="85"/>
      <c r="W481" s="85"/>
      <c r="X481" s="85"/>
      <c r="Y481" s="85"/>
      <c r="Z481" s="157"/>
      <c r="AA481" s="4"/>
      <c r="AB481" s="4"/>
      <c r="AC481" s="4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49"/>
      <c r="L482" s="85"/>
      <c r="M482" s="85"/>
      <c r="N482" s="151"/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57"/>
      <c r="AA482" s="4"/>
      <c r="AB482" s="4"/>
      <c r="AC482" s="4"/>
    </row>
    <row r="483" customFormat="false" ht="15" hidden="false" customHeight="true" outlineLevel="0" collapsed="false">
      <c r="A483" s="85"/>
      <c r="B483" s="85"/>
      <c r="C483" s="85"/>
      <c r="D483" s="85"/>
      <c r="E483" s="85"/>
      <c r="F483" s="85"/>
      <c r="G483" s="85"/>
      <c r="H483" s="85"/>
      <c r="I483" s="138" t="str">
        <f aca="false">IFERROR(VLOOKUP(TEXT(H483,"0"),IPRESS!$A$3:$B$212,2,0),"")</f>
        <v/>
      </c>
      <c r="J483" s="85"/>
      <c r="K483" s="149"/>
      <c r="L483" s="85"/>
      <c r="M483" s="85"/>
      <c r="N483" s="151"/>
      <c r="O483" s="85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85"/>
      <c r="S483" s="85"/>
      <c r="T483" s="85"/>
      <c r="U483" s="85"/>
      <c r="V483" s="85"/>
      <c r="W483" s="85"/>
      <c r="X483" s="85"/>
      <c r="Y483" s="85"/>
      <c r="Z483" s="157"/>
      <c r="AA483" s="4"/>
      <c r="AB483" s="4"/>
      <c r="AC483" s="4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49"/>
      <c r="L484" s="85"/>
      <c r="M484" s="85"/>
      <c r="N484" s="151"/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57"/>
      <c r="AA484" s="4"/>
      <c r="AB484" s="4"/>
      <c r="AC484" s="4"/>
    </row>
    <row r="485" customFormat="false" ht="15" hidden="false" customHeight="true" outlineLevel="0" collapsed="false">
      <c r="A485" s="85"/>
      <c r="B485" s="85"/>
      <c r="C485" s="85"/>
      <c r="D485" s="85"/>
      <c r="E485" s="85"/>
      <c r="F485" s="85"/>
      <c r="G485" s="85"/>
      <c r="H485" s="85"/>
      <c r="I485" s="138" t="str">
        <f aca="false">IFERROR(VLOOKUP(TEXT(H485,"0"),IPRESS!$A$3:$B$212,2,0),"")</f>
        <v/>
      </c>
      <c r="J485" s="85"/>
      <c r="K485" s="149"/>
      <c r="L485" s="85"/>
      <c r="M485" s="85"/>
      <c r="N485" s="151"/>
      <c r="O485" s="85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85"/>
      <c r="S485" s="85"/>
      <c r="T485" s="85"/>
      <c r="U485" s="85"/>
      <c r="V485" s="85"/>
      <c r="W485" s="85"/>
      <c r="X485" s="85"/>
      <c r="Y485" s="85"/>
      <c r="Z485" s="157"/>
      <c r="AA485" s="4"/>
      <c r="AB485" s="4"/>
      <c r="AC485" s="4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49"/>
      <c r="L486" s="85"/>
      <c r="M486" s="85"/>
      <c r="N486" s="151"/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57"/>
      <c r="AA486" s="4"/>
      <c r="AB486" s="4"/>
      <c r="AC486" s="4"/>
    </row>
    <row r="487" customFormat="false" ht="15" hidden="false" customHeight="true" outlineLevel="0" collapsed="false">
      <c r="A487" s="85"/>
      <c r="B487" s="85"/>
      <c r="C487" s="85"/>
      <c r="D487" s="85"/>
      <c r="E487" s="85"/>
      <c r="F487" s="85"/>
      <c r="G487" s="85"/>
      <c r="H487" s="85"/>
      <c r="I487" s="138" t="str">
        <f aca="false">IFERROR(VLOOKUP(TEXT(H487,"0"),IPRESS!$A$3:$B$212,2,0),"")</f>
        <v/>
      </c>
      <c r="J487" s="85"/>
      <c r="K487" s="149"/>
      <c r="L487" s="85"/>
      <c r="M487" s="85"/>
      <c r="N487" s="151"/>
      <c r="O487" s="85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85"/>
      <c r="S487" s="85"/>
      <c r="T487" s="85"/>
      <c r="U487" s="85"/>
      <c r="V487" s="85"/>
      <c r="W487" s="85"/>
      <c r="X487" s="85"/>
      <c r="Y487" s="85"/>
      <c r="Z487" s="157"/>
      <c r="AA487" s="4"/>
      <c r="AB487" s="4"/>
      <c r="AC487" s="4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49"/>
      <c r="L488" s="85"/>
      <c r="M488" s="85"/>
      <c r="N488" s="151"/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57"/>
      <c r="AA488" s="4"/>
      <c r="AB488" s="4"/>
      <c r="AC488" s="4"/>
    </row>
    <row r="489" customFormat="false" ht="15" hidden="false" customHeight="true" outlineLevel="0" collapsed="false">
      <c r="A489" s="85"/>
      <c r="B489" s="85"/>
      <c r="C489" s="85"/>
      <c r="D489" s="85"/>
      <c r="E489" s="85"/>
      <c r="F489" s="85"/>
      <c r="G489" s="85"/>
      <c r="H489" s="85"/>
      <c r="I489" s="138" t="str">
        <f aca="false">IFERROR(VLOOKUP(TEXT(H489,"0"),IPRESS!$A$3:$B$212,2,0),"")</f>
        <v/>
      </c>
      <c r="J489" s="85"/>
      <c r="K489" s="149"/>
      <c r="L489" s="85"/>
      <c r="M489" s="85"/>
      <c r="N489" s="151"/>
      <c r="O489" s="85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85"/>
      <c r="S489" s="85"/>
      <c r="T489" s="85"/>
      <c r="U489" s="85"/>
      <c r="V489" s="85"/>
      <c r="W489" s="85"/>
      <c r="X489" s="85"/>
      <c r="Y489" s="85"/>
      <c r="Z489" s="157"/>
      <c r="AA489" s="4"/>
      <c r="AB489" s="4"/>
      <c r="AC489" s="4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49"/>
      <c r="L490" s="85"/>
      <c r="M490" s="85"/>
      <c r="N490" s="151"/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57"/>
      <c r="AA490" s="4"/>
      <c r="AB490" s="4"/>
      <c r="AC490" s="4"/>
    </row>
    <row r="491" customFormat="false" ht="15" hidden="false" customHeight="true" outlineLevel="0" collapsed="false">
      <c r="A491" s="85"/>
      <c r="B491" s="85"/>
      <c r="C491" s="85"/>
      <c r="D491" s="85"/>
      <c r="E491" s="85"/>
      <c r="F491" s="85"/>
      <c r="G491" s="85"/>
      <c r="H491" s="85"/>
      <c r="I491" s="138" t="str">
        <f aca="false">IFERROR(VLOOKUP(TEXT(H491,"0"),IPRESS!$A$3:$B$212,2,0),"")</f>
        <v/>
      </c>
      <c r="J491" s="85"/>
      <c r="K491" s="149"/>
      <c r="L491" s="85"/>
      <c r="M491" s="85"/>
      <c r="N491" s="151"/>
      <c r="O491" s="85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85"/>
      <c r="S491" s="85"/>
      <c r="T491" s="85"/>
      <c r="U491" s="85"/>
      <c r="V491" s="85"/>
      <c r="W491" s="85"/>
      <c r="X491" s="85"/>
      <c r="Y491" s="85"/>
      <c r="Z491" s="157"/>
      <c r="AA491" s="4"/>
      <c r="AB491" s="4"/>
      <c r="AC491" s="4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49"/>
      <c r="L492" s="85"/>
      <c r="M492" s="85"/>
      <c r="N492" s="151"/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57"/>
      <c r="AA492" s="4"/>
      <c r="AB492" s="4"/>
      <c r="AC492" s="4"/>
    </row>
    <row r="493" customFormat="false" ht="15" hidden="false" customHeight="true" outlineLevel="0" collapsed="false">
      <c r="A493" s="85"/>
      <c r="B493" s="85"/>
      <c r="C493" s="85"/>
      <c r="D493" s="85"/>
      <c r="E493" s="85"/>
      <c r="F493" s="85"/>
      <c r="G493" s="85"/>
      <c r="H493" s="85"/>
      <c r="I493" s="138" t="str">
        <f aca="false">IFERROR(VLOOKUP(TEXT(H493,"0"),IPRESS!$A$3:$B$212,2,0),"")</f>
        <v/>
      </c>
      <c r="J493" s="85"/>
      <c r="K493" s="149"/>
      <c r="L493" s="85"/>
      <c r="M493" s="85"/>
      <c r="N493" s="151"/>
      <c r="O493" s="85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85"/>
      <c r="S493" s="85"/>
      <c r="T493" s="85"/>
      <c r="U493" s="85"/>
      <c r="V493" s="85"/>
      <c r="W493" s="85"/>
      <c r="X493" s="85"/>
      <c r="Y493" s="85"/>
      <c r="Z493" s="157"/>
      <c r="AA493" s="4"/>
      <c r="AB493" s="4"/>
      <c r="AC493" s="4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49"/>
      <c r="L494" s="85"/>
      <c r="M494" s="85"/>
      <c r="N494" s="151"/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57"/>
      <c r="AA494" s="4"/>
      <c r="AB494" s="4"/>
      <c r="AC494" s="4"/>
    </row>
    <row r="495" customFormat="false" ht="15" hidden="false" customHeight="true" outlineLevel="0" collapsed="false">
      <c r="A495" s="85"/>
      <c r="B495" s="85"/>
      <c r="C495" s="85"/>
      <c r="D495" s="85"/>
      <c r="E495" s="85"/>
      <c r="F495" s="85"/>
      <c r="G495" s="85"/>
      <c r="H495" s="85"/>
      <c r="I495" s="138" t="str">
        <f aca="false">IFERROR(VLOOKUP(TEXT(H495,"0"),IPRESS!$A$3:$B$212,2,0),"")</f>
        <v/>
      </c>
      <c r="J495" s="85"/>
      <c r="K495" s="149"/>
      <c r="L495" s="85"/>
      <c r="M495" s="85"/>
      <c r="N495" s="151"/>
      <c r="O495" s="85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85"/>
      <c r="S495" s="85"/>
      <c r="T495" s="85"/>
      <c r="U495" s="85"/>
      <c r="V495" s="85"/>
      <c r="W495" s="85"/>
      <c r="X495" s="85"/>
      <c r="Y495" s="85"/>
      <c r="Z495" s="157"/>
      <c r="AA495" s="4"/>
      <c r="AB495" s="4"/>
      <c r="AC495" s="4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49"/>
      <c r="L496" s="85"/>
      <c r="M496" s="85"/>
      <c r="N496" s="151"/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57"/>
      <c r="AA496" s="4"/>
      <c r="AB496" s="4"/>
      <c r="AC496" s="4"/>
    </row>
    <row r="497" customFormat="false" ht="15" hidden="false" customHeight="true" outlineLevel="0" collapsed="false">
      <c r="A497" s="85"/>
      <c r="B497" s="85"/>
      <c r="C497" s="85"/>
      <c r="D497" s="85"/>
      <c r="E497" s="85"/>
      <c r="F497" s="85"/>
      <c r="G497" s="85"/>
      <c r="H497" s="85"/>
      <c r="I497" s="138" t="str">
        <f aca="false">IFERROR(VLOOKUP(TEXT(H497,"0"),IPRESS!$A$3:$B$212,2,0),"")</f>
        <v/>
      </c>
      <c r="J497" s="85"/>
      <c r="K497" s="149"/>
      <c r="L497" s="85"/>
      <c r="M497" s="85"/>
      <c r="N497" s="151"/>
      <c r="O497" s="85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85"/>
      <c r="S497" s="85"/>
      <c r="T497" s="85"/>
      <c r="U497" s="85"/>
      <c r="V497" s="85"/>
      <c r="W497" s="85"/>
      <c r="X497" s="85"/>
      <c r="Y497" s="85"/>
      <c r="Z497" s="157"/>
      <c r="AA497" s="4"/>
      <c r="AB497" s="4"/>
      <c r="AC497" s="4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49"/>
      <c r="L498" s="85"/>
      <c r="M498" s="85"/>
      <c r="N498" s="151"/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57"/>
      <c r="AA498" s="4"/>
      <c r="AB498" s="4"/>
      <c r="AC498" s="4"/>
    </row>
    <row r="499" customFormat="false" ht="15" hidden="false" customHeight="true" outlineLevel="0" collapsed="false">
      <c r="A499" s="85"/>
      <c r="B499" s="85"/>
      <c r="C499" s="85"/>
      <c r="D499" s="85"/>
      <c r="E499" s="85"/>
      <c r="F499" s="85"/>
      <c r="G499" s="85"/>
      <c r="H499" s="85"/>
      <c r="I499" s="138" t="str">
        <f aca="false">IFERROR(VLOOKUP(TEXT(H499,"0"),IPRESS!$A$3:$B$212,2,0),"")</f>
        <v/>
      </c>
      <c r="J499" s="85"/>
      <c r="K499" s="149"/>
      <c r="L499" s="85"/>
      <c r="M499" s="85"/>
      <c r="N499" s="151"/>
      <c r="O499" s="85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85"/>
      <c r="S499" s="85"/>
      <c r="T499" s="85"/>
      <c r="U499" s="85"/>
      <c r="V499" s="85"/>
      <c r="W499" s="85"/>
      <c r="X499" s="85"/>
      <c r="Y499" s="85"/>
      <c r="Z499" s="157"/>
      <c r="AA499" s="4"/>
      <c r="AB499" s="4"/>
      <c r="AC499" s="4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49"/>
      <c r="L500" s="85"/>
      <c r="M500" s="85"/>
      <c r="N500" s="151"/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57"/>
      <c r="AA500" s="4"/>
      <c r="AB500" s="4"/>
      <c r="AC500" s="4"/>
    </row>
    <row r="501" customFormat="false" ht="15" hidden="false" customHeight="true" outlineLevel="0" collapsed="false">
      <c r="A501" s="85"/>
      <c r="B501" s="85"/>
      <c r="C501" s="85"/>
      <c r="D501" s="85"/>
      <c r="E501" s="85"/>
      <c r="F501" s="85"/>
      <c r="G501" s="85"/>
      <c r="H501" s="85"/>
      <c r="I501" s="138" t="str">
        <f aca="false">IFERROR(VLOOKUP(TEXT(H501,"0"),IPRESS!$A$3:$B$212,2,0),"")</f>
        <v/>
      </c>
      <c r="J501" s="85"/>
      <c r="K501" s="149"/>
      <c r="L501" s="85"/>
      <c r="M501" s="85"/>
      <c r="N501" s="151"/>
      <c r="O501" s="85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85"/>
      <c r="S501" s="85"/>
      <c r="T501" s="85"/>
      <c r="U501" s="85"/>
      <c r="V501" s="85"/>
      <c r="W501" s="85"/>
      <c r="X501" s="85"/>
      <c r="Y501" s="85"/>
      <c r="Z501" s="157"/>
      <c r="AA501" s="4"/>
      <c r="AB501" s="4"/>
      <c r="AC501" s="4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49"/>
      <c r="L502" s="85"/>
      <c r="M502" s="85"/>
      <c r="N502" s="151"/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57"/>
      <c r="AA502" s="4"/>
      <c r="AB502" s="4"/>
      <c r="AC502" s="4"/>
    </row>
    <row r="503" customFormat="false" ht="15" hidden="false" customHeight="true" outlineLevel="0" collapsed="false">
      <c r="A503" s="85"/>
      <c r="B503" s="85"/>
      <c r="C503" s="85"/>
      <c r="D503" s="85"/>
      <c r="E503" s="85"/>
      <c r="F503" s="85"/>
      <c r="G503" s="85"/>
      <c r="H503" s="85"/>
      <c r="I503" s="138" t="str">
        <f aca="false">IFERROR(VLOOKUP(TEXT(H503,"0"),IPRESS!$A$3:$B$212,2,0),"")</f>
        <v/>
      </c>
      <c r="J503" s="85"/>
      <c r="K503" s="149"/>
      <c r="L503" s="85"/>
      <c r="M503" s="85"/>
      <c r="N503" s="151"/>
      <c r="O503" s="85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85"/>
      <c r="S503" s="85"/>
      <c r="T503" s="85"/>
      <c r="U503" s="85"/>
      <c r="V503" s="85"/>
      <c r="W503" s="85"/>
      <c r="X503" s="85"/>
      <c r="Y503" s="85"/>
      <c r="Z503" s="157"/>
      <c r="AA503" s="4"/>
      <c r="AB503" s="4"/>
      <c r="AC503" s="4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49"/>
      <c r="L504" s="85"/>
      <c r="M504" s="85"/>
      <c r="N504" s="151"/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57"/>
      <c r="AA504" s="4"/>
      <c r="AB504" s="4"/>
      <c r="AC504" s="4"/>
    </row>
    <row r="505" customFormat="false" ht="15" hidden="false" customHeight="true" outlineLevel="0" collapsed="false">
      <c r="A505" s="85"/>
      <c r="B505" s="85"/>
      <c r="C505" s="85"/>
      <c r="D505" s="85"/>
      <c r="E505" s="85"/>
      <c r="F505" s="85"/>
      <c r="G505" s="85"/>
      <c r="H505" s="85"/>
      <c r="I505" s="138" t="str">
        <f aca="false">IFERROR(VLOOKUP(TEXT(H505,"0"),IPRESS!$A$3:$B$212,2,0),"")</f>
        <v/>
      </c>
      <c r="J505" s="85"/>
      <c r="K505" s="149"/>
      <c r="L505" s="85"/>
      <c r="M505" s="85"/>
      <c r="N505" s="151"/>
      <c r="O505" s="85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85"/>
      <c r="S505" s="85"/>
      <c r="T505" s="85"/>
      <c r="U505" s="85"/>
      <c r="V505" s="85"/>
      <c r="W505" s="85"/>
      <c r="X505" s="85"/>
      <c r="Y505" s="85"/>
      <c r="Z505" s="157"/>
      <c r="AA505" s="4"/>
      <c r="AB505" s="4"/>
      <c r="AC505" s="4"/>
    </row>
    <row r="506" customFormat="false" ht="21.75" hidden="false" customHeight="true" outlineLevel="0" collapsed="false">
      <c r="A506" s="167"/>
      <c r="B506" s="167"/>
      <c r="C506" s="167"/>
      <c r="D506" s="167"/>
      <c r="E506" s="167"/>
      <c r="F506" s="167"/>
      <c r="G506" s="167"/>
      <c r="H506" s="4"/>
      <c r="J506" s="4"/>
      <c r="K506" s="4"/>
      <c r="L506" s="4"/>
      <c r="M506" s="168"/>
      <c r="N506" s="168"/>
      <c r="O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  <c r="O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customFormat="false" ht="1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  <c r="O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  <c r="O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customFormat="false" ht="1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  <c r="O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5:N99">
    <filterColumn colId="10">
      <filters>
        <filter val="GASOLINA"/>
      </filters>
    </filterColumn>
  </autoFilter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01:J101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Y6:Y110">
    <cfRule type="expression" priority="9" aboveAverage="0" equalAverage="0" bottom="0" percent="0" rank="0" text="" dxfId="9">
      <formula>Y6&lt;&gt;""</formula>
    </cfRule>
  </conditionalFormatting>
  <conditionalFormatting sqref="Z6:Z110">
    <cfRule type="expression" priority="10" aboveAverage="0" equalAverage="0" bottom="0" percent="0" rank="0" text="" dxfId="0">
      <formula>Z6="ENTREGADO"</formula>
    </cfRule>
    <cfRule type="expression" priority="11" aboveAverage="0" equalAverage="0" bottom="0" percent="0" rank="0" text="" dxfId="7">
      <formula>Z6="POR RECOGER"</formula>
    </cfRule>
  </conditionalFormatting>
  <dataValidations count="4"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00 E102:E505" type="list">
      <formula1>"DNI,CE,PASAPORTE"</formula1>
      <formula2>0</formula2>
    </dataValidation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6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.43"/>
    <col collapsed="false" customWidth="true" hidden="false" outlineLevel="0" max="3" min="3" style="1" width="8"/>
    <col collapsed="false" customWidth="true" hidden="false" outlineLevel="0" max="4" min="4" style="1" width="33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0" min="20" style="1" width="15.85"/>
    <col collapsed="false" customWidth="true" hidden="false" outlineLevel="0" max="21" min="21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22" t="s">
        <v>4783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IFERROR(SUMPRODUCT((K6:K104="PETROLEO")*ISNUMBER(M6:M104)*M6:M104),0)</f>
        <v>676.09</v>
      </c>
      <c r="E2" s="124"/>
      <c r="F2" s="124"/>
      <c r="G2" s="123" t="s">
        <v>725</v>
      </c>
      <c r="H2" s="123"/>
      <c r="I2" s="123"/>
      <c r="J2" s="124" t="n">
        <f aca="false">IFERROR(SUMPRODUCT((K6:K104="GASOLINA")*ISNUMBER(M6:M104)*M6:M104),0)</f>
        <v>138</v>
      </c>
      <c r="K2" s="124"/>
      <c r="L2" s="124"/>
      <c r="M2" s="123" t="s">
        <v>726</v>
      </c>
      <c r="N2" s="123"/>
      <c r="O2" s="123"/>
      <c r="P2" s="125" t="n">
        <f aca="false">IFERROR(SUMPRODUCT(ISNUMBER(M6:M104)*L6:L104*M6:M104),0)</f>
        <v>15125.3325</v>
      </c>
      <c r="Q2" s="125"/>
      <c r="R2" s="125"/>
      <c r="S2" s="123" t="s">
        <v>727</v>
      </c>
      <c r="T2" s="123"/>
      <c r="U2" s="126" t="n">
        <f aca="false">SUBTOTAL(2,A6:A104)</f>
        <v>99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3" t="s">
        <v>4527</v>
      </c>
      <c r="Q5" s="133" t="s">
        <v>104</v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55" t="s">
        <v>729</v>
      </c>
      <c r="Z5" s="156" t="s">
        <v>4528</v>
      </c>
    </row>
    <row r="6" customFormat="false" ht="15.75" hidden="false" customHeight="true" outlineLevel="0" collapsed="false">
      <c r="A6" s="143" t="n">
        <v>1</v>
      </c>
      <c r="B6" s="144" t="s">
        <v>840</v>
      </c>
      <c r="C6" s="143" t="s">
        <v>752</v>
      </c>
      <c r="D6" s="144" t="s">
        <v>4784</v>
      </c>
      <c r="E6" s="143" t="s">
        <v>99</v>
      </c>
      <c r="F6" s="143" t="s">
        <v>4785</v>
      </c>
      <c r="G6" s="145" t="n">
        <v>46054</v>
      </c>
      <c r="H6" s="143" t="s">
        <v>622</v>
      </c>
      <c r="I6" s="138" t="str">
        <f aca="false">IFERROR(VLOOKUP(TEXT(H6,"0"),IPRESS!$A$3:$B$212,2,0),"")</f>
        <v>SALAZAR</v>
      </c>
      <c r="J6" s="143" t="s">
        <v>755</v>
      </c>
      <c r="K6" s="164" t="s">
        <v>16</v>
      </c>
      <c r="L6" s="146" t="n">
        <v>17.95</v>
      </c>
      <c r="M6" s="146" t="n">
        <v>20</v>
      </c>
      <c r="N6" s="139" t="n">
        <f aca="false">IFERROR(IF(L6*M6=0,"",L6*M6),"")</f>
        <v>359</v>
      </c>
      <c r="O6" s="143" t="s">
        <v>257</v>
      </c>
      <c r="P6" s="138" t="str">
        <f aca="false">IFERROR(VLOOKUP(TEXT(O6,"0"),CONDUCTORES!$A$3:$G$100,2,0),"")</f>
        <v>EDINSON CARRASCO VELA</v>
      </c>
      <c r="Q6" s="138" t="str">
        <f aca="false">IFERROR(VLOOKUP(TEXT(O6,"0"),CONDUCTORES!$A$3:$H$100,6,0),"")</f>
        <v>EUE-457</v>
      </c>
      <c r="R6" s="147"/>
      <c r="S6" s="144" t="s">
        <v>1487</v>
      </c>
      <c r="T6" s="143" t="s">
        <v>758</v>
      </c>
      <c r="U6" s="147"/>
      <c r="V6" s="144"/>
      <c r="W6" s="143"/>
      <c r="X6" s="143"/>
      <c r="Y6" s="85"/>
      <c r="Z6" s="157" t="str">
        <f aca="false">IF(AND(R6&lt;&gt;"",V6&lt;&gt;"",W6&lt;&gt;""),"ENTREGADO","POR RECOGER")</f>
        <v>POR RECOGER</v>
      </c>
      <c r="AA6" s="4"/>
      <c r="AB6" s="4"/>
      <c r="AC6" s="4"/>
    </row>
    <row r="7" customFormat="false" ht="15.75" hidden="false" customHeight="true" outlineLevel="0" collapsed="false">
      <c r="A7" s="46" t="n">
        <v>2</v>
      </c>
      <c r="B7" s="110" t="s">
        <v>1932</v>
      </c>
      <c r="C7" s="46" t="s">
        <v>752</v>
      </c>
      <c r="D7" s="110" t="s">
        <v>4786</v>
      </c>
      <c r="E7" s="46" t="s">
        <v>99</v>
      </c>
      <c r="F7" s="46" t="s">
        <v>4787</v>
      </c>
      <c r="G7" s="142" t="n">
        <v>46055</v>
      </c>
      <c r="H7" s="46" t="s">
        <v>500</v>
      </c>
      <c r="I7" s="138" t="str">
        <f aca="false">IFERROR(VLOOKUP(TEXT(H7,"0"),IPRESS!$A$3:$B$212,2,0),"")</f>
        <v>LAMUD</v>
      </c>
      <c r="J7" s="46" t="s">
        <v>755</v>
      </c>
      <c r="K7" s="138" t="s">
        <v>14</v>
      </c>
      <c r="L7" s="44" t="n">
        <v>18.18</v>
      </c>
      <c r="M7" s="44" t="n">
        <v>4</v>
      </c>
      <c r="N7" s="139" t="n">
        <f aca="false">IFERROR(IF(L7*M7=0,"",L7*M7),"")</f>
        <v>72.72</v>
      </c>
      <c r="O7" s="46" t="s">
        <v>170</v>
      </c>
      <c r="P7" s="138" t="str">
        <f aca="false">IFERROR(VLOOKUP(TEXT(O7,"0"),CONDUCTORES!$A$3:$G$100,2,0),"")</f>
        <v>RUFASTO CHUQUIZUTA JUAN KAROOL</v>
      </c>
      <c r="Q7" s="138" t="str">
        <f aca="false">IFERROR(VLOOKUP(TEXT(O7,"0"),CONDUCTORES!$A$3:$H$100,6,0),"")</f>
        <v>EUA963</v>
      </c>
      <c r="R7" s="85"/>
      <c r="S7" s="110" t="s">
        <v>3927</v>
      </c>
      <c r="T7" s="46" t="s">
        <v>758</v>
      </c>
      <c r="U7" s="85"/>
      <c r="V7" s="110"/>
      <c r="W7" s="46"/>
      <c r="X7" s="46"/>
      <c r="Y7" s="85"/>
      <c r="Z7" s="157" t="str">
        <f aca="false">IF(AND(R7&lt;&gt;"",V7&lt;&gt;"",W7&lt;&gt;""),"ENTREGADO","POR RECOGER")</f>
        <v>POR RECOGER</v>
      </c>
      <c r="AA7" s="4"/>
      <c r="AB7" s="4"/>
      <c r="AC7" s="4"/>
    </row>
    <row r="8" customFormat="false" ht="15.75" hidden="false" customHeight="true" outlineLevel="0" collapsed="false">
      <c r="A8" s="143" t="n">
        <v>3</v>
      </c>
      <c r="B8" s="144" t="s">
        <v>844</v>
      </c>
      <c r="C8" s="143" t="s">
        <v>752</v>
      </c>
      <c r="D8" s="144" t="s">
        <v>4788</v>
      </c>
      <c r="E8" s="143" t="s">
        <v>99</v>
      </c>
      <c r="F8" s="143" t="s">
        <v>4789</v>
      </c>
      <c r="G8" s="145" t="n">
        <v>46055</v>
      </c>
      <c r="H8" s="143" t="s">
        <v>622</v>
      </c>
      <c r="I8" s="138" t="str">
        <f aca="false">IFERROR(VLOOKUP(TEXT(H8,"0"),IPRESS!$A$3:$B$212,2,0),"")</f>
        <v>SALAZAR</v>
      </c>
      <c r="J8" s="143" t="s">
        <v>1216</v>
      </c>
      <c r="K8" s="164" t="s">
        <v>16</v>
      </c>
      <c r="L8" s="146" t="n">
        <v>17.95</v>
      </c>
      <c r="M8" s="146" t="n">
        <v>12</v>
      </c>
      <c r="N8" s="139" t="n">
        <f aca="false">IFERROR(IF(L8*M8=0,"",L8*M8),"")</f>
        <v>215.4</v>
      </c>
      <c r="O8" s="143" t="s">
        <v>257</v>
      </c>
      <c r="P8" s="138" t="str">
        <f aca="false">IFERROR(VLOOKUP(TEXT(O8,"0"),CONDUCTORES!$A$3:$G$100,2,0),"")</f>
        <v>EDINSON CARRASCO VELA</v>
      </c>
      <c r="Q8" s="138" t="str">
        <f aca="false">IFERROR(VLOOKUP(TEXT(O8,"0"),CONDUCTORES!$A$3:$H$100,6,0),"")</f>
        <v>EUE-457</v>
      </c>
      <c r="R8" s="147"/>
      <c r="S8" s="144" t="s">
        <v>891</v>
      </c>
      <c r="T8" s="143" t="s">
        <v>758</v>
      </c>
      <c r="U8" s="147"/>
      <c r="V8" s="144"/>
      <c r="W8" s="143"/>
      <c r="X8" s="143"/>
      <c r="Y8" s="85"/>
      <c r="Z8" s="157" t="str">
        <f aca="false">IF(AND(R8&lt;&gt;"",V8&lt;&gt;"",W8&lt;&gt;""),"ENTREGADO","POR RECOGER")</f>
        <v>POR RECOGER</v>
      </c>
      <c r="AA8" s="4"/>
      <c r="AB8" s="4"/>
      <c r="AC8" s="4"/>
    </row>
    <row r="9" customFormat="false" ht="15.75" hidden="false" customHeight="true" outlineLevel="0" collapsed="false">
      <c r="A9" s="46" t="n">
        <v>4</v>
      </c>
      <c r="B9" s="110" t="s">
        <v>1372</v>
      </c>
      <c r="C9" s="46" t="s">
        <v>752</v>
      </c>
      <c r="D9" s="110" t="s">
        <v>4790</v>
      </c>
      <c r="E9" s="46" t="s">
        <v>99</v>
      </c>
      <c r="F9" s="46" t="s">
        <v>4791</v>
      </c>
      <c r="G9" s="142" t="n">
        <v>46056</v>
      </c>
      <c r="H9" s="46" t="s">
        <v>717</v>
      </c>
      <c r="I9" s="138" t="str">
        <f aca="false">IFERROR(VLOOKUP(TEXT(H9,"0"),IPRESS!$A$3:$B$212,2,0),"")</f>
        <v>YERBABUENA</v>
      </c>
      <c r="J9" s="46" t="s">
        <v>755</v>
      </c>
      <c r="K9" s="138" t="s">
        <v>14</v>
      </c>
      <c r="L9" s="44" t="n">
        <v>18.18</v>
      </c>
      <c r="M9" s="44" t="n">
        <v>6</v>
      </c>
      <c r="N9" s="139" t="n">
        <f aca="false">IFERROR(IF(L9*M9=0,"",L9*M9),"")</f>
        <v>109.08</v>
      </c>
      <c r="O9" s="46" t="s">
        <v>280</v>
      </c>
      <c r="P9" s="138" t="str">
        <f aca="false">IFERROR(VLOOKUP(TEXT(O9,"0"),CONDUCTORES!$A$3:$G$100,2,0),"")</f>
        <v>SANCHEZ CAJO VICENTE</v>
      </c>
      <c r="Q9" s="138" t="str">
        <f aca="false">IFERROR(VLOOKUP(TEXT(O9,"0"),CONDUCTORES!$A$3:$H$100,6,0),"")</f>
        <v>EGL-296</v>
      </c>
      <c r="R9" s="85"/>
      <c r="S9" s="110" t="s">
        <v>891</v>
      </c>
      <c r="T9" s="46" t="s">
        <v>758</v>
      </c>
      <c r="U9" s="85"/>
      <c r="V9" s="110"/>
      <c r="W9" s="46"/>
      <c r="X9" s="46"/>
      <c r="Y9" s="85"/>
      <c r="Z9" s="157" t="str">
        <f aca="false">IF(AND(R9&lt;&gt;"",V9&lt;&gt;"",W9&lt;&gt;""),"ENTREGADO","POR RECOGER")</f>
        <v>POR RECOGER</v>
      </c>
      <c r="AA9" s="4"/>
      <c r="AB9" s="4"/>
      <c r="AC9" s="4"/>
    </row>
    <row r="10" customFormat="false" ht="15.75" hidden="false" customHeight="true" outlineLevel="0" collapsed="false">
      <c r="A10" s="106" t="n">
        <v>5</v>
      </c>
      <c r="B10" s="107" t="s">
        <v>832</v>
      </c>
      <c r="C10" s="106" t="s">
        <v>752</v>
      </c>
      <c r="D10" s="107" t="s">
        <v>4792</v>
      </c>
      <c r="E10" s="136" t="s">
        <v>99</v>
      </c>
      <c r="F10" s="106" t="s">
        <v>4793</v>
      </c>
      <c r="G10" s="137" t="n">
        <v>46056</v>
      </c>
      <c r="H10" s="106" t="s">
        <v>418</v>
      </c>
      <c r="I10" s="138" t="str">
        <f aca="false">IFERROR(VLOOKUP(TEXT(H10,"0"),IPRESS!$A$3:$B$212,2,0),"")</f>
        <v>COROSHA</v>
      </c>
      <c r="J10" s="106" t="s">
        <v>595</v>
      </c>
      <c r="K10" s="138" t="s">
        <v>14</v>
      </c>
      <c r="L10" s="50" t="n">
        <v>18.18</v>
      </c>
      <c r="M10" s="50" t="n">
        <v>5</v>
      </c>
      <c r="N10" s="139" t="n">
        <f aca="false">IFERROR(IF(L10*M10=0,"",L10*M10),"")</f>
        <v>90.9</v>
      </c>
      <c r="O10" s="106" t="s">
        <v>166</v>
      </c>
      <c r="P10" s="138" t="str">
        <f aca="false">IFERROR(VLOOKUP(TEXT(O10,"0"),CONDUCTORES!$A$3:$G$100,2,0),"")</f>
        <v>BRICENO OXOLON MANUEL</v>
      </c>
      <c r="Q10" s="138" t="str">
        <f aca="false">IFERROR(VLOOKUP(TEXT(O10,"0"),CONDUCTORES!$A$3:$H$100,6,0),"")</f>
        <v>EUC976</v>
      </c>
      <c r="R10" s="140"/>
      <c r="S10" s="107" t="s">
        <v>4794</v>
      </c>
      <c r="T10" s="136" t="s">
        <v>758</v>
      </c>
      <c r="U10" s="140"/>
      <c r="V10" s="107"/>
      <c r="W10" s="106"/>
      <c r="X10" s="106"/>
      <c r="Y10" s="85" t="s">
        <v>51</v>
      </c>
      <c r="Z10" s="157" t="str">
        <f aca="false">IF(AND(R10&lt;&gt;"",V10&lt;&gt;"",W10&lt;&gt;""),"ENTREGADO","POR RECOGER")</f>
        <v>POR RECOGER</v>
      </c>
      <c r="AA10" s="4"/>
      <c r="AB10" s="4"/>
      <c r="AC10" s="4"/>
    </row>
    <row r="11" customFormat="false" ht="15.75" hidden="false" customHeight="true" outlineLevel="0" collapsed="false">
      <c r="A11" s="46" t="n">
        <v>6</v>
      </c>
      <c r="B11" s="110" t="s">
        <v>4795</v>
      </c>
      <c r="C11" s="46" t="s">
        <v>752</v>
      </c>
      <c r="D11" s="110" t="s">
        <v>4796</v>
      </c>
      <c r="E11" s="46" t="s">
        <v>99</v>
      </c>
      <c r="F11" s="46" t="s">
        <v>4797</v>
      </c>
      <c r="G11" s="142" t="n">
        <v>46056</v>
      </c>
      <c r="H11" s="46" t="s">
        <v>529</v>
      </c>
      <c r="I11" s="138" t="str">
        <f aca="false">IFERROR(VLOOKUP(TEXT(H11,"0"),IPRESS!$A$3:$B$212,2,0),"")</f>
        <v>MARIA AUXILIADORA</v>
      </c>
      <c r="J11" s="46" t="s">
        <v>755</v>
      </c>
      <c r="K11" s="138" t="s">
        <v>14</v>
      </c>
      <c r="L11" s="44" t="n">
        <v>20.25</v>
      </c>
      <c r="M11" s="44" t="n">
        <v>7</v>
      </c>
      <c r="N11" s="139" t="n">
        <f aca="false">IFERROR(IF(L11*M11=0,"",L11*M11),"")</f>
        <v>141.75</v>
      </c>
      <c r="O11" s="46" t="s">
        <v>153</v>
      </c>
      <c r="P11" s="138" t="str">
        <f aca="false">IFERROR(VLOOKUP(TEXT(O11,"0"),CONDUCTORES!$A$3:$G$100,2,0),"")</f>
        <v>LOPEZ HOYOS MIGUEL ANGEL</v>
      </c>
      <c r="Q11" s="138" t="str">
        <f aca="false">IFERROR(VLOOKUP(TEXT(O11,"0"),CONDUCTORES!$A$3:$H$100,6,0),"")</f>
        <v>EUH-698</v>
      </c>
      <c r="R11" s="85"/>
      <c r="S11" s="110" t="s">
        <v>4798</v>
      </c>
      <c r="T11" s="46" t="s">
        <v>758</v>
      </c>
      <c r="U11" s="85"/>
      <c r="V11" s="110"/>
      <c r="W11" s="46"/>
      <c r="X11" s="46"/>
      <c r="Y11" s="85"/>
      <c r="Z11" s="157" t="str">
        <f aca="false">IF(AND(R11&lt;&gt;"",V11&lt;&gt;"",W11&lt;&gt;""),"ENTREGADO","POR RECOGER")</f>
        <v>POR RECOGER</v>
      </c>
      <c r="AA11" s="4"/>
      <c r="AB11" s="4"/>
      <c r="AC11" s="4"/>
    </row>
    <row r="12" customFormat="false" ht="15.75" hidden="false" customHeight="true" outlineLevel="0" collapsed="false">
      <c r="A12" s="106" t="n">
        <v>7</v>
      </c>
      <c r="B12" s="107" t="s">
        <v>1978</v>
      </c>
      <c r="C12" s="106" t="s">
        <v>752</v>
      </c>
      <c r="D12" s="107" t="s">
        <v>4799</v>
      </c>
      <c r="E12" s="136" t="s">
        <v>99</v>
      </c>
      <c r="F12" s="106" t="s">
        <v>4800</v>
      </c>
      <c r="G12" s="137" t="n">
        <v>46056</v>
      </c>
      <c r="H12" s="106" t="s">
        <v>517</v>
      </c>
      <c r="I12" s="138" t="str">
        <f aca="false">IFERROR(VLOOKUP(TEXT(H12,"0"),IPRESS!$A$3:$B$212,2,0),"")</f>
        <v>LUYA</v>
      </c>
      <c r="J12" s="106" t="s">
        <v>755</v>
      </c>
      <c r="K12" s="138" t="s">
        <v>14</v>
      </c>
      <c r="L12" s="50" t="n">
        <v>18.18</v>
      </c>
      <c r="M12" s="50" t="n">
        <v>4</v>
      </c>
      <c r="N12" s="139" t="n">
        <f aca="false">IFERROR(IF(L12*M12=0,"",L12*M12),"")</f>
        <v>72.72</v>
      </c>
      <c r="O12" s="106" t="s">
        <v>170</v>
      </c>
      <c r="P12" s="138" t="str">
        <f aca="false">IFERROR(VLOOKUP(TEXT(O12,"0"),CONDUCTORES!$A$3:$G$100,2,0),"")</f>
        <v>RUFASTO CHUQUIZUTA JUAN KAROOL</v>
      </c>
      <c r="Q12" s="138" t="str">
        <f aca="false">IFERROR(VLOOKUP(TEXT(O12,"0"),CONDUCTORES!$A$3:$H$100,6,0),"")</f>
        <v>EUA963</v>
      </c>
      <c r="R12" s="140"/>
      <c r="S12" s="107" t="s">
        <v>4801</v>
      </c>
      <c r="T12" s="136" t="s">
        <v>758</v>
      </c>
      <c r="U12" s="140"/>
      <c r="V12" s="107"/>
      <c r="W12" s="106"/>
      <c r="X12" s="106"/>
      <c r="Y12" s="85"/>
      <c r="Z12" s="157" t="str">
        <f aca="false">IF(AND(R12&lt;&gt;"",V12&lt;&gt;"",W12&lt;&gt;""),"ENTREGADO","POR RECOGER")</f>
        <v>POR RECOGER</v>
      </c>
      <c r="AA12" s="4"/>
      <c r="AB12" s="4"/>
      <c r="AC12" s="4"/>
    </row>
    <row r="13" customFormat="false" ht="15.75" hidden="false" customHeight="true" outlineLevel="0" collapsed="false">
      <c r="A13" s="46" t="n">
        <v>8</v>
      </c>
      <c r="B13" s="110" t="s">
        <v>2090</v>
      </c>
      <c r="C13" s="46" t="s">
        <v>752</v>
      </c>
      <c r="D13" s="110" t="s">
        <v>4802</v>
      </c>
      <c r="E13" s="46" t="s">
        <v>99</v>
      </c>
      <c r="F13" s="46" t="s">
        <v>4803</v>
      </c>
      <c r="G13" s="142" t="n">
        <v>46056</v>
      </c>
      <c r="H13" s="46" t="s">
        <v>480</v>
      </c>
      <c r="I13" s="138" t="str">
        <f aca="false">IFERROR(VLOOKUP(TEXT(H13,"0"),IPRESS!$A$3:$B$212,2,0),"")</f>
        <v>JALCA GRANDE</v>
      </c>
      <c r="J13" s="46" t="s">
        <v>755</v>
      </c>
      <c r="K13" s="138" t="s">
        <v>14</v>
      </c>
      <c r="L13" s="44" t="n">
        <v>18.18</v>
      </c>
      <c r="M13" s="44" t="n">
        <v>7</v>
      </c>
      <c r="N13" s="139" t="n">
        <f aca="false">IFERROR(IF(L13*M13=0,"",L13*M13),"")</f>
        <v>127.26</v>
      </c>
      <c r="O13" s="46" t="s">
        <v>159</v>
      </c>
      <c r="P13" s="138" t="str">
        <f aca="false">IFERROR(VLOOKUP(TEXT(O13,"0"),CONDUCTORES!$A$3:$G$100,2,0),"")</f>
        <v>LEIVA LARA JUNIOR</v>
      </c>
      <c r="Q13" s="138" t="str">
        <f aca="false">IFERROR(VLOOKUP(TEXT(O13,"0"),CONDUCTORES!$A$3:$H$100,6,0),"")</f>
        <v>EUC 959</v>
      </c>
      <c r="R13" s="85"/>
      <c r="S13" s="110" t="s">
        <v>1411</v>
      </c>
      <c r="T13" s="46" t="s">
        <v>758</v>
      </c>
      <c r="U13" s="85"/>
      <c r="V13" s="110"/>
      <c r="W13" s="46"/>
      <c r="X13" s="46"/>
      <c r="Y13" s="85"/>
      <c r="Z13" s="157" t="str">
        <f aca="false">IF(AND(R13&lt;&gt;"",V13&lt;&gt;"",W13&lt;&gt;""),"ENTREGADO","POR RECOGER")</f>
        <v>POR RECOGER</v>
      </c>
      <c r="AA13" s="4"/>
      <c r="AB13" s="4"/>
      <c r="AC13" s="4"/>
    </row>
    <row r="14" customFormat="false" ht="15.75" hidden="false" customHeight="true" outlineLevel="0" collapsed="false">
      <c r="A14" s="106" t="n">
        <v>9</v>
      </c>
      <c r="B14" s="107" t="s">
        <v>2487</v>
      </c>
      <c r="C14" s="106" t="s">
        <v>752</v>
      </c>
      <c r="D14" s="107" t="s">
        <v>4804</v>
      </c>
      <c r="E14" s="136" t="s">
        <v>99</v>
      </c>
      <c r="F14" s="106" t="s">
        <v>4805</v>
      </c>
      <c r="G14" s="137" t="n">
        <v>46057</v>
      </c>
      <c r="H14" s="106" t="s">
        <v>569</v>
      </c>
      <c r="I14" s="138" t="str">
        <f aca="false">IFERROR(VLOOKUP(TEXT(H14,"0"),IPRESS!$A$3:$B$212,2,0),"")</f>
        <v>OCALLI</v>
      </c>
      <c r="J14" s="106" t="s">
        <v>755</v>
      </c>
      <c r="K14" s="138" t="s">
        <v>14</v>
      </c>
      <c r="L14" s="50" t="n">
        <v>18.18</v>
      </c>
      <c r="M14" s="50" t="n">
        <v>20</v>
      </c>
      <c r="N14" s="139" t="n">
        <f aca="false">IFERROR(IF(L14*M14=0,"",L14*M14),"")</f>
        <v>363.6</v>
      </c>
      <c r="O14" s="46" t="n">
        <v>16712192</v>
      </c>
      <c r="P14" s="138" t="str">
        <f aca="false">IFERROR(VLOOKUP(TEXT(O14,"0"),CONDUCTORES!$A$3:$G$100,2,0),"")</f>
        <v>ALBERTO FARRO PEREZ</v>
      </c>
      <c r="Q14" s="138" t="str">
        <f aca="false">IFERROR(VLOOKUP(TEXT(O14,"0"),CONDUCTORES!$A$3:$H$100,6,0),"")</f>
        <v>EGO-124</v>
      </c>
      <c r="R14" s="140"/>
      <c r="S14" s="107" t="s">
        <v>891</v>
      </c>
      <c r="T14" s="136" t="s">
        <v>758</v>
      </c>
      <c r="U14" s="140"/>
      <c r="V14" s="107"/>
      <c r="W14" s="106"/>
      <c r="X14" s="106"/>
      <c r="Y14" s="85"/>
      <c r="Z14" s="157" t="str">
        <f aca="false">IF(AND(R14&lt;&gt;"",V14&lt;&gt;"",W14&lt;&gt;""),"ENTREGADO","POR RECOGER")</f>
        <v>POR RECOGER</v>
      </c>
      <c r="AA14" s="4"/>
      <c r="AB14" s="4"/>
      <c r="AC14" s="4"/>
    </row>
    <row r="15" customFormat="false" ht="15.75" hidden="false" customHeight="true" outlineLevel="0" collapsed="false">
      <c r="A15" s="46" t="n">
        <v>10</v>
      </c>
      <c r="B15" s="110" t="s">
        <v>2032</v>
      </c>
      <c r="C15" s="46" t="s">
        <v>752</v>
      </c>
      <c r="D15" s="110" t="s">
        <v>4806</v>
      </c>
      <c r="E15" s="46" t="s">
        <v>99</v>
      </c>
      <c r="F15" s="46" t="s">
        <v>4807</v>
      </c>
      <c r="G15" s="142" t="n">
        <v>46057</v>
      </c>
      <c r="H15" s="46" t="s">
        <v>500</v>
      </c>
      <c r="I15" s="138" t="str">
        <f aca="false">IFERROR(VLOOKUP(TEXT(H15,"0"),IPRESS!$A$3:$B$212,2,0),"")</f>
        <v>LAMUD</v>
      </c>
      <c r="J15" s="46" t="s">
        <v>755</v>
      </c>
      <c r="K15" s="138" t="s">
        <v>14</v>
      </c>
      <c r="L15" s="44" t="n">
        <v>18.18</v>
      </c>
      <c r="M15" s="44" t="n">
        <v>4</v>
      </c>
      <c r="N15" s="139" t="n">
        <f aca="false">IFERROR(IF(L15*M15=0,"",L15*M15),"")</f>
        <v>72.72</v>
      </c>
      <c r="O15" s="46" t="s">
        <v>170</v>
      </c>
      <c r="P15" s="138" t="str">
        <f aca="false">IFERROR(VLOOKUP(TEXT(O15,"0"),CONDUCTORES!$A$3:$G$100,2,0),"")</f>
        <v>RUFASTO CHUQUIZUTA JUAN KAROOL</v>
      </c>
      <c r="Q15" s="138" t="str">
        <f aca="false">IFERROR(VLOOKUP(TEXT(O15,"0"),CONDUCTORES!$A$3:$H$100,6,0),"")</f>
        <v>EUA963</v>
      </c>
      <c r="R15" s="85"/>
      <c r="S15" s="110" t="s">
        <v>1683</v>
      </c>
      <c r="T15" s="46" t="s">
        <v>758</v>
      </c>
      <c r="U15" s="85"/>
      <c r="V15" s="110"/>
      <c r="W15" s="46"/>
      <c r="X15" s="46"/>
      <c r="Y15" s="85"/>
      <c r="Z15" s="157" t="str">
        <f aca="false">IF(AND(R15&lt;&gt;"",V15&lt;&gt;"",W15&lt;&gt;""),"ENTREGADO","POR RECOGER")</f>
        <v>POR RECOGER</v>
      </c>
      <c r="AA15" s="4"/>
      <c r="AB15" s="4"/>
      <c r="AC15" s="4"/>
    </row>
    <row r="16" customFormat="false" ht="15.75" hidden="false" customHeight="true" outlineLevel="0" collapsed="false">
      <c r="A16" s="106" t="n">
        <v>11</v>
      </c>
      <c r="B16" s="107" t="s">
        <v>4808</v>
      </c>
      <c r="C16" s="106" t="s">
        <v>752</v>
      </c>
      <c r="D16" s="107" t="s">
        <v>4792</v>
      </c>
      <c r="E16" s="136" t="s">
        <v>99</v>
      </c>
      <c r="F16" s="106" t="s">
        <v>4809</v>
      </c>
      <c r="G16" s="137" t="n">
        <v>46057</v>
      </c>
      <c r="H16" s="106" t="s">
        <v>595</v>
      </c>
      <c r="I16" s="138" t="str">
        <f aca="false">IFERROR(VLOOKUP(TEXT(H16,"0"),IPRESS!$A$3:$B$212,2,0),"")</f>
        <v>POMACOCHAS</v>
      </c>
      <c r="J16" s="106" t="s">
        <v>755</v>
      </c>
      <c r="K16" s="138" t="s">
        <v>14</v>
      </c>
      <c r="L16" s="50" t="n">
        <v>18.18</v>
      </c>
      <c r="M16" s="50" t="n">
        <v>6</v>
      </c>
      <c r="N16" s="139" t="n">
        <f aca="false">IFERROR(IF(L16*M16=0,"",L16*M16),"")</f>
        <v>109.08</v>
      </c>
      <c r="O16" s="106" t="s">
        <v>248</v>
      </c>
      <c r="P16" s="138" t="str">
        <f aca="false">IFERROR(VLOOKUP(TEXT(O16,"0"),CONDUCTORES!$A$3:$G$100,2,0),"")</f>
        <v>CARRERA ARAUJO JEINER</v>
      </c>
      <c r="Q16" s="138" t="str">
        <f aca="false">IFERROR(VLOOKUP(TEXT(O16,"0"),CONDUCTORES!$A$3:$H$100,6,0),"")</f>
        <v>EUH747</v>
      </c>
      <c r="R16" s="140"/>
      <c r="S16" s="107" t="s">
        <v>4810</v>
      </c>
      <c r="T16" s="136" t="s">
        <v>758</v>
      </c>
      <c r="U16" s="140"/>
      <c r="V16" s="107"/>
      <c r="W16" s="106"/>
      <c r="X16" s="106"/>
      <c r="Y16" s="85"/>
      <c r="Z16" s="157" t="str">
        <f aca="false">IF(AND(R16&lt;&gt;"",V16&lt;&gt;"",W16&lt;&gt;""),"ENTREGADO","POR RECOGER")</f>
        <v>POR RECOGER</v>
      </c>
      <c r="AA16" s="4"/>
      <c r="AB16" s="4"/>
      <c r="AC16" s="4"/>
    </row>
    <row r="17" customFormat="false" ht="15.75" hidden="false" customHeight="true" outlineLevel="0" collapsed="false">
      <c r="A17" s="46" t="n">
        <v>12</v>
      </c>
      <c r="B17" s="110" t="s">
        <v>2321</v>
      </c>
      <c r="C17" s="46" t="s">
        <v>752</v>
      </c>
      <c r="D17" s="110" t="s">
        <v>4811</v>
      </c>
      <c r="E17" s="46" t="s">
        <v>99</v>
      </c>
      <c r="F17" s="46" t="s">
        <v>4812</v>
      </c>
      <c r="G17" s="142" t="n">
        <v>46058</v>
      </c>
      <c r="H17" s="46" t="s">
        <v>581</v>
      </c>
      <c r="I17" s="138" t="str">
        <f aca="false">IFERROR(VLOOKUP(TEXT(H17,"0"),IPRESS!$A$3:$B$212,2,0),"")</f>
        <v>PEDRO RUIZ GALLO</v>
      </c>
      <c r="J17" s="46" t="s">
        <v>755</v>
      </c>
      <c r="K17" s="138" t="s">
        <v>14</v>
      </c>
      <c r="L17" s="44" t="n">
        <v>18.18</v>
      </c>
      <c r="M17" s="44" t="n">
        <v>5</v>
      </c>
      <c r="N17" s="139" t="n">
        <f aca="false">IFERROR(IF(L17*M17=0,"",L17*M17),"")</f>
        <v>90.9</v>
      </c>
      <c r="O17" s="46" t="s">
        <v>234</v>
      </c>
      <c r="P17" s="138" t="str">
        <f aca="false">IFERROR(VLOOKUP(TEXT(O17,"0"),CONDUCTORES!$A$3:$G$100,2,0),"")</f>
        <v>MONTENEGRO RUIZ LUIS MIGUEL</v>
      </c>
      <c r="Q17" s="138" t="str">
        <f aca="false">IFERROR(VLOOKUP(TEXT(O17,"0"),CONDUCTORES!$A$3:$H$100,6,0),"")</f>
        <v>EUH-427</v>
      </c>
      <c r="R17" s="85"/>
      <c r="S17" s="110" t="s">
        <v>4813</v>
      </c>
      <c r="T17" s="46" t="s">
        <v>758</v>
      </c>
      <c r="U17" s="85"/>
      <c r="V17" s="110"/>
      <c r="W17" s="46"/>
      <c r="X17" s="46"/>
      <c r="Y17" s="85"/>
      <c r="Z17" s="157" t="str">
        <f aca="false">IF(AND(R17&lt;&gt;"",V17&lt;&gt;"",W17&lt;&gt;""),"ENTREGADO","POR RECOGER")</f>
        <v>POR RECOGER</v>
      </c>
      <c r="AA17" s="4"/>
      <c r="AB17" s="4"/>
      <c r="AC17" s="4"/>
    </row>
    <row r="18" customFormat="false" ht="15.75" hidden="false" customHeight="true" outlineLevel="0" collapsed="false">
      <c r="A18" s="106" t="n">
        <v>13</v>
      </c>
      <c r="B18" s="107" t="s">
        <v>1227</v>
      </c>
      <c r="C18" s="106" t="s">
        <v>752</v>
      </c>
      <c r="D18" s="107" t="s">
        <v>4814</v>
      </c>
      <c r="E18" s="136" t="s">
        <v>99</v>
      </c>
      <c r="F18" s="106" t="s">
        <v>4815</v>
      </c>
      <c r="G18" s="137" t="n">
        <v>46058</v>
      </c>
      <c r="H18" s="106" t="s">
        <v>528</v>
      </c>
      <c r="I18" s="138" t="str">
        <f aca="false">IFERROR(VLOOKUP(TEXT(H18,"0"),IPRESS!$A$3:$B$212,2,0),"")</f>
        <v>MARIA</v>
      </c>
      <c r="J18" s="106" t="s">
        <v>755</v>
      </c>
      <c r="K18" s="138" t="s">
        <v>14</v>
      </c>
      <c r="L18" s="50" t="n">
        <v>18.18</v>
      </c>
      <c r="M18" s="50" t="n">
        <v>12</v>
      </c>
      <c r="N18" s="139" t="n">
        <f aca="false">IFERROR(IF(L18*M18=0,"",L18*M18),"")</f>
        <v>218.16</v>
      </c>
      <c r="O18" s="106" t="s">
        <v>202</v>
      </c>
      <c r="P18" s="138" t="str">
        <f aca="false">IFERROR(VLOOKUP(TEXT(O18,"0"),CONDUCTORES!$A$3:$G$100,2,0),"")</f>
        <v>MACHUCA GARRIDO RIDER ALFONSO</v>
      </c>
      <c r="Q18" s="138" t="str">
        <f aca="false">IFERROR(VLOOKUP(TEXT(O18,"0"),CONDUCTORES!$A$3:$H$100,6,0),"")</f>
        <v>EUC 956</v>
      </c>
      <c r="R18" s="140"/>
      <c r="S18" s="107" t="s">
        <v>891</v>
      </c>
      <c r="T18" s="136" t="s">
        <v>758</v>
      </c>
      <c r="U18" s="140"/>
      <c r="V18" s="107"/>
      <c r="W18" s="106"/>
      <c r="X18" s="106"/>
      <c r="Y18" s="85"/>
      <c r="Z18" s="157" t="str">
        <f aca="false">IF(AND(R18&lt;&gt;"",V18&lt;&gt;"",W18&lt;&gt;""),"ENTREGADO","POR RECOGER")</f>
        <v>POR RECOGER</v>
      </c>
      <c r="AA18" s="4"/>
      <c r="AB18" s="4"/>
      <c r="AC18" s="4"/>
    </row>
    <row r="19" customFormat="false" ht="15.75" hidden="false" customHeight="true" outlineLevel="0" collapsed="false">
      <c r="A19" s="46" t="n">
        <v>14</v>
      </c>
      <c r="B19" s="110" t="s">
        <v>4816</v>
      </c>
      <c r="C19" s="46" t="s">
        <v>752</v>
      </c>
      <c r="D19" s="110" t="s">
        <v>4817</v>
      </c>
      <c r="E19" s="46" t="s">
        <v>99</v>
      </c>
      <c r="F19" s="46" t="s">
        <v>4818</v>
      </c>
      <c r="G19" s="142" t="n">
        <v>46058</v>
      </c>
      <c r="H19" s="46" t="s">
        <v>529</v>
      </c>
      <c r="I19" s="138" t="str">
        <f aca="false">IFERROR(VLOOKUP(TEXT(H19,"0"),IPRESS!$A$3:$B$212,2,0),"")</f>
        <v>MARIA AUXILIADORA</v>
      </c>
      <c r="J19" s="46" t="s">
        <v>755</v>
      </c>
      <c r="K19" s="138" t="s">
        <v>14</v>
      </c>
      <c r="L19" s="44" t="n">
        <v>20.25</v>
      </c>
      <c r="M19" s="44" t="n">
        <v>10</v>
      </c>
      <c r="N19" s="139" t="n">
        <f aca="false">IFERROR(IF(L19*M19=0,"",L19*M19),"")</f>
        <v>202.5</v>
      </c>
      <c r="O19" s="46" t="s">
        <v>225</v>
      </c>
      <c r="P19" s="138" t="str">
        <f aca="false">IFERROR(VLOOKUP(TEXT(O19,"0"),CONDUCTORES!$A$3:$G$100,2,0),"")</f>
        <v>LOPEZ VARGAS HUBER</v>
      </c>
      <c r="Q19" s="138" t="str">
        <f aca="false">IFERROR(VLOOKUP(TEXT(O19,"0"),CONDUCTORES!$A$3:$H$100,6,0),"")</f>
        <v>EUH 634</v>
      </c>
      <c r="R19" s="85"/>
      <c r="S19" s="110" t="s">
        <v>2105</v>
      </c>
      <c r="T19" s="46" t="s">
        <v>758</v>
      </c>
      <c r="U19" s="85"/>
      <c r="V19" s="110"/>
      <c r="W19" s="46"/>
      <c r="X19" s="46"/>
      <c r="Y19" s="163" t="s">
        <v>68</v>
      </c>
      <c r="Z19" s="157" t="str">
        <f aca="false">IF(AND(R19&lt;&gt;"",V19&lt;&gt;"",W19&lt;&gt;""),"ENTREGADO","POR RECOGER")</f>
        <v>POR RECOGER</v>
      </c>
      <c r="AA19" s="4"/>
      <c r="AB19" s="4"/>
      <c r="AC19" s="4"/>
    </row>
    <row r="20" customFormat="false" ht="15.75" hidden="false" customHeight="true" outlineLevel="0" collapsed="false">
      <c r="A20" s="106" t="n">
        <v>15</v>
      </c>
      <c r="B20" s="107" t="s">
        <v>1981</v>
      </c>
      <c r="C20" s="106" t="s">
        <v>752</v>
      </c>
      <c r="D20" s="107" t="s">
        <v>4819</v>
      </c>
      <c r="E20" s="136" t="s">
        <v>99</v>
      </c>
      <c r="F20" s="106" t="s">
        <v>4820</v>
      </c>
      <c r="G20" s="137" t="n">
        <v>46058</v>
      </c>
      <c r="H20" s="106" t="s">
        <v>517</v>
      </c>
      <c r="I20" s="138" t="str">
        <f aca="false">IFERROR(VLOOKUP(TEXT(H20,"0"),IPRESS!$A$3:$B$212,2,0),"")</f>
        <v>LUYA</v>
      </c>
      <c r="J20" s="106" t="s">
        <v>755</v>
      </c>
      <c r="K20" s="138" t="s">
        <v>14</v>
      </c>
      <c r="L20" s="50" t="n">
        <v>18.18</v>
      </c>
      <c r="M20" s="50" t="n">
        <v>4</v>
      </c>
      <c r="N20" s="139" t="n">
        <f aca="false">IFERROR(IF(L20*M20=0,"",L20*M20),"")</f>
        <v>72.72</v>
      </c>
      <c r="O20" s="106" t="s">
        <v>170</v>
      </c>
      <c r="P20" s="138" t="str">
        <f aca="false">IFERROR(VLOOKUP(TEXT(O20,"0"),CONDUCTORES!$A$3:$G$100,2,0),"")</f>
        <v>RUFASTO CHUQUIZUTA JUAN KAROOL</v>
      </c>
      <c r="Q20" s="138" t="str">
        <f aca="false">IFERROR(VLOOKUP(TEXT(O20,"0"),CONDUCTORES!$A$3:$H$100,6,0),"")</f>
        <v>EUA963</v>
      </c>
      <c r="R20" s="140"/>
      <c r="S20" s="107" t="s">
        <v>4821</v>
      </c>
      <c r="T20" s="136" t="s">
        <v>758</v>
      </c>
      <c r="U20" s="140"/>
      <c r="V20" s="107"/>
      <c r="W20" s="106"/>
      <c r="X20" s="106"/>
      <c r="Y20" s="85"/>
      <c r="Z20" s="157" t="str">
        <f aca="false">IF(AND(R20&lt;&gt;"",V20&lt;&gt;"",W20&lt;&gt;""),"ENTREGADO","POR RECOGER")</f>
        <v>POR RECOGER</v>
      </c>
      <c r="AA20" s="4"/>
      <c r="AB20" s="4"/>
      <c r="AC20" s="4"/>
    </row>
    <row r="21" customFormat="false" ht="15.75" hidden="false" customHeight="true" outlineLevel="0" collapsed="false">
      <c r="A21" s="46" t="n">
        <v>16</v>
      </c>
      <c r="B21" s="110" t="s">
        <v>1376</v>
      </c>
      <c r="C21" s="46" t="s">
        <v>752</v>
      </c>
      <c r="D21" s="110" t="s">
        <v>4822</v>
      </c>
      <c r="E21" s="46" t="s">
        <v>99</v>
      </c>
      <c r="F21" s="46" t="s">
        <v>2984</v>
      </c>
      <c r="G21" s="142" t="n">
        <v>46058</v>
      </c>
      <c r="H21" s="46" t="s">
        <v>507</v>
      </c>
      <c r="I21" s="138" t="str">
        <f aca="false">IFERROR(VLOOKUP(TEXT(H21,"0"),IPRESS!$A$3:$B$212,2,0),"")</f>
        <v>LEYMEBAMBA</v>
      </c>
      <c r="J21" s="46" t="s">
        <v>755</v>
      </c>
      <c r="K21" s="138" t="s">
        <v>14</v>
      </c>
      <c r="L21" s="44" t="n">
        <v>18.18</v>
      </c>
      <c r="M21" s="44" t="n">
        <v>7.5</v>
      </c>
      <c r="N21" s="139" t="n">
        <f aca="false">IFERROR(IF(L21*M21=0,"",L21*M21),"")</f>
        <v>136.35</v>
      </c>
      <c r="O21" s="46" t="s">
        <v>187</v>
      </c>
      <c r="P21" s="138" t="str">
        <f aca="false">IFERROR(VLOOKUP(TEXT(O21,"0"),CONDUCTORES!$A$3:$G$100,2,0),"")</f>
        <v>CHAVEZ MORI DIMAS</v>
      </c>
      <c r="Q21" s="138" t="str">
        <f aca="false">IFERROR(VLOOKUP(TEXT(O21,"0"),CONDUCTORES!$A$3:$H$100,6,0),"")</f>
        <v>EUH 636</v>
      </c>
      <c r="R21" s="85"/>
      <c r="S21" s="110" t="s">
        <v>3919</v>
      </c>
      <c r="T21" s="46" t="s">
        <v>758</v>
      </c>
      <c r="U21" s="85"/>
      <c r="V21" s="110"/>
      <c r="W21" s="46"/>
      <c r="X21" s="46"/>
      <c r="Y21" s="85"/>
      <c r="Z21" s="157" t="str">
        <f aca="false">IF(AND(R21&lt;&gt;"",V21&lt;&gt;"",W21&lt;&gt;""),"ENTREGADO","POR RECOGER")</f>
        <v>POR RECOGER</v>
      </c>
      <c r="AA21" s="4"/>
      <c r="AB21" s="4"/>
      <c r="AC21" s="4"/>
    </row>
    <row r="22" customFormat="false" ht="15.75" hidden="false" customHeight="true" outlineLevel="0" collapsed="false">
      <c r="A22" s="158" t="n">
        <v>17</v>
      </c>
      <c r="B22" s="159" t="s">
        <v>787</v>
      </c>
      <c r="C22" s="158" t="s">
        <v>752</v>
      </c>
      <c r="D22" s="159" t="s">
        <v>4823</v>
      </c>
      <c r="E22" s="158" t="s">
        <v>99</v>
      </c>
      <c r="F22" s="158" t="s">
        <v>4824</v>
      </c>
      <c r="G22" s="160" t="n">
        <v>46059</v>
      </c>
      <c r="H22" s="158" t="s">
        <v>661</v>
      </c>
      <c r="I22" s="169" t="str">
        <f aca="false">IFERROR(VLOOKUP(TEXT(H22,"0"),IPRESS!$A$3:$B$212,2,0),"")</f>
        <v>SANTA CATALINA</v>
      </c>
      <c r="J22" s="158" t="s">
        <v>755</v>
      </c>
      <c r="K22" s="169" t="s">
        <v>14</v>
      </c>
      <c r="L22" s="161" t="n">
        <v>18.18</v>
      </c>
      <c r="M22" s="161" t="n">
        <v>8</v>
      </c>
      <c r="N22" s="170" t="n">
        <f aca="false">IFERROR(IF(L22*M22=0,"",L22*M22),"")</f>
        <v>145.44</v>
      </c>
      <c r="O22" s="158" t="s">
        <v>170</v>
      </c>
      <c r="P22" s="138" t="str">
        <f aca="false">IFERROR(VLOOKUP(TEXT(O22,"0"),CONDUCTORES!$A$3:$G$100,2,0),"")</f>
        <v>RUFASTO CHUQUIZUTA JUAN KAROOL</v>
      </c>
      <c r="Q22" s="138" t="str">
        <f aca="false">IFERROR(VLOOKUP(TEXT(O22,"0"),CONDUCTORES!$A$3:$H$100,6,0),"")</f>
        <v>EUA963</v>
      </c>
      <c r="R22" s="162"/>
      <c r="S22" s="159" t="s">
        <v>2368</v>
      </c>
      <c r="T22" s="158" t="s">
        <v>758</v>
      </c>
      <c r="U22" s="162"/>
      <c r="V22" s="159"/>
      <c r="W22" s="158"/>
      <c r="X22" s="158"/>
      <c r="Y22" s="163" t="s">
        <v>53</v>
      </c>
      <c r="Z22" s="157" t="str">
        <f aca="false">IF(AND(R22&lt;&gt;"",V22&lt;&gt;"",W22&lt;&gt;""),"ENTREGADO","POR RECOGER")</f>
        <v>POR RECOGER</v>
      </c>
      <c r="AA22" s="4"/>
      <c r="AB22" s="4"/>
      <c r="AC22" s="4"/>
    </row>
    <row r="23" customFormat="false" ht="15.75" hidden="false" customHeight="true" outlineLevel="0" collapsed="false">
      <c r="A23" s="46" t="n">
        <v>18</v>
      </c>
      <c r="B23" s="110" t="s">
        <v>4825</v>
      </c>
      <c r="C23" s="46" t="s">
        <v>752</v>
      </c>
      <c r="D23" s="110" t="s">
        <v>4826</v>
      </c>
      <c r="E23" s="46" t="s">
        <v>99</v>
      </c>
      <c r="F23" s="46" t="s">
        <v>4827</v>
      </c>
      <c r="G23" s="142" t="n">
        <v>46059</v>
      </c>
      <c r="H23" s="46" t="s">
        <v>529</v>
      </c>
      <c r="I23" s="138" t="str">
        <f aca="false">IFERROR(VLOOKUP(TEXT(H23,"0"),IPRESS!$A$3:$B$212,2,0),"")</f>
        <v>MARIA AUXILIADORA</v>
      </c>
      <c r="J23" s="46" t="s">
        <v>755</v>
      </c>
      <c r="K23" s="138" t="s">
        <v>14</v>
      </c>
      <c r="L23" s="44" t="n">
        <v>20.25</v>
      </c>
      <c r="M23" s="44" t="n">
        <v>7</v>
      </c>
      <c r="N23" s="139" t="n">
        <f aca="false">IFERROR(IF(L23*M23=0,"",L23*M23),"")</f>
        <v>141.75</v>
      </c>
      <c r="O23" s="46" t="s">
        <v>133</v>
      </c>
      <c r="P23" s="138" t="str">
        <f aca="false">IFERROR(VLOOKUP(TEXT(O23,"0"),CONDUCTORES!$A$3:$G$100,2,0),"")</f>
        <v>TRIGOSO TAFUR JOSE GILBER</v>
      </c>
      <c r="Q23" s="138" t="str">
        <f aca="false">IFERROR(VLOOKUP(TEXT(O23,"0"),CONDUCTORES!$A$3:$H$100,6,0),"")</f>
        <v>EUH 421</v>
      </c>
      <c r="R23" s="85"/>
      <c r="S23" s="110" t="s">
        <v>2603</v>
      </c>
      <c r="T23" s="46" t="s">
        <v>758</v>
      </c>
      <c r="U23" s="85"/>
      <c r="V23" s="110"/>
      <c r="W23" s="46"/>
      <c r="X23" s="46"/>
      <c r="Y23" s="85"/>
      <c r="Z23" s="157" t="str">
        <f aca="false">IF(AND(R23&lt;&gt;"",V23&lt;&gt;"",W23&lt;&gt;""),"ENTREGADO","POR RECOGER")</f>
        <v>POR RECOGER</v>
      </c>
      <c r="AA23" s="4"/>
      <c r="AB23" s="4"/>
      <c r="AC23" s="4"/>
    </row>
    <row r="24" customFormat="false" ht="15.75" hidden="false" customHeight="true" outlineLevel="0" collapsed="false">
      <c r="A24" s="106" t="n">
        <v>19</v>
      </c>
      <c r="B24" s="107" t="s">
        <v>1207</v>
      </c>
      <c r="C24" s="106" t="s">
        <v>752</v>
      </c>
      <c r="D24" s="107" t="s">
        <v>4828</v>
      </c>
      <c r="E24" s="136" t="s">
        <v>99</v>
      </c>
      <c r="F24" s="106" t="s">
        <v>4829</v>
      </c>
      <c r="G24" s="137" t="n">
        <v>46059</v>
      </c>
      <c r="H24" s="106" t="s">
        <v>528</v>
      </c>
      <c r="I24" s="138" t="str">
        <f aca="false">IFERROR(VLOOKUP(TEXT(H24,"0"),IPRESS!$A$3:$B$212,2,0),"")</f>
        <v>MARIA</v>
      </c>
      <c r="J24" s="106" t="s">
        <v>755</v>
      </c>
      <c r="K24" s="138" t="s">
        <v>14</v>
      </c>
      <c r="L24" s="50" t="n">
        <v>18.18</v>
      </c>
      <c r="M24" s="50" t="n">
        <v>12</v>
      </c>
      <c r="N24" s="139" t="n">
        <f aca="false">IFERROR(IF(L24*M24=0,"",L24*M24),"")</f>
        <v>218.16</v>
      </c>
      <c r="O24" s="106" t="s">
        <v>202</v>
      </c>
      <c r="P24" s="138" t="str">
        <f aca="false">IFERROR(VLOOKUP(TEXT(O24,"0"),CONDUCTORES!$A$3:$G$100,2,0),"")</f>
        <v>MACHUCA GARRIDO RIDER ALFONSO</v>
      </c>
      <c r="Q24" s="138" t="str">
        <f aca="false">IFERROR(VLOOKUP(TEXT(O24,"0"),CONDUCTORES!$A$3:$H$100,6,0),"")</f>
        <v>EUC 956</v>
      </c>
      <c r="R24" s="140"/>
      <c r="S24" s="107" t="s">
        <v>2862</v>
      </c>
      <c r="T24" s="136" t="s">
        <v>758</v>
      </c>
      <c r="U24" s="140"/>
      <c r="V24" s="107"/>
      <c r="W24" s="106"/>
      <c r="X24" s="106"/>
      <c r="Y24" s="85"/>
      <c r="Z24" s="157" t="str">
        <f aca="false">IF(AND(R24&lt;&gt;"",V24&lt;&gt;"",W24&lt;&gt;""),"ENTREGADO","POR RECOGER")</f>
        <v>POR RECOGER</v>
      </c>
      <c r="AA24" s="4"/>
      <c r="AB24" s="4"/>
      <c r="AC24" s="4"/>
    </row>
    <row r="25" customFormat="false" ht="15.75" hidden="false" customHeight="true" outlineLevel="0" collapsed="false">
      <c r="A25" s="46" t="n">
        <v>20</v>
      </c>
      <c r="B25" s="110" t="s">
        <v>4830</v>
      </c>
      <c r="C25" s="46" t="s">
        <v>752</v>
      </c>
      <c r="D25" s="110" t="s">
        <v>4831</v>
      </c>
      <c r="E25" s="46" t="s">
        <v>99</v>
      </c>
      <c r="F25" s="46" t="s">
        <v>4832</v>
      </c>
      <c r="G25" s="142" t="n">
        <v>46059</v>
      </c>
      <c r="H25" s="46" t="s">
        <v>529</v>
      </c>
      <c r="I25" s="138" t="str">
        <f aca="false">IFERROR(VLOOKUP(TEXT(H25,"0"),IPRESS!$A$3:$B$212,2,0),"")</f>
        <v>MARIA AUXILIADORA</v>
      </c>
      <c r="J25" s="46" t="s">
        <v>755</v>
      </c>
      <c r="K25" s="138" t="s">
        <v>14</v>
      </c>
      <c r="L25" s="44" t="n">
        <v>20.25</v>
      </c>
      <c r="M25" s="44" t="n">
        <v>10</v>
      </c>
      <c r="N25" s="139" t="n">
        <f aca="false">IFERROR(IF(L25*M25=0,"",L25*M25),"")</f>
        <v>202.5</v>
      </c>
      <c r="O25" s="46" t="s">
        <v>153</v>
      </c>
      <c r="P25" s="138" t="str">
        <f aca="false">IFERROR(VLOOKUP(TEXT(O25,"0"),CONDUCTORES!$A$3:$G$100,2,0),"")</f>
        <v>LOPEZ HOYOS MIGUEL ANGEL</v>
      </c>
      <c r="Q25" s="138" t="str">
        <f aca="false">IFERROR(VLOOKUP(TEXT(O25,"0"),CONDUCTORES!$A$3:$H$100,6,0),"")</f>
        <v>EUH-698</v>
      </c>
      <c r="R25" s="85"/>
      <c r="S25" s="110" t="s">
        <v>1737</v>
      </c>
      <c r="T25" s="46" t="s">
        <v>758</v>
      </c>
      <c r="U25" s="85"/>
      <c r="V25" s="110"/>
      <c r="W25" s="46"/>
      <c r="X25" s="46"/>
      <c r="Y25" s="163" t="s">
        <v>48</v>
      </c>
      <c r="Z25" s="157" t="str">
        <f aca="false">IF(AND(R25&lt;&gt;"",V25&lt;&gt;"",W25&lt;&gt;""),"ENTREGADO","POR RECOGER")</f>
        <v>POR RECOGER</v>
      </c>
      <c r="AA25" s="4"/>
      <c r="AB25" s="4"/>
      <c r="AC25" s="4"/>
    </row>
    <row r="26" customFormat="false" ht="15.75" hidden="false" customHeight="true" outlineLevel="0" collapsed="false">
      <c r="A26" s="106" t="n">
        <v>21</v>
      </c>
      <c r="B26" s="107" t="s">
        <v>836</v>
      </c>
      <c r="C26" s="106" t="s">
        <v>752</v>
      </c>
      <c r="D26" s="107" t="s">
        <v>4833</v>
      </c>
      <c r="E26" s="136" t="s">
        <v>99</v>
      </c>
      <c r="F26" s="106" t="s">
        <v>4834</v>
      </c>
      <c r="G26" s="137" t="n">
        <v>46060</v>
      </c>
      <c r="H26" s="106" t="s">
        <v>645</v>
      </c>
      <c r="I26" s="138" t="str">
        <f aca="false">IFERROR(VLOOKUP(TEXT(H26,"0"),IPRESS!$A$3:$B$212,2,0),"")</f>
        <v>SAN JUAN DE OCUMAL</v>
      </c>
      <c r="J26" s="106" t="s">
        <v>755</v>
      </c>
      <c r="K26" s="138" t="s">
        <v>14</v>
      </c>
      <c r="L26" s="50" t="n">
        <v>18.18</v>
      </c>
      <c r="M26" s="50" t="n">
        <v>20</v>
      </c>
      <c r="N26" s="139" t="n">
        <f aca="false">IFERROR(IF(L26*M26=0,"",L26*M26),"")</f>
        <v>363.6</v>
      </c>
      <c r="O26" s="106" t="s">
        <v>120</v>
      </c>
      <c r="P26" s="138" t="str">
        <f aca="false">IFERROR(VLOOKUP(TEXT(O26,"0"),CONDUCTORES!$A$3:$G$100,2,0),"")</f>
        <v>SAUCEDO LOPEZ ELDIN NOLASCO</v>
      </c>
      <c r="Q26" s="138" t="str">
        <f aca="false">IFERROR(VLOOKUP(TEXT(O26,"0"),CONDUCTORES!$A$3:$H$100,6,0),"")</f>
        <v>EUH699</v>
      </c>
      <c r="R26" s="140"/>
      <c r="S26" s="107" t="s">
        <v>4835</v>
      </c>
      <c r="T26" s="136" t="s">
        <v>758</v>
      </c>
      <c r="U26" s="140"/>
      <c r="V26" s="107"/>
      <c r="W26" s="106"/>
      <c r="X26" s="106"/>
      <c r="Y26" s="85"/>
      <c r="Z26" s="157" t="str">
        <f aca="false">IF(AND(R26&lt;&gt;"",V26&lt;&gt;"",W26&lt;&gt;""),"ENTREGADO","POR RECOGER")</f>
        <v>POR RECOGER</v>
      </c>
      <c r="AA26" s="4"/>
      <c r="AB26" s="4"/>
      <c r="AC26" s="4"/>
    </row>
    <row r="27" customFormat="false" ht="15.75" hidden="false" customHeight="true" outlineLevel="0" collapsed="false">
      <c r="A27" s="46" t="n">
        <v>22</v>
      </c>
      <c r="B27" s="110" t="s">
        <v>3398</v>
      </c>
      <c r="C27" s="46" t="s">
        <v>752</v>
      </c>
      <c r="D27" s="110" t="s">
        <v>2160</v>
      </c>
      <c r="E27" s="46" t="s">
        <v>99</v>
      </c>
      <c r="F27" s="46" t="s">
        <v>2161</v>
      </c>
      <c r="G27" s="142" t="n">
        <v>46060</v>
      </c>
      <c r="H27" s="46" t="s">
        <v>692</v>
      </c>
      <c r="I27" s="138" t="str">
        <f aca="false">IFERROR(VLOOKUP(TEXT(H27,"0"),IPRESS!$A$3:$B$212,2,0),"")</f>
        <v>TINGO</v>
      </c>
      <c r="J27" s="46" t="s">
        <v>755</v>
      </c>
      <c r="K27" s="138" t="s">
        <v>14</v>
      </c>
      <c r="L27" s="44" t="n">
        <v>18.18</v>
      </c>
      <c r="M27" s="44" t="n">
        <v>5</v>
      </c>
      <c r="N27" s="139" t="n">
        <f aca="false">IFERROR(IF(L27*M27=0,"",L27*M27),"")</f>
        <v>90.9</v>
      </c>
      <c r="O27" s="46" t="s">
        <v>263</v>
      </c>
      <c r="P27" s="138" t="str">
        <f aca="false">IFERROR(VLOOKUP(TEXT(O27,"0"),CONDUCTORES!$A$3:$G$100,2,0),"")</f>
        <v>VILCARROMERO TORREJON HERMERSON</v>
      </c>
      <c r="Q27" s="138" t="str">
        <f aca="false">IFERROR(VLOOKUP(TEXT(O27,"0"),CONDUCTORES!$A$3:$H$100,6,0),"")</f>
        <v>EUD-917</v>
      </c>
      <c r="R27" s="85"/>
      <c r="S27" s="110" t="s">
        <v>4836</v>
      </c>
      <c r="T27" s="46" t="s">
        <v>758</v>
      </c>
      <c r="U27" s="85"/>
      <c r="V27" s="110"/>
      <c r="W27" s="46"/>
      <c r="X27" s="46"/>
      <c r="Y27" s="85"/>
      <c r="Z27" s="157" t="str">
        <f aca="false">IF(AND(R27&lt;&gt;"",V27&lt;&gt;"",W27&lt;&gt;""),"ENTREGADO","POR RECOGER")</f>
        <v>POR RECOGER</v>
      </c>
      <c r="AA27" s="4"/>
      <c r="AB27" s="4"/>
      <c r="AC27" s="4"/>
    </row>
    <row r="28" customFormat="false" ht="15.75" hidden="false" customHeight="true" outlineLevel="0" collapsed="false">
      <c r="A28" s="106" t="n">
        <v>23</v>
      </c>
      <c r="B28" s="107" t="s">
        <v>2559</v>
      </c>
      <c r="C28" s="106" t="s">
        <v>752</v>
      </c>
      <c r="D28" s="107" t="s">
        <v>4837</v>
      </c>
      <c r="E28" s="136" t="s">
        <v>99</v>
      </c>
      <c r="F28" s="106" t="s">
        <v>4838</v>
      </c>
      <c r="G28" s="137" t="n">
        <v>46060</v>
      </c>
      <c r="H28" s="106" t="s">
        <v>581</v>
      </c>
      <c r="I28" s="138" t="str">
        <f aca="false">IFERROR(VLOOKUP(TEXT(H28,"0"),IPRESS!$A$3:$B$212,2,0),"")</f>
        <v>PEDRO RUIZ GALLO</v>
      </c>
      <c r="J28" s="106" t="s">
        <v>755</v>
      </c>
      <c r="K28" s="138" t="s">
        <v>14</v>
      </c>
      <c r="L28" s="50" t="n">
        <v>18.18</v>
      </c>
      <c r="M28" s="50" t="n">
        <v>5</v>
      </c>
      <c r="N28" s="139" t="n">
        <f aca="false">IFERROR(IF(L28*M28=0,"",L28*M28),"")</f>
        <v>90.9</v>
      </c>
      <c r="O28" s="106" t="s">
        <v>230</v>
      </c>
      <c r="P28" s="138" t="str">
        <f aca="false">IFERROR(VLOOKUP(TEXT(O28,"0"),CONDUCTORES!$A$3:$G$100,2,0),"")</f>
        <v>MUNOZ VERGARAY JORGE ENRRIQUE</v>
      </c>
      <c r="Q28" s="138" t="str">
        <f aca="false">IFERROR(VLOOKUP(TEXT(O28,"0"),CONDUCTORES!$A$3:$H$100,6,0),"")</f>
        <v>EUH 427</v>
      </c>
      <c r="R28" s="140"/>
      <c r="S28" s="107" t="s">
        <v>4839</v>
      </c>
      <c r="T28" s="136" t="s">
        <v>758</v>
      </c>
      <c r="U28" s="140"/>
      <c r="V28" s="107"/>
      <c r="W28" s="106"/>
      <c r="X28" s="106"/>
      <c r="Y28" s="85"/>
      <c r="Z28" s="157" t="str">
        <f aca="false">IF(AND(R28&lt;&gt;"",V28&lt;&gt;"",W28&lt;&gt;""),"ENTREGADO","POR RECOGER")</f>
        <v>POR RECOGER</v>
      </c>
      <c r="AA28" s="4"/>
      <c r="AB28" s="4"/>
      <c r="AC28" s="4"/>
    </row>
    <row r="29" customFormat="false" ht="15.75" hidden="false" customHeight="true" outlineLevel="0" collapsed="false">
      <c r="A29" s="46" t="n">
        <v>24</v>
      </c>
      <c r="B29" s="110" t="s">
        <v>883</v>
      </c>
      <c r="C29" s="46" t="s">
        <v>752</v>
      </c>
      <c r="D29" s="110" t="s">
        <v>4840</v>
      </c>
      <c r="E29" s="46" t="s">
        <v>99</v>
      </c>
      <c r="F29" s="46" t="s">
        <v>4841</v>
      </c>
      <c r="G29" s="142" t="n">
        <v>46060</v>
      </c>
      <c r="H29" s="46" t="s">
        <v>357</v>
      </c>
      <c r="I29" s="138" t="str">
        <f aca="false">IFERROR(VLOOKUP(TEXT(H29,"0"),IPRESS!$A$3:$B$212,2,0),"")</f>
        <v>CAMPORREDONDO</v>
      </c>
      <c r="J29" s="46" t="s">
        <v>755</v>
      </c>
      <c r="K29" s="138" t="s">
        <v>14</v>
      </c>
      <c r="L29" s="44" t="n">
        <v>18.18</v>
      </c>
      <c r="M29" s="44" t="n">
        <v>20</v>
      </c>
      <c r="N29" s="139" t="n">
        <f aca="false">IFERROR(IF(L29*M29=0,"",L29*M29),"")</f>
        <v>363.6</v>
      </c>
      <c r="O29" s="46" t="s">
        <v>107</v>
      </c>
      <c r="P29" s="138" t="str">
        <f aca="false">IFERROR(VLOOKUP(TEXT(O29,"0"),CONDUCTORES!$A$3:$G$100,2,0),"")</f>
        <v>GUEVARA VASQUEZ GREIMER MELGAR</v>
      </c>
      <c r="Q29" s="138" t="str">
        <f aca="false">IFERROR(VLOOKUP(TEXT(O29,"0"),CONDUCTORES!$A$3:$H$100,6,0),"")</f>
        <v>EUE 651</v>
      </c>
      <c r="R29" s="85"/>
      <c r="S29" s="110" t="s">
        <v>4842</v>
      </c>
      <c r="T29" s="46" t="s">
        <v>758</v>
      </c>
      <c r="U29" s="85"/>
      <c r="V29" s="110"/>
      <c r="W29" s="46"/>
      <c r="X29" s="46"/>
      <c r="Y29" s="85"/>
      <c r="Z29" s="157" t="str">
        <f aca="false">IF(AND(R29&lt;&gt;"",V29&lt;&gt;"",W29&lt;&gt;""),"ENTREGADO","POR RECOGER")</f>
        <v>POR RECOGER</v>
      </c>
      <c r="AA29" s="4"/>
      <c r="AB29" s="4"/>
      <c r="AC29" s="4"/>
    </row>
    <row r="30" customFormat="false" ht="15.75" hidden="false" customHeight="true" outlineLevel="0" collapsed="false">
      <c r="A30" s="106" t="n">
        <v>25</v>
      </c>
      <c r="B30" s="107" t="s">
        <v>1984</v>
      </c>
      <c r="C30" s="106" t="s">
        <v>752</v>
      </c>
      <c r="D30" s="107" t="s">
        <v>4843</v>
      </c>
      <c r="E30" s="136" t="s">
        <v>99</v>
      </c>
      <c r="F30" s="106" t="s">
        <v>4844</v>
      </c>
      <c r="G30" s="137" t="n">
        <v>46062</v>
      </c>
      <c r="H30" s="106" t="s">
        <v>517</v>
      </c>
      <c r="I30" s="138" t="str">
        <f aca="false">IFERROR(VLOOKUP(TEXT(H30,"0"),IPRESS!$A$3:$B$212,2,0),"")</f>
        <v>LUYA</v>
      </c>
      <c r="J30" s="106" t="s">
        <v>755</v>
      </c>
      <c r="K30" s="138" t="s">
        <v>14</v>
      </c>
      <c r="L30" s="50" t="n">
        <v>18.18</v>
      </c>
      <c r="M30" s="50" t="n">
        <v>4</v>
      </c>
      <c r="N30" s="139" t="n">
        <f aca="false">IFERROR(IF(L30*M30=0,"",L30*M30),"")</f>
        <v>72.72</v>
      </c>
      <c r="O30" s="106" t="s">
        <v>197</v>
      </c>
      <c r="P30" s="138" t="str">
        <f aca="false">IFERROR(VLOOKUP(TEXT(O30,"0"),CONDUCTORES!$A$3:$G$100,2,0),"")</f>
        <v>RUBIO CARO JEYNER</v>
      </c>
      <c r="Q30" s="138" t="str">
        <f aca="false">IFERROR(VLOOKUP(TEXT(O30,"0"),CONDUCTORES!$A$3:$H$100,6,0),"")</f>
        <v>EUH-717</v>
      </c>
      <c r="R30" s="140"/>
      <c r="S30" s="107" t="s">
        <v>4845</v>
      </c>
      <c r="T30" s="136" t="s">
        <v>758</v>
      </c>
      <c r="U30" s="140"/>
      <c r="V30" s="107"/>
      <c r="W30" s="106"/>
      <c r="X30" s="106"/>
      <c r="Y30" s="85"/>
      <c r="Z30" s="157" t="str">
        <f aca="false">IF(AND(R30&lt;&gt;"",V30&lt;&gt;"",W30&lt;&gt;""),"ENTREGADO","POR RECOGER")</f>
        <v>POR RECOGER</v>
      </c>
      <c r="AA30" s="4"/>
      <c r="AB30" s="4"/>
      <c r="AC30" s="4"/>
    </row>
    <row r="31" customFormat="false" ht="15.75" hidden="false" customHeight="true" outlineLevel="0" collapsed="false">
      <c r="A31" s="46" t="n">
        <v>26</v>
      </c>
      <c r="B31" s="110" t="s">
        <v>4846</v>
      </c>
      <c r="C31" s="46" t="s">
        <v>752</v>
      </c>
      <c r="D31" s="110" t="s">
        <v>4847</v>
      </c>
      <c r="E31" s="46" t="s">
        <v>99</v>
      </c>
      <c r="F31" s="46" t="s">
        <v>4848</v>
      </c>
      <c r="G31" s="142" t="n">
        <v>46062</v>
      </c>
      <c r="H31" s="46" t="s">
        <v>529</v>
      </c>
      <c r="I31" s="138" t="str">
        <f aca="false">IFERROR(VLOOKUP(TEXT(H31,"0"),IPRESS!$A$3:$B$212,2,0),"")</f>
        <v>MARIA AUXILIADORA</v>
      </c>
      <c r="J31" s="46" t="s">
        <v>755</v>
      </c>
      <c r="K31" s="138" t="s">
        <v>14</v>
      </c>
      <c r="L31" s="44" t="n">
        <v>20.25</v>
      </c>
      <c r="M31" s="44" t="n">
        <v>10</v>
      </c>
      <c r="N31" s="139" t="n">
        <f aca="false">IFERROR(IF(L31*M31=0,"",L31*M31),"")</f>
        <v>202.5</v>
      </c>
      <c r="O31" s="46" t="s">
        <v>153</v>
      </c>
      <c r="P31" s="138" t="str">
        <f aca="false">IFERROR(VLOOKUP(TEXT(O31,"0"),CONDUCTORES!$A$3:$G$100,2,0),"")</f>
        <v>LOPEZ HOYOS MIGUEL ANGEL</v>
      </c>
      <c r="Q31" s="138" t="str">
        <f aca="false">IFERROR(VLOOKUP(TEXT(O31,"0"),CONDUCTORES!$A$3:$H$100,6,0),"")</f>
        <v>EUH-698</v>
      </c>
      <c r="R31" s="85"/>
      <c r="S31" s="110" t="s">
        <v>4849</v>
      </c>
      <c r="T31" s="46" t="s">
        <v>758</v>
      </c>
      <c r="U31" s="85"/>
      <c r="V31" s="110"/>
      <c r="W31" s="46"/>
      <c r="X31" s="46"/>
      <c r="Y31" s="163" t="s">
        <v>48</v>
      </c>
      <c r="Z31" s="157" t="str">
        <f aca="false">IF(AND(R31&lt;&gt;"",V31&lt;&gt;"",W31&lt;&gt;""),"ENTREGADO","POR RECOGER")</f>
        <v>POR RECOGER</v>
      </c>
      <c r="AA31" s="4"/>
      <c r="AB31" s="4"/>
      <c r="AC31" s="4"/>
    </row>
    <row r="32" customFormat="false" ht="15.75" hidden="false" customHeight="true" outlineLevel="0" collapsed="false">
      <c r="A32" s="106" t="n">
        <v>27</v>
      </c>
      <c r="B32" s="107" t="s">
        <v>888</v>
      </c>
      <c r="C32" s="106" t="s">
        <v>752</v>
      </c>
      <c r="D32" s="107" t="s">
        <v>949</v>
      </c>
      <c r="E32" s="136" t="s">
        <v>99</v>
      </c>
      <c r="F32" s="106" t="s">
        <v>950</v>
      </c>
      <c r="G32" s="137" t="n">
        <v>46062</v>
      </c>
      <c r="H32" s="106" t="s">
        <v>409</v>
      </c>
      <c r="I32" s="138" t="str">
        <f aca="false">IFERROR(VLOOKUP(TEXT(H32,"0"),IPRESS!$A$3:$B$212,2,0),"")</f>
        <v>COLLONCE</v>
      </c>
      <c r="J32" s="106" t="s">
        <v>755</v>
      </c>
      <c r="K32" s="138" t="s">
        <v>14</v>
      </c>
      <c r="L32" s="50" t="n">
        <v>18.18</v>
      </c>
      <c r="M32" s="50" t="n">
        <v>20</v>
      </c>
      <c r="N32" s="139" t="n">
        <f aca="false">IFERROR(IF(L32*M32=0,"",L32*M32),"")</f>
        <v>363.6</v>
      </c>
      <c r="O32" s="106" t="s">
        <v>120</v>
      </c>
      <c r="P32" s="138" t="str">
        <f aca="false">IFERROR(VLOOKUP(TEXT(O32,"0"),CONDUCTORES!$A$3:$G$100,2,0),"")</f>
        <v>SAUCEDO LOPEZ ELDIN NOLASCO</v>
      </c>
      <c r="Q32" s="138" t="str">
        <f aca="false">IFERROR(VLOOKUP(TEXT(O32,"0"),CONDUCTORES!$A$3:$H$100,6,0),"")</f>
        <v>EUH699</v>
      </c>
      <c r="R32" s="140"/>
      <c r="S32" s="107" t="s">
        <v>951</v>
      </c>
      <c r="T32" s="136" t="s">
        <v>758</v>
      </c>
      <c r="U32" s="140"/>
      <c r="V32" s="107"/>
      <c r="W32" s="106"/>
      <c r="X32" s="106"/>
      <c r="Y32" s="85"/>
      <c r="Z32" s="157" t="str">
        <f aca="false">IF(AND(R32&lt;&gt;"",V32&lt;&gt;"",W32&lt;&gt;""),"ENTREGADO","POR RECOGER")</f>
        <v>POR RECOGER</v>
      </c>
      <c r="AA32" s="4"/>
      <c r="AB32" s="4"/>
      <c r="AC32" s="4"/>
    </row>
    <row r="33" customFormat="false" ht="15.75" hidden="false" customHeight="true" outlineLevel="0" collapsed="false">
      <c r="A33" s="46" t="n">
        <v>28</v>
      </c>
      <c r="B33" s="110" t="s">
        <v>1987</v>
      </c>
      <c r="C33" s="46" t="s">
        <v>752</v>
      </c>
      <c r="D33" s="110" t="s">
        <v>4850</v>
      </c>
      <c r="E33" s="46" t="s">
        <v>99</v>
      </c>
      <c r="F33" s="46" t="s">
        <v>4851</v>
      </c>
      <c r="G33" s="142" t="n">
        <v>46063</v>
      </c>
      <c r="H33" s="46" t="s">
        <v>517</v>
      </c>
      <c r="I33" s="138" t="str">
        <f aca="false">IFERROR(VLOOKUP(TEXT(H33,"0"),IPRESS!$A$3:$B$212,2,0),"")</f>
        <v>LUYA</v>
      </c>
      <c r="J33" s="46" t="s">
        <v>755</v>
      </c>
      <c r="K33" s="138" t="s">
        <v>14</v>
      </c>
      <c r="L33" s="44" t="n">
        <v>18.18</v>
      </c>
      <c r="M33" s="44" t="n">
        <v>4</v>
      </c>
      <c r="N33" s="139" t="n">
        <f aca="false">IFERROR(IF(L33*M33=0,"",L33*M33),"")</f>
        <v>72.72</v>
      </c>
      <c r="O33" s="46" t="s">
        <v>175</v>
      </c>
      <c r="P33" s="138" t="str">
        <f aca="false">IFERROR(VLOOKUP(TEXT(O33,"0"),CONDUCTORES!$A$3:$G$100,2,0),"")</f>
        <v>DANIEL ZELADA TRUJILLO</v>
      </c>
      <c r="Q33" s="138" t="str">
        <f aca="false">IFERROR(VLOOKUP(TEXT(O33,"0"),CONDUCTORES!$A$3:$H$100,6,0),"")</f>
        <v>EUA-963</v>
      </c>
      <c r="R33" s="85"/>
      <c r="S33" s="110" t="s">
        <v>4852</v>
      </c>
      <c r="T33" s="46" t="s">
        <v>758</v>
      </c>
      <c r="U33" s="85"/>
      <c r="V33" s="110"/>
      <c r="W33" s="46"/>
      <c r="X33" s="46"/>
      <c r="Y33" s="85"/>
      <c r="Z33" s="157" t="str">
        <f aca="false">IF(AND(R33&lt;&gt;"",V33&lt;&gt;"",W33&lt;&gt;""),"ENTREGADO","POR RECOGER")</f>
        <v>POR RECOGER</v>
      </c>
      <c r="AA33" s="4"/>
      <c r="AB33" s="4"/>
      <c r="AC33" s="4"/>
    </row>
    <row r="34" customFormat="false" ht="15.75" hidden="false" customHeight="true" outlineLevel="0" collapsed="false">
      <c r="A34" s="106" t="n">
        <v>29</v>
      </c>
      <c r="B34" s="107" t="s">
        <v>1679</v>
      </c>
      <c r="C34" s="106" t="s">
        <v>752</v>
      </c>
      <c r="D34" s="107" t="s">
        <v>4853</v>
      </c>
      <c r="E34" s="136" t="s">
        <v>99</v>
      </c>
      <c r="F34" s="106" t="s">
        <v>4854</v>
      </c>
      <c r="G34" s="137" t="n">
        <v>46063</v>
      </c>
      <c r="H34" s="106" t="s">
        <v>483</v>
      </c>
      <c r="I34" s="138" t="str">
        <f aca="false">IFERROR(VLOOKUP(TEXT(H34,"0"),IPRESS!$A$3:$B$212,2,0),"")</f>
        <v>JUMBILLA</v>
      </c>
      <c r="J34" s="106" t="s">
        <v>755</v>
      </c>
      <c r="K34" s="138" t="s">
        <v>14</v>
      </c>
      <c r="L34" s="50" t="n">
        <v>18.18</v>
      </c>
      <c r="M34" s="50" t="n">
        <v>12</v>
      </c>
      <c r="N34" s="139" t="n">
        <f aca="false">IFERROR(IF(L34*M34=0,"",L34*M34),"")</f>
        <v>218.16</v>
      </c>
      <c r="O34" s="106" t="s">
        <v>166</v>
      </c>
      <c r="P34" s="138" t="str">
        <f aca="false">IFERROR(VLOOKUP(TEXT(O34,"0"),CONDUCTORES!$A$3:$G$100,2,0),"")</f>
        <v>BRICENO OXOLON MANUEL</v>
      </c>
      <c r="Q34" s="138" t="str">
        <f aca="false">IFERROR(VLOOKUP(TEXT(O34,"0"),CONDUCTORES!$A$3:$H$100,6,0),"")</f>
        <v>EUC976</v>
      </c>
      <c r="R34" s="140"/>
      <c r="S34" s="107" t="s">
        <v>4855</v>
      </c>
      <c r="T34" s="136" t="s">
        <v>758</v>
      </c>
      <c r="U34" s="140"/>
      <c r="V34" s="107"/>
      <c r="W34" s="106"/>
      <c r="X34" s="106"/>
      <c r="Y34" s="85"/>
      <c r="Z34" s="157" t="str">
        <f aca="false">IF(AND(R34&lt;&gt;"",V34&lt;&gt;"",W34&lt;&gt;""),"ENTREGADO","POR RECOGER")</f>
        <v>POR RECOGER</v>
      </c>
      <c r="AA34" s="4"/>
      <c r="AB34" s="4"/>
      <c r="AC34" s="4"/>
    </row>
    <row r="35" customFormat="false" ht="15.75" hidden="false" customHeight="true" outlineLevel="0" collapsed="false">
      <c r="A35" s="46" t="n">
        <v>30</v>
      </c>
      <c r="B35" s="110" t="s">
        <v>4856</v>
      </c>
      <c r="C35" s="46" t="s">
        <v>752</v>
      </c>
      <c r="D35" s="110" t="s">
        <v>2920</v>
      </c>
      <c r="E35" s="46" t="s">
        <v>99</v>
      </c>
      <c r="F35" s="46" t="s">
        <v>1136</v>
      </c>
      <c r="G35" s="142" t="n">
        <v>46063</v>
      </c>
      <c r="H35" s="46" t="s">
        <v>529</v>
      </c>
      <c r="I35" s="138" t="str">
        <f aca="false">IFERROR(VLOOKUP(TEXT(H35,"0"),IPRESS!$A$3:$B$212,2,0),"")</f>
        <v>MARIA AUXILIADORA</v>
      </c>
      <c r="J35" s="46" t="s">
        <v>755</v>
      </c>
      <c r="K35" s="138" t="s">
        <v>14</v>
      </c>
      <c r="L35" s="44" t="n">
        <v>20.25</v>
      </c>
      <c r="M35" s="44" t="n">
        <v>7</v>
      </c>
      <c r="N35" s="139" t="n">
        <f aca="false">IFERROR(IF(L35*M35=0,"",L35*M35),"")</f>
        <v>141.75</v>
      </c>
      <c r="O35" s="46" t="s">
        <v>133</v>
      </c>
      <c r="P35" s="138" t="str">
        <f aca="false">IFERROR(VLOOKUP(TEXT(O35,"0"),CONDUCTORES!$A$3:$G$100,2,0),"")</f>
        <v>TRIGOSO TAFUR JOSE GILBER</v>
      </c>
      <c r="Q35" s="138" t="str">
        <f aca="false">IFERROR(VLOOKUP(TEXT(O35,"0"),CONDUCTORES!$A$3:$H$100,6,0),"")</f>
        <v>EUH 421</v>
      </c>
      <c r="R35" s="85"/>
      <c r="S35" s="110" t="s">
        <v>4857</v>
      </c>
      <c r="T35" s="46" t="s">
        <v>758</v>
      </c>
      <c r="U35" s="85"/>
      <c r="V35" s="110"/>
      <c r="W35" s="46"/>
      <c r="X35" s="46"/>
      <c r="Y35" s="85"/>
      <c r="Z35" s="157" t="str">
        <f aca="false">IF(AND(R35&lt;&gt;"",V35&lt;&gt;"",W35&lt;&gt;""),"ENTREGADO","POR RECOGER")</f>
        <v>POR RECOGER</v>
      </c>
      <c r="AA35" s="4"/>
      <c r="AB35" s="4"/>
      <c r="AC35" s="4"/>
    </row>
    <row r="36" customFormat="false" ht="15.75" hidden="false" customHeight="true" outlineLevel="0" collapsed="false">
      <c r="A36" s="106" t="n">
        <v>31</v>
      </c>
      <c r="B36" s="107" t="s">
        <v>2555</v>
      </c>
      <c r="C36" s="106" t="s">
        <v>752</v>
      </c>
      <c r="D36" s="107" t="s">
        <v>4858</v>
      </c>
      <c r="E36" s="136" t="s">
        <v>99</v>
      </c>
      <c r="F36" s="106" t="s">
        <v>4859</v>
      </c>
      <c r="G36" s="137" t="n">
        <v>46063</v>
      </c>
      <c r="H36" s="106" t="s">
        <v>581</v>
      </c>
      <c r="I36" s="138" t="str">
        <f aca="false">IFERROR(VLOOKUP(TEXT(H36,"0"),IPRESS!$A$3:$B$212,2,0),"")</f>
        <v>PEDRO RUIZ GALLO</v>
      </c>
      <c r="J36" s="106" t="s">
        <v>755</v>
      </c>
      <c r="K36" s="138" t="s">
        <v>14</v>
      </c>
      <c r="L36" s="50" t="n">
        <v>18.18</v>
      </c>
      <c r="M36" s="50" t="n">
        <v>5</v>
      </c>
      <c r="N36" s="139" t="n">
        <f aca="false">IFERROR(IF(L36*M36=0,"",L36*M36),"")</f>
        <v>90.9</v>
      </c>
      <c r="O36" s="106" t="s">
        <v>234</v>
      </c>
      <c r="P36" s="138" t="str">
        <f aca="false">IFERROR(VLOOKUP(TEXT(O36,"0"),CONDUCTORES!$A$3:$G$100,2,0),"")</f>
        <v>MONTENEGRO RUIZ LUIS MIGUEL</v>
      </c>
      <c r="Q36" s="138" t="str">
        <f aca="false">IFERROR(VLOOKUP(TEXT(O36,"0"),CONDUCTORES!$A$3:$H$100,6,0),"")</f>
        <v>EUH-427</v>
      </c>
      <c r="R36" s="140"/>
      <c r="S36" s="107" t="s">
        <v>2411</v>
      </c>
      <c r="T36" s="136" t="s">
        <v>758</v>
      </c>
      <c r="U36" s="140"/>
      <c r="V36" s="107"/>
      <c r="W36" s="106"/>
      <c r="X36" s="106"/>
      <c r="Y36" s="85"/>
      <c r="Z36" s="157" t="str">
        <f aca="false">IF(AND(R36&lt;&gt;"",V36&lt;&gt;"",W36&lt;&gt;""),"ENTREGADO","POR RECOGER")</f>
        <v>POR RECOGER</v>
      </c>
      <c r="AA36" s="4"/>
      <c r="AB36" s="4"/>
      <c r="AC36" s="4"/>
    </row>
    <row r="37" customFormat="false" ht="15.75" hidden="false" customHeight="true" outlineLevel="0" collapsed="false">
      <c r="A37" s="46" t="n">
        <v>32</v>
      </c>
      <c r="B37" s="110" t="s">
        <v>873</v>
      </c>
      <c r="C37" s="46" t="s">
        <v>752</v>
      </c>
      <c r="D37" s="110" t="s">
        <v>4860</v>
      </c>
      <c r="E37" s="46" t="s">
        <v>99</v>
      </c>
      <c r="F37" s="46" t="s">
        <v>4861</v>
      </c>
      <c r="G37" s="142" t="n">
        <v>46063</v>
      </c>
      <c r="H37" s="46" t="s">
        <v>715</v>
      </c>
      <c r="I37" s="138" t="str">
        <f aca="false">IFERROR(VLOOKUP(TEXT(H37,"0"),IPRESS!$A$3:$B$212,2,0),"")</f>
        <v>YAULICACHI</v>
      </c>
      <c r="J37" s="46" t="s">
        <v>755</v>
      </c>
      <c r="K37" s="138" t="s">
        <v>14</v>
      </c>
      <c r="L37" s="44" t="n">
        <v>18.18</v>
      </c>
      <c r="M37" s="44" t="n">
        <v>20</v>
      </c>
      <c r="N37" s="139" t="n">
        <f aca="false">IFERROR(IF(L37*M37=0,"",L37*M37),"")</f>
        <v>363.6</v>
      </c>
      <c r="O37" s="46" t="s">
        <v>120</v>
      </c>
      <c r="P37" s="138" t="str">
        <f aca="false">IFERROR(VLOOKUP(TEXT(O37,"0"),CONDUCTORES!$A$3:$G$100,2,0),"")</f>
        <v>SAUCEDO LOPEZ ELDIN NOLASCO</v>
      </c>
      <c r="Q37" s="138" t="str">
        <f aca="false">IFERROR(VLOOKUP(TEXT(O37,"0"),CONDUCTORES!$A$3:$H$100,6,0),"")</f>
        <v>EUH699</v>
      </c>
      <c r="R37" s="85"/>
      <c r="S37" s="110" t="s">
        <v>4862</v>
      </c>
      <c r="T37" s="46" t="s">
        <v>758</v>
      </c>
      <c r="U37" s="85"/>
      <c r="V37" s="110"/>
      <c r="W37" s="46"/>
      <c r="X37" s="46"/>
      <c r="Y37" s="85"/>
      <c r="Z37" s="157" t="str">
        <f aca="false">IF(AND(R37&lt;&gt;"",V37&lt;&gt;"",W37&lt;&gt;""),"ENTREGADO","POR RECOGER")</f>
        <v>POR RECOGER</v>
      </c>
      <c r="AA37" s="4"/>
      <c r="AB37" s="4"/>
      <c r="AC37" s="4"/>
    </row>
    <row r="38" customFormat="false" ht="15.75" hidden="false" customHeight="true" outlineLevel="0" collapsed="false">
      <c r="A38" s="106" t="n">
        <v>33</v>
      </c>
      <c r="B38" s="107" t="s">
        <v>2472</v>
      </c>
      <c r="C38" s="106" t="s">
        <v>752</v>
      </c>
      <c r="D38" s="107" t="s">
        <v>4863</v>
      </c>
      <c r="E38" s="136" t="s">
        <v>99</v>
      </c>
      <c r="F38" s="106" t="s">
        <v>4864</v>
      </c>
      <c r="G38" s="137" t="n">
        <v>46064</v>
      </c>
      <c r="H38" s="106" t="s">
        <v>507</v>
      </c>
      <c r="I38" s="138" t="str">
        <f aca="false">IFERROR(VLOOKUP(TEXT(H38,"0"),IPRESS!$A$3:$B$212,2,0),"")</f>
        <v>LEYMEBAMBA</v>
      </c>
      <c r="J38" s="106" t="s">
        <v>755</v>
      </c>
      <c r="K38" s="138" t="s">
        <v>14</v>
      </c>
      <c r="L38" s="50" t="n">
        <v>18.18</v>
      </c>
      <c r="M38" s="50" t="n">
        <v>7.5</v>
      </c>
      <c r="N38" s="139" t="n">
        <f aca="false">IFERROR(IF(L38*M38=0,"",L38*M38),"")</f>
        <v>136.35</v>
      </c>
      <c r="O38" s="106" t="s">
        <v>187</v>
      </c>
      <c r="P38" s="138" t="str">
        <f aca="false">IFERROR(VLOOKUP(TEXT(O38,"0"),CONDUCTORES!$A$3:$G$100,2,0),"")</f>
        <v>CHAVEZ MORI DIMAS</v>
      </c>
      <c r="Q38" s="138" t="str">
        <f aca="false">IFERROR(VLOOKUP(TEXT(O38,"0"),CONDUCTORES!$A$3:$H$100,6,0),"")</f>
        <v>EUH 636</v>
      </c>
      <c r="R38" s="140"/>
      <c r="S38" s="107" t="s">
        <v>891</v>
      </c>
      <c r="T38" s="136" t="s">
        <v>758</v>
      </c>
      <c r="U38" s="140"/>
      <c r="V38" s="107"/>
      <c r="W38" s="106"/>
      <c r="X38" s="106"/>
      <c r="Y38" s="85"/>
      <c r="Z38" s="157" t="str">
        <f aca="false">IF(AND(R38&lt;&gt;"",V38&lt;&gt;"",W38&lt;&gt;""),"ENTREGADO","POR RECOGER")</f>
        <v>POR RECOGER</v>
      </c>
      <c r="AA38" s="4"/>
      <c r="AB38" s="4"/>
      <c r="AC38" s="4"/>
    </row>
    <row r="39" customFormat="false" ht="15.75" hidden="false" customHeight="true" outlineLevel="0" collapsed="false">
      <c r="A39" s="46" t="n">
        <v>34</v>
      </c>
      <c r="B39" s="110" t="s">
        <v>1684</v>
      </c>
      <c r="C39" s="46" t="s">
        <v>752</v>
      </c>
      <c r="D39" s="110" t="s">
        <v>4865</v>
      </c>
      <c r="E39" s="46" t="s">
        <v>99</v>
      </c>
      <c r="F39" s="46" t="s">
        <v>4866</v>
      </c>
      <c r="G39" s="142" t="n">
        <v>46064</v>
      </c>
      <c r="H39" s="46" t="s">
        <v>483</v>
      </c>
      <c r="I39" s="138" t="str">
        <f aca="false">IFERROR(VLOOKUP(TEXT(H39,"0"),IPRESS!$A$3:$B$212,2,0),"")</f>
        <v>JUMBILLA</v>
      </c>
      <c r="J39" s="46" t="s">
        <v>755</v>
      </c>
      <c r="K39" s="138" t="s">
        <v>14</v>
      </c>
      <c r="L39" s="44" t="n">
        <v>18.18</v>
      </c>
      <c r="M39" s="44" t="n">
        <v>12</v>
      </c>
      <c r="N39" s="139" t="n">
        <f aca="false">IFERROR(IF(L39*M39=0,"",L39*M39),"")</f>
        <v>218.16</v>
      </c>
      <c r="O39" s="46" t="s">
        <v>166</v>
      </c>
      <c r="P39" s="138" t="str">
        <f aca="false">IFERROR(VLOOKUP(TEXT(O39,"0"),CONDUCTORES!$A$3:$G$100,2,0),"")</f>
        <v>BRICENO OXOLON MANUEL</v>
      </c>
      <c r="Q39" s="138" t="str">
        <f aca="false">IFERROR(VLOOKUP(TEXT(O39,"0"),CONDUCTORES!$A$3:$H$100,6,0),"")</f>
        <v>EUC976</v>
      </c>
      <c r="R39" s="85"/>
      <c r="S39" s="110" t="s">
        <v>4855</v>
      </c>
      <c r="T39" s="46" t="s">
        <v>758</v>
      </c>
      <c r="U39" s="85"/>
      <c r="V39" s="110"/>
      <c r="W39" s="46"/>
      <c r="X39" s="46"/>
      <c r="Y39" s="85"/>
      <c r="Z39" s="157" t="str">
        <f aca="false">IF(AND(R39&lt;&gt;"",V39&lt;&gt;"",W39&lt;&gt;""),"ENTREGADO","POR RECOGER")</f>
        <v>POR RECOGER</v>
      </c>
      <c r="AA39" s="4"/>
      <c r="AB39" s="4"/>
      <c r="AC39" s="4"/>
    </row>
    <row r="40" customFormat="false" ht="15.75" hidden="false" customHeight="true" outlineLevel="0" collapsed="false">
      <c r="A40" s="106" t="n">
        <v>35</v>
      </c>
      <c r="B40" s="107" t="s">
        <v>4867</v>
      </c>
      <c r="C40" s="106" t="s">
        <v>752</v>
      </c>
      <c r="D40" s="107" t="s">
        <v>4868</v>
      </c>
      <c r="E40" s="136" t="s">
        <v>99</v>
      </c>
      <c r="F40" s="106" t="s">
        <v>4869</v>
      </c>
      <c r="G40" s="137" t="n">
        <v>46064</v>
      </c>
      <c r="H40" s="106" t="s">
        <v>529</v>
      </c>
      <c r="I40" s="138" t="str">
        <f aca="false">IFERROR(VLOOKUP(TEXT(H40,"0"),IPRESS!$A$3:$B$212,2,0),"")</f>
        <v>MARIA AUXILIADORA</v>
      </c>
      <c r="J40" s="106" t="s">
        <v>755</v>
      </c>
      <c r="K40" s="138" t="s">
        <v>14</v>
      </c>
      <c r="L40" s="50" t="n">
        <v>20.25</v>
      </c>
      <c r="M40" s="50" t="n">
        <v>9.09</v>
      </c>
      <c r="N40" s="139" t="n">
        <f aca="false">IFERROR(IF(L40*M40=0,"",L40*M40),"")</f>
        <v>184.0725</v>
      </c>
      <c r="O40" s="106" t="s">
        <v>145</v>
      </c>
      <c r="P40" s="138" t="str">
        <f aca="false">IFERROR(VLOOKUP(TEXT(O40,"0"),CONDUCTORES!$A$3:$G$100,2,0),"")</f>
        <v>SERNAQUE PELAEZ WILMER</v>
      </c>
      <c r="Q40" s="138" t="str">
        <f aca="false">IFERROR(VLOOKUP(TEXT(O40,"0"),CONDUCTORES!$A$3:$H$100,6,0),"")</f>
        <v>EUH-421</v>
      </c>
      <c r="R40" s="140"/>
      <c r="S40" s="107" t="s">
        <v>4870</v>
      </c>
      <c r="T40" s="136" t="s">
        <v>758</v>
      </c>
      <c r="U40" s="140"/>
      <c r="V40" s="107"/>
      <c r="W40" s="106"/>
      <c r="X40" s="106"/>
      <c r="Y40" s="85"/>
      <c r="Z40" s="157" t="str">
        <f aca="false">IF(AND(R40&lt;&gt;"",V40&lt;&gt;"",W40&lt;&gt;""),"ENTREGADO","POR RECOGER")</f>
        <v>POR RECOGER</v>
      </c>
      <c r="AA40" s="4"/>
      <c r="AB40" s="4"/>
      <c r="AC40" s="4"/>
    </row>
    <row r="41" customFormat="false" ht="15.75" hidden="false" customHeight="true" outlineLevel="0" collapsed="false">
      <c r="A41" s="46" t="n">
        <v>36</v>
      </c>
      <c r="B41" s="110" t="s">
        <v>1429</v>
      </c>
      <c r="C41" s="46" t="s">
        <v>752</v>
      </c>
      <c r="D41" s="110" t="s">
        <v>4871</v>
      </c>
      <c r="E41" s="46" t="s">
        <v>99</v>
      </c>
      <c r="F41" s="46" t="s">
        <v>4872</v>
      </c>
      <c r="G41" s="142" t="n">
        <v>46064</v>
      </c>
      <c r="H41" s="46" t="s">
        <v>692</v>
      </c>
      <c r="I41" s="138" t="str">
        <f aca="false">IFERROR(VLOOKUP(TEXT(H41,"0"),IPRESS!$A$3:$B$212,2,0),"")</f>
        <v>TINGO</v>
      </c>
      <c r="J41" s="46" t="s">
        <v>755</v>
      </c>
      <c r="K41" s="138" t="s">
        <v>14</v>
      </c>
      <c r="L41" s="44" t="n">
        <v>18.18</v>
      </c>
      <c r="M41" s="44" t="n">
        <v>5</v>
      </c>
      <c r="N41" s="139" t="n">
        <f aca="false">IFERROR(IF(L41*M41=0,"",L41*M41),"")</f>
        <v>90.9</v>
      </c>
      <c r="O41" s="46" t="s">
        <v>263</v>
      </c>
      <c r="P41" s="138" t="str">
        <f aca="false">IFERROR(VLOOKUP(TEXT(O41,"0"),CONDUCTORES!$A$3:$G$100,2,0),"")</f>
        <v>VILCARROMERO TORREJON HERMERSON</v>
      </c>
      <c r="Q41" s="138" t="str">
        <f aca="false">IFERROR(VLOOKUP(TEXT(O41,"0"),CONDUCTORES!$A$3:$H$100,6,0),"")</f>
        <v>EUD-917</v>
      </c>
      <c r="R41" s="85"/>
      <c r="S41" s="110" t="s">
        <v>4873</v>
      </c>
      <c r="T41" s="46" t="s">
        <v>758</v>
      </c>
      <c r="U41" s="85"/>
      <c r="V41" s="110"/>
      <c r="W41" s="46"/>
      <c r="X41" s="46"/>
      <c r="Y41" s="85"/>
      <c r="Z41" s="157" t="str">
        <f aca="false">IF(AND(R41&lt;&gt;"",V41&lt;&gt;"",W41&lt;&gt;""),"ENTREGADO","POR RECOGER")</f>
        <v>POR RECOGER</v>
      </c>
      <c r="AA41" s="4"/>
      <c r="AB41" s="4"/>
      <c r="AC41" s="4"/>
    </row>
    <row r="42" customFormat="false" ht="15.75" hidden="false" customHeight="true" outlineLevel="0" collapsed="false">
      <c r="A42" s="106" t="n">
        <v>37</v>
      </c>
      <c r="B42" s="107" t="s">
        <v>2563</v>
      </c>
      <c r="C42" s="106" t="s">
        <v>752</v>
      </c>
      <c r="D42" s="107" t="s">
        <v>4874</v>
      </c>
      <c r="E42" s="136" t="s">
        <v>99</v>
      </c>
      <c r="F42" s="106" t="s">
        <v>4875</v>
      </c>
      <c r="G42" s="137" t="n">
        <v>46064</v>
      </c>
      <c r="H42" s="106" t="s">
        <v>581</v>
      </c>
      <c r="I42" s="138" t="str">
        <f aca="false">IFERROR(VLOOKUP(TEXT(H42,"0"),IPRESS!$A$3:$B$212,2,0),"")</f>
        <v>PEDRO RUIZ GALLO</v>
      </c>
      <c r="J42" s="106" t="s">
        <v>755</v>
      </c>
      <c r="K42" s="138" t="s">
        <v>14</v>
      </c>
      <c r="L42" s="50" t="n">
        <v>18.18</v>
      </c>
      <c r="M42" s="50" t="n">
        <v>5</v>
      </c>
      <c r="N42" s="139" t="n">
        <f aca="false">IFERROR(IF(L42*M42=0,"",L42*M42),"")</f>
        <v>90.9</v>
      </c>
      <c r="O42" s="106" t="s">
        <v>234</v>
      </c>
      <c r="P42" s="138" t="str">
        <f aca="false">IFERROR(VLOOKUP(TEXT(O42,"0"),CONDUCTORES!$A$3:$G$100,2,0),"")</f>
        <v>MONTENEGRO RUIZ LUIS MIGUEL</v>
      </c>
      <c r="Q42" s="138" t="str">
        <f aca="false">IFERROR(VLOOKUP(TEXT(O42,"0"),CONDUCTORES!$A$3:$H$100,6,0),"")</f>
        <v>EUH-427</v>
      </c>
      <c r="R42" s="140"/>
      <c r="S42" s="107" t="s">
        <v>4876</v>
      </c>
      <c r="T42" s="136" t="s">
        <v>758</v>
      </c>
      <c r="U42" s="140"/>
      <c r="V42" s="107"/>
      <c r="W42" s="106"/>
      <c r="X42" s="106"/>
      <c r="Y42" s="85"/>
      <c r="Z42" s="157" t="str">
        <f aca="false">IF(AND(R42&lt;&gt;"",V42&lt;&gt;"",W42&lt;&gt;""),"ENTREGADO","POR RECOGER")</f>
        <v>POR RECOGER</v>
      </c>
      <c r="AA42" s="4"/>
      <c r="AB42" s="4"/>
      <c r="AC42" s="4"/>
    </row>
    <row r="43" customFormat="false" ht="15.75" hidden="false" customHeight="true" outlineLevel="0" collapsed="false">
      <c r="A43" s="46" t="n">
        <v>38</v>
      </c>
      <c r="B43" s="110" t="s">
        <v>2093</v>
      </c>
      <c r="C43" s="46" t="s">
        <v>752</v>
      </c>
      <c r="D43" s="110" t="s">
        <v>4877</v>
      </c>
      <c r="E43" s="46" t="s">
        <v>99</v>
      </c>
      <c r="F43" s="46" t="s">
        <v>4878</v>
      </c>
      <c r="G43" s="142" t="n">
        <v>46064</v>
      </c>
      <c r="H43" s="46" t="s">
        <v>480</v>
      </c>
      <c r="I43" s="138" t="str">
        <f aca="false">IFERROR(VLOOKUP(TEXT(H43,"0"),IPRESS!$A$3:$B$212,2,0),"")</f>
        <v>JALCA GRANDE</v>
      </c>
      <c r="J43" s="46" t="s">
        <v>755</v>
      </c>
      <c r="K43" s="138" t="s">
        <v>14</v>
      </c>
      <c r="L43" s="44" t="n">
        <v>18.18</v>
      </c>
      <c r="M43" s="44" t="n">
        <v>7</v>
      </c>
      <c r="N43" s="139" t="n">
        <f aca="false">IFERROR(IF(L43*M43=0,"",L43*M43),"")</f>
        <v>127.26</v>
      </c>
      <c r="O43" s="46" t="s">
        <v>159</v>
      </c>
      <c r="P43" s="138" t="str">
        <f aca="false">IFERROR(VLOOKUP(TEXT(O43,"0"),CONDUCTORES!$A$3:$G$100,2,0),"")</f>
        <v>LEIVA LARA JUNIOR</v>
      </c>
      <c r="Q43" s="138" t="str">
        <f aca="false">IFERROR(VLOOKUP(TEXT(O43,"0"),CONDUCTORES!$A$3:$H$100,6,0),"")</f>
        <v>EUC 959</v>
      </c>
      <c r="R43" s="85"/>
      <c r="S43" s="110" t="s">
        <v>4879</v>
      </c>
      <c r="T43" s="46" t="s">
        <v>758</v>
      </c>
      <c r="U43" s="85"/>
      <c r="V43" s="110"/>
      <c r="W43" s="46"/>
      <c r="X43" s="46"/>
      <c r="Y43" s="85"/>
      <c r="Z43" s="157" t="str">
        <f aca="false">IF(AND(R43&lt;&gt;"",V43&lt;&gt;"",W43&lt;&gt;""),"ENTREGADO","POR RECOGER")</f>
        <v>POR RECOGER</v>
      </c>
      <c r="AA43" s="4"/>
      <c r="AB43" s="4"/>
      <c r="AC43" s="4"/>
    </row>
    <row r="44" customFormat="false" ht="15.75" hidden="false" customHeight="true" outlineLevel="0" collapsed="false">
      <c r="A44" s="106" t="n">
        <v>39</v>
      </c>
      <c r="B44" s="107" t="s">
        <v>2305</v>
      </c>
      <c r="C44" s="106" t="s">
        <v>752</v>
      </c>
      <c r="D44" s="107" t="s">
        <v>4880</v>
      </c>
      <c r="E44" s="136" t="s">
        <v>99</v>
      </c>
      <c r="F44" s="106" t="s">
        <v>4881</v>
      </c>
      <c r="G44" s="137" t="n">
        <v>46064</v>
      </c>
      <c r="H44" s="106" t="s">
        <v>595</v>
      </c>
      <c r="I44" s="138" t="str">
        <f aca="false">IFERROR(VLOOKUP(TEXT(H44,"0"),IPRESS!$A$3:$B$212,2,0),"")</f>
        <v>POMACOCHAS</v>
      </c>
      <c r="J44" s="106" t="s">
        <v>755</v>
      </c>
      <c r="K44" s="138" t="s">
        <v>14</v>
      </c>
      <c r="L44" s="50" t="n">
        <v>18.18</v>
      </c>
      <c r="M44" s="50" t="n">
        <v>6</v>
      </c>
      <c r="N44" s="139" t="n">
        <f aca="false">IFERROR(IF(L44*M44=0,"",L44*M44),"")</f>
        <v>109.08</v>
      </c>
      <c r="O44" s="106" t="s">
        <v>243</v>
      </c>
      <c r="P44" s="138" t="str">
        <f aca="false">IFERROR(VLOOKUP(TEXT(O44,"0"),CONDUCTORES!$A$3:$G$100,2,0),"")</f>
        <v>CHICANA LOPEZ MANUEL HECTOR</v>
      </c>
      <c r="Q44" s="138" t="str">
        <f aca="false">IFERROR(VLOOKUP(TEXT(O44,"0"),CONDUCTORES!$A$3:$H$100,6,0),"")</f>
        <v>EUH747</v>
      </c>
      <c r="R44" s="140"/>
      <c r="S44" s="107" t="s">
        <v>4882</v>
      </c>
      <c r="T44" s="136" t="s">
        <v>758</v>
      </c>
      <c r="U44" s="140"/>
      <c r="V44" s="107"/>
      <c r="W44" s="106"/>
      <c r="X44" s="106"/>
      <c r="Y44" s="85"/>
      <c r="Z44" s="157" t="str">
        <f aca="false">IF(AND(R44&lt;&gt;"",V44&lt;&gt;"",W44&lt;&gt;""),"ENTREGADO","POR RECOGER")</f>
        <v>POR RECOGER</v>
      </c>
      <c r="AA44" s="4"/>
      <c r="AB44" s="4"/>
      <c r="AC44" s="4"/>
    </row>
    <row r="45" customFormat="false" ht="15.75" hidden="false" customHeight="true" outlineLevel="0" collapsed="false">
      <c r="A45" s="143" t="n">
        <v>40</v>
      </c>
      <c r="B45" s="144" t="s">
        <v>896</v>
      </c>
      <c r="C45" s="143" t="s">
        <v>752</v>
      </c>
      <c r="D45" s="144" t="s">
        <v>4883</v>
      </c>
      <c r="E45" s="143" t="s">
        <v>99</v>
      </c>
      <c r="F45" s="143" t="s">
        <v>4884</v>
      </c>
      <c r="G45" s="145" t="n">
        <v>46065</v>
      </c>
      <c r="H45" s="143" t="s">
        <v>350</v>
      </c>
      <c r="I45" s="138" t="str">
        <f aca="false">IFERROR(VLOOKUP(TEXT(H45,"0"),IPRESS!$A$3:$B$212,2,0),"")</f>
        <v>BUENOS AIRES</v>
      </c>
      <c r="J45" s="143" t="s">
        <v>595</v>
      </c>
      <c r="K45" s="164" t="s">
        <v>16</v>
      </c>
      <c r="L45" s="146" t="n">
        <v>17.95</v>
      </c>
      <c r="M45" s="146" t="n">
        <v>5</v>
      </c>
      <c r="N45" s="139" t="n">
        <f aca="false">IFERROR(IF(L45*M45=0,"",L45*M45),"")</f>
        <v>89.75</v>
      </c>
      <c r="O45" s="77" t="s">
        <v>301</v>
      </c>
      <c r="P45" s="138" t="str">
        <f aca="false">IFERROR(VLOOKUP(TEXT(O45,"0"),CONDUCTORES!$A$3:$G$100,2,0),"")</f>
        <v>RONAL SAUCEDO GUEVARA</v>
      </c>
      <c r="Q45" s="138" t="str">
        <f aca="false">IFERROR(VLOOKUP(TEXT(O45,"0"),CONDUCTORES!$A$3:$H$100,6,0),"")</f>
        <v>EUB-067</v>
      </c>
      <c r="R45" s="147"/>
      <c r="S45" s="144" t="s">
        <v>4885</v>
      </c>
      <c r="T45" s="143" t="s">
        <v>758</v>
      </c>
      <c r="U45" s="147"/>
      <c r="V45" s="144"/>
      <c r="W45" s="143"/>
      <c r="X45" s="143"/>
      <c r="Y45" s="85"/>
      <c r="Z45" s="157" t="str">
        <f aca="false">IF(AND(R45&lt;&gt;"",V45&lt;&gt;"",W45&lt;&gt;""),"ENTREGADO","POR RECOGER")</f>
        <v>POR RECOGER</v>
      </c>
      <c r="AA45" s="4"/>
      <c r="AB45" s="4"/>
      <c r="AC45" s="4"/>
    </row>
    <row r="46" customFormat="false" ht="15.75" hidden="false" customHeight="true" outlineLevel="0" collapsed="false">
      <c r="A46" s="106" t="n">
        <v>41</v>
      </c>
      <c r="B46" s="107" t="s">
        <v>4886</v>
      </c>
      <c r="C46" s="106" t="s">
        <v>752</v>
      </c>
      <c r="D46" s="107" t="s">
        <v>4887</v>
      </c>
      <c r="E46" s="136" t="s">
        <v>99</v>
      </c>
      <c r="F46" s="106" t="s">
        <v>4888</v>
      </c>
      <c r="G46" s="137" t="n">
        <v>46066</v>
      </c>
      <c r="H46" s="106" t="s">
        <v>529</v>
      </c>
      <c r="I46" s="138" t="str">
        <f aca="false">IFERROR(VLOOKUP(TEXT(H46,"0"),IPRESS!$A$3:$B$212,2,0),"")</f>
        <v>MARIA AUXILIADORA</v>
      </c>
      <c r="J46" s="106" t="s">
        <v>755</v>
      </c>
      <c r="K46" s="138" t="s">
        <v>14</v>
      </c>
      <c r="L46" s="50" t="n">
        <v>20.25</v>
      </c>
      <c r="M46" s="50" t="n">
        <v>7</v>
      </c>
      <c r="N46" s="139" t="n">
        <f aca="false">IFERROR(IF(L46*M46=0,"",L46*M46),"")</f>
        <v>141.75</v>
      </c>
      <c r="O46" s="106" t="s">
        <v>139</v>
      </c>
      <c r="P46" s="138" t="str">
        <f aca="false">IFERROR(VLOOKUP(TEXT(O46,"0"),CONDUCTORES!$A$3:$G$100,2,0),"")</f>
        <v>PORTOCARRERO PELAEZ MIGUEL ANTONIO</v>
      </c>
      <c r="Q46" s="138" t="str">
        <f aca="false">IFERROR(VLOOKUP(TEXT(O46,"0"),CONDUCTORES!$A$3:$H$100,6,0),"")</f>
        <v>EUH-421</v>
      </c>
      <c r="R46" s="140"/>
      <c r="S46" s="107" t="s">
        <v>1085</v>
      </c>
      <c r="T46" s="136" t="s">
        <v>758</v>
      </c>
      <c r="U46" s="140"/>
      <c r="V46" s="107"/>
      <c r="W46" s="106"/>
      <c r="X46" s="106"/>
      <c r="Y46" s="85"/>
      <c r="Z46" s="157" t="str">
        <f aca="false">IF(AND(R46&lt;&gt;"",V46&lt;&gt;"",W46&lt;&gt;""),"ENTREGADO","POR RECOGER")</f>
        <v>POR RECOGER</v>
      </c>
      <c r="AA46" s="4"/>
      <c r="AB46" s="4"/>
      <c r="AC46" s="4"/>
    </row>
    <row r="47" customFormat="false" ht="15.75" hidden="false" customHeight="true" outlineLevel="0" collapsed="false">
      <c r="A47" s="46" t="n">
        <v>42</v>
      </c>
      <c r="B47" s="110" t="s">
        <v>1197</v>
      </c>
      <c r="C47" s="46" t="s">
        <v>752</v>
      </c>
      <c r="D47" s="110" t="s">
        <v>4889</v>
      </c>
      <c r="E47" s="46" t="s">
        <v>99</v>
      </c>
      <c r="F47" s="46" t="s">
        <v>4890</v>
      </c>
      <c r="G47" s="142" t="n">
        <v>46066</v>
      </c>
      <c r="H47" s="46" t="s">
        <v>572</v>
      </c>
      <c r="I47" s="138" t="str">
        <f aca="false">IFERROR(VLOOKUP(TEXT(H47,"0"),IPRESS!$A$3:$B$212,2,0),"")</f>
        <v>OMIA</v>
      </c>
      <c r="J47" s="46" t="s">
        <v>529</v>
      </c>
      <c r="K47" s="138" t="s">
        <v>14</v>
      </c>
      <c r="L47" s="44" t="n">
        <v>20.25</v>
      </c>
      <c r="M47" s="44" t="n">
        <v>3</v>
      </c>
      <c r="N47" s="139" t="n">
        <f aca="false">IFERROR(IF(L47*M47=0,"",L47*M47),"")</f>
        <v>60.75</v>
      </c>
      <c r="O47" s="46" t="s">
        <v>225</v>
      </c>
      <c r="P47" s="138" t="str">
        <f aca="false">IFERROR(VLOOKUP(TEXT(O47,"0"),CONDUCTORES!$A$3:$G$100,2,0),"")</f>
        <v>LOPEZ VARGAS HUBER</v>
      </c>
      <c r="Q47" s="138" t="str">
        <f aca="false">IFERROR(VLOOKUP(TEXT(O47,"0"),CONDUCTORES!$A$3:$H$100,6,0),"")</f>
        <v>EUH 634</v>
      </c>
      <c r="R47" s="85"/>
      <c r="S47" s="110" t="s">
        <v>1752</v>
      </c>
      <c r="T47" s="46" t="s">
        <v>758</v>
      </c>
      <c r="U47" s="85"/>
      <c r="V47" s="110"/>
      <c r="W47" s="46"/>
      <c r="X47" s="46"/>
      <c r="Y47" s="85"/>
      <c r="Z47" s="157" t="str">
        <f aca="false">IF(AND(R47&lt;&gt;"",V47&lt;&gt;"",W47&lt;&gt;""),"ENTREGADO","POR RECOGER")</f>
        <v>POR RECOGER</v>
      </c>
      <c r="AA47" s="4"/>
      <c r="AB47" s="4"/>
      <c r="AC47" s="4"/>
    </row>
    <row r="48" customFormat="false" ht="15.75" hidden="false" customHeight="true" outlineLevel="0" collapsed="false">
      <c r="A48" s="106" t="n">
        <v>43</v>
      </c>
      <c r="B48" s="107" t="s">
        <v>1376</v>
      </c>
      <c r="C48" s="106" t="s">
        <v>752</v>
      </c>
      <c r="D48" s="107" t="s">
        <v>2817</v>
      </c>
      <c r="E48" s="136" t="s">
        <v>99</v>
      </c>
      <c r="F48" s="106" t="s">
        <v>2818</v>
      </c>
      <c r="G48" s="137" t="n">
        <v>46066</v>
      </c>
      <c r="H48" s="106" t="s">
        <v>717</v>
      </c>
      <c r="I48" s="138" t="str">
        <f aca="false">IFERROR(VLOOKUP(TEXT(H48,"0"),IPRESS!$A$3:$B$212,2,0),"")</f>
        <v>YERBABUENA</v>
      </c>
      <c r="J48" s="106" t="s">
        <v>755</v>
      </c>
      <c r="K48" s="138" t="s">
        <v>14</v>
      </c>
      <c r="L48" s="50" t="n">
        <v>18.18</v>
      </c>
      <c r="M48" s="50" t="n">
        <v>6</v>
      </c>
      <c r="N48" s="139" t="n">
        <f aca="false">IFERROR(IF(L48*M48=0,"",L48*M48),"")</f>
        <v>109.08</v>
      </c>
      <c r="O48" s="106" t="s">
        <v>280</v>
      </c>
      <c r="P48" s="138" t="str">
        <f aca="false">IFERROR(VLOOKUP(TEXT(O48,"0"),CONDUCTORES!$A$3:$G$100,2,0),"")</f>
        <v>SANCHEZ CAJO VICENTE</v>
      </c>
      <c r="Q48" s="138" t="str">
        <f aca="false">IFERROR(VLOOKUP(TEXT(O48,"0"),CONDUCTORES!$A$3:$H$100,6,0),"")</f>
        <v>EGL-296</v>
      </c>
      <c r="R48" s="140"/>
      <c r="S48" s="107" t="s">
        <v>3488</v>
      </c>
      <c r="T48" s="136" t="s">
        <v>758</v>
      </c>
      <c r="U48" s="140"/>
      <c r="V48" s="107"/>
      <c r="W48" s="106"/>
      <c r="X48" s="106"/>
      <c r="Y48" s="85"/>
      <c r="Z48" s="157" t="str">
        <f aca="false">IF(AND(R48&lt;&gt;"",V48&lt;&gt;"",W48&lt;&gt;""),"ENTREGADO","POR RECOGER")</f>
        <v>POR RECOGER</v>
      </c>
      <c r="AA48" s="4"/>
      <c r="AB48" s="4"/>
      <c r="AC48" s="4"/>
    </row>
    <row r="49" customFormat="false" ht="15.75" hidden="false" customHeight="true" outlineLevel="0" collapsed="false">
      <c r="A49" s="158" t="n">
        <v>44</v>
      </c>
      <c r="B49" s="159" t="s">
        <v>787</v>
      </c>
      <c r="C49" s="158" t="s">
        <v>752</v>
      </c>
      <c r="D49" s="159" t="s">
        <v>4891</v>
      </c>
      <c r="E49" s="158" t="s">
        <v>99</v>
      </c>
      <c r="F49" s="158" t="s">
        <v>4892</v>
      </c>
      <c r="G49" s="160" t="n">
        <v>46066</v>
      </c>
      <c r="H49" s="158" t="s">
        <v>647</v>
      </c>
      <c r="I49" s="138" t="str">
        <f aca="false">IFERROR(VLOOKUP(TEXT(H49,"0"),IPRESS!$A$3:$B$212,2,0),"")</f>
        <v>SAN JUAN DE PROVIDENCIA</v>
      </c>
      <c r="J49" s="158" t="s">
        <v>581</v>
      </c>
      <c r="K49" s="164" t="s">
        <v>16</v>
      </c>
      <c r="L49" s="161" t="n">
        <v>17.95</v>
      </c>
      <c r="M49" s="161" t="n">
        <v>16</v>
      </c>
      <c r="N49" s="139" t="n">
        <f aca="false">IFERROR(IF(L49*M49=0,"",L49*M49),"")</f>
        <v>287.2</v>
      </c>
      <c r="O49" s="158" t="s">
        <v>257</v>
      </c>
      <c r="P49" s="138" t="str">
        <f aca="false">IFERROR(VLOOKUP(TEXT(O49,"0"),CONDUCTORES!$A$3:$G$100,2,0),"")</f>
        <v>EDINSON CARRASCO VELA</v>
      </c>
      <c r="Q49" s="138" t="str">
        <f aca="false">IFERROR(VLOOKUP(TEXT(O49,"0"),CONDUCTORES!$A$3:$H$100,6,0),"")</f>
        <v>EUE-457</v>
      </c>
      <c r="R49" s="162"/>
      <c r="S49" s="159" t="s">
        <v>2133</v>
      </c>
      <c r="T49" s="158" t="s">
        <v>758</v>
      </c>
      <c r="U49" s="162"/>
      <c r="V49" s="159"/>
      <c r="W49" s="158"/>
      <c r="X49" s="158"/>
      <c r="Y49" s="163" t="s">
        <v>262</v>
      </c>
      <c r="Z49" s="157" t="str">
        <f aca="false">IF(AND(R49&lt;&gt;"",V49&lt;&gt;"",W49&lt;&gt;""),"ENTREGADO","POR RECOGER")</f>
        <v>POR RECOGER</v>
      </c>
      <c r="AA49" s="4"/>
      <c r="AB49" s="4"/>
      <c r="AC49" s="4"/>
    </row>
    <row r="50" customFormat="false" ht="15.75" hidden="false" customHeight="true" outlineLevel="0" collapsed="false">
      <c r="A50" s="158" t="n">
        <v>45</v>
      </c>
      <c r="B50" s="159" t="s">
        <v>919</v>
      </c>
      <c r="C50" s="158" t="s">
        <v>752</v>
      </c>
      <c r="D50" s="159" t="s">
        <v>4893</v>
      </c>
      <c r="E50" s="158" t="s">
        <v>99</v>
      </c>
      <c r="F50" s="158" t="s">
        <v>4894</v>
      </c>
      <c r="G50" s="160" t="n">
        <v>46066</v>
      </c>
      <c r="H50" s="158" t="s">
        <v>693</v>
      </c>
      <c r="I50" s="138" t="str">
        <f aca="false">IFERROR(VLOOKUP(TEXT(H50,"0"),IPRESS!$A$3:$B$212,2,0),"")</f>
        <v>TINTIN</v>
      </c>
      <c r="J50" s="158" t="s">
        <v>755</v>
      </c>
      <c r="K50" s="138" t="s">
        <v>14</v>
      </c>
      <c r="L50" s="161" t="n">
        <v>18.18</v>
      </c>
      <c r="M50" s="161" t="n">
        <v>10</v>
      </c>
      <c r="N50" s="139" t="n">
        <f aca="false">IFERROR(IF(L50*M50=0,"",L50*M50),"")</f>
        <v>181.8</v>
      </c>
      <c r="O50" s="158" t="s">
        <v>252</v>
      </c>
      <c r="P50" s="138" t="str">
        <f aca="false">IFERROR(VLOOKUP(TEXT(O50,"0"),CONDUCTORES!$A$3:$G$100,2,0),"")</f>
        <v>JULCA RITUAY ROGER</v>
      </c>
      <c r="Q50" s="138" t="str">
        <f aca="false">IFERROR(VLOOKUP(TEXT(O50,"0"),CONDUCTORES!$A$3:$H$100,6,0),"")</f>
        <v>EUH 414</v>
      </c>
      <c r="R50" s="162"/>
      <c r="S50" s="159" t="s">
        <v>4895</v>
      </c>
      <c r="T50" s="158" t="s">
        <v>758</v>
      </c>
      <c r="U50" s="162"/>
      <c r="V50" s="159"/>
      <c r="W50" s="158"/>
      <c r="X50" s="158"/>
      <c r="Y50" s="163" t="s">
        <v>75</v>
      </c>
      <c r="Z50" s="157" t="str">
        <f aca="false">IF(AND(R50&lt;&gt;"",V50&lt;&gt;"",W50&lt;&gt;""),"ENTREGADO","POR RECOGER")</f>
        <v>POR RECOGER</v>
      </c>
      <c r="AA50" s="4"/>
      <c r="AB50" s="4"/>
      <c r="AC50" s="4"/>
    </row>
    <row r="51" customFormat="false" ht="15.75" hidden="false" customHeight="true" outlineLevel="0" collapsed="false">
      <c r="A51" s="46" t="n">
        <v>46</v>
      </c>
      <c r="B51" s="110" t="s">
        <v>4896</v>
      </c>
      <c r="C51" s="46" t="s">
        <v>752</v>
      </c>
      <c r="D51" s="110" t="s">
        <v>4897</v>
      </c>
      <c r="E51" s="46" t="s">
        <v>99</v>
      </c>
      <c r="F51" s="46" t="s">
        <v>4898</v>
      </c>
      <c r="G51" s="142" t="n">
        <v>46066</v>
      </c>
      <c r="H51" s="46" t="s">
        <v>529</v>
      </c>
      <c r="I51" s="138" t="str">
        <f aca="false">IFERROR(VLOOKUP(TEXT(H51,"0"),IPRESS!$A$3:$B$212,2,0),"")</f>
        <v>MARIA AUXILIADORA</v>
      </c>
      <c r="J51" s="46" t="s">
        <v>755</v>
      </c>
      <c r="K51" s="138" t="s">
        <v>14</v>
      </c>
      <c r="L51" s="44" t="n">
        <v>20.25</v>
      </c>
      <c r="M51" s="44" t="n">
        <v>7</v>
      </c>
      <c r="N51" s="139" t="n">
        <f aca="false">IFERROR(IF(L51*M51=0,"",L51*M51),"")</f>
        <v>141.75</v>
      </c>
      <c r="O51" s="46" t="s">
        <v>145</v>
      </c>
      <c r="P51" s="138" t="str">
        <f aca="false">IFERROR(VLOOKUP(TEXT(O51,"0"),CONDUCTORES!$A$3:$G$100,2,0),"")</f>
        <v>SERNAQUE PELAEZ WILMER</v>
      </c>
      <c r="Q51" s="138" t="str">
        <f aca="false">IFERROR(VLOOKUP(TEXT(O51,"0"),CONDUCTORES!$A$3:$H$100,6,0),"")</f>
        <v>EUH-421</v>
      </c>
      <c r="R51" s="85"/>
      <c r="S51" s="110" t="s">
        <v>4899</v>
      </c>
      <c r="T51" s="46" t="s">
        <v>758</v>
      </c>
      <c r="U51" s="85"/>
      <c r="V51" s="110"/>
      <c r="W51" s="46"/>
      <c r="X51" s="46"/>
      <c r="Y51" s="85"/>
      <c r="Z51" s="157" t="str">
        <f aca="false">IF(AND(R51&lt;&gt;"",V51&lt;&gt;"",W51&lt;&gt;""),"ENTREGADO","POR RECOGER")</f>
        <v>POR RECOGER</v>
      </c>
      <c r="AA51" s="4"/>
      <c r="AB51" s="4"/>
      <c r="AC51" s="4"/>
    </row>
    <row r="52" customFormat="false" ht="15.75" hidden="false" customHeight="true" outlineLevel="0" collapsed="false">
      <c r="A52" s="143" t="n">
        <v>47</v>
      </c>
      <c r="B52" s="144" t="s">
        <v>836</v>
      </c>
      <c r="C52" s="143" t="s">
        <v>752</v>
      </c>
      <c r="D52" s="144" t="s">
        <v>4900</v>
      </c>
      <c r="E52" s="143" t="s">
        <v>99</v>
      </c>
      <c r="F52" s="143" t="s">
        <v>4901</v>
      </c>
      <c r="G52" s="145" t="n">
        <v>46067</v>
      </c>
      <c r="H52" s="143" t="s">
        <v>622</v>
      </c>
      <c r="I52" s="138" t="str">
        <f aca="false">IFERROR(VLOOKUP(TEXT(H52,"0"),IPRESS!$A$3:$B$212,2,0),"")</f>
        <v>SALAZAR</v>
      </c>
      <c r="J52" s="143" t="s">
        <v>581</v>
      </c>
      <c r="K52" s="164" t="s">
        <v>16</v>
      </c>
      <c r="L52" s="146" t="n">
        <v>17.95</v>
      </c>
      <c r="M52" s="146" t="n">
        <v>16</v>
      </c>
      <c r="N52" s="139" t="n">
        <f aca="false">IFERROR(IF(L52*M52=0,"",L52*M52),"")</f>
        <v>287.2</v>
      </c>
      <c r="O52" s="143" t="s">
        <v>257</v>
      </c>
      <c r="P52" s="138" t="str">
        <f aca="false">IFERROR(VLOOKUP(TEXT(O52,"0"),CONDUCTORES!$A$3:$G$100,2,0),"")</f>
        <v>EDINSON CARRASCO VELA</v>
      </c>
      <c r="Q52" s="138" t="str">
        <f aca="false">IFERROR(VLOOKUP(TEXT(O52,"0"),CONDUCTORES!$A$3:$H$100,6,0),"")</f>
        <v>EUE-457</v>
      </c>
      <c r="R52" s="147"/>
      <c r="S52" s="144" t="s">
        <v>4902</v>
      </c>
      <c r="T52" s="143" t="s">
        <v>758</v>
      </c>
      <c r="U52" s="147"/>
      <c r="V52" s="144"/>
      <c r="W52" s="143"/>
      <c r="X52" s="143"/>
      <c r="Y52" s="85"/>
      <c r="Z52" s="157" t="str">
        <f aca="false">IF(AND(R52&lt;&gt;"",V52&lt;&gt;"",W52&lt;&gt;""),"ENTREGADO","POR RECOGER")</f>
        <v>POR RECOGER</v>
      </c>
      <c r="AA52" s="4"/>
      <c r="AB52" s="4"/>
      <c r="AC52" s="4"/>
    </row>
    <row r="53" customFormat="false" ht="15.75" hidden="false" customHeight="true" outlineLevel="0" collapsed="false">
      <c r="A53" s="46" t="n">
        <v>48</v>
      </c>
      <c r="B53" s="110" t="s">
        <v>2573</v>
      </c>
      <c r="C53" s="46" t="s">
        <v>752</v>
      </c>
      <c r="D53" s="110" t="s">
        <v>4903</v>
      </c>
      <c r="E53" s="46" t="s">
        <v>99</v>
      </c>
      <c r="F53" s="46" t="s">
        <v>4904</v>
      </c>
      <c r="G53" s="142" t="n">
        <v>46067</v>
      </c>
      <c r="H53" s="46" t="s">
        <v>581</v>
      </c>
      <c r="I53" s="138" t="str">
        <f aca="false">IFERROR(VLOOKUP(TEXT(H53,"0"),IPRESS!$A$3:$B$212,2,0),"")</f>
        <v>PEDRO RUIZ GALLO</v>
      </c>
      <c r="J53" s="46" t="s">
        <v>755</v>
      </c>
      <c r="K53" s="138" t="s">
        <v>14</v>
      </c>
      <c r="L53" s="44" t="n">
        <v>18.18</v>
      </c>
      <c r="M53" s="44" t="n">
        <v>5</v>
      </c>
      <c r="N53" s="139" t="n">
        <f aca="false">IFERROR(IF(L53*M53=0,"",L53*M53),"")</f>
        <v>90.9</v>
      </c>
      <c r="O53" s="46" t="s">
        <v>234</v>
      </c>
      <c r="P53" s="138" t="str">
        <f aca="false">IFERROR(VLOOKUP(TEXT(O53,"0"),CONDUCTORES!$A$3:$G$100,2,0),"")</f>
        <v>MONTENEGRO RUIZ LUIS MIGUEL</v>
      </c>
      <c r="Q53" s="138" t="str">
        <f aca="false">IFERROR(VLOOKUP(TEXT(O53,"0"),CONDUCTORES!$A$3:$H$100,6,0),"")</f>
        <v>EUH-427</v>
      </c>
      <c r="R53" s="85"/>
      <c r="S53" s="110" t="s">
        <v>4905</v>
      </c>
      <c r="T53" s="46" t="s">
        <v>758</v>
      </c>
      <c r="U53" s="85"/>
      <c r="V53" s="110"/>
      <c r="W53" s="46"/>
      <c r="X53" s="46"/>
      <c r="Y53" s="85"/>
      <c r="Z53" s="157" t="str">
        <f aca="false">IF(AND(R53&lt;&gt;"",V53&lt;&gt;"",W53&lt;&gt;""),"ENTREGADO","POR RECOGER")</f>
        <v>POR RECOGER</v>
      </c>
      <c r="AA53" s="4"/>
      <c r="AB53" s="4"/>
      <c r="AC53" s="4"/>
    </row>
    <row r="54" customFormat="false" ht="15.75" hidden="false" customHeight="true" outlineLevel="0" collapsed="false">
      <c r="A54" s="106" t="n">
        <v>49</v>
      </c>
      <c r="B54" s="107" t="s">
        <v>2566</v>
      </c>
      <c r="C54" s="106" t="s">
        <v>752</v>
      </c>
      <c r="D54" s="107" t="s">
        <v>4900</v>
      </c>
      <c r="E54" s="136" t="s">
        <v>99</v>
      </c>
      <c r="F54" s="106" t="s">
        <v>4901</v>
      </c>
      <c r="G54" s="137" t="n">
        <v>46067</v>
      </c>
      <c r="H54" s="106" t="s">
        <v>581</v>
      </c>
      <c r="I54" s="138" t="str">
        <f aca="false">IFERROR(VLOOKUP(TEXT(H54,"0"),IPRESS!$A$3:$B$212,2,0),"")</f>
        <v>PEDRO RUIZ GALLO</v>
      </c>
      <c r="J54" s="106" t="s">
        <v>755</v>
      </c>
      <c r="K54" s="138" t="s">
        <v>14</v>
      </c>
      <c r="L54" s="50" t="n">
        <v>18.18</v>
      </c>
      <c r="M54" s="50" t="n">
        <v>5</v>
      </c>
      <c r="N54" s="139" t="n">
        <f aca="false">IFERROR(IF(L54*M54=0,"",L54*M54),"")</f>
        <v>90.9</v>
      </c>
      <c r="O54" s="106" t="s">
        <v>234</v>
      </c>
      <c r="P54" s="138" t="str">
        <f aca="false">IFERROR(VLOOKUP(TEXT(O54,"0"),CONDUCTORES!$A$3:$G$100,2,0),"")</f>
        <v>MONTENEGRO RUIZ LUIS MIGUEL</v>
      </c>
      <c r="Q54" s="138" t="str">
        <f aca="false">IFERROR(VLOOKUP(TEXT(O54,"0"),CONDUCTORES!$A$3:$H$100,6,0),"")</f>
        <v>EUH-427</v>
      </c>
      <c r="R54" s="140"/>
      <c r="S54" s="107" t="s">
        <v>4906</v>
      </c>
      <c r="T54" s="136" t="s">
        <v>758</v>
      </c>
      <c r="U54" s="140"/>
      <c r="V54" s="107"/>
      <c r="W54" s="106"/>
      <c r="X54" s="106"/>
      <c r="Y54" s="85"/>
      <c r="Z54" s="157" t="str">
        <f aca="false">IF(AND(R54&lt;&gt;"",V54&lt;&gt;"",W54&lt;&gt;""),"ENTREGADO","POR RECOGER")</f>
        <v>POR RECOGER</v>
      </c>
      <c r="AA54" s="4"/>
      <c r="AB54" s="4"/>
      <c r="AC54" s="4"/>
    </row>
    <row r="55" customFormat="false" ht="15.75" hidden="false" customHeight="true" outlineLevel="0" collapsed="false">
      <c r="A55" s="143" t="n">
        <v>50</v>
      </c>
      <c r="B55" s="144" t="s">
        <v>2570</v>
      </c>
      <c r="C55" s="143" t="s">
        <v>752</v>
      </c>
      <c r="D55" s="144" t="s">
        <v>4907</v>
      </c>
      <c r="E55" s="143" t="s">
        <v>99</v>
      </c>
      <c r="F55" s="143" t="s">
        <v>4908</v>
      </c>
      <c r="G55" s="145" t="n">
        <v>46067</v>
      </c>
      <c r="H55" s="143" t="s">
        <v>581</v>
      </c>
      <c r="I55" s="138" t="str">
        <f aca="false">IFERROR(VLOOKUP(TEXT(H55,"0"),IPRESS!$A$3:$B$212,2,0),"")</f>
        <v>PEDRO RUIZ GALLO</v>
      </c>
      <c r="J55" s="143" t="s">
        <v>755</v>
      </c>
      <c r="K55" s="164" t="s">
        <v>16</v>
      </c>
      <c r="L55" s="146" t="n">
        <v>17.95</v>
      </c>
      <c r="M55" s="146" t="n">
        <v>6</v>
      </c>
      <c r="N55" s="139" t="n">
        <f aca="false">IFERROR(IF(L55*M55=0,"",L55*M55),"")</f>
        <v>107.7</v>
      </c>
      <c r="O55" s="143" t="s">
        <v>230</v>
      </c>
      <c r="P55" s="138" t="str">
        <f aca="false">IFERROR(VLOOKUP(TEXT(O55,"0"),CONDUCTORES!$A$3:$G$100,2,0),"")</f>
        <v>MUNOZ VERGARAY JORGE ENRRIQUE</v>
      </c>
      <c r="Q55" s="138" t="str">
        <f aca="false">IFERROR(VLOOKUP(TEXT(O55,"0"),CONDUCTORES!$A$3:$H$100,6,0),"")</f>
        <v>EUH 427</v>
      </c>
      <c r="R55" s="147"/>
      <c r="S55" s="144" t="s">
        <v>4909</v>
      </c>
      <c r="T55" s="143" t="s">
        <v>758</v>
      </c>
      <c r="U55" s="147"/>
      <c r="V55" s="144"/>
      <c r="W55" s="143"/>
      <c r="X55" s="143"/>
      <c r="Y55" s="85"/>
      <c r="Z55" s="157" t="str">
        <f aca="false">IF(AND(R55&lt;&gt;"",V55&lt;&gt;"",W55&lt;&gt;""),"ENTREGADO","POR RECOGER")</f>
        <v>POR RECOGER</v>
      </c>
      <c r="AA55" s="4"/>
      <c r="AB55" s="4"/>
      <c r="AC55" s="4"/>
    </row>
    <row r="56" customFormat="false" ht="15.75" hidden="false" customHeight="true" outlineLevel="0" collapsed="false">
      <c r="A56" s="143" t="n">
        <v>51</v>
      </c>
      <c r="B56" s="144" t="s">
        <v>873</v>
      </c>
      <c r="C56" s="143" t="s">
        <v>752</v>
      </c>
      <c r="D56" s="144" t="s">
        <v>4910</v>
      </c>
      <c r="E56" s="143" t="s">
        <v>99</v>
      </c>
      <c r="F56" s="143" t="s">
        <v>4911</v>
      </c>
      <c r="G56" s="145" t="n">
        <v>46068</v>
      </c>
      <c r="H56" s="143" t="s">
        <v>622</v>
      </c>
      <c r="I56" s="138" t="str">
        <f aca="false">IFERROR(VLOOKUP(TEXT(H56,"0"),IPRESS!$A$3:$B$212,2,0),"")</f>
        <v>SALAZAR</v>
      </c>
      <c r="J56" s="143" t="s">
        <v>755</v>
      </c>
      <c r="K56" s="164" t="s">
        <v>16</v>
      </c>
      <c r="L56" s="146" t="n">
        <v>17.95</v>
      </c>
      <c r="M56" s="146" t="n">
        <v>20</v>
      </c>
      <c r="N56" s="139" t="n">
        <f aca="false">IFERROR(IF(L56*M56=0,"",L56*M56),"")</f>
        <v>359</v>
      </c>
      <c r="O56" s="143" t="s">
        <v>257</v>
      </c>
      <c r="P56" s="138" t="str">
        <f aca="false">IFERROR(VLOOKUP(TEXT(O56,"0"),CONDUCTORES!$A$3:$G$100,2,0),"")</f>
        <v>EDINSON CARRASCO VELA</v>
      </c>
      <c r="Q56" s="138" t="str">
        <f aca="false">IFERROR(VLOOKUP(TEXT(O56,"0"),CONDUCTORES!$A$3:$H$100,6,0),"")</f>
        <v>EUE-457</v>
      </c>
      <c r="R56" s="147"/>
      <c r="S56" s="144" t="s">
        <v>4007</v>
      </c>
      <c r="T56" s="143" t="s">
        <v>758</v>
      </c>
      <c r="U56" s="147"/>
      <c r="V56" s="144"/>
      <c r="W56" s="143"/>
      <c r="X56" s="143"/>
      <c r="Y56" s="85"/>
      <c r="Z56" s="157" t="str">
        <f aca="false">IF(AND(R56&lt;&gt;"",V56&lt;&gt;"",W56&lt;&gt;""),"ENTREGADO","POR RECOGER")</f>
        <v>POR RECOGER</v>
      </c>
      <c r="AA56" s="4"/>
      <c r="AB56" s="4"/>
      <c r="AC56" s="4"/>
    </row>
    <row r="57" customFormat="false" ht="15.75" hidden="false" customHeight="true" outlineLevel="0" collapsed="false">
      <c r="A57" s="46" t="n">
        <v>52</v>
      </c>
      <c r="B57" s="110"/>
      <c r="C57" s="46" t="s">
        <v>752</v>
      </c>
      <c r="D57" s="110" t="s">
        <v>4912</v>
      </c>
      <c r="E57" s="46" t="s">
        <v>99</v>
      </c>
      <c r="F57" s="46" t="s">
        <v>4913</v>
      </c>
      <c r="G57" s="142" t="n">
        <v>46068</v>
      </c>
      <c r="H57" s="46" t="s">
        <v>581</v>
      </c>
      <c r="I57" s="138" t="str">
        <f aca="false">IFERROR(VLOOKUP(TEXT(H57,"0"),IPRESS!$A$3:$B$212,2,0),"")</f>
        <v>PEDRO RUIZ GALLO</v>
      </c>
      <c r="J57" s="46" t="s">
        <v>755</v>
      </c>
      <c r="K57" s="138" t="s">
        <v>14</v>
      </c>
      <c r="L57" s="44" t="n">
        <v>18.18</v>
      </c>
      <c r="M57" s="44" t="n">
        <v>5</v>
      </c>
      <c r="N57" s="139" t="n">
        <f aca="false">IFERROR(IF(L57*M57=0,"",L57*M57),"")</f>
        <v>90.9</v>
      </c>
      <c r="O57" s="46" t="s">
        <v>234</v>
      </c>
      <c r="P57" s="138" t="str">
        <f aca="false">IFERROR(VLOOKUP(TEXT(O57,"0"),CONDUCTORES!$A$3:$G$100,2,0),"")</f>
        <v>MONTENEGRO RUIZ LUIS MIGUEL</v>
      </c>
      <c r="Q57" s="138" t="str">
        <f aca="false">IFERROR(VLOOKUP(TEXT(O57,"0"),CONDUCTORES!$A$3:$H$100,6,0),"")</f>
        <v>EUH-427</v>
      </c>
      <c r="R57" s="85"/>
      <c r="S57" s="110" t="s">
        <v>1295</v>
      </c>
      <c r="T57" s="46" t="s">
        <v>758</v>
      </c>
      <c r="U57" s="85"/>
      <c r="V57" s="110"/>
      <c r="W57" s="46"/>
      <c r="X57" s="46"/>
      <c r="Y57" s="85"/>
      <c r="Z57" s="157" t="str">
        <f aca="false">IF(AND(R57&lt;&gt;"",V57&lt;&gt;"",W57&lt;&gt;""),"ENTREGADO","POR RECOGER")</f>
        <v>POR RECOGER</v>
      </c>
      <c r="AA57" s="4"/>
      <c r="AB57" s="4"/>
      <c r="AC57" s="4"/>
    </row>
    <row r="58" customFormat="false" ht="15.75" hidden="false" customHeight="true" outlineLevel="0" collapsed="false">
      <c r="A58" s="106" t="n">
        <v>53</v>
      </c>
      <c r="B58" s="107"/>
      <c r="C58" s="106" t="s">
        <v>752</v>
      </c>
      <c r="D58" s="107" t="s">
        <v>4914</v>
      </c>
      <c r="E58" s="136" t="s">
        <v>99</v>
      </c>
      <c r="F58" s="106" t="s">
        <v>4915</v>
      </c>
      <c r="G58" s="137" t="n">
        <v>46068</v>
      </c>
      <c r="H58" s="106" t="s">
        <v>595</v>
      </c>
      <c r="I58" s="138" t="str">
        <f aca="false">IFERROR(VLOOKUP(TEXT(H58,"0"),IPRESS!$A$3:$B$212,2,0),"")</f>
        <v>POMACOCHAS</v>
      </c>
      <c r="J58" s="106" t="s">
        <v>755</v>
      </c>
      <c r="K58" s="138" t="s">
        <v>14</v>
      </c>
      <c r="L58" s="50" t="n">
        <v>18.18</v>
      </c>
      <c r="M58" s="50" t="n">
        <v>6</v>
      </c>
      <c r="N58" s="139" t="n">
        <f aca="false">IFERROR(IF(L58*M58=0,"",L58*M58),"")</f>
        <v>109.08</v>
      </c>
      <c r="O58" s="106" t="s">
        <v>248</v>
      </c>
      <c r="P58" s="138" t="str">
        <f aca="false">IFERROR(VLOOKUP(TEXT(O58,"0"),CONDUCTORES!$A$3:$G$100,2,0),"")</f>
        <v>CARRERA ARAUJO JEINER</v>
      </c>
      <c r="Q58" s="138" t="str">
        <f aca="false">IFERROR(VLOOKUP(TEXT(O58,"0"),CONDUCTORES!$A$3:$H$100,6,0),"")</f>
        <v>EUH747</v>
      </c>
      <c r="R58" s="140"/>
      <c r="S58" s="107" t="s">
        <v>4916</v>
      </c>
      <c r="T58" s="136" t="s">
        <v>758</v>
      </c>
      <c r="U58" s="140"/>
      <c r="V58" s="107"/>
      <c r="W58" s="106"/>
      <c r="X58" s="106"/>
      <c r="Y58" s="85"/>
      <c r="Z58" s="157" t="str">
        <f aca="false">IF(AND(R58&lt;&gt;"",V58&lt;&gt;"",W58&lt;&gt;""),"ENTREGADO","POR RECOGER")</f>
        <v>POR RECOGER</v>
      </c>
      <c r="AA58" s="4"/>
      <c r="AB58" s="4"/>
      <c r="AC58" s="4"/>
    </row>
    <row r="59" customFormat="false" ht="15.75" hidden="false" customHeight="true" outlineLevel="0" collapsed="false">
      <c r="A59" s="46" t="n">
        <v>54</v>
      </c>
      <c r="B59" s="110"/>
      <c r="C59" s="46" t="s">
        <v>752</v>
      </c>
      <c r="D59" s="110" t="s">
        <v>4917</v>
      </c>
      <c r="E59" s="46" t="s">
        <v>99</v>
      </c>
      <c r="F59" s="46" t="s">
        <v>4918</v>
      </c>
      <c r="G59" s="142" t="n">
        <v>46068</v>
      </c>
      <c r="H59" s="46" t="s">
        <v>595</v>
      </c>
      <c r="I59" s="138" t="str">
        <f aca="false">IFERROR(VLOOKUP(TEXT(H59,"0"),IPRESS!$A$3:$B$212,2,0),"")</f>
        <v>POMACOCHAS</v>
      </c>
      <c r="J59" s="46" t="s">
        <v>755</v>
      </c>
      <c r="K59" s="138" t="s">
        <v>14</v>
      </c>
      <c r="L59" s="44" t="n">
        <v>18.18</v>
      </c>
      <c r="M59" s="44" t="n">
        <v>6</v>
      </c>
      <c r="N59" s="139" t="n">
        <f aca="false">IFERROR(IF(L59*M59=0,"",L59*M59),"")</f>
        <v>109.08</v>
      </c>
      <c r="O59" s="46" t="s">
        <v>243</v>
      </c>
      <c r="P59" s="138" t="str">
        <f aca="false">IFERROR(VLOOKUP(TEXT(O59,"0"),CONDUCTORES!$A$3:$G$100,2,0),"")</f>
        <v>CHICANA LOPEZ MANUEL HECTOR</v>
      </c>
      <c r="Q59" s="138" t="str">
        <f aca="false">IFERROR(VLOOKUP(TEXT(O59,"0"),CONDUCTORES!$A$3:$H$100,6,0),"")</f>
        <v>EUH747</v>
      </c>
      <c r="R59" s="85"/>
      <c r="S59" s="110" t="s">
        <v>4919</v>
      </c>
      <c r="T59" s="46" t="s">
        <v>758</v>
      </c>
      <c r="U59" s="85"/>
      <c r="V59" s="110"/>
      <c r="W59" s="46"/>
      <c r="X59" s="46"/>
      <c r="Y59" s="85"/>
      <c r="Z59" s="157" t="str">
        <f aca="false">IF(AND(R59&lt;&gt;"",V59&lt;&gt;"",W59&lt;&gt;""),"ENTREGADO","POR RECOGER")</f>
        <v>POR RECOGER</v>
      </c>
      <c r="AA59" s="4"/>
      <c r="AB59" s="4"/>
      <c r="AC59" s="4"/>
    </row>
    <row r="60" customFormat="false" ht="15.75" hidden="false" customHeight="true" outlineLevel="0" collapsed="false">
      <c r="A60" s="106" t="n">
        <v>55</v>
      </c>
      <c r="B60" s="107"/>
      <c r="C60" s="106" t="s">
        <v>752</v>
      </c>
      <c r="D60" s="107" t="s">
        <v>2671</v>
      </c>
      <c r="E60" s="136" t="s">
        <v>99</v>
      </c>
      <c r="F60" s="106" t="s">
        <v>2672</v>
      </c>
      <c r="G60" s="137" t="n">
        <v>46069</v>
      </c>
      <c r="H60" s="106" t="s">
        <v>500</v>
      </c>
      <c r="I60" s="138" t="str">
        <f aca="false">IFERROR(VLOOKUP(TEXT(H60,"0"),IPRESS!$A$3:$B$212,2,0),"")</f>
        <v>LAMUD</v>
      </c>
      <c r="J60" s="106" t="s">
        <v>755</v>
      </c>
      <c r="K60" s="138" t="s">
        <v>14</v>
      </c>
      <c r="L60" s="50" t="n">
        <v>18.18</v>
      </c>
      <c r="M60" s="50" t="n">
        <v>4</v>
      </c>
      <c r="N60" s="139" t="n">
        <f aca="false">IFERROR(IF(L60*M60=0,"",L60*M60),"")</f>
        <v>72.72</v>
      </c>
      <c r="O60" s="106" t="s">
        <v>170</v>
      </c>
      <c r="P60" s="138" t="str">
        <f aca="false">IFERROR(VLOOKUP(TEXT(O60,"0"),CONDUCTORES!$A$3:$G$100,2,0),"")</f>
        <v>RUFASTO CHUQUIZUTA JUAN KAROOL</v>
      </c>
      <c r="Q60" s="138" t="str">
        <f aca="false">IFERROR(VLOOKUP(TEXT(O60,"0"),CONDUCTORES!$A$3:$H$100,6,0),"")</f>
        <v>EUA963</v>
      </c>
      <c r="R60" s="140"/>
      <c r="S60" s="107" t="s">
        <v>1044</v>
      </c>
      <c r="T60" s="136" t="s">
        <v>758</v>
      </c>
      <c r="U60" s="140"/>
      <c r="V60" s="107"/>
      <c r="W60" s="106"/>
      <c r="X60" s="106"/>
      <c r="Y60" s="85"/>
      <c r="Z60" s="157" t="str">
        <f aca="false">IF(AND(R60&lt;&gt;"",V60&lt;&gt;"",W60&lt;&gt;""),"ENTREGADO","POR RECOGER")</f>
        <v>POR RECOGER</v>
      </c>
      <c r="AA60" s="4"/>
      <c r="AB60" s="4"/>
      <c r="AC60" s="4"/>
    </row>
    <row r="61" customFormat="false" ht="15.75" hidden="false" customHeight="true" outlineLevel="0" collapsed="false">
      <c r="A61" s="46" t="n">
        <v>56</v>
      </c>
      <c r="B61" s="110"/>
      <c r="C61" s="46" t="s">
        <v>752</v>
      </c>
      <c r="D61" s="110" t="s">
        <v>4920</v>
      </c>
      <c r="E61" s="46" t="s">
        <v>99</v>
      </c>
      <c r="F61" s="46" t="s">
        <v>4921</v>
      </c>
      <c r="G61" s="142" t="n">
        <v>46069</v>
      </c>
      <c r="H61" s="46" t="s">
        <v>528</v>
      </c>
      <c r="I61" s="138" t="str">
        <f aca="false">IFERROR(VLOOKUP(TEXT(H61,"0"),IPRESS!$A$3:$B$212,2,0),"")</f>
        <v>MARIA</v>
      </c>
      <c r="J61" s="46" t="s">
        <v>755</v>
      </c>
      <c r="K61" s="138" t="s">
        <v>14</v>
      </c>
      <c r="L61" s="44" t="n">
        <v>18.18</v>
      </c>
      <c r="M61" s="44" t="n">
        <v>12</v>
      </c>
      <c r="N61" s="139" t="n">
        <f aca="false">IFERROR(IF(L61*M61=0,"",L61*M61),"")</f>
        <v>218.16</v>
      </c>
      <c r="O61" s="46" t="s">
        <v>202</v>
      </c>
      <c r="P61" s="138" t="str">
        <f aca="false">IFERROR(VLOOKUP(TEXT(O61,"0"),CONDUCTORES!$A$3:$G$100,2,0),"")</f>
        <v>MACHUCA GARRIDO RIDER ALFONSO</v>
      </c>
      <c r="Q61" s="138" t="str">
        <f aca="false">IFERROR(VLOOKUP(TEXT(O61,"0"),CONDUCTORES!$A$3:$H$100,6,0),"")</f>
        <v>EUC 956</v>
      </c>
      <c r="R61" s="85"/>
      <c r="S61" s="110" t="s">
        <v>4922</v>
      </c>
      <c r="T61" s="46" t="s">
        <v>758</v>
      </c>
      <c r="U61" s="85"/>
      <c r="V61" s="110"/>
      <c r="W61" s="46"/>
      <c r="X61" s="46"/>
      <c r="Y61" s="85"/>
      <c r="Z61" s="157" t="str">
        <f aca="false">IF(AND(R61&lt;&gt;"",V61&lt;&gt;"",W61&lt;&gt;""),"ENTREGADO","POR RECOGER")</f>
        <v>POR RECOGER</v>
      </c>
      <c r="AA61" s="4"/>
      <c r="AB61" s="4"/>
      <c r="AC61" s="4"/>
    </row>
    <row r="62" customFormat="false" ht="15.75" hidden="false" customHeight="true" outlineLevel="0" collapsed="false">
      <c r="A62" s="106" t="n">
        <v>57</v>
      </c>
      <c r="B62" s="107"/>
      <c r="C62" s="106" t="s">
        <v>752</v>
      </c>
      <c r="D62" s="107" t="s">
        <v>4923</v>
      </c>
      <c r="E62" s="136" t="s">
        <v>99</v>
      </c>
      <c r="F62" s="106" t="s">
        <v>4924</v>
      </c>
      <c r="G62" s="137" t="n">
        <v>46069</v>
      </c>
      <c r="H62" s="106" t="s">
        <v>529</v>
      </c>
      <c r="I62" s="138" t="str">
        <f aca="false">IFERROR(VLOOKUP(TEXT(H62,"0"),IPRESS!$A$3:$B$212,2,0),"")</f>
        <v>MARIA AUXILIADORA</v>
      </c>
      <c r="J62" s="106" t="s">
        <v>755</v>
      </c>
      <c r="K62" s="138" t="s">
        <v>14</v>
      </c>
      <c r="L62" s="50" t="n">
        <v>20.25</v>
      </c>
      <c r="M62" s="50" t="n">
        <v>7</v>
      </c>
      <c r="N62" s="139" t="n">
        <f aca="false">IFERROR(IF(L62*M62=0,"",L62*M62),"")</f>
        <v>141.75</v>
      </c>
      <c r="O62" s="106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40"/>
      <c r="S62" s="107" t="s">
        <v>4925</v>
      </c>
      <c r="T62" s="136" t="s">
        <v>758</v>
      </c>
      <c r="U62" s="140"/>
      <c r="V62" s="107"/>
      <c r="W62" s="106"/>
      <c r="X62" s="106"/>
      <c r="Y62" s="85"/>
      <c r="Z62" s="157" t="str">
        <f aca="false">IF(AND(R62&lt;&gt;"",V62&lt;&gt;"",W62&lt;&gt;""),"ENTREGADO","POR RECOGER")</f>
        <v>POR RECOGER</v>
      </c>
      <c r="AA62" s="4"/>
      <c r="AB62" s="4"/>
      <c r="AC62" s="4"/>
    </row>
    <row r="63" customFormat="false" ht="15.75" hidden="false" customHeight="true" outlineLevel="0" collapsed="false">
      <c r="A63" s="46" t="n">
        <v>58</v>
      </c>
      <c r="B63" s="110"/>
      <c r="C63" s="46" t="s">
        <v>752</v>
      </c>
      <c r="D63" s="110" t="s">
        <v>2773</v>
      </c>
      <c r="E63" s="46" t="s">
        <v>99</v>
      </c>
      <c r="F63" s="46" t="s">
        <v>2774</v>
      </c>
      <c r="G63" s="142" t="n">
        <v>46069</v>
      </c>
      <c r="H63" s="46" t="s">
        <v>595</v>
      </c>
      <c r="I63" s="138" t="str">
        <f aca="false">IFERROR(VLOOKUP(TEXT(H63,"0"),IPRESS!$A$3:$B$212,2,0),"")</f>
        <v>POMACOCHAS</v>
      </c>
      <c r="J63" s="46" t="s">
        <v>755</v>
      </c>
      <c r="K63" s="138" t="s">
        <v>14</v>
      </c>
      <c r="L63" s="44" t="n">
        <v>18.18</v>
      </c>
      <c r="M63" s="44" t="n">
        <v>6</v>
      </c>
      <c r="N63" s="139" t="n">
        <f aca="false">IFERROR(IF(L63*M63=0,"",L63*M63),"")</f>
        <v>109.08</v>
      </c>
      <c r="O63" s="46" t="s">
        <v>243</v>
      </c>
      <c r="P63" s="138" t="str">
        <f aca="false">IFERROR(VLOOKUP(TEXT(O63,"0"),CONDUCTORES!$A$3:$G$100,2,0),"")</f>
        <v>CHICANA LOPEZ MANUEL HECTOR</v>
      </c>
      <c r="Q63" s="138" t="str">
        <f aca="false">IFERROR(VLOOKUP(TEXT(O63,"0"),CONDUCTORES!$A$3:$H$100,6,0),"")</f>
        <v>EUH747</v>
      </c>
      <c r="R63" s="85"/>
      <c r="S63" s="110" t="s">
        <v>4926</v>
      </c>
      <c r="T63" s="46" t="s">
        <v>758</v>
      </c>
      <c r="U63" s="85"/>
      <c r="V63" s="110"/>
      <c r="W63" s="46"/>
      <c r="X63" s="46"/>
      <c r="Y63" s="85"/>
      <c r="Z63" s="157" t="str">
        <f aca="false">IF(AND(R63&lt;&gt;"",V63&lt;&gt;"",W63&lt;&gt;""),"ENTREGADO","POR RECOGER")</f>
        <v>POR RECOGER</v>
      </c>
      <c r="AA63" s="4"/>
      <c r="AB63" s="4"/>
      <c r="AC63" s="4"/>
    </row>
    <row r="64" customFormat="false" ht="15.75" hidden="false" customHeight="true" outlineLevel="0" collapsed="false">
      <c r="A64" s="106" t="n">
        <v>59</v>
      </c>
      <c r="B64" s="107"/>
      <c r="C64" s="106" t="s">
        <v>752</v>
      </c>
      <c r="D64" s="107" t="s">
        <v>4927</v>
      </c>
      <c r="E64" s="136" t="s">
        <v>99</v>
      </c>
      <c r="F64" s="106" t="s">
        <v>4928</v>
      </c>
      <c r="G64" s="137" t="n">
        <v>46069</v>
      </c>
      <c r="H64" s="106" t="s">
        <v>659</v>
      </c>
      <c r="I64" s="138" t="str">
        <f aca="false">IFERROR(VLOOKUP(TEXT(H64,"0"),IPRESS!$A$3:$B$212,2,0),"")</f>
        <v>SAN SALVADOR</v>
      </c>
      <c r="J64" s="106" t="s">
        <v>755</v>
      </c>
      <c r="K64" s="138" t="s">
        <v>14</v>
      </c>
      <c r="L64" s="50" t="n">
        <v>18.18</v>
      </c>
      <c r="M64" s="50" t="n">
        <v>10</v>
      </c>
      <c r="N64" s="139" t="n">
        <f aca="false">IFERROR(IF(L64*M64=0,"",L64*M64),"")</f>
        <v>181.8</v>
      </c>
      <c r="O64" s="106" t="s">
        <v>252</v>
      </c>
      <c r="P64" s="138" t="str">
        <f aca="false">IFERROR(VLOOKUP(TEXT(O64,"0"),CONDUCTORES!$A$3:$G$100,2,0),"")</f>
        <v>JULCA RITUAY ROGER</v>
      </c>
      <c r="Q64" s="138" t="str">
        <f aca="false">IFERROR(VLOOKUP(TEXT(O64,"0"),CONDUCTORES!$A$3:$H$100,6,0),"")</f>
        <v>EUH 414</v>
      </c>
      <c r="R64" s="140"/>
      <c r="S64" s="107" t="s">
        <v>1487</v>
      </c>
      <c r="T64" s="136" t="s">
        <v>758</v>
      </c>
      <c r="U64" s="140"/>
      <c r="V64" s="107"/>
      <c r="W64" s="106"/>
      <c r="X64" s="106"/>
      <c r="Y64" s="85"/>
      <c r="Z64" s="157" t="str">
        <f aca="false">IF(AND(R64&lt;&gt;"",V64&lt;&gt;"",W64&lt;&gt;""),"ENTREGADO","POR RECOGER")</f>
        <v>POR RECOGER</v>
      </c>
      <c r="AA64" s="4"/>
      <c r="AB64" s="4"/>
      <c r="AC64" s="4"/>
    </row>
    <row r="65" customFormat="false" ht="15.75" hidden="false" customHeight="true" outlineLevel="0" collapsed="false">
      <c r="A65" s="46" t="n">
        <v>60</v>
      </c>
      <c r="B65" s="110"/>
      <c r="C65" s="46" t="s">
        <v>752</v>
      </c>
      <c r="D65" s="110" t="s">
        <v>4929</v>
      </c>
      <c r="E65" s="46" t="s">
        <v>99</v>
      </c>
      <c r="F65" s="46" t="s">
        <v>4930</v>
      </c>
      <c r="G65" s="142" t="n">
        <v>46070</v>
      </c>
      <c r="H65" s="46" t="s">
        <v>717</v>
      </c>
      <c r="I65" s="138" t="str">
        <f aca="false">IFERROR(VLOOKUP(TEXT(H65,"0"),IPRESS!$A$3:$B$212,2,0),"")</f>
        <v>YERBABUENA</v>
      </c>
      <c r="J65" s="46" t="s">
        <v>755</v>
      </c>
      <c r="K65" s="138" t="s">
        <v>14</v>
      </c>
      <c r="L65" s="44" t="n">
        <v>18.18</v>
      </c>
      <c r="M65" s="44" t="n">
        <v>6</v>
      </c>
      <c r="N65" s="139" t="n">
        <f aca="false">IFERROR(IF(L65*M65=0,"",L65*M65),"")</f>
        <v>109.08</v>
      </c>
      <c r="O65" s="46" t="s">
        <v>280</v>
      </c>
      <c r="P65" s="138" t="str">
        <f aca="false">IFERROR(VLOOKUP(TEXT(O65,"0"),CONDUCTORES!$A$3:$G$100,2,0),"")</f>
        <v>SANCHEZ CAJO VICENTE</v>
      </c>
      <c r="Q65" s="138" t="str">
        <f aca="false">IFERROR(VLOOKUP(TEXT(O65,"0"),CONDUCTORES!$A$3:$H$100,6,0),"")</f>
        <v>EGL-296</v>
      </c>
      <c r="R65" s="85"/>
      <c r="S65" s="110" t="s">
        <v>1292</v>
      </c>
      <c r="T65" s="46" t="s">
        <v>758</v>
      </c>
      <c r="U65" s="85"/>
      <c r="V65" s="110"/>
      <c r="W65" s="46"/>
      <c r="X65" s="46"/>
      <c r="Y65" s="85"/>
      <c r="Z65" s="157" t="str">
        <f aca="false">IF(AND(R65&lt;&gt;"",V65&lt;&gt;"",W65&lt;&gt;""),"ENTREGADO","POR RECOGER")</f>
        <v>POR RECOGER</v>
      </c>
      <c r="AA65" s="4"/>
      <c r="AB65" s="4"/>
      <c r="AC65" s="4"/>
    </row>
    <row r="66" customFormat="false" ht="15.75" hidden="false" customHeight="true" outlineLevel="0" collapsed="false">
      <c r="A66" s="106" t="n">
        <v>61</v>
      </c>
      <c r="B66" s="107"/>
      <c r="C66" s="106" t="s">
        <v>752</v>
      </c>
      <c r="D66" s="107" t="s">
        <v>4931</v>
      </c>
      <c r="E66" s="136" t="s">
        <v>99</v>
      </c>
      <c r="F66" s="106" t="s">
        <v>4932</v>
      </c>
      <c r="G66" s="137" t="n">
        <v>46070</v>
      </c>
      <c r="H66" s="106" t="s">
        <v>529</v>
      </c>
      <c r="I66" s="138" t="str">
        <f aca="false">IFERROR(VLOOKUP(TEXT(H66,"0"),IPRESS!$A$3:$B$212,2,0),"")</f>
        <v>MARIA AUXILIADORA</v>
      </c>
      <c r="J66" s="106" t="s">
        <v>755</v>
      </c>
      <c r="K66" s="138" t="s">
        <v>14</v>
      </c>
      <c r="L66" s="50" t="n">
        <v>20.25</v>
      </c>
      <c r="M66" s="50" t="n">
        <v>7</v>
      </c>
      <c r="N66" s="139" t="n">
        <f aca="false">IFERROR(IF(L66*M66=0,"",L66*M66),"")</f>
        <v>141.75</v>
      </c>
      <c r="O66" s="106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40"/>
      <c r="S66" s="107" t="s">
        <v>911</v>
      </c>
      <c r="T66" s="136" t="s">
        <v>758</v>
      </c>
      <c r="U66" s="140"/>
      <c r="V66" s="107"/>
      <c r="W66" s="106"/>
      <c r="X66" s="106"/>
      <c r="Y66" s="85"/>
      <c r="Z66" s="157" t="str">
        <f aca="false">IF(AND(R66&lt;&gt;"",V66&lt;&gt;"",W66&lt;&gt;""),"ENTREGADO","POR RECOGER")</f>
        <v>POR RECOGER</v>
      </c>
      <c r="AA66" s="4"/>
      <c r="AB66" s="4"/>
      <c r="AC66" s="4"/>
    </row>
    <row r="67" customFormat="false" ht="15.75" hidden="false" customHeight="true" outlineLevel="0" collapsed="false">
      <c r="A67" s="46" t="n">
        <v>62</v>
      </c>
      <c r="B67" s="110"/>
      <c r="C67" s="46" t="s">
        <v>752</v>
      </c>
      <c r="D67" s="110" t="s">
        <v>4933</v>
      </c>
      <c r="E67" s="46" t="s">
        <v>99</v>
      </c>
      <c r="F67" s="46" t="s">
        <v>4934</v>
      </c>
      <c r="G67" s="142" t="n">
        <v>46070</v>
      </c>
      <c r="H67" s="46" t="s">
        <v>595</v>
      </c>
      <c r="I67" s="138" t="str">
        <f aca="false">IFERROR(VLOOKUP(TEXT(H67,"0"),IPRESS!$A$3:$B$212,2,0),"")</f>
        <v>POMACOCHAS</v>
      </c>
      <c r="J67" s="46" t="s">
        <v>755</v>
      </c>
      <c r="K67" s="138" t="s">
        <v>14</v>
      </c>
      <c r="L67" s="44" t="n">
        <v>18.18</v>
      </c>
      <c r="M67" s="44" t="n">
        <v>6</v>
      </c>
      <c r="N67" s="139" t="n">
        <f aca="false">IFERROR(IF(L67*M67=0,"",L67*M67),"")</f>
        <v>109.08</v>
      </c>
      <c r="O67" s="46" t="s">
        <v>243</v>
      </c>
      <c r="P67" s="138" t="str">
        <f aca="false">IFERROR(VLOOKUP(TEXT(O67,"0"),CONDUCTORES!$A$3:$G$100,2,0),"")</f>
        <v>CHICANA LOPEZ MANUEL HECTOR</v>
      </c>
      <c r="Q67" s="138" t="str">
        <f aca="false">IFERROR(VLOOKUP(TEXT(O67,"0"),CONDUCTORES!$A$3:$H$100,6,0),"")</f>
        <v>EUH747</v>
      </c>
      <c r="R67" s="85"/>
      <c r="S67" s="110" t="s">
        <v>1612</v>
      </c>
      <c r="T67" s="46" t="s">
        <v>758</v>
      </c>
      <c r="U67" s="85"/>
      <c r="V67" s="110"/>
      <c r="W67" s="46"/>
      <c r="X67" s="46"/>
      <c r="Y67" s="85"/>
      <c r="Z67" s="157" t="str">
        <f aca="false">IF(AND(R67&lt;&gt;"",V67&lt;&gt;"",W67&lt;&gt;""),"ENTREGADO","POR RECOGER")</f>
        <v>POR RECOGER</v>
      </c>
      <c r="AA67" s="4"/>
      <c r="AB67" s="4"/>
      <c r="AC67" s="4"/>
    </row>
    <row r="68" customFormat="false" ht="15.75" hidden="false" customHeight="true" outlineLevel="0" collapsed="false">
      <c r="A68" s="106" t="n">
        <v>63</v>
      </c>
      <c r="B68" s="107"/>
      <c r="C68" s="106" t="s">
        <v>752</v>
      </c>
      <c r="D68" s="107" t="s">
        <v>4935</v>
      </c>
      <c r="E68" s="136" t="s">
        <v>99</v>
      </c>
      <c r="F68" s="106" t="s">
        <v>4936</v>
      </c>
      <c r="G68" s="137" t="n">
        <v>46070</v>
      </c>
      <c r="H68" s="106" t="s">
        <v>500</v>
      </c>
      <c r="I68" s="138" t="str">
        <f aca="false">IFERROR(VLOOKUP(TEXT(H68,"0"),IPRESS!$A$3:$B$212,2,0),"")</f>
        <v>LAMUD</v>
      </c>
      <c r="J68" s="106" t="s">
        <v>755</v>
      </c>
      <c r="K68" s="138" t="s">
        <v>14</v>
      </c>
      <c r="L68" s="50" t="n">
        <v>18.18</v>
      </c>
      <c r="M68" s="50" t="n">
        <v>4</v>
      </c>
      <c r="N68" s="139" t="n">
        <f aca="false">IFERROR(IF(L68*M68=0,"",L68*M68),"")</f>
        <v>72.72</v>
      </c>
      <c r="O68" s="106" t="s">
        <v>170</v>
      </c>
      <c r="P68" s="138" t="str">
        <f aca="false">IFERROR(VLOOKUP(TEXT(O68,"0"),CONDUCTORES!$A$3:$G$100,2,0),"")</f>
        <v>RUFASTO CHUQUIZUTA JUAN KAROOL</v>
      </c>
      <c r="Q68" s="138" t="str">
        <f aca="false">IFERROR(VLOOKUP(TEXT(O68,"0"),CONDUCTORES!$A$3:$H$100,6,0),"")</f>
        <v>EUA963</v>
      </c>
      <c r="R68" s="140"/>
      <c r="S68" s="107" t="s">
        <v>4937</v>
      </c>
      <c r="T68" s="136" t="s">
        <v>758</v>
      </c>
      <c r="U68" s="140"/>
      <c r="V68" s="107"/>
      <c r="W68" s="106"/>
      <c r="X68" s="106"/>
      <c r="Y68" s="85"/>
      <c r="Z68" s="157" t="str">
        <f aca="false">IF(AND(R68&lt;&gt;"",V68&lt;&gt;"",W68&lt;&gt;""),"ENTREGADO","POR RECOGER")</f>
        <v>POR RECOGER</v>
      </c>
      <c r="AA68" s="4"/>
      <c r="AB68" s="4"/>
      <c r="AC68" s="4"/>
    </row>
    <row r="69" customFormat="false" ht="15.75" hidden="false" customHeight="true" outlineLevel="0" collapsed="false">
      <c r="A69" s="46" t="n">
        <v>64</v>
      </c>
      <c r="B69" s="110"/>
      <c r="C69" s="46" t="s">
        <v>752</v>
      </c>
      <c r="D69" s="110" t="s">
        <v>4938</v>
      </c>
      <c r="E69" s="46" t="s">
        <v>99</v>
      </c>
      <c r="F69" s="46" t="s">
        <v>4939</v>
      </c>
      <c r="G69" s="142" t="n">
        <v>46070</v>
      </c>
      <c r="H69" s="46" t="s">
        <v>595</v>
      </c>
      <c r="I69" s="138" t="str">
        <f aca="false">IFERROR(VLOOKUP(TEXT(H69,"0"),IPRESS!$A$3:$B$212,2,0),"")</f>
        <v>POMACOCHAS</v>
      </c>
      <c r="J69" s="46" t="s">
        <v>755</v>
      </c>
      <c r="K69" s="138" t="s">
        <v>14</v>
      </c>
      <c r="L69" s="44" t="n">
        <v>18.18</v>
      </c>
      <c r="M69" s="44" t="n">
        <v>6</v>
      </c>
      <c r="N69" s="139" t="n">
        <f aca="false">IFERROR(IF(L69*M69=0,"",L69*M69),"")</f>
        <v>109.08</v>
      </c>
      <c r="O69" s="46" t="s">
        <v>243</v>
      </c>
      <c r="P69" s="138" t="str">
        <f aca="false">IFERROR(VLOOKUP(TEXT(O69,"0"),CONDUCTORES!$A$3:$G$100,2,0),"")</f>
        <v>CHICANA LOPEZ MANUEL HECTOR</v>
      </c>
      <c r="Q69" s="138" t="str">
        <f aca="false">IFERROR(VLOOKUP(TEXT(O69,"0"),CONDUCTORES!$A$3:$H$100,6,0),"")</f>
        <v>EUH747</v>
      </c>
      <c r="R69" s="85"/>
      <c r="S69" s="110" t="s">
        <v>4940</v>
      </c>
      <c r="T69" s="46" t="s">
        <v>758</v>
      </c>
      <c r="U69" s="85"/>
      <c r="V69" s="110"/>
      <c r="W69" s="46"/>
      <c r="X69" s="46"/>
      <c r="Y69" s="85"/>
      <c r="Z69" s="157" t="str">
        <f aca="false">IF(AND(R69&lt;&gt;"",V69&lt;&gt;"",W69&lt;&gt;""),"ENTREGADO","POR RECOGER")</f>
        <v>POR RECOGER</v>
      </c>
      <c r="AA69" s="4"/>
      <c r="AB69" s="4"/>
      <c r="AC69" s="4"/>
    </row>
    <row r="70" customFormat="false" ht="15.75" hidden="false" customHeight="true" outlineLevel="0" collapsed="false">
      <c r="A70" s="106" t="n">
        <v>65</v>
      </c>
      <c r="B70" s="107"/>
      <c r="C70" s="106" t="s">
        <v>752</v>
      </c>
      <c r="D70" s="107" t="s">
        <v>4941</v>
      </c>
      <c r="E70" s="136" t="s">
        <v>99</v>
      </c>
      <c r="F70" s="106" t="s">
        <v>4942</v>
      </c>
      <c r="G70" s="137" t="n">
        <v>46071</v>
      </c>
      <c r="H70" s="106" t="s">
        <v>500</v>
      </c>
      <c r="I70" s="138" t="str">
        <f aca="false">IFERROR(VLOOKUP(TEXT(H70,"0"),IPRESS!$A$3:$B$212,2,0),"")</f>
        <v>LAMUD</v>
      </c>
      <c r="J70" s="106" t="s">
        <v>755</v>
      </c>
      <c r="K70" s="138" t="s">
        <v>14</v>
      </c>
      <c r="L70" s="50" t="n">
        <v>18.18</v>
      </c>
      <c r="M70" s="50" t="n">
        <v>4</v>
      </c>
      <c r="N70" s="139" t="n">
        <f aca="false">IFERROR(IF(L70*M70=0,"",L70*M70),"")</f>
        <v>72.72</v>
      </c>
      <c r="O70" s="106" t="s">
        <v>170</v>
      </c>
      <c r="P70" s="138" t="str">
        <f aca="false">IFERROR(VLOOKUP(TEXT(O70,"0"),CONDUCTORES!$A$3:$G$100,2,0),"")</f>
        <v>RUFASTO CHUQUIZUTA JUAN KAROOL</v>
      </c>
      <c r="Q70" s="138" t="str">
        <f aca="false">IFERROR(VLOOKUP(TEXT(O70,"0"),CONDUCTORES!$A$3:$H$100,6,0),"")</f>
        <v>EUA963</v>
      </c>
      <c r="R70" s="140"/>
      <c r="S70" s="107" t="s">
        <v>1458</v>
      </c>
      <c r="T70" s="136" t="s">
        <v>758</v>
      </c>
      <c r="U70" s="140"/>
      <c r="V70" s="107"/>
      <c r="W70" s="106"/>
      <c r="X70" s="106"/>
      <c r="Y70" s="85"/>
      <c r="Z70" s="157" t="str">
        <f aca="false">IF(AND(R70&lt;&gt;"",V70&lt;&gt;"",W70&lt;&gt;""),"ENTREGADO","POR RECOGER")</f>
        <v>POR RECOGER</v>
      </c>
      <c r="AA70" s="4"/>
      <c r="AB70" s="4"/>
      <c r="AC70" s="4"/>
    </row>
    <row r="71" customFormat="false" ht="15.75" hidden="false" customHeight="true" outlineLevel="0" collapsed="false">
      <c r="A71" s="46" t="n">
        <v>66</v>
      </c>
      <c r="B71" s="110"/>
      <c r="C71" s="46" t="s">
        <v>752</v>
      </c>
      <c r="D71" s="110" t="s">
        <v>4943</v>
      </c>
      <c r="E71" s="46" t="s">
        <v>99</v>
      </c>
      <c r="F71" s="46" t="s">
        <v>4944</v>
      </c>
      <c r="G71" s="142" t="n">
        <v>46071</v>
      </c>
      <c r="H71" s="46" t="s">
        <v>581</v>
      </c>
      <c r="I71" s="138" t="str">
        <f aca="false">IFERROR(VLOOKUP(TEXT(H71,"0"),IPRESS!$A$3:$B$212,2,0),"")</f>
        <v>PEDRO RUIZ GALLO</v>
      </c>
      <c r="J71" s="46" t="s">
        <v>755</v>
      </c>
      <c r="K71" s="138" t="s">
        <v>14</v>
      </c>
      <c r="L71" s="44" t="n">
        <v>18.18</v>
      </c>
      <c r="M71" s="44" t="n">
        <v>5</v>
      </c>
      <c r="N71" s="139" t="n">
        <f aca="false">IFERROR(IF(L71*M71=0,"",L71*M71),"")</f>
        <v>90.9</v>
      </c>
      <c r="O71" s="46" t="s">
        <v>230</v>
      </c>
      <c r="P71" s="138" t="str">
        <f aca="false">IFERROR(VLOOKUP(TEXT(O71,"0"),CONDUCTORES!$A$3:$G$100,2,0),"")</f>
        <v>MUNOZ VERGARAY JORGE ENRRIQUE</v>
      </c>
      <c r="Q71" s="138" t="str">
        <f aca="false">IFERROR(VLOOKUP(TEXT(O71,"0"),CONDUCTORES!$A$3:$H$100,6,0),"")</f>
        <v>EUH 427</v>
      </c>
      <c r="R71" s="85"/>
      <c r="S71" s="110" t="s">
        <v>4945</v>
      </c>
      <c r="T71" s="46" t="s">
        <v>758</v>
      </c>
      <c r="U71" s="85"/>
      <c r="V71" s="110"/>
      <c r="W71" s="46"/>
      <c r="X71" s="46"/>
      <c r="Y71" s="85"/>
      <c r="Z71" s="157" t="str">
        <f aca="false">IF(AND(R71&lt;&gt;"",V71&lt;&gt;"",W71&lt;&gt;""),"ENTREGADO","POR RECOGER")</f>
        <v>POR RECOGER</v>
      </c>
      <c r="AA71" s="4"/>
      <c r="AB71" s="4"/>
      <c r="AC71" s="4"/>
    </row>
    <row r="72" customFormat="false" ht="15.75" hidden="false" customHeight="true" outlineLevel="0" collapsed="false">
      <c r="A72" s="106" t="n">
        <v>67</v>
      </c>
      <c r="B72" s="107"/>
      <c r="C72" s="106" t="s">
        <v>752</v>
      </c>
      <c r="D72" s="107" t="s">
        <v>4946</v>
      </c>
      <c r="E72" s="136" t="s">
        <v>99</v>
      </c>
      <c r="F72" s="106" t="s">
        <v>4947</v>
      </c>
      <c r="G72" s="137" t="n">
        <v>46071</v>
      </c>
      <c r="H72" s="106" t="s">
        <v>595</v>
      </c>
      <c r="I72" s="138" t="str">
        <f aca="false">IFERROR(VLOOKUP(TEXT(H72,"0"),IPRESS!$A$3:$B$212,2,0),"")</f>
        <v>POMACOCHAS</v>
      </c>
      <c r="J72" s="106" t="s">
        <v>755</v>
      </c>
      <c r="K72" s="138" t="s">
        <v>14</v>
      </c>
      <c r="L72" s="50" t="n">
        <v>18.18</v>
      </c>
      <c r="M72" s="50" t="n">
        <v>6</v>
      </c>
      <c r="N72" s="139" t="n">
        <f aca="false">IFERROR(IF(L72*M72=0,"",L72*M72),"")</f>
        <v>109.08</v>
      </c>
      <c r="O72" s="106" t="s">
        <v>243</v>
      </c>
      <c r="P72" s="138" t="str">
        <f aca="false">IFERROR(VLOOKUP(TEXT(O72,"0"),CONDUCTORES!$A$3:$G$100,2,0),"")</f>
        <v>CHICANA LOPEZ MANUEL HECTOR</v>
      </c>
      <c r="Q72" s="138" t="str">
        <f aca="false">IFERROR(VLOOKUP(TEXT(O72,"0"),CONDUCTORES!$A$3:$H$100,6,0),"")</f>
        <v>EUH747</v>
      </c>
      <c r="R72" s="140"/>
      <c r="S72" s="107" t="s">
        <v>1140</v>
      </c>
      <c r="T72" s="136" t="s">
        <v>758</v>
      </c>
      <c r="U72" s="140"/>
      <c r="V72" s="107"/>
      <c r="W72" s="106"/>
      <c r="X72" s="106"/>
      <c r="Y72" s="85"/>
      <c r="Z72" s="157" t="str">
        <f aca="false">IF(AND(R72&lt;&gt;"",V72&lt;&gt;"",W72&lt;&gt;""),"ENTREGADO","POR RECOGER")</f>
        <v>POR RECOGER</v>
      </c>
      <c r="AA72" s="4"/>
      <c r="AB72" s="4"/>
      <c r="AC72" s="4"/>
    </row>
    <row r="73" customFormat="false" ht="15.75" hidden="false" customHeight="true" outlineLevel="0" collapsed="false">
      <c r="A73" s="143" t="n">
        <v>68</v>
      </c>
      <c r="B73" s="144"/>
      <c r="C73" s="143" t="s">
        <v>752</v>
      </c>
      <c r="D73" s="144" t="s">
        <v>4946</v>
      </c>
      <c r="E73" s="143" t="s">
        <v>99</v>
      </c>
      <c r="F73" s="143" t="s">
        <v>4947</v>
      </c>
      <c r="G73" s="145" t="n">
        <v>46071</v>
      </c>
      <c r="H73" s="143" t="s">
        <v>350</v>
      </c>
      <c r="I73" s="138" t="str">
        <f aca="false">IFERROR(VLOOKUP(TEXT(H73,"0"),IPRESS!$A$3:$B$212,2,0),"")</f>
        <v>BUENOS AIRES</v>
      </c>
      <c r="J73" s="143" t="s">
        <v>755</v>
      </c>
      <c r="K73" s="164" t="s">
        <v>16</v>
      </c>
      <c r="L73" s="146" t="n">
        <v>17.95</v>
      </c>
      <c r="M73" s="146" t="n">
        <v>5</v>
      </c>
      <c r="N73" s="139" t="n">
        <f aca="false">IFERROR(IF(L73*M73=0,"",L73*M73),"")</f>
        <v>89.75</v>
      </c>
      <c r="O73" s="77" t="s">
        <v>301</v>
      </c>
      <c r="P73" s="138" t="str">
        <f aca="false">IFERROR(VLOOKUP(TEXT(O73,"0"),CONDUCTORES!$A$3:$G$100,2,0),"")</f>
        <v>RONAL SAUCEDO GUEVARA</v>
      </c>
      <c r="Q73" s="138" t="str">
        <f aca="false">IFERROR(VLOOKUP(TEXT(O73,"0"),CONDUCTORES!$A$3:$H$100,6,0),"")</f>
        <v>EUB-067</v>
      </c>
      <c r="R73" s="147"/>
      <c r="S73" s="144" t="s">
        <v>4496</v>
      </c>
      <c r="T73" s="143" t="s">
        <v>758</v>
      </c>
      <c r="U73" s="147"/>
      <c r="V73" s="144"/>
      <c r="W73" s="143"/>
      <c r="X73" s="143"/>
      <c r="Y73" s="85"/>
      <c r="Z73" s="157" t="str">
        <f aca="false">IF(AND(R73&lt;&gt;"",V73&lt;&gt;"",W73&lt;&gt;""),"ENTREGADO","POR RECOGER")</f>
        <v>POR RECOGER</v>
      </c>
      <c r="AA73" s="4"/>
      <c r="AB73" s="4"/>
      <c r="AC73" s="4"/>
    </row>
    <row r="74" customFormat="false" ht="15.75" hidden="false" customHeight="true" outlineLevel="0" collapsed="false">
      <c r="A74" s="106" t="n">
        <v>69</v>
      </c>
      <c r="B74" s="107"/>
      <c r="C74" s="106" t="s">
        <v>752</v>
      </c>
      <c r="D74" s="107" t="s">
        <v>4948</v>
      </c>
      <c r="E74" s="136" t="s">
        <v>99</v>
      </c>
      <c r="F74" s="106" t="s">
        <v>4949</v>
      </c>
      <c r="G74" s="137" t="n">
        <v>46072</v>
      </c>
      <c r="H74" s="106" t="s">
        <v>529</v>
      </c>
      <c r="I74" s="138" t="str">
        <f aca="false">IFERROR(VLOOKUP(TEXT(H74,"0"),IPRESS!$A$3:$B$212,2,0),"")</f>
        <v>MARIA AUXILIADORA</v>
      </c>
      <c r="J74" s="106" t="s">
        <v>755</v>
      </c>
      <c r="K74" s="138" t="s">
        <v>14</v>
      </c>
      <c r="L74" s="50" t="n">
        <v>20.25</v>
      </c>
      <c r="M74" s="50" t="n">
        <v>7</v>
      </c>
      <c r="N74" s="139" t="n">
        <f aca="false">IFERROR(IF(L74*M74=0,"",L74*M74),"")</f>
        <v>141.75</v>
      </c>
      <c r="O74" s="106" t="s">
        <v>133</v>
      </c>
      <c r="P74" s="138" t="str">
        <f aca="false">IFERROR(VLOOKUP(TEXT(O74,"0"),CONDUCTORES!$A$3:$G$100,2,0),"")</f>
        <v>TRIGOSO TAFUR JOSE GILBER</v>
      </c>
      <c r="Q74" s="138" t="str">
        <f aca="false">IFERROR(VLOOKUP(TEXT(O74,"0"),CONDUCTORES!$A$3:$H$100,6,0),"")</f>
        <v>EUH 421</v>
      </c>
      <c r="R74" s="140"/>
      <c r="S74" s="107" t="s">
        <v>4950</v>
      </c>
      <c r="T74" s="136" t="s">
        <v>758</v>
      </c>
      <c r="U74" s="140"/>
      <c r="V74" s="107"/>
      <c r="W74" s="106"/>
      <c r="X74" s="106"/>
      <c r="Y74" s="85"/>
      <c r="Z74" s="157" t="str">
        <f aca="false">IF(AND(R74&lt;&gt;"",V74&lt;&gt;"",W74&lt;&gt;""),"ENTREGADO","POR RECOGER")</f>
        <v>POR RECOGER</v>
      </c>
      <c r="AA74" s="4"/>
      <c r="AB74" s="4"/>
      <c r="AC74" s="4"/>
    </row>
    <row r="75" customFormat="false" ht="15.75" hidden="false" customHeight="true" outlineLevel="0" collapsed="false">
      <c r="A75" s="46" t="n">
        <v>70</v>
      </c>
      <c r="B75" s="110"/>
      <c r="C75" s="46" t="s">
        <v>752</v>
      </c>
      <c r="D75" s="110" t="s">
        <v>4951</v>
      </c>
      <c r="E75" s="46" t="s">
        <v>99</v>
      </c>
      <c r="F75" s="46" t="s">
        <v>4952</v>
      </c>
      <c r="G75" s="142" t="n">
        <v>46072</v>
      </c>
      <c r="H75" s="46" t="s">
        <v>466</v>
      </c>
      <c r="I75" s="138" t="str">
        <f aca="false">IFERROR(VLOOKUP(TEXT(H75,"0"),IPRESS!$A$3:$B$212,2,0),"")</f>
        <v>HUAMBO</v>
      </c>
      <c r="J75" s="46" t="s">
        <v>529</v>
      </c>
      <c r="K75" s="138" t="s">
        <v>14</v>
      </c>
      <c r="L75" s="44" t="n">
        <v>20.25</v>
      </c>
      <c r="M75" s="44" t="n">
        <v>3</v>
      </c>
      <c r="N75" s="139" t="n">
        <f aca="false">IFERROR(IF(L75*M75=0,"",L75*M75),"")</f>
        <v>60.75</v>
      </c>
      <c r="O75" s="46" t="s">
        <v>153</v>
      </c>
      <c r="P75" s="138" t="str">
        <f aca="false">IFERROR(VLOOKUP(TEXT(O75,"0"),CONDUCTORES!$A$3:$G$100,2,0),"")</f>
        <v>LOPEZ HOYOS MIGUEL ANGEL</v>
      </c>
      <c r="Q75" s="138" t="str">
        <f aca="false">IFERROR(VLOOKUP(TEXT(O75,"0"),CONDUCTORES!$A$3:$H$100,6,0),"")</f>
        <v>EUH-698</v>
      </c>
      <c r="R75" s="85"/>
      <c r="S75" s="110" t="s">
        <v>860</v>
      </c>
      <c r="T75" s="46" t="s">
        <v>758</v>
      </c>
      <c r="U75" s="85"/>
      <c r="V75" s="110"/>
      <c r="W75" s="46"/>
      <c r="X75" s="46"/>
      <c r="Y75" s="85"/>
      <c r="Z75" s="157" t="str">
        <f aca="false">IF(AND(R75&lt;&gt;"",V75&lt;&gt;"",W75&lt;&gt;""),"ENTREGADO","POR RECOGER")</f>
        <v>POR RECOGER</v>
      </c>
      <c r="AA75" s="4"/>
      <c r="AB75" s="4"/>
      <c r="AC75" s="4"/>
    </row>
    <row r="76" customFormat="false" ht="15.75" hidden="false" customHeight="true" outlineLevel="0" collapsed="false">
      <c r="A76" s="143" t="n">
        <v>71</v>
      </c>
      <c r="B76" s="144"/>
      <c r="C76" s="143" t="s">
        <v>752</v>
      </c>
      <c r="D76" s="144" t="s">
        <v>4953</v>
      </c>
      <c r="E76" s="143" t="s">
        <v>99</v>
      </c>
      <c r="F76" s="143" t="s">
        <v>4954</v>
      </c>
      <c r="G76" s="145" t="n">
        <v>46072</v>
      </c>
      <c r="H76" s="143" t="s">
        <v>398</v>
      </c>
      <c r="I76" s="138" t="str">
        <f aca="false">IFERROR(VLOOKUP(TEXT(H76,"0"),IPRESS!$A$3:$B$212,2,0),"")</f>
        <v>COCABAMBA</v>
      </c>
      <c r="J76" s="143" t="s">
        <v>755</v>
      </c>
      <c r="K76" s="164" t="s">
        <v>16</v>
      </c>
      <c r="L76" s="146" t="n">
        <v>17.95</v>
      </c>
      <c r="M76" s="146" t="n">
        <v>26</v>
      </c>
      <c r="N76" s="139" t="n">
        <f aca="false">IFERROR(IF(L76*M76=0,"",L76*M76),"")</f>
        <v>466.7</v>
      </c>
      <c r="O76" s="143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47"/>
      <c r="S76" s="144" t="s">
        <v>4955</v>
      </c>
      <c r="T76" s="143" t="s">
        <v>758</v>
      </c>
      <c r="U76" s="147"/>
      <c r="V76" s="144"/>
      <c r="W76" s="143"/>
      <c r="X76" s="143"/>
      <c r="Y76" s="85"/>
      <c r="Z76" s="157" t="str">
        <f aca="false">IF(AND(R76&lt;&gt;"",V76&lt;&gt;"",W76&lt;&gt;""),"ENTREGADO","POR RECOGER")</f>
        <v>POR RECOGER</v>
      </c>
      <c r="AA76" s="4"/>
      <c r="AB76" s="4"/>
      <c r="AC76" s="4"/>
    </row>
    <row r="77" customFormat="false" ht="15.75" hidden="false" customHeight="true" outlineLevel="0" collapsed="false">
      <c r="A77" s="46" t="n">
        <v>72</v>
      </c>
      <c r="B77" s="110"/>
      <c r="C77" s="46" t="s">
        <v>752</v>
      </c>
      <c r="D77" s="110" t="s">
        <v>4956</v>
      </c>
      <c r="E77" s="46" t="s">
        <v>99</v>
      </c>
      <c r="F77" s="46" t="s">
        <v>4957</v>
      </c>
      <c r="G77" s="142" t="n">
        <v>46073</v>
      </c>
      <c r="H77" s="46" t="s">
        <v>529</v>
      </c>
      <c r="I77" s="138" t="str">
        <f aca="false">IFERROR(VLOOKUP(TEXT(H77,"0"),IPRESS!$A$3:$B$212,2,0),"")</f>
        <v>MARIA AUXILIADORA</v>
      </c>
      <c r="J77" s="46" t="s">
        <v>755</v>
      </c>
      <c r="K77" s="138" t="s">
        <v>14</v>
      </c>
      <c r="L77" s="44" t="n">
        <v>20.25</v>
      </c>
      <c r="M77" s="44" t="n">
        <v>7</v>
      </c>
      <c r="N77" s="139" t="n">
        <f aca="false">IFERROR(IF(L77*M77=0,"",L77*M77),"")</f>
        <v>141.75</v>
      </c>
      <c r="O77" s="46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85"/>
      <c r="S77" s="110" t="s">
        <v>1885</v>
      </c>
      <c r="T77" s="46" t="s">
        <v>758</v>
      </c>
      <c r="U77" s="85"/>
      <c r="V77" s="110"/>
      <c r="W77" s="46"/>
      <c r="X77" s="46"/>
      <c r="Y77" s="85"/>
      <c r="Z77" s="157" t="str">
        <f aca="false">IF(AND(R77&lt;&gt;"",V77&lt;&gt;"",W77&lt;&gt;""),"ENTREGADO","POR RECOGER")</f>
        <v>POR RECOGER</v>
      </c>
      <c r="AA77" s="4"/>
      <c r="AB77" s="4"/>
      <c r="AC77" s="4"/>
    </row>
    <row r="78" customFormat="false" ht="15.75" hidden="false" customHeight="true" outlineLevel="0" collapsed="false">
      <c r="A78" s="106" t="n">
        <v>73</v>
      </c>
      <c r="B78" s="107"/>
      <c r="C78" s="106" t="s">
        <v>752</v>
      </c>
      <c r="D78" s="107" t="s">
        <v>4958</v>
      </c>
      <c r="E78" s="136" t="s">
        <v>99</v>
      </c>
      <c r="F78" s="106" t="s">
        <v>4708</v>
      </c>
      <c r="G78" s="137" t="n">
        <v>46073</v>
      </c>
      <c r="H78" s="106" t="s">
        <v>466</v>
      </c>
      <c r="I78" s="138" t="str">
        <f aca="false">IFERROR(VLOOKUP(TEXT(H78,"0"),IPRESS!$A$3:$B$212,2,0),"")</f>
        <v>HUAMBO</v>
      </c>
      <c r="J78" s="106" t="s">
        <v>529</v>
      </c>
      <c r="K78" s="138" t="s">
        <v>14</v>
      </c>
      <c r="L78" s="50" t="n">
        <v>20.25</v>
      </c>
      <c r="M78" s="50" t="n">
        <v>3</v>
      </c>
      <c r="N78" s="139" t="n">
        <f aca="false">IFERROR(IF(L78*M78=0,"",L78*M78),"")</f>
        <v>60.75</v>
      </c>
      <c r="O78" s="106" t="s">
        <v>153</v>
      </c>
      <c r="P78" s="138" t="str">
        <f aca="false">IFERROR(VLOOKUP(TEXT(O78,"0"),CONDUCTORES!$A$3:$G$100,2,0),"")</f>
        <v>LOPEZ HOYOS MIGUEL ANGEL</v>
      </c>
      <c r="Q78" s="138" t="str">
        <f aca="false">IFERROR(VLOOKUP(TEXT(O78,"0"),CONDUCTORES!$A$3:$H$100,6,0),"")</f>
        <v>EUH-698</v>
      </c>
      <c r="R78" s="140"/>
      <c r="S78" s="107" t="s">
        <v>4959</v>
      </c>
      <c r="T78" s="136" t="s">
        <v>758</v>
      </c>
      <c r="U78" s="140"/>
      <c r="V78" s="107"/>
      <c r="W78" s="106"/>
      <c r="X78" s="106"/>
      <c r="Y78" s="85"/>
      <c r="Z78" s="157" t="str">
        <f aca="false">IF(AND(R78&lt;&gt;"",V78&lt;&gt;"",W78&lt;&gt;""),"ENTREGADO","POR RECOGER")</f>
        <v>POR RECOGER</v>
      </c>
      <c r="AA78" s="4"/>
      <c r="AB78" s="4"/>
      <c r="AC78" s="4"/>
    </row>
    <row r="79" customFormat="false" ht="15.75" hidden="false" customHeight="true" outlineLevel="0" collapsed="false">
      <c r="A79" s="158" t="n">
        <v>74</v>
      </c>
      <c r="B79" s="159"/>
      <c r="C79" s="158" t="s">
        <v>752</v>
      </c>
      <c r="D79" s="159" t="s">
        <v>4960</v>
      </c>
      <c r="E79" s="158" t="s">
        <v>99</v>
      </c>
      <c r="F79" s="158" t="s">
        <v>4961</v>
      </c>
      <c r="G79" s="160" t="n">
        <v>46073</v>
      </c>
      <c r="H79" s="158" t="s">
        <v>529</v>
      </c>
      <c r="I79" s="138" t="str">
        <f aca="false">IFERROR(VLOOKUP(TEXT(H79,"0"),IPRESS!$A$3:$B$212,2,0),"")</f>
        <v>MARIA AUXILIADORA</v>
      </c>
      <c r="J79" s="158" t="s">
        <v>755</v>
      </c>
      <c r="K79" s="138" t="s">
        <v>14</v>
      </c>
      <c r="L79" s="161" t="n">
        <v>20.25</v>
      </c>
      <c r="M79" s="161" t="n">
        <v>10</v>
      </c>
      <c r="N79" s="139" t="n">
        <f aca="false">IFERROR(IF(L79*M79=0,"",L79*M79),"")</f>
        <v>202.5</v>
      </c>
      <c r="O79" s="158" t="s">
        <v>225</v>
      </c>
      <c r="P79" s="138" t="str">
        <f aca="false">IFERROR(VLOOKUP(TEXT(O79,"0"),CONDUCTORES!$A$3:$G$100,2,0),"")</f>
        <v>LOPEZ VARGAS HUBER</v>
      </c>
      <c r="Q79" s="138" t="str">
        <f aca="false">IFERROR(VLOOKUP(TEXT(O79,"0"),CONDUCTORES!$A$3:$H$100,6,0),"")</f>
        <v>EUH 634</v>
      </c>
      <c r="R79" s="162"/>
      <c r="S79" s="159" t="s">
        <v>1292</v>
      </c>
      <c r="T79" s="158" t="s">
        <v>758</v>
      </c>
      <c r="U79" s="162"/>
      <c r="V79" s="159"/>
      <c r="W79" s="158"/>
      <c r="X79" s="158"/>
      <c r="Y79" s="163" t="s">
        <v>68</v>
      </c>
      <c r="Z79" s="157" t="str">
        <f aca="false">IF(AND(R79&lt;&gt;"",V79&lt;&gt;"",W79&lt;&gt;""),"ENTREGADO","POR RECOGER")</f>
        <v>POR RECOGER</v>
      </c>
      <c r="AA79" s="4"/>
      <c r="AB79" s="4"/>
      <c r="AC79" s="4"/>
    </row>
    <row r="80" customFormat="false" ht="15.75" hidden="false" customHeight="true" outlineLevel="0" collapsed="false">
      <c r="A80" s="106" t="n">
        <v>75</v>
      </c>
      <c r="B80" s="107"/>
      <c r="C80" s="106" t="s">
        <v>752</v>
      </c>
      <c r="D80" s="107" t="s">
        <v>4962</v>
      </c>
      <c r="E80" s="136" t="s">
        <v>99</v>
      </c>
      <c r="F80" s="106" t="s">
        <v>4963</v>
      </c>
      <c r="G80" s="137" t="n">
        <v>46074</v>
      </c>
      <c r="H80" s="106" t="s">
        <v>717</v>
      </c>
      <c r="I80" s="138" t="str">
        <f aca="false">IFERROR(VLOOKUP(TEXT(H80,"0"),IPRESS!$A$3:$B$212,2,0),"")</f>
        <v>YERBABUENA</v>
      </c>
      <c r="J80" s="106" t="s">
        <v>755</v>
      </c>
      <c r="K80" s="138" t="s">
        <v>14</v>
      </c>
      <c r="L80" s="50" t="n">
        <v>18.18</v>
      </c>
      <c r="M80" s="50" t="n">
        <v>6</v>
      </c>
      <c r="N80" s="139" t="n">
        <f aca="false">IFERROR(IF(L80*M80=0,"",L80*M80),"")</f>
        <v>109.08</v>
      </c>
      <c r="O80" s="106" t="s">
        <v>280</v>
      </c>
      <c r="P80" s="138" t="str">
        <f aca="false">IFERROR(VLOOKUP(TEXT(O80,"0"),CONDUCTORES!$A$3:$G$100,2,0),"")</f>
        <v>SANCHEZ CAJO VICENTE</v>
      </c>
      <c r="Q80" s="138" t="str">
        <f aca="false">IFERROR(VLOOKUP(TEXT(O80,"0"),CONDUCTORES!$A$3:$H$100,6,0),"")</f>
        <v>EGL-296</v>
      </c>
      <c r="R80" s="140"/>
      <c r="S80" s="107" t="s">
        <v>4964</v>
      </c>
      <c r="T80" s="136" t="s">
        <v>758</v>
      </c>
      <c r="U80" s="140"/>
      <c r="V80" s="107"/>
      <c r="W80" s="106"/>
      <c r="X80" s="106"/>
      <c r="Y80" s="85"/>
      <c r="Z80" s="157" t="str">
        <f aca="false">IF(AND(R80&lt;&gt;"",V80&lt;&gt;"",W80&lt;&gt;""),"ENTREGADO","POR RECOGER")</f>
        <v>POR RECOGER</v>
      </c>
      <c r="AA80" s="4"/>
      <c r="AB80" s="4"/>
      <c r="AC80" s="4"/>
    </row>
    <row r="81" customFormat="false" ht="15.75" hidden="false" customHeight="true" outlineLevel="0" collapsed="false">
      <c r="A81" s="46" t="n">
        <v>76</v>
      </c>
      <c r="B81" s="110"/>
      <c r="C81" s="46" t="s">
        <v>752</v>
      </c>
      <c r="D81" s="110" t="s">
        <v>4965</v>
      </c>
      <c r="E81" s="46" t="s">
        <v>99</v>
      </c>
      <c r="F81" s="46" t="s">
        <v>4966</v>
      </c>
      <c r="G81" s="142" t="n">
        <v>46074</v>
      </c>
      <c r="H81" s="46" t="s">
        <v>529</v>
      </c>
      <c r="I81" s="138" t="str">
        <f aca="false">IFERROR(VLOOKUP(TEXT(H81,"0"),IPRESS!$A$3:$B$212,2,0),"")</f>
        <v>MARIA AUXILIADORA</v>
      </c>
      <c r="J81" s="46" t="s">
        <v>755</v>
      </c>
      <c r="K81" s="138" t="s">
        <v>14</v>
      </c>
      <c r="L81" s="44" t="n">
        <v>20.25</v>
      </c>
      <c r="M81" s="44" t="n">
        <v>7</v>
      </c>
      <c r="N81" s="139" t="n">
        <f aca="false">IFERROR(IF(L81*M81=0,"",L81*M81),"")</f>
        <v>141.75</v>
      </c>
      <c r="O81" s="46" t="s">
        <v>139</v>
      </c>
      <c r="P81" s="138" t="str">
        <f aca="false">IFERROR(VLOOKUP(TEXT(O81,"0"),CONDUCTORES!$A$3:$G$100,2,0),"")</f>
        <v>PORTOCARRERO PELAEZ MIGUEL ANTONIO</v>
      </c>
      <c r="Q81" s="138" t="str">
        <f aca="false">IFERROR(VLOOKUP(TEXT(O81,"0"),CONDUCTORES!$A$3:$H$100,6,0),"")</f>
        <v>EUH-421</v>
      </c>
      <c r="R81" s="85"/>
      <c r="S81" s="110" t="s">
        <v>4967</v>
      </c>
      <c r="T81" s="46" t="s">
        <v>758</v>
      </c>
      <c r="U81" s="85"/>
      <c r="V81" s="110"/>
      <c r="W81" s="46"/>
      <c r="X81" s="46"/>
      <c r="Y81" s="85"/>
      <c r="Z81" s="157" t="str">
        <f aca="false">IF(AND(R81&lt;&gt;"",V81&lt;&gt;"",W81&lt;&gt;""),"ENTREGADO","POR RECOGER")</f>
        <v>POR RECOGER</v>
      </c>
      <c r="AA81" s="4"/>
      <c r="AB81" s="4"/>
      <c r="AC81" s="4"/>
    </row>
    <row r="82" customFormat="false" ht="15.75" hidden="false" customHeight="true" outlineLevel="0" collapsed="false">
      <c r="A82" s="143" t="n">
        <v>77</v>
      </c>
      <c r="B82" s="144"/>
      <c r="C82" s="143" t="s">
        <v>752</v>
      </c>
      <c r="D82" s="144" t="s">
        <v>4968</v>
      </c>
      <c r="E82" s="143" t="s">
        <v>99</v>
      </c>
      <c r="F82" s="143" t="s">
        <v>4969</v>
      </c>
      <c r="G82" s="145" t="n">
        <v>46074</v>
      </c>
      <c r="H82" s="143" t="s">
        <v>581</v>
      </c>
      <c r="I82" s="138" t="str">
        <f aca="false">IFERROR(VLOOKUP(TEXT(H82,"0"),IPRESS!$A$3:$B$212,2,0),"")</f>
        <v>PEDRO RUIZ GALLO</v>
      </c>
      <c r="J82" s="143" t="s">
        <v>755</v>
      </c>
      <c r="K82" s="164" t="s">
        <v>16</v>
      </c>
      <c r="L82" s="146" t="n">
        <v>17.95</v>
      </c>
      <c r="M82" s="146" t="n">
        <v>6</v>
      </c>
      <c r="N82" s="139" t="n">
        <f aca="false">IFERROR(IF(L82*M82=0,"",L82*M82),"")</f>
        <v>107.7</v>
      </c>
      <c r="O82" s="143" t="s">
        <v>234</v>
      </c>
      <c r="P82" s="138" t="str">
        <f aca="false">IFERROR(VLOOKUP(TEXT(O82,"0"),CONDUCTORES!$A$3:$G$100,2,0),"")</f>
        <v>MONTENEGRO RUIZ LUIS MIGUEL</v>
      </c>
      <c r="Q82" s="138" t="str">
        <f aca="false">IFERROR(VLOOKUP(TEXT(O82,"0"),CONDUCTORES!$A$3:$H$100,6,0),"")</f>
        <v>EUH-427</v>
      </c>
      <c r="R82" s="147"/>
      <c r="S82" s="144" t="s">
        <v>4970</v>
      </c>
      <c r="T82" s="143" t="s">
        <v>758</v>
      </c>
      <c r="U82" s="147"/>
      <c r="V82" s="144"/>
      <c r="W82" s="143"/>
      <c r="X82" s="143"/>
      <c r="Y82" s="85"/>
      <c r="Z82" s="157" t="str">
        <f aca="false">IF(AND(R82&lt;&gt;"",V82&lt;&gt;"",W82&lt;&gt;""),"ENTREGADO","POR RECOGER")</f>
        <v>POR RECOGER</v>
      </c>
      <c r="AA82" s="4"/>
      <c r="AB82" s="4"/>
      <c r="AC82" s="4"/>
    </row>
    <row r="83" customFormat="false" ht="15.75" hidden="false" customHeight="true" outlineLevel="0" collapsed="false">
      <c r="A83" s="46" t="n">
        <v>78</v>
      </c>
      <c r="B83" s="110"/>
      <c r="C83" s="46" t="s">
        <v>752</v>
      </c>
      <c r="D83" s="110" t="s">
        <v>4971</v>
      </c>
      <c r="E83" s="46" t="s">
        <v>99</v>
      </c>
      <c r="F83" s="46" t="s">
        <v>4972</v>
      </c>
      <c r="G83" s="142" t="n">
        <v>46074</v>
      </c>
      <c r="H83" s="46" t="s">
        <v>529</v>
      </c>
      <c r="I83" s="138" t="str">
        <f aca="false">IFERROR(VLOOKUP(TEXT(H83,"0"),IPRESS!$A$3:$B$212,2,0),"")</f>
        <v>MARIA AUXILIADORA</v>
      </c>
      <c r="J83" s="46" t="s">
        <v>755</v>
      </c>
      <c r="K83" s="138" t="s">
        <v>14</v>
      </c>
      <c r="L83" s="44" t="n">
        <v>20.25</v>
      </c>
      <c r="M83" s="44" t="n">
        <v>7</v>
      </c>
      <c r="N83" s="139" t="n">
        <f aca="false">IFERROR(IF(L83*M83=0,"",L83*M83),"")</f>
        <v>141.75</v>
      </c>
      <c r="O83" s="46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85"/>
      <c r="S83" s="110" t="s">
        <v>1276</v>
      </c>
      <c r="T83" s="46" t="s">
        <v>758</v>
      </c>
      <c r="U83" s="85"/>
      <c r="V83" s="110"/>
      <c r="W83" s="46"/>
      <c r="X83" s="46"/>
      <c r="Y83" s="85"/>
      <c r="Z83" s="157" t="str">
        <f aca="false">IF(AND(R83&lt;&gt;"",V83&lt;&gt;"",W83&lt;&gt;""),"ENTREGADO","POR RECOGER")</f>
        <v>POR RECOGER</v>
      </c>
      <c r="AA83" s="4"/>
      <c r="AB83" s="4"/>
      <c r="AC83" s="4"/>
    </row>
    <row r="84" customFormat="false" ht="15.75" hidden="false" customHeight="true" outlineLevel="0" collapsed="false">
      <c r="A84" s="106" t="n">
        <v>79</v>
      </c>
      <c r="B84" s="107"/>
      <c r="C84" s="106" t="s">
        <v>752</v>
      </c>
      <c r="D84" s="107" t="s">
        <v>4973</v>
      </c>
      <c r="E84" s="136" t="s">
        <v>99</v>
      </c>
      <c r="F84" s="106" t="s">
        <v>4974</v>
      </c>
      <c r="G84" s="137" t="n">
        <v>46075</v>
      </c>
      <c r="H84" s="106" t="s">
        <v>407</v>
      </c>
      <c r="I84" s="138" t="str">
        <f aca="false">IFERROR(VLOOKUP(TEXT(H84,"0"),IPRESS!$A$3:$B$212,2,0),"")</f>
        <v>COCOCHO</v>
      </c>
      <c r="J84" s="106" t="s">
        <v>1216</v>
      </c>
      <c r="K84" s="138" t="s">
        <v>14</v>
      </c>
      <c r="L84" s="50" t="n">
        <v>18.18</v>
      </c>
      <c r="M84" s="50" t="n">
        <v>20</v>
      </c>
      <c r="N84" s="139" t="n">
        <f aca="false">IFERROR(IF(L84*M84=0,"",L84*M84),"")</f>
        <v>363.6</v>
      </c>
      <c r="O84" s="81" t="s">
        <v>306</v>
      </c>
      <c r="P84" s="138" t="str">
        <f aca="false">IFERROR(VLOOKUP(TEXT(O84,"0"),CONDUCTORES!$A$3:$G$100,2,0),"")</f>
        <v>NAIDER TELLO ESTELA</v>
      </c>
      <c r="Q84" s="138" t="str">
        <f aca="false">IFERROR(VLOOKUP(TEXT(O84,"0"),CONDUCTORES!$A$3:$H$100,6,0),"")</f>
        <v>EUH-708</v>
      </c>
      <c r="R84" s="140"/>
      <c r="S84" s="107" t="s">
        <v>891</v>
      </c>
      <c r="T84" s="136" t="s">
        <v>758</v>
      </c>
      <c r="U84" s="140"/>
      <c r="V84" s="107"/>
      <c r="W84" s="106"/>
      <c r="X84" s="106"/>
      <c r="Y84" s="85"/>
      <c r="Z84" s="157" t="str">
        <f aca="false">IF(AND(R84&lt;&gt;"",V84&lt;&gt;"",W84&lt;&gt;""),"ENTREGADO","POR RECOGER")</f>
        <v>POR RECOGER</v>
      </c>
      <c r="AA84" s="4"/>
      <c r="AB84" s="4"/>
      <c r="AC84" s="4"/>
    </row>
    <row r="85" customFormat="false" ht="15.75" hidden="false" customHeight="true" outlineLevel="0" collapsed="false">
      <c r="A85" s="46" t="n">
        <v>80</v>
      </c>
      <c r="B85" s="110"/>
      <c r="C85" s="46" t="s">
        <v>752</v>
      </c>
      <c r="D85" s="110" t="s">
        <v>4975</v>
      </c>
      <c r="E85" s="46" t="s">
        <v>99</v>
      </c>
      <c r="F85" s="46" t="s">
        <v>4976</v>
      </c>
      <c r="G85" s="142" t="n">
        <v>46076</v>
      </c>
      <c r="H85" s="46" t="s">
        <v>717</v>
      </c>
      <c r="I85" s="138" t="str">
        <f aca="false">IFERROR(VLOOKUP(TEXT(H85,"0"),IPRESS!$A$3:$B$212,2,0),"")</f>
        <v>YERBABUENA</v>
      </c>
      <c r="J85" s="46" t="s">
        <v>755</v>
      </c>
      <c r="K85" s="138" t="s">
        <v>14</v>
      </c>
      <c r="L85" s="44" t="n">
        <v>18.18</v>
      </c>
      <c r="M85" s="44" t="n">
        <v>6</v>
      </c>
      <c r="N85" s="139" t="n">
        <f aca="false">IFERROR(IF(L85*M85=0,"",L85*M85),"")</f>
        <v>109.08</v>
      </c>
      <c r="O85" s="46" t="s">
        <v>280</v>
      </c>
      <c r="P85" s="138" t="str">
        <f aca="false">IFERROR(VLOOKUP(TEXT(O85,"0"),CONDUCTORES!$A$3:$G$100,2,0),"")</f>
        <v>SANCHEZ CAJO VICENTE</v>
      </c>
      <c r="Q85" s="138" t="str">
        <f aca="false">IFERROR(VLOOKUP(TEXT(O85,"0"),CONDUCTORES!$A$3:$H$100,6,0),"")</f>
        <v>EGL-296</v>
      </c>
      <c r="R85" s="85"/>
      <c r="S85" s="110" t="s">
        <v>4977</v>
      </c>
      <c r="T85" s="46" t="s">
        <v>758</v>
      </c>
      <c r="U85" s="85"/>
      <c r="V85" s="110"/>
      <c r="W85" s="46"/>
      <c r="X85" s="46"/>
      <c r="Y85" s="85"/>
      <c r="Z85" s="157" t="str">
        <f aca="false">IF(AND(R85&lt;&gt;"",V85&lt;&gt;"",W85&lt;&gt;""),"ENTREGADO","POR RECOGER")</f>
        <v>POR RECOGER</v>
      </c>
      <c r="AA85" s="4"/>
      <c r="AB85" s="4"/>
      <c r="AC85" s="4"/>
    </row>
    <row r="86" customFormat="false" ht="15.75" hidden="false" customHeight="true" outlineLevel="0" collapsed="false">
      <c r="A86" s="106" t="n">
        <v>81</v>
      </c>
      <c r="B86" s="107"/>
      <c r="C86" s="106" t="s">
        <v>752</v>
      </c>
      <c r="D86" s="107" t="s">
        <v>4978</v>
      </c>
      <c r="E86" s="136" t="s">
        <v>99</v>
      </c>
      <c r="F86" s="106" t="s">
        <v>4979</v>
      </c>
      <c r="G86" s="137" t="n">
        <v>46076</v>
      </c>
      <c r="H86" s="106" t="s">
        <v>529</v>
      </c>
      <c r="I86" s="138" t="str">
        <f aca="false">IFERROR(VLOOKUP(TEXT(H86,"0"),IPRESS!$A$3:$B$212,2,0),"")</f>
        <v>MARIA AUXILIADORA</v>
      </c>
      <c r="J86" s="106" t="s">
        <v>755</v>
      </c>
      <c r="K86" s="138" t="s">
        <v>14</v>
      </c>
      <c r="L86" s="50" t="n">
        <v>20.25</v>
      </c>
      <c r="M86" s="50" t="n">
        <v>7</v>
      </c>
      <c r="N86" s="139" t="n">
        <f aca="false">IFERROR(IF(L86*M86=0,"",L86*M86),"")</f>
        <v>141.75</v>
      </c>
      <c r="O86" s="106" t="s">
        <v>133</v>
      </c>
      <c r="P86" s="138" t="str">
        <f aca="false">IFERROR(VLOOKUP(TEXT(O86,"0"),CONDUCTORES!$A$3:$G$100,2,0),"")</f>
        <v>TRIGOSO TAFUR JOSE GILBER</v>
      </c>
      <c r="Q86" s="138" t="str">
        <f aca="false">IFERROR(VLOOKUP(TEXT(O86,"0"),CONDUCTORES!$A$3:$H$100,6,0),"")</f>
        <v>EUH 421</v>
      </c>
      <c r="R86" s="140"/>
      <c r="S86" s="107" t="s">
        <v>4980</v>
      </c>
      <c r="T86" s="136" t="s">
        <v>758</v>
      </c>
      <c r="U86" s="140"/>
      <c r="V86" s="107"/>
      <c r="W86" s="106"/>
      <c r="X86" s="106"/>
      <c r="Y86" s="85"/>
      <c r="Z86" s="157" t="str">
        <f aca="false">IF(AND(R86&lt;&gt;"",V86&lt;&gt;"",W86&lt;&gt;""),"ENTREGADO","POR RECOGER")</f>
        <v>POR RECOGER</v>
      </c>
      <c r="AA86" s="4"/>
      <c r="AB86" s="4"/>
      <c r="AC86" s="4"/>
    </row>
    <row r="87" customFormat="false" ht="15.75" hidden="false" customHeight="true" outlineLevel="0" collapsed="false">
      <c r="A87" s="46" t="n">
        <v>82</v>
      </c>
      <c r="B87" s="110"/>
      <c r="C87" s="46" t="s">
        <v>752</v>
      </c>
      <c r="D87" s="110" t="s">
        <v>4981</v>
      </c>
      <c r="E87" s="46" t="s">
        <v>99</v>
      </c>
      <c r="F87" s="46" t="s">
        <v>4982</v>
      </c>
      <c r="G87" s="142" t="n">
        <v>46077</v>
      </c>
      <c r="H87" s="46" t="s">
        <v>529</v>
      </c>
      <c r="I87" s="138" t="str">
        <f aca="false">IFERROR(VLOOKUP(TEXT(H87,"0"),IPRESS!$A$3:$B$212,2,0),"")</f>
        <v>MARIA AUXILIADORA</v>
      </c>
      <c r="J87" s="46" t="s">
        <v>755</v>
      </c>
      <c r="K87" s="138" t="s">
        <v>14</v>
      </c>
      <c r="L87" s="44" t="n">
        <v>20.25</v>
      </c>
      <c r="M87" s="44" t="n">
        <v>7</v>
      </c>
      <c r="N87" s="139" t="n">
        <f aca="false">IFERROR(IF(L87*M87=0,"",L87*M87),"")</f>
        <v>141.75</v>
      </c>
      <c r="O87" s="46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85"/>
      <c r="S87" s="110" t="s">
        <v>4983</v>
      </c>
      <c r="T87" s="46" t="s">
        <v>758</v>
      </c>
      <c r="U87" s="85"/>
      <c r="V87" s="110"/>
      <c r="W87" s="46"/>
      <c r="X87" s="46"/>
      <c r="Y87" s="85"/>
      <c r="Z87" s="157" t="str">
        <f aca="false">IF(AND(R87&lt;&gt;"",V87&lt;&gt;"",W87&lt;&gt;""),"ENTREGADO","POR RECOGER")</f>
        <v>POR RECOGER</v>
      </c>
      <c r="AA87" s="4"/>
      <c r="AB87" s="4"/>
      <c r="AC87" s="4"/>
    </row>
    <row r="88" customFormat="false" ht="15.75" hidden="false" customHeight="true" outlineLevel="0" collapsed="false">
      <c r="A88" s="143" t="n">
        <v>83</v>
      </c>
      <c r="B88" s="144"/>
      <c r="C88" s="143" t="s">
        <v>752</v>
      </c>
      <c r="D88" s="144" t="s">
        <v>4984</v>
      </c>
      <c r="E88" s="143" t="s">
        <v>99</v>
      </c>
      <c r="F88" s="143" t="s">
        <v>4985</v>
      </c>
      <c r="G88" s="145" t="n">
        <v>46077</v>
      </c>
      <c r="H88" s="143" t="s">
        <v>581</v>
      </c>
      <c r="I88" s="138" t="str">
        <f aca="false">IFERROR(VLOOKUP(TEXT(H88,"0"),IPRESS!$A$3:$B$212,2,0),"")</f>
        <v>PEDRO RUIZ GALLO</v>
      </c>
      <c r="J88" s="143" t="s">
        <v>755</v>
      </c>
      <c r="K88" s="164" t="s">
        <v>16</v>
      </c>
      <c r="L88" s="146" t="n">
        <v>17.95</v>
      </c>
      <c r="M88" s="146" t="n">
        <v>6</v>
      </c>
      <c r="N88" s="139" t="n">
        <f aca="false">IFERROR(IF(L88*M88=0,"",L88*M88),"")</f>
        <v>107.7</v>
      </c>
      <c r="O88" s="143" t="s">
        <v>230</v>
      </c>
      <c r="P88" s="138" t="str">
        <f aca="false">IFERROR(VLOOKUP(TEXT(O88,"0"),CONDUCTORES!$A$3:$G$100,2,0),"")</f>
        <v>MUNOZ VERGARAY JORGE ENRRIQUE</v>
      </c>
      <c r="Q88" s="138" t="str">
        <f aca="false">IFERROR(VLOOKUP(TEXT(O88,"0"),CONDUCTORES!$A$3:$H$100,6,0),"")</f>
        <v>EUH 427</v>
      </c>
      <c r="R88" s="147"/>
      <c r="S88" s="144" t="s">
        <v>1276</v>
      </c>
      <c r="T88" s="143" t="s">
        <v>758</v>
      </c>
      <c r="U88" s="147"/>
      <c r="V88" s="144"/>
      <c r="W88" s="143"/>
      <c r="X88" s="143"/>
      <c r="Y88" s="85"/>
      <c r="Z88" s="157" t="str">
        <f aca="false">IF(AND(R88&lt;&gt;"",V88&lt;&gt;"",W88&lt;&gt;""),"ENTREGADO","POR RECOGER")</f>
        <v>POR RECOGER</v>
      </c>
      <c r="AA88" s="4"/>
      <c r="AB88" s="4"/>
      <c r="AC88" s="4"/>
    </row>
    <row r="89" customFormat="false" ht="15.75" hidden="false" customHeight="true" outlineLevel="0" collapsed="false">
      <c r="A89" s="46" t="n">
        <v>84</v>
      </c>
      <c r="B89" s="110"/>
      <c r="C89" s="46" t="s">
        <v>752</v>
      </c>
      <c r="D89" s="110" t="s">
        <v>4986</v>
      </c>
      <c r="E89" s="46" t="s">
        <v>99</v>
      </c>
      <c r="F89" s="46" t="s">
        <v>4987</v>
      </c>
      <c r="G89" s="142" t="n">
        <v>46077</v>
      </c>
      <c r="H89" s="46" t="s">
        <v>581</v>
      </c>
      <c r="I89" s="138" t="str">
        <f aca="false">IFERROR(VLOOKUP(TEXT(H89,"0"),IPRESS!$A$3:$B$212,2,0),"")</f>
        <v>PEDRO RUIZ GALLO</v>
      </c>
      <c r="J89" s="46" t="s">
        <v>755</v>
      </c>
      <c r="K89" s="138" t="s">
        <v>14</v>
      </c>
      <c r="L89" s="44" t="n">
        <v>18.18</v>
      </c>
      <c r="M89" s="44" t="n">
        <v>5</v>
      </c>
      <c r="N89" s="139" t="n">
        <f aca="false">IFERROR(IF(L89*M89=0,"",L89*M89),"")</f>
        <v>90.9</v>
      </c>
      <c r="O89" s="46" t="s">
        <v>234</v>
      </c>
      <c r="P89" s="138" t="str">
        <f aca="false">IFERROR(VLOOKUP(TEXT(O89,"0"),CONDUCTORES!$A$3:$G$100,2,0),"")</f>
        <v>MONTENEGRO RUIZ LUIS MIGUEL</v>
      </c>
      <c r="Q89" s="138" t="str">
        <f aca="false">IFERROR(VLOOKUP(TEXT(O89,"0"),CONDUCTORES!$A$3:$H$100,6,0),"")</f>
        <v>EUH-427</v>
      </c>
      <c r="R89" s="85"/>
      <c r="S89" s="110" t="s">
        <v>4988</v>
      </c>
      <c r="T89" s="46" t="s">
        <v>758</v>
      </c>
      <c r="U89" s="85"/>
      <c r="V89" s="110"/>
      <c r="W89" s="46"/>
      <c r="X89" s="46"/>
      <c r="Y89" s="85"/>
      <c r="Z89" s="157" t="str">
        <f aca="false">IF(AND(R89&lt;&gt;"",V89&lt;&gt;"",W89&lt;&gt;""),"ENTREGADO","POR RECOGER")</f>
        <v>POR RECOGER</v>
      </c>
      <c r="AA89" s="4"/>
      <c r="AB89" s="4"/>
      <c r="AC89" s="4"/>
    </row>
    <row r="90" customFormat="false" ht="15.75" hidden="false" customHeight="true" outlineLevel="0" collapsed="false">
      <c r="A90" s="106" t="n">
        <v>85</v>
      </c>
      <c r="B90" s="107"/>
      <c r="C90" s="106" t="s">
        <v>752</v>
      </c>
      <c r="D90" s="107" t="s">
        <v>4989</v>
      </c>
      <c r="E90" s="136" t="s">
        <v>99</v>
      </c>
      <c r="F90" s="106" t="s">
        <v>4990</v>
      </c>
      <c r="G90" s="137" t="n">
        <v>46077</v>
      </c>
      <c r="H90" s="106" t="s">
        <v>595</v>
      </c>
      <c r="I90" s="138" t="str">
        <f aca="false">IFERROR(VLOOKUP(TEXT(H90,"0"),IPRESS!$A$3:$B$212,2,0),"")</f>
        <v>POMACOCHAS</v>
      </c>
      <c r="J90" s="106" t="s">
        <v>755</v>
      </c>
      <c r="K90" s="138" t="s">
        <v>14</v>
      </c>
      <c r="L90" s="50" t="n">
        <v>18.18</v>
      </c>
      <c r="M90" s="50" t="n">
        <v>6</v>
      </c>
      <c r="N90" s="139" t="n">
        <f aca="false">IFERROR(IF(L90*M90=0,"",L90*M90),"")</f>
        <v>109.08</v>
      </c>
      <c r="O90" s="106" t="s">
        <v>243</v>
      </c>
      <c r="P90" s="138" t="str">
        <f aca="false">IFERROR(VLOOKUP(TEXT(O90,"0"),CONDUCTORES!$A$3:$G$100,2,0),"")</f>
        <v>CHICANA LOPEZ MANUEL HECTOR</v>
      </c>
      <c r="Q90" s="138" t="str">
        <f aca="false">IFERROR(VLOOKUP(TEXT(O90,"0"),CONDUCTORES!$A$3:$H$100,6,0),"")</f>
        <v>EUH747</v>
      </c>
      <c r="R90" s="140"/>
      <c r="S90" s="107" t="s">
        <v>4991</v>
      </c>
      <c r="T90" s="136" t="s">
        <v>758</v>
      </c>
      <c r="U90" s="140"/>
      <c r="V90" s="107"/>
      <c r="W90" s="106"/>
      <c r="X90" s="106"/>
      <c r="Y90" s="85"/>
      <c r="Z90" s="157" t="str">
        <f aca="false">IF(AND(R90&lt;&gt;"",V90&lt;&gt;"",W90&lt;&gt;""),"ENTREGADO","POR RECOGER")</f>
        <v>POR RECOGER</v>
      </c>
      <c r="AA90" s="4"/>
      <c r="AB90" s="4"/>
      <c r="AC90" s="4"/>
    </row>
    <row r="91" customFormat="false" ht="15.75" hidden="false" customHeight="true" outlineLevel="0" collapsed="false">
      <c r="A91" s="46" t="n">
        <v>86</v>
      </c>
      <c r="B91" s="110"/>
      <c r="C91" s="46" t="s">
        <v>752</v>
      </c>
      <c r="D91" s="110" t="s">
        <v>4992</v>
      </c>
      <c r="E91" s="46" t="s">
        <v>99</v>
      </c>
      <c r="F91" s="46" t="s">
        <v>4993</v>
      </c>
      <c r="G91" s="142" t="n">
        <v>46077</v>
      </c>
      <c r="H91" s="46" t="s">
        <v>529</v>
      </c>
      <c r="I91" s="138" t="str">
        <f aca="false">IFERROR(VLOOKUP(TEXT(H91,"0"),IPRESS!$A$3:$B$212,2,0),"")</f>
        <v>MARIA AUXILIADORA</v>
      </c>
      <c r="J91" s="46" t="s">
        <v>755</v>
      </c>
      <c r="K91" s="138" t="s">
        <v>14</v>
      </c>
      <c r="L91" s="44" t="n">
        <v>18.18</v>
      </c>
      <c r="M91" s="44" t="n">
        <v>10</v>
      </c>
      <c r="N91" s="139" t="n">
        <f aca="false">IFERROR(IF(L91*M91=0,"",L91*M91),"")</f>
        <v>181.8</v>
      </c>
      <c r="O91" s="46" t="s">
        <v>153</v>
      </c>
      <c r="P91" s="138" t="str">
        <f aca="false">IFERROR(VLOOKUP(TEXT(O91,"0"),CONDUCTORES!$A$3:$G$100,2,0),"")</f>
        <v>LOPEZ HOYOS MIGUEL ANGEL</v>
      </c>
      <c r="Q91" s="138" t="str">
        <f aca="false">IFERROR(VLOOKUP(TEXT(O91,"0"),CONDUCTORES!$A$3:$H$100,6,0),"")</f>
        <v>EUH-698</v>
      </c>
      <c r="R91" s="85"/>
      <c r="S91" s="110" t="s">
        <v>4994</v>
      </c>
      <c r="T91" s="46" t="s">
        <v>758</v>
      </c>
      <c r="U91" s="85"/>
      <c r="V91" s="110"/>
      <c r="W91" s="46"/>
      <c r="X91" s="46"/>
      <c r="Y91" s="85"/>
      <c r="Z91" s="157" t="str">
        <f aca="false">IF(AND(R91&lt;&gt;"",V91&lt;&gt;"",W91&lt;&gt;""),"ENTREGADO","POR RECOGER")</f>
        <v>POR RECOGER</v>
      </c>
      <c r="AA91" s="4"/>
      <c r="AB91" s="4"/>
      <c r="AC91" s="4"/>
    </row>
    <row r="92" customFormat="false" ht="15.75" hidden="false" customHeight="true" outlineLevel="0" collapsed="false">
      <c r="A92" s="106" t="n">
        <v>87</v>
      </c>
      <c r="B92" s="107"/>
      <c r="C92" s="106" t="s">
        <v>752</v>
      </c>
      <c r="D92" s="107" t="s">
        <v>4995</v>
      </c>
      <c r="E92" s="136" t="s">
        <v>99</v>
      </c>
      <c r="F92" s="106" t="s">
        <v>4996</v>
      </c>
      <c r="G92" s="137" t="n">
        <v>46077</v>
      </c>
      <c r="H92" s="106" t="s">
        <v>480</v>
      </c>
      <c r="I92" s="138" t="str">
        <f aca="false">IFERROR(VLOOKUP(TEXT(H92,"0"),IPRESS!$A$3:$B$212,2,0),"")</f>
        <v>JALCA GRANDE</v>
      </c>
      <c r="J92" s="106" t="s">
        <v>755</v>
      </c>
      <c r="K92" s="138" t="s">
        <v>14</v>
      </c>
      <c r="L92" s="50" t="n">
        <v>18.18</v>
      </c>
      <c r="M92" s="50" t="n">
        <v>7</v>
      </c>
      <c r="N92" s="139" t="n">
        <f aca="false">IFERROR(IF(L92*M92=0,"",L92*M92),"")</f>
        <v>127.26</v>
      </c>
      <c r="O92" s="106" t="s">
        <v>159</v>
      </c>
      <c r="P92" s="138" t="str">
        <f aca="false">IFERROR(VLOOKUP(TEXT(O92,"0"),CONDUCTORES!$A$3:$G$100,2,0),"")</f>
        <v>LEIVA LARA JUNIOR</v>
      </c>
      <c r="Q92" s="138" t="str">
        <f aca="false">IFERROR(VLOOKUP(TEXT(O92,"0"),CONDUCTORES!$A$3:$H$100,6,0),"")</f>
        <v>EUC 959</v>
      </c>
      <c r="R92" s="140"/>
      <c r="S92" s="107" t="s">
        <v>4997</v>
      </c>
      <c r="T92" s="136" t="s">
        <v>758</v>
      </c>
      <c r="U92" s="140"/>
      <c r="V92" s="107"/>
      <c r="W92" s="106"/>
      <c r="X92" s="106"/>
      <c r="Y92" s="85"/>
      <c r="Z92" s="157" t="str">
        <f aca="false">IF(AND(R92&lt;&gt;"",V92&lt;&gt;"",W92&lt;&gt;""),"ENTREGADO","POR RECOGER")</f>
        <v>POR RECOGER</v>
      </c>
      <c r="AA92" s="4"/>
      <c r="AB92" s="4"/>
      <c r="AC92" s="4"/>
    </row>
    <row r="93" customFormat="false" ht="15.75" hidden="false" customHeight="true" outlineLevel="0" collapsed="false">
      <c r="A93" s="46" t="n">
        <v>88</v>
      </c>
      <c r="B93" s="110"/>
      <c r="C93" s="46" t="s">
        <v>752</v>
      </c>
      <c r="D93" s="110" t="s">
        <v>4998</v>
      </c>
      <c r="E93" s="46" t="s">
        <v>99</v>
      </c>
      <c r="F93" s="46" t="s">
        <v>4999</v>
      </c>
      <c r="G93" s="142" t="n">
        <v>46078</v>
      </c>
      <c r="H93" s="46" t="s">
        <v>581</v>
      </c>
      <c r="I93" s="138" t="str">
        <f aca="false">IFERROR(VLOOKUP(TEXT(H93,"0"),IPRESS!$A$3:$B$212,2,0),"")</f>
        <v>PEDRO RUIZ GALLO</v>
      </c>
      <c r="J93" s="46" t="s">
        <v>755</v>
      </c>
      <c r="K93" s="138" t="s">
        <v>14</v>
      </c>
      <c r="L93" s="44" t="n">
        <v>18.18</v>
      </c>
      <c r="M93" s="44" t="n">
        <v>5</v>
      </c>
      <c r="N93" s="139" t="n">
        <f aca="false">IFERROR(IF(L93*M93=0,"",L93*M93),"")</f>
        <v>90.9</v>
      </c>
      <c r="O93" s="46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85"/>
      <c r="S93" s="110" t="s">
        <v>5000</v>
      </c>
      <c r="T93" s="46" t="s">
        <v>758</v>
      </c>
      <c r="U93" s="85"/>
      <c r="V93" s="110"/>
      <c r="W93" s="46"/>
      <c r="X93" s="46"/>
      <c r="Y93" s="85"/>
      <c r="Z93" s="157" t="str">
        <f aca="false">IF(AND(R93&lt;&gt;"",V93&lt;&gt;"",W93&lt;&gt;""),"ENTREGADO","POR RECOGER")</f>
        <v>POR RECOGER</v>
      </c>
      <c r="AA93" s="4"/>
      <c r="AB93" s="4"/>
      <c r="AC93" s="4"/>
    </row>
    <row r="94" customFormat="false" ht="15.75" hidden="false" customHeight="true" outlineLevel="0" collapsed="false">
      <c r="A94" s="106" t="n">
        <v>89</v>
      </c>
      <c r="B94" s="107"/>
      <c r="C94" s="106" t="s">
        <v>752</v>
      </c>
      <c r="D94" s="107" t="s">
        <v>5001</v>
      </c>
      <c r="E94" s="136" t="s">
        <v>99</v>
      </c>
      <c r="F94" s="106" t="s">
        <v>5002</v>
      </c>
      <c r="G94" s="137" t="n">
        <v>46078</v>
      </c>
      <c r="H94" s="106" t="s">
        <v>581</v>
      </c>
      <c r="I94" s="138" t="str">
        <f aca="false">IFERROR(VLOOKUP(TEXT(H94,"0"),IPRESS!$A$3:$B$212,2,0),"")</f>
        <v>PEDRO RUIZ GALLO</v>
      </c>
      <c r="J94" s="106" t="s">
        <v>755</v>
      </c>
      <c r="K94" s="138" t="s">
        <v>14</v>
      </c>
      <c r="L94" s="50" t="n">
        <v>18.18</v>
      </c>
      <c r="M94" s="50" t="n">
        <v>5</v>
      </c>
      <c r="N94" s="139" t="n">
        <f aca="false">IFERROR(IF(L94*M94=0,"",L94*M94),"")</f>
        <v>90.9</v>
      </c>
      <c r="O94" s="106" t="s">
        <v>230</v>
      </c>
      <c r="P94" s="138" t="str">
        <f aca="false">IFERROR(VLOOKUP(TEXT(O94,"0"),CONDUCTORES!$A$3:$G$100,2,0),"")</f>
        <v>MUNOZ VERGARAY JORGE ENRRIQUE</v>
      </c>
      <c r="Q94" s="138" t="str">
        <f aca="false">IFERROR(VLOOKUP(TEXT(O94,"0"),CONDUCTORES!$A$3:$H$100,6,0),"")</f>
        <v>EUH 427</v>
      </c>
      <c r="R94" s="140"/>
      <c r="S94" s="107" t="s">
        <v>5003</v>
      </c>
      <c r="T94" s="136" t="s">
        <v>758</v>
      </c>
      <c r="U94" s="140"/>
      <c r="V94" s="107"/>
      <c r="W94" s="106"/>
      <c r="X94" s="106"/>
      <c r="Y94" s="85"/>
      <c r="Z94" s="157" t="str">
        <f aca="false">IF(AND(R94&lt;&gt;"",V94&lt;&gt;"",W94&lt;&gt;""),"ENTREGADO","POR RECOGER")</f>
        <v>POR RECOGER</v>
      </c>
      <c r="AA94" s="4"/>
      <c r="AB94" s="4"/>
      <c r="AC94" s="4"/>
    </row>
    <row r="95" customFormat="false" ht="15.75" hidden="false" customHeight="true" outlineLevel="0" collapsed="false">
      <c r="A95" s="46" t="n">
        <v>90</v>
      </c>
      <c r="B95" s="110"/>
      <c r="C95" s="46" t="s">
        <v>752</v>
      </c>
      <c r="D95" s="110" t="s">
        <v>5004</v>
      </c>
      <c r="E95" s="46" t="s">
        <v>99</v>
      </c>
      <c r="F95" s="46" t="s">
        <v>5005</v>
      </c>
      <c r="G95" s="142" t="n">
        <v>46078</v>
      </c>
      <c r="H95" s="46" t="s">
        <v>595</v>
      </c>
      <c r="I95" s="138" t="str">
        <f aca="false">IFERROR(VLOOKUP(TEXT(H95,"0"),IPRESS!$A$3:$B$212,2,0),"")</f>
        <v>POMACOCHAS</v>
      </c>
      <c r="J95" s="46" t="s">
        <v>755</v>
      </c>
      <c r="K95" s="138" t="s">
        <v>14</v>
      </c>
      <c r="L95" s="44" t="n">
        <v>18.18</v>
      </c>
      <c r="M95" s="44" t="n">
        <v>6</v>
      </c>
      <c r="N95" s="139" t="n">
        <f aca="false">IFERROR(IF(L95*M95=0,"",L95*M95),"")</f>
        <v>109.08</v>
      </c>
      <c r="O95" s="46" t="s">
        <v>248</v>
      </c>
      <c r="P95" s="138" t="str">
        <f aca="false">IFERROR(VLOOKUP(TEXT(O95,"0"),CONDUCTORES!$A$3:$G$100,2,0),"")</f>
        <v>CARRERA ARAUJO JEINER</v>
      </c>
      <c r="Q95" s="138" t="str">
        <f aca="false">IFERROR(VLOOKUP(TEXT(O95,"0"),CONDUCTORES!$A$3:$H$100,6,0),"")</f>
        <v>EUH747</v>
      </c>
      <c r="R95" s="85"/>
      <c r="S95" s="110" t="s">
        <v>5006</v>
      </c>
      <c r="T95" s="46" t="s">
        <v>758</v>
      </c>
      <c r="U95" s="85"/>
      <c r="V95" s="110"/>
      <c r="W95" s="46"/>
      <c r="X95" s="46"/>
      <c r="Y95" s="85"/>
      <c r="Z95" s="157" t="str">
        <f aca="false">IF(AND(R95&lt;&gt;"",V95&lt;&gt;"",W95&lt;&gt;""),"ENTREGADO","POR RECOGER")</f>
        <v>POR RECOGER</v>
      </c>
      <c r="AA95" s="4"/>
      <c r="AB95" s="4"/>
      <c r="AC95" s="4"/>
    </row>
    <row r="96" customFormat="false" ht="15.75" hidden="false" customHeight="true" outlineLevel="0" collapsed="false">
      <c r="A96" s="106" t="n">
        <v>91</v>
      </c>
      <c r="B96" s="107"/>
      <c r="C96" s="106" t="s">
        <v>752</v>
      </c>
      <c r="D96" s="107" t="s">
        <v>5007</v>
      </c>
      <c r="E96" s="136" t="s">
        <v>99</v>
      </c>
      <c r="F96" s="106" t="s">
        <v>5008</v>
      </c>
      <c r="G96" s="137" t="n">
        <v>46079</v>
      </c>
      <c r="H96" s="106" t="s">
        <v>529</v>
      </c>
      <c r="I96" s="138" t="str">
        <f aca="false">IFERROR(VLOOKUP(TEXT(H96,"0"),IPRESS!$A$3:$B$212,2,0),"")</f>
        <v>MARIA AUXILIADORA</v>
      </c>
      <c r="J96" s="106" t="s">
        <v>755</v>
      </c>
      <c r="K96" s="138" t="s">
        <v>14</v>
      </c>
      <c r="L96" s="50" t="n">
        <v>20.25</v>
      </c>
      <c r="M96" s="50" t="n">
        <v>7</v>
      </c>
      <c r="N96" s="139" t="n">
        <f aca="false">IFERROR(IF(L96*M96=0,"",L96*M96),"")</f>
        <v>141.75</v>
      </c>
      <c r="O96" s="106" t="s">
        <v>139</v>
      </c>
      <c r="P96" s="138" t="str">
        <f aca="false">IFERROR(VLOOKUP(TEXT(O96,"0"),CONDUCTORES!$A$3:$G$100,2,0),"")</f>
        <v>PORTOCARRERO PELAEZ MIGUEL ANTONIO</v>
      </c>
      <c r="Q96" s="138" t="str">
        <f aca="false">IFERROR(VLOOKUP(TEXT(O96,"0"),CONDUCTORES!$A$3:$H$100,6,0),"")</f>
        <v>EUH-421</v>
      </c>
      <c r="R96" s="140"/>
      <c r="S96" s="107" t="s">
        <v>5009</v>
      </c>
      <c r="T96" s="136" t="s">
        <v>758</v>
      </c>
      <c r="U96" s="140"/>
      <c r="V96" s="107"/>
      <c r="W96" s="106"/>
      <c r="X96" s="106"/>
      <c r="Y96" s="85"/>
      <c r="Z96" s="157" t="str">
        <f aca="false">IF(AND(R96&lt;&gt;"",V96&lt;&gt;"",W96&lt;&gt;""),"ENTREGADO","POR RECOGER")</f>
        <v>POR RECOGER</v>
      </c>
      <c r="AA96" s="4"/>
      <c r="AB96" s="4"/>
      <c r="AC96" s="4"/>
    </row>
    <row r="97" customFormat="false" ht="15.75" hidden="false" customHeight="true" outlineLevel="0" collapsed="false">
      <c r="A97" s="158" t="n">
        <v>92</v>
      </c>
      <c r="B97" s="159"/>
      <c r="C97" s="158" t="s">
        <v>752</v>
      </c>
      <c r="D97" s="159" t="s">
        <v>5010</v>
      </c>
      <c r="E97" s="158" t="s">
        <v>99</v>
      </c>
      <c r="F97" s="158" t="s">
        <v>5011</v>
      </c>
      <c r="G97" s="160" t="n">
        <v>46079</v>
      </c>
      <c r="H97" s="158" t="s">
        <v>529</v>
      </c>
      <c r="I97" s="138" t="str">
        <f aca="false">IFERROR(VLOOKUP(TEXT(H97,"0"),IPRESS!$A$3:$B$212,2,0),"")</f>
        <v>MARIA AUXILIADORA</v>
      </c>
      <c r="J97" s="158" t="s">
        <v>755</v>
      </c>
      <c r="K97" s="138" t="s">
        <v>14</v>
      </c>
      <c r="L97" s="161" t="n">
        <v>20.25</v>
      </c>
      <c r="M97" s="161" t="n">
        <v>10</v>
      </c>
      <c r="N97" s="139" t="n">
        <f aca="false">IFERROR(IF(L97*M97=0,"",L97*M97),"")</f>
        <v>202.5</v>
      </c>
      <c r="O97" s="158" t="s">
        <v>225</v>
      </c>
      <c r="P97" s="138" t="str">
        <f aca="false">IFERROR(VLOOKUP(TEXT(O97,"0"),CONDUCTORES!$A$3:$G$100,2,0),"")</f>
        <v>LOPEZ VARGAS HUBER</v>
      </c>
      <c r="Q97" s="138" t="str">
        <f aca="false">IFERROR(VLOOKUP(TEXT(O97,"0"),CONDUCTORES!$A$3:$H$100,6,0),"")</f>
        <v>EUH 634</v>
      </c>
      <c r="R97" s="162"/>
      <c r="S97" s="159" t="s">
        <v>1044</v>
      </c>
      <c r="T97" s="158" t="s">
        <v>758</v>
      </c>
      <c r="U97" s="162"/>
      <c r="V97" s="159"/>
      <c r="W97" s="158"/>
      <c r="X97" s="158"/>
      <c r="Y97" s="163" t="s">
        <v>68</v>
      </c>
      <c r="Z97" s="157" t="str">
        <f aca="false">IF(AND(R97&lt;&gt;"",V97&lt;&gt;"",W97&lt;&gt;""),"ENTREGADO","POR RECOGER")</f>
        <v>POR RECOGER</v>
      </c>
      <c r="AA97" s="4"/>
      <c r="AB97" s="4"/>
      <c r="AC97" s="4"/>
    </row>
    <row r="98" customFormat="false" ht="15.75" hidden="false" customHeight="true" outlineLevel="0" collapsed="false">
      <c r="A98" s="106" t="n">
        <v>93</v>
      </c>
      <c r="B98" s="107"/>
      <c r="C98" s="106" t="s">
        <v>752</v>
      </c>
      <c r="D98" s="107" t="s">
        <v>5012</v>
      </c>
      <c r="E98" s="136" t="s">
        <v>99</v>
      </c>
      <c r="F98" s="106" t="s">
        <v>5013</v>
      </c>
      <c r="G98" s="137" t="n">
        <v>46080</v>
      </c>
      <c r="H98" s="106" t="s">
        <v>529</v>
      </c>
      <c r="I98" s="138" t="str">
        <f aca="false">IFERROR(VLOOKUP(TEXT(H98,"0"),IPRESS!$A$3:$B$212,2,0),"")</f>
        <v>MARIA AUXILIADORA</v>
      </c>
      <c r="J98" s="106" t="s">
        <v>755</v>
      </c>
      <c r="K98" s="138" t="s">
        <v>14</v>
      </c>
      <c r="L98" s="50" t="n">
        <v>20.25</v>
      </c>
      <c r="M98" s="50" t="n">
        <v>7</v>
      </c>
      <c r="N98" s="139" t="n">
        <f aca="false">IFERROR(IF(L98*M98=0,"",L98*M98),"")</f>
        <v>141.75</v>
      </c>
      <c r="O98" s="106" t="s">
        <v>139</v>
      </c>
      <c r="P98" s="138" t="str">
        <f aca="false">IFERROR(VLOOKUP(TEXT(O98,"0"),CONDUCTORES!$A$3:$G$100,2,0),"")</f>
        <v>PORTOCARRERO PELAEZ MIGUEL ANTONIO</v>
      </c>
      <c r="Q98" s="138" t="str">
        <f aca="false">IFERROR(VLOOKUP(TEXT(O98,"0"),CONDUCTORES!$A$3:$H$100,6,0),"")</f>
        <v>EUH-421</v>
      </c>
      <c r="R98" s="140"/>
      <c r="S98" s="107" t="s">
        <v>2235</v>
      </c>
      <c r="T98" s="136" t="s">
        <v>758</v>
      </c>
      <c r="U98" s="140"/>
      <c r="V98" s="107"/>
      <c r="W98" s="106"/>
      <c r="X98" s="106"/>
      <c r="Y98" s="85"/>
      <c r="Z98" s="157" t="str">
        <f aca="false">IF(AND(R98&lt;&gt;"",V98&lt;&gt;"",W98&lt;&gt;""),"ENTREGADO","POR RECOGER")</f>
        <v>POR RECOGER</v>
      </c>
      <c r="AA98" s="4"/>
      <c r="AB98" s="4"/>
      <c r="AC98" s="4"/>
    </row>
    <row r="99" customFormat="false" ht="15.75" hidden="false" customHeight="true" outlineLevel="0" collapsed="false">
      <c r="A99" s="46" t="n">
        <v>94</v>
      </c>
      <c r="B99" s="110"/>
      <c r="C99" s="46" t="s">
        <v>752</v>
      </c>
      <c r="D99" s="110" t="s">
        <v>5014</v>
      </c>
      <c r="E99" s="46" t="s">
        <v>99</v>
      </c>
      <c r="F99" s="46" t="s">
        <v>5015</v>
      </c>
      <c r="G99" s="142" t="n">
        <v>46080</v>
      </c>
      <c r="H99" s="46" t="s">
        <v>581</v>
      </c>
      <c r="I99" s="138" t="str">
        <f aca="false">IFERROR(VLOOKUP(TEXT(H99,"0"),IPRESS!$A$3:$B$212,2,0),"")</f>
        <v>PEDRO RUIZ GALLO</v>
      </c>
      <c r="J99" s="46" t="s">
        <v>755</v>
      </c>
      <c r="K99" s="138" t="s">
        <v>14</v>
      </c>
      <c r="L99" s="44" t="n">
        <v>17.95</v>
      </c>
      <c r="M99" s="44" t="n">
        <v>6</v>
      </c>
      <c r="N99" s="139" t="n">
        <f aca="false">IFERROR(IF(L99*M99=0,"",L99*M99),"")</f>
        <v>107.7</v>
      </c>
      <c r="O99" s="46" t="s">
        <v>234</v>
      </c>
      <c r="P99" s="138" t="str">
        <f aca="false">IFERROR(VLOOKUP(TEXT(O99,"0"),CONDUCTORES!$A$3:$G$100,2,0),"")</f>
        <v>MONTENEGRO RUIZ LUIS MIGUEL</v>
      </c>
      <c r="Q99" s="138" t="str">
        <f aca="false">IFERROR(VLOOKUP(TEXT(O99,"0"),CONDUCTORES!$A$3:$H$100,6,0),"")</f>
        <v>EUH-427</v>
      </c>
      <c r="R99" s="85"/>
      <c r="S99" s="110" t="s">
        <v>5016</v>
      </c>
      <c r="T99" s="46" t="s">
        <v>758</v>
      </c>
      <c r="U99" s="85"/>
      <c r="V99" s="110"/>
      <c r="W99" s="46"/>
      <c r="X99" s="46"/>
      <c r="Y99" s="85"/>
      <c r="Z99" s="157" t="str">
        <f aca="false">IF(AND(R99&lt;&gt;"",V99&lt;&gt;"",W99&lt;&gt;""),"ENTREGADO","POR RECOGER")</f>
        <v>POR RECOGER</v>
      </c>
      <c r="AA99" s="4"/>
      <c r="AB99" s="4"/>
      <c r="AC99" s="4"/>
    </row>
    <row r="100" customFormat="false" ht="15.75" hidden="false" customHeight="true" outlineLevel="0" collapsed="false">
      <c r="A100" s="106" t="n">
        <v>95</v>
      </c>
      <c r="B100" s="107"/>
      <c r="C100" s="106" t="s">
        <v>752</v>
      </c>
      <c r="D100" s="107" t="s">
        <v>5017</v>
      </c>
      <c r="E100" s="136" t="s">
        <v>99</v>
      </c>
      <c r="F100" s="106" t="s">
        <v>5018</v>
      </c>
      <c r="G100" s="137" t="n">
        <v>46080</v>
      </c>
      <c r="H100" s="106" t="s">
        <v>480</v>
      </c>
      <c r="I100" s="138" t="str">
        <f aca="false">IFERROR(VLOOKUP(TEXT(H100,"0"),IPRESS!$A$3:$B$212,2,0),"")</f>
        <v>JALCA GRANDE</v>
      </c>
      <c r="J100" s="106" t="s">
        <v>755</v>
      </c>
      <c r="K100" s="138" t="s">
        <v>14</v>
      </c>
      <c r="L100" s="50" t="n">
        <v>18.18</v>
      </c>
      <c r="M100" s="50" t="n">
        <v>7</v>
      </c>
      <c r="N100" s="139" t="n">
        <f aca="false">IFERROR(IF(L100*M100=0,"",L100*M100),"")</f>
        <v>127.26</v>
      </c>
      <c r="O100" s="106" t="s">
        <v>159</v>
      </c>
      <c r="P100" s="138" t="str">
        <f aca="false">IFERROR(VLOOKUP(TEXT(O100,"0"),CONDUCTORES!$A$3:$G$100,2,0),"")</f>
        <v>LEIVA LARA JUNIOR</v>
      </c>
      <c r="Q100" s="138" t="str">
        <f aca="false">IFERROR(VLOOKUP(TEXT(O100,"0"),CONDUCTORES!$A$3:$H$100,6,0),"")</f>
        <v>EUC 959</v>
      </c>
      <c r="R100" s="140"/>
      <c r="S100" s="107" t="s">
        <v>1602</v>
      </c>
      <c r="T100" s="136" t="s">
        <v>758</v>
      </c>
      <c r="U100" s="140"/>
      <c r="V100" s="107"/>
      <c r="W100" s="106"/>
      <c r="X100" s="106"/>
      <c r="Y100" s="85"/>
      <c r="Z100" s="157" t="str">
        <f aca="false">IF(AND(R100&lt;&gt;"",V100&lt;&gt;"",W100&lt;&gt;""),"ENTREGADO","POR RECOGER")</f>
        <v>POR RECOGER</v>
      </c>
      <c r="AA100" s="4"/>
      <c r="AB100" s="4"/>
      <c r="AC100" s="4"/>
    </row>
    <row r="101" customFormat="false" ht="15.75" hidden="false" customHeight="true" outlineLevel="0" collapsed="false">
      <c r="A101" s="46" t="n">
        <v>96</v>
      </c>
      <c r="B101" s="110"/>
      <c r="C101" s="46" t="s">
        <v>752</v>
      </c>
      <c r="D101" s="110" t="s">
        <v>5019</v>
      </c>
      <c r="E101" s="46" t="s">
        <v>99</v>
      </c>
      <c r="F101" s="46" t="s">
        <v>5020</v>
      </c>
      <c r="G101" s="142" t="n">
        <v>46080</v>
      </c>
      <c r="H101" s="46" t="s">
        <v>595</v>
      </c>
      <c r="I101" s="138" t="str">
        <f aca="false">IFERROR(VLOOKUP(TEXT(H101,"0"),IPRESS!$A$3:$B$212,2,0),"")</f>
        <v>POMACOCHAS</v>
      </c>
      <c r="J101" s="46" t="s">
        <v>755</v>
      </c>
      <c r="K101" s="138" t="s">
        <v>14</v>
      </c>
      <c r="L101" s="44" t="n">
        <v>18.18</v>
      </c>
      <c r="M101" s="44" t="n">
        <v>6</v>
      </c>
      <c r="N101" s="139" t="n">
        <f aca="false">IFERROR(IF(L101*M101=0,"",L101*M101),"")</f>
        <v>109.08</v>
      </c>
      <c r="O101" s="46" t="s">
        <v>243</v>
      </c>
      <c r="P101" s="138" t="str">
        <f aca="false">IFERROR(VLOOKUP(TEXT(O101,"0"),CONDUCTORES!$A$3:$G$100,2,0),"")</f>
        <v>CHICANA LOPEZ MANUEL HECTOR</v>
      </c>
      <c r="Q101" s="138" t="str">
        <f aca="false">IFERROR(VLOOKUP(TEXT(O101,"0"),CONDUCTORES!$A$3:$H$100,6,0),"")</f>
        <v>EUH747</v>
      </c>
      <c r="R101" s="85"/>
      <c r="S101" s="110" t="s">
        <v>5021</v>
      </c>
      <c r="T101" s="46" t="s">
        <v>758</v>
      </c>
      <c r="U101" s="85"/>
      <c r="V101" s="110"/>
      <c r="W101" s="46"/>
      <c r="X101" s="46"/>
      <c r="Y101" s="85"/>
      <c r="Z101" s="157" t="str">
        <f aca="false">IF(AND(R101&lt;&gt;"",V101&lt;&gt;"",W101&lt;&gt;""),"ENTREGADO","POR RECOGER")</f>
        <v>POR RECOGER</v>
      </c>
      <c r="AA101" s="4"/>
      <c r="AB101" s="4"/>
      <c r="AC101" s="4"/>
    </row>
    <row r="102" customFormat="false" ht="15.75" hidden="false" customHeight="true" outlineLevel="0" collapsed="false">
      <c r="A102" s="106" t="n">
        <v>97</v>
      </c>
      <c r="B102" s="107"/>
      <c r="C102" s="106" t="s">
        <v>752</v>
      </c>
      <c r="D102" s="107" t="s">
        <v>5022</v>
      </c>
      <c r="E102" s="136" t="s">
        <v>99</v>
      </c>
      <c r="F102" s="106" t="s">
        <v>5023</v>
      </c>
      <c r="G102" s="137" t="n">
        <v>46080</v>
      </c>
      <c r="H102" s="106" t="s">
        <v>569</v>
      </c>
      <c r="I102" s="138" t="str">
        <f aca="false">IFERROR(VLOOKUP(TEXT(H102,"0"),IPRESS!$A$3:$B$212,2,0),"")</f>
        <v>OCALLI</v>
      </c>
      <c r="J102" s="106" t="s">
        <v>1216</v>
      </c>
      <c r="K102" s="138" t="s">
        <v>14</v>
      </c>
      <c r="L102" s="50" t="n">
        <v>18.18</v>
      </c>
      <c r="M102" s="50" t="n">
        <v>26</v>
      </c>
      <c r="N102" s="139" t="n">
        <f aca="false">IFERROR(IF(L102*M102=0,"",L102*M102),"")</f>
        <v>472.68</v>
      </c>
      <c r="O102" s="77" t="s">
        <v>296</v>
      </c>
      <c r="P102" s="138" t="str">
        <f aca="false">IFERROR(VLOOKUP(TEXT(O102,"0"),CONDUCTORES!$A$3:$G$100,2,0),"")</f>
        <v>ALBERTO FARRO PEREZ</v>
      </c>
      <c r="Q102" s="138" t="str">
        <f aca="false">IFERROR(VLOOKUP(TEXT(O102,"0"),CONDUCTORES!$A$3:$H$100,6,0),"")</f>
        <v>EGO-124</v>
      </c>
      <c r="R102" s="140"/>
      <c r="S102" s="107" t="s">
        <v>4525</v>
      </c>
      <c r="T102" s="136" t="s">
        <v>758</v>
      </c>
      <c r="U102" s="140"/>
      <c r="V102" s="107"/>
      <c r="W102" s="106"/>
      <c r="X102" s="106"/>
      <c r="Y102" s="85"/>
      <c r="Z102" s="157" t="str">
        <f aca="false">IF(AND(R102&lt;&gt;"",V102&lt;&gt;"",W102&lt;&gt;""),"ENTREGADO","POR RECOGER")</f>
        <v>POR RECOGER</v>
      </c>
      <c r="AA102" s="4"/>
      <c r="AB102" s="4"/>
      <c r="AC102" s="4"/>
    </row>
    <row r="103" customFormat="false" ht="15.75" hidden="false" customHeight="true" outlineLevel="0" collapsed="false">
      <c r="A103" s="46" t="n">
        <v>98</v>
      </c>
      <c r="B103" s="110"/>
      <c r="C103" s="46" t="s">
        <v>752</v>
      </c>
      <c r="D103" s="110" t="s">
        <v>5024</v>
      </c>
      <c r="E103" s="46" t="s">
        <v>99</v>
      </c>
      <c r="F103" s="46" t="s">
        <v>5025</v>
      </c>
      <c r="G103" s="142" t="n">
        <v>46079</v>
      </c>
      <c r="H103" s="46" t="s">
        <v>517</v>
      </c>
      <c r="I103" s="138" t="str">
        <f aca="false">IFERROR(VLOOKUP(TEXT(H103,"0"),IPRESS!$A$3:$B$212,2,0),"")</f>
        <v>LUYA</v>
      </c>
      <c r="J103" s="46" t="s">
        <v>755</v>
      </c>
      <c r="K103" s="138" t="s">
        <v>14</v>
      </c>
      <c r="L103" s="44" t="n">
        <v>18.18</v>
      </c>
      <c r="M103" s="44" t="n">
        <v>4</v>
      </c>
      <c r="N103" s="139" t="n">
        <f aca="false">IFERROR(IF(L103*M103=0,"",L103*M103),"")</f>
        <v>72.72</v>
      </c>
      <c r="O103" s="46" t="s">
        <v>192</v>
      </c>
      <c r="P103" s="138" t="str">
        <f aca="false">IFERROR(VLOOKUP(TEXT(O103,"0"),CONDUCTORES!$A$3:$G$100,2,0),"")</f>
        <v>ZAGACETA RUIZ GELLER ENRIQUE</v>
      </c>
      <c r="Q103" s="138" t="str">
        <f aca="false">IFERROR(VLOOKUP(TEXT(O103,"0"),CONDUCTORES!$A$3:$H$100,6,0),"")</f>
        <v>EUH-717</v>
      </c>
      <c r="R103" s="85"/>
      <c r="S103" s="110" t="s">
        <v>5026</v>
      </c>
      <c r="T103" s="46" t="s">
        <v>758</v>
      </c>
      <c r="U103" s="85"/>
      <c r="V103" s="110"/>
      <c r="W103" s="46"/>
      <c r="X103" s="46"/>
      <c r="Y103" s="85"/>
      <c r="Z103" s="157" t="str">
        <f aca="false">IF(AND(R103&lt;&gt;"",V103&lt;&gt;"",W103&lt;&gt;""),"ENTREGADO","POR RECOGER")</f>
        <v>POR RECOGER</v>
      </c>
      <c r="AA103" s="4"/>
      <c r="AB103" s="4"/>
      <c r="AC103" s="4"/>
    </row>
    <row r="104" customFormat="false" ht="15.75" hidden="false" customHeight="true" outlineLevel="0" collapsed="false">
      <c r="A104" s="106" t="n">
        <v>99</v>
      </c>
      <c r="B104" s="107"/>
      <c r="C104" s="106" t="s">
        <v>752</v>
      </c>
      <c r="D104" s="107" t="s">
        <v>5027</v>
      </c>
      <c r="E104" s="136" t="s">
        <v>99</v>
      </c>
      <c r="F104" s="106" t="s">
        <v>5028</v>
      </c>
      <c r="G104" s="137" t="n">
        <v>46081</v>
      </c>
      <c r="H104" s="106" t="s">
        <v>517</v>
      </c>
      <c r="I104" s="138" t="str">
        <f aca="false">IFERROR(VLOOKUP(TEXT(H104,"0"),IPRESS!$A$3:$B$212,2,0),"")</f>
        <v>LUYA</v>
      </c>
      <c r="J104" s="106" t="s">
        <v>755</v>
      </c>
      <c r="K104" s="138" t="s">
        <v>14</v>
      </c>
      <c r="L104" s="50" t="n">
        <v>18.18</v>
      </c>
      <c r="M104" s="50" t="n">
        <v>4</v>
      </c>
      <c r="N104" s="139" t="n">
        <f aca="false">IFERROR(IF(L104*M104=0,"",L104*M104),"")</f>
        <v>72.72</v>
      </c>
      <c r="O104" s="106" t="s">
        <v>192</v>
      </c>
      <c r="P104" s="138" t="str">
        <f aca="false">IFERROR(VLOOKUP(TEXT(O104,"0"),CONDUCTORES!$A$3:$G$100,2,0),"")</f>
        <v>ZAGACETA RUIZ GELLER ENRIQUE</v>
      </c>
      <c r="Q104" s="138" t="str">
        <f aca="false">IFERROR(VLOOKUP(TEXT(O104,"0"),CONDUCTORES!$A$3:$H$100,6,0),"")</f>
        <v>EUH-717</v>
      </c>
      <c r="R104" s="140"/>
      <c r="S104" s="107" t="s">
        <v>1558</v>
      </c>
      <c r="T104" s="136" t="s">
        <v>758</v>
      </c>
      <c r="U104" s="140"/>
      <c r="V104" s="107"/>
      <c r="W104" s="106"/>
      <c r="X104" s="106"/>
      <c r="Y104" s="85"/>
      <c r="Z104" s="157" t="str">
        <f aca="false">IF(AND(R104&lt;&gt;"",V104&lt;&gt;"",W104&lt;&gt;""),"ENTREGADO","POR RECOGER")</f>
        <v>POR RECOGER</v>
      </c>
      <c r="AA104" s="4"/>
      <c r="AB104" s="4"/>
      <c r="AC104" s="4"/>
    </row>
    <row r="105" customFormat="false" ht="1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49"/>
      <c r="J105" s="85"/>
      <c r="K105" s="149"/>
      <c r="L105" s="85"/>
      <c r="M105" s="85"/>
      <c r="N105" s="151"/>
      <c r="O105" s="85"/>
      <c r="P105" s="149"/>
      <c r="Q105" s="149"/>
      <c r="R105" s="85"/>
      <c r="S105" s="85"/>
      <c r="T105" s="85"/>
      <c r="U105" s="85"/>
      <c r="V105" s="85"/>
      <c r="W105" s="85"/>
      <c r="X105" s="85"/>
      <c r="Y105" s="85"/>
      <c r="Z105" s="157"/>
      <c r="AA105" s="4"/>
      <c r="AB105" s="4"/>
      <c r="AC105" s="4"/>
    </row>
    <row r="106" customFormat="false" ht="24" hidden="false" customHeight="true" outlineLevel="0" collapsed="false">
      <c r="A106" s="165"/>
      <c r="B106" s="165"/>
      <c r="C106" s="165"/>
      <c r="D106" s="165"/>
      <c r="E106" s="165"/>
      <c r="F106" s="165"/>
      <c r="G106" s="165"/>
      <c r="H106" s="165"/>
      <c r="I106" s="165"/>
      <c r="J106" s="165"/>
      <c r="K106" s="149"/>
      <c r="L106" s="85"/>
      <c r="M106" s="166"/>
      <c r="N106" s="166"/>
      <c r="O106" s="85"/>
      <c r="P106" s="149"/>
      <c r="Q106" s="149"/>
      <c r="R106" s="85"/>
      <c r="S106" s="85"/>
      <c r="T106" s="85"/>
      <c r="U106" s="85"/>
      <c r="V106" s="85"/>
      <c r="W106" s="85"/>
      <c r="X106" s="85"/>
      <c r="Y106" s="85"/>
      <c r="Z106" s="157"/>
      <c r="AA106" s="4"/>
      <c r="AB106" s="4"/>
      <c r="AC106" s="4"/>
    </row>
    <row r="107" customFormat="false" ht="1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49"/>
      <c r="J107" s="85"/>
      <c r="K107" s="149"/>
      <c r="L107" s="85"/>
      <c r="M107" s="85"/>
      <c r="N107" s="151"/>
      <c r="O107" s="85"/>
      <c r="P107" s="149"/>
      <c r="Q107" s="149"/>
      <c r="R107" s="85"/>
      <c r="S107" s="85"/>
      <c r="T107" s="85"/>
      <c r="U107" s="85"/>
      <c r="V107" s="85"/>
      <c r="W107" s="85"/>
      <c r="X107" s="85"/>
      <c r="Y107" s="85"/>
      <c r="Z107" s="157"/>
      <c r="AA107" s="4"/>
      <c r="AB107" s="4"/>
      <c r="AC107" s="4"/>
    </row>
    <row r="108" customFormat="false" ht="15" hidden="false" customHeight="true" outlineLevel="0" collapsed="false">
      <c r="A108" s="85"/>
      <c r="B108" s="85"/>
      <c r="C108" s="85"/>
      <c r="D108" s="85"/>
      <c r="E108" s="85"/>
      <c r="F108" s="85"/>
      <c r="G108" s="85"/>
      <c r="H108" s="85"/>
      <c r="I108" s="149"/>
      <c r="J108" s="85"/>
      <c r="K108" s="149"/>
      <c r="L108" s="85"/>
      <c r="M108" s="85"/>
      <c r="N108" s="151"/>
      <c r="O108" s="85"/>
      <c r="P108" s="149"/>
      <c r="Q108" s="149"/>
      <c r="R108" s="85"/>
      <c r="S108" s="85"/>
      <c r="T108" s="85"/>
      <c r="U108" s="85"/>
      <c r="V108" s="85"/>
      <c r="W108" s="85"/>
      <c r="X108" s="85"/>
      <c r="Y108" s="85"/>
      <c r="Z108" s="157"/>
      <c r="AA108" s="4"/>
      <c r="AB108" s="4"/>
      <c r="AC108" s="4"/>
    </row>
    <row r="109" customFormat="false" ht="1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49"/>
      <c r="L109" s="85"/>
      <c r="M109" s="85"/>
      <c r="N109" s="151"/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157"/>
      <c r="AA109" s="4"/>
      <c r="AB109" s="4"/>
      <c r="AC109" s="4"/>
    </row>
    <row r="110" customFormat="false" ht="15" hidden="false" customHeight="true" outlineLevel="0" collapsed="false">
      <c r="A110" s="85"/>
      <c r="B110" s="85"/>
      <c r="C110" s="85"/>
      <c r="D110" s="85"/>
      <c r="E110" s="85"/>
      <c r="F110" s="85"/>
      <c r="G110" s="85"/>
      <c r="H110" s="85"/>
      <c r="I110" s="138" t="str">
        <f aca="false">IFERROR(VLOOKUP(TEXT(H110,"0"),IPRESS!$A$3:$B$212,2,0),"")</f>
        <v/>
      </c>
      <c r="J110" s="85"/>
      <c r="K110" s="149"/>
      <c r="L110" s="85"/>
      <c r="M110" s="85"/>
      <c r="N110" s="151"/>
      <c r="O110" s="85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85"/>
      <c r="S110" s="85"/>
      <c r="T110" s="85"/>
      <c r="U110" s="85"/>
      <c r="V110" s="85"/>
      <c r="W110" s="85"/>
      <c r="X110" s="85"/>
      <c r="Y110" s="85"/>
      <c r="Z110" s="157"/>
      <c r="AA110" s="4"/>
      <c r="AB110" s="4"/>
      <c r="AC110" s="4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138" t="str">
        <f aca="false">IFERROR(VLOOKUP(TEXT(H111,"0"),IPRESS!$A$3:$B$212,2,0),"")</f>
        <v/>
      </c>
      <c r="J111" s="85"/>
      <c r="K111" s="149"/>
      <c r="L111" s="85"/>
      <c r="M111" s="85"/>
      <c r="N111" s="151"/>
      <c r="O111" s="85"/>
      <c r="P111" s="138" t="str">
        <f aca="false">IFERROR(VLOOKUP(TEXT(O111,"0"),CONDUCTORES!$A$3:$G$54,2,0),"")</f>
        <v/>
      </c>
      <c r="Q111" s="138" t="str">
        <f aca="false">IFERROR(VLOOKUP(TEXT(O111,"0"),CONDUCTORES!$A$3:$H$54,6,0),"")</f>
        <v/>
      </c>
      <c r="R111" s="85"/>
      <c r="S111" s="85"/>
      <c r="T111" s="85"/>
      <c r="U111" s="85"/>
      <c r="V111" s="85"/>
      <c r="W111" s="85"/>
      <c r="X111" s="85"/>
      <c r="Y111" s="85"/>
      <c r="Z111" s="157"/>
      <c r="AA111" s="4"/>
      <c r="AB111" s="4"/>
      <c r="AC111" s="4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38" t="str">
        <f aca="false">IFERROR(VLOOKUP(TEXT(H112,"0"),IPRESS!$A$3:$B$212,2,0),"")</f>
        <v/>
      </c>
      <c r="J112" s="85"/>
      <c r="K112" s="149"/>
      <c r="L112" s="85"/>
      <c r="M112" s="85"/>
      <c r="N112" s="151"/>
      <c r="O112" s="85"/>
      <c r="P112" s="138" t="str">
        <f aca="false">IFERROR(VLOOKUP(TEXT(O112,"0"),CONDUCTORES!$A$3:$G$54,2,0),"")</f>
        <v/>
      </c>
      <c r="Q112" s="138" t="str">
        <f aca="false">IFERROR(VLOOKUP(TEXT(O112,"0"),CONDUCTORES!$A$3:$H$54,6,0),"")</f>
        <v/>
      </c>
      <c r="R112" s="85"/>
      <c r="S112" s="85"/>
      <c r="T112" s="85"/>
      <c r="U112" s="85"/>
      <c r="V112" s="85"/>
      <c r="W112" s="85"/>
      <c r="X112" s="85"/>
      <c r="Y112" s="85"/>
      <c r="Z112" s="157"/>
      <c r="AA112" s="4"/>
      <c r="AB112" s="4"/>
      <c r="AC112" s="4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138" t="str">
        <f aca="false">IFERROR(VLOOKUP(TEXT(H113,"0"),IPRESS!$A$3:$B$212,2,0),"")</f>
        <v/>
      </c>
      <c r="J113" s="85"/>
      <c r="K113" s="149"/>
      <c r="L113" s="85"/>
      <c r="M113" s="85"/>
      <c r="N113" s="151"/>
      <c r="O113" s="85"/>
      <c r="P113" s="138" t="str">
        <f aca="false">IFERROR(VLOOKUP(TEXT(O113,"0"),CONDUCTORES!$A$3:$G$54,2,0),"")</f>
        <v/>
      </c>
      <c r="Q113" s="138" t="str">
        <f aca="false">IFERROR(VLOOKUP(TEXT(O113,"0"),CONDUCTORES!$A$3:$H$54,6,0),"")</f>
        <v/>
      </c>
      <c r="R113" s="85"/>
      <c r="S113" s="85"/>
      <c r="T113" s="85"/>
      <c r="U113" s="85"/>
      <c r="V113" s="85"/>
      <c r="W113" s="85"/>
      <c r="X113" s="85"/>
      <c r="Y113" s="85"/>
      <c r="Z113" s="157"/>
      <c r="AA113" s="4"/>
      <c r="AB113" s="4"/>
      <c r="AC113" s="4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38" t="str">
        <f aca="false">IFERROR(VLOOKUP(TEXT(H114,"0"),IPRESS!$A$3:$B$212,2,0),"")</f>
        <v/>
      </c>
      <c r="J114" s="85"/>
      <c r="K114" s="149"/>
      <c r="L114" s="85"/>
      <c r="M114" s="85"/>
      <c r="N114" s="151"/>
      <c r="O114" s="85"/>
      <c r="P114" s="138" t="str">
        <f aca="false">IFERROR(VLOOKUP(TEXT(O114,"0"),CONDUCTORES!$A$3:$G$54,2,0),"")</f>
        <v/>
      </c>
      <c r="Q114" s="138" t="str">
        <f aca="false">IFERROR(VLOOKUP(TEXT(O114,"0"),CONDUCTORES!$A$3:$H$54,6,0),"")</f>
        <v/>
      </c>
      <c r="R114" s="85"/>
      <c r="S114" s="85"/>
      <c r="T114" s="85"/>
      <c r="U114" s="85"/>
      <c r="V114" s="85"/>
      <c r="W114" s="85"/>
      <c r="X114" s="85"/>
      <c r="Y114" s="85"/>
      <c r="Z114" s="157"/>
      <c r="AA114" s="4"/>
      <c r="AB114" s="4"/>
      <c r="AC114" s="4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138" t="str">
        <f aca="false">IFERROR(VLOOKUP(TEXT(H115,"0"),IPRESS!$A$3:$B$212,2,0),"")</f>
        <v/>
      </c>
      <c r="J115" s="85"/>
      <c r="K115" s="149"/>
      <c r="L115" s="85"/>
      <c r="M115" s="85"/>
      <c r="N115" s="151"/>
      <c r="O115" s="85"/>
      <c r="P115" s="138" t="str">
        <f aca="false">IFERROR(VLOOKUP(TEXT(O115,"0"),CONDUCTORES!$A$3:$G$54,2,0),"")</f>
        <v/>
      </c>
      <c r="Q115" s="138" t="str">
        <f aca="false">IFERROR(VLOOKUP(TEXT(O115,"0"),CONDUCTORES!$A$3:$H$54,6,0),"")</f>
        <v/>
      </c>
      <c r="R115" s="85"/>
      <c r="S115" s="85"/>
      <c r="T115" s="85"/>
      <c r="U115" s="85"/>
      <c r="V115" s="85"/>
      <c r="W115" s="85"/>
      <c r="X115" s="85"/>
      <c r="Y115" s="85"/>
      <c r="Z115" s="157"/>
      <c r="AA115" s="4"/>
      <c r="AB115" s="4"/>
      <c r="AC115" s="4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38" t="str">
        <f aca="false">IFERROR(VLOOKUP(TEXT(H116,"0"),IPRESS!$A$3:$B$212,2,0),"")</f>
        <v/>
      </c>
      <c r="J116" s="85"/>
      <c r="K116" s="149"/>
      <c r="L116" s="85"/>
      <c r="M116" s="85"/>
      <c r="N116" s="151"/>
      <c r="O116" s="85"/>
      <c r="P116" s="138" t="str">
        <f aca="false">IFERROR(VLOOKUP(TEXT(O116,"0"),CONDUCTORES!$A$3:$G$54,2,0),"")</f>
        <v/>
      </c>
      <c r="Q116" s="138" t="str">
        <f aca="false">IFERROR(VLOOKUP(TEXT(O116,"0"),CONDUCTORES!$A$3:$H$54,6,0),"")</f>
        <v/>
      </c>
      <c r="R116" s="85"/>
      <c r="S116" s="85"/>
      <c r="T116" s="85"/>
      <c r="U116" s="85"/>
      <c r="V116" s="85"/>
      <c r="W116" s="85"/>
      <c r="X116" s="85"/>
      <c r="Y116" s="85"/>
      <c r="Z116" s="157"/>
      <c r="AA116" s="4"/>
      <c r="AB116" s="4"/>
      <c r="AC116" s="4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138" t="str">
        <f aca="false">IFERROR(VLOOKUP(TEXT(H117,"0"),IPRESS!$A$3:$B$212,2,0),"")</f>
        <v/>
      </c>
      <c r="J117" s="85"/>
      <c r="K117" s="149"/>
      <c r="L117" s="85"/>
      <c r="M117" s="85"/>
      <c r="N117" s="151"/>
      <c r="O117" s="85"/>
      <c r="P117" s="138" t="str">
        <f aca="false">IFERROR(VLOOKUP(TEXT(O117,"0"),CONDUCTORES!$A$3:$G$54,2,0),"")</f>
        <v/>
      </c>
      <c r="Q117" s="138" t="str">
        <f aca="false">IFERROR(VLOOKUP(TEXT(O117,"0"),CONDUCTORES!$A$3:$H$54,6,0),"")</f>
        <v/>
      </c>
      <c r="R117" s="85"/>
      <c r="S117" s="85"/>
      <c r="T117" s="85"/>
      <c r="U117" s="85"/>
      <c r="V117" s="85"/>
      <c r="W117" s="85"/>
      <c r="X117" s="85"/>
      <c r="Y117" s="85"/>
      <c r="Z117" s="157"/>
      <c r="AA117" s="4"/>
      <c r="AB117" s="4"/>
      <c r="AC117" s="4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49"/>
      <c r="L118" s="85"/>
      <c r="M118" s="85"/>
      <c r="N118" s="151"/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  <c r="Z118" s="157"/>
      <c r="AA118" s="4"/>
      <c r="AB118" s="4"/>
      <c r="AC118" s="4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138" t="str">
        <f aca="false">IFERROR(VLOOKUP(TEXT(H119,"0"),IPRESS!$A$3:$B$212,2,0),"")</f>
        <v/>
      </c>
      <c r="J119" s="85"/>
      <c r="K119" s="149"/>
      <c r="L119" s="85"/>
      <c r="M119" s="85"/>
      <c r="N119" s="151"/>
      <c r="O119" s="85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85"/>
      <c r="S119" s="85"/>
      <c r="T119" s="85"/>
      <c r="U119" s="85"/>
      <c r="V119" s="85"/>
      <c r="W119" s="85"/>
      <c r="X119" s="85"/>
      <c r="Y119" s="85"/>
      <c r="Z119" s="157"/>
      <c r="AA119" s="4"/>
      <c r="AB119" s="4"/>
      <c r="AC119" s="4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49"/>
      <c r="L120" s="85"/>
      <c r="M120" s="85"/>
      <c r="N120" s="151"/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57"/>
      <c r="AA120" s="4"/>
      <c r="AB120" s="4"/>
      <c r="AC120" s="4"/>
    </row>
    <row r="121" customFormat="false" ht="15" hidden="false" customHeight="true" outlineLevel="0" collapsed="false">
      <c r="A121" s="85"/>
      <c r="B121" s="85"/>
      <c r="C121" s="85"/>
      <c r="D121" s="85"/>
      <c r="E121" s="85"/>
      <c r="F121" s="85"/>
      <c r="G121" s="85"/>
      <c r="H121" s="85"/>
      <c r="I121" s="138" t="str">
        <f aca="false">IFERROR(VLOOKUP(TEXT(H121,"0"),IPRESS!$A$3:$B$212,2,0),"")</f>
        <v/>
      </c>
      <c r="J121" s="85"/>
      <c r="K121" s="149"/>
      <c r="L121" s="85"/>
      <c r="M121" s="85"/>
      <c r="N121" s="151"/>
      <c r="O121" s="85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85"/>
      <c r="S121" s="85"/>
      <c r="T121" s="85"/>
      <c r="U121" s="85"/>
      <c r="V121" s="85"/>
      <c r="W121" s="85"/>
      <c r="X121" s="85"/>
      <c r="Y121" s="85"/>
      <c r="Z121" s="157"/>
      <c r="AA121" s="4"/>
      <c r="AB121" s="4"/>
      <c r="AC121" s="4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49"/>
      <c r="L122" s="85"/>
      <c r="M122" s="85"/>
      <c r="N122" s="151"/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57"/>
      <c r="AA122" s="4"/>
      <c r="AB122" s="4"/>
      <c r="AC122" s="4"/>
    </row>
    <row r="123" customFormat="false" ht="15" hidden="false" customHeight="true" outlineLevel="0" collapsed="false">
      <c r="A123" s="85"/>
      <c r="B123" s="85"/>
      <c r="C123" s="85"/>
      <c r="D123" s="85"/>
      <c r="E123" s="85"/>
      <c r="F123" s="85"/>
      <c r="G123" s="85"/>
      <c r="H123" s="85"/>
      <c r="I123" s="138" t="str">
        <f aca="false">IFERROR(VLOOKUP(TEXT(H123,"0"),IPRESS!$A$3:$B$212,2,0),"")</f>
        <v/>
      </c>
      <c r="J123" s="85"/>
      <c r="K123" s="149"/>
      <c r="L123" s="85"/>
      <c r="M123" s="85"/>
      <c r="N123" s="151"/>
      <c r="O123" s="85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85"/>
      <c r="S123" s="85"/>
      <c r="T123" s="85"/>
      <c r="U123" s="85"/>
      <c r="V123" s="85"/>
      <c r="W123" s="85"/>
      <c r="X123" s="85"/>
      <c r="Y123" s="85"/>
      <c r="Z123" s="157"/>
      <c r="AA123" s="4"/>
      <c r="AB123" s="4"/>
      <c r="AC123" s="4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49"/>
      <c r="L124" s="85"/>
      <c r="M124" s="85"/>
      <c r="N124" s="151"/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57"/>
      <c r="AA124" s="4"/>
      <c r="AB124" s="4"/>
      <c r="AC124" s="4"/>
    </row>
    <row r="125" customFormat="false" ht="15" hidden="false" customHeight="true" outlineLevel="0" collapsed="false">
      <c r="A125" s="85"/>
      <c r="B125" s="85"/>
      <c r="C125" s="85"/>
      <c r="D125" s="85"/>
      <c r="E125" s="85"/>
      <c r="F125" s="85"/>
      <c r="G125" s="85"/>
      <c r="H125" s="85"/>
      <c r="I125" s="138" t="str">
        <f aca="false">IFERROR(VLOOKUP(TEXT(H125,"0"),IPRESS!$A$3:$B$212,2,0),"")</f>
        <v/>
      </c>
      <c r="J125" s="85"/>
      <c r="K125" s="149"/>
      <c r="L125" s="85"/>
      <c r="M125" s="85"/>
      <c r="N125" s="151"/>
      <c r="O125" s="85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85"/>
      <c r="S125" s="85"/>
      <c r="T125" s="85"/>
      <c r="U125" s="85"/>
      <c r="V125" s="85"/>
      <c r="W125" s="85"/>
      <c r="X125" s="85"/>
      <c r="Y125" s="85"/>
      <c r="Z125" s="157"/>
      <c r="AA125" s="4"/>
      <c r="AB125" s="4"/>
      <c r="AC125" s="4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49"/>
      <c r="L126" s="85"/>
      <c r="M126" s="85"/>
      <c r="N126" s="151"/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57"/>
      <c r="AA126" s="4"/>
      <c r="AB126" s="4"/>
      <c r="AC126" s="4"/>
    </row>
    <row r="127" customFormat="false" ht="15" hidden="false" customHeight="true" outlineLevel="0" collapsed="false">
      <c r="A127" s="85"/>
      <c r="B127" s="85"/>
      <c r="C127" s="85"/>
      <c r="D127" s="85"/>
      <c r="E127" s="85"/>
      <c r="F127" s="85"/>
      <c r="G127" s="85"/>
      <c r="H127" s="85"/>
      <c r="I127" s="138" t="str">
        <f aca="false">IFERROR(VLOOKUP(TEXT(H127,"0"),IPRESS!$A$3:$B$212,2,0),"")</f>
        <v/>
      </c>
      <c r="J127" s="85"/>
      <c r="K127" s="149"/>
      <c r="L127" s="85"/>
      <c r="M127" s="85"/>
      <c r="N127" s="151"/>
      <c r="O127" s="85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85"/>
      <c r="S127" s="85"/>
      <c r="T127" s="85"/>
      <c r="U127" s="85"/>
      <c r="V127" s="85"/>
      <c r="W127" s="85"/>
      <c r="X127" s="85"/>
      <c r="Y127" s="85"/>
      <c r="Z127" s="157"/>
      <c r="AA127" s="4"/>
      <c r="AB127" s="4"/>
      <c r="AC127" s="4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49"/>
      <c r="L128" s="85"/>
      <c r="M128" s="85"/>
      <c r="N128" s="151"/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57"/>
      <c r="AA128" s="4"/>
      <c r="AB128" s="4"/>
      <c r="AC128" s="4"/>
    </row>
    <row r="129" customFormat="false" ht="15" hidden="false" customHeight="true" outlineLevel="0" collapsed="false">
      <c r="A129" s="85"/>
      <c r="B129" s="85"/>
      <c r="C129" s="85"/>
      <c r="D129" s="85"/>
      <c r="E129" s="85"/>
      <c r="F129" s="85"/>
      <c r="G129" s="85"/>
      <c r="H129" s="85"/>
      <c r="I129" s="138" t="str">
        <f aca="false">IFERROR(VLOOKUP(TEXT(H129,"0"),IPRESS!$A$3:$B$212,2,0),"")</f>
        <v/>
      </c>
      <c r="J129" s="85"/>
      <c r="K129" s="149"/>
      <c r="L129" s="85"/>
      <c r="M129" s="85"/>
      <c r="N129" s="151"/>
      <c r="O129" s="85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85"/>
      <c r="S129" s="85"/>
      <c r="T129" s="85"/>
      <c r="U129" s="85"/>
      <c r="V129" s="85"/>
      <c r="W129" s="85"/>
      <c r="X129" s="85"/>
      <c r="Y129" s="85"/>
      <c r="Z129" s="157"/>
      <c r="AA129" s="4"/>
      <c r="AB129" s="4"/>
      <c r="AC129" s="4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49"/>
      <c r="L130" s="85"/>
      <c r="M130" s="85"/>
      <c r="N130" s="151"/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57"/>
      <c r="AA130" s="4"/>
      <c r="AB130" s="4"/>
      <c r="AC130" s="4"/>
    </row>
    <row r="131" customFormat="false" ht="15" hidden="false" customHeight="true" outlineLevel="0" collapsed="false">
      <c r="A131" s="85"/>
      <c r="B131" s="85"/>
      <c r="C131" s="85"/>
      <c r="D131" s="85"/>
      <c r="E131" s="85"/>
      <c r="F131" s="85"/>
      <c r="G131" s="85"/>
      <c r="H131" s="85"/>
      <c r="I131" s="138" t="str">
        <f aca="false">IFERROR(VLOOKUP(TEXT(H131,"0"),IPRESS!$A$3:$B$212,2,0),"")</f>
        <v/>
      </c>
      <c r="J131" s="85"/>
      <c r="K131" s="149"/>
      <c r="L131" s="85"/>
      <c r="M131" s="85"/>
      <c r="N131" s="151"/>
      <c r="O131" s="85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85"/>
      <c r="S131" s="85"/>
      <c r="T131" s="85"/>
      <c r="U131" s="85"/>
      <c r="V131" s="85"/>
      <c r="W131" s="85"/>
      <c r="X131" s="85"/>
      <c r="Y131" s="85"/>
      <c r="Z131" s="157"/>
      <c r="AA131" s="4"/>
      <c r="AB131" s="4"/>
      <c r="AC131" s="4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49"/>
      <c r="L132" s="85"/>
      <c r="M132" s="85"/>
      <c r="N132" s="151"/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57"/>
      <c r="AA132" s="4"/>
      <c r="AB132" s="4"/>
      <c r="AC132" s="4"/>
    </row>
    <row r="133" customFormat="false" ht="15" hidden="false" customHeight="true" outlineLevel="0" collapsed="false">
      <c r="A133" s="85"/>
      <c r="B133" s="85"/>
      <c r="C133" s="85"/>
      <c r="D133" s="85"/>
      <c r="E133" s="85"/>
      <c r="F133" s="85"/>
      <c r="G133" s="85"/>
      <c r="H133" s="85"/>
      <c r="I133" s="138" t="str">
        <f aca="false">IFERROR(VLOOKUP(TEXT(H133,"0"),IPRESS!$A$3:$B$212,2,0),"")</f>
        <v/>
      </c>
      <c r="J133" s="85"/>
      <c r="K133" s="149"/>
      <c r="L133" s="85"/>
      <c r="M133" s="85"/>
      <c r="N133" s="151"/>
      <c r="O133" s="85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85"/>
      <c r="S133" s="85"/>
      <c r="T133" s="85"/>
      <c r="U133" s="85"/>
      <c r="V133" s="85"/>
      <c r="W133" s="85"/>
      <c r="X133" s="85"/>
      <c r="Y133" s="85"/>
      <c r="Z133" s="157"/>
      <c r="AA133" s="4"/>
      <c r="AB133" s="4"/>
      <c r="AC133" s="4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49"/>
      <c r="L134" s="85"/>
      <c r="M134" s="85"/>
      <c r="N134" s="151"/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57"/>
      <c r="AA134" s="4"/>
      <c r="AB134" s="4"/>
      <c r="AC134" s="4"/>
    </row>
    <row r="135" customFormat="false" ht="15" hidden="false" customHeight="true" outlineLevel="0" collapsed="false">
      <c r="A135" s="85"/>
      <c r="B135" s="85"/>
      <c r="C135" s="85"/>
      <c r="D135" s="85"/>
      <c r="E135" s="85"/>
      <c r="F135" s="85"/>
      <c r="G135" s="85"/>
      <c r="H135" s="85"/>
      <c r="I135" s="138" t="str">
        <f aca="false">IFERROR(VLOOKUP(TEXT(H135,"0"),IPRESS!$A$3:$B$212,2,0),"")</f>
        <v/>
      </c>
      <c r="J135" s="85"/>
      <c r="K135" s="149"/>
      <c r="L135" s="85"/>
      <c r="M135" s="85"/>
      <c r="N135" s="151"/>
      <c r="O135" s="85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85"/>
      <c r="S135" s="85"/>
      <c r="T135" s="85"/>
      <c r="U135" s="85"/>
      <c r="V135" s="85"/>
      <c r="W135" s="85"/>
      <c r="X135" s="85"/>
      <c r="Y135" s="85"/>
      <c r="Z135" s="157"/>
      <c r="AA135" s="4"/>
      <c r="AB135" s="4"/>
      <c r="AC135" s="4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49"/>
      <c r="L136" s="85"/>
      <c r="M136" s="85"/>
      <c r="N136" s="151"/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57"/>
      <c r="AA136" s="4"/>
      <c r="AB136" s="4"/>
      <c r="AC136" s="4"/>
    </row>
    <row r="137" customFormat="false" ht="15" hidden="false" customHeight="true" outlineLevel="0" collapsed="false">
      <c r="A137" s="85"/>
      <c r="B137" s="85"/>
      <c r="C137" s="85"/>
      <c r="D137" s="85"/>
      <c r="E137" s="85"/>
      <c r="F137" s="85"/>
      <c r="G137" s="85"/>
      <c r="H137" s="85"/>
      <c r="I137" s="138" t="str">
        <f aca="false">IFERROR(VLOOKUP(TEXT(H137,"0"),IPRESS!$A$3:$B$212,2,0),"")</f>
        <v/>
      </c>
      <c r="J137" s="85"/>
      <c r="K137" s="149"/>
      <c r="L137" s="85"/>
      <c r="M137" s="85"/>
      <c r="N137" s="151"/>
      <c r="O137" s="85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85"/>
      <c r="S137" s="85"/>
      <c r="T137" s="85"/>
      <c r="U137" s="85"/>
      <c r="V137" s="85"/>
      <c r="W137" s="85"/>
      <c r="X137" s="85"/>
      <c r="Y137" s="85"/>
      <c r="Z137" s="157"/>
      <c r="AA137" s="4"/>
      <c r="AB137" s="4"/>
      <c r="AC137" s="4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49"/>
      <c r="L138" s="85"/>
      <c r="M138" s="85"/>
      <c r="N138" s="151"/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57"/>
      <c r="AA138" s="4"/>
      <c r="AB138" s="4"/>
      <c r="AC138" s="4"/>
    </row>
    <row r="139" customFormat="false" ht="15" hidden="false" customHeight="true" outlineLevel="0" collapsed="false">
      <c r="A139" s="85"/>
      <c r="B139" s="85"/>
      <c r="C139" s="85"/>
      <c r="D139" s="85"/>
      <c r="E139" s="85"/>
      <c r="F139" s="85"/>
      <c r="G139" s="85"/>
      <c r="H139" s="85"/>
      <c r="I139" s="138" t="str">
        <f aca="false">IFERROR(VLOOKUP(TEXT(H139,"0"),IPRESS!$A$3:$B$212,2,0),"")</f>
        <v/>
      </c>
      <c r="J139" s="85"/>
      <c r="K139" s="149"/>
      <c r="L139" s="85"/>
      <c r="M139" s="85"/>
      <c r="N139" s="151"/>
      <c r="O139" s="85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85"/>
      <c r="S139" s="85"/>
      <c r="T139" s="85"/>
      <c r="U139" s="85"/>
      <c r="V139" s="85"/>
      <c r="W139" s="85"/>
      <c r="X139" s="85"/>
      <c r="Y139" s="85"/>
      <c r="Z139" s="157"/>
      <c r="AA139" s="4"/>
      <c r="AB139" s="4"/>
      <c r="AC139" s="4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49"/>
      <c r="L140" s="85"/>
      <c r="M140" s="85"/>
      <c r="N140" s="151"/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57"/>
      <c r="AA140" s="4"/>
      <c r="AB140" s="4"/>
      <c r="AC140" s="4"/>
    </row>
    <row r="141" customFormat="false" ht="15" hidden="false" customHeight="true" outlineLevel="0" collapsed="false">
      <c r="A141" s="85"/>
      <c r="B141" s="85"/>
      <c r="C141" s="85"/>
      <c r="D141" s="85"/>
      <c r="E141" s="85"/>
      <c r="F141" s="85"/>
      <c r="G141" s="85"/>
      <c r="H141" s="85"/>
      <c r="I141" s="138" t="str">
        <f aca="false">IFERROR(VLOOKUP(TEXT(H141,"0"),IPRESS!$A$3:$B$212,2,0),"")</f>
        <v/>
      </c>
      <c r="J141" s="85"/>
      <c r="K141" s="149"/>
      <c r="L141" s="85"/>
      <c r="M141" s="85"/>
      <c r="N141" s="151"/>
      <c r="O141" s="85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85"/>
      <c r="S141" s="85"/>
      <c r="T141" s="85"/>
      <c r="U141" s="85"/>
      <c r="V141" s="85"/>
      <c r="W141" s="85"/>
      <c r="X141" s="85"/>
      <c r="Y141" s="85"/>
      <c r="Z141" s="157"/>
      <c r="AA141" s="4"/>
      <c r="AB141" s="4"/>
      <c r="AC141" s="4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49"/>
      <c r="L142" s="85"/>
      <c r="M142" s="85"/>
      <c r="N142" s="151"/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57"/>
      <c r="AA142" s="4"/>
      <c r="AB142" s="4"/>
      <c r="AC142" s="4"/>
    </row>
    <row r="143" customFormat="false" ht="15" hidden="false" customHeight="true" outlineLevel="0" collapsed="false">
      <c r="A143" s="85"/>
      <c r="B143" s="85"/>
      <c r="C143" s="85"/>
      <c r="D143" s="85"/>
      <c r="E143" s="85"/>
      <c r="F143" s="85"/>
      <c r="G143" s="85"/>
      <c r="H143" s="85"/>
      <c r="I143" s="138" t="str">
        <f aca="false">IFERROR(VLOOKUP(TEXT(H143,"0"),IPRESS!$A$3:$B$212,2,0),"")</f>
        <v/>
      </c>
      <c r="J143" s="85"/>
      <c r="K143" s="149"/>
      <c r="L143" s="85"/>
      <c r="M143" s="85"/>
      <c r="N143" s="151"/>
      <c r="O143" s="85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85"/>
      <c r="S143" s="85"/>
      <c r="T143" s="85"/>
      <c r="U143" s="85"/>
      <c r="V143" s="85"/>
      <c r="W143" s="85"/>
      <c r="X143" s="85"/>
      <c r="Y143" s="85"/>
      <c r="Z143" s="157"/>
      <c r="AA143" s="4"/>
      <c r="AB143" s="4"/>
      <c r="AC143" s="4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49"/>
      <c r="L144" s="85"/>
      <c r="M144" s="85"/>
      <c r="N144" s="151"/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57"/>
      <c r="AA144" s="4"/>
      <c r="AB144" s="4"/>
      <c r="AC144" s="4"/>
    </row>
    <row r="145" customFormat="false" ht="15" hidden="false" customHeight="true" outlineLevel="0" collapsed="false">
      <c r="A145" s="85"/>
      <c r="B145" s="85"/>
      <c r="C145" s="85"/>
      <c r="D145" s="85"/>
      <c r="E145" s="85"/>
      <c r="F145" s="85"/>
      <c r="G145" s="85"/>
      <c r="H145" s="85"/>
      <c r="I145" s="138" t="str">
        <f aca="false">IFERROR(VLOOKUP(TEXT(H145,"0"),IPRESS!$A$3:$B$212,2,0),"")</f>
        <v/>
      </c>
      <c r="J145" s="85"/>
      <c r="K145" s="149"/>
      <c r="L145" s="85"/>
      <c r="M145" s="85"/>
      <c r="N145" s="151"/>
      <c r="O145" s="85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85"/>
      <c r="S145" s="85"/>
      <c r="T145" s="85"/>
      <c r="U145" s="85"/>
      <c r="V145" s="85"/>
      <c r="W145" s="85"/>
      <c r="X145" s="85"/>
      <c r="Y145" s="85"/>
      <c r="Z145" s="157"/>
      <c r="AA145" s="4"/>
      <c r="AB145" s="4"/>
      <c r="AC145" s="4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49"/>
      <c r="L146" s="85"/>
      <c r="M146" s="85"/>
      <c r="N146" s="151"/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57"/>
      <c r="AA146" s="4"/>
      <c r="AB146" s="4"/>
      <c r="AC146" s="4"/>
    </row>
    <row r="147" customFormat="false" ht="15" hidden="false" customHeight="true" outlineLevel="0" collapsed="false">
      <c r="A147" s="85"/>
      <c r="B147" s="85"/>
      <c r="C147" s="85"/>
      <c r="D147" s="85"/>
      <c r="E147" s="85"/>
      <c r="F147" s="85"/>
      <c r="G147" s="85"/>
      <c r="H147" s="85"/>
      <c r="I147" s="138" t="str">
        <f aca="false">IFERROR(VLOOKUP(TEXT(H147,"0"),IPRESS!$A$3:$B$212,2,0),"")</f>
        <v/>
      </c>
      <c r="J147" s="85"/>
      <c r="K147" s="149"/>
      <c r="L147" s="85"/>
      <c r="M147" s="85"/>
      <c r="N147" s="151"/>
      <c r="O147" s="85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85"/>
      <c r="S147" s="85"/>
      <c r="T147" s="85"/>
      <c r="U147" s="85"/>
      <c r="V147" s="85"/>
      <c r="W147" s="85"/>
      <c r="X147" s="85"/>
      <c r="Y147" s="85"/>
      <c r="Z147" s="157"/>
      <c r="AA147" s="4"/>
      <c r="AB147" s="4"/>
      <c r="AC147" s="4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49"/>
      <c r="L148" s="85"/>
      <c r="M148" s="85"/>
      <c r="N148" s="151"/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57"/>
      <c r="AA148" s="4"/>
      <c r="AB148" s="4"/>
      <c r="AC148" s="4"/>
    </row>
    <row r="149" customFormat="false" ht="15" hidden="false" customHeight="true" outlineLevel="0" collapsed="false">
      <c r="A149" s="85"/>
      <c r="B149" s="85"/>
      <c r="C149" s="85"/>
      <c r="D149" s="85"/>
      <c r="E149" s="85"/>
      <c r="F149" s="85"/>
      <c r="G149" s="85"/>
      <c r="H149" s="85"/>
      <c r="I149" s="138" t="str">
        <f aca="false">IFERROR(VLOOKUP(TEXT(H149,"0"),IPRESS!$A$3:$B$212,2,0),"")</f>
        <v/>
      </c>
      <c r="J149" s="85"/>
      <c r="K149" s="149"/>
      <c r="L149" s="85"/>
      <c r="M149" s="85"/>
      <c r="N149" s="151"/>
      <c r="O149" s="85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85"/>
      <c r="S149" s="85"/>
      <c r="T149" s="85"/>
      <c r="U149" s="85"/>
      <c r="V149" s="85"/>
      <c r="W149" s="85"/>
      <c r="X149" s="85"/>
      <c r="Y149" s="85"/>
      <c r="Z149" s="157"/>
      <c r="AA149" s="4"/>
      <c r="AB149" s="4"/>
      <c r="AC149" s="4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49"/>
      <c r="L150" s="85"/>
      <c r="M150" s="85"/>
      <c r="N150" s="151"/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57"/>
      <c r="AA150" s="4"/>
      <c r="AB150" s="4"/>
      <c r="AC150" s="4"/>
    </row>
    <row r="151" customFormat="false" ht="15" hidden="false" customHeight="true" outlineLevel="0" collapsed="false">
      <c r="A151" s="85"/>
      <c r="B151" s="85"/>
      <c r="C151" s="85"/>
      <c r="D151" s="85"/>
      <c r="E151" s="85"/>
      <c r="F151" s="85"/>
      <c r="G151" s="85"/>
      <c r="H151" s="85"/>
      <c r="I151" s="138" t="str">
        <f aca="false">IFERROR(VLOOKUP(TEXT(H151,"0"),IPRESS!$A$3:$B$212,2,0),"")</f>
        <v/>
      </c>
      <c r="J151" s="85"/>
      <c r="K151" s="149"/>
      <c r="L151" s="85"/>
      <c r="M151" s="85"/>
      <c r="N151" s="151"/>
      <c r="O151" s="85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85"/>
      <c r="S151" s="85"/>
      <c r="T151" s="85"/>
      <c r="U151" s="85"/>
      <c r="V151" s="85"/>
      <c r="W151" s="85"/>
      <c r="X151" s="85"/>
      <c r="Y151" s="85"/>
      <c r="Z151" s="157"/>
      <c r="AA151" s="4"/>
      <c r="AB151" s="4"/>
      <c r="AC151" s="4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49"/>
      <c r="L152" s="85"/>
      <c r="M152" s="85"/>
      <c r="N152" s="151"/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57"/>
      <c r="AA152" s="4"/>
      <c r="AB152" s="4"/>
      <c r="AC152" s="4"/>
    </row>
    <row r="153" customFormat="false" ht="15" hidden="false" customHeight="true" outlineLevel="0" collapsed="false">
      <c r="A153" s="85"/>
      <c r="B153" s="85"/>
      <c r="C153" s="85"/>
      <c r="D153" s="85"/>
      <c r="E153" s="85"/>
      <c r="F153" s="85"/>
      <c r="G153" s="85"/>
      <c r="H153" s="85"/>
      <c r="I153" s="138" t="str">
        <f aca="false">IFERROR(VLOOKUP(TEXT(H153,"0"),IPRESS!$A$3:$B$212,2,0),"")</f>
        <v/>
      </c>
      <c r="J153" s="85"/>
      <c r="K153" s="149"/>
      <c r="L153" s="85"/>
      <c r="M153" s="85"/>
      <c r="N153" s="151"/>
      <c r="O153" s="85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85"/>
      <c r="S153" s="85"/>
      <c r="T153" s="85"/>
      <c r="U153" s="85"/>
      <c r="V153" s="85"/>
      <c r="W153" s="85"/>
      <c r="X153" s="85"/>
      <c r="Y153" s="85"/>
      <c r="Z153" s="157"/>
      <c r="AA153" s="4"/>
      <c r="AB153" s="4"/>
      <c r="AC153" s="4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49"/>
      <c r="L154" s="85"/>
      <c r="M154" s="85"/>
      <c r="N154" s="151"/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57"/>
      <c r="AA154" s="4"/>
      <c r="AB154" s="4"/>
      <c r="AC154" s="4"/>
    </row>
    <row r="155" customFormat="false" ht="15" hidden="false" customHeight="true" outlineLevel="0" collapsed="false">
      <c r="A155" s="85"/>
      <c r="B155" s="85"/>
      <c r="C155" s="85"/>
      <c r="D155" s="85"/>
      <c r="E155" s="85"/>
      <c r="F155" s="85"/>
      <c r="G155" s="85"/>
      <c r="H155" s="85"/>
      <c r="I155" s="138" t="str">
        <f aca="false">IFERROR(VLOOKUP(TEXT(H155,"0"),IPRESS!$A$3:$B$212,2,0),"")</f>
        <v/>
      </c>
      <c r="J155" s="85"/>
      <c r="K155" s="149"/>
      <c r="L155" s="85"/>
      <c r="M155" s="85"/>
      <c r="N155" s="151"/>
      <c r="O155" s="85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85"/>
      <c r="S155" s="85"/>
      <c r="T155" s="85"/>
      <c r="U155" s="85"/>
      <c r="V155" s="85"/>
      <c r="W155" s="85"/>
      <c r="X155" s="85"/>
      <c r="Y155" s="85"/>
      <c r="Z155" s="157"/>
      <c r="AA155" s="4"/>
      <c r="AB155" s="4"/>
      <c r="AC155" s="4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49"/>
      <c r="L156" s="85"/>
      <c r="M156" s="85"/>
      <c r="N156" s="151"/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57"/>
      <c r="AA156" s="4"/>
      <c r="AB156" s="4"/>
      <c r="AC156" s="4"/>
    </row>
    <row r="157" customFormat="false" ht="15" hidden="false" customHeight="true" outlineLevel="0" collapsed="false">
      <c r="A157" s="85"/>
      <c r="B157" s="85"/>
      <c r="C157" s="85"/>
      <c r="D157" s="85"/>
      <c r="E157" s="85"/>
      <c r="F157" s="85"/>
      <c r="G157" s="85"/>
      <c r="H157" s="85"/>
      <c r="I157" s="138" t="str">
        <f aca="false">IFERROR(VLOOKUP(TEXT(H157,"0"),IPRESS!$A$3:$B$212,2,0),"")</f>
        <v/>
      </c>
      <c r="J157" s="85"/>
      <c r="K157" s="149"/>
      <c r="L157" s="85"/>
      <c r="M157" s="85"/>
      <c r="N157" s="151"/>
      <c r="O157" s="85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85"/>
      <c r="S157" s="85"/>
      <c r="T157" s="85"/>
      <c r="U157" s="85"/>
      <c r="V157" s="85"/>
      <c r="W157" s="85"/>
      <c r="X157" s="85"/>
      <c r="Y157" s="85"/>
      <c r="Z157" s="157"/>
      <c r="AA157" s="4"/>
      <c r="AB157" s="4"/>
      <c r="AC157" s="4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49"/>
      <c r="L158" s="85"/>
      <c r="M158" s="85"/>
      <c r="N158" s="151"/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57"/>
      <c r="AA158" s="4"/>
      <c r="AB158" s="4"/>
      <c r="AC158" s="4"/>
    </row>
    <row r="159" customFormat="false" ht="15" hidden="false" customHeight="true" outlineLevel="0" collapsed="false">
      <c r="A159" s="85"/>
      <c r="B159" s="85"/>
      <c r="C159" s="85"/>
      <c r="D159" s="85"/>
      <c r="E159" s="85"/>
      <c r="F159" s="85"/>
      <c r="G159" s="85"/>
      <c r="H159" s="85"/>
      <c r="I159" s="138" t="str">
        <f aca="false">IFERROR(VLOOKUP(TEXT(H159,"0"),IPRESS!$A$3:$B$212,2,0),"")</f>
        <v/>
      </c>
      <c r="J159" s="85"/>
      <c r="K159" s="149"/>
      <c r="L159" s="85"/>
      <c r="M159" s="85"/>
      <c r="N159" s="151"/>
      <c r="O159" s="85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85"/>
      <c r="S159" s="85"/>
      <c r="T159" s="85"/>
      <c r="U159" s="85"/>
      <c r="V159" s="85"/>
      <c r="W159" s="85"/>
      <c r="X159" s="85"/>
      <c r="Y159" s="85"/>
      <c r="Z159" s="157"/>
      <c r="AA159" s="4"/>
      <c r="AB159" s="4"/>
      <c r="AC159" s="4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49"/>
      <c r="L160" s="85"/>
      <c r="M160" s="85"/>
      <c r="N160" s="151"/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57"/>
      <c r="AA160" s="4"/>
      <c r="AB160" s="4"/>
      <c r="AC160" s="4"/>
    </row>
    <row r="161" customFormat="false" ht="15" hidden="false" customHeight="true" outlineLevel="0" collapsed="false">
      <c r="A161" s="85"/>
      <c r="B161" s="85"/>
      <c r="C161" s="85"/>
      <c r="D161" s="85"/>
      <c r="E161" s="85"/>
      <c r="F161" s="85"/>
      <c r="G161" s="85"/>
      <c r="H161" s="85"/>
      <c r="I161" s="138" t="str">
        <f aca="false">IFERROR(VLOOKUP(TEXT(H161,"0"),IPRESS!$A$3:$B$212,2,0),"")</f>
        <v/>
      </c>
      <c r="J161" s="85"/>
      <c r="K161" s="149"/>
      <c r="L161" s="85"/>
      <c r="M161" s="85"/>
      <c r="N161" s="151"/>
      <c r="O161" s="85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85"/>
      <c r="S161" s="85"/>
      <c r="T161" s="85"/>
      <c r="U161" s="85"/>
      <c r="V161" s="85"/>
      <c r="W161" s="85"/>
      <c r="X161" s="85"/>
      <c r="Y161" s="85"/>
      <c r="Z161" s="157"/>
      <c r="AA161" s="4"/>
      <c r="AB161" s="4"/>
      <c r="AC161" s="4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49"/>
      <c r="L162" s="85"/>
      <c r="M162" s="85"/>
      <c r="N162" s="151"/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57"/>
      <c r="AA162" s="4"/>
      <c r="AB162" s="4"/>
      <c r="AC162" s="4"/>
    </row>
    <row r="163" customFormat="false" ht="15" hidden="false" customHeight="true" outlineLevel="0" collapsed="false">
      <c r="A163" s="85"/>
      <c r="B163" s="85"/>
      <c r="C163" s="85"/>
      <c r="D163" s="85"/>
      <c r="E163" s="85"/>
      <c r="F163" s="85"/>
      <c r="G163" s="85"/>
      <c r="H163" s="85"/>
      <c r="I163" s="138" t="str">
        <f aca="false">IFERROR(VLOOKUP(TEXT(H163,"0"),IPRESS!$A$3:$B$212,2,0),"")</f>
        <v/>
      </c>
      <c r="J163" s="85"/>
      <c r="K163" s="149"/>
      <c r="L163" s="85"/>
      <c r="M163" s="85"/>
      <c r="N163" s="151"/>
      <c r="O163" s="85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85"/>
      <c r="S163" s="85"/>
      <c r="T163" s="85"/>
      <c r="U163" s="85"/>
      <c r="V163" s="85"/>
      <c r="W163" s="85"/>
      <c r="X163" s="85"/>
      <c r="Y163" s="85"/>
      <c r="Z163" s="157"/>
      <c r="AA163" s="4"/>
      <c r="AB163" s="4"/>
      <c r="AC163" s="4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49"/>
      <c r="L164" s="85"/>
      <c r="M164" s="85"/>
      <c r="N164" s="151"/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57"/>
      <c r="AA164" s="4"/>
      <c r="AB164" s="4"/>
      <c r="AC164" s="4"/>
    </row>
    <row r="165" customFormat="false" ht="15" hidden="false" customHeight="true" outlineLevel="0" collapsed="false">
      <c r="A165" s="85"/>
      <c r="B165" s="85"/>
      <c r="C165" s="85"/>
      <c r="D165" s="85"/>
      <c r="E165" s="85"/>
      <c r="F165" s="85"/>
      <c r="G165" s="85"/>
      <c r="H165" s="85"/>
      <c r="I165" s="138" t="str">
        <f aca="false">IFERROR(VLOOKUP(TEXT(H165,"0"),IPRESS!$A$3:$B$212,2,0),"")</f>
        <v/>
      </c>
      <c r="J165" s="85"/>
      <c r="K165" s="149"/>
      <c r="L165" s="85"/>
      <c r="M165" s="85"/>
      <c r="N165" s="151"/>
      <c r="O165" s="85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85"/>
      <c r="S165" s="85"/>
      <c r="T165" s="85"/>
      <c r="U165" s="85"/>
      <c r="V165" s="85"/>
      <c r="W165" s="85"/>
      <c r="X165" s="85"/>
      <c r="Y165" s="85"/>
      <c r="Z165" s="157"/>
      <c r="AA165" s="4"/>
      <c r="AB165" s="4"/>
      <c r="AC165" s="4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49"/>
      <c r="L166" s="85"/>
      <c r="M166" s="85"/>
      <c r="N166" s="151"/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57"/>
      <c r="AA166" s="4"/>
      <c r="AB166" s="4"/>
      <c r="AC166" s="4"/>
    </row>
    <row r="167" customFormat="false" ht="15" hidden="false" customHeight="true" outlineLevel="0" collapsed="false">
      <c r="A167" s="85"/>
      <c r="B167" s="85"/>
      <c r="C167" s="85"/>
      <c r="D167" s="85"/>
      <c r="E167" s="85"/>
      <c r="F167" s="85"/>
      <c r="G167" s="85"/>
      <c r="H167" s="85"/>
      <c r="I167" s="138" t="str">
        <f aca="false">IFERROR(VLOOKUP(TEXT(H167,"0"),IPRESS!$A$3:$B$212,2,0),"")</f>
        <v/>
      </c>
      <c r="J167" s="85"/>
      <c r="K167" s="149"/>
      <c r="L167" s="85"/>
      <c r="M167" s="85"/>
      <c r="N167" s="151"/>
      <c r="O167" s="85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85"/>
      <c r="S167" s="85"/>
      <c r="T167" s="85"/>
      <c r="U167" s="85"/>
      <c r="V167" s="85"/>
      <c r="W167" s="85"/>
      <c r="X167" s="85"/>
      <c r="Y167" s="85"/>
      <c r="Z167" s="157"/>
      <c r="AA167" s="4"/>
      <c r="AB167" s="4"/>
      <c r="AC167" s="4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49"/>
      <c r="L168" s="85"/>
      <c r="M168" s="85"/>
      <c r="N168" s="151"/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57"/>
      <c r="AA168" s="4"/>
      <c r="AB168" s="4"/>
      <c r="AC168" s="4"/>
    </row>
    <row r="169" customFormat="false" ht="15" hidden="false" customHeight="true" outlineLevel="0" collapsed="false">
      <c r="A169" s="85"/>
      <c r="B169" s="85"/>
      <c r="C169" s="85"/>
      <c r="D169" s="85"/>
      <c r="E169" s="85"/>
      <c r="F169" s="85"/>
      <c r="G169" s="85"/>
      <c r="H169" s="85"/>
      <c r="I169" s="138" t="str">
        <f aca="false">IFERROR(VLOOKUP(TEXT(H169,"0"),IPRESS!$A$3:$B$212,2,0),"")</f>
        <v/>
      </c>
      <c r="J169" s="85"/>
      <c r="K169" s="149"/>
      <c r="L169" s="85"/>
      <c r="M169" s="85"/>
      <c r="N169" s="151"/>
      <c r="O169" s="85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85"/>
      <c r="S169" s="85"/>
      <c r="T169" s="85"/>
      <c r="U169" s="85"/>
      <c r="V169" s="85"/>
      <c r="W169" s="85"/>
      <c r="X169" s="85"/>
      <c r="Y169" s="85"/>
      <c r="Z169" s="157"/>
      <c r="AA169" s="4"/>
      <c r="AB169" s="4"/>
      <c r="AC169" s="4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49"/>
      <c r="L170" s="85"/>
      <c r="M170" s="85"/>
      <c r="N170" s="151"/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57"/>
      <c r="AA170" s="4"/>
      <c r="AB170" s="4"/>
      <c r="AC170" s="4"/>
    </row>
    <row r="171" customFormat="false" ht="15" hidden="false" customHeight="true" outlineLevel="0" collapsed="false">
      <c r="A171" s="85"/>
      <c r="B171" s="85"/>
      <c r="C171" s="85"/>
      <c r="D171" s="85"/>
      <c r="E171" s="85"/>
      <c r="F171" s="85"/>
      <c r="G171" s="85"/>
      <c r="H171" s="85"/>
      <c r="I171" s="138" t="str">
        <f aca="false">IFERROR(VLOOKUP(TEXT(H171,"0"),IPRESS!$A$3:$B$212,2,0),"")</f>
        <v/>
      </c>
      <c r="J171" s="85"/>
      <c r="K171" s="149"/>
      <c r="L171" s="85"/>
      <c r="M171" s="85"/>
      <c r="N171" s="151"/>
      <c r="O171" s="85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85"/>
      <c r="S171" s="85"/>
      <c r="T171" s="85"/>
      <c r="U171" s="85"/>
      <c r="V171" s="85"/>
      <c r="W171" s="85"/>
      <c r="X171" s="85"/>
      <c r="Y171" s="85"/>
      <c r="Z171" s="157"/>
      <c r="AA171" s="4"/>
      <c r="AB171" s="4"/>
      <c r="AC171" s="4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49"/>
      <c r="L172" s="85"/>
      <c r="M172" s="85"/>
      <c r="N172" s="151"/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57"/>
      <c r="AA172" s="4"/>
      <c r="AB172" s="4"/>
      <c r="AC172" s="4"/>
    </row>
    <row r="173" customFormat="false" ht="15" hidden="false" customHeight="true" outlineLevel="0" collapsed="false">
      <c r="A173" s="85"/>
      <c r="B173" s="85"/>
      <c r="C173" s="85"/>
      <c r="D173" s="85"/>
      <c r="E173" s="85"/>
      <c r="F173" s="85"/>
      <c r="G173" s="85"/>
      <c r="H173" s="85"/>
      <c r="I173" s="138" t="str">
        <f aca="false">IFERROR(VLOOKUP(TEXT(H173,"0"),IPRESS!$A$3:$B$212,2,0),"")</f>
        <v/>
      </c>
      <c r="J173" s="85"/>
      <c r="K173" s="149"/>
      <c r="L173" s="85"/>
      <c r="M173" s="85"/>
      <c r="N173" s="151"/>
      <c r="O173" s="85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85"/>
      <c r="S173" s="85"/>
      <c r="T173" s="85"/>
      <c r="U173" s="85"/>
      <c r="V173" s="85"/>
      <c r="W173" s="85"/>
      <c r="X173" s="85"/>
      <c r="Y173" s="85"/>
      <c r="Z173" s="157"/>
      <c r="AA173" s="4"/>
      <c r="AB173" s="4"/>
      <c r="AC173" s="4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49"/>
      <c r="L174" s="85"/>
      <c r="M174" s="85"/>
      <c r="N174" s="151"/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57"/>
      <c r="AA174" s="4"/>
      <c r="AB174" s="4"/>
      <c r="AC174" s="4"/>
    </row>
    <row r="175" customFormat="false" ht="15" hidden="false" customHeight="true" outlineLevel="0" collapsed="false">
      <c r="A175" s="85"/>
      <c r="B175" s="85"/>
      <c r="C175" s="85"/>
      <c r="D175" s="85"/>
      <c r="E175" s="85"/>
      <c r="F175" s="85"/>
      <c r="G175" s="85"/>
      <c r="H175" s="85"/>
      <c r="I175" s="138" t="str">
        <f aca="false">IFERROR(VLOOKUP(TEXT(H175,"0"),IPRESS!$A$3:$B$212,2,0),"")</f>
        <v/>
      </c>
      <c r="J175" s="85"/>
      <c r="K175" s="149"/>
      <c r="L175" s="85"/>
      <c r="M175" s="85"/>
      <c r="N175" s="151"/>
      <c r="O175" s="85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85"/>
      <c r="S175" s="85"/>
      <c r="T175" s="85"/>
      <c r="U175" s="85"/>
      <c r="V175" s="85"/>
      <c r="W175" s="85"/>
      <c r="X175" s="85"/>
      <c r="Y175" s="85"/>
      <c r="Z175" s="157"/>
      <c r="AA175" s="4"/>
      <c r="AB175" s="4"/>
      <c r="AC175" s="4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49"/>
      <c r="L176" s="85"/>
      <c r="M176" s="85"/>
      <c r="N176" s="151"/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57"/>
      <c r="AA176" s="4"/>
      <c r="AB176" s="4"/>
      <c r="AC176" s="4"/>
    </row>
    <row r="177" customFormat="false" ht="15" hidden="false" customHeight="true" outlineLevel="0" collapsed="false">
      <c r="A177" s="85"/>
      <c r="B177" s="85"/>
      <c r="C177" s="85"/>
      <c r="D177" s="85"/>
      <c r="E177" s="85"/>
      <c r="F177" s="85"/>
      <c r="G177" s="85"/>
      <c r="H177" s="85"/>
      <c r="I177" s="138" t="str">
        <f aca="false">IFERROR(VLOOKUP(TEXT(H177,"0"),IPRESS!$A$3:$B$212,2,0),"")</f>
        <v/>
      </c>
      <c r="J177" s="85"/>
      <c r="K177" s="149"/>
      <c r="L177" s="85"/>
      <c r="M177" s="85"/>
      <c r="N177" s="151"/>
      <c r="O177" s="85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85"/>
      <c r="S177" s="85"/>
      <c r="T177" s="85"/>
      <c r="U177" s="85"/>
      <c r="V177" s="85"/>
      <c r="W177" s="85"/>
      <c r="X177" s="85"/>
      <c r="Y177" s="85"/>
      <c r="Z177" s="157"/>
      <c r="AA177" s="4"/>
      <c r="AB177" s="4"/>
      <c r="AC177" s="4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49"/>
      <c r="L178" s="85"/>
      <c r="M178" s="85"/>
      <c r="N178" s="151"/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57"/>
      <c r="AA178" s="4"/>
      <c r="AB178" s="4"/>
      <c r="AC178" s="4"/>
    </row>
    <row r="179" customFormat="false" ht="15" hidden="false" customHeight="true" outlineLevel="0" collapsed="false">
      <c r="A179" s="85"/>
      <c r="B179" s="85"/>
      <c r="C179" s="85"/>
      <c r="D179" s="85"/>
      <c r="E179" s="85"/>
      <c r="F179" s="85"/>
      <c r="G179" s="85"/>
      <c r="H179" s="85"/>
      <c r="I179" s="138" t="str">
        <f aca="false">IFERROR(VLOOKUP(TEXT(H179,"0"),IPRESS!$A$3:$B$212,2,0),"")</f>
        <v/>
      </c>
      <c r="J179" s="85"/>
      <c r="K179" s="149"/>
      <c r="L179" s="85"/>
      <c r="M179" s="85"/>
      <c r="N179" s="151"/>
      <c r="O179" s="85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85"/>
      <c r="S179" s="85"/>
      <c r="T179" s="85"/>
      <c r="U179" s="85"/>
      <c r="V179" s="85"/>
      <c r="W179" s="85"/>
      <c r="X179" s="85"/>
      <c r="Y179" s="85"/>
      <c r="Z179" s="157"/>
      <c r="AA179" s="4"/>
      <c r="AB179" s="4"/>
      <c r="AC179" s="4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49"/>
      <c r="L180" s="85"/>
      <c r="M180" s="85"/>
      <c r="N180" s="151"/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57"/>
      <c r="AA180" s="4"/>
      <c r="AB180" s="4"/>
      <c r="AC180" s="4"/>
    </row>
    <row r="181" customFormat="false" ht="15" hidden="false" customHeight="true" outlineLevel="0" collapsed="false">
      <c r="A181" s="85"/>
      <c r="B181" s="85"/>
      <c r="C181" s="85"/>
      <c r="D181" s="85"/>
      <c r="E181" s="85"/>
      <c r="F181" s="85"/>
      <c r="G181" s="85"/>
      <c r="H181" s="85"/>
      <c r="I181" s="138" t="str">
        <f aca="false">IFERROR(VLOOKUP(TEXT(H181,"0"),IPRESS!$A$3:$B$212,2,0),"")</f>
        <v/>
      </c>
      <c r="J181" s="85"/>
      <c r="K181" s="149"/>
      <c r="L181" s="85"/>
      <c r="M181" s="85"/>
      <c r="N181" s="151"/>
      <c r="O181" s="85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85"/>
      <c r="S181" s="85"/>
      <c r="T181" s="85"/>
      <c r="U181" s="85"/>
      <c r="V181" s="85"/>
      <c r="W181" s="85"/>
      <c r="X181" s="85"/>
      <c r="Y181" s="85"/>
      <c r="Z181" s="157"/>
      <c r="AA181" s="4"/>
      <c r="AB181" s="4"/>
      <c r="AC181" s="4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49"/>
      <c r="L182" s="85"/>
      <c r="M182" s="85"/>
      <c r="N182" s="151"/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57"/>
      <c r="AA182" s="4"/>
      <c r="AB182" s="4"/>
      <c r="AC182" s="4"/>
    </row>
    <row r="183" customFormat="false" ht="15" hidden="false" customHeight="true" outlineLevel="0" collapsed="false">
      <c r="A183" s="85"/>
      <c r="B183" s="85"/>
      <c r="C183" s="85"/>
      <c r="D183" s="85"/>
      <c r="E183" s="85"/>
      <c r="F183" s="85"/>
      <c r="G183" s="85"/>
      <c r="H183" s="85"/>
      <c r="I183" s="138" t="str">
        <f aca="false">IFERROR(VLOOKUP(TEXT(H183,"0"),IPRESS!$A$3:$B$212,2,0),"")</f>
        <v/>
      </c>
      <c r="J183" s="85"/>
      <c r="K183" s="149"/>
      <c r="L183" s="85"/>
      <c r="M183" s="85"/>
      <c r="N183" s="151"/>
      <c r="O183" s="85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85"/>
      <c r="S183" s="85"/>
      <c r="T183" s="85"/>
      <c r="U183" s="85"/>
      <c r="V183" s="85"/>
      <c r="W183" s="85"/>
      <c r="X183" s="85"/>
      <c r="Y183" s="85"/>
      <c r="Z183" s="157"/>
      <c r="AA183" s="4"/>
      <c r="AB183" s="4"/>
      <c r="AC183" s="4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49"/>
      <c r="L184" s="85"/>
      <c r="M184" s="85"/>
      <c r="N184" s="151"/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57"/>
      <c r="AA184" s="4"/>
      <c r="AB184" s="4"/>
      <c r="AC184" s="4"/>
    </row>
    <row r="185" customFormat="false" ht="15" hidden="false" customHeight="true" outlineLevel="0" collapsed="false">
      <c r="A185" s="85"/>
      <c r="B185" s="85"/>
      <c r="C185" s="85"/>
      <c r="D185" s="85"/>
      <c r="E185" s="85"/>
      <c r="F185" s="85"/>
      <c r="G185" s="85"/>
      <c r="H185" s="85"/>
      <c r="I185" s="138" t="str">
        <f aca="false">IFERROR(VLOOKUP(TEXT(H185,"0"),IPRESS!$A$3:$B$212,2,0),"")</f>
        <v/>
      </c>
      <c r="J185" s="85"/>
      <c r="K185" s="149"/>
      <c r="L185" s="85"/>
      <c r="M185" s="85"/>
      <c r="N185" s="151"/>
      <c r="O185" s="85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85"/>
      <c r="S185" s="85"/>
      <c r="T185" s="85"/>
      <c r="U185" s="85"/>
      <c r="V185" s="85"/>
      <c r="W185" s="85"/>
      <c r="X185" s="85"/>
      <c r="Y185" s="85"/>
      <c r="Z185" s="157"/>
      <c r="AA185" s="4"/>
      <c r="AB185" s="4"/>
      <c r="AC185" s="4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49"/>
      <c r="L186" s="85"/>
      <c r="M186" s="85"/>
      <c r="N186" s="151"/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57"/>
      <c r="AA186" s="4"/>
      <c r="AB186" s="4"/>
      <c r="AC186" s="4"/>
    </row>
    <row r="187" customFormat="false" ht="15" hidden="false" customHeight="true" outlineLevel="0" collapsed="false">
      <c r="A187" s="85"/>
      <c r="B187" s="85"/>
      <c r="C187" s="85"/>
      <c r="D187" s="85"/>
      <c r="E187" s="85"/>
      <c r="F187" s="85"/>
      <c r="G187" s="85"/>
      <c r="H187" s="85"/>
      <c r="I187" s="138" t="str">
        <f aca="false">IFERROR(VLOOKUP(TEXT(H187,"0"),IPRESS!$A$3:$B$212,2,0),"")</f>
        <v/>
      </c>
      <c r="J187" s="85"/>
      <c r="K187" s="149"/>
      <c r="L187" s="85"/>
      <c r="M187" s="85"/>
      <c r="N187" s="151"/>
      <c r="O187" s="85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85"/>
      <c r="S187" s="85"/>
      <c r="T187" s="85"/>
      <c r="U187" s="85"/>
      <c r="V187" s="85"/>
      <c r="W187" s="85"/>
      <c r="X187" s="85"/>
      <c r="Y187" s="85"/>
      <c r="Z187" s="157"/>
      <c r="AA187" s="4"/>
      <c r="AB187" s="4"/>
      <c r="AC187" s="4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49"/>
      <c r="L188" s="85"/>
      <c r="M188" s="85"/>
      <c r="N188" s="151"/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57"/>
      <c r="AA188" s="4"/>
      <c r="AB188" s="4"/>
      <c r="AC188" s="4"/>
    </row>
    <row r="189" customFormat="false" ht="15" hidden="false" customHeight="true" outlineLevel="0" collapsed="false">
      <c r="A189" s="85"/>
      <c r="B189" s="85"/>
      <c r="C189" s="85"/>
      <c r="D189" s="85"/>
      <c r="E189" s="85"/>
      <c r="F189" s="85"/>
      <c r="G189" s="85"/>
      <c r="H189" s="85"/>
      <c r="I189" s="138" t="str">
        <f aca="false">IFERROR(VLOOKUP(TEXT(H189,"0"),IPRESS!$A$3:$B$212,2,0),"")</f>
        <v/>
      </c>
      <c r="J189" s="85"/>
      <c r="K189" s="149"/>
      <c r="L189" s="85"/>
      <c r="M189" s="85"/>
      <c r="N189" s="151"/>
      <c r="O189" s="85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85"/>
      <c r="S189" s="85"/>
      <c r="T189" s="85"/>
      <c r="U189" s="85"/>
      <c r="V189" s="85"/>
      <c r="W189" s="85"/>
      <c r="X189" s="85"/>
      <c r="Y189" s="85"/>
      <c r="Z189" s="157"/>
      <c r="AA189" s="4"/>
      <c r="AB189" s="4"/>
      <c r="AC189" s="4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49"/>
      <c r="L190" s="85"/>
      <c r="M190" s="85"/>
      <c r="N190" s="151"/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57"/>
      <c r="AA190" s="4"/>
      <c r="AB190" s="4"/>
      <c r="AC190" s="4"/>
    </row>
    <row r="191" customFormat="false" ht="15" hidden="false" customHeight="true" outlineLevel="0" collapsed="false">
      <c r="A191" s="85"/>
      <c r="B191" s="85"/>
      <c r="C191" s="85"/>
      <c r="D191" s="85"/>
      <c r="E191" s="85"/>
      <c r="F191" s="85"/>
      <c r="G191" s="85"/>
      <c r="H191" s="85"/>
      <c r="I191" s="138" t="str">
        <f aca="false">IFERROR(VLOOKUP(TEXT(H191,"0"),IPRESS!$A$3:$B$212,2,0),"")</f>
        <v/>
      </c>
      <c r="J191" s="85"/>
      <c r="K191" s="149"/>
      <c r="L191" s="85"/>
      <c r="M191" s="85"/>
      <c r="N191" s="151"/>
      <c r="O191" s="85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85"/>
      <c r="S191" s="85"/>
      <c r="T191" s="85"/>
      <c r="U191" s="85"/>
      <c r="V191" s="85"/>
      <c r="W191" s="85"/>
      <c r="X191" s="85"/>
      <c r="Y191" s="85"/>
      <c r="Z191" s="157"/>
      <c r="AA191" s="4"/>
      <c r="AB191" s="4"/>
      <c r="AC191" s="4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49"/>
      <c r="L192" s="85"/>
      <c r="M192" s="85"/>
      <c r="N192" s="151"/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57"/>
      <c r="AA192" s="4"/>
      <c r="AB192" s="4"/>
      <c r="AC192" s="4"/>
    </row>
    <row r="193" customFormat="false" ht="15" hidden="false" customHeight="true" outlineLevel="0" collapsed="false">
      <c r="A193" s="85"/>
      <c r="B193" s="85"/>
      <c r="C193" s="85"/>
      <c r="D193" s="85"/>
      <c r="E193" s="85"/>
      <c r="F193" s="85"/>
      <c r="G193" s="85"/>
      <c r="H193" s="85"/>
      <c r="I193" s="138" t="str">
        <f aca="false">IFERROR(VLOOKUP(TEXT(H193,"0"),IPRESS!$A$3:$B$212,2,0),"")</f>
        <v/>
      </c>
      <c r="J193" s="85"/>
      <c r="K193" s="149"/>
      <c r="L193" s="85"/>
      <c r="M193" s="85"/>
      <c r="N193" s="151"/>
      <c r="O193" s="85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85"/>
      <c r="S193" s="85"/>
      <c r="T193" s="85"/>
      <c r="U193" s="85"/>
      <c r="V193" s="85"/>
      <c r="W193" s="85"/>
      <c r="X193" s="85"/>
      <c r="Y193" s="85"/>
      <c r="Z193" s="157"/>
      <c r="AA193" s="4"/>
      <c r="AB193" s="4"/>
      <c r="AC193" s="4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49"/>
      <c r="L194" s="85"/>
      <c r="M194" s="85"/>
      <c r="N194" s="151"/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57"/>
      <c r="AA194" s="4"/>
      <c r="AB194" s="4"/>
      <c r="AC194" s="4"/>
    </row>
    <row r="195" customFormat="false" ht="15" hidden="false" customHeight="true" outlineLevel="0" collapsed="false">
      <c r="A195" s="85"/>
      <c r="B195" s="85"/>
      <c r="C195" s="85"/>
      <c r="D195" s="85"/>
      <c r="E195" s="85"/>
      <c r="F195" s="85"/>
      <c r="G195" s="85"/>
      <c r="H195" s="85"/>
      <c r="I195" s="138" t="str">
        <f aca="false">IFERROR(VLOOKUP(TEXT(H195,"0"),IPRESS!$A$3:$B$212,2,0),"")</f>
        <v/>
      </c>
      <c r="J195" s="85"/>
      <c r="K195" s="149"/>
      <c r="L195" s="85"/>
      <c r="M195" s="85"/>
      <c r="N195" s="151"/>
      <c r="O195" s="85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85"/>
      <c r="S195" s="85"/>
      <c r="T195" s="85"/>
      <c r="U195" s="85"/>
      <c r="V195" s="85"/>
      <c r="W195" s="85"/>
      <c r="X195" s="85"/>
      <c r="Y195" s="85"/>
      <c r="Z195" s="157"/>
      <c r="AA195" s="4"/>
      <c r="AB195" s="4"/>
      <c r="AC195" s="4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49"/>
      <c r="L196" s="85"/>
      <c r="M196" s="85"/>
      <c r="N196" s="151"/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57"/>
      <c r="AA196" s="4"/>
      <c r="AB196" s="4"/>
      <c r="AC196" s="4"/>
    </row>
    <row r="197" customFormat="false" ht="15" hidden="false" customHeight="true" outlineLevel="0" collapsed="false">
      <c r="A197" s="85"/>
      <c r="B197" s="85"/>
      <c r="C197" s="85"/>
      <c r="D197" s="85"/>
      <c r="E197" s="85"/>
      <c r="F197" s="85"/>
      <c r="G197" s="85"/>
      <c r="H197" s="85"/>
      <c r="I197" s="138" t="str">
        <f aca="false">IFERROR(VLOOKUP(TEXT(H197,"0"),IPRESS!$A$3:$B$212,2,0),"")</f>
        <v/>
      </c>
      <c r="J197" s="85"/>
      <c r="K197" s="149"/>
      <c r="L197" s="85"/>
      <c r="M197" s="85"/>
      <c r="N197" s="151"/>
      <c r="O197" s="85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85"/>
      <c r="S197" s="85"/>
      <c r="T197" s="85"/>
      <c r="U197" s="85"/>
      <c r="V197" s="85"/>
      <c r="W197" s="85"/>
      <c r="X197" s="85"/>
      <c r="Y197" s="85"/>
      <c r="Z197" s="157"/>
      <c r="AA197" s="4"/>
      <c r="AB197" s="4"/>
      <c r="AC197" s="4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49"/>
      <c r="L198" s="85"/>
      <c r="M198" s="85"/>
      <c r="N198" s="151"/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57"/>
      <c r="AA198" s="4"/>
      <c r="AB198" s="4"/>
      <c r="AC198" s="4"/>
    </row>
    <row r="199" customFormat="false" ht="15" hidden="false" customHeight="true" outlineLevel="0" collapsed="false">
      <c r="A199" s="85"/>
      <c r="B199" s="85"/>
      <c r="C199" s="85"/>
      <c r="D199" s="85"/>
      <c r="E199" s="85"/>
      <c r="F199" s="85"/>
      <c r="G199" s="85"/>
      <c r="H199" s="85"/>
      <c r="I199" s="138" t="str">
        <f aca="false">IFERROR(VLOOKUP(TEXT(H199,"0"),IPRESS!$A$3:$B$212,2,0),"")</f>
        <v/>
      </c>
      <c r="J199" s="85"/>
      <c r="K199" s="149"/>
      <c r="L199" s="85"/>
      <c r="M199" s="85"/>
      <c r="N199" s="151"/>
      <c r="O199" s="85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85"/>
      <c r="S199" s="85"/>
      <c r="T199" s="85"/>
      <c r="U199" s="85"/>
      <c r="V199" s="85"/>
      <c r="W199" s="85"/>
      <c r="X199" s="85"/>
      <c r="Y199" s="85"/>
      <c r="Z199" s="157"/>
      <c r="AA199" s="4"/>
      <c r="AB199" s="4"/>
      <c r="AC199" s="4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49"/>
      <c r="L200" s="85"/>
      <c r="M200" s="85"/>
      <c r="N200" s="151"/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57"/>
      <c r="AA200" s="4"/>
      <c r="AB200" s="4"/>
      <c r="AC200" s="4"/>
    </row>
    <row r="201" customFormat="false" ht="15" hidden="false" customHeight="true" outlineLevel="0" collapsed="false">
      <c r="A201" s="85"/>
      <c r="B201" s="85"/>
      <c r="C201" s="85"/>
      <c r="D201" s="85"/>
      <c r="E201" s="85"/>
      <c r="F201" s="85"/>
      <c r="G201" s="85"/>
      <c r="H201" s="85"/>
      <c r="I201" s="138" t="str">
        <f aca="false">IFERROR(VLOOKUP(TEXT(H201,"0"),IPRESS!$A$3:$B$212,2,0),"")</f>
        <v/>
      </c>
      <c r="J201" s="85"/>
      <c r="K201" s="149"/>
      <c r="L201" s="85"/>
      <c r="M201" s="85"/>
      <c r="N201" s="151"/>
      <c r="O201" s="85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85"/>
      <c r="S201" s="85"/>
      <c r="T201" s="85"/>
      <c r="U201" s="85"/>
      <c r="V201" s="85"/>
      <c r="W201" s="85"/>
      <c r="X201" s="85"/>
      <c r="Y201" s="85"/>
      <c r="Z201" s="157"/>
      <c r="AA201" s="4"/>
      <c r="AB201" s="4"/>
      <c r="AC201" s="4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49"/>
      <c r="L202" s="85"/>
      <c r="M202" s="85"/>
      <c r="N202" s="151"/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57"/>
      <c r="AA202" s="4"/>
      <c r="AB202" s="4"/>
      <c r="AC202" s="4"/>
    </row>
    <row r="203" customFormat="false" ht="15" hidden="false" customHeight="true" outlineLevel="0" collapsed="false">
      <c r="A203" s="85"/>
      <c r="B203" s="85"/>
      <c r="C203" s="85"/>
      <c r="D203" s="85"/>
      <c r="E203" s="85"/>
      <c r="F203" s="85"/>
      <c r="G203" s="85"/>
      <c r="H203" s="85"/>
      <c r="I203" s="138" t="str">
        <f aca="false">IFERROR(VLOOKUP(TEXT(H203,"0"),IPRESS!$A$3:$B$212,2,0),"")</f>
        <v/>
      </c>
      <c r="J203" s="85"/>
      <c r="K203" s="149"/>
      <c r="L203" s="85"/>
      <c r="M203" s="85"/>
      <c r="N203" s="151"/>
      <c r="O203" s="85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85"/>
      <c r="S203" s="85"/>
      <c r="T203" s="85"/>
      <c r="U203" s="85"/>
      <c r="V203" s="85"/>
      <c r="W203" s="85"/>
      <c r="X203" s="85"/>
      <c r="Y203" s="85"/>
      <c r="Z203" s="157"/>
      <c r="AA203" s="4"/>
      <c r="AB203" s="4"/>
      <c r="AC203" s="4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49"/>
      <c r="L204" s="85"/>
      <c r="M204" s="85"/>
      <c r="N204" s="151"/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57"/>
      <c r="AA204" s="4"/>
      <c r="AB204" s="4"/>
      <c r="AC204" s="4"/>
    </row>
    <row r="205" customFormat="false" ht="15" hidden="false" customHeight="true" outlineLevel="0" collapsed="false">
      <c r="A205" s="85"/>
      <c r="B205" s="85"/>
      <c r="C205" s="85"/>
      <c r="D205" s="85"/>
      <c r="E205" s="85"/>
      <c r="F205" s="85"/>
      <c r="G205" s="85"/>
      <c r="H205" s="85"/>
      <c r="I205" s="138" t="str">
        <f aca="false">IFERROR(VLOOKUP(TEXT(H205,"0"),IPRESS!$A$3:$B$212,2,0),"")</f>
        <v/>
      </c>
      <c r="J205" s="85"/>
      <c r="K205" s="149"/>
      <c r="L205" s="85"/>
      <c r="M205" s="85"/>
      <c r="N205" s="151"/>
      <c r="O205" s="85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85"/>
      <c r="S205" s="85"/>
      <c r="T205" s="85"/>
      <c r="U205" s="85"/>
      <c r="V205" s="85"/>
      <c r="W205" s="85"/>
      <c r="X205" s="85"/>
      <c r="Y205" s="85"/>
      <c r="Z205" s="157"/>
      <c r="AA205" s="4"/>
      <c r="AB205" s="4"/>
      <c r="AC205" s="4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49"/>
      <c r="L206" s="85"/>
      <c r="M206" s="85"/>
      <c r="N206" s="151"/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57"/>
      <c r="AA206" s="4"/>
      <c r="AB206" s="4"/>
      <c r="AC206" s="4"/>
    </row>
    <row r="207" customFormat="false" ht="15" hidden="false" customHeight="true" outlineLevel="0" collapsed="false">
      <c r="A207" s="85"/>
      <c r="B207" s="85"/>
      <c r="C207" s="85"/>
      <c r="D207" s="85"/>
      <c r="E207" s="85"/>
      <c r="F207" s="85"/>
      <c r="G207" s="85"/>
      <c r="H207" s="85"/>
      <c r="I207" s="138" t="str">
        <f aca="false">IFERROR(VLOOKUP(TEXT(H207,"0"),IPRESS!$A$3:$B$212,2,0),"")</f>
        <v/>
      </c>
      <c r="J207" s="85"/>
      <c r="K207" s="149"/>
      <c r="L207" s="85"/>
      <c r="M207" s="85"/>
      <c r="N207" s="151"/>
      <c r="O207" s="85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85"/>
      <c r="S207" s="85"/>
      <c r="T207" s="85"/>
      <c r="U207" s="85"/>
      <c r="V207" s="85"/>
      <c r="W207" s="85"/>
      <c r="X207" s="85"/>
      <c r="Y207" s="85"/>
      <c r="Z207" s="157"/>
      <c r="AA207" s="4"/>
      <c r="AB207" s="4"/>
      <c r="AC207" s="4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49"/>
      <c r="L208" s="85"/>
      <c r="M208" s="85"/>
      <c r="N208" s="151"/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57"/>
      <c r="AA208" s="4"/>
      <c r="AB208" s="4"/>
      <c r="AC208" s="4"/>
    </row>
    <row r="209" customFormat="false" ht="15" hidden="false" customHeight="true" outlineLevel="0" collapsed="false">
      <c r="A209" s="85"/>
      <c r="B209" s="85"/>
      <c r="C209" s="85"/>
      <c r="D209" s="85"/>
      <c r="E209" s="85"/>
      <c r="F209" s="85"/>
      <c r="G209" s="85"/>
      <c r="H209" s="85"/>
      <c r="I209" s="138" t="str">
        <f aca="false">IFERROR(VLOOKUP(TEXT(H209,"0"),IPRESS!$A$3:$B$212,2,0),"")</f>
        <v/>
      </c>
      <c r="J209" s="85"/>
      <c r="K209" s="149"/>
      <c r="L209" s="85"/>
      <c r="M209" s="85"/>
      <c r="N209" s="151"/>
      <c r="O209" s="85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85"/>
      <c r="S209" s="85"/>
      <c r="T209" s="85"/>
      <c r="U209" s="85"/>
      <c r="V209" s="85"/>
      <c r="W209" s="85"/>
      <c r="X209" s="85"/>
      <c r="Y209" s="85"/>
      <c r="Z209" s="157"/>
      <c r="AA209" s="4"/>
      <c r="AB209" s="4"/>
      <c r="AC209" s="4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49"/>
      <c r="L210" s="85"/>
      <c r="M210" s="85"/>
      <c r="N210" s="151"/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57"/>
      <c r="AA210" s="4"/>
      <c r="AB210" s="4"/>
      <c r="AC210" s="4"/>
    </row>
    <row r="211" customFormat="false" ht="15" hidden="false" customHeight="true" outlineLevel="0" collapsed="false">
      <c r="A211" s="85"/>
      <c r="B211" s="85"/>
      <c r="C211" s="85"/>
      <c r="D211" s="85"/>
      <c r="E211" s="85"/>
      <c r="F211" s="85"/>
      <c r="G211" s="85"/>
      <c r="H211" s="85"/>
      <c r="I211" s="138" t="str">
        <f aca="false">IFERROR(VLOOKUP(TEXT(H211,"0"),IPRESS!$A$3:$B$212,2,0),"")</f>
        <v/>
      </c>
      <c r="J211" s="85"/>
      <c r="K211" s="149"/>
      <c r="L211" s="85"/>
      <c r="M211" s="85"/>
      <c r="N211" s="151"/>
      <c r="O211" s="85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85"/>
      <c r="S211" s="85"/>
      <c r="T211" s="85"/>
      <c r="U211" s="85"/>
      <c r="V211" s="85"/>
      <c r="W211" s="85"/>
      <c r="X211" s="85"/>
      <c r="Y211" s="85"/>
      <c r="Z211" s="157"/>
      <c r="AA211" s="4"/>
      <c r="AB211" s="4"/>
      <c r="AC211" s="4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49"/>
      <c r="L212" s="85"/>
      <c r="M212" s="85"/>
      <c r="N212" s="151"/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57"/>
      <c r="AA212" s="4"/>
      <c r="AB212" s="4"/>
      <c r="AC212" s="4"/>
    </row>
    <row r="213" customFormat="false" ht="15" hidden="false" customHeight="true" outlineLevel="0" collapsed="false">
      <c r="A213" s="85"/>
      <c r="B213" s="85"/>
      <c r="C213" s="85"/>
      <c r="D213" s="85"/>
      <c r="E213" s="85"/>
      <c r="F213" s="85"/>
      <c r="G213" s="85"/>
      <c r="H213" s="85"/>
      <c r="I213" s="138" t="str">
        <f aca="false">IFERROR(VLOOKUP(TEXT(H213,"0"),IPRESS!$A$3:$B$212,2,0),"")</f>
        <v/>
      </c>
      <c r="J213" s="85"/>
      <c r="K213" s="149"/>
      <c r="L213" s="85"/>
      <c r="M213" s="85"/>
      <c r="N213" s="151"/>
      <c r="O213" s="85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85"/>
      <c r="S213" s="85"/>
      <c r="T213" s="85"/>
      <c r="U213" s="85"/>
      <c r="V213" s="85"/>
      <c r="W213" s="85"/>
      <c r="X213" s="85"/>
      <c r="Y213" s="85"/>
      <c r="Z213" s="157"/>
      <c r="AA213" s="4"/>
      <c r="AB213" s="4"/>
      <c r="AC213" s="4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49"/>
      <c r="L214" s="85"/>
      <c r="M214" s="85"/>
      <c r="N214" s="151"/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57"/>
      <c r="AA214" s="4"/>
      <c r="AB214" s="4"/>
      <c r="AC214" s="4"/>
    </row>
    <row r="215" customFormat="false" ht="15" hidden="false" customHeight="true" outlineLevel="0" collapsed="false">
      <c r="A215" s="85"/>
      <c r="B215" s="85"/>
      <c r="C215" s="85"/>
      <c r="D215" s="85"/>
      <c r="E215" s="85"/>
      <c r="F215" s="85"/>
      <c r="G215" s="85"/>
      <c r="H215" s="85"/>
      <c r="I215" s="138" t="str">
        <f aca="false">IFERROR(VLOOKUP(TEXT(H215,"0"),IPRESS!$A$3:$B$212,2,0),"")</f>
        <v/>
      </c>
      <c r="J215" s="85"/>
      <c r="K215" s="149"/>
      <c r="L215" s="85"/>
      <c r="M215" s="85"/>
      <c r="N215" s="151"/>
      <c r="O215" s="85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85"/>
      <c r="S215" s="85"/>
      <c r="T215" s="85"/>
      <c r="U215" s="85"/>
      <c r="V215" s="85"/>
      <c r="W215" s="85"/>
      <c r="X215" s="85"/>
      <c r="Y215" s="85"/>
      <c r="Z215" s="157"/>
      <c r="AA215" s="4"/>
      <c r="AB215" s="4"/>
      <c r="AC215" s="4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49"/>
      <c r="L216" s="85"/>
      <c r="M216" s="85"/>
      <c r="N216" s="151"/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57"/>
      <c r="AA216" s="4"/>
      <c r="AB216" s="4"/>
      <c r="AC216" s="4"/>
    </row>
    <row r="217" customFormat="false" ht="15" hidden="false" customHeight="true" outlineLevel="0" collapsed="false">
      <c r="A217" s="85"/>
      <c r="B217" s="85"/>
      <c r="C217" s="85"/>
      <c r="D217" s="85"/>
      <c r="E217" s="85"/>
      <c r="F217" s="85"/>
      <c r="G217" s="85"/>
      <c r="H217" s="85"/>
      <c r="I217" s="138" t="str">
        <f aca="false">IFERROR(VLOOKUP(TEXT(H217,"0"),IPRESS!$A$3:$B$212,2,0),"")</f>
        <v/>
      </c>
      <c r="J217" s="85"/>
      <c r="K217" s="149"/>
      <c r="L217" s="85"/>
      <c r="M217" s="85"/>
      <c r="N217" s="151"/>
      <c r="O217" s="85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85"/>
      <c r="S217" s="85"/>
      <c r="T217" s="85"/>
      <c r="U217" s="85"/>
      <c r="V217" s="85"/>
      <c r="W217" s="85"/>
      <c r="X217" s="85"/>
      <c r="Y217" s="85"/>
      <c r="Z217" s="157"/>
      <c r="AA217" s="4"/>
      <c r="AB217" s="4"/>
      <c r="AC217" s="4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49"/>
      <c r="L218" s="85"/>
      <c r="M218" s="85"/>
      <c r="N218" s="151"/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57"/>
      <c r="AA218" s="4"/>
      <c r="AB218" s="4"/>
      <c r="AC218" s="4"/>
    </row>
    <row r="219" customFormat="false" ht="15" hidden="false" customHeight="true" outlineLevel="0" collapsed="false">
      <c r="A219" s="85"/>
      <c r="B219" s="85"/>
      <c r="C219" s="85"/>
      <c r="D219" s="85"/>
      <c r="E219" s="85"/>
      <c r="F219" s="85"/>
      <c r="G219" s="85"/>
      <c r="H219" s="85"/>
      <c r="I219" s="138" t="str">
        <f aca="false">IFERROR(VLOOKUP(TEXT(H219,"0"),IPRESS!$A$3:$B$212,2,0),"")</f>
        <v/>
      </c>
      <c r="J219" s="85"/>
      <c r="K219" s="149"/>
      <c r="L219" s="85"/>
      <c r="M219" s="85"/>
      <c r="N219" s="151"/>
      <c r="O219" s="85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85"/>
      <c r="S219" s="85"/>
      <c r="T219" s="85"/>
      <c r="U219" s="85"/>
      <c r="V219" s="85"/>
      <c r="W219" s="85"/>
      <c r="X219" s="85"/>
      <c r="Y219" s="85"/>
      <c r="Z219" s="157"/>
      <c r="AA219" s="4"/>
      <c r="AB219" s="4"/>
      <c r="AC219" s="4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49"/>
      <c r="L220" s="85"/>
      <c r="M220" s="85"/>
      <c r="N220" s="151"/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57"/>
      <c r="AA220" s="4"/>
      <c r="AB220" s="4"/>
      <c r="AC220" s="4"/>
    </row>
    <row r="221" customFormat="false" ht="15" hidden="false" customHeight="true" outlineLevel="0" collapsed="false">
      <c r="A221" s="85"/>
      <c r="B221" s="85"/>
      <c r="C221" s="85"/>
      <c r="D221" s="85"/>
      <c r="E221" s="85"/>
      <c r="F221" s="85"/>
      <c r="G221" s="85"/>
      <c r="H221" s="85"/>
      <c r="I221" s="138" t="str">
        <f aca="false">IFERROR(VLOOKUP(TEXT(H221,"0"),IPRESS!$A$3:$B$212,2,0),"")</f>
        <v/>
      </c>
      <c r="J221" s="85"/>
      <c r="K221" s="149"/>
      <c r="L221" s="85"/>
      <c r="M221" s="85"/>
      <c r="N221" s="151"/>
      <c r="O221" s="85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85"/>
      <c r="S221" s="85"/>
      <c r="T221" s="85"/>
      <c r="U221" s="85"/>
      <c r="V221" s="85"/>
      <c r="W221" s="85"/>
      <c r="X221" s="85"/>
      <c r="Y221" s="85"/>
      <c r="Z221" s="157"/>
      <c r="AA221" s="4"/>
      <c r="AB221" s="4"/>
      <c r="AC221" s="4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49"/>
      <c r="L222" s="85"/>
      <c r="M222" s="85"/>
      <c r="N222" s="151"/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57"/>
      <c r="AA222" s="4"/>
      <c r="AB222" s="4"/>
      <c r="AC222" s="4"/>
    </row>
    <row r="223" customFormat="false" ht="15" hidden="false" customHeight="true" outlineLevel="0" collapsed="false">
      <c r="A223" s="85"/>
      <c r="B223" s="85"/>
      <c r="C223" s="85"/>
      <c r="D223" s="85"/>
      <c r="E223" s="85"/>
      <c r="F223" s="85"/>
      <c r="G223" s="85"/>
      <c r="H223" s="85"/>
      <c r="I223" s="138" t="str">
        <f aca="false">IFERROR(VLOOKUP(TEXT(H223,"0"),IPRESS!$A$3:$B$212,2,0),"")</f>
        <v/>
      </c>
      <c r="J223" s="85"/>
      <c r="K223" s="149"/>
      <c r="L223" s="85"/>
      <c r="M223" s="85"/>
      <c r="N223" s="151"/>
      <c r="O223" s="85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85"/>
      <c r="S223" s="85"/>
      <c r="T223" s="85"/>
      <c r="U223" s="85"/>
      <c r="V223" s="85"/>
      <c r="W223" s="85"/>
      <c r="X223" s="85"/>
      <c r="Y223" s="85"/>
      <c r="Z223" s="157"/>
      <c r="AA223" s="4"/>
      <c r="AB223" s="4"/>
      <c r="AC223" s="4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49"/>
      <c r="L224" s="85"/>
      <c r="M224" s="85"/>
      <c r="N224" s="151"/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57"/>
      <c r="AA224" s="4"/>
      <c r="AB224" s="4"/>
      <c r="AC224" s="4"/>
    </row>
    <row r="225" customFormat="false" ht="15" hidden="false" customHeight="true" outlineLevel="0" collapsed="false">
      <c r="A225" s="85"/>
      <c r="B225" s="85"/>
      <c r="C225" s="85"/>
      <c r="D225" s="85"/>
      <c r="E225" s="85"/>
      <c r="F225" s="85"/>
      <c r="G225" s="85"/>
      <c r="H225" s="85"/>
      <c r="I225" s="138" t="str">
        <f aca="false">IFERROR(VLOOKUP(TEXT(H225,"0"),IPRESS!$A$3:$B$212,2,0),"")</f>
        <v/>
      </c>
      <c r="J225" s="85"/>
      <c r="K225" s="149"/>
      <c r="L225" s="85"/>
      <c r="M225" s="85"/>
      <c r="N225" s="151"/>
      <c r="O225" s="85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85"/>
      <c r="S225" s="85"/>
      <c r="T225" s="85"/>
      <c r="U225" s="85"/>
      <c r="V225" s="85"/>
      <c r="W225" s="85"/>
      <c r="X225" s="85"/>
      <c r="Y225" s="85"/>
      <c r="Z225" s="157"/>
      <c r="AA225" s="4"/>
      <c r="AB225" s="4"/>
      <c r="AC225" s="4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49"/>
      <c r="L226" s="85"/>
      <c r="M226" s="85"/>
      <c r="N226" s="151"/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57"/>
      <c r="AA226" s="4"/>
      <c r="AB226" s="4"/>
      <c r="AC226" s="4"/>
    </row>
    <row r="227" customFormat="false" ht="15" hidden="false" customHeight="true" outlineLevel="0" collapsed="false">
      <c r="A227" s="85"/>
      <c r="B227" s="85"/>
      <c r="C227" s="85"/>
      <c r="D227" s="85"/>
      <c r="E227" s="85"/>
      <c r="F227" s="85"/>
      <c r="G227" s="85"/>
      <c r="H227" s="85"/>
      <c r="I227" s="138" t="str">
        <f aca="false">IFERROR(VLOOKUP(TEXT(H227,"0"),IPRESS!$A$3:$B$212,2,0),"")</f>
        <v/>
      </c>
      <c r="J227" s="85"/>
      <c r="K227" s="149"/>
      <c r="L227" s="85"/>
      <c r="M227" s="85"/>
      <c r="N227" s="151"/>
      <c r="O227" s="85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85"/>
      <c r="S227" s="85"/>
      <c r="T227" s="85"/>
      <c r="U227" s="85"/>
      <c r="V227" s="85"/>
      <c r="W227" s="85"/>
      <c r="X227" s="85"/>
      <c r="Y227" s="85"/>
      <c r="Z227" s="157"/>
      <c r="AA227" s="4"/>
      <c r="AB227" s="4"/>
      <c r="AC227" s="4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49"/>
      <c r="L228" s="85"/>
      <c r="M228" s="85"/>
      <c r="N228" s="151"/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57"/>
      <c r="AA228" s="4"/>
      <c r="AB228" s="4"/>
      <c r="AC228" s="4"/>
    </row>
    <row r="229" customFormat="false" ht="15" hidden="false" customHeight="true" outlineLevel="0" collapsed="false">
      <c r="A229" s="85"/>
      <c r="B229" s="85"/>
      <c r="C229" s="85"/>
      <c r="D229" s="85"/>
      <c r="E229" s="85"/>
      <c r="F229" s="85"/>
      <c r="G229" s="85"/>
      <c r="H229" s="85"/>
      <c r="I229" s="138" t="str">
        <f aca="false">IFERROR(VLOOKUP(TEXT(H229,"0"),IPRESS!$A$3:$B$212,2,0),"")</f>
        <v/>
      </c>
      <c r="J229" s="85"/>
      <c r="K229" s="149"/>
      <c r="L229" s="85"/>
      <c r="M229" s="85"/>
      <c r="N229" s="151"/>
      <c r="O229" s="85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85"/>
      <c r="S229" s="85"/>
      <c r="T229" s="85"/>
      <c r="U229" s="85"/>
      <c r="V229" s="85"/>
      <c r="W229" s="85"/>
      <c r="X229" s="85"/>
      <c r="Y229" s="85"/>
      <c r="Z229" s="157"/>
      <c r="AA229" s="4"/>
      <c r="AB229" s="4"/>
      <c r="AC229" s="4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49"/>
      <c r="L230" s="85"/>
      <c r="M230" s="85"/>
      <c r="N230" s="151"/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57"/>
      <c r="AA230" s="4"/>
      <c r="AB230" s="4"/>
      <c r="AC230" s="4"/>
    </row>
    <row r="231" customFormat="false" ht="15" hidden="false" customHeight="true" outlineLevel="0" collapsed="false">
      <c r="A231" s="85"/>
      <c r="B231" s="85"/>
      <c r="C231" s="85"/>
      <c r="D231" s="85"/>
      <c r="E231" s="85"/>
      <c r="F231" s="85"/>
      <c r="G231" s="85"/>
      <c r="H231" s="85"/>
      <c r="I231" s="138" t="str">
        <f aca="false">IFERROR(VLOOKUP(TEXT(H231,"0"),IPRESS!$A$3:$B$212,2,0),"")</f>
        <v/>
      </c>
      <c r="J231" s="85"/>
      <c r="K231" s="149"/>
      <c r="L231" s="85"/>
      <c r="M231" s="85"/>
      <c r="N231" s="151"/>
      <c r="O231" s="85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85"/>
      <c r="S231" s="85"/>
      <c r="T231" s="85"/>
      <c r="U231" s="85"/>
      <c r="V231" s="85"/>
      <c r="W231" s="85"/>
      <c r="X231" s="85"/>
      <c r="Y231" s="85"/>
      <c r="Z231" s="157"/>
      <c r="AA231" s="4"/>
      <c r="AB231" s="4"/>
      <c r="AC231" s="4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49"/>
      <c r="L232" s="85"/>
      <c r="M232" s="85"/>
      <c r="N232" s="151"/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57"/>
      <c r="AA232" s="4"/>
      <c r="AB232" s="4"/>
      <c r="AC232" s="4"/>
    </row>
    <row r="233" customFormat="false" ht="15" hidden="false" customHeight="true" outlineLevel="0" collapsed="false">
      <c r="A233" s="85"/>
      <c r="B233" s="85"/>
      <c r="C233" s="85"/>
      <c r="D233" s="85"/>
      <c r="E233" s="85"/>
      <c r="F233" s="85"/>
      <c r="G233" s="85"/>
      <c r="H233" s="85"/>
      <c r="I233" s="138" t="str">
        <f aca="false">IFERROR(VLOOKUP(TEXT(H233,"0"),IPRESS!$A$3:$B$212,2,0),"")</f>
        <v/>
      </c>
      <c r="J233" s="85"/>
      <c r="K233" s="149"/>
      <c r="L233" s="85"/>
      <c r="M233" s="85"/>
      <c r="N233" s="151"/>
      <c r="O233" s="85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85"/>
      <c r="S233" s="85"/>
      <c r="T233" s="85"/>
      <c r="U233" s="85"/>
      <c r="V233" s="85"/>
      <c r="W233" s="85"/>
      <c r="X233" s="85"/>
      <c r="Y233" s="85"/>
      <c r="Z233" s="157"/>
      <c r="AA233" s="4"/>
      <c r="AB233" s="4"/>
      <c r="AC233" s="4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49"/>
      <c r="L234" s="85"/>
      <c r="M234" s="85"/>
      <c r="N234" s="151"/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57"/>
      <c r="AA234" s="4"/>
      <c r="AB234" s="4"/>
      <c r="AC234" s="4"/>
    </row>
    <row r="235" customFormat="false" ht="15" hidden="false" customHeight="true" outlineLevel="0" collapsed="false">
      <c r="A235" s="85"/>
      <c r="B235" s="85"/>
      <c r="C235" s="85"/>
      <c r="D235" s="85"/>
      <c r="E235" s="85"/>
      <c r="F235" s="85"/>
      <c r="G235" s="85"/>
      <c r="H235" s="85"/>
      <c r="I235" s="138" t="str">
        <f aca="false">IFERROR(VLOOKUP(TEXT(H235,"0"),IPRESS!$A$3:$B$212,2,0),"")</f>
        <v/>
      </c>
      <c r="J235" s="85"/>
      <c r="K235" s="149"/>
      <c r="L235" s="85"/>
      <c r="M235" s="85"/>
      <c r="N235" s="151"/>
      <c r="O235" s="85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85"/>
      <c r="S235" s="85"/>
      <c r="T235" s="85"/>
      <c r="U235" s="85"/>
      <c r="V235" s="85"/>
      <c r="W235" s="85"/>
      <c r="X235" s="85"/>
      <c r="Y235" s="85"/>
      <c r="Z235" s="157"/>
      <c r="AA235" s="4"/>
      <c r="AB235" s="4"/>
      <c r="AC235" s="4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49"/>
      <c r="L236" s="85"/>
      <c r="M236" s="85"/>
      <c r="N236" s="151"/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57"/>
      <c r="AA236" s="4"/>
      <c r="AB236" s="4"/>
      <c r="AC236" s="4"/>
    </row>
    <row r="237" customFormat="false" ht="15" hidden="false" customHeight="true" outlineLevel="0" collapsed="false">
      <c r="A237" s="85"/>
      <c r="B237" s="85"/>
      <c r="C237" s="85"/>
      <c r="D237" s="85"/>
      <c r="E237" s="85"/>
      <c r="F237" s="85"/>
      <c r="G237" s="85"/>
      <c r="H237" s="85"/>
      <c r="I237" s="138" t="str">
        <f aca="false">IFERROR(VLOOKUP(TEXT(H237,"0"),IPRESS!$A$3:$B$212,2,0),"")</f>
        <v/>
      </c>
      <c r="J237" s="85"/>
      <c r="K237" s="149"/>
      <c r="L237" s="85"/>
      <c r="M237" s="85"/>
      <c r="N237" s="151"/>
      <c r="O237" s="85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85"/>
      <c r="S237" s="85"/>
      <c r="T237" s="85"/>
      <c r="U237" s="85"/>
      <c r="V237" s="85"/>
      <c r="W237" s="85"/>
      <c r="X237" s="85"/>
      <c r="Y237" s="85"/>
      <c r="Z237" s="157"/>
      <c r="AA237" s="4"/>
      <c r="AB237" s="4"/>
      <c r="AC237" s="4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49"/>
      <c r="L238" s="85"/>
      <c r="M238" s="85"/>
      <c r="N238" s="151"/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57"/>
      <c r="AA238" s="4"/>
      <c r="AB238" s="4"/>
      <c r="AC238" s="4"/>
    </row>
    <row r="239" customFormat="false" ht="15" hidden="false" customHeight="true" outlineLevel="0" collapsed="false">
      <c r="A239" s="85"/>
      <c r="B239" s="85"/>
      <c r="C239" s="85"/>
      <c r="D239" s="85"/>
      <c r="E239" s="85"/>
      <c r="F239" s="85"/>
      <c r="G239" s="85"/>
      <c r="H239" s="85"/>
      <c r="I239" s="138" t="str">
        <f aca="false">IFERROR(VLOOKUP(TEXT(H239,"0"),IPRESS!$A$3:$B$212,2,0),"")</f>
        <v/>
      </c>
      <c r="J239" s="85"/>
      <c r="K239" s="149"/>
      <c r="L239" s="85"/>
      <c r="M239" s="85"/>
      <c r="N239" s="151"/>
      <c r="O239" s="85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85"/>
      <c r="S239" s="85"/>
      <c r="T239" s="85"/>
      <c r="U239" s="85"/>
      <c r="V239" s="85"/>
      <c r="W239" s="85"/>
      <c r="X239" s="85"/>
      <c r="Y239" s="85"/>
      <c r="Z239" s="157"/>
      <c r="AA239" s="4"/>
      <c r="AB239" s="4"/>
      <c r="AC239" s="4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49"/>
      <c r="L240" s="85"/>
      <c r="M240" s="85"/>
      <c r="N240" s="151"/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57"/>
      <c r="AA240" s="4"/>
      <c r="AB240" s="4"/>
      <c r="AC240" s="4"/>
    </row>
    <row r="241" customFormat="false" ht="15" hidden="false" customHeight="true" outlineLevel="0" collapsed="false">
      <c r="A241" s="85"/>
      <c r="B241" s="85"/>
      <c r="C241" s="85"/>
      <c r="D241" s="85"/>
      <c r="E241" s="85"/>
      <c r="F241" s="85"/>
      <c r="G241" s="85"/>
      <c r="H241" s="85"/>
      <c r="I241" s="138" t="str">
        <f aca="false">IFERROR(VLOOKUP(TEXT(H241,"0"),IPRESS!$A$3:$B$212,2,0),"")</f>
        <v/>
      </c>
      <c r="J241" s="85"/>
      <c r="K241" s="149"/>
      <c r="L241" s="85"/>
      <c r="M241" s="85"/>
      <c r="N241" s="151"/>
      <c r="O241" s="85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85"/>
      <c r="S241" s="85"/>
      <c r="T241" s="85"/>
      <c r="U241" s="85"/>
      <c r="V241" s="85"/>
      <c r="W241" s="85"/>
      <c r="X241" s="85"/>
      <c r="Y241" s="85"/>
      <c r="Z241" s="157"/>
      <c r="AA241" s="4"/>
      <c r="AB241" s="4"/>
      <c r="AC241" s="4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49"/>
      <c r="L242" s="85"/>
      <c r="M242" s="85"/>
      <c r="N242" s="151"/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57"/>
      <c r="AA242" s="4"/>
      <c r="AB242" s="4"/>
      <c r="AC242" s="4"/>
    </row>
    <row r="243" customFormat="false" ht="15" hidden="false" customHeight="true" outlineLevel="0" collapsed="false">
      <c r="A243" s="85"/>
      <c r="B243" s="85"/>
      <c r="C243" s="85"/>
      <c r="D243" s="85"/>
      <c r="E243" s="85"/>
      <c r="F243" s="85"/>
      <c r="G243" s="85"/>
      <c r="H243" s="85"/>
      <c r="I243" s="138" t="str">
        <f aca="false">IFERROR(VLOOKUP(TEXT(H243,"0"),IPRESS!$A$3:$B$212,2,0),"")</f>
        <v/>
      </c>
      <c r="J243" s="85"/>
      <c r="K243" s="149"/>
      <c r="L243" s="85"/>
      <c r="M243" s="85"/>
      <c r="N243" s="151"/>
      <c r="O243" s="85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85"/>
      <c r="S243" s="85"/>
      <c r="T243" s="85"/>
      <c r="U243" s="85"/>
      <c r="V243" s="85"/>
      <c r="W243" s="85"/>
      <c r="X243" s="85"/>
      <c r="Y243" s="85"/>
      <c r="Z243" s="157"/>
      <c r="AA243" s="4"/>
      <c r="AB243" s="4"/>
      <c r="AC243" s="4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49"/>
      <c r="L244" s="85"/>
      <c r="M244" s="85"/>
      <c r="N244" s="151"/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57"/>
      <c r="AA244" s="4"/>
      <c r="AB244" s="4"/>
      <c r="AC244" s="4"/>
    </row>
    <row r="245" customFormat="false" ht="15" hidden="false" customHeight="true" outlineLevel="0" collapsed="false">
      <c r="A245" s="85"/>
      <c r="B245" s="85"/>
      <c r="C245" s="85"/>
      <c r="D245" s="85"/>
      <c r="E245" s="85"/>
      <c r="F245" s="85"/>
      <c r="G245" s="85"/>
      <c r="H245" s="85"/>
      <c r="I245" s="138" t="str">
        <f aca="false">IFERROR(VLOOKUP(TEXT(H245,"0"),IPRESS!$A$3:$B$212,2,0),"")</f>
        <v/>
      </c>
      <c r="J245" s="85"/>
      <c r="K245" s="149"/>
      <c r="L245" s="85"/>
      <c r="M245" s="85"/>
      <c r="N245" s="151"/>
      <c r="O245" s="85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85"/>
      <c r="S245" s="85"/>
      <c r="T245" s="85"/>
      <c r="U245" s="85"/>
      <c r="V245" s="85"/>
      <c r="W245" s="85"/>
      <c r="X245" s="85"/>
      <c r="Y245" s="85"/>
      <c r="Z245" s="157"/>
      <c r="AA245" s="4"/>
      <c r="AB245" s="4"/>
      <c r="AC245" s="4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49"/>
      <c r="L246" s="85"/>
      <c r="M246" s="85"/>
      <c r="N246" s="151"/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57"/>
      <c r="AA246" s="4"/>
      <c r="AB246" s="4"/>
      <c r="AC246" s="4"/>
    </row>
    <row r="247" customFormat="false" ht="15" hidden="false" customHeight="true" outlineLevel="0" collapsed="false">
      <c r="A247" s="85"/>
      <c r="B247" s="85"/>
      <c r="C247" s="85"/>
      <c r="D247" s="85"/>
      <c r="E247" s="85"/>
      <c r="F247" s="85"/>
      <c r="G247" s="85"/>
      <c r="H247" s="85"/>
      <c r="I247" s="138" t="str">
        <f aca="false">IFERROR(VLOOKUP(TEXT(H247,"0"),IPRESS!$A$3:$B$212,2,0),"")</f>
        <v/>
      </c>
      <c r="J247" s="85"/>
      <c r="K247" s="149"/>
      <c r="L247" s="85"/>
      <c r="M247" s="85"/>
      <c r="N247" s="151"/>
      <c r="O247" s="85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85"/>
      <c r="S247" s="85"/>
      <c r="T247" s="85"/>
      <c r="U247" s="85"/>
      <c r="V247" s="85"/>
      <c r="W247" s="85"/>
      <c r="X247" s="85"/>
      <c r="Y247" s="85"/>
      <c r="Z247" s="157"/>
      <c r="AA247" s="4"/>
      <c r="AB247" s="4"/>
      <c r="AC247" s="4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49"/>
      <c r="L248" s="85"/>
      <c r="M248" s="85"/>
      <c r="N248" s="151"/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57"/>
      <c r="AA248" s="4"/>
      <c r="AB248" s="4"/>
      <c r="AC248" s="4"/>
    </row>
    <row r="249" customFormat="false" ht="15" hidden="false" customHeight="true" outlineLevel="0" collapsed="false">
      <c r="A249" s="85"/>
      <c r="B249" s="85"/>
      <c r="C249" s="85"/>
      <c r="D249" s="85"/>
      <c r="E249" s="85"/>
      <c r="F249" s="85"/>
      <c r="G249" s="85"/>
      <c r="H249" s="85"/>
      <c r="I249" s="138" t="str">
        <f aca="false">IFERROR(VLOOKUP(TEXT(H249,"0"),IPRESS!$A$3:$B$212,2,0),"")</f>
        <v/>
      </c>
      <c r="J249" s="85"/>
      <c r="K249" s="149"/>
      <c r="L249" s="85"/>
      <c r="M249" s="85"/>
      <c r="N249" s="151"/>
      <c r="O249" s="85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85"/>
      <c r="S249" s="85"/>
      <c r="T249" s="85"/>
      <c r="U249" s="85"/>
      <c r="V249" s="85"/>
      <c r="W249" s="85"/>
      <c r="X249" s="85"/>
      <c r="Y249" s="85"/>
      <c r="Z249" s="157"/>
      <c r="AA249" s="4"/>
      <c r="AB249" s="4"/>
      <c r="AC249" s="4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49"/>
      <c r="L250" s="85"/>
      <c r="M250" s="85"/>
      <c r="N250" s="151"/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57"/>
      <c r="AA250" s="4"/>
      <c r="AB250" s="4"/>
      <c r="AC250" s="4"/>
    </row>
    <row r="251" customFormat="false" ht="15" hidden="false" customHeight="true" outlineLevel="0" collapsed="false">
      <c r="A251" s="85"/>
      <c r="B251" s="85"/>
      <c r="C251" s="85"/>
      <c r="D251" s="85"/>
      <c r="E251" s="85"/>
      <c r="F251" s="85"/>
      <c r="G251" s="85"/>
      <c r="H251" s="85"/>
      <c r="I251" s="138" t="str">
        <f aca="false">IFERROR(VLOOKUP(TEXT(H251,"0"),IPRESS!$A$3:$B$212,2,0),"")</f>
        <v/>
      </c>
      <c r="J251" s="85"/>
      <c r="K251" s="149"/>
      <c r="L251" s="85"/>
      <c r="M251" s="85"/>
      <c r="N251" s="151"/>
      <c r="O251" s="85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85"/>
      <c r="S251" s="85"/>
      <c r="T251" s="85"/>
      <c r="U251" s="85"/>
      <c r="V251" s="85"/>
      <c r="W251" s="85"/>
      <c r="X251" s="85"/>
      <c r="Y251" s="85"/>
      <c r="Z251" s="157"/>
      <c r="AA251" s="4"/>
      <c r="AB251" s="4"/>
      <c r="AC251" s="4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49"/>
      <c r="L252" s="85"/>
      <c r="M252" s="85"/>
      <c r="N252" s="151"/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57"/>
      <c r="AA252" s="4"/>
      <c r="AB252" s="4"/>
      <c r="AC252" s="4"/>
    </row>
    <row r="253" customFormat="false" ht="15" hidden="false" customHeight="true" outlineLevel="0" collapsed="false">
      <c r="A253" s="85"/>
      <c r="B253" s="85"/>
      <c r="C253" s="85"/>
      <c r="D253" s="85"/>
      <c r="E253" s="85"/>
      <c r="F253" s="85"/>
      <c r="G253" s="85"/>
      <c r="H253" s="85"/>
      <c r="I253" s="138" t="str">
        <f aca="false">IFERROR(VLOOKUP(TEXT(H253,"0"),IPRESS!$A$3:$B$212,2,0),"")</f>
        <v/>
      </c>
      <c r="J253" s="85"/>
      <c r="K253" s="149"/>
      <c r="L253" s="85"/>
      <c r="M253" s="85"/>
      <c r="N253" s="151"/>
      <c r="O253" s="85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85"/>
      <c r="S253" s="85"/>
      <c r="T253" s="85"/>
      <c r="U253" s="85"/>
      <c r="V253" s="85"/>
      <c r="W253" s="85"/>
      <c r="X253" s="85"/>
      <c r="Y253" s="85"/>
      <c r="Z253" s="157"/>
      <c r="AA253" s="4"/>
      <c r="AB253" s="4"/>
      <c r="AC253" s="4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49"/>
      <c r="L254" s="85"/>
      <c r="M254" s="85"/>
      <c r="N254" s="151"/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57"/>
      <c r="AA254" s="4"/>
      <c r="AB254" s="4"/>
      <c r="AC254" s="4"/>
    </row>
    <row r="255" customFormat="false" ht="15" hidden="false" customHeight="true" outlineLevel="0" collapsed="false">
      <c r="A255" s="85"/>
      <c r="B255" s="85"/>
      <c r="C255" s="85"/>
      <c r="D255" s="85"/>
      <c r="E255" s="85"/>
      <c r="F255" s="85"/>
      <c r="G255" s="85"/>
      <c r="H255" s="85"/>
      <c r="I255" s="138" t="str">
        <f aca="false">IFERROR(VLOOKUP(TEXT(H255,"0"),IPRESS!$A$3:$B$212,2,0),"")</f>
        <v/>
      </c>
      <c r="J255" s="85"/>
      <c r="K255" s="149"/>
      <c r="L255" s="85"/>
      <c r="M255" s="85"/>
      <c r="N255" s="151"/>
      <c r="O255" s="85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85"/>
      <c r="S255" s="85"/>
      <c r="T255" s="85"/>
      <c r="U255" s="85"/>
      <c r="V255" s="85"/>
      <c r="W255" s="85"/>
      <c r="X255" s="85"/>
      <c r="Y255" s="85"/>
      <c r="Z255" s="157"/>
      <c r="AA255" s="4"/>
      <c r="AB255" s="4"/>
      <c r="AC255" s="4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49"/>
      <c r="L256" s="85"/>
      <c r="M256" s="85"/>
      <c r="N256" s="151"/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57"/>
      <c r="AA256" s="4"/>
      <c r="AB256" s="4"/>
      <c r="AC256" s="4"/>
    </row>
    <row r="257" customFormat="false" ht="15" hidden="false" customHeight="true" outlineLevel="0" collapsed="false">
      <c r="A257" s="85"/>
      <c r="B257" s="85"/>
      <c r="C257" s="85"/>
      <c r="D257" s="85"/>
      <c r="E257" s="85"/>
      <c r="F257" s="85"/>
      <c r="G257" s="85"/>
      <c r="H257" s="85"/>
      <c r="I257" s="138" t="str">
        <f aca="false">IFERROR(VLOOKUP(TEXT(H257,"0"),IPRESS!$A$3:$B$212,2,0),"")</f>
        <v/>
      </c>
      <c r="J257" s="85"/>
      <c r="K257" s="149"/>
      <c r="L257" s="85"/>
      <c r="M257" s="85"/>
      <c r="N257" s="151"/>
      <c r="O257" s="85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85"/>
      <c r="S257" s="85"/>
      <c r="T257" s="85"/>
      <c r="U257" s="85"/>
      <c r="V257" s="85"/>
      <c r="W257" s="85"/>
      <c r="X257" s="85"/>
      <c r="Y257" s="85"/>
      <c r="Z257" s="157"/>
      <c r="AA257" s="4"/>
      <c r="AB257" s="4"/>
      <c r="AC257" s="4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49"/>
      <c r="L258" s="85"/>
      <c r="M258" s="85"/>
      <c r="N258" s="151"/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57"/>
      <c r="AA258" s="4"/>
      <c r="AB258" s="4"/>
      <c r="AC258" s="4"/>
    </row>
    <row r="259" customFormat="false" ht="15" hidden="false" customHeight="true" outlineLevel="0" collapsed="false">
      <c r="A259" s="85"/>
      <c r="B259" s="85"/>
      <c r="C259" s="85"/>
      <c r="D259" s="85"/>
      <c r="E259" s="85"/>
      <c r="F259" s="85"/>
      <c r="G259" s="85"/>
      <c r="H259" s="85"/>
      <c r="I259" s="138" t="str">
        <f aca="false">IFERROR(VLOOKUP(TEXT(H259,"0"),IPRESS!$A$3:$B$212,2,0),"")</f>
        <v/>
      </c>
      <c r="J259" s="85"/>
      <c r="K259" s="149"/>
      <c r="L259" s="85"/>
      <c r="M259" s="85"/>
      <c r="N259" s="151"/>
      <c r="O259" s="85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85"/>
      <c r="S259" s="85"/>
      <c r="T259" s="85"/>
      <c r="U259" s="85"/>
      <c r="V259" s="85"/>
      <c r="W259" s="85"/>
      <c r="X259" s="85"/>
      <c r="Y259" s="85"/>
      <c r="Z259" s="157"/>
      <c r="AA259" s="4"/>
      <c r="AB259" s="4"/>
      <c r="AC259" s="4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49"/>
      <c r="L260" s="85"/>
      <c r="M260" s="85"/>
      <c r="N260" s="151"/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57"/>
      <c r="AA260" s="4"/>
      <c r="AB260" s="4"/>
      <c r="AC260" s="4"/>
    </row>
    <row r="261" customFormat="false" ht="15" hidden="false" customHeight="true" outlineLevel="0" collapsed="false">
      <c r="A261" s="85"/>
      <c r="B261" s="85"/>
      <c r="C261" s="85"/>
      <c r="D261" s="85"/>
      <c r="E261" s="85"/>
      <c r="F261" s="85"/>
      <c r="G261" s="85"/>
      <c r="H261" s="85"/>
      <c r="I261" s="138" t="str">
        <f aca="false">IFERROR(VLOOKUP(TEXT(H261,"0"),IPRESS!$A$3:$B$212,2,0),"")</f>
        <v/>
      </c>
      <c r="J261" s="85"/>
      <c r="K261" s="149"/>
      <c r="L261" s="85"/>
      <c r="M261" s="85"/>
      <c r="N261" s="151"/>
      <c r="O261" s="85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85"/>
      <c r="S261" s="85"/>
      <c r="T261" s="85"/>
      <c r="U261" s="85"/>
      <c r="V261" s="85"/>
      <c r="W261" s="85"/>
      <c r="X261" s="85"/>
      <c r="Y261" s="85"/>
      <c r="Z261" s="157"/>
      <c r="AA261" s="4"/>
      <c r="AB261" s="4"/>
      <c r="AC261" s="4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49"/>
      <c r="L262" s="85"/>
      <c r="M262" s="85"/>
      <c r="N262" s="151"/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57"/>
      <c r="AA262" s="4"/>
      <c r="AB262" s="4"/>
      <c r="AC262" s="4"/>
    </row>
    <row r="263" customFormat="false" ht="15" hidden="false" customHeight="true" outlineLevel="0" collapsed="false">
      <c r="A263" s="85"/>
      <c r="B263" s="85"/>
      <c r="C263" s="85"/>
      <c r="D263" s="85"/>
      <c r="E263" s="85"/>
      <c r="F263" s="85"/>
      <c r="G263" s="85"/>
      <c r="H263" s="85"/>
      <c r="I263" s="138" t="str">
        <f aca="false">IFERROR(VLOOKUP(TEXT(H263,"0"),IPRESS!$A$3:$B$212,2,0),"")</f>
        <v/>
      </c>
      <c r="J263" s="85"/>
      <c r="K263" s="149"/>
      <c r="L263" s="85"/>
      <c r="M263" s="85"/>
      <c r="N263" s="151"/>
      <c r="O263" s="85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85"/>
      <c r="S263" s="85"/>
      <c r="T263" s="85"/>
      <c r="U263" s="85"/>
      <c r="V263" s="85"/>
      <c r="W263" s="85"/>
      <c r="X263" s="85"/>
      <c r="Y263" s="85"/>
      <c r="Z263" s="157"/>
      <c r="AA263" s="4"/>
      <c r="AB263" s="4"/>
      <c r="AC263" s="4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49"/>
      <c r="L264" s="85"/>
      <c r="M264" s="85"/>
      <c r="N264" s="151"/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57"/>
      <c r="AA264" s="4"/>
      <c r="AB264" s="4"/>
      <c r="AC264" s="4"/>
    </row>
    <row r="265" customFormat="false" ht="15" hidden="false" customHeight="true" outlineLevel="0" collapsed="false">
      <c r="A265" s="85"/>
      <c r="B265" s="85"/>
      <c r="C265" s="85"/>
      <c r="D265" s="85"/>
      <c r="E265" s="85"/>
      <c r="F265" s="85"/>
      <c r="G265" s="85"/>
      <c r="H265" s="85"/>
      <c r="I265" s="138" t="str">
        <f aca="false">IFERROR(VLOOKUP(TEXT(H265,"0"),IPRESS!$A$3:$B$212,2,0),"")</f>
        <v/>
      </c>
      <c r="J265" s="85"/>
      <c r="K265" s="149"/>
      <c r="L265" s="85"/>
      <c r="M265" s="85"/>
      <c r="N265" s="151"/>
      <c r="O265" s="85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85"/>
      <c r="S265" s="85"/>
      <c r="T265" s="85"/>
      <c r="U265" s="85"/>
      <c r="V265" s="85"/>
      <c r="W265" s="85"/>
      <c r="X265" s="85"/>
      <c r="Y265" s="85"/>
      <c r="Z265" s="157"/>
      <c r="AA265" s="4"/>
      <c r="AB265" s="4"/>
      <c r="AC265" s="4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49"/>
      <c r="L266" s="85"/>
      <c r="M266" s="85"/>
      <c r="N266" s="151"/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57"/>
      <c r="AA266" s="4"/>
      <c r="AB266" s="4"/>
      <c r="AC266" s="4"/>
    </row>
    <row r="267" customFormat="false" ht="15" hidden="false" customHeight="true" outlineLevel="0" collapsed="false">
      <c r="A267" s="85"/>
      <c r="B267" s="85"/>
      <c r="C267" s="85"/>
      <c r="D267" s="85"/>
      <c r="E267" s="85"/>
      <c r="F267" s="85"/>
      <c r="G267" s="85"/>
      <c r="H267" s="85"/>
      <c r="I267" s="138" t="str">
        <f aca="false">IFERROR(VLOOKUP(TEXT(H267,"0"),IPRESS!$A$3:$B$212,2,0),"")</f>
        <v/>
      </c>
      <c r="J267" s="85"/>
      <c r="K267" s="149"/>
      <c r="L267" s="85"/>
      <c r="M267" s="85"/>
      <c r="N267" s="151"/>
      <c r="O267" s="85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85"/>
      <c r="S267" s="85"/>
      <c r="T267" s="85"/>
      <c r="U267" s="85"/>
      <c r="V267" s="85"/>
      <c r="W267" s="85"/>
      <c r="X267" s="85"/>
      <c r="Y267" s="85"/>
      <c r="Z267" s="157"/>
      <c r="AA267" s="4"/>
      <c r="AB267" s="4"/>
      <c r="AC267" s="4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49"/>
      <c r="L268" s="85"/>
      <c r="M268" s="85"/>
      <c r="N268" s="151"/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57"/>
      <c r="AA268" s="4"/>
      <c r="AB268" s="4"/>
      <c r="AC268" s="4"/>
    </row>
    <row r="269" customFormat="false" ht="15" hidden="false" customHeight="true" outlineLevel="0" collapsed="false">
      <c r="A269" s="85"/>
      <c r="B269" s="85"/>
      <c r="C269" s="85"/>
      <c r="D269" s="85"/>
      <c r="E269" s="85"/>
      <c r="F269" s="85"/>
      <c r="G269" s="85"/>
      <c r="H269" s="85"/>
      <c r="I269" s="138" t="str">
        <f aca="false">IFERROR(VLOOKUP(TEXT(H269,"0"),IPRESS!$A$3:$B$212,2,0),"")</f>
        <v/>
      </c>
      <c r="J269" s="85"/>
      <c r="K269" s="149"/>
      <c r="L269" s="85"/>
      <c r="M269" s="85"/>
      <c r="N269" s="151"/>
      <c r="O269" s="85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85"/>
      <c r="S269" s="85"/>
      <c r="T269" s="85"/>
      <c r="U269" s="85"/>
      <c r="V269" s="85"/>
      <c r="W269" s="85"/>
      <c r="X269" s="85"/>
      <c r="Y269" s="85"/>
      <c r="Z269" s="157"/>
      <c r="AA269" s="4"/>
      <c r="AB269" s="4"/>
      <c r="AC269" s="4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49"/>
      <c r="L270" s="85"/>
      <c r="M270" s="85"/>
      <c r="N270" s="151"/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57"/>
      <c r="AA270" s="4"/>
      <c r="AB270" s="4"/>
      <c r="AC270" s="4"/>
    </row>
    <row r="271" customFormat="false" ht="15" hidden="false" customHeight="true" outlineLevel="0" collapsed="false">
      <c r="A271" s="85"/>
      <c r="B271" s="85"/>
      <c r="C271" s="85"/>
      <c r="D271" s="85"/>
      <c r="E271" s="85"/>
      <c r="F271" s="85"/>
      <c r="G271" s="85"/>
      <c r="H271" s="85"/>
      <c r="I271" s="138" t="str">
        <f aca="false">IFERROR(VLOOKUP(TEXT(H271,"0"),IPRESS!$A$3:$B$212,2,0),"")</f>
        <v/>
      </c>
      <c r="J271" s="85"/>
      <c r="K271" s="149"/>
      <c r="L271" s="85"/>
      <c r="M271" s="85"/>
      <c r="N271" s="151"/>
      <c r="O271" s="85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85"/>
      <c r="S271" s="85"/>
      <c r="T271" s="85"/>
      <c r="U271" s="85"/>
      <c r="V271" s="85"/>
      <c r="W271" s="85"/>
      <c r="X271" s="85"/>
      <c r="Y271" s="85"/>
      <c r="Z271" s="157"/>
      <c r="AA271" s="4"/>
      <c r="AB271" s="4"/>
      <c r="AC271" s="4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49"/>
      <c r="L272" s="85"/>
      <c r="M272" s="85"/>
      <c r="N272" s="151"/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57"/>
      <c r="AA272" s="4"/>
      <c r="AB272" s="4"/>
      <c r="AC272" s="4"/>
    </row>
    <row r="273" customFormat="false" ht="15" hidden="false" customHeight="true" outlineLevel="0" collapsed="false">
      <c r="A273" s="85"/>
      <c r="B273" s="85"/>
      <c r="C273" s="85"/>
      <c r="D273" s="85"/>
      <c r="E273" s="85"/>
      <c r="F273" s="85"/>
      <c r="G273" s="85"/>
      <c r="H273" s="85"/>
      <c r="I273" s="138" t="str">
        <f aca="false">IFERROR(VLOOKUP(TEXT(H273,"0"),IPRESS!$A$3:$B$212,2,0),"")</f>
        <v/>
      </c>
      <c r="J273" s="85"/>
      <c r="K273" s="149"/>
      <c r="L273" s="85"/>
      <c r="M273" s="85"/>
      <c r="N273" s="151"/>
      <c r="O273" s="85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85"/>
      <c r="S273" s="85"/>
      <c r="T273" s="85"/>
      <c r="U273" s="85"/>
      <c r="V273" s="85"/>
      <c r="W273" s="85"/>
      <c r="X273" s="85"/>
      <c r="Y273" s="85"/>
      <c r="Z273" s="157"/>
      <c r="AA273" s="4"/>
      <c r="AB273" s="4"/>
      <c r="AC273" s="4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49"/>
      <c r="L274" s="85"/>
      <c r="M274" s="85"/>
      <c r="N274" s="151"/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57"/>
      <c r="AA274" s="4"/>
      <c r="AB274" s="4"/>
      <c r="AC274" s="4"/>
    </row>
    <row r="275" customFormat="false" ht="15" hidden="false" customHeight="true" outlineLevel="0" collapsed="false">
      <c r="A275" s="85"/>
      <c r="B275" s="85"/>
      <c r="C275" s="85"/>
      <c r="D275" s="85"/>
      <c r="E275" s="85"/>
      <c r="F275" s="85"/>
      <c r="G275" s="85"/>
      <c r="H275" s="85"/>
      <c r="I275" s="138" t="str">
        <f aca="false">IFERROR(VLOOKUP(TEXT(H275,"0"),IPRESS!$A$3:$B$212,2,0),"")</f>
        <v/>
      </c>
      <c r="J275" s="85"/>
      <c r="K275" s="149"/>
      <c r="L275" s="85"/>
      <c r="M275" s="85"/>
      <c r="N275" s="151"/>
      <c r="O275" s="85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85"/>
      <c r="S275" s="85"/>
      <c r="T275" s="85"/>
      <c r="U275" s="85"/>
      <c r="V275" s="85"/>
      <c r="W275" s="85"/>
      <c r="X275" s="85"/>
      <c r="Y275" s="85"/>
      <c r="Z275" s="157"/>
      <c r="AA275" s="4"/>
      <c r="AB275" s="4"/>
      <c r="AC275" s="4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49"/>
      <c r="L276" s="85"/>
      <c r="M276" s="85"/>
      <c r="N276" s="151"/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57"/>
      <c r="AA276" s="4"/>
      <c r="AB276" s="4"/>
      <c r="AC276" s="4"/>
    </row>
    <row r="277" customFormat="false" ht="15" hidden="false" customHeight="true" outlineLevel="0" collapsed="false">
      <c r="A277" s="85"/>
      <c r="B277" s="85"/>
      <c r="C277" s="85"/>
      <c r="D277" s="85"/>
      <c r="E277" s="85"/>
      <c r="F277" s="85"/>
      <c r="G277" s="85"/>
      <c r="H277" s="85"/>
      <c r="I277" s="138" t="str">
        <f aca="false">IFERROR(VLOOKUP(TEXT(H277,"0"),IPRESS!$A$3:$B$212,2,0),"")</f>
        <v/>
      </c>
      <c r="J277" s="85"/>
      <c r="K277" s="149"/>
      <c r="L277" s="85"/>
      <c r="M277" s="85"/>
      <c r="N277" s="151"/>
      <c r="O277" s="85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85"/>
      <c r="S277" s="85"/>
      <c r="T277" s="85"/>
      <c r="U277" s="85"/>
      <c r="V277" s="85"/>
      <c r="W277" s="85"/>
      <c r="X277" s="85"/>
      <c r="Y277" s="85"/>
      <c r="Z277" s="157"/>
      <c r="AA277" s="4"/>
      <c r="AB277" s="4"/>
      <c r="AC277" s="4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49"/>
      <c r="L278" s="85"/>
      <c r="M278" s="85"/>
      <c r="N278" s="151"/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57"/>
      <c r="AA278" s="4"/>
      <c r="AB278" s="4"/>
      <c r="AC278" s="4"/>
    </row>
    <row r="279" customFormat="false" ht="15" hidden="false" customHeight="true" outlineLevel="0" collapsed="false">
      <c r="A279" s="85"/>
      <c r="B279" s="85"/>
      <c r="C279" s="85"/>
      <c r="D279" s="85"/>
      <c r="E279" s="85"/>
      <c r="F279" s="85"/>
      <c r="G279" s="85"/>
      <c r="H279" s="85"/>
      <c r="I279" s="138" t="str">
        <f aca="false">IFERROR(VLOOKUP(TEXT(H279,"0"),IPRESS!$A$3:$B$212,2,0),"")</f>
        <v/>
      </c>
      <c r="J279" s="85"/>
      <c r="K279" s="149"/>
      <c r="L279" s="85"/>
      <c r="M279" s="85"/>
      <c r="N279" s="151"/>
      <c r="O279" s="85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85"/>
      <c r="S279" s="85"/>
      <c r="T279" s="85"/>
      <c r="U279" s="85"/>
      <c r="V279" s="85"/>
      <c r="W279" s="85"/>
      <c r="X279" s="85"/>
      <c r="Y279" s="85"/>
      <c r="Z279" s="157"/>
      <c r="AA279" s="4"/>
      <c r="AB279" s="4"/>
      <c r="AC279" s="4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49"/>
      <c r="L280" s="85"/>
      <c r="M280" s="85"/>
      <c r="N280" s="151"/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57"/>
      <c r="AA280" s="4"/>
      <c r="AB280" s="4"/>
      <c r="AC280" s="4"/>
    </row>
    <row r="281" customFormat="false" ht="15" hidden="false" customHeight="true" outlineLevel="0" collapsed="false">
      <c r="A281" s="85"/>
      <c r="B281" s="85"/>
      <c r="C281" s="85"/>
      <c r="D281" s="85"/>
      <c r="E281" s="85"/>
      <c r="F281" s="85"/>
      <c r="G281" s="85"/>
      <c r="H281" s="85"/>
      <c r="I281" s="138" t="str">
        <f aca="false">IFERROR(VLOOKUP(TEXT(H281,"0"),IPRESS!$A$3:$B$212,2,0),"")</f>
        <v/>
      </c>
      <c r="J281" s="85"/>
      <c r="K281" s="149"/>
      <c r="L281" s="85"/>
      <c r="M281" s="85"/>
      <c r="N281" s="151"/>
      <c r="O281" s="85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85"/>
      <c r="S281" s="85"/>
      <c r="T281" s="85"/>
      <c r="U281" s="85"/>
      <c r="V281" s="85"/>
      <c r="W281" s="85"/>
      <c r="X281" s="85"/>
      <c r="Y281" s="85"/>
      <c r="Z281" s="157"/>
      <c r="AA281" s="4"/>
      <c r="AB281" s="4"/>
      <c r="AC281" s="4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49"/>
      <c r="L282" s="85"/>
      <c r="M282" s="85"/>
      <c r="N282" s="151"/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57"/>
      <c r="AA282" s="4"/>
      <c r="AB282" s="4"/>
      <c r="AC282" s="4"/>
    </row>
    <row r="283" customFormat="false" ht="15" hidden="false" customHeight="true" outlineLevel="0" collapsed="false">
      <c r="A283" s="85"/>
      <c r="B283" s="85"/>
      <c r="C283" s="85"/>
      <c r="D283" s="85"/>
      <c r="E283" s="85"/>
      <c r="F283" s="85"/>
      <c r="G283" s="85"/>
      <c r="H283" s="85"/>
      <c r="I283" s="138" t="str">
        <f aca="false">IFERROR(VLOOKUP(TEXT(H283,"0"),IPRESS!$A$3:$B$212,2,0),"")</f>
        <v/>
      </c>
      <c r="J283" s="85"/>
      <c r="K283" s="149"/>
      <c r="L283" s="85"/>
      <c r="M283" s="85"/>
      <c r="N283" s="151"/>
      <c r="O283" s="85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85"/>
      <c r="S283" s="85"/>
      <c r="T283" s="85"/>
      <c r="U283" s="85"/>
      <c r="V283" s="85"/>
      <c r="W283" s="85"/>
      <c r="X283" s="85"/>
      <c r="Y283" s="85"/>
      <c r="Z283" s="157"/>
      <c r="AA283" s="4"/>
      <c r="AB283" s="4"/>
      <c r="AC283" s="4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49"/>
      <c r="L284" s="85"/>
      <c r="M284" s="85"/>
      <c r="N284" s="151"/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57"/>
      <c r="AA284" s="4"/>
      <c r="AB284" s="4"/>
      <c r="AC284" s="4"/>
    </row>
    <row r="285" customFormat="false" ht="15" hidden="false" customHeight="true" outlineLevel="0" collapsed="false">
      <c r="A285" s="85"/>
      <c r="B285" s="85"/>
      <c r="C285" s="85"/>
      <c r="D285" s="85"/>
      <c r="E285" s="85"/>
      <c r="F285" s="85"/>
      <c r="G285" s="85"/>
      <c r="H285" s="85"/>
      <c r="I285" s="138" t="str">
        <f aca="false">IFERROR(VLOOKUP(TEXT(H285,"0"),IPRESS!$A$3:$B$212,2,0),"")</f>
        <v/>
      </c>
      <c r="J285" s="85"/>
      <c r="K285" s="149"/>
      <c r="L285" s="85"/>
      <c r="M285" s="85"/>
      <c r="N285" s="151"/>
      <c r="O285" s="85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85"/>
      <c r="S285" s="85"/>
      <c r="T285" s="85"/>
      <c r="U285" s="85"/>
      <c r="V285" s="85"/>
      <c r="W285" s="85"/>
      <c r="X285" s="85"/>
      <c r="Y285" s="85"/>
      <c r="Z285" s="157"/>
      <c r="AA285" s="4"/>
      <c r="AB285" s="4"/>
      <c r="AC285" s="4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49"/>
      <c r="L286" s="85"/>
      <c r="M286" s="85"/>
      <c r="N286" s="151"/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57"/>
      <c r="AA286" s="4"/>
      <c r="AB286" s="4"/>
      <c r="AC286" s="4"/>
    </row>
    <row r="287" customFormat="false" ht="15" hidden="false" customHeight="true" outlineLevel="0" collapsed="false">
      <c r="A287" s="85"/>
      <c r="B287" s="85"/>
      <c r="C287" s="85"/>
      <c r="D287" s="85"/>
      <c r="E287" s="85"/>
      <c r="F287" s="85"/>
      <c r="G287" s="85"/>
      <c r="H287" s="85"/>
      <c r="I287" s="138" t="str">
        <f aca="false">IFERROR(VLOOKUP(TEXT(H287,"0"),IPRESS!$A$3:$B$212,2,0),"")</f>
        <v/>
      </c>
      <c r="J287" s="85"/>
      <c r="K287" s="149"/>
      <c r="L287" s="85"/>
      <c r="M287" s="85"/>
      <c r="N287" s="151"/>
      <c r="O287" s="85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85"/>
      <c r="S287" s="85"/>
      <c r="T287" s="85"/>
      <c r="U287" s="85"/>
      <c r="V287" s="85"/>
      <c r="W287" s="85"/>
      <c r="X287" s="85"/>
      <c r="Y287" s="85"/>
      <c r="Z287" s="157"/>
      <c r="AA287" s="4"/>
      <c r="AB287" s="4"/>
      <c r="AC287" s="4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49"/>
      <c r="L288" s="85"/>
      <c r="M288" s="85"/>
      <c r="N288" s="151"/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57"/>
      <c r="AA288" s="4"/>
      <c r="AB288" s="4"/>
      <c r="AC288" s="4"/>
    </row>
    <row r="289" customFormat="false" ht="15" hidden="false" customHeight="true" outlineLevel="0" collapsed="false">
      <c r="A289" s="85"/>
      <c r="B289" s="85"/>
      <c r="C289" s="85"/>
      <c r="D289" s="85"/>
      <c r="E289" s="85"/>
      <c r="F289" s="85"/>
      <c r="G289" s="85"/>
      <c r="H289" s="85"/>
      <c r="I289" s="138" t="str">
        <f aca="false">IFERROR(VLOOKUP(TEXT(H289,"0"),IPRESS!$A$3:$B$212,2,0),"")</f>
        <v/>
      </c>
      <c r="J289" s="85"/>
      <c r="K289" s="149"/>
      <c r="L289" s="85"/>
      <c r="M289" s="85"/>
      <c r="N289" s="151"/>
      <c r="O289" s="85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85"/>
      <c r="S289" s="85"/>
      <c r="T289" s="85"/>
      <c r="U289" s="85"/>
      <c r="V289" s="85"/>
      <c r="W289" s="85"/>
      <c r="X289" s="85"/>
      <c r="Y289" s="85"/>
      <c r="Z289" s="157"/>
      <c r="AA289" s="4"/>
      <c r="AB289" s="4"/>
      <c r="AC289" s="4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49"/>
      <c r="L290" s="85"/>
      <c r="M290" s="85"/>
      <c r="N290" s="151"/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57"/>
      <c r="AA290" s="4"/>
      <c r="AB290" s="4"/>
      <c r="AC290" s="4"/>
    </row>
    <row r="291" customFormat="false" ht="15" hidden="false" customHeight="true" outlineLevel="0" collapsed="false">
      <c r="A291" s="85"/>
      <c r="B291" s="85"/>
      <c r="C291" s="85"/>
      <c r="D291" s="85"/>
      <c r="E291" s="85"/>
      <c r="F291" s="85"/>
      <c r="G291" s="85"/>
      <c r="H291" s="85"/>
      <c r="I291" s="138" t="str">
        <f aca="false">IFERROR(VLOOKUP(TEXT(H291,"0"),IPRESS!$A$3:$B$212,2,0),"")</f>
        <v/>
      </c>
      <c r="J291" s="85"/>
      <c r="K291" s="149"/>
      <c r="L291" s="85"/>
      <c r="M291" s="85"/>
      <c r="N291" s="151"/>
      <c r="O291" s="85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85"/>
      <c r="S291" s="85"/>
      <c r="T291" s="85"/>
      <c r="U291" s="85"/>
      <c r="V291" s="85"/>
      <c r="W291" s="85"/>
      <c r="X291" s="85"/>
      <c r="Y291" s="85"/>
      <c r="Z291" s="157"/>
      <c r="AA291" s="4"/>
      <c r="AB291" s="4"/>
      <c r="AC291" s="4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49"/>
      <c r="L292" s="85"/>
      <c r="M292" s="85"/>
      <c r="N292" s="151"/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57"/>
      <c r="AA292" s="4"/>
      <c r="AB292" s="4"/>
      <c r="AC292" s="4"/>
    </row>
    <row r="293" customFormat="false" ht="15" hidden="false" customHeight="true" outlineLevel="0" collapsed="false">
      <c r="A293" s="85"/>
      <c r="B293" s="85"/>
      <c r="C293" s="85"/>
      <c r="D293" s="85"/>
      <c r="E293" s="85"/>
      <c r="F293" s="85"/>
      <c r="G293" s="85"/>
      <c r="H293" s="85"/>
      <c r="I293" s="138" t="str">
        <f aca="false">IFERROR(VLOOKUP(TEXT(H293,"0"),IPRESS!$A$3:$B$212,2,0),"")</f>
        <v/>
      </c>
      <c r="J293" s="85"/>
      <c r="K293" s="149"/>
      <c r="L293" s="85"/>
      <c r="M293" s="85"/>
      <c r="N293" s="151"/>
      <c r="O293" s="85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85"/>
      <c r="S293" s="85"/>
      <c r="T293" s="85"/>
      <c r="U293" s="85"/>
      <c r="V293" s="85"/>
      <c r="W293" s="85"/>
      <c r="X293" s="85"/>
      <c r="Y293" s="85"/>
      <c r="Z293" s="157"/>
      <c r="AA293" s="4"/>
      <c r="AB293" s="4"/>
      <c r="AC293" s="4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49"/>
      <c r="L294" s="85"/>
      <c r="M294" s="85"/>
      <c r="N294" s="151"/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57"/>
      <c r="AA294" s="4"/>
      <c r="AB294" s="4"/>
      <c r="AC294" s="4"/>
    </row>
    <row r="295" customFormat="false" ht="15" hidden="false" customHeight="true" outlineLevel="0" collapsed="false">
      <c r="A295" s="85"/>
      <c r="B295" s="85"/>
      <c r="C295" s="85"/>
      <c r="D295" s="85"/>
      <c r="E295" s="85"/>
      <c r="F295" s="85"/>
      <c r="G295" s="85"/>
      <c r="H295" s="85"/>
      <c r="I295" s="138" t="str">
        <f aca="false">IFERROR(VLOOKUP(TEXT(H295,"0"),IPRESS!$A$3:$B$212,2,0),"")</f>
        <v/>
      </c>
      <c r="J295" s="85"/>
      <c r="K295" s="149"/>
      <c r="L295" s="85"/>
      <c r="M295" s="85"/>
      <c r="N295" s="151"/>
      <c r="O295" s="85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85"/>
      <c r="S295" s="85"/>
      <c r="T295" s="85"/>
      <c r="U295" s="85"/>
      <c r="V295" s="85"/>
      <c r="W295" s="85"/>
      <c r="X295" s="85"/>
      <c r="Y295" s="85"/>
      <c r="Z295" s="157"/>
      <c r="AA295" s="4"/>
      <c r="AB295" s="4"/>
      <c r="AC295" s="4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49"/>
      <c r="L296" s="85"/>
      <c r="M296" s="85"/>
      <c r="N296" s="151"/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57"/>
      <c r="AA296" s="4"/>
      <c r="AB296" s="4"/>
      <c r="AC296" s="4"/>
    </row>
    <row r="297" customFormat="false" ht="15" hidden="false" customHeight="true" outlineLevel="0" collapsed="false">
      <c r="A297" s="85"/>
      <c r="B297" s="85"/>
      <c r="C297" s="85"/>
      <c r="D297" s="85"/>
      <c r="E297" s="85"/>
      <c r="F297" s="85"/>
      <c r="G297" s="85"/>
      <c r="H297" s="85"/>
      <c r="I297" s="138" t="str">
        <f aca="false">IFERROR(VLOOKUP(TEXT(H297,"0"),IPRESS!$A$3:$B$212,2,0),"")</f>
        <v/>
      </c>
      <c r="J297" s="85"/>
      <c r="K297" s="149"/>
      <c r="L297" s="85"/>
      <c r="M297" s="85"/>
      <c r="N297" s="151"/>
      <c r="O297" s="85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85"/>
      <c r="S297" s="85"/>
      <c r="T297" s="85"/>
      <c r="U297" s="85"/>
      <c r="V297" s="85"/>
      <c r="W297" s="85"/>
      <c r="X297" s="85"/>
      <c r="Y297" s="85"/>
      <c r="Z297" s="157"/>
      <c r="AA297" s="4"/>
      <c r="AB297" s="4"/>
      <c r="AC297" s="4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49"/>
      <c r="L298" s="85"/>
      <c r="M298" s="85"/>
      <c r="N298" s="151"/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57"/>
      <c r="AA298" s="4"/>
      <c r="AB298" s="4"/>
      <c r="AC298" s="4"/>
    </row>
    <row r="299" customFormat="false" ht="15" hidden="false" customHeight="true" outlineLevel="0" collapsed="false">
      <c r="A299" s="85"/>
      <c r="B299" s="85"/>
      <c r="C299" s="85"/>
      <c r="D299" s="85"/>
      <c r="E299" s="85"/>
      <c r="F299" s="85"/>
      <c r="G299" s="85"/>
      <c r="H299" s="85"/>
      <c r="I299" s="138" t="str">
        <f aca="false">IFERROR(VLOOKUP(TEXT(H299,"0"),IPRESS!$A$3:$B$212,2,0),"")</f>
        <v/>
      </c>
      <c r="J299" s="85"/>
      <c r="K299" s="149"/>
      <c r="L299" s="85"/>
      <c r="M299" s="85"/>
      <c r="N299" s="151"/>
      <c r="O299" s="85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85"/>
      <c r="S299" s="85"/>
      <c r="T299" s="85"/>
      <c r="U299" s="85"/>
      <c r="V299" s="85"/>
      <c r="W299" s="85"/>
      <c r="X299" s="85"/>
      <c r="Y299" s="85"/>
      <c r="Z299" s="157"/>
      <c r="AA299" s="4"/>
      <c r="AB299" s="4"/>
      <c r="AC299" s="4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49"/>
      <c r="L300" s="85"/>
      <c r="M300" s="85"/>
      <c r="N300" s="151"/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57"/>
      <c r="AA300" s="4"/>
      <c r="AB300" s="4"/>
      <c r="AC300" s="4"/>
    </row>
    <row r="301" customFormat="false" ht="15" hidden="false" customHeight="true" outlineLevel="0" collapsed="false">
      <c r="A301" s="85"/>
      <c r="B301" s="85"/>
      <c r="C301" s="85"/>
      <c r="D301" s="85"/>
      <c r="E301" s="85"/>
      <c r="F301" s="85"/>
      <c r="G301" s="85"/>
      <c r="H301" s="85"/>
      <c r="I301" s="138" t="str">
        <f aca="false">IFERROR(VLOOKUP(TEXT(H301,"0"),IPRESS!$A$3:$B$212,2,0),"")</f>
        <v/>
      </c>
      <c r="J301" s="85"/>
      <c r="K301" s="149"/>
      <c r="L301" s="85"/>
      <c r="M301" s="85"/>
      <c r="N301" s="151"/>
      <c r="O301" s="85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85"/>
      <c r="S301" s="85"/>
      <c r="T301" s="85"/>
      <c r="U301" s="85"/>
      <c r="V301" s="85"/>
      <c r="W301" s="85"/>
      <c r="X301" s="85"/>
      <c r="Y301" s="85"/>
      <c r="Z301" s="157"/>
      <c r="AA301" s="4"/>
      <c r="AB301" s="4"/>
      <c r="AC301" s="4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49"/>
      <c r="L302" s="85"/>
      <c r="M302" s="85"/>
      <c r="N302" s="151"/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57"/>
      <c r="AA302" s="4"/>
      <c r="AB302" s="4"/>
      <c r="AC302" s="4"/>
    </row>
    <row r="303" customFormat="false" ht="15" hidden="false" customHeight="true" outlineLevel="0" collapsed="false">
      <c r="A303" s="85"/>
      <c r="B303" s="85"/>
      <c r="C303" s="85"/>
      <c r="D303" s="85"/>
      <c r="E303" s="85"/>
      <c r="F303" s="85"/>
      <c r="G303" s="85"/>
      <c r="H303" s="85"/>
      <c r="I303" s="138" t="str">
        <f aca="false">IFERROR(VLOOKUP(TEXT(H303,"0"),IPRESS!$A$3:$B$212,2,0),"")</f>
        <v/>
      </c>
      <c r="J303" s="85"/>
      <c r="K303" s="149"/>
      <c r="L303" s="85"/>
      <c r="M303" s="85"/>
      <c r="N303" s="151"/>
      <c r="O303" s="85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85"/>
      <c r="S303" s="85"/>
      <c r="T303" s="85"/>
      <c r="U303" s="85"/>
      <c r="V303" s="85"/>
      <c r="W303" s="85"/>
      <c r="X303" s="85"/>
      <c r="Y303" s="85"/>
      <c r="Z303" s="157"/>
      <c r="AA303" s="4"/>
      <c r="AB303" s="4"/>
      <c r="AC303" s="4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49"/>
      <c r="L304" s="85"/>
      <c r="M304" s="85"/>
      <c r="N304" s="151"/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57"/>
      <c r="AA304" s="4"/>
      <c r="AB304" s="4"/>
      <c r="AC304" s="4"/>
    </row>
    <row r="305" customFormat="false" ht="15" hidden="false" customHeight="true" outlineLevel="0" collapsed="false">
      <c r="A305" s="85"/>
      <c r="B305" s="85"/>
      <c r="C305" s="85"/>
      <c r="D305" s="85"/>
      <c r="E305" s="85"/>
      <c r="F305" s="85"/>
      <c r="G305" s="85"/>
      <c r="H305" s="85"/>
      <c r="I305" s="138" t="str">
        <f aca="false">IFERROR(VLOOKUP(TEXT(H305,"0"),IPRESS!$A$3:$B$212,2,0),"")</f>
        <v/>
      </c>
      <c r="J305" s="85"/>
      <c r="K305" s="149"/>
      <c r="L305" s="85"/>
      <c r="M305" s="85"/>
      <c r="N305" s="151"/>
      <c r="O305" s="85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85"/>
      <c r="S305" s="85"/>
      <c r="T305" s="85"/>
      <c r="U305" s="85"/>
      <c r="V305" s="85"/>
      <c r="W305" s="85"/>
      <c r="X305" s="85"/>
      <c r="Y305" s="85"/>
      <c r="Z305" s="157"/>
      <c r="AA305" s="4"/>
      <c r="AB305" s="4"/>
      <c r="AC305" s="4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49"/>
      <c r="L306" s="85"/>
      <c r="M306" s="85"/>
      <c r="N306" s="151"/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57"/>
      <c r="AA306" s="4"/>
      <c r="AB306" s="4"/>
      <c r="AC306" s="4"/>
    </row>
    <row r="307" customFormat="false" ht="15" hidden="false" customHeight="true" outlineLevel="0" collapsed="false">
      <c r="A307" s="85"/>
      <c r="B307" s="85"/>
      <c r="C307" s="85"/>
      <c r="D307" s="85"/>
      <c r="E307" s="85"/>
      <c r="F307" s="85"/>
      <c r="G307" s="85"/>
      <c r="H307" s="85"/>
      <c r="I307" s="138" t="str">
        <f aca="false">IFERROR(VLOOKUP(TEXT(H307,"0"),IPRESS!$A$3:$B$212,2,0),"")</f>
        <v/>
      </c>
      <c r="J307" s="85"/>
      <c r="K307" s="149"/>
      <c r="L307" s="85"/>
      <c r="M307" s="85"/>
      <c r="N307" s="151"/>
      <c r="O307" s="85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85"/>
      <c r="S307" s="85"/>
      <c r="T307" s="85"/>
      <c r="U307" s="85"/>
      <c r="V307" s="85"/>
      <c r="W307" s="85"/>
      <c r="X307" s="85"/>
      <c r="Y307" s="85"/>
      <c r="Z307" s="157"/>
      <c r="AA307" s="4"/>
      <c r="AB307" s="4"/>
      <c r="AC307" s="4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49"/>
      <c r="L308" s="85"/>
      <c r="M308" s="85"/>
      <c r="N308" s="151"/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57"/>
      <c r="AA308" s="4"/>
      <c r="AB308" s="4"/>
      <c r="AC308" s="4"/>
    </row>
    <row r="309" customFormat="false" ht="15" hidden="false" customHeight="true" outlineLevel="0" collapsed="false">
      <c r="A309" s="85"/>
      <c r="B309" s="85"/>
      <c r="C309" s="85"/>
      <c r="D309" s="85"/>
      <c r="E309" s="85"/>
      <c r="F309" s="85"/>
      <c r="G309" s="85"/>
      <c r="H309" s="85"/>
      <c r="I309" s="138" t="str">
        <f aca="false">IFERROR(VLOOKUP(TEXT(H309,"0"),IPRESS!$A$3:$B$212,2,0),"")</f>
        <v/>
      </c>
      <c r="J309" s="85"/>
      <c r="K309" s="149"/>
      <c r="L309" s="85"/>
      <c r="M309" s="85"/>
      <c r="N309" s="151"/>
      <c r="O309" s="85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85"/>
      <c r="S309" s="85"/>
      <c r="T309" s="85"/>
      <c r="U309" s="85"/>
      <c r="V309" s="85"/>
      <c r="W309" s="85"/>
      <c r="X309" s="85"/>
      <c r="Y309" s="85"/>
      <c r="Z309" s="157"/>
      <c r="AA309" s="4"/>
      <c r="AB309" s="4"/>
      <c r="AC309" s="4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49"/>
      <c r="L310" s="85"/>
      <c r="M310" s="85"/>
      <c r="N310" s="151"/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57"/>
      <c r="AA310" s="4"/>
      <c r="AB310" s="4"/>
      <c r="AC310" s="4"/>
    </row>
    <row r="311" customFormat="false" ht="15" hidden="false" customHeight="true" outlineLevel="0" collapsed="false">
      <c r="A311" s="85"/>
      <c r="B311" s="85"/>
      <c r="C311" s="85"/>
      <c r="D311" s="85"/>
      <c r="E311" s="85"/>
      <c r="F311" s="85"/>
      <c r="G311" s="85"/>
      <c r="H311" s="85"/>
      <c r="I311" s="138" t="str">
        <f aca="false">IFERROR(VLOOKUP(TEXT(H311,"0"),IPRESS!$A$3:$B$212,2,0),"")</f>
        <v/>
      </c>
      <c r="J311" s="85"/>
      <c r="K311" s="149"/>
      <c r="L311" s="85"/>
      <c r="M311" s="85"/>
      <c r="N311" s="151"/>
      <c r="O311" s="85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85"/>
      <c r="S311" s="85"/>
      <c r="T311" s="85"/>
      <c r="U311" s="85"/>
      <c r="V311" s="85"/>
      <c r="W311" s="85"/>
      <c r="X311" s="85"/>
      <c r="Y311" s="85"/>
      <c r="Z311" s="157"/>
      <c r="AA311" s="4"/>
      <c r="AB311" s="4"/>
      <c r="AC311" s="4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49"/>
      <c r="L312" s="85"/>
      <c r="M312" s="85"/>
      <c r="N312" s="151"/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57"/>
      <c r="AA312" s="4"/>
      <c r="AB312" s="4"/>
      <c r="AC312" s="4"/>
    </row>
    <row r="313" customFormat="false" ht="15" hidden="false" customHeight="true" outlineLevel="0" collapsed="false">
      <c r="A313" s="85"/>
      <c r="B313" s="85"/>
      <c r="C313" s="85"/>
      <c r="D313" s="85"/>
      <c r="E313" s="85"/>
      <c r="F313" s="85"/>
      <c r="G313" s="85"/>
      <c r="H313" s="85"/>
      <c r="I313" s="138" t="str">
        <f aca="false">IFERROR(VLOOKUP(TEXT(H313,"0"),IPRESS!$A$3:$B$212,2,0),"")</f>
        <v/>
      </c>
      <c r="J313" s="85"/>
      <c r="K313" s="149"/>
      <c r="L313" s="85"/>
      <c r="M313" s="85"/>
      <c r="N313" s="151"/>
      <c r="O313" s="85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85"/>
      <c r="S313" s="85"/>
      <c r="T313" s="85"/>
      <c r="U313" s="85"/>
      <c r="V313" s="85"/>
      <c r="W313" s="85"/>
      <c r="X313" s="85"/>
      <c r="Y313" s="85"/>
      <c r="Z313" s="157"/>
      <c r="AA313" s="4"/>
      <c r="AB313" s="4"/>
      <c r="AC313" s="4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49"/>
      <c r="L314" s="85"/>
      <c r="M314" s="85"/>
      <c r="N314" s="151"/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57"/>
      <c r="AA314" s="4"/>
      <c r="AB314" s="4"/>
      <c r="AC314" s="4"/>
    </row>
    <row r="315" customFormat="false" ht="15" hidden="false" customHeight="true" outlineLevel="0" collapsed="false">
      <c r="A315" s="85"/>
      <c r="B315" s="85"/>
      <c r="C315" s="85"/>
      <c r="D315" s="85"/>
      <c r="E315" s="85"/>
      <c r="F315" s="85"/>
      <c r="G315" s="85"/>
      <c r="H315" s="85"/>
      <c r="I315" s="138" t="str">
        <f aca="false">IFERROR(VLOOKUP(TEXT(H315,"0"),IPRESS!$A$3:$B$212,2,0),"")</f>
        <v/>
      </c>
      <c r="J315" s="85"/>
      <c r="K315" s="149"/>
      <c r="L315" s="85"/>
      <c r="M315" s="85"/>
      <c r="N315" s="151"/>
      <c r="O315" s="85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85"/>
      <c r="S315" s="85"/>
      <c r="T315" s="85"/>
      <c r="U315" s="85"/>
      <c r="V315" s="85"/>
      <c r="W315" s="85"/>
      <c r="X315" s="85"/>
      <c r="Y315" s="85"/>
      <c r="Z315" s="157"/>
      <c r="AA315" s="4"/>
      <c r="AB315" s="4"/>
      <c r="AC315" s="4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49"/>
      <c r="L316" s="85"/>
      <c r="M316" s="85"/>
      <c r="N316" s="151"/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57"/>
      <c r="AA316" s="4"/>
      <c r="AB316" s="4"/>
      <c r="AC316" s="4"/>
    </row>
    <row r="317" customFormat="false" ht="15" hidden="false" customHeight="true" outlineLevel="0" collapsed="false">
      <c r="A317" s="85"/>
      <c r="B317" s="85"/>
      <c r="C317" s="85"/>
      <c r="D317" s="85"/>
      <c r="E317" s="85"/>
      <c r="F317" s="85"/>
      <c r="G317" s="85"/>
      <c r="H317" s="85"/>
      <c r="I317" s="138" t="str">
        <f aca="false">IFERROR(VLOOKUP(TEXT(H317,"0"),IPRESS!$A$3:$B$212,2,0),"")</f>
        <v/>
      </c>
      <c r="J317" s="85"/>
      <c r="K317" s="149"/>
      <c r="L317" s="85"/>
      <c r="M317" s="85"/>
      <c r="N317" s="151"/>
      <c r="O317" s="85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85"/>
      <c r="S317" s="85"/>
      <c r="T317" s="85"/>
      <c r="U317" s="85"/>
      <c r="V317" s="85"/>
      <c r="W317" s="85"/>
      <c r="X317" s="85"/>
      <c r="Y317" s="85"/>
      <c r="Z317" s="157"/>
      <c r="AA317" s="4"/>
      <c r="AB317" s="4"/>
      <c r="AC317" s="4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49"/>
      <c r="L318" s="85"/>
      <c r="M318" s="85"/>
      <c r="N318" s="151"/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57"/>
      <c r="AA318" s="4"/>
      <c r="AB318" s="4"/>
      <c r="AC318" s="4"/>
    </row>
    <row r="319" customFormat="false" ht="15" hidden="false" customHeight="true" outlineLevel="0" collapsed="false">
      <c r="A319" s="85"/>
      <c r="B319" s="85"/>
      <c r="C319" s="85"/>
      <c r="D319" s="85"/>
      <c r="E319" s="85"/>
      <c r="F319" s="85"/>
      <c r="G319" s="85"/>
      <c r="H319" s="85"/>
      <c r="I319" s="138" t="str">
        <f aca="false">IFERROR(VLOOKUP(TEXT(H319,"0"),IPRESS!$A$3:$B$212,2,0),"")</f>
        <v/>
      </c>
      <c r="J319" s="85"/>
      <c r="K319" s="149"/>
      <c r="L319" s="85"/>
      <c r="M319" s="85"/>
      <c r="N319" s="151"/>
      <c r="O319" s="85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85"/>
      <c r="S319" s="85"/>
      <c r="T319" s="85"/>
      <c r="U319" s="85"/>
      <c r="V319" s="85"/>
      <c r="W319" s="85"/>
      <c r="X319" s="85"/>
      <c r="Y319" s="85"/>
      <c r="Z319" s="157"/>
      <c r="AA319" s="4"/>
      <c r="AB319" s="4"/>
      <c r="AC319" s="4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49"/>
      <c r="L320" s="85"/>
      <c r="M320" s="85"/>
      <c r="N320" s="151"/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57"/>
      <c r="AA320" s="4"/>
      <c r="AB320" s="4"/>
      <c r="AC320" s="4"/>
    </row>
    <row r="321" customFormat="false" ht="15" hidden="false" customHeight="true" outlineLevel="0" collapsed="false">
      <c r="A321" s="85"/>
      <c r="B321" s="85"/>
      <c r="C321" s="85"/>
      <c r="D321" s="85"/>
      <c r="E321" s="85"/>
      <c r="F321" s="85"/>
      <c r="G321" s="85"/>
      <c r="H321" s="85"/>
      <c r="I321" s="138" t="str">
        <f aca="false">IFERROR(VLOOKUP(TEXT(H321,"0"),IPRESS!$A$3:$B$212,2,0),"")</f>
        <v/>
      </c>
      <c r="J321" s="85"/>
      <c r="K321" s="149"/>
      <c r="L321" s="85"/>
      <c r="M321" s="85"/>
      <c r="N321" s="151"/>
      <c r="O321" s="85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85"/>
      <c r="S321" s="85"/>
      <c r="T321" s="85"/>
      <c r="U321" s="85"/>
      <c r="V321" s="85"/>
      <c r="W321" s="85"/>
      <c r="X321" s="85"/>
      <c r="Y321" s="85"/>
      <c r="Z321" s="157"/>
      <c r="AA321" s="4"/>
      <c r="AB321" s="4"/>
      <c r="AC321" s="4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49"/>
      <c r="L322" s="85"/>
      <c r="M322" s="85"/>
      <c r="N322" s="151"/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57"/>
      <c r="AA322" s="4"/>
      <c r="AB322" s="4"/>
      <c r="AC322" s="4"/>
    </row>
    <row r="323" customFormat="false" ht="15" hidden="false" customHeight="true" outlineLevel="0" collapsed="false">
      <c r="A323" s="85"/>
      <c r="B323" s="85"/>
      <c r="C323" s="85"/>
      <c r="D323" s="85"/>
      <c r="E323" s="85"/>
      <c r="F323" s="85"/>
      <c r="G323" s="85"/>
      <c r="H323" s="85"/>
      <c r="I323" s="138" t="str">
        <f aca="false">IFERROR(VLOOKUP(TEXT(H323,"0"),IPRESS!$A$3:$B$212,2,0),"")</f>
        <v/>
      </c>
      <c r="J323" s="85"/>
      <c r="K323" s="149"/>
      <c r="L323" s="85"/>
      <c r="M323" s="85"/>
      <c r="N323" s="151"/>
      <c r="O323" s="85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85"/>
      <c r="S323" s="85"/>
      <c r="T323" s="85"/>
      <c r="U323" s="85"/>
      <c r="V323" s="85"/>
      <c r="W323" s="85"/>
      <c r="X323" s="85"/>
      <c r="Y323" s="85"/>
      <c r="Z323" s="157"/>
      <c r="AA323" s="4"/>
      <c r="AB323" s="4"/>
      <c r="AC323" s="4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49"/>
      <c r="L324" s="85"/>
      <c r="M324" s="85"/>
      <c r="N324" s="151"/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57"/>
      <c r="AA324" s="4"/>
      <c r="AB324" s="4"/>
      <c r="AC324" s="4"/>
    </row>
    <row r="325" customFormat="false" ht="15" hidden="false" customHeight="true" outlineLevel="0" collapsed="false">
      <c r="A325" s="85"/>
      <c r="B325" s="85"/>
      <c r="C325" s="85"/>
      <c r="D325" s="85"/>
      <c r="E325" s="85"/>
      <c r="F325" s="85"/>
      <c r="G325" s="85"/>
      <c r="H325" s="85"/>
      <c r="I325" s="138" t="str">
        <f aca="false">IFERROR(VLOOKUP(TEXT(H325,"0"),IPRESS!$A$3:$B$212,2,0),"")</f>
        <v/>
      </c>
      <c r="J325" s="85"/>
      <c r="K325" s="149"/>
      <c r="L325" s="85"/>
      <c r="M325" s="85"/>
      <c r="N325" s="151"/>
      <c r="O325" s="85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85"/>
      <c r="S325" s="85"/>
      <c r="T325" s="85"/>
      <c r="U325" s="85"/>
      <c r="V325" s="85"/>
      <c r="W325" s="85"/>
      <c r="X325" s="85"/>
      <c r="Y325" s="85"/>
      <c r="Z325" s="157"/>
      <c r="AA325" s="4"/>
      <c r="AB325" s="4"/>
      <c r="AC325" s="4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49"/>
      <c r="L326" s="85"/>
      <c r="M326" s="85"/>
      <c r="N326" s="151"/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57"/>
      <c r="AA326" s="4"/>
      <c r="AB326" s="4"/>
      <c r="AC326" s="4"/>
    </row>
    <row r="327" customFormat="false" ht="15" hidden="false" customHeight="true" outlineLevel="0" collapsed="false">
      <c r="A327" s="85"/>
      <c r="B327" s="85"/>
      <c r="C327" s="85"/>
      <c r="D327" s="85"/>
      <c r="E327" s="85"/>
      <c r="F327" s="85"/>
      <c r="G327" s="85"/>
      <c r="H327" s="85"/>
      <c r="I327" s="138" t="str">
        <f aca="false">IFERROR(VLOOKUP(TEXT(H327,"0"),IPRESS!$A$3:$B$212,2,0),"")</f>
        <v/>
      </c>
      <c r="J327" s="85"/>
      <c r="K327" s="149"/>
      <c r="L327" s="85"/>
      <c r="M327" s="85"/>
      <c r="N327" s="151"/>
      <c r="O327" s="85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85"/>
      <c r="S327" s="85"/>
      <c r="T327" s="85"/>
      <c r="U327" s="85"/>
      <c r="V327" s="85"/>
      <c r="W327" s="85"/>
      <c r="X327" s="85"/>
      <c r="Y327" s="85"/>
      <c r="Z327" s="157"/>
      <c r="AA327" s="4"/>
      <c r="AB327" s="4"/>
      <c r="AC327" s="4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49"/>
      <c r="L328" s="85"/>
      <c r="M328" s="85"/>
      <c r="N328" s="151"/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57"/>
      <c r="AA328" s="4"/>
      <c r="AB328" s="4"/>
      <c r="AC328" s="4"/>
    </row>
    <row r="329" customFormat="false" ht="15" hidden="false" customHeight="true" outlineLevel="0" collapsed="false">
      <c r="A329" s="85"/>
      <c r="B329" s="85"/>
      <c r="C329" s="85"/>
      <c r="D329" s="85"/>
      <c r="E329" s="85"/>
      <c r="F329" s="85"/>
      <c r="G329" s="85"/>
      <c r="H329" s="85"/>
      <c r="I329" s="138" t="str">
        <f aca="false">IFERROR(VLOOKUP(TEXT(H329,"0"),IPRESS!$A$3:$B$212,2,0),"")</f>
        <v/>
      </c>
      <c r="J329" s="85"/>
      <c r="K329" s="149"/>
      <c r="L329" s="85"/>
      <c r="M329" s="85"/>
      <c r="N329" s="151"/>
      <c r="O329" s="85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85"/>
      <c r="S329" s="85"/>
      <c r="T329" s="85"/>
      <c r="U329" s="85"/>
      <c r="V329" s="85"/>
      <c r="W329" s="85"/>
      <c r="X329" s="85"/>
      <c r="Y329" s="85"/>
      <c r="Z329" s="157"/>
      <c r="AA329" s="4"/>
      <c r="AB329" s="4"/>
      <c r="AC329" s="4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49"/>
      <c r="L330" s="85"/>
      <c r="M330" s="85"/>
      <c r="N330" s="151"/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57"/>
      <c r="AA330" s="4"/>
      <c r="AB330" s="4"/>
      <c r="AC330" s="4"/>
    </row>
    <row r="331" customFormat="false" ht="15" hidden="false" customHeight="true" outlineLevel="0" collapsed="false">
      <c r="A331" s="85"/>
      <c r="B331" s="85"/>
      <c r="C331" s="85"/>
      <c r="D331" s="85"/>
      <c r="E331" s="85"/>
      <c r="F331" s="85"/>
      <c r="G331" s="85"/>
      <c r="H331" s="85"/>
      <c r="I331" s="138" t="str">
        <f aca="false">IFERROR(VLOOKUP(TEXT(H331,"0"),IPRESS!$A$3:$B$212,2,0),"")</f>
        <v/>
      </c>
      <c r="J331" s="85"/>
      <c r="K331" s="149"/>
      <c r="L331" s="85"/>
      <c r="M331" s="85"/>
      <c r="N331" s="151"/>
      <c r="O331" s="85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85"/>
      <c r="S331" s="85"/>
      <c r="T331" s="85"/>
      <c r="U331" s="85"/>
      <c r="V331" s="85"/>
      <c r="W331" s="85"/>
      <c r="X331" s="85"/>
      <c r="Y331" s="85"/>
      <c r="Z331" s="157"/>
      <c r="AA331" s="4"/>
      <c r="AB331" s="4"/>
      <c r="AC331" s="4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49"/>
      <c r="L332" s="85"/>
      <c r="M332" s="85"/>
      <c r="N332" s="151"/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57"/>
      <c r="AA332" s="4"/>
      <c r="AB332" s="4"/>
      <c r="AC332" s="4"/>
    </row>
    <row r="333" customFormat="false" ht="15" hidden="false" customHeight="true" outlineLevel="0" collapsed="false">
      <c r="A333" s="85"/>
      <c r="B333" s="85"/>
      <c r="C333" s="85"/>
      <c r="D333" s="85"/>
      <c r="E333" s="85"/>
      <c r="F333" s="85"/>
      <c r="G333" s="85"/>
      <c r="H333" s="85"/>
      <c r="I333" s="138" t="str">
        <f aca="false">IFERROR(VLOOKUP(TEXT(H333,"0"),IPRESS!$A$3:$B$212,2,0),"")</f>
        <v/>
      </c>
      <c r="J333" s="85"/>
      <c r="K333" s="149"/>
      <c r="L333" s="85"/>
      <c r="M333" s="85"/>
      <c r="N333" s="151"/>
      <c r="O333" s="85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85"/>
      <c r="S333" s="85"/>
      <c r="T333" s="85"/>
      <c r="U333" s="85"/>
      <c r="V333" s="85"/>
      <c r="W333" s="85"/>
      <c r="X333" s="85"/>
      <c r="Y333" s="85"/>
      <c r="Z333" s="157"/>
      <c r="AA333" s="4"/>
      <c r="AB333" s="4"/>
      <c r="AC333" s="4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49"/>
      <c r="L334" s="85"/>
      <c r="M334" s="85"/>
      <c r="N334" s="151"/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57"/>
      <c r="AA334" s="4"/>
      <c r="AB334" s="4"/>
      <c r="AC334" s="4"/>
    </row>
    <row r="335" customFormat="false" ht="15" hidden="false" customHeight="true" outlineLevel="0" collapsed="false">
      <c r="A335" s="85"/>
      <c r="B335" s="85"/>
      <c r="C335" s="85"/>
      <c r="D335" s="85"/>
      <c r="E335" s="85"/>
      <c r="F335" s="85"/>
      <c r="G335" s="85"/>
      <c r="H335" s="85"/>
      <c r="I335" s="138" t="str">
        <f aca="false">IFERROR(VLOOKUP(TEXT(H335,"0"),IPRESS!$A$3:$B$212,2,0),"")</f>
        <v/>
      </c>
      <c r="J335" s="85"/>
      <c r="K335" s="149"/>
      <c r="L335" s="85"/>
      <c r="M335" s="85"/>
      <c r="N335" s="151"/>
      <c r="O335" s="85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85"/>
      <c r="S335" s="85"/>
      <c r="T335" s="85"/>
      <c r="U335" s="85"/>
      <c r="V335" s="85"/>
      <c r="W335" s="85"/>
      <c r="X335" s="85"/>
      <c r="Y335" s="85"/>
      <c r="Z335" s="157"/>
      <c r="AA335" s="4"/>
      <c r="AB335" s="4"/>
      <c r="AC335" s="4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49"/>
      <c r="L336" s="85"/>
      <c r="M336" s="85"/>
      <c r="N336" s="151"/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57"/>
      <c r="AA336" s="4"/>
      <c r="AB336" s="4"/>
      <c r="AC336" s="4"/>
    </row>
    <row r="337" customFormat="false" ht="15" hidden="false" customHeight="true" outlineLevel="0" collapsed="false">
      <c r="A337" s="85"/>
      <c r="B337" s="85"/>
      <c r="C337" s="85"/>
      <c r="D337" s="85"/>
      <c r="E337" s="85"/>
      <c r="F337" s="85"/>
      <c r="G337" s="85"/>
      <c r="H337" s="85"/>
      <c r="I337" s="138" t="str">
        <f aca="false">IFERROR(VLOOKUP(TEXT(H337,"0"),IPRESS!$A$3:$B$212,2,0),"")</f>
        <v/>
      </c>
      <c r="J337" s="85"/>
      <c r="K337" s="149"/>
      <c r="L337" s="85"/>
      <c r="M337" s="85"/>
      <c r="N337" s="151"/>
      <c r="O337" s="85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85"/>
      <c r="S337" s="85"/>
      <c r="T337" s="85"/>
      <c r="U337" s="85"/>
      <c r="V337" s="85"/>
      <c r="W337" s="85"/>
      <c r="X337" s="85"/>
      <c r="Y337" s="85"/>
      <c r="Z337" s="157"/>
      <c r="AA337" s="4"/>
      <c r="AB337" s="4"/>
      <c r="AC337" s="4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49"/>
      <c r="L338" s="85"/>
      <c r="M338" s="85"/>
      <c r="N338" s="151"/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57"/>
      <c r="AA338" s="4"/>
      <c r="AB338" s="4"/>
      <c r="AC338" s="4"/>
    </row>
    <row r="339" customFormat="false" ht="15" hidden="false" customHeight="true" outlineLevel="0" collapsed="false">
      <c r="A339" s="85"/>
      <c r="B339" s="85"/>
      <c r="C339" s="85"/>
      <c r="D339" s="85"/>
      <c r="E339" s="85"/>
      <c r="F339" s="85"/>
      <c r="G339" s="85"/>
      <c r="H339" s="85"/>
      <c r="I339" s="138" t="str">
        <f aca="false">IFERROR(VLOOKUP(TEXT(H339,"0"),IPRESS!$A$3:$B$212,2,0),"")</f>
        <v/>
      </c>
      <c r="J339" s="85"/>
      <c r="K339" s="149"/>
      <c r="L339" s="85"/>
      <c r="M339" s="85"/>
      <c r="N339" s="151"/>
      <c r="O339" s="85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85"/>
      <c r="S339" s="85"/>
      <c r="T339" s="85"/>
      <c r="U339" s="85"/>
      <c r="V339" s="85"/>
      <c r="W339" s="85"/>
      <c r="X339" s="85"/>
      <c r="Y339" s="85"/>
      <c r="Z339" s="157"/>
      <c r="AA339" s="4"/>
      <c r="AB339" s="4"/>
      <c r="AC339" s="4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49"/>
      <c r="L340" s="85"/>
      <c r="M340" s="85"/>
      <c r="N340" s="151"/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57"/>
      <c r="AA340" s="4"/>
      <c r="AB340" s="4"/>
      <c r="AC340" s="4"/>
    </row>
    <row r="341" customFormat="false" ht="15" hidden="false" customHeight="true" outlineLevel="0" collapsed="false">
      <c r="A341" s="85"/>
      <c r="B341" s="85"/>
      <c r="C341" s="85"/>
      <c r="D341" s="85"/>
      <c r="E341" s="85"/>
      <c r="F341" s="85"/>
      <c r="G341" s="85"/>
      <c r="H341" s="85"/>
      <c r="I341" s="138" t="str">
        <f aca="false">IFERROR(VLOOKUP(TEXT(H341,"0"),IPRESS!$A$3:$B$212,2,0),"")</f>
        <v/>
      </c>
      <c r="J341" s="85"/>
      <c r="K341" s="149"/>
      <c r="L341" s="85"/>
      <c r="M341" s="85"/>
      <c r="N341" s="151"/>
      <c r="O341" s="85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85"/>
      <c r="S341" s="85"/>
      <c r="T341" s="85"/>
      <c r="U341" s="85"/>
      <c r="V341" s="85"/>
      <c r="W341" s="85"/>
      <c r="X341" s="85"/>
      <c r="Y341" s="85"/>
      <c r="Z341" s="157"/>
      <c r="AA341" s="4"/>
      <c r="AB341" s="4"/>
      <c r="AC341" s="4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49"/>
      <c r="L342" s="85"/>
      <c r="M342" s="85"/>
      <c r="N342" s="151"/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57"/>
      <c r="AA342" s="4"/>
      <c r="AB342" s="4"/>
      <c r="AC342" s="4"/>
    </row>
    <row r="343" customFormat="false" ht="15" hidden="false" customHeight="true" outlineLevel="0" collapsed="false">
      <c r="A343" s="85"/>
      <c r="B343" s="85"/>
      <c r="C343" s="85"/>
      <c r="D343" s="85"/>
      <c r="E343" s="85"/>
      <c r="F343" s="85"/>
      <c r="G343" s="85"/>
      <c r="H343" s="85"/>
      <c r="I343" s="138" t="str">
        <f aca="false">IFERROR(VLOOKUP(TEXT(H343,"0"),IPRESS!$A$3:$B$212,2,0),"")</f>
        <v/>
      </c>
      <c r="J343" s="85"/>
      <c r="K343" s="149"/>
      <c r="L343" s="85"/>
      <c r="M343" s="85"/>
      <c r="N343" s="151"/>
      <c r="O343" s="85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85"/>
      <c r="S343" s="85"/>
      <c r="T343" s="85"/>
      <c r="U343" s="85"/>
      <c r="V343" s="85"/>
      <c r="W343" s="85"/>
      <c r="X343" s="85"/>
      <c r="Y343" s="85"/>
      <c r="Z343" s="157"/>
      <c r="AA343" s="4"/>
      <c r="AB343" s="4"/>
      <c r="AC343" s="4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49"/>
      <c r="L344" s="85"/>
      <c r="M344" s="85"/>
      <c r="N344" s="151"/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57"/>
      <c r="AA344" s="4"/>
      <c r="AB344" s="4"/>
      <c r="AC344" s="4"/>
    </row>
    <row r="345" customFormat="false" ht="15" hidden="false" customHeight="true" outlineLevel="0" collapsed="false">
      <c r="A345" s="85"/>
      <c r="B345" s="85"/>
      <c r="C345" s="85"/>
      <c r="D345" s="85"/>
      <c r="E345" s="85"/>
      <c r="F345" s="85"/>
      <c r="G345" s="85"/>
      <c r="H345" s="85"/>
      <c r="I345" s="138" t="str">
        <f aca="false">IFERROR(VLOOKUP(TEXT(H345,"0"),IPRESS!$A$3:$B$212,2,0),"")</f>
        <v/>
      </c>
      <c r="J345" s="85"/>
      <c r="K345" s="149"/>
      <c r="L345" s="85"/>
      <c r="M345" s="85"/>
      <c r="N345" s="151"/>
      <c r="O345" s="85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85"/>
      <c r="S345" s="85"/>
      <c r="T345" s="85"/>
      <c r="U345" s="85"/>
      <c r="V345" s="85"/>
      <c r="W345" s="85"/>
      <c r="X345" s="85"/>
      <c r="Y345" s="85"/>
      <c r="Z345" s="157"/>
      <c r="AA345" s="4"/>
      <c r="AB345" s="4"/>
      <c r="AC345" s="4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49"/>
      <c r="L346" s="85"/>
      <c r="M346" s="85"/>
      <c r="N346" s="151"/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57"/>
      <c r="AA346" s="4"/>
      <c r="AB346" s="4"/>
      <c r="AC346" s="4"/>
    </row>
    <row r="347" customFormat="false" ht="15" hidden="false" customHeight="true" outlineLevel="0" collapsed="false">
      <c r="A347" s="85"/>
      <c r="B347" s="85"/>
      <c r="C347" s="85"/>
      <c r="D347" s="85"/>
      <c r="E347" s="85"/>
      <c r="F347" s="85"/>
      <c r="G347" s="85"/>
      <c r="H347" s="85"/>
      <c r="I347" s="138" t="str">
        <f aca="false">IFERROR(VLOOKUP(TEXT(H347,"0"),IPRESS!$A$3:$B$212,2,0),"")</f>
        <v/>
      </c>
      <c r="J347" s="85"/>
      <c r="K347" s="149"/>
      <c r="L347" s="85"/>
      <c r="M347" s="85"/>
      <c r="N347" s="151"/>
      <c r="O347" s="85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85"/>
      <c r="S347" s="85"/>
      <c r="T347" s="85"/>
      <c r="U347" s="85"/>
      <c r="V347" s="85"/>
      <c r="W347" s="85"/>
      <c r="X347" s="85"/>
      <c r="Y347" s="85"/>
      <c r="Z347" s="157"/>
      <c r="AA347" s="4"/>
      <c r="AB347" s="4"/>
      <c r="AC347" s="4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49"/>
      <c r="L348" s="85"/>
      <c r="M348" s="85"/>
      <c r="N348" s="151"/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57"/>
      <c r="AA348" s="4"/>
      <c r="AB348" s="4"/>
      <c r="AC348" s="4"/>
    </row>
    <row r="349" customFormat="false" ht="15" hidden="false" customHeight="true" outlineLevel="0" collapsed="false">
      <c r="A349" s="85"/>
      <c r="B349" s="85"/>
      <c r="C349" s="85"/>
      <c r="D349" s="85"/>
      <c r="E349" s="85"/>
      <c r="F349" s="85"/>
      <c r="G349" s="85"/>
      <c r="H349" s="85"/>
      <c r="I349" s="138" t="str">
        <f aca="false">IFERROR(VLOOKUP(TEXT(H349,"0"),IPRESS!$A$3:$B$212,2,0),"")</f>
        <v/>
      </c>
      <c r="J349" s="85"/>
      <c r="K349" s="149"/>
      <c r="L349" s="85"/>
      <c r="M349" s="85"/>
      <c r="N349" s="151"/>
      <c r="O349" s="85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85"/>
      <c r="S349" s="85"/>
      <c r="T349" s="85"/>
      <c r="U349" s="85"/>
      <c r="V349" s="85"/>
      <c r="W349" s="85"/>
      <c r="X349" s="85"/>
      <c r="Y349" s="85"/>
      <c r="Z349" s="157"/>
      <c r="AA349" s="4"/>
      <c r="AB349" s="4"/>
      <c r="AC349" s="4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49"/>
      <c r="L350" s="85"/>
      <c r="M350" s="85"/>
      <c r="N350" s="151"/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57"/>
      <c r="AA350" s="4"/>
      <c r="AB350" s="4"/>
      <c r="AC350" s="4"/>
    </row>
    <row r="351" customFormat="false" ht="15" hidden="false" customHeight="true" outlineLevel="0" collapsed="false">
      <c r="A351" s="85"/>
      <c r="B351" s="85"/>
      <c r="C351" s="85"/>
      <c r="D351" s="85"/>
      <c r="E351" s="85"/>
      <c r="F351" s="85"/>
      <c r="G351" s="85"/>
      <c r="H351" s="85"/>
      <c r="I351" s="138" t="str">
        <f aca="false">IFERROR(VLOOKUP(TEXT(H351,"0"),IPRESS!$A$3:$B$212,2,0),"")</f>
        <v/>
      </c>
      <c r="J351" s="85"/>
      <c r="K351" s="149"/>
      <c r="L351" s="85"/>
      <c r="M351" s="85"/>
      <c r="N351" s="151"/>
      <c r="O351" s="85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85"/>
      <c r="S351" s="85"/>
      <c r="T351" s="85"/>
      <c r="U351" s="85"/>
      <c r="V351" s="85"/>
      <c r="W351" s="85"/>
      <c r="X351" s="85"/>
      <c r="Y351" s="85"/>
      <c r="Z351" s="157"/>
      <c r="AA351" s="4"/>
      <c r="AB351" s="4"/>
      <c r="AC351" s="4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49"/>
      <c r="L352" s="85"/>
      <c r="M352" s="85"/>
      <c r="N352" s="151"/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57"/>
      <c r="AA352" s="4"/>
      <c r="AB352" s="4"/>
      <c r="AC352" s="4"/>
    </row>
    <row r="353" customFormat="false" ht="15" hidden="false" customHeight="true" outlineLevel="0" collapsed="false">
      <c r="A353" s="85"/>
      <c r="B353" s="85"/>
      <c r="C353" s="85"/>
      <c r="D353" s="85"/>
      <c r="E353" s="85"/>
      <c r="F353" s="85"/>
      <c r="G353" s="85"/>
      <c r="H353" s="85"/>
      <c r="I353" s="138" t="str">
        <f aca="false">IFERROR(VLOOKUP(TEXT(H353,"0"),IPRESS!$A$3:$B$212,2,0),"")</f>
        <v/>
      </c>
      <c r="J353" s="85"/>
      <c r="K353" s="149"/>
      <c r="L353" s="85"/>
      <c r="M353" s="85"/>
      <c r="N353" s="151"/>
      <c r="O353" s="85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85"/>
      <c r="S353" s="85"/>
      <c r="T353" s="85"/>
      <c r="U353" s="85"/>
      <c r="V353" s="85"/>
      <c r="W353" s="85"/>
      <c r="X353" s="85"/>
      <c r="Y353" s="85"/>
      <c r="Z353" s="157"/>
      <c r="AA353" s="4"/>
      <c r="AB353" s="4"/>
      <c r="AC353" s="4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49"/>
      <c r="L354" s="85"/>
      <c r="M354" s="85"/>
      <c r="N354" s="151"/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57"/>
      <c r="AA354" s="4"/>
      <c r="AB354" s="4"/>
      <c r="AC354" s="4"/>
    </row>
    <row r="355" customFormat="false" ht="15" hidden="false" customHeight="true" outlineLevel="0" collapsed="false">
      <c r="A355" s="85"/>
      <c r="B355" s="85"/>
      <c r="C355" s="85"/>
      <c r="D355" s="85"/>
      <c r="E355" s="85"/>
      <c r="F355" s="85"/>
      <c r="G355" s="85"/>
      <c r="H355" s="85"/>
      <c r="I355" s="138" t="str">
        <f aca="false">IFERROR(VLOOKUP(TEXT(H355,"0"),IPRESS!$A$3:$B$212,2,0),"")</f>
        <v/>
      </c>
      <c r="J355" s="85"/>
      <c r="K355" s="149"/>
      <c r="L355" s="85"/>
      <c r="M355" s="85"/>
      <c r="N355" s="151"/>
      <c r="O355" s="85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85"/>
      <c r="S355" s="85"/>
      <c r="T355" s="85"/>
      <c r="U355" s="85"/>
      <c r="V355" s="85"/>
      <c r="W355" s="85"/>
      <c r="X355" s="85"/>
      <c r="Y355" s="85"/>
      <c r="Z355" s="157"/>
      <c r="AA355" s="4"/>
      <c r="AB355" s="4"/>
      <c r="AC355" s="4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49"/>
      <c r="L356" s="85"/>
      <c r="M356" s="85"/>
      <c r="N356" s="151"/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57"/>
      <c r="AA356" s="4"/>
      <c r="AB356" s="4"/>
      <c r="AC356" s="4"/>
    </row>
    <row r="357" customFormat="false" ht="15" hidden="false" customHeight="true" outlineLevel="0" collapsed="false">
      <c r="A357" s="85"/>
      <c r="B357" s="85"/>
      <c r="C357" s="85"/>
      <c r="D357" s="85"/>
      <c r="E357" s="85"/>
      <c r="F357" s="85"/>
      <c r="G357" s="85"/>
      <c r="H357" s="85"/>
      <c r="I357" s="138" t="str">
        <f aca="false">IFERROR(VLOOKUP(TEXT(H357,"0"),IPRESS!$A$3:$B$212,2,0),"")</f>
        <v/>
      </c>
      <c r="J357" s="85"/>
      <c r="K357" s="149"/>
      <c r="L357" s="85"/>
      <c r="M357" s="85"/>
      <c r="N357" s="151"/>
      <c r="O357" s="85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85"/>
      <c r="S357" s="85"/>
      <c r="T357" s="85"/>
      <c r="U357" s="85"/>
      <c r="V357" s="85"/>
      <c r="W357" s="85"/>
      <c r="X357" s="85"/>
      <c r="Y357" s="85"/>
      <c r="Z357" s="157"/>
      <c r="AA357" s="4"/>
      <c r="AB357" s="4"/>
      <c r="AC357" s="4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49"/>
      <c r="L358" s="85"/>
      <c r="M358" s="85"/>
      <c r="N358" s="151"/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57"/>
      <c r="AA358" s="4"/>
      <c r="AB358" s="4"/>
      <c r="AC358" s="4"/>
    </row>
    <row r="359" customFormat="false" ht="15" hidden="false" customHeight="true" outlineLevel="0" collapsed="false">
      <c r="A359" s="85"/>
      <c r="B359" s="85"/>
      <c r="C359" s="85"/>
      <c r="D359" s="85"/>
      <c r="E359" s="85"/>
      <c r="F359" s="85"/>
      <c r="G359" s="85"/>
      <c r="H359" s="85"/>
      <c r="I359" s="138" t="str">
        <f aca="false">IFERROR(VLOOKUP(TEXT(H359,"0"),IPRESS!$A$3:$B$212,2,0),"")</f>
        <v/>
      </c>
      <c r="J359" s="85"/>
      <c r="K359" s="149"/>
      <c r="L359" s="85"/>
      <c r="M359" s="85"/>
      <c r="N359" s="151"/>
      <c r="O359" s="85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85"/>
      <c r="S359" s="85"/>
      <c r="T359" s="85"/>
      <c r="U359" s="85"/>
      <c r="V359" s="85"/>
      <c r="W359" s="85"/>
      <c r="X359" s="85"/>
      <c r="Y359" s="85"/>
      <c r="Z359" s="157"/>
      <c r="AA359" s="4"/>
      <c r="AB359" s="4"/>
      <c r="AC359" s="4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49"/>
      <c r="L360" s="85"/>
      <c r="M360" s="85"/>
      <c r="N360" s="151"/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57"/>
      <c r="AA360" s="4"/>
      <c r="AB360" s="4"/>
      <c r="AC360" s="4"/>
    </row>
    <row r="361" customFormat="false" ht="15" hidden="false" customHeight="true" outlineLevel="0" collapsed="false">
      <c r="A361" s="85"/>
      <c r="B361" s="85"/>
      <c r="C361" s="85"/>
      <c r="D361" s="85"/>
      <c r="E361" s="85"/>
      <c r="F361" s="85"/>
      <c r="G361" s="85"/>
      <c r="H361" s="85"/>
      <c r="I361" s="138" t="str">
        <f aca="false">IFERROR(VLOOKUP(TEXT(H361,"0"),IPRESS!$A$3:$B$212,2,0),"")</f>
        <v/>
      </c>
      <c r="J361" s="85"/>
      <c r="K361" s="149"/>
      <c r="L361" s="85"/>
      <c r="M361" s="85"/>
      <c r="N361" s="151"/>
      <c r="O361" s="85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85"/>
      <c r="S361" s="85"/>
      <c r="T361" s="85"/>
      <c r="U361" s="85"/>
      <c r="V361" s="85"/>
      <c r="W361" s="85"/>
      <c r="X361" s="85"/>
      <c r="Y361" s="85"/>
      <c r="Z361" s="157"/>
      <c r="AA361" s="4"/>
      <c r="AB361" s="4"/>
      <c r="AC361" s="4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49"/>
      <c r="L362" s="85"/>
      <c r="M362" s="85"/>
      <c r="N362" s="151"/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57"/>
      <c r="AA362" s="4"/>
      <c r="AB362" s="4"/>
      <c r="AC362" s="4"/>
    </row>
    <row r="363" customFormat="false" ht="15" hidden="false" customHeight="true" outlineLevel="0" collapsed="false">
      <c r="A363" s="85"/>
      <c r="B363" s="85"/>
      <c r="C363" s="85"/>
      <c r="D363" s="85"/>
      <c r="E363" s="85"/>
      <c r="F363" s="85"/>
      <c r="G363" s="85"/>
      <c r="H363" s="85"/>
      <c r="I363" s="138" t="str">
        <f aca="false">IFERROR(VLOOKUP(TEXT(H363,"0"),IPRESS!$A$3:$B$212,2,0),"")</f>
        <v/>
      </c>
      <c r="J363" s="85"/>
      <c r="K363" s="149"/>
      <c r="L363" s="85"/>
      <c r="M363" s="85"/>
      <c r="N363" s="151"/>
      <c r="O363" s="85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85"/>
      <c r="S363" s="85"/>
      <c r="T363" s="85"/>
      <c r="U363" s="85"/>
      <c r="V363" s="85"/>
      <c r="W363" s="85"/>
      <c r="X363" s="85"/>
      <c r="Y363" s="85"/>
      <c r="Z363" s="157"/>
      <c r="AA363" s="4"/>
      <c r="AB363" s="4"/>
      <c r="AC363" s="4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49"/>
      <c r="L364" s="85"/>
      <c r="M364" s="85"/>
      <c r="N364" s="151"/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57"/>
      <c r="AA364" s="4"/>
      <c r="AB364" s="4"/>
      <c r="AC364" s="4"/>
    </row>
    <row r="365" customFormat="false" ht="15" hidden="false" customHeight="true" outlineLevel="0" collapsed="false">
      <c r="A365" s="85"/>
      <c r="B365" s="85"/>
      <c r="C365" s="85"/>
      <c r="D365" s="85"/>
      <c r="E365" s="85"/>
      <c r="F365" s="85"/>
      <c r="G365" s="85"/>
      <c r="H365" s="85"/>
      <c r="I365" s="138" t="str">
        <f aca="false">IFERROR(VLOOKUP(TEXT(H365,"0"),IPRESS!$A$3:$B$212,2,0),"")</f>
        <v/>
      </c>
      <c r="J365" s="85"/>
      <c r="K365" s="149"/>
      <c r="L365" s="85"/>
      <c r="M365" s="85"/>
      <c r="N365" s="151"/>
      <c r="O365" s="85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85"/>
      <c r="S365" s="85"/>
      <c r="T365" s="85"/>
      <c r="U365" s="85"/>
      <c r="V365" s="85"/>
      <c r="W365" s="85"/>
      <c r="X365" s="85"/>
      <c r="Y365" s="85"/>
      <c r="Z365" s="157"/>
      <c r="AA365" s="4"/>
      <c r="AB365" s="4"/>
      <c r="AC365" s="4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49"/>
      <c r="L366" s="85"/>
      <c r="M366" s="85"/>
      <c r="N366" s="151"/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57"/>
      <c r="AA366" s="4"/>
      <c r="AB366" s="4"/>
      <c r="AC366" s="4"/>
    </row>
    <row r="367" customFormat="false" ht="15" hidden="false" customHeight="true" outlineLevel="0" collapsed="false">
      <c r="A367" s="85"/>
      <c r="B367" s="85"/>
      <c r="C367" s="85"/>
      <c r="D367" s="85"/>
      <c r="E367" s="85"/>
      <c r="F367" s="85"/>
      <c r="G367" s="85"/>
      <c r="H367" s="85"/>
      <c r="I367" s="138" t="str">
        <f aca="false">IFERROR(VLOOKUP(TEXT(H367,"0"),IPRESS!$A$3:$B$212,2,0),"")</f>
        <v/>
      </c>
      <c r="J367" s="85"/>
      <c r="K367" s="149"/>
      <c r="L367" s="85"/>
      <c r="M367" s="85"/>
      <c r="N367" s="151"/>
      <c r="O367" s="85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85"/>
      <c r="S367" s="85"/>
      <c r="T367" s="85"/>
      <c r="U367" s="85"/>
      <c r="V367" s="85"/>
      <c r="W367" s="85"/>
      <c r="X367" s="85"/>
      <c r="Y367" s="85"/>
      <c r="Z367" s="157"/>
      <c r="AA367" s="4"/>
      <c r="AB367" s="4"/>
      <c r="AC367" s="4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49"/>
      <c r="L368" s="85"/>
      <c r="M368" s="85"/>
      <c r="N368" s="151"/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57"/>
      <c r="AA368" s="4"/>
      <c r="AB368" s="4"/>
      <c r="AC368" s="4"/>
    </row>
    <row r="369" customFormat="false" ht="15" hidden="false" customHeight="true" outlineLevel="0" collapsed="false">
      <c r="A369" s="85"/>
      <c r="B369" s="85"/>
      <c r="C369" s="85"/>
      <c r="D369" s="85"/>
      <c r="E369" s="85"/>
      <c r="F369" s="85"/>
      <c r="G369" s="85"/>
      <c r="H369" s="85"/>
      <c r="I369" s="138" t="str">
        <f aca="false">IFERROR(VLOOKUP(TEXT(H369,"0"),IPRESS!$A$3:$B$212,2,0),"")</f>
        <v/>
      </c>
      <c r="J369" s="85"/>
      <c r="K369" s="149"/>
      <c r="L369" s="85"/>
      <c r="M369" s="85"/>
      <c r="N369" s="151"/>
      <c r="O369" s="85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85"/>
      <c r="S369" s="85"/>
      <c r="T369" s="85"/>
      <c r="U369" s="85"/>
      <c r="V369" s="85"/>
      <c r="W369" s="85"/>
      <c r="X369" s="85"/>
      <c r="Y369" s="85"/>
      <c r="Z369" s="157"/>
      <c r="AA369" s="4"/>
      <c r="AB369" s="4"/>
      <c r="AC369" s="4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49"/>
      <c r="L370" s="85"/>
      <c r="M370" s="85"/>
      <c r="N370" s="151"/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57"/>
      <c r="AA370" s="4"/>
      <c r="AB370" s="4"/>
      <c r="AC370" s="4"/>
    </row>
    <row r="371" customFormat="false" ht="15" hidden="false" customHeight="true" outlineLevel="0" collapsed="false">
      <c r="A371" s="85"/>
      <c r="B371" s="85"/>
      <c r="C371" s="85"/>
      <c r="D371" s="85"/>
      <c r="E371" s="85"/>
      <c r="F371" s="85"/>
      <c r="G371" s="85"/>
      <c r="H371" s="85"/>
      <c r="I371" s="138" t="str">
        <f aca="false">IFERROR(VLOOKUP(TEXT(H371,"0"),IPRESS!$A$3:$B$212,2,0),"")</f>
        <v/>
      </c>
      <c r="J371" s="85"/>
      <c r="K371" s="149"/>
      <c r="L371" s="85"/>
      <c r="M371" s="85"/>
      <c r="N371" s="151"/>
      <c r="O371" s="85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85"/>
      <c r="S371" s="85"/>
      <c r="T371" s="85"/>
      <c r="U371" s="85"/>
      <c r="V371" s="85"/>
      <c r="W371" s="85"/>
      <c r="X371" s="85"/>
      <c r="Y371" s="85"/>
      <c r="Z371" s="157"/>
      <c r="AA371" s="4"/>
      <c r="AB371" s="4"/>
      <c r="AC371" s="4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49"/>
      <c r="L372" s="85"/>
      <c r="M372" s="85"/>
      <c r="N372" s="151"/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57"/>
      <c r="AA372" s="4"/>
      <c r="AB372" s="4"/>
      <c r="AC372" s="4"/>
    </row>
    <row r="373" customFormat="false" ht="15" hidden="false" customHeight="true" outlineLevel="0" collapsed="false">
      <c r="A373" s="85"/>
      <c r="B373" s="85"/>
      <c r="C373" s="85"/>
      <c r="D373" s="85"/>
      <c r="E373" s="85"/>
      <c r="F373" s="85"/>
      <c r="G373" s="85"/>
      <c r="H373" s="85"/>
      <c r="I373" s="138" t="str">
        <f aca="false">IFERROR(VLOOKUP(TEXT(H373,"0"),IPRESS!$A$3:$B$212,2,0),"")</f>
        <v/>
      </c>
      <c r="J373" s="85"/>
      <c r="K373" s="149"/>
      <c r="L373" s="85"/>
      <c r="M373" s="85"/>
      <c r="N373" s="151"/>
      <c r="O373" s="85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85"/>
      <c r="S373" s="85"/>
      <c r="T373" s="85"/>
      <c r="U373" s="85"/>
      <c r="V373" s="85"/>
      <c r="W373" s="85"/>
      <c r="X373" s="85"/>
      <c r="Y373" s="85"/>
      <c r="Z373" s="157"/>
      <c r="AA373" s="4"/>
      <c r="AB373" s="4"/>
      <c r="AC373" s="4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49"/>
      <c r="L374" s="85"/>
      <c r="M374" s="85"/>
      <c r="N374" s="151"/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57"/>
      <c r="AA374" s="4"/>
      <c r="AB374" s="4"/>
      <c r="AC374" s="4"/>
    </row>
    <row r="375" customFormat="false" ht="15" hidden="false" customHeight="true" outlineLevel="0" collapsed="false">
      <c r="A375" s="85"/>
      <c r="B375" s="85"/>
      <c r="C375" s="85"/>
      <c r="D375" s="85"/>
      <c r="E375" s="85"/>
      <c r="F375" s="85"/>
      <c r="G375" s="85"/>
      <c r="H375" s="85"/>
      <c r="I375" s="138" t="str">
        <f aca="false">IFERROR(VLOOKUP(TEXT(H375,"0"),IPRESS!$A$3:$B$212,2,0),"")</f>
        <v/>
      </c>
      <c r="J375" s="85"/>
      <c r="K375" s="149"/>
      <c r="L375" s="85"/>
      <c r="M375" s="85"/>
      <c r="N375" s="151"/>
      <c r="O375" s="85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85"/>
      <c r="S375" s="85"/>
      <c r="T375" s="85"/>
      <c r="U375" s="85"/>
      <c r="V375" s="85"/>
      <c r="W375" s="85"/>
      <c r="X375" s="85"/>
      <c r="Y375" s="85"/>
      <c r="Z375" s="157"/>
      <c r="AA375" s="4"/>
      <c r="AB375" s="4"/>
      <c r="AC375" s="4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49"/>
      <c r="L376" s="85"/>
      <c r="M376" s="85"/>
      <c r="N376" s="151"/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57"/>
      <c r="AA376" s="4"/>
      <c r="AB376" s="4"/>
      <c r="AC376" s="4"/>
    </row>
    <row r="377" customFormat="false" ht="15" hidden="false" customHeight="true" outlineLevel="0" collapsed="false">
      <c r="A377" s="85"/>
      <c r="B377" s="85"/>
      <c r="C377" s="85"/>
      <c r="D377" s="85"/>
      <c r="E377" s="85"/>
      <c r="F377" s="85"/>
      <c r="G377" s="85"/>
      <c r="H377" s="85"/>
      <c r="I377" s="138" t="str">
        <f aca="false">IFERROR(VLOOKUP(TEXT(H377,"0"),IPRESS!$A$3:$B$212,2,0),"")</f>
        <v/>
      </c>
      <c r="J377" s="85"/>
      <c r="K377" s="149"/>
      <c r="L377" s="85"/>
      <c r="M377" s="85"/>
      <c r="N377" s="151"/>
      <c r="O377" s="85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85"/>
      <c r="S377" s="85"/>
      <c r="T377" s="85"/>
      <c r="U377" s="85"/>
      <c r="V377" s="85"/>
      <c r="W377" s="85"/>
      <c r="X377" s="85"/>
      <c r="Y377" s="85"/>
      <c r="Z377" s="157"/>
      <c r="AA377" s="4"/>
      <c r="AB377" s="4"/>
      <c r="AC377" s="4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49"/>
      <c r="L378" s="85"/>
      <c r="M378" s="85"/>
      <c r="N378" s="151"/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57"/>
      <c r="AA378" s="4"/>
      <c r="AB378" s="4"/>
      <c r="AC378" s="4"/>
    </row>
    <row r="379" customFormat="false" ht="15" hidden="false" customHeight="true" outlineLevel="0" collapsed="false">
      <c r="A379" s="85"/>
      <c r="B379" s="85"/>
      <c r="C379" s="85"/>
      <c r="D379" s="85"/>
      <c r="E379" s="85"/>
      <c r="F379" s="85"/>
      <c r="G379" s="85"/>
      <c r="H379" s="85"/>
      <c r="I379" s="138" t="str">
        <f aca="false">IFERROR(VLOOKUP(TEXT(H379,"0"),IPRESS!$A$3:$B$212,2,0),"")</f>
        <v/>
      </c>
      <c r="J379" s="85"/>
      <c r="K379" s="149"/>
      <c r="L379" s="85"/>
      <c r="M379" s="85"/>
      <c r="N379" s="151"/>
      <c r="O379" s="85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85"/>
      <c r="S379" s="85"/>
      <c r="T379" s="85"/>
      <c r="U379" s="85"/>
      <c r="V379" s="85"/>
      <c r="W379" s="85"/>
      <c r="X379" s="85"/>
      <c r="Y379" s="85"/>
      <c r="Z379" s="157"/>
      <c r="AA379" s="4"/>
      <c r="AB379" s="4"/>
      <c r="AC379" s="4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49"/>
      <c r="L380" s="85"/>
      <c r="M380" s="85"/>
      <c r="N380" s="151"/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57"/>
      <c r="AA380" s="4"/>
      <c r="AB380" s="4"/>
      <c r="AC380" s="4"/>
    </row>
    <row r="381" customFormat="false" ht="15" hidden="false" customHeight="true" outlineLevel="0" collapsed="false">
      <c r="A381" s="85"/>
      <c r="B381" s="85"/>
      <c r="C381" s="85"/>
      <c r="D381" s="85"/>
      <c r="E381" s="85"/>
      <c r="F381" s="85"/>
      <c r="G381" s="85"/>
      <c r="H381" s="85"/>
      <c r="I381" s="138" t="str">
        <f aca="false">IFERROR(VLOOKUP(TEXT(H381,"0"),IPRESS!$A$3:$B$212,2,0),"")</f>
        <v/>
      </c>
      <c r="J381" s="85"/>
      <c r="K381" s="149"/>
      <c r="L381" s="85"/>
      <c r="M381" s="85"/>
      <c r="N381" s="151"/>
      <c r="O381" s="85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85"/>
      <c r="S381" s="85"/>
      <c r="T381" s="85"/>
      <c r="U381" s="85"/>
      <c r="V381" s="85"/>
      <c r="W381" s="85"/>
      <c r="X381" s="85"/>
      <c r="Y381" s="85"/>
      <c r="Z381" s="157"/>
      <c r="AA381" s="4"/>
      <c r="AB381" s="4"/>
      <c r="AC381" s="4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49"/>
      <c r="L382" s="85"/>
      <c r="M382" s="85"/>
      <c r="N382" s="151"/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57"/>
      <c r="AA382" s="4"/>
      <c r="AB382" s="4"/>
      <c r="AC382" s="4"/>
    </row>
    <row r="383" customFormat="false" ht="15" hidden="false" customHeight="true" outlineLevel="0" collapsed="false">
      <c r="A383" s="85"/>
      <c r="B383" s="85"/>
      <c r="C383" s="85"/>
      <c r="D383" s="85"/>
      <c r="E383" s="85"/>
      <c r="F383" s="85"/>
      <c r="G383" s="85"/>
      <c r="H383" s="85"/>
      <c r="I383" s="138" t="str">
        <f aca="false">IFERROR(VLOOKUP(TEXT(H383,"0"),IPRESS!$A$3:$B$212,2,0),"")</f>
        <v/>
      </c>
      <c r="J383" s="85"/>
      <c r="K383" s="149"/>
      <c r="L383" s="85"/>
      <c r="M383" s="85"/>
      <c r="N383" s="151"/>
      <c r="O383" s="85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85"/>
      <c r="S383" s="85"/>
      <c r="T383" s="85"/>
      <c r="U383" s="85"/>
      <c r="V383" s="85"/>
      <c r="W383" s="85"/>
      <c r="X383" s="85"/>
      <c r="Y383" s="85"/>
      <c r="Z383" s="157"/>
      <c r="AA383" s="4"/>
      <c r="AB383" s="4"/>
      <c r="AC383" s="4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49"/>
      <c r="L384" s="85"/>
      <c r="M384" s="85"/>
      <c r="N384" s="151"/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57"/>
      <c r="AA384" s="4"/>
      <c r="AB384" s="4"/>
      <c r="AC384" s="4"/>
    </row>
    <row r="385" customFormat="false" ht="15" hidden="false" customHeight="true" outlineLevel="0" collapsed="false">
      <c r="A385" s="85"/>
      <c r="B385" s="85"/>
      <c r="C385" s="85"/>
      <c r="D385" s="85"/>
      <c r="E385" s="85"/>
      <c r="F385" s="85"/>
      <c r="G385" s="85"/>
      <c r="H385" s="85"/>
      <c r="I385" s="138" t="str">
        <f aca="false">IFERROR(VLOOKUP(TEXT(H385,"0"),IPRESS!$A$3:$B$212,2,0),"")</f>
        <v/>
      </c>
      <c r="J385" s="85"/>
      <c r="K385" s="149"/>
      <c r="L385" s="85"/>
      <c r="M385" s="85"/>
      <c r="N385" s="151"/>
      <c r="O385" s="85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85"/>
      <c r="S385" s="85"/>
      <c r="T385" s="85"/>
      <c r="U385" s="85"/>
      <c r="V385" s="85"/>
      <c r="W385" s="85"/>
      <c r="X385" s="85"/>
      <c r="Y385" s="85"/>
      <c r="Z385" s="157"/>
      <c r="AA385" s="4"/>
      <c r="AB385" s="4"/>
      <c r="AC385" s="4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49"/>
      <c r="L386" s="85"/>
      <c r="M386" s="85"/>
      <c r="N386" s="151"/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57"/>
      <c r="AA386" s="4"/>
      <c r="AB386" s="4"/>
      <c r="AC386" s="4"/>
    </row>
    <row r="387" customFormat="false" ht="15" hidden="false" customHeight="true" outlineLevel="0" collapsed="false">
      <c r="A387" s="85"/>
      <c r="B387" s="85"/>
      <c r="C387" s="85"/>
      <c r="D387" s="85"/>
      <c r="E387" s="85"/>
      <c r="F387" s="85"/>
      <c r="G387" s="85"/>
      <c r="H387" s="85"/>
      <c r="I387" s="138" t="str">
        <f aca="false">IFERROR(VLOOKUP(TEXT(H387,"0"),IPRESS!$A$3:$B$212,2,0),"")</f>
        <v/>
      </c>
      <c r="J387" s="85"/>
      <c r="K387" s="149"/>
      <c r="L387" s="85"/>
      <c r="M387" s="85"/>
      <c r="N387" s="151"/>
      <c r="O387" s="85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85"/>
      <c r="S387" s="85"/>
      <c r="T387" s="85"/>
      <c r="U387" s="85"/>
      <c r="V387" s="85"/>
      <c r="W387" s="85"/>
      <c r="X387" s="85"/>
      <c r="Y387" s="85"/>
      <c r="Z387" s="157"/>
      <c r="AA387" s="4"/>
      <c r="AB387" s="4"/>
      <c r="AC387" s="4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49"/>
      <c r="L388" s="85"/>
      <c r="M388" s="85"/>
      <c r="N388" s="151"/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57"/>
      <c r="AA388" s="4"/>
      <c r="AB388" s="4"/>
      <c r="AC388" s="4"/>
    </row>
    <row r="389" customFormat="false" ht="15" hidden="false" customHeight="true" outlineLevel="0" collapsed="false">
      <c r="A389" s="85"/>
      <c r="B389" s="85"/>
      <c r="C389" s="85"/>
      <c r="D389" s="85"/>
      <c r="E389" s="85"/>
      <c r="F389" s="85"/>
      <c r="G389" s="85"/>
      <c r="H389" s="85"/>
      <c r="I389" s="138" t="str">
        <f aca="false">IFERROR(VLOOKUP(TEXT(H389,"0"),IPRESS!$A$3:$B$212,2,0),"")</f>
        <v/>
      </c>
      <c r="J389" s="85"/>
      <c r="K389" s="149"/>
      <c r="L389" s="85"/>
      <c r="M389" s="85"/>
      <c r="N389" s="151"/>
      <c r="O389" s="85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85"/>
      <c r="S389" s="85"/>
      <c r="T389" s="85"/>
      <c r="U389" s="85"/>
      <c r="V389" s="85"/>
      <c r="W389" s="85"/>
      <c r="X389" s="85"/>
      <c r="Y389" s="85"/>
      <c r="Z389" s="157"/>
      <c r="AA389" s="4"/>
      <c r="AB389" s="4"/>
      <c r="AC389" s="4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49"/>
      <c r="L390" s="85"/>
      <c r="M390" s="85"/>
      <c r="N390" s="151"/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57"/>
      <c r="AA390" s="4"/>
      <c r="AB390" s="4"/>
      <c r="AC390" s="4"/>
    </row>
    <row r="391" customFormat="false" ht="15" hidden="false" customHeight="true" outlineLevel="0" collapsed="false">
      <c r="A391" s="85"/>
      <c r="B391" s="85"/>
      <c r="C391" s="85"/>
      <c r="D391" s="85"/>
      <c r="E391" s="85"/>
      <c r="F391" s="85"/>
      <c r="G391" s="85"/>
      <c r="H391" s="85"/>
      <c r="I391" s="138" t="str">
        <f aca="false">IFERROR(VLOOKUP(TEXT(H391,"0"),IPRESS!$A$3:$B$212,2,0),"")</f>
        <v/>
      </c>
      <c r="J391" s="85"/>
      <c r="K391" s="149"/>
      <c r="L391" s="85"/>
      <c r="M391" s="85"/>
      <c r="N391" s="151"/>
      <c r="O391" s="85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85"/>
      <c r="S391" s="85"/>
      <c r="T391" s="85"/>
      <c r="U391" s="85"/>
      <c r="V391" s="85"/>
      <c r="W391" s="85"/>
      <c r="X391" s="85"/>
      <c r="Y391" s="85"/>
      <c r="Z391" s="157"/>
      <c r="AA391" s="4"/>
      <c r="AB391" s="4"/>
      <c r="AC391" s="4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49"/>
      <c r="L392" s="85"/>
      <c r="M392" s="85"/>
      <c r="N392" s="151"/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57"/>
      <c r="AA392" s="4"/>
      <c r="AB392" s="4"/>
      <c r="AC392" s="4"/>
    </row>
    <row r="393" customFormat="false" ht="15" hidden="false" customHeight="true" outlineLevel="0" collapsed="false">
      <c r="A393" s="85"/>
      <c r="B393" s="85"/>
      <c r="C393" s="85"/>
      <c r="D393" s="85"/>
      <c r="E393" s="85"/>
      <c r="F393" s="85"/>
      <c r="G393" s="85"/>
      <c r="H393" s="85"/>
      <c r="I393" s="138" t="str">
        <f aca="false">IFERROR(VLOOKUP(TEXT(H393,"0"),IPRESS!$A$3:$B$212,2,0),"")</f>
        <v/>
      </c>
      <c r="J393" s="85"/>
      <c r="K393" s="149"/>
      <c r="L393" s="85"/>
      <c r="M393" s="85"/>
      <c r="N393" s="151"/>
      <c r="O393" s="85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85"/>
      <c r="S393" s="85"/>
      <c r="T393" s="85"/>
      <c r="U393" s="85"/>
      <c r="V393" s="85"/>
      <c r="W393" s="85"/>
      <c r="X393" s="85"/>
      <c r="Y393" s="85"/>
      <c r="Z393" s="157"/>
      <c r="AA393" s="4"/>
      <c r="AB393" s="4"/>
      <c r="AC393" s="4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49"/>
      <c r="L394" s="85"/>
      <c r="M394" s="85"/>
      <c r="N394" s="151"/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57"/>
      <c r="AA394" s="4"/>
      <c r="AB394" s="4"/>
      <c r="AC394" s="4"/>
    </row>
    <row r="395" customFormat="false" ht="15" hidden="false" customHeight="true" outlineLevel="0" collapsed="false">
      <c r="A395" s="85"/>
      <c r="B395" s="85"/>
      <c r="C395" s="85"/>
      <c r="D395" s="85"/>
      <c r="E395" s="85"/>
      <c r="F395" s="85"/>
      <c r="G395" s="85"/>
      <c r="H395" s="85"/>
      <c r="I395" s="138" t="str">
        <f aca="false">IFERROR(VLOOKUP(TEXT(H395,"0"),IPRESS!$A$3:$B$212,2,0),"")</f>
        <v/>
      </c>
      <c r="J395" s="85"/>
      <c r="K395" s="149"/>
      <c r="L395" s="85"/>
      <c r="M395" s="85"/>
      <c r="N395" s="151"/>
      <c r="O395" s="85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85"/>
      <c r="S395" s="85"/>
      <c r="T395" s="85"/>
      <c r="U395" s="85"/>
      <c r="V395" s="85"/>
      <c r="W395" s="85"/>
      <c r="X395" s="85"/>
      <c r="Y395" s="85"/>
      <c r="Z395" s="157"/>
      <c r="AA395" s="4"/>
      <c r="AB395" s="4"/>
      <c r="AC395" s="4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49"/>
      <c r="L396" s="85"/>
      <c r="M396" s="85"/>
      <c r="N396" s="151"/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57"/>
      <c r="AA396" s="4"/>
      <c r="AB396" s="4"/>
      <c r="AC396" s="4"/>
    </row>
    <row r="397" customFormat="false" ht="15" hidden="false" customHeight="true" outlineLevel="0" collapsed="false">
      <c r="A397" s="85"/>
      <c r="B397" s="85"/>
      <c r="C397" s="85"/>
      <c r="D397" s="85"/>
      <c r="E397" s="85"/>
      <c r="F397" s="85"/>
      <c r="G397" s="85"/>
      <c r="H397" s="85"/>
      <c r="I397" s="138" t="str">
        <f aca="false">IFERROR(VLOOKUP(TEXT(H397,"0"),IPRESS!$A$3:$B$212,2,0),"")</f>
        <v/>
      </c>
      <c r="J397" s="85"/>
      <c r="K397" s="149"/>
      <c r="L397" s="85"/>
      <c r="M397" s="85"/>
      <c r="N397" s="151"/>
      <c r="O397" s="85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85"/>
      <c r="S397" s="85"/>
      <c r="T397" s="85"/>
      <c r="U397" s="85"/>
      <c r="V397" s="85"/>
      <c r="W397" s="85"/>
      <c r="X397" s="85"/>
      <c r="Y397" s="85"/>
      <c r="Z397" s="157"/>
      <c r="AA397" s="4"/>
      <c r="AB397" s="4"/>
      <c r="AC397" s="4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49"/>
      <c r="L398" s="85"/>
      <c r="M398" s="85"/>
      <c r="N398" s="151"/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57"/>
      <c r="AA398" s="4"/>
      <c r="AB398" s="4"/>
      <c r="AC398" s="4"/>
    </row>
    <row r="399" customFormat="false" ht="15" hidden="false" customHeight="true" outlineLevel="0" collapsed="false">
      <c r="A399" s="85"/>
      <c r="B399" s="85"/>
      <c r="C399" s="85"/>
      <c r="D399" s="85"/>
      <c r="E399" s="85"/>
      <c r="F399" s="85"/>
      <c r="G399" s="85"/>
      <c r="H399" s="85"/>
      <c r="I399" s="138" t="str">
        <f aca="false">IFERROR(VLOOKUP(TEXT(H399,"0"),IPRESS!$A$3:$B$212,2,0),"")</f>
        <v/>
      </c>
      <c r="J399" s="85"/>
      <c r="K399" s="149"/>
      <c r="L399" s="85"/>
      <c r="M399" s="85"/>
      <c r="N399" s="151"/>
      <c r="O399" s="85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85"/>
      <c r="S399" s="85"/>
      <c r="T399" s="85"/>
      <c r="U399" s="85"/>
      <c r="V399" s="85"/>
      <c r="W399" s="85"/>
      <c r="X399" s="85"/>
      <c r="Y399" s="85"/>
      <c r="Z399" s="157"/>
      <c r="AA399" s="4"/>
      <c r="AB399" s="4"/>
      <c r="AC399" s="4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49"/>
      <c r="L400" s="85"/>
      <c r="M400" s="85"/>
      <c r="N400" s="151"/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57"/>
      <c r="AA400" s="4"/>
      <c r="AB400" s="4"/>
      <c r="AC400" s="4"/>
    </row>
    <row r="401" customFormat="false" ht="15" hidden="false" customHeight="true" outlineLevel="0" collapsed="false">
      <c r="A401" s="85"/>
      <c r="B401" s="85"/>
      <c r="C401" s="85"/>
      <c r="D401" s="85"/>
      <c r="E401" s="85"/>
      <c r="F401" s="85"/>
      <c r="G401" s="85"/>
      <c r="H401" s="85"/>
      <c r="I401" s="138" t="str">
        <f aca="false">IFERROR(VLOOKUP(TEXT(H401,"0"),IPRESS!$A$3:$B$212,2,0),"")</f>
        <v/>
      </c>
      <c r="J401" s="85"/>
      <c r="K401" s="149"/>
      <c r="L401" s="85"/>
      <c r="M401" s="85"/>
      <c r="N401" s="151"/>
      <c r="O401" s="85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85"/>
      <c r="S401" s="85"/>
      <c r="T401" s="85"/>
      <c r="U401" s="85"/>
      <c r="V401" s="85"/>
      <c r="W401" s="85"/>
      <c r="X401" s="85"/>
      <c r="Y401" s="85"/>
      <c r="Z401" s="157"/>
      <c r="AA401" s="4"/>
      <c r="AB401" s="4"/>
      <c r="AC401" s="4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49"/>
      <c r="L402" s="85"/>
      <c r="M402" s="85"/>
      <c r="N402" s="151"/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57"/>
      <c r="AA402" s="4"/>
      <c r="AB402" s="4"/>
      <c r="AC402" s="4"/>
    </row>
    <row r="403" customFormat="false" ht="15" hidden="false" customHeight="true" outlineLevel="0" collapsed="false">
      <c r="A403" s="85"/>
      <c r="B403" s="85"/>
      <c r="C403" s="85"/>
      <c r="D403" s="85"/>
      <c r="E403" s="85"/>
      <c r="F403" s="85"/>
      <c r="G403" s="85"/>
      <c r="H403" s="85"/>
      <c r="I403" s="138" t="str">
        <f aca="false">IFERROR(VLOOKUP(TEXT(H403,"0"),IPRESS!$A$3:$B$212,2,0),"")</f>
        <v/>
      </c>
      <c r="J403" s="85"/>
      <c r="K403" s="149"/>
      <c r="L403" s="85"/>
      <c r="M403" s="85"/>
      <c r="N403" s="151"/>
      <c r="O403" s="85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85"/>
      <c r="S403" s="85"/>
      <c r="T403" s="85"/>
      <c r="U403" s="85"/>
      <c r="V403" s="85"/>
      <c r="W403" s="85"/>
      <c r="X403" s="85"/>
      <c r="Y403" s="85"/>
      <c r="Z403" s="157"/>
      <c r="AA403" s="4"/>
      <c r="AB403" s="4"/>
      <c r="AC403" s="4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49"/>
      <c r="L404" s="85"/>
      <c r="M404" s="85"/>
      <c r="N404" s="151"/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57"/>
      <c r="AA404" s="4"/>
      <c r="AB404" s="4"/>
      <c r="AC404" s="4"/>
    </row>
    <row r="405" customFormat="false" ht="15" hidden="false" customHeight="true" outlineLevel="0" collapsed="false">
      <c r="A405" s="85"/>
      <c r="B405" s="85"/>
      <c r="C405" s="85"/>
      <c r="D405" s="85"/>
      <c r="E405" s="85"/>
      <c r="F405" s="85"/>
      <c r="G405" s="85"/>
      <c r="H405" s="85"/>
      <c r="I405" s="138" t="str">
        <f aca="false">IFERROR(VLOOKUP(TEXT(H405,"0"),IPRESS!$A$3:$B$212,2,0),"")</f>
        <v/>
      </c>
      <c r="J405" s="85"/>
      <c r="K405" s="149"/>
      <c r="L405" s="85"/>
      <c r="M405" s="85"/>
      <c r="N405" s="151"/>
      <c r="O405" s="85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85"/>
      <c r="S405" s="85"/>
      <c r="T405" s="85"/>
      <c r="U405" s="85"/>
      <c r="V405" s="85"/>
      <c r="W405" s="85"/>
      <c r="X405" s="85"/>
      <c r="Y405" s="85"/>
      <c r="Z405" s="157"/>
      <c r="AA405" s="4"/>
      <c r="AB405" s="4"/>
      <c r="AC405" s="4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49"/>
      <c r="L406" s="85"/>
      <c r="M406" s="85"/>
      <c r="N406" s="151"/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57"/>
      <c r="AA406" s="4"/>
      <c r="AB406" s="4"/>
      <c r="AC406" s="4"/>
    </row>
    <row r="407" customFormat="false" ht="15" hidden="false" customHeight="true" outlineLevel="0" collapsed="false">
      <c r="A407" s="85"/>
      <c r="B407" s="85"/>
      <c r="C407" s="85"/>
      <c r="D407" s="85"/>
      <c r="E407" s="85"/>
      <c r="F407" s="85"/>
      <c r="G407" s="85"/>
      <c r="H407" s="85"/>
      <c r="I407" s="138" t="str">
        <f aca="false">IFERROR(VLOOKUP(TEXT(H407,"0"),IPRESS!$A$3:$B$212,2,0),"")</f>
        <v/>
      </c>
      <c r="J407" s="85"/>
      <c r="K407" s="149"/>
      <c r="L407" s="85"/>
      <c r="M407" s="85"/>
      <c r="N407" s="151"/>
      <c r="O407" s="85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85"/>
      <c r="S407" s="85"/>
      <c r="T407" s="85"/>
      <c r="U407" s="85"/>
      <c r="V407" s="85"/>
      <c r="W407" s="85"/>
      <c r="X407" s="85"/>
      <c r="Y407" s="85"/>
      <c r="Z407" s="157"/>
      <c r="AA407" s="4"/>
      <c r="AB407" s="4"/>
      <c r="AC407" s="4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49"/>
      <c r="L408" s="85"/>
      <c r="M408" s="85"/>
      <c r="N408" s="151"/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57"/>
      <c r="AA408" s="4"/>
      <c r="AB408" s="4"/>
      <c r="AC408" s="4"/>
    </row>
    <row r="409" customFormat="false" ht="15" hidden="false" customHeight="true" outlineLevel="0" collapsed="false">
      <c r="A409" s="85"/>
      <c r="B409" s="85"/>
      <c r="C409" s="85"/>
      <c r="D409" s="85"/>
      <c r="E409" s="85"/>
      <c r="F409" s="85"/>
      <c r="G409" s="85"/>
      <c r="H409" s="85"/>
      <c r="I409" s="138" t="str">
        <f aca="false">IFERROR(VLOOKUP(TEXT(H409,"0"),IPRESS!$A$3:$B$212,2,0),"")</f>
        <v/>
      </c>
      <c r="J409" s="85"/>
      <c r="K409" s="149"/>
      <c r="L409" s="85"/>
      <c r="M409" s="85"/>
      <c r="N409" s="151"/>
      <c r="O409" s="85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85"/>
      <c r="S409" s="85"/>
      <c r="T409" s="85"/>
      <c r="U409" s="85"/>
      <c r="V409" s="85"/>
      <c r="W409" s="85"/>
      <c r="X409" s="85"/>
      <c r="Y409" s="85"/>
      <c r="Z409" s="157"/>
      <c r="AA409" s="4"/>
      <c r="AB409" s="4"/>
      <c r="AC409" s="4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49"/>
      <c r="L410" s="85"/>
      <c r="M410" s="85"/>
      <c r="N410" s="151"/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57"/>
      <c r="AA410" s="4"/>
      <c r="AB410" s="4"/>
      <c r="AC410" s="4"/>
    </row>
    <row r="411" customFormat="false" ht="15" hidden="false" customHeight="true" outlineLevel="0" collapsed="false">
      <c r="A411" s="85"/>
      <c r="B411" s="85"/>
      <c r="C411" s="85"/>
      <c r="D411" s="85"/>
      <c r="E411" s="85"/>
      <c r="F411" s="85"/>
      <c r="G411" s="85"/>
      <c r="H411" s="85"/>
      <c r="I411" s="138" t="str">
        <f aca="false">IFERROR(VLOOKUP(TEXT(H411,"0"),IPRESS!$A$3:$B$212,2,0),"")</f>
        <v/>
      </c>
      <c r="J411" s="85"/>
      <c r="K411" s="149"/>
      <c r="L411" s="85"/>
      <c r="M411" s="85"/>
      <c r="N411" s="151"/>
      <c r="O411" s="85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85"/>
      <c r="S411" s="85"/>
      <c r="T411" s="85"/>
      <c r="U411" s="85"/>
      <c r="V411" s="85"/>
      <c r="W411" s="85"/>
      <c r="X411" s="85"/>
      <c r="Y411" s="85"/>
      <c r="Z411" s="157"/>
      <c r="AA411" s="4"/>
      <c r="AB411" s="4"/>
      <c r="AC411" s="4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49"/>
      <c r="L412" s="85"/>
      <c r="M412" s="85"/>
      <c r="N412" s="151"/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57"/>
      <c r="AA412" s="4"/>
      <c r="AB412" s="4"/>
      <c r="AC412" s="4"/>
    </row>
    <row r="413" customFormat="false" ht="15" hidden="false" customHeight="true" outlineLevel="0" collapsed="false">
      <c r="A413" s="85"/>
      <c r="B413" s="85"/>
      <c r="C413" s="85"/>
      <c r="D413" s="85"/>
      <c r="E413" s="85"/>
      <c r="F413" s="85"/>
      <c r="G413" s="85"/>
      <c r="H413" s="85"/>
      <c r="I413" s="138" t="str">
        <f aca="false">IFERROR(VLOOKUP(TEXT(H413,"0"),IPRESS!$A$3:$B$212,2,0),"")</f>
        <v/>
      </c>
      <c r="J413" s="85"/>
      <c r="K413" s="149"/>
      <c r="L413" s="85"/>
      <c r="M413" s="85"/>
      <c r="N413" s="151"/>
      <c r="O413" s="85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85"/>
      <c r="S413" s="85"/>
      <c r="T413" s="85"/>
      <c r="U413" s="85"/>
      <c r="V413" s="85"/>
      <c r="W413" s="85"/>
      <c r="X413" s="85"/>
      <c r="Y413" s="85"/>
      <c r="Z413" s="157"/>
      <c r="AA413" s="4"/>
      <c r="AB413" s="4"/>
      <c r="AC413" s="4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49"/>
      <c r="L414" s="85"/>
      <c r="M414" s="85"/>
      <c r="N414" s="151"/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57"/>
      <c r="AA414" s="4"/>
      <c r="AB414" s="4"/>
      <c r="AC414" s="4"/>
    </row>
    <row r="415" customFormat="false" ht="15" hidden="false" customHeight="true" outlineLevel="0" collapsed="false">
      <c r="A415" s="85"/>
      <c r="B415" s="85"/>
      <c r="C415" s="85"/>
      <c r="D415" s="85"/>
      <c r="E415" s="85"/>
      <c r="F415" s="85"/>
      <c r="G415" s="85"/>
      <c r="H415" s="85"/>
      <c r="I415" s="138" t="str">
        <f aca="false">IFERROR(VLOOKUP(TEXT(H415,"0"),IPRESS!$A$3:$B$212,2,0),"")</f>
        <v/>
      </c>
      <c r="J415" s="85"/>
      <c r="K415" s="149"/>
      <c r="L415" s="85"/>
      <c r="M415" s="85"/>
      <c r="N415" s="151"/>
      <c r="O415" s="85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85"/>
      <c r="S415" s="85"/>
      <c r="T415" s="85"/>
      <c r="U415" s="85"/>
      <c r="V415" s="85"/>
      <c r="W415" s="85"/>
      <c r="X415" s="85"/>
      <c r="Y415" s="85"/>
      <c r="Z415" s="157"/>
      <c r="AA415" s="4"/>
      <c r="AB415" s="4"/>
      <c r="AC415" s="4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49"/>
      <c r="L416" s="85"/>
      <c r="M416" s="85"/>
      <c r="N416" s="151"/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57"/>
      <c r="AA416" s="4"/>
      <c r="AB416" s="4"/>
      <c r="AC416" s="4"/>
    </row>
    <row r="417" customFormat="false" ht="15" hidden="false" customHeight="true" outlineLevel="0" collapsed="false">
      <c r="A417" s="85"/>
      <c r="B417" s="85"/>
      <c r="C417" s="85"/>
      <c r="D417" s="85"/>
      <c r="E417" s="85"/>
      <c r="F417" s="85"/>
      <c r="G417" s="85"/>
      <c r="H417" s="85"/>
      <c r="I417" s="138" t="str">
        <f aca="false">IFERROR(VLOOKUP(TEXT(H417,"0"),IPRESS!$A$3:$B$212,2,0),"")</f>
        <v/>
      </c>
      <c r="J417" s="85"/>
      <c r="K417" s="149"/>
      <c r="L417" s="85"/>
      <c r="M417" s="85"/>
      <c r="N417" s="151"/>
      <c r="O417" s="85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85"/>
      <c r="S417" s="85"/>
      <c r="T417" s="85"/>
      <c r="U417" s="85"/>
      <c r="V417" s="85"/>
      <c r="W417" s="85"/>
      <c r="X417" s="85"/>
      <c r="Y417" s="85"/>
      <c r="Z417" s="157"/>
      <c r="AA417" s="4"/>
      <c r="AB417" s="4"/>
      <c r="AC417" s="4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49"/>
      <c r="L418" s="85"/>
      <c r="M418" s="85"/>
      <c r="N418" s="151"/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57"/>
      <c r="AA418" s="4"/>
      <c r="AB418" s="4"/>
      <c r="AC418" s="4"/>
    </row>
    <row r="419" customFormat="false" ht="15" hidden="false" customHeight="true" outlineLevel="0" collapsed="false">
      <c r="A419" s="85"/>
      <c r="B419" s="85"/>
      <c r="C419" s="85"/>
      <c r="D419" s="85"/>
      <c r="E419" s="85"/>
      <c r="F419" s="85"/>
      <c r="G419" s="85"/>
      <c r="H419" s="85"/>
      <c r="I419" s="138" t="str">
        <f aca="false">IFERROR(VLOOKUP(TEXT(H419,"0"),IPRESS!$A$3:$B$212,2,0),"")</f>
        <v/>
      </c>
      <c r="J419" s="85"/>
      <c r="K419" s="149"/>
      <c r="L419" s="85"/>
      <c r="M419" s="85"/>
      <c r="N419" s="151"/>
      <c r="O419" s="85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85"/>
      <c r="S419" s="85"/>
      <c r="T419" s="85"/>
      <c r="U419" s="85"/>
      <c r="V419" s="85"/>
      <c r="W419" s="85"/>
      <c r="X419" s="85"/>
      <c r="Y419" s="85"/>
      <c r="Z419" s="157"/>
      <c r="AA419" s="4"/>
      <c r="AB419" s="4"/>
      <c r="AC419" s="4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49"/>
      <c r="L420" s="85"/>
      <c r="M420" s="85"/>
      <c r="N420" s="151"/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57"/>
      <c r="AA420" s="4"/>
      <c r="AB420" s="4"/>
      <c r="AC420" s="4"/>
    </row>
    <row r="421" customFormat="false" ht="15" hidden="false" customHeight="true" outlineLevel="0" collapsed="false">
      <c r="A421" s="85"/>
      <c r="B421" s="85"/>
      <c r="C421" s="85"/>
      <c r="D421" s="85"/>
      <c r="E421" s="85"/>
      <c r="F421" s="85"/>
      <c r="G421" s="85"/>
      <c r="H421" s="85"/>
      <c r="I421" s="138" t="str">
        <f aca="false">IFERROR(VLOOKUP(TEXT(H421,"0"),IPRESS!$A$3:$B$212,2,0),"")</f>
        <v/>
      </c>
      <c r="J421" s="85"/>
      <c r="K421" s="149"/>
      <c r="L421" s="85"/>
      <c r="M421" s="85"/>
      <c r="N421" s="151"/>
      <c r="O421" s="85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85"/>
      <c r="S421" s="85"/>
      <c r="T421" s="85"/>
      <c r="U421" s="85"/>
      <c r="V421" s="85"/>
      <c r="W421" s="85"/>
      <c r="X421" s="85"/>
      <c r="Y421" s="85"/>
      <c r="Z421" s="157"/>
      <c r="AA421" s="4"/>
      <c r="AB421" s="4"/>
      <c r="AC421" s="4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49"/>
      <c r="L422" s="85"/>
      <c r="M422" s="85"/>
      <c r="N422" s="151"/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57"/>
      <c r="AA422" s="4"/>
      <c r="AB422" s="4"/>
      <c r="AC422" s="4"/>
    </row>
    <row r="423" customFormat="false" ht="15" hidden="false" customHeight="true" outlineLevel="0" collapsed="false">
      <c r="A423" s="85"/>
      <c r="B423" s="85"/>
      <c r="C423" s="85"/>
      <c r="D423" s="85"/>
      <c r="E423" s="85"/>
      <c r="F423" s="85"/>
      <c r="G423" s="85"/>
      <c r="H423" s="85"/>
      <c r="I423" s="138" t="str">
        <f aca="false">IFERROR(VLOOKUP(TEXT(H423,"0"),IPRESS!$A$3:$B$212,2,0),"")</f>
        <v/>
      </c>
      <c r="J423" s="85"/>
      <c r="K423" s="149"/>
      <c r="L423" s="85"/>
      <c r="M423" s="85"/>
      <c r="N423" s="151"/>
      <c r="O423" s="85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85"/>
      <c r="S423" s="85"/>
      <c r="T423" s="85"/>
      <c r="U423" s="85"/>
      <c r="V423" s="85"/>
      <c r="W423" s="85"/>
      <c r="X423" s="85"/>
      <c r="Y423" s="85"/>
      <c r="Z423" s="157"/>
      <c r="AA423" s="4"/>
      <c r="AB423" s="4"/>
      <c r="AC423" s="4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49"/>
      <c r="L424" s="85"/>
      <c r="M424" s="85"/>
      <c r="N424" s="151"/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57"/>
      <c r="AA424" s="4"/>
      <c r="AB424" s="4"/>
      <c r="AC424" s="4"/>
    </row>
    <row r="425" customFormat="false" ht="15" hidden="false" customHeight="true" outlineLevel="0" collapsed="false">
      <c r="A425" s="85"/>
      <c r="B425" s="85"/>
      <c r="C425" s="85"/>
      <c r="D425" s="85"/>
      <c r="E425" s="85"/>
      <c r="F425" s="85"/>
      <c r="G425" s="85"/>
      <c r="H425" s="85"/>
      <c r="I425" s="138" t="str">
        <f aca="false">IFERROR(VLOOKUP(TEXT(H425,"0"),IPRESS!$A$3:$B$212,2,0),"")</f>
        <v/>
      </c>
      <c r="J425" s="85"/>
      <c r="K425" s="149"/>
      <c r="L425" s="85"/>
      <c r="M425" s="85"/>
      <c r="N425" s="151"/>
      <c r="O425" s="85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85"/>
      <c r="S425" s="85"/>
      <c r="T425" s="85"/>
      <c r="U425" s="85"/>
      <c r="V425" s="85"/>
      <c r="W425" s="85"/>
      <c r="X425" s="85"/>
      <c r="Y425" s="85"/>
      <c r="Z425" s="157"/>
      <c r="AA425" s="4"/>
      <c r="AB425" s="4"/>
      <c r="AC425" s="4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49"/>
      <c r="L426" s="85"/>
      <c r="M426" s="85"/>
      <c r="N426" s="151"/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57"/>
      <c r="AA426" s="4"/>
      <c r="AB426" s="4"/>
      <c r="AC426" s="4"/>
    </row>
    <row r="427" customFormat="false" ht="15" hidden="false" customHeight="true" outlineLevel="0" collapsed="false">
      <c r="A427" s="85"/>
      <c r="B427" s="85"/>
      <c r="C427" s="85"/>
      <c r="D427" s="85"/>
      <c r="E427" s="85"/>
      <c r="F427" s="85"/>
      <c r="G427" s="85"/>
      <c r="H427" s="85"/>
      <c r="I427" s="138" t="str">
        <f aca="false">IFERROR(VLOOKUP(TEXT(H427,"0"),IPRESS!$A$3:$B$212,2,0),"")</f>
        <v/>
      </c>
      <c r="J427" s="85"/>
      <c r="K427" s="149"/>
      <c r="L427" s="85"/>
      <c r="M427" s="85"/>
      <c r="N427" s="151"/>
      <c r="O427" s="85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85"/>
      <c r="S427" s="85"/>
      <c r="T427" s="85"/>
      <c r="U427" s="85"/>
      <c r="V427" s="85"/>
      <c r="W427" s="85"/>
      <c r="X427" s="85"/>
      <c r="Y427" s="85"/>
      <c r="Z427" s="157"/>
      <c r="AA427" s="4"/>
      <c r="AB427" s="4"/>
      <c r="AC427" s="4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49"/>
      <c r="L428" s="85"/>
      <c r="M428" s="85"/>
      <c r="N428" s="151"/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57"/>
      <c r="AA428" s="4"/>
      <c r="AB428" s="4"/>
      <c r="AC428" s="4"/>
    </row>
    <row r="429" customFormat="false" ht="15" hidden="false" customHeight="true" outlineLevel="0" collapsed="false">
      <c r="A429" s="85"/>
      <c r="B429" s="85"/>
      <c r="C429" s="85"/>
      <c r="D429" s="85"/>
      <c r="E429" s="85"/>
      <c r="F429" s="85"/>
      <c r="G429" s="85"/>
      <c r="H429" s="85"/>
      <c r="I429" s="138" t="str">
        <f aca="false">IFERROR(VLOOKUP(TEXT(H429,"0"),IPRESS!$A$3:$B$212,2,0),"")</f>
        <v/>
      </c>
      <c r="J429" s="85"/>
      <c r="K429" s="149"/>
      <c r="L429" s="85"/>
      <c r="M429" s="85"/>
      <c r="N429" s="151"/>
      <c r="O429" s="85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85"/>
      <c r="S429" s="85"/>
      <c r="T429" s="85"/>
      <c r="U429" s="85"/>
      <c r="V429" s="85"/>
      <c r="W429" s="85"/>
      <c r="X429" s="85"/>
      <c r="Y429" s="85"/>
      <c r="Z429" s="157"/>
      <c r="AA429" s="4"/>
      <c r="AB429" s="4"/>
      <c r="AC429" s="4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49"/>
      <c r="L430" s="85"/>
      <c r="M430" s="85"/>
      <c r="N430" s="151"/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57"/>
      <c r="AA430" s="4"/>
      <c r="AB430" s="4"/>
      <c r="AC430" s="4"/>
    </row>
    <row r="431" customFormat="false" ht="15" hidden="false" customHeight="true" outlineLevel="0" collapsed="false">
      <c r="A431" s="85"/>
      <c r="B431" s="85"/>
      <c r="C431" s="85"/>
      <c r="D431" s="85"/>
      <c r="E431" s="85"/>
      <c r="F431" s="85"/>
      <c r="G431" s="85"/>
      <c r="H431" s="85"/>
      <c r="I431" s="138" t="str">
        <f aca="false">IFERROR(VLOOKUP(TEXT(H431,"0"),IPRESS!$A$3:$B$212,2,0),"")</f>
        <v/>
      </c>
      <c r="J431" s="85"/>
      <c r="K431" s="149"/>
      <c r="L431" s="85"/>
      <c r="M431" s="85"/>
      <c r="N431" s="151"/>
      <c r="O431" s="85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85"/>
      <c r="S431" s="85"/>
      <c r="T431" s="85"/>
      <c r="U431" s="85"/>
      <c r="V431" s="85"/>
      <c r="W431" s="85"/>
      <c r="X431" s="85"/>
      <c r="Y431" s="85"/>
      <c r="Z431" s="157"/>
      <c r="AA431" s="4"/>
      <c r="AB431" s="4"/>
      <c r="AC431" s="4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49"/>
      <c r="L432" s="85"/>
      <c r="M432" s="85"/>
      <c r="N432" s="151"/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57"/>
      <c r="AA432" s="4"/>
      <c r="AB432" s="4"/>
      <c r="AC432" s="4"/>
    </row>
    <row r="433" customFormat="false" ht="15" hidden="false" customHeight="true" outlineLevel="0" collapsed="false">
      <c r="A433" s="85"/>
      <c r="B433" s="85"/>
      <c r="C433" s="85"/>
      <c r="D433" s="85"/>
      <c r="E433" s="85"/>
      <c r="F433" s="85"/>
      <c r="G433" s="85"/>
      <c r="H433" s="85"/>
      <c r="I433" s="138" t="str">
        <f aca="false">IFERROR(VLOOKUP(TEXT(H433,"0"),IPRESS!$A$3:$B$212,2,0),"")</f>
        <v/>
      </c>
      <c r="J433" s="85"/>
      <c r="K433" s="149"/>
      <c r="L433" s="85"/>
      <c r="M433" s="85"/>
      <c r="N433" s="151"/>
      <c r="O433" s="85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85"/>
      <c r="S433" s="85"/>
      <c r="T433" s="85"/>
      <c r="U433" s="85"/>
      <c r="V433" s="85"/>
      <c r="W433" s="85"/>
      <c r="X433" s="85"/>
      <c r="Y433" s="85"/>
      <c r="Z433" s="157"/>
      <c r="AA433" s="4"/>
      <c r="AB433" s="4"/>
      <c r="AC433" s="4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49"/>
      <c r="L434" s="85"/>
      <c r="M434" s="85"/>
      <c r="N434" s="151"/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57"/>
      <c r="AA434" s="4"/>
      <c r="AB434" s="4"/>
      <c r="AC434" s="4"/>
    </row>
    <row r="435" customFormat="false" ht="15" hidden="false" customHeight="true" outlineLevel="0" collapsed="false">
      <c r="A435" s="85"/>
      <c r="B435" s="85"/>
      <c r="C435" s="85"/>
      <c r="D435" s="85"/>
      <c r="E435" s="85"/>
      <c r="F435" s="85"/>
      <c r="G435" s="85"/>
      <c r="H435" s="85"/>
      <c r="I435" s="138" t="str">
        <f aca="false">IFERROR(VLOOKUP(TEXT(H435,"0"),IPRESS!$A$3:$B$212,2,0),"")</f>
        <v/>
      </c>
      <c r="J435" s="85"/>
      <c r="K435" s="149"/>
      <c r="L435" s="85"/>
      <c r="M435" s="85"/>
      <c r="N435" s="151"/>
      <c r="O435" s="85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85"/>
      <c r="S435" s="85"/>
      <c r="T435" s="85"/>
      <c r="U435" s="85"/>
      <c r="V435" s="85"/>
      <c r="W435" s="85"/>
      <c r="X435" s="85"/>
      <c r="Y435" s="85"/>
      <c r="Z435" s="157"/>
      <c r="AA435" s="4"/>
      <c r="AB435" s="4"/>
      <c r="AC435" s="4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49"/>
      <c r="L436" s="85"/>
      <c r="M436" s="85"/>
      <c r="N436" s="151"/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57"/>
      <c r="AA436" s="4"/>
      <c r="AB436" s="4"/>
      <c r="AC436" s="4"/>
    </row>
    <row r="437" customFormat="false" ht="15" hidden="false" customHeight="true" outlineLevel="0" collapsed="false">
      <c r="A437" s="85"/>
      <c r="B437" s="85"/>
      <c r="C437" s="85"/>
      <c r="D437" s="85"/>
      <c r="E437" s="85"/>
      <c r="F437" s="85"/>
      <c r="G437" s="85"/>
      <c r="H437" s="85"/>
      <c r="I437" s="138" t="str">
        <f aca="false">IFERROR(VLOOKUP(TEXT(H437,"0"),IPRESS!$A$3:$B$212,2,0),"")</f>
        <v/>
      </c>
      <c r="J437" s="85"/>
      <c r="K437" s="149"/>
      <c r="L437" s="85"/>
      <c r="M437" s="85"/>
      <c r="N437" s="151"/>
      <c r="O437" s="85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85"/>
      <c r="S437" s="85"/>
      <c r="T437" s="85"/>
      <c r="U437" s="85"/>
      <c r="V437" s="85"/>
      <c r="W437" s="85"/>
      <c r="X437" s="85"/>
      <c r="Y437" s="85"/>
      <c r="Z437" s="157"/>
      <c r="AA437" s="4"/>
      <c r="AB437" s="4"/>
      <c r="AC437" s="4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49"/>
      <c r="L438" s="85"/>
      <c r="M438" s="85"/>
      <c r="N438" s="151"/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57"/>
      <c r="AA438" s="4"/>
      <c r="AB438" s="4"/>
      <c r="AC438" s="4"/>
    </row>
    <row r="439" customFormat="false" ht="15" hidden="false" customHeight="true" outlineLevel="0" collapsed="false">
      <c r="A439" s="85"/>
      <c r="B439" s="85"/>
      <c r="C439" s="85"/>
      <c r="D439" s="85"/>
      <c r="E439" s="85"/>
      <c r="F439" s="85"/>
      <c r="G439" s="85"/>
      <c r="H439" s="85"/>
      <c r="I439" s="138" t="str">
        <f aca="false">IFERROR(VLOOKUP(TEXT(H439,"0"),IPRESS!$A$3:$B$212,2,0),"")</f>
        <v/>
      </c>
      <c r="J439" s="85"/>
      <c r="K439" s="149"/>
      <c r="L439" s="85"/>
      <c r="M439" s="85"/>
      <c r="N439" s="151"/>
      <c r="O439" s="85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85"/>
      <c r="S439" s="85"/>
      <c r="T439" s="85"/>
      <c r="U439" s="85"/>
      <c r="V439" s="85"/>
      <c r="W439" s="85"/>
      <c r="X439" s="85"/>
      <c r="Y439" s="85"/>
      <c r="Z439" s="157"/>
      <c r="AA439" s="4"/>
      <c r="AB439" s="4"/>
      <c r="AC439" s="4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49"/>
      <c r="L440" s="85"/>
      <c r="M440" s="85"/>
      <c r="N440" s="151"/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57"/>
      <c r="AA440" s="4"/>
      <c r="AB440" s="4"/>
      <c r="AC440" s="4"/>
    </row>
    <row r="441" customFormat="false" ht="15" hidden="false" customHeight="true" outlineLevel="0" collapsed="false">
      <c r="A441" s="85"/>
      <c r="B441" s="85"/>
      <c r="C441" s="85"/>
      <c r="D441" s="85"/>
      <c r="E441" s="85"/>
      <c r="F441" s="85"/>
      <c r="G441" s="85"/>
      <c r="H441" s="85"/>
      <c r="I441" s="138" t="str">
        <f aca="false">IFERROR(VLOOKUP(TEXT(H441,"0"),IPRESS!$A$3:$B$212,2,0),"")</f>
        <v/>
      </c>
      <c r="J441" s="85"/>
      <c r="K441" s="149"/>
      <c r="L441" s="85"/>
      <c r="M441" s="85"/>
      <c r="N441" s="151"/>
      <c r="O441" s="85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85"/>
      <c r="S441" s="85"/>
      <c r="T441" s="85"/>
      <c r="U441" s="85"/>
      <c r="V441" s="85"/>
      <c r="W441" s="85"/>
      <c r="X441" s="85"/>
      <c r="Y441" s="85"/>
      <c r="Z441" s="157"/>
      <c r="AA441" s="4"/>
      <c r="AB441" s="4"/>
      <c r="AC441" s="4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49"/>
      <c r="L442" s="85"/>
      <c r="M442" s="85"/>
      <c r="N442" s="151"/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57"/>
      <c r="AA442" s="4"/>
      <c r="AB442" s="4"/>
      <c r="AC442" s="4"/>
    </row>
    <row r="443" customFormat="false" ht="15" hidden="false" customHeight="true" outlineLevel="0" collapsed="false">
      <c r="A443" s="85"/>
      <c r="B443" s="85"/>
      <c r="C443" s="85"/>
      <c r="D443" s="85"/>
      <c r="E443" s="85"/>
      <c r="F443" s="85"/>
      <c r="G443" s="85"/>
      <c r="H443" s="85"/>
      <c r="I443" s="138" t="str">
        <f aca="false">IFERROR(VLOOKUP(TEXT(H443,"0"),IPRESS!$A$3:$B$212,2,0),"")</f>
        <v/>
      </c>
      <c r="J443" s="85"/>
      <c r="K443" s="149"/>
      <c r="L443" s="85"/>
      <c r="M443" s="85"/>
      <c r="N443" s="151"/>
      <c r="O443" s="85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85"/>
      <c r="S443" s="85"/>
      <c r="T443" s="85"/>
      <c r="U443" s="85"/>
      <c r="V443" s="85"/>
      <c r="W443" s="85"/>
      <c r="X443" s="85"/>
      <c r="Y443" s="85"/>
      <c r="Z443" s="157"/>
      <c r="AA443" s="4"/>
      <c r="AB443" s="4"/>
      <c r="AC443" s="4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49"/>
      <c r="L444" s="85"/>
      <c r="M444" s="85"/>
      <c r="N444" s="151"/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57"/>
      <c r="AA444" s="4"/>
      <c r="AB444" s="4"/>
      <c r="AC444" s="4"/>
    </row>
    <row r="445" customFormat="false" ht="15" hidden="false" customHeight="true" outlineLevel="0" collapsed="false">
      <c r="A445" s="85"/>
      <c r="B445" s="85"/>
      <c r="C445" s="85"/>
      <c r="D445" s="85"/>
      <c r="E445" s="85"/>
      <c r="F445" s="85"/>
      <c r="G445" s="85"/>
      <c r="H445" s="85"/>
      <c r="I445" s="138" t="str">
        <f aca="false">IFERROR(VLOOKUP(TEXT(H445,"0"),IPRESS!$A$3:$B$212,2,0),"")</f>
        <v/>
      </c>
      <c r="J445" s="85"/>
      <c r="K445" s="149"/>
      <c r="L445" s="85"/>
      <c r="M445" s="85"/>
      <c r="N445" s="151"/>
      <c r="O445" s="85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85"/>
      <c r="S445" s="85"/>
      <c r="T445" s="85"/>
      <c r="U445" s="85"/>
      <c r="V445" s="85"/>
      <c r="W445" s="85"/>
      <c r="X445" s="85"/>
      <c r="Y445" s="85"/>
      <c r="Z445" s="157"/>
      <c r="AA445" s="4"/>
      <c r="AB445" s="4"/>
      <c r="AC445" s="4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49"/>
      <c r="L446" s="85"/>
      <c r="M446" s="85"/>
      <c r="N446" s="151"/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57"/>
      <c r="AA446" s="4"/>
      <c r="AB446" s="4"/>
      <c r="AC446" s="4"/>
    </row>
    <row r="447" customFormat="false" ht="15" hidden="false" customHeight="true" outlineLevel="0" collapsed="false">
      <c r="A447" s="85"/>
      <c r="B447" s="85"/>
      <c r="C447" s="85"/>
      <c r="D447" s="85"/>
      <c r="E447" s="85"/>
      <c r="F447" s="85"/>
      <c r="G447" s="85"/>
      <c r="H447" s="85"/>
      <c r="I447" s="138" t="str">
        <f aca="false">IFERROR(VLOOKUP(TEXT(H447,"0"),IPRESS!$A$3:$B$212,2,0),"")</f>
        <v/>
      </c>
      <c r="J447" s="85"/>
      <c r="K447" s="149"/>
      <c r="L447" s="85"/>
      <c r="M447" s="85"/>
      <c r="N447" s="151"/>
      <c r="O447" s="85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85"/>
      <c r="S447" s="85"/>
      <c r="T447" s="85"/>
      <c r="U447" s="85"/>
      <c r="V447" s="85"/>
      <c r="W447" s="85"/>
      <c r="X447" s="85"/>
      <c r="Y447" s="85"/>
      <c r="Z447" s="157"/>
      <c r="AA447" s="4"/>
      <c r="AB447" s="4"/>
      <c r="AC447" s="4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49"/>
      <c r="L448" s="85"/>
      <c r="M448" s="85"/>
      <c r="N448" s="151"/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57"/>
      <c r="AA448" s="4"/>
      <c r="AB448" s="4"/>
      <c r="AC448" s="4"/>
    </row>
    <row r="449" customFormat="false" ht="15" hidden="false" customHeight="true" outlineLevel="0" collapsed="false">
      <c r="A449" s="85"/>
      <c r="B449" s="85"/>
      <c r="C449" s="85"/>
      <c r="D449" s="85"/>
      <c r="E449" s="85"/>
      <c r="F449" s="85"/>
      <c r="G449" s="85"/>
      <c r="H449" s="85"/>
      <c r="I449" s="138" t="str">
        <f aca="false">IFERROR(VLOOKUP(TEXT(H449,"0"),IPRESS!$A$3:$B$212,2,0),"")</f>
        <v/>
      </c>
      <c r="J449" s="85"/>
      <c r="K449" s="149"/>
      <c r="L449" s="85"/>
      <c r="M449" s="85"/>
      <c r="N449" s="151"/>
      <c r="O449" s="85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85"/>
      <c r="S449" s="85"/>
      <c r="T449" s="85"/>
      <c r="U449" s="85"/>
      <c r="V449" s="85"/>
      <c r="W449" s="85"/>
      <c r="X449" s="85"/>
      <c r="Y449" s="85"/>
      <c r="Z449" s="157"/>
      <c r="AA449" s="4"/>
      <c r="AB449" s="4"/>
      <c r="AC449" s="4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49"/>
      <c r="L450" s="85"/>
      <c r="M450" s="85"/>
      <c r="N450" s="151"/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57"/>
      <c r="AA450" s="4"/>
      <c r="AB450" s="4"/>
      <c r="AC450" s="4"/>
    </row>
    <row r="451" customFormat="false" ht="15" hidden="false" customHeight="true" outlineLevel="0" collapsed="false">
      <c r="A451" s="85"/>
      <c r="B451" s="85"/>
      <c r="C451" s="85"/>
      <c r="D451" s="85"/>
      <c r="E451" s="85"/>
      <c r="F451" s="85"/>
      <c r="G451" s="85"/>
      <c r="H451" s="85"/>
      <c r="I451" s="138" t="str">
        <f aca="false">IFERROR(VLOOKUP(TEXT(H451,"0"),IPRESS!$A$3:$B$212,2,0),"")</f>
        <v/>
      </c>
      <c r="J451" s="85"/>
      <c r="K451" s="149"/>
      <c r="L451" s="85"/>
      <c r="M451" s="85"/>
      <c r="N451" s="151"/>
      <c r="O451" s="85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85"/>
      <c r="S451" s="85"/>
      <c r="T451" s="85"/>
      <c r="U451" s="85"/>
      <c r="V451" s="85"/>
      <c r="W451" s="85"/>
      <c r="X451" s="85"/>
      <c r="Y451" s="85"/>
      <c r="Z451" s="157"/>
      <c r="AA451" s="4"/>
      <c r="AB451" s="4"/>
      <c r="AC451" s="4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49"/>
      <c r="L452" s="85"/>
      <c r="M452" s="85"/>
      <c r="N452" s="151"/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57"/>
      <c r="AA452" s="4"/>
      <c r="AB452" s="4"/>
      <c r="AC452" s="4"/>
    </row>
    <row r="453" customFormat="false" ht="15" hidden="false" customHeight="true" outlineLevel="0" collapsed="false">
      <c r="A453" s="85"/>
      <c r="B453" s="85"/>
      <c r="C453" s="85"/>
      <c r="D453" s="85"/>
      <c r="E453" s="85"/>
      <c r="F453" s="85"/>
      <c r="G453" s="85"/>
      <c r="H453" s="85"/>
      <c r="I453" s="138" t="str">
        <f aca="false">IFERROR(VLOOKUP(TEXT(H453,"0"),IPRESS!$A$3:$B$212,2,0),"")</f>
        <v/>
      </c>
      <c r="J453" s="85"/>
      <c r="K453" s="149"/>
      <c r="L453" s="85"/>
      <c r="M453" s="85"/>
      <c r="N453" s="151"/>
      <c r="O453" s="85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85"/>
      <c r="S453" s="85"/>
      <c r="T453" s="85"/>
      <c r="U453" s="85"/>
      <c r="V453" s="85"/>
      <c r="W453" s="85"/>
      <c r="X453" s="85"/>
      <c r="Y453" s="85"/>
      <c r="Z453" s="157"/>
      <c r="AA453" s="4"/>
      <c r="AB453" s="4"/>
      <c r="AC453" s="4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49"/>
      <c r="L454" s="85"/>
      <c r="M454" s="85"/>
      <c r="N454" s="151"/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57"/>
      <c r="AA454" s="4"/>
      <c r="AB454" s="4"/>
      <c r="AC454" s="4"/>
    </row>
    <row r="455" customFormat="false" ht="15" hidden="false" customHeight="true" outlineLevel="0" collapsed="false">
      <c r="A455" s="85"/>
      <c r="B455" s="85"/>
      <c r="C455" s="85"/>
      <c r="D455" s="85"/>
      <c r="E455" s="85"/>
      <c r="F455" s="85"/>
      <c r="G455" s="85"/>
      <c r="H455" s="85"/>
      <c r="I455" s="138" t="str">
        <f aca="false">IFERROR(VLOOKUP(TEXT(H455,"0"),IPRESS!$A$3:$B$212,2,0),"")</f>
        <v/>
      </c>
      <c r="J455" s="85"/>
      <c r="K455" s="149"/>
      <c r="L455" s="85"/>
      <c r="M455" s="85"/>
      <c r="N455" s="151"/>
      <c r="O455" s="85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85"/>
      <c r="S455" s="85"/>
      <c r="T455" s="85"/>
      <c r="U455" s="85"/>
      <c r="V455" s="85"/>
      <c r="W455" s="85"/>
      <c r="X455" s="85"/>
      <c r="Y455" s="85"/>
      <c r="Z455" s="157"/>
      <c r="AA455" s="4"/>
      <c r="AB455" s="4"/>
      <c r="AC455" s="4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49"/>
      <c r="L456" s="85"/>
      <c r="M456" s="85"/>
      <c r="N456" s="151"/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57"/>
      <c r="AA456" s="4"/>
      <c r="AB456" s="4"/>
      <c r="AC456" s="4"/>
    </row>
    <row r="457" customFormat="false" ht="15" hidden="false" customHeight="true" outlineLevel="0" collapsed="false">
      <c r="A457" s="85"/>
      <c r="B457" s="85"/>
      <c r="C457" s="85"/>
      <c r="D457" s="85"/>
      <c r="E457" s="85"/>
      <c r="F457" s="85"/>
      <c r="G457" s="85"/>
      <c r="H457" s="85"/>
      <c r="I457" s="138" t="str">
        <f aca="false">IFERROR(VLOOKUP(TEXT(H457,"0"),IPRESS!$A$3:$B$212,2,0),"")</f>
        <v/>
      </c>
      <c r="J457" s="85"/>
      <c r="K457" s="149"/>
      <c r="L457" s="85"/>
      <c r="M457" s="85"/>
      <c r="N457" s="151"/>
      <c r="O457" s="85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85"/>
      <c r="S457" s="85"/>
      <c r="T457" s="85"/>
      <c r="U457" s="85"/>
      <c r="V457" s="85"/>
      <c r="W457" s="85"/>
      <c r="X457" s="85"/>
      <c r="Y457" s="85"/>
      <c r="Z457" s="157"/>
      <c r="AA457" s="4"/>
      <c r="AB457" s="4"/>
      <c r="AC457" s="4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49"/>
      <c r="L458" s="85"/>
      <c r="M458" s="85"/>
      <c r="N458" s="151"/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57"/>
      <c r="AA458" s="4"/>
      <c r="AB458" s="4"/>
      <c r="AC458" s="4"/>
    </row>
    <row r="459" customFormat="false" ht="15" hidden="false" customHeight="true" outlineLevel="0" collapsed="false">
      <c r="A459" s="85"/>
      <c r="B459" s="85"/>
      <c r="C459" s="85"/>
      <c r="D459" s="85"/>
      <c r="E459" s="85"/>
      <c r="F459" s="85"/>
      <c r="G459" s="85"/>
      <c r="H459" s="85"/>
      <c r="I459" s="138" t="str">
        <f aca="false">IFERROR(VLOOKUP(TEXT(H459,"0"),IPRESS!$A$3:$B$212,2,0),"")</f>
        <v/>
      </c>
      <c r="J459" s="85"/>
      <c r="K459" s="149"/>
      <c r="L459" s="85"/>
      <c r="M459" s="85"/>
      <c r="N459" s="151"/>
      <c r="O459" s="85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85"/>
      <c r="S459" s="85"/>
      <c r="T459" s="85"/>
      <c r="U459" s="85"/>
      <c r="V459" s="85"/>
      <c r="W459" s="85"/>
      <c r="X459" s="85"/>
      <c r="Y459" s="85"/>
      <c r="Z459" s="157"/>
      <c r="AA459" s="4"/>
      <c r="AB459" s="4"/>
      <c r="AC459" s="4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49"/>
      <c r="L460" s="85"/>
      <c r="M460" s="85"/>
      <c r="N460" s="151"/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57"/>
      <c r="AA460" s="4"/>
      <c r="AB460" s="4"/>
      <c r="AC460" s="4"/>
    </row>
    <row r="461" customFormat="false" ht="15" hidden="false" customHeight="true" outlineLevel="0" collapsed="false">
      <c r="A461" s="85"/>
      <c r="B461" s="85"/>
      <c r="C461" s="85"/>
      <c r="D461" s="85"/>
      <c r="E461" s="85"/>
      <c r="F461" s="85"/>
      <c r="G461" s="85"/>
      <c r="H461" s="85"/>
      <c r="I461" s="138" t="str">
        <f aca="false">IFERROR(VLOOKUP(TEXT(H461,"0"),IPRESS!$A$3:$B$212,2,0),"")</f>
        <v/>
      </c>
      <c r="J461" s="85"/>
      <c r="K461" s="149"/>
      <c r="L461" s="85"/>
      <c r="M461" s="85"/>
      <c r="N461" s="151"/>
      <c r="O461" s="85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85"/>
      <c r="S461" s="85"/>
      <c r="T461" s="85"/>
      <c r="U461" s="85"/>
      <c r="V461" s="85"/>
      <c r="W461" s="85"/>
      <c r="X461" s="85"/>
      <c r="Y461" s="85"/>
      <c r="Z461" s="157"/>
      <c r="AA461" s="4"/>
      <c r="AB461" s="4"/>
      <c r="AC461" s="4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49"/>
      <c r="L462" s="85"/>
      <c r="M462" s="85"/>
      <c r="N462" s="151"/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57"/>
      <c r="AA462" s="4"/>
      <c r="AB462" s="4"/>
      <c r="AC462" s="4"/>
    </row>
    <row r="463" customFormat="false" ht="15" hidden="false" customHeight="true" outlineLevel="0" collapsed="false">
      <c r="A463" s="85"/>
      <c r="B463" s="85"/>
      <c r="C463" s="85"/>
      <c r="D463" s="85"/>
      <c r="E463" s="85"/>
      <c r="F463" s="85"/>
      <c r="G463" s="85"/>
      <c r="H463" s="85"/>
      <c r="I463" s="138" t="str">
        <f aca="false">IFERROR(VLOOKUP(TEXT(H463,"0"),IPRESS!$A$3:$B$212,2,0),"")</f>
        <v/>
      </c>
      <c r="J463" s="85"/>
      <c r="K463" s="149"/>
      <c r="L463" s="85"/>
      <c r="M463" s="85"/>
      <c r="N463" s="151"/>
      <c r="O463" s="85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85"/>
      <c r="S463" s="85"/>
      <c r="T463" s="85"/>
      <c r="U463" s="85"/>
      <c r="V463" s="85"/>
      <c r="W463" s="85"/>
      <c r="X463" s="85"/>
      <c r="Y463" s="85"/>
      <c r="Z463" s="157"/>
      <c r="AA463" s="4"/>
      <c r="AB463" s="4"/>
      <c r="AC463" s="4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49"/>
      <c r="L464" s="85"/>
      <c r="M464" s="85"/>
      <c r="N464" s="151"/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57"/>
      <c r="AA464" s="4"/>
      <c r="AB464" s="4"/>
      <c r="AC464" s="4"/>
    </row>
    <row r="465" customFormat="false" ht="15" hidden="false" customHeight="true" outlineLevel="0" collapsed="false">
      <c r="A465" s="85"/>
      <c r="B465" s="85"/>
      <c r="C465" s="85"/>
      <c r="D465" s="85"/>
      <c r="E465" s="85"/>
      <c r="F465" s="85"/>
      <c r="G465" s="85"/>
      <c r="H465" s="85"/>
      <c r="I465" s="138" t="str">
        <f aca="false">IFERROR(VLOOKUP(TEXT(H465,"0"),IPRESS!$A$3:$B$212,2,0),"")</f>
        <v/>
      </c>
      <c r="J465" s="85"/>
      <c r="K465" s="149"/>
      <c r="L465" s="85"/>
      <c r="M465" s="85"/>
      <c r="N465" s="151"/>
      <c r="O465" s="85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85"/>
      <c r="S465" s="85"/>
      <c r="T465" s="85"/>
      <c r="U465" s="85"/>
      <c r="V465" s="85"/>
      <c r="W465" s="85"/>
      <c r="X465" s="85"/>
      <c r="Y465" s="85"/>
      <c r="Z465" s="157"/>
      <c r="AA465" s="4"/>
      <c r="AB465" s="4"/>
      <c r="AC465" s="4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49"/>
      <c r="L466" s="85"/>
      <c r="M466" s="85"/>
      <c r="N466" s="151"/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57"/>
      <c r="AA466" s="4"/>
      <c r="AB466" s="4"/>
      <c r="AC466" s="4"/>
    </row>
    <row r="467" customFormat="false" ht="15" hidden="false" customHeight="true" outlineLevel="0" collapsed="false">
      <c r="A467" s="85"/>
      <c r="B467" s="85"/>
      <c r="C467" s="85"/>
      <c r="D467" s="85"/>
      <c r="E467" s="85"/>
      <c r="F467" s="85"/>
      <c r="G467" s="85"/>
      <c r="H467" s="85"/>
      <c r="I467" s="138" t="str">
        <f aca="false">IFERROR(VLOOKUP(TEXT(H467,"0"),IPRESS!$A$3:$B$212,2,0),"")</f>
        <v/>
      </c>
      <c r="J467" s="85"/>
      <c r="K467" s="149"/>
      <c r="L467" s="85"/>
      <c r="M467" s="85"/>
      <c r="N467" s="151"/>
      <c r="O467" s="85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85"/>
      <c r="S467" s="85"/>
      <c r="T467" s="85"/>
      <c r="U467" s="85"/>
      <c r="V467" s="85"/>
      <c r="W467" s="85"/>
      <c r="X467" s="85"/>
      <c r="Y467" s="85"/>
      <c r="Z467" s="157"/>
      <c r="AA467" s="4"/>
      <c r="AB467" s="4"/>
      <c r="AC467" s="4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49"/>
      <c r="L468" s="85"/>
      <c r="M468" s="85"/>
      <c r="N468" s="151"/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57"/>
      <c r="AA468" s="4"/>
      <c r="AB468" s="4"/>
      <c r="AC468" s="4"/>
    </row>
    <row r="469" customFormat="false" ht="15" hidden="false" customHeight="true" outlineLevel="0" collapsed="false">
      <c r="A469" s="85"/>
      <c r="B469" s="85"/>
      <c r="C469" s="85"/>
      <c r="D469" s="85"/>
      <c r="E469" s="85"/>
      <c r="F469" s="85"/>
      <c r="G469" s="85"/>
      <c r="H469" s="85"/>
      <c r="I469" s="138" t="str">
        <f aca="false">IFERROR(VLOOKUP(TEXT(H469,"0"),IPRESS!$A$3:$B$212,2,0),"")</f>
        <v/>
      </c>
      <c r="J469" s="85"/>
      <c r="K469" s="149"/>
      <c r="L469" s="85"/>
      <c r="M469" s="85"/>
      <c r="N469" s="151"/>
      <c r="O469" s="85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85"/>
      <c r="S469" s="85"/>
      <c r="T469" s="85"/>
      <c r="U469" s="85"/>
      <c r="V469" s="85"/>
      <c r="W469" s="85"/>
      <c r="X469" s="85"/>
      <c r="Y469" s="85"/>
      <c r="Z469" s="157"/>
      <c r="AA469" s="4"/>
      <c r="AB469" s="4"/>
      <c r="AC469" s="4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49"/>
      <c r="L470" s="85"/>
      <c r="M470" s="85"/>
      <c r="N470" s="151"/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57"/>
      <c r="AA470" s="4"/>
      <c r="AB470" s="4"/>
      <c r="AC470" s="4"/>
    </row>
    <row r="471" customFormat="false" ht="15" hidden="false" customHeight="true" outlineLevel="0" collapsed="false">
      <c r="A471" s="85"/>
      <c r="B471" s="85"/>
      <c r="C471" s="85"/>
      <c r="D471" s="85"/>
      <c r="E471" s="85"/>
      <c r="F471" s="85"/>
      <c r="G471" s="85"/>
      <c r="H471" s="85"/>
      <c r="I471" s="138" t="str">
        <f aca="false">IFERROR(VLOOKUP(TEXT(H471,"0"),IPRESS!$A$3:$B$212,2,0),"")</f>
        <v/>
      </c>
      <c r="J471" s="85"/>
      <c r="K471" s="149"/>
      <c r="L471" s="85"/>
      <c r="M471" s="85"/>
      <c r="N471" s="151"/>
      <c r="O471" s="85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85"/>
      <c r="S471" s="85"/>
      <c r="T471" s="85"/>
      <c r="U471" s="85"/>
      <c r="V471" s="85"/>
      <c r="W471" s="85"/>
      <c r="X471" s="85"/>
      <c r="Y471" s="85"/>
      <c r="Z471" s="157"/>
      <c r="AA471" s="4"/>
      <c r="AB471" s="4"/>
      <c r="AC471" s="4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49"/>
      <c r="L472" s="85"/>
      <c r="M472" s="85"/>
      <c r="N472" s="151"/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57"/>
      <c r="AA472" s="4"/>
      <c r="AB472" s="4"/>
      <c r="AC472" s="4"/>
    </row>
    <row r="473" customFormat="false" ht="15" hidden="false" customHeight="true" outlineLevel="0" collapsed="false">
      <c r="A473" s="85"/>
      <c r="B473" s="85"/>
      <c r="C473" s="85"/>
      <c r="D473" s="85"/>
      <c r="E473" s="85"/>
      <c r="F473" s="85"/>
      <c r="G473" s="85"/>
      <c r="H473" s="85"/>
      <c r="I473" s="138" t="str">
        <f aca="false">IFERROR(VLOOKUP(TEXT(H473,"0"),IPRESS!$A$3:$B$212,2,0),"")</f>
        <v/>
      </c>
      <c r="J473" s="85"/>
      <c r="K473" s="149"/>
      <c r="L473" s="85"/>
      <c r="M473" s="85"/>
      <c r="N473" s="151"/>
      <c r="O473" s="85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85"/>
      <c r="S473" s="85"/>
      <c r="T473" s="85"/>
      <c r="U473" s="85"/>
      <c r="V473" s="85"/>
      <c r="W473" s="85"/>
      <c r="X473" s="85"/>
      <c r="Y473" s="85"/>
      <c r="Z473" s="157"/>
      <c r="AA473" s="4"/>
      <c r="AB473" s="4"/>
      <c r="AC473" s="4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49"/>
      <c r="L474" s="85"/>
      <c r="M474" s="85"/>
      <c r="N474" s="151"/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57"/>
      <c r="AA474" s="4"/>
      <c r="AB474" s="4"/>
      <c r="AC474" s="4"/>
    </row>
    <row r="475" customFormat="false" ht="15" hidden="false" customHeight="true" outlineLevel="0" collapsed="false">
      <c r="A475" s="85"/>
      <c r="B475" s="85"/>
      <c r="C475" s="85"/>
      <c r="D475" s="85"/>
      <c r="E475" s="85"/>
      <c r="F475" s="85"/>
      <c r="G475" s="85"/>
      <c r="H475" s="85"/>
      <c r="I475" s="138" t="str">
        <f aca="false">IFERROR(VLOOKUP(TEXT(H475,"0"),IPRESS!$A$3:$B$212,2,0),"")</f>
        <v/>
      </c>
      <c r="J475" s="85"/>
      <c r="K475" s="149"/>
      <c r="L475" s="85"/>
      <c r="M475" s="85"/>
      <c r="N475" s="151"/>
      <c r="O475" s="85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85"/>
      <c r="S475" s="85"/>
      <c r="T475" s="85"/>
      <c r="U475" s="85"/>
      <c r="V475" s="85"/>
      <c r="W475" s="85"/>
      <c r="X475" s="85"/>
      <c r="Y475" s="85"/>
      <c r="Z475" s="157"/>
      <c r="AA475" s="4"/>
      <c r="AB475" s="4"/>
      <c r="AC475" s="4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49"/>
      <c r="L476" s="85"/>
      <c r="M476" s="85"/>
      <c r="N476" s="151"/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57"/>
      <c r="AA476" s="4"/>
      <c r="AB476" s="4"/>
      <c r="AC476" s="4"/>
    </row>
    <row r="477" customFormat="false" ht="15" hidden="false" customHeight="true" outlineLevel="0" collapsed="false">
      <c r="A477" s="85"/>
      <c r="B477" s="85"/>
      <c r="C477" s="85"/>
      <c r="D477" s="85"/>
      <c r="E477" s="85"/>
      <c r="F477" s="85"/>
      <c r="G477" s="85"/>
      <c r="H477" s="85"/>
      <c r="I477" s="138" t="str">
        <f aca="false">IFERROR(VLOOKUP(TEXT(H477,"0"),IPRESS!$A$3:$B$212,2,0),"")</f>
        <v/>
      </c>
      <c r="J477" s="85"/>
      <c r="K477" s="149"/>
      <c r="L477" s="85"/>
      <c r="M477" s="85"/>
      <c r="N477" s="151"/>
      <c r="O477" s="85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85"/>
      <c r="S477" s="85"/>
      <c r="T477" s="85"/>
      <c r="U477" s="85"/>
      <c r="V477" s="85"/>
      <c r="W477" s="85"/>
      <c r="X477" s="85"/>
      <c r="Y477" s="85"/>
      <c r="Z477" s="157"/>
      <c r="AA477" s="4"/>
      <c r="AB477" s="4"/>
      <c r="AC477" s="4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49"/>
      <c r="L478" s="85"/>
      <c r="M478" s="85"/>
      <c r="N478" s="151"/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57"/>
      <c r="AA478" s="4"/>
      <c r="AB478" s="4"/>
      <c r="AC478" s="4"/>
    </row>
    <row r="479" customFormat="false" ht="15" hidden="false" customHeight="true" outlineLevel="0" collapsed="false">
      <c r="A479" s="85"/>
      <c r="B479" s="85"/>
      <c r="C479" s="85"/>
      <c r="D479" s="85"/>
      <c r="E479" s="85"/>
      <c r="F479" s="85"/>
      <c r="G479" s="85"/>
      <c r="H479" s="85"/>
      <c r="I479" s="138" t="str">
        <f aca="false">IFERROR(VLOOKUP(TEXT(H479,"0"),IPRESS!$A$3:$B$212,2,0),"")</f>
        <v/>
      </c>
      <c r="J479" s="85"/>
      <c r="K479" s="149"/>
      <c r="L479" s="85"/>
      <c r="M479" s="85"/>
      <c r="N479" s="151"/>
      <c r="O479" s="85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85"/>
      <c r="S479" s="85"/>
      <c r="T479" s="85"/>
      <c r="U479" s="85"/>
      <c r="V479" s="85"/>
      <c r="W479" s="85"/>
      <c r="X479" s="85"/>
      <c r="Y479" s="85"/>
      <c r="Z479" s="157"/>
      <c r="AA479" s="4"/>
      <c r="AB479" s="4"/>
      <c r="AC479" s="4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49"/>
      <c r="L480" s="85"/>
      <c r="M480" s="85"/>
      <c r="N480" s="151"/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57"/>
      <c r="AA480" s="4"/>
      <c r="AB480" s="4"/>
      <c r="AC480" s="4"/>
    </row>
    <row r="481" customFormat="false" ht="15" hidden="false" customHeight="true" outlineLevel="0" collapsed="false">
      <c r="A481" s="85"/>
      <c r="B481" s="85"/>
      <c r="C481" s="85"/>
      <c r="D481" s="85"/>
      <c r="E481" s="85"/>
      <c r="F481" s="85"/>
      <c r="G481" s="85"/>
      <c r="H481" s="85"/>
      <c r="I481" s="138" t="str">
        <f aca="false">IFERROR(VLOOKUP(TEXT(H481,"0"),IPRESS!$A$3:$B$212,2,0),"")</f>
        <v/>
      </c>
      <c r="J481" s="85"/>
      <c r="K481" s="149"/>
      <c r="L481" s="85"/>
      <c r="M481" s="85"/>
      <c r="N481" s="151"/>
      <c r="O481" s="85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85"/>
      <c r="S481" s="85"/>
      <c r="T481" s="85"/>
      <c r="U481" s="85"/>
      <c r="V481" s="85"/>
      <c r="W481" s="85"/>
      <c r="X481" s="85"/>
      <c r="Y481" s="85"/>
      <c r="Z481" s="157"/>
      <c r="AA481" s="4"/>
      <c r="AB481" s="4"/>
      <c r="AC481" s="4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49"/>
      <c r="L482" s="85"/>
      <c r="M482" s="85"/>
      <c r="N482" s="151"/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57"/>
      <c r="AA482" s="4"/>
      <c r="AB482" s="4"/>
      <c r="AC482" s="4"/>
    </row>
    <row r="483" customFormat="false" ht="15" hidden="false" customHeight="true" outlineLevel="0" collapsed="false">
      <c r="A483" s="85"/>
      <c r="B483" s="85"/>
      <c r="C483" s="85"/>
      <c r="D483" s="85"/>
      <c r="E483" s="85"/>
      <c r="F483" s="85"/>
      <c r="G483" s="85"/>
      <c r="H483" s="85"/>
      <c r="I483" s="138" t="str">
        <f aca="false">IFERROR(VLOOKUP(TEXT(H483,"0"),IPRESS!$A$3:$B$212,2,0),"")</f>
        <v/>
      </c>
      <c r="J483" s="85"/>
      <c r="K483" s="149"/>
      <c r="L483" s="85"/>
      <c r="M483" s="85"/>
      <c r="N483" s="151"/>
      <c r="O483" s="85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85"/>
      <c r="S483" s="85"/>
      <c r="T483" s="85"/>
      <c r="U483" s="85"/>
      <c r="V483" s="85"/>
      <c r="W483" s="85"/>
      <c r="X483" s="85"/>
      <c r="Y483" s="85"/>
      <c r="Z483" s="157"/>
      <c r="AA483" s="4"/>
      <c r="AB483" s="4"/>
      <c r="AC483" s="4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49"/>
      <c r="L484" s="85"/>
      <c r="M484" s="85"/>
      <c r="N484" s="151"/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57"/>
      <c r="AA484" s="4"/>
      <c r="AB484" s="4"/>
      <c r="AC484" s="4"/>
    </row>
    <row r="485" customFormat="false" ht="15" hidden="false" customHeight="true" outlineLevel="0" collapsed="false">
      <c r="A485" s="85"/>
      <c r="B485" s="85"/>
      <c r="C485" s="85"/>
      <c r="D485" s="85"/>
      <c r="E485" s="85"/>
      <c r="F485" s="85"/>
      <c r="G485" s="85"/>
      <c r="H485" s="85"/>
      <c r="I485" s="138" t="str">
        <f aca="false">IFERROR(VLOOKUP(TEXT(H485,"0"),IPRESS!$A$3:$B$212,2,0),"")</f>
        <v/>
      </c>
      <c r="J485" s="85"/>
      <c r="K485" s="149"/>
      <c r="L485" s="85"/>
      <c r="M485" s="85"/>
      <c r="N485" s="151"/>
      <c r="O485" s="85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85"/>
      <c r="S485" s="85"/>
      <c r="T485" s="85"/>
      <c r="U485" s="85"/>
      <c r="V485" s="85"/>
      <c r="W485" s="85"/>
      <c r="X485" s="85"/>
      <c r="Y485" s="85"/>
      <c r="Z485" s="157"/>
      <c r="AA485" s="4"/>
      <c r="AB485" s="4"/>
      <c r="AC485" s="4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49"/>
      <c r="L486" s="85"/>
      <c r="M486" s="85"/>
      <c r="N486" s="151"/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57"/>
      <c r="AA486" s="4"/>
      <c r="AB486" s="4"/>
      <c r="AC486" s="4"/>
    </row>
    <row r="487" customFormat="false" ht="15" hidden="false" customHeight="true" outlineLevel="0" collapsed="false">
      <c r="A487" s="85"/>
      <c r="B487" s="85"/>
      <c r="C487" s="85"/>
      <c r="D487" s="85"/>
      <c r="E487" s="85"/>
      <c r="F487" s="85"/>
      <c r="G487" s="85"/>
      <c r="H487" s="85"/>
      <c r="I487" s="138" t="str">
        <f aca="false">IFERROR(VLOOKUP(TEXT(H487,"0"),IPRESS!$A$3:$B$212,2,0),"")</f>
        <v/>
      </c>
      <c r="J487" s="85"/>
      <c r="K487" s="149"/>
      <c r="L487" s="85"/>
      <c r="M487" s="85"/>
      <c r="N487" s="151"/>
      <c r="O487" s="85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85"/>
      <c r="S487" s="85"/>
      <c r="T487" s="85"/>
      <c r="U487" s="85"/>
      <c r="V487" s="85"/>
      <c r="W487" s="85"/>
      <c r="X487" s="85"/>
      <c r="Y487" s="85"/>
      <c r="Z487" s="157"/>
      <c r="AA487" s="4"/>
      <c r="AB487" s="4"/>
      <c r="AC487" s="4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49"/>
      <c r="L488" s="85"/>
      <c r="M488" s="85"/>
      <c r="N488" s="151"/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57"/>
      <c r="AA488" s="4"/>
      <c r="AB488" s="4"/>
      <c r="AC488" s="4"/>
    </row>
    <row r="489" customFormat="false" ht="15" hidden="false" customHeight="true" outlineLevel="0" collapsed="false">
      <c r="A489" s="85"/>
      <c r="B489" s="85"/>
      <c r="C489" s="85"/>
      <c r="D489" s="85"/>
      <c r="E489" s="85"/>
      <c r="F489" s="85"/>
      <c r="G489" s="85"/>
      <c r="H489" s="85"/>
      <c r="I489" s="138" t="str">
        <f aca="false">IFERROR(VLOOKUP(TEXT(H489,"0"),IPRESS!$A$3:$B$212,2,0),"")</f>
        <v/>
      </c>
      <c r="J489" s="85"/>
      <c r="K489" s="149"/>
      <c r="L489" s="85"/>
      <c r="M489" s="85"/>
      <c r="N489" s="151"/>
      <c r="O489" s="85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85"/>
      <c r="S489" s="85"/>
      <c r="T489" s="85"/>
      <c r="U489" s="85"/>
      <c r="V489" s="85"/>
      <c r="W489" s="85"/>
      <c r="X489" s="85"/>
      <c r="Y489" s="85"/>
      <c r="Z489" s="157"/>
      <c r="AA489" s="4"/>
      <c r="AB489" s="4"/>
      <c r="AC489" s="4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49"/>
      <c r="L490" s="85"/>
      <c r="M490" s="85"/>
      <c r="N490" s="151"/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57"/>
      <c r="AA490" s="4"/>
      <c r="AB490" s="4"/>
      <c r="AC490" s="4"/>
    </row>
    <row r="491" customFormat="false" ht="15" hidden="false" customHeight="true" outlineLevel="0" collapsed="false">
      <c r="A491" s="85"/>
      <c r="B491" s="85"/>
      <c r="C491" s="85"/>
      <c r="D491" s="85"/>
      <c r="E491" s="85"/>
      <c r="F491" s="85"/>
      <c r="G491" s="85"/>
      <c r="H491" s="85"/>
      <c r="I491" s="138" t="str">
        <f aca="false">IFERROR(VLOOKUP(TEXT(H491,"0"),IPRESS!$A$3:$B$212,2,0),"")</f>
        <v/>
      </c>
      <c r="J491" s="85"/>
      <c r="K491" s="149"/>
      <c r="L491" s="85"/>
      <c r="M491" s="85"/>
      <c r="N491" s="151"/>
      <c r="O491" s="85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85"/>
      <c r="S491" s="85"/>
      <c r="T491" s="85"/>
      <c r="U491" s="85"/>
      <c r="V491" s="85"/>
      <c r="W491" s="85"/>
      <c r="X491" s="85"/>
      <c r="Y491" s="85"/>
      <c r="Z491" s="157"/>
      <c r="AA491" s="4"/>
      <c r="AB491" s="4"/>
      <c r="AC491" s="4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49"/>
      <c r="L492" s="85"/>
      <c r="M492" s="85"/>
      <c r="N492" s="151"/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57"/>
      <c r="AA492" s="4"/>
      <c r="AB492" s="4"/>
      <c r="AC492" s="4"/>
    </row>
    <row r="493" customFormat="false" ht="15" hidden="false" customHeight="true" outlineLevel="0" collapsed="false">
      <c r="A493" s="85"/>
      <c r="B493" s="85"/>
      <c r="C493" s="85"/>
      <c r="D493" s="85"/>
      <c r="E493" s="85"/>
      <c r="F493" s="85"/>
      <c r="G493" s="85"/>
      <c r="H493" s="85"/>
      <c r="I493" s="138" t="str">
        <f aca="false">IFERROR(VLOOKUP(TEXT(H493,"0"),IPRESS!$A$3:$B$212,2,0),"")</f>
        <v/>
      </c>
      <c r="J493" s="85"/>
      <c r="K493" s="149"/>
      <c r="L493" s="85"/>
      <c r="M493" s="85"/>
      <c r="N493" s="151"/>
      <c r="O493" s="85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85"/>
      <c r="S493" s="85"/>
      <c r="T493" s="85"/>
      <c r="U493" s="85"/>
      <c r="V493" s="85"/>
      <c r="W493" s="85"/>
      <c r="X493" s="85"/>
      <c r="Y493" s="85"/>
      <c r="Z493" s="157"/>
      <c r="AA493" s="4"/>
      <c r="AB493" s="4"/>
      <c r="AC493" s="4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49"/>
      <c r="L494" s="85"/>
      <c r="M494" s="85"/>
      <c r="N494" s="151"/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57"/>
      <c r="AA494" s="4"/>
      <c r="AB494" s="4"/>
      <c r="AC494" s="4"/>
    </row>
    <row r="495" customFormat="false" ht="15" hidden="false" customHeight="true" outlineLevel="0" collapsed="false">
      <c r="A495" s="85"/>
      <c r="B495" s="85"/>
      <c r="C495" s="85"/>
      <c r="D495" s="85"/>
      <c r="E495" s="85"/>
      <c r="F495" s="85"/>
      <c r="G495" s="85"/>
      <c r="H495" s="85"/>
      <c r="I495" s="138" t="str">
        <f aca="false">IFERROR(VLOOKUP(TEXT(H495,"0"),IPRESS!$A$3:$B$212,2,0),"")</f>
        <v/>
      </c>
      <c r="J495" s="85"/>
      <c r="K495" s="149"/>
      <c r="L495" s="85"/>
      <c r="M495" s="85"/>
      <c r="N495" s="151"/>
      <c r="O495" s="85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85"/>
      <c r="S495" s="85"/>
      <c r="T495" s="85"/>
      <c r="U495" s="85"/>
      <c r="V495" s="85"/>
      <c r="W495" s="85"/>
      <c r="X495" s="85"/>
      <c r="Y495" s="85"/>
      <c r="Z495" s="157"/>
      <c r="AA495" s="4"/>
      <c r="AB495" s="4"/>
      <c r="AC495" s="4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49"/>
      <c r="L496" s="85"/>
      <c r="M496" s="85"/>
      <c r="N496" s="151"/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57"/>
      <c r="AA496" s="4"/>
      <c r="AB496" s="4"/>
      <c r="AC496" s="4"/>
    </row>
    <row r="497" customFormat="false" ht="15" hidden="false" customHeight="true" outlineLevel="0" collapsed="false">
      <c r="A497" s="85"/>
      <c r="B497" s="85"/>
      <c r="C497" s="85"/>
      <c r="D497" s="85"/>
      <c r="E497" s="85"/>
      <c r="F497" s="85"/>
      <c r="G497" s="85"/>
      <c r="H497" s="85"/>
      <c r="I497" s="138" t="str">
        <f aca="false">IFERROR(VLOOKUP(TEXT(H497,"0"),IPRESS!$A$3:$B$212,2,0),"")</f>
        <v/>
      </c>
      <c r="J497" s="85"/>
      <c r="K497" s="149"/>
      <c r="L497" s="85"/>
      <c r="M497" s="85"/>
      <c r="N497" s="151"/>
      <c r="O497" s="85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85"/>
      <c r="S497" s="85"/>
      <c r="T497" s="85"/>
      <c r="U497" s="85"/>
      <c r="V497" s="85"/>
      <c r="W497" s="85"/>
      <c r="X497" s="85"/>
      <c r="Y497" s="85"/>
      <c r="Z497" s="157"/>
      <c r="AA497" s="4"/>
      <c r="AB497" s="4"/>
      <c r="AC497" s="4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49"/>
      <c r="L498" s="85"/>
      <c r="M498" s="85"/>
      <c r="N498" s="151"/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57"/>
      <c r="AA498" s="4"/>
      <c r="AB498" s="4"/>
      <c r="AC498" s="4"/>
    </row>
    <row r="499" customFormat="false" ht="15" hidden="false" customHeight="true" outlineLevel="0" collapsed="false">
      <c r="A499" s="85"/>
      <c r="B499" s="85"/>
      <c r="C499" s="85"/>
      <c r="D499" s="85"/>
      <c r="E499" s="85"/>
      <c r="F499" s="85"/>
      <c r="G499" s="85"/>
      <c r="H499" s="85"/>
      <c r="I499" s="138" t="str">
        <f aca="false">IFERROR(VLOOKUP(TEXT(H499,"0"),IPRESS!$A$3:$B$212,2,0),"")</f>
        <v/>
      </c>
      <c r="J499" s="85"/>
      <c r="K499" s="149"/>
      <c r="L499" s="85"/>
      <c r="M499" s="85"/>
      <c r="N499" s="151"/>
      <c r="O499" s="85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85"/>
      <c r="S499" s="85"/>
      <c r="T499" s="85"/>
      <c r="U499" s="85"/>
      <c r="V499" s="85"/>
      <c r="W499" s="85"/>
      <c r="X499" s="85"/>
      <c r="Y499" s="85"/>
      <c r="Z499" s="157"/>
      <c r="AA499" s="4"/>
      <c r="AB499" s="4"/>
      <c r="AC499" s="4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49"/>
      <c r="L500" s="85"/>
      <c r="M500" s="85"/>
      <c r="N500" s="151"/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57"/>
      <c r="AA500" s="4"/>
      <c r="AB500" s="4"/>
      <c r="AC500" s="4"/>
    </row>
    <row r="501" customFormat="false" ht="15" hidden="false" customHeight="true" outlineLevel="0" collapsed="false">
      <c r="A501" s="85"/>
      <c r="B501" s="85"/>
      <c r="C501" s="85"/>
      <c r="D501" s="85"/>
      <c r="E501" s="85"/>
      <c r="F501" s="85"/>
      <c r="G501" s="85"/>
      <c r="H501" s="85"/>
      <c r="I501" s="138" t="str">
        <f aca="false">IFERROR(VLOOKUP(TEXT(H501,"0"),IPRESS!$A$3:$B$212,2,0),"")</f>
        <v/>
      </c>
      <c r="J501" s="85"/>
      <c r="K501" s="149"/>
      <c r="L501" s="85"/>
      <c r="M501" s="85"/>
      <c r="N501" s="151"/>
      <c r="O501" s="85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85"/>
      <c r="S501" s="85"/>
      <c r="T501" s="85"/>
      <c r="U501" s="85"/>
      <c r="V501" s="85"/>
      <c r="W501" s="85"/>
      <c r="X501" s="85"/>
      <c r="Y501" s="85"/>
      <c r="Z501" s="157"/>
      <c r="AA501" s="4"/>
      <c r="AB501" s="4"/>
      <c r="AC501" s="4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49"/>
      <c r="L502" s="85"/>
      <c r="M502" s="85"/>
      <c r="N502" s="151"/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57"/>
      <c r="AA502" s="4"/>
      <c r="AB502" s="4"/>
      <c r="AC502" s="4"/>
    </row>
    <row r="503" customFormat="false" ht="15" hidden="false" customHeight="true" outlineLevel="0" collapsed="false">
      <c r="A503" s="85"/>
      <c r="B503" s="85"/>
      <c r="C503" s="85"/>
      <c r="D503" s="85"/>
      <c r="E503" s="85"/>
      <c r="F503" s="85"/>
      <c r="G503" s="85"/>
      <c r="H503" s="85"/>
      <c r="I503" s="138" t="str">
        <f aca="false">IFERROR(VLOOKUP(TEXT(H503,"0"),IPRESS!$A$3:$B$212,2,0),"")</f>
        <v/>
      </c>
      <c r="J503" s="85"/>
      <c r="K503" s="149"/>
      <c r="L503" s="85"/>
      <c r="M503" s="85"/>
      <c r="N503" s="151"/>
      <c r="O503" s="85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85"/>
      <c r="S503" s="85"/>
      <c r="T503" s="85"/>
      <c r="U503" s="85"/>
      <c r="V503" s="85"/>
      <c r="W503" s="85"/>
      <c r="X503" s="85"/>
      <c r="Y503" s="85"/>
      <c r="Z503" s="157"/>
      <c r="AA503" s="4"/>
      <c r="AB503" s="4"/>
      <c r="AC503" s="4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49"/>
      <c r="L504" s="85"/>
      <c r="M504" s="85"/>
      <c r="N504" s="151"/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57"/>
      <c r="AA504" s="4"/>
      <c r="AB504" s="4"/>
      <c r="AC504" s="4"/>
    </row>
    <row r="505" customFormat="false" ht="15" hidden="false" customHeight="true" outlineLevel="0" collapsed="false">
      <c r="A505" s="85"/>
      <c r="B505" s="85"/>
      <c r="C505" s="85"/>
      <c r="D505" s="85"/>
      <c r="E505" s="85"/>
      <c r="F505" s="85"/>
      <c r="G505" s="85"/>
      <c r="H505" s="85"/>
      <c r="I505" s="138" t="str">
        <f aca="false">IFERROR(VLOOKUP(TEXT(H505,"0"),IPRESS!$A$3:$B$212,2,0),"")</f>
        <v/>
      </c>
      <c r="J505" s="85"/>
      <c r="K505" s="149"/>
      <c r="L505" s="85"/>
      <c r="M505" s="85"/>
      <c r="N505" s="151"/>
      <c r="O505" s="85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85"/>
      <c r="S505" s="85"/>
      <c r="T505" s="85"/>
      <c r="U505" s="85"/>
      <c r="V505" s="85"/>
      <c r="W505" s="85"/>
      <c r="X505" s="85"/>
      <c r="Y505" s="85"/>
      <c r="Z505" s="157"/>
      <c r="AA505" s="4"/>
      <c r="AB505" s="4"/>
      <c r="AC505" s="4"/>
    </row>
    <row r="506" customFormat="false" ht="21.75" hidden="false" customHeight="true" outlineLevel="0" collapsed="false">
      <c r="A506" s="167"/>
      <c r="B506" s="167"/>
      <c r="C506" s="167"/>
      <c r="D506" s="167"/>
      <c r="E506" s="167"/>
      <c r="F506" s="167"/>
      <c r="G506" s="167"/>
      <c r="H506" s="4"/>
      <c r="J506" s="4"/>
      <c r="K506" s="4"/>
      <c r="L506" s="4"/>
      <c r="M506" s="168"/>
      <c r="N506" s="168"/>
      <c r="O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  <c r="O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customFormat="false" ht="1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  <c r="O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  <c r="O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customFormat="false" ht="1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  <c r="O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06:J106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Y6:Y110">
    <cfRule type="expression" priority="9" aboveAverage="0" equalAverage="0" bottom="0" percent="0" rank="0" text="" dxfId="9">
      <formula>Y6&lt;&gt;""</formula>
    </cfRule>
  </conditionalFormatting>
  <conditionalFormatting sqref="Z6:Z110">
    <cfRule type="expression" priority="10" aboveAverage="0" equalAverage="0" bottom="0" percent="0" rank="0" text="" dxfId="0">
      <formula>Z6="ENTREGADO"</formula>
    </cfRule>
    <cfRule type="expression" priority="11" aboveAverage="0" equalAverage="0" bottom="0" percent="0" rank="0" text="" dxfId="7">
      <formula>Z6="POR RECOGER"</formula>
    </cfRule>
  </conditionalFormatting>
  <dataValidations count="4"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05 E107:E505" type="list">
      <formula1>"DNI,CE,PASAPORTE"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6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22" t="s">
        <v>5029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IFERROR(SUMPRODUCT((K6:K99="PETROLEO")*ISNUMBER(M6:M99)*M6:M99),0)</f>
        <v>330.16</v>
      </c>
      <c r="E2" s="124"/>
      <c r="F2" s="124"/>
      <c r="G2" s="123" t="s">
        <v>725</v>
      </c>
      <c r="H2" s="123"/>
      <c r="I2" s="123"/>
      <c r="J2" s="124" t="n">
        <f aca="false">IFERROR(SUMPRODUCT((K6:K99="GASOLINA")*ISNUMBER(M6:M99)*M6:M99),0)</f>
        <v>55</v>
      </c>
      <c r="K2" s="124"/>
      <c r="L2" s="124"/>
      <c r="M2" s="123" t="s">
        <v>726</v>
      </c>
      <c r="N2" s="123"/>
      <c r="O2" s="123"/>
      <c r="P2" s="125" t="n">
        <f aca="false">IFERROR(SUMPRODUCT(ISNUMBER(M6:M99)*L6:L99*M6:M99),0)</f>
        <v>7250.71</v>
      </c>
      <c r="Q2" s="125"/>
      <c r="R2" s="125"/>
      <c r="S2" s="123" t="s">
        <v>727</v>
      </c>
      <c r="T2" s="123"/>
      <c r="U2" s="126" t="n">
        <f aca="false">SUBTOTAL(2,A6:A99)</f>
        <v>94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3" t="s">
        <v>4527</v>
      </c>
      <c r="Q5" s="133" t="s">
        <v>104</v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55" t="s">
        <v>729</v>
      </c>
      <c r="Z5" s="156" t="s">
        <v>4528</v>
      </c>
    </row>
    <row r="6" customFormat="false" ht="15.75" hidden="false" customHeight="true" outlineLevel="0" collapsed="false">
      <c r="A6" s="106" t="n">
        <v>1</v>
      </c>
      <c r="B6" s="107"/>
      <c r="C6" s="106" t="s">
        <v>752</v>
      </c>
      <c r="D6" s="107" t="s">
        <v>5030</v>
      </c>
      <c r="E6" s="136" t="s">
        <v>99</v>
      </c>
      <c r="F6" s="106" t="s">
        <v>5031</v>
      </c>
      <c r="G6" s="137" t="n">
        <v>46082</v>
      </c>
      <c r="H6" s="106" t="s">
        <v>529</v>
      </c>
      <c r="I6" s="138" t="str">
        <f aca="false">IFERROR(VLOOKUP(TEXT(H6,"0"),IPRESS!$A$3:$B$212,2,0),"")</f>
        <v>MARIA AUXILIADORA</v>
      </c>
      <c r="J6" s="106" t="s">
        <v>755</v>
      </c>
      <c r="K6" s="138" t="s">
        <v>14</v>
      </c>
      <c r="L6" s="50" t="n">
        <v>20.25</v>
      </c>
      <c r="M6" s="50" t="n">
        <v>7</v>
      </c>
      <c r="N6" s="139" t="n">
        <f aca="false">IFERROR(IF(L6*M6=0,"",L6*M6),"")</f>
        <v>141.75</v>
      </c>
      <c r="O6" s="106" t="s">
        <v>139</v>
      </c>
      <c r="P6" s="138" t="str">
        <f aca="false">IFERROR(VLOOKUP(TEXT(O6,"0"),CONDUCTORES!$A$3:$G$100,2,0),"")</f>
        <v>PORTOCARRERO PELAEZ MIGUEL ANTONIO</v>
      </c>
      <c r="Q6" s="138" t="str">
        <f aca="false">IFERROR(VLOOKUP(TEXT(O6,"0"),CONDUCTORES!$A$3:$H$100,6,0),"")</f>
        <v>EUH-421</v>
      </c>
      <c r="R6" s="140"/>
      <c r="S6" s="107" t="s">
        <v>5032</v>
      </c>
      <c r="T6" s="136"/>
      <c r="U6" s="140"/>
      <c r="V6" s="107"/>
      <c r="W6" s="106"/>
      <c r="X6" s="106"/>
      <c r="Y6" s="85"/>
      <c r="Z6" s="157" t="str">
        <f aca="false">IF(AND(R6&lt;&gt;"",V6&lt;&gt;"",W6&lt;&gt;""),"ENTREGADO","POR RECOGER")</f>
        <v>POR RECOGER</v>
      </c>
      <c r="AA6" s="4"/>
      <c r="AB6" s="4"/>
      <c r="AC6" s="4"/>
    </row>
    <row r="7" customFormat="false" ht="15.75" hidden="false" customHeight="true" outlineLevel="0" collapsed="false">
      <c r="A7" s="46" t="n">
        <v>2</v>
      </c>
      <c r="B7" s="110"/>
      <c r="C7" s="46" t="s">
        <v>752</v>
      </c>
      <c r="D7" s="110" t="s">
        <v>5033</v>
      </c>
      <c r="E7" s="46" t="s">
        <v>99</v>
      </c>
      <c r="F7" s="46" t="s">
        <v>5034</v>
      </c>
      <c r="G7" s="142" t="n">
        <v>46082</v>
      </c>
      <c r="H7" s="46" t="s">
        <v>529</v>
      </c>
      <c r="I7" s="138" t="str">
        <f aca="false">IFERROR(VLOOKUP(TEXT(H7,"0"),IPRESS!$A$3:$B$212,2,0),"")</f>
        <v>MARIA AUXILIADORA</v>
      </c>
      <c r="J7" s="46" t="s">
        <v>755</v>
      </c>
      <c r="K7" s="138" t="s">
        <v>14</v>
      </c>
      <c r="L7" s="44" t="n">
        <v>20.25</v>
      </c>
      <c r="M7" s="44" t="n">
        <v>7</v>
      </c>
      <c r="N7" s="139" t="n">
        <f aca="false">IFERROR(IF(L7*M7=0,"",L7*M7),"")</f>
        <v>141.75</v>
      </c>
      <c r="O7" s="46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85"/>
      <c r="S7" s="110" t="s">
        <v>2200</v>
      </c>
      <c r="T7" s="46"/>
      <c r="U7" s="85"/>
      <c r="V7" s="110"/>
      <c r="W7" s="46"/>
      <c r="X7" s="46"/>
      <c r="Y7" s="85"/>
      <c r="Z7" s="157" t="str">
        <f aca="false">IF(AND(R7&lt;&gt;"",V7&lt;&gt;"",W7&lt;&gt;""),"ENTREGADO","POR RECOGER")</f>
        <v>POR RECOGER</v>
      </c>
      <c r="AA7" s="4"/>
      <c r="AB7" s="4"/>
      <c r="AC7" s="4"/>
    </row>
    <row r="8" customFormat="false" ht="15.75" hidden="false" customHeight="true" outlineLevel="0" collapsed="false">
      <c r="A8" s="106" t="n">
        <v>3</v>
      </c>
      <c r="B8" s="107"/>
      <c r="C8" s="106" t="s">
        <v>752</v>
      </c>
      <c r="D8" s="107" t="s">
        <v>5035</v>
      </c>
      <c r="E8" s="136" t="s">
        <v>99</v>
      </c>
      <c r="F8" s="106" t="s">
        <v>5036</v>
      </c>
      <c r="G8" s="137" t="n">
        <v>46082</v>
      </c>
      <c r="H8" s="106" t="s">
        <v>480</v>
      </c>
      <c r="I8" s="138" t="str">
        <f aca="false">IFERROR(VLOOKUP(TEXT(H8,"0"),IPRESS!$A$3:$B$212,2,0),"")</f>
        <v>JALCA GRANDE</v>
      </c>
      <c r="J8" s="106" t="s">
        <v>755</v>
      </c>
      <c r="K8" s="138" t="s">
        <v>14</v>
      </c>
      <c r="L8" s="50" t="n">
        <v>18.18</v>
      </c>
      <c r="M8" s="50" t="n">
        <v>7</v>
      </c>
      <c r="N8" s="139" t="n">
        <f aca="false">IFERROR(IF(L8*M8=0,"",L8*M8),"")</f>
        <v>127.26</v>
      </c>
      <c r="O8" s="106" t="s">
        <v>159</v>
      </c>
      <c r="P8" s="138" t="str">
        <f aca="false">IFERROR(VLOOKUP(TEXT(O8,"0"),CONDUCTORES!$A$3:$G$100,2,0),"")</f>
        <v>LEIVA LARA JUNIOR</v>
      </c>
      <c r="Q8" s="138" t="str">
        <f aca="false">IFERROR(VLOOKUP(TEXT(O8,"0"),CONDUCTORES!$A$3:$H$100,6,0),"")</f>
        <v>EUC 959</v>
      </c>
      <c r="R8" s="140"/>
      <c r="S8" s="107" t="s">
        <v>5037</v>
      </c>
      <c r="T8" s="136"/>
      <c r="U8" s="140"/>
      <c r="V8" s="107"/>
      <c r="W8" s="106"/>
      <c r="X8" s="106"/>
      <c r="Y8" s="85"/>
      <c r="Z8" s="157" t="str">
        <f aca="false">IF(AND(R8&lt;&gt;"",V8&lt;&gt;"",W8&lt;&gt;""),"ENTREGADO","POR RECOGER")</f>
        <v>POR RECOGER</v>
      </c>
      <c r="AA8" s="4"/>
      <c r="AB8" s="4"/>
      <c r="AC8" s="4"/>
    </row>
    <row r="9" customFormat="false" ht="15.75" hidden="false" customHeight="true" outlineLevel="0" collapsed="false">
      <c r="A9" s="46" t="n">
        <v>4</v>
      </c>
      <c r="B9" s="110"/>
      <c r="C9" s="46" t="s">
        <v>752</v>
      </c>
      <c r="D9" s="110" t="s">
        <v>5038</v>
      </c>
      <c r="E9" s="46" t="s">
        <v>99</v>
      </c>
      <c r="F9" s="46" t="s">
        <v>5039</v>
      </c>
      <c r="G9" s="142" t="n">
        <v>46082</v>
      </c>
      <c r="H9" s="46" t="s">
        <v>595</v>
      </c>
      <c r="I9" s="138" t="str">
        <f aca="false">IFERROR(VLOOKUP(TEXT(H9,"0"),IPRESS!$A$3:$B$212,2,0),"")</f>
        <v>POMACOCHAS</v>
      </c>
      <c r="J9" s="46" t="s">
        <v>755</v>
      </c>
      <c r="K9" s="138" t="s">
        <v>14</v>
      </c>
      <c r="L9" s="44" t="n">
        <v>18.18</v>
      </c>
      <c r="M9" s="44" t="n">
        <v>6</v>
      </c>
      <c r="N9" s="139" t="n">
        <f aca="false">IFERROR(IF(L9*M9=0,"",L9*M9),"")</f>
        <v>109.08</v>
      </c>
      <c r="O9" s="46" t="s">
        <v>243</v>
      </c>
      <c r="P9" s="138" t="str">
        <f aca="false">IFERROR(VLOOKUP(TEXT(O9,"0"),CONDUCTORES!$A$3:$G$100,2,0),"")</f>
        <v>CHICANA LOPEZ MANUEL HECTOR</v>
      </c>
      <c r="Q9" s="138" t="str">
        <f aca="false">IFERROR(VLOOKUP(TEXT(O9,"0"),CONDUCTORES!$A$3:$H$100,6,0),"")</f>
        <v>EUH747</v>
      </c>
      <c r="R9" s="85"/>
      <c r="S9" s="110" t="s">
        <v>5040</v>
      </c>
      <c r="T9" s="46"/>
      <c r="U9" s="85"/>
      <c r="V9" s="110"/>
      <c r="W9" s="46"/>
      <c r="X9" s="46"/>
      <c r="Y9" s="85"/>
      <c r="Z9" s="157" t="str">
        <f aca="false">IF(AND(R9&lt;&gt;"",V9&lt;&gt;"",W9&lt;&gt;""),"ENTREGADO","POR RECOGER")</f>
        <v>POR RECOGER</v>
      </c>
      <c r="AA9" s="4"/>
      <c r="AB9" s="4"/>
      <c r="AC9" s="4"/>
    </row>
    <row r="10" customFormat="false" ht="15.75" hidden="false" customHeight="true" outlineLevel="0" collapsed="false">
      <c r="A10" s="143" t="n">
        <v>5</v>
      </c>
      <c r="B10" s="144"/>
      <c r="C10" s="143" t="s">
        <v>752</v>
      </c>
      <c r="D10" s="144" t="s">
        <v>5041</v>
      </c>
      <c r="E10" s="143" t="s">
        <v>99</v>
      </c>
      <c r="F10" s="143" t="s">
        <v>5042</v>
      </c>
      <c r="G10" s="145" t="n">
        <v>46082</v>
      </c>
      <c r="H10" s="143" t="s">
        <v>350</v>
      </c>
      <c r="I10" s="138" t="str">
        <f aca="false">IFERROR(VLOOKUP(TEXT(H10,"0"),IPRESS!$A$3:$B$212,2,0),"")</f>
        <v>BUENOS AIRES</v>
      </c>
      <c r="J10" s="143" t="s">
        <v>755</v>
      </c>
      <c r="K10" s="164" t="s">
        <v>16</v>
      </c>
      <c r="L10" s="146" t="n">
        <v>17.95</v>
      </c>
      <c r="M10" s="146" t="n">
        <v>15</v>
      </c>
      <c r="N10" s="139" t="n">
        <f aca="false">IFERROR(IF(L10*M10=0,"",L10*M10),"")</f>
        <v>269.25</v>
      </c>
      <c r="O10" s="77" t="s">
        <v>301</v>
      </c>
      <c r="P10" s="138" t="str">
        <f aca="false">IFERROR(VLOOKUP(TEXT(O10,"0"),CONDUCTORES!$A$3:$G$100,2,0),"")</f>
        <v>RONAL SAUCEDO GUEVARA</v>
      </c>
      <c r="Q10" s="138" t="str">
        <f aca="false">IFERROR(VLOOKUP(TEXT(O10,"0"),CONDUCTORES!$A$3:$H$100,6,0),"")</f>
        <v>EUB-067</v>
      </c>
      <c r="R10" s="147"/>
      <c r="S10" s="144" t="s">
        <v>4885</v>
      </c>
      <c r="T10" s="143"/>
      <c r="U10" s="147"/>
      <c r="V10" s="144"/>
      <c r="W10" s="143"/>
      <c r="X10" s="143"/>
      <c r="Y10" s="85"/>
      <c r="Z10" s="157" t="str">
        <f aca="false">IF(AND(R10&lt;&gt;"",V10&lt;&gt;"",W10&lt;&gt;""),"ENTREGADO","POR RECOGER")</f>
        <v>POR RECOGER</v>
      </c>
      <c r="AA10" s="4"/>
      <c r="AB10" s="4"/>
      <c r="AC10" s="4"/>
    </row>
    <row r="11" customFormat="false" ht="15.75" hidden="false" customHeight="true" outlineLevel="0" collapsed="false">
      <c r="A11" s="46" t="n">
        <v>6</v>
      </c>
      <c r="B11" s="110"/>
      <c r="C11" s="46" t="s">
        <v>752</v>
      </c>
      <c r="D11" s="110" t="s">
        <v>5043</v>
      </c>
      <c r="E11" s="46" t="s">
        <v>99</v>
      </c>
      <c r="F11" s="46" t="s">
        <v>5044</v>
      </c>
      <c r="G11" s="142" t="n">
        <v>46082</v>
      </c>
      <c r="H11" s="46" t="s">
        <v>517</v>
      </c>
      <c r="I11" s="138" t="str">
        <f aca="false">IFERROR(VLOOKUP(TEXT(H11,"0"),IPRESS!$A$3:$B$212,2,0),"")</f>
        <v>LUYA</v>
      </c>
      <c r="J11" s="46" t="s">
        <v>755</v>
      </c>
      <c r="K11" s="138" t="s">
        <v>14</v>
      </c>
      <c r="L11" s="44" t="n">
        <v>18.18</v>
      </c>
      <c r="M11" s="44" t="n">
        <v>4</v>
      </c>
      <c r="N11" s="139" t="n">
        <f aca="false">IFERROR(IF(L11*M11=0,"",L11*M11),"")</f>
        <v>72.72</v>
      </c>
      <c r="O11" s="46" t="s">
        <v>175</v>
      </c>
      <c r="P11" s="138" t="str">
        <f aca="false">IFERROR(VLOOKUP(TEXT(O11,"0"),CONDUCTORES!$A$3:$G$100,2,0),"")</f>
        <v>DANIEL ZELADA TRUJILLO</v>
      </c>
      <c r="Q11" s="138" t="str">
        <f aca="false">IFERROR(VLOOKUP(TEXT(O11,"0"),CONDUCTORES!$A$3:$H$100,6,0),"")</f>
        <v>EUA-963</v>
      </c>
      <c r="R11" s="85"/>
      <c r="S11" s="110" t="s">
        <v>5045</v>
      </c>
      <c r="T11" s="46"/>
      <c r="U11" s="85"/>
      <c r="V11" s="110"/>
      <c r="W11" s="46"/>
      <c r="X11" s="46"/>
      <c r="Y11" s="85"/>
      <c r="Z11" s="157" t="str">
        <f aca="false">IF(AND(R11&lt;&gt;"",V11&lt;&gt;"",W11&lt;&gt;""),"ENTREGADO","POR RECOGER")</f>
        <v>POR RECOGER</v>
      </c>
      <c r="AA11" s="4"/>
      <c r="AB11" s="4"/>
      <c r="AC11" s="4"/>
    </row>
    <row r="12" customFormat="false" ht="15.75" hidden="false" customHeight="true" outlineLevel="0" collapsed="false">
      <c r="A12" s="106" t="n">
        <v>7</v>
      </c>
      <c r="B12" s="107"/>
      <c r="C12" s="106" t="s">
        <v>752</v>
      </c>
      <c r="D12" s="107" t="s">
        <v>5046</v>
      </c>
      <c r="E12" s="136" t="s">
        <v>99</v>
      </c>
      <c r="F12" s="106" t="s">
        <v>5047</v>
      </c>
      <c r="G12" s="137" t="n">
        <v>46083</v>
      </c>
      <c r="H12" s="106" t="s">
        <v>529</v>
      </c>
      <c r="I12" s="138" t="str">
        <f aca="false">IFERROR(VLOOKUP(TEXT(H12,"0"),IPRESS!$A$3:$B$212,2,0),"")</f>
        <v>MARIA AUXILIADORA</v>
      </c>
      <c r="J12" s="106" t="s">
        <v>755</v>
      </c>
      <c r="K12" s="138" t="s">
        <v>14</v>
      </c>
      <c r="L12" s="50" t="n">
        <v>20.25</v>
      </c>
      <c r="M12" s="50" t="n">
        <v>7.1</v>
      </c>
      <c r="N12" s="139" t="n">
        <f aca="false">IFERROR(IF(L12*M12=0,"",L12*M12),"")</f>
        <v>143.775</v>
      </c>
      <c r="O12" s="106" t="s">
        <v>145</v>
      </c>
      <c r="P12" s="138" t="str">
        <f aca="false">IFERROR(VLOOKUP(TEXT(O12,"0"),CONDUCTORES!$A$3:$G$100,2,0),"")</f>
        <v>SERNAQUE PELAEZ WILMER</v>
      </c>
      <c r="Q12" s="138" t="str">
        <f aca="false">IFERROR(VLOOKUP(TEXT(O12,"0"),CONDUCTORES!$A$3:$H$100,6,0),"")</f>
        <v>EUH-421</v>
      </c>
      <c r="R12" s="140"/>
      <c r="S12" s="107" t="s">
        <v>5048</v>
      </c>
      <c r="T12" s="136"/>
      <c r="U12" s="140"/>
      <c r="V12" s="107"/>
      <c r="W12" s="106"/>
      <c r="X12" s="106"/>
      <c r="Y12" s="85"/>
      <c r="Z12" s="157" t="str">
        <f aca="false">IF(AND(R12&lt;&gt;"",V12&lt;&gt;"",W12&lt;&gt;""),"ENTREGADO","POR RECOGER")</f>
        <v>POR RECOGER</v>
      </c>
      <c r="AA12" s="4"/>
      <c r="AB12" s="4"/>
      <c r="AC12" s="4"/>
    </row>
    <row r="13" customFormat="false" ht="15.75" hidden="false" customHeight="true" outlineLevel="0" collapsed="false">
      <c r="A13" s="46" t="n">
        <v>8</v>
      </c>
      <c r="B13" s="110"/>
      <c r="C13" s="46" t="s">
        <v>752</v>
      </c>
      <c r="D13" s="110" t="s">
        <v>5049</v>
      </c>
      <c r="E13" s="46" t="s">
        <v>99</v>
      </c>
      <c r="F13" s="46" t="s">
        <v>5050</v>
      </c>
      <c r="G13" s="142" t="n">
        <v>46083</v>
      </c>
      <c r="H13" s="46" t="s">
        <v>595</v>
      </c>
      <c r="I13" s="138" t="str">
        <f aca="false">IFERROR(VLOOKUP(TEXT(H13,"0"),IPRESS!$A$3:$B$212,2,0),"")</f>
        <v>POMACOCHAS</v>
      </c>
      <c r="J13" s="46" t="s">
        <v>755</v>
      </c>
      <c r="K13" s="138" t="s">
        <v>14</v>
      </c>
      <c r="L13" s="44" t="n">
        <v>18.18</v>
      </c>
      <c r="M13" s="44" t="n">
        <v>6</v>
      </c>
      <c r="N13" s="139" t="n">
        <f aca="false">IFERROR(IF(L13*M13=0,"",L13*M13),"")</f>
        <v>109.08</v>
      </c>
      <c r="O13" s="46" t="s">
        <v>243</v>
      </c>
      <c r="P13" s="138" t="str">
        <f aca="false">IFERROR(VLOOKUP(TEXT(O13,"0"),CONDUCTORES!$A$3:$G$100,2,0),"")</f>
        <v>CHICANA LOPEZ MANUEL HECTOR</v>
      </c>
      <c r="Q13" s="138" t="str">
        <f aca="false">IFERROR(VLOOKUP(TEXT(O13,"0"),CONDUCTORES!$A$3:$H$100,6,0),"")</f>
        <v>EUH747</v>
      </c>
      <c r="R13" s="85"/>
      <c r="S13" s="110" t="s">
        <v>1424</v>
      </c>
      <c r="T13" s="46"/>
      <c r="U13" s="85"/>
      <c r="V13" s="110"/>
      <c r="W13" s="46"/>
      <c r="X13" s="46"/>
      <c r="Y13" s="85"/>
      <c r="Z13" s="157" t="str">
        <f aca="false">IF(AND(R13&lt;&gt;"",V13&lt;&gt;"",W13&lt;&gt;""),"ENTREGADO","POR RECOGER")</f>
        <v>POR RECOGER</v>
      </c>
      <c r="AA13" s="4"/>
      <c r="AB13" s="4"/>
      <c r="AC13" s="4"/>
    </row>
    <row r="14" customFormat="false" ht="15.75" hidden="false" customHeight="true" outlineLevel="0" collapsed="false">
      <c r="A14" s="106" t="n">
        <v>9</v>
      </c>
      <c r="B14" s="107"/>
      <c r="C14" s="106" t="s">
        <v>752</v>
      </c>
      <c r="D14" s="107" t="s">
        <v>5051</v>
      </c>
      <c r="E14" s="136" t="s">
        <v>99</v>
      </c>
      <c r="F14" s="106" t="s">
        <v>5052</v>
      </c>
      <c r="G14" s="137" t="n">
        <v>46084</v>
      </c>
      <c r="H14" s="106" t="s">
        <v>529</v>
      </c>
      <c r="I14" s="138" t="str">
        <f aca="false">IFERROR(VLOOKUP(TEXT(H14,"0"),IPRESS!$A$3:$B$212,2,0),"")</f>
        <v>MARIA AUXILIADORA</v>
      </c>
      <c r="J14" s="106" t="s">
        <v>755</v>
      </c>
      <c r="K14" s="138" t="s">
        <v>14</v>
      </c>
      <c r="L14" s="50" t="n">
        <v>20.25</v>
      </c>
      <c r="M14" s="50" t="n">
        <v>7</v>
      </c>
      <c r="N14" s="139" t="n">
        <f aca="false">IFERROR(IF(L14*M14=0,"",L14*M14),"")</f>
        <v>141.75</v>
      </c>
      <c r="O14" s="106" t="s">
        <v>145</v>
      </c>
      <c r="P14" s="138" t="str">
        <f aca="false">IFERROR(VLOOKUP(TEXT(O14,"0"),CONDUCTORES!$A$3:$G$100,2,0),"")</f>
        <v>SERNAQUE PELAEZ WILMER</v>
      </c>
      <c r="Q14" s="138" t="str">
        <f aca="false">IFERROR(VLOOKUP(TEXT(O14,"0"),CONDUCTORES!$A$3:$H$100,6,0),"")</f>
        <v>EUH-421</v>
      </c>
      <c r="R14" s="140"/>
      <c r="S14" s="107" t="s">
        <v>5053</v>
      </c>
      <c r="T14" s="136"/>
      <c r="U14" s="140"/>
      <c r="V14" s="107"/>
      <c r="W14" s="106"/>
      <c r="X14" s="106"/>
      <c r="Y14" s="85"/>
      <c r="Z14" s="157" t="str">
        <f aca="false">IF(AND(R14&lt;&gt;"",V14&lt;&gt;"",W14&lt;&gt;""),"ENTREGADO","POR RECOGER")</f>
        <v>POR RECOGER</v>
      </c>
      <c r="AA14" s="4"/>
      <c r="AB14" s="4"/>
      <c r="AC14" s="4"/>
    </row>
    <row r="15" customFormat="false" ht="15.75" hidden="false" customHeight="true" outlineLevel="0" collapsed="false">
      <c r="A15" s="46" t="n">
        <v>10</v>
      </c>
      <c r="B15" s="110"/>
      <c r="C15" s="46" t="s">
        <v>752</v>
      </c>
      <c r="D15" s="110" t="s">
        <v>5054</v>
      </c>
      <c r="E15" s="46" t="s">
        <v>99</v>
      </c>
      <c r="F15" s="46" t="s">
        <v>5055</v>
      </c>
      <c r="G15" s="142" t="n">
        <v>46084</v>
      </c>
      <c r="H15" s="46" t="s">
        <v>529</v>
      </c>
      <c r="I15" s="138" t="str">
        <f aca="false">IFERROR(VLOOKUP(TEXT(H15,"0"),IPRESS!$A$3:$B$212,2,0),"")</f>
        <v>MARIA AUXILIADORA</v>
      </c>
      <c r="J15" s="46" t="s">
        <v>755</v>
      </c>
      <c r="K15" s="138" t="s">
        <v>14</v>
      </c>
      <c r="L15" s="44" t="n">
        <v>20.25</v>
      </c>
      <c r="M15" s="44" t="n">
        <v>7</v>
      </c>
      <c r="N15" s="139" t="n">
        <f aca="false">IFERROR(IF(L15*M15=0,"",L15*M15),"")</f>
        <v>141.75</v>
      </c>
      <c r="O15" s="46" t="s">
        <v>148</v>
      </c>
      <c r="P15" s="138" t="str">
        <f aca="false">IFERROR(VLOOKUP(TEXT(O15,"0"),CONDUCTORES!$A$3:$G$100,2,0),"")</f>
        <v>ROJAS ALVARADO BENJAMIN</v>
      </c>
      <c r="Q15" s="138" t="str">
        <f aca="false">IFERROR(VLOOKUP(TEXT(O15,"0"),CONDUCTORES!$A$3:$H$100,6,0),"")</f>
        <v>421 EUH</v>
      </c>
      <c r="R15" s="85"/>
      <c r="S15" s="110" t="s">
        <v>5056</v>
      </c>
      <c r="T15" s="46"/>
      <c r="U15" s="85"/>
      <c r="V15" s="110"/>
      <c r="W15" s="46"/>
      <c r="X15" s="46"/>
      <c r="Y15" s="85"/>
      <c r="Z15" s="157" t="str">
        <f aca="false">IF(AND(R15&lt;&gt;"",V15&lt;&gt;"",W15&lt;&gt;""),"ENTREGADO","POR RECOGER")</f>
        <v>POR RECOGER</v>
      </c>
      <c r="AA15" s="4"/>
      <c r="AB15" s="4"/>
      <c r="AC15" s="4"/>
    </row>
    <row r="16" customFormat="false" ht="15.75" hidden="false" customHeight="true" outlineLevel="0" collapsed="false">
      <c r="A16" s="106" t="n">
        <v>11</v>
      </c>
      <c r="B16" s="107"/>
      <c r="C16" s="106" t="s">
        <v>752</v>
      </c>
      <c r="D16" s="107" t="s">
        <v>5057</v>
      </c>
      <c r="E16" s="136" t="s">
        <v>99</v>
      </c>
      <c r="F16" s="106" t="s">
        <v>5058</v>
      </c>
      <c r="G16" s="137" t="n">
        <v>46084</v>
      </c>
      <c r="H16" s="106" t="s">
        <v>581</v>
      </c>
      <c r="I16" s="138" t="str">
        <f aca="false">IFERROR(VLOOKUP(TEXT(H16,"0"),IPRESS!$A$3:$B$212,2,0),"")</f>
        <v>PEDRO RUIZ GALLO</v>
      </c>
      <c r="J16" s="106" t="s">
        <v>755</v>
      </c>
      <c r="K16" s="138" t="s">
        <v>14</v>
      </c>
      <c r="L16" s="50" t="n">
        <v>18.18</v>
      </c>
      <c r="M16" s="50" t="n">
        <v>5</v>
      </c>
      <c r="N16" s="139" t="n">
        <f aca="false">IFERROR(IF(L16*M16=0,"",L16*M16),"")</f>
        <v>90.9</v>
      </c>
      <c r="O16" s="106" t="s">
        <v>238</v>
      </c>
      <c r="P16" s="138" t="str">
        <f aca="false">IFERROR(VLOOKUP(TEXT(O16,"0"),CONDUCTORES!$A$3:$G$100,2,0),"")</f>
        <v>RIOS CHAVEZ WUILQUE</v>
      </c>
      <c r="Q16" s="138" t="str">
        <f aca="false">IFERROR(VLOOKUP(TEXT(O16,"0"),CONDUCTORES!$A$3:$H$100,6,0),"")</f>
        <v>EUD360</v>
      </c>
      <c r="R16" s="140"/>
      <c r="S16" s="107" t="s">
        <v>917</v>
      </c>
      <c r="T16" s="136"/>
      <c r="U16" s="140"/>
      <c r="V16" s="107"/>
      <c r="W16" s="106"/>
      <c r="X16" s="106"/>
      <c r="Y16" s="85"/>
      <c r="Z16" s="157" t="str">
        <f aca="false">IF(AND(R16&lt;&gt;"",V16&lt;&gt;"",W16&lt;&gt;""),"ENTREGADO","POR RECOGER")</f>
        <v>POR RECOGER</v>
      </c>
      <c r="AA16" s="4"/>
      <c r="AB16" s="4"/>
      <c r="AC16" s="4"/>
    </row>
    <row r="17" customFormat="false" ht="15.75" hidden="false" customHeight="true" outlineLevel="0" collapsed="false">
      <c r="A17" s="46" t="n">
        <v>12</v>
      </c>
      <c r="B17" s="110"/>
      <c r="C17" s="46" t="s">
        <v>752</v>
      </c>
      <c r="D17" s="110" t="s">
        <v>5059</v>
      </c>
      <c r="E17" s="46" t="s">
        <v>99</v>
      </c>
      <c r="F17" s="46" t="s">
        <v>5060</v>
      </c>
      <c r="G17" s="142" t="n">
        <v>46085</v>
      </c>
      <c r="H17" s="46" t="s">
        <v>717</v>
      </c>
      <c r="I17" s="138" t="str">
        <f aca="false">IFERROR(VLOOKUP(TEXT(H17,"0"),IPRESS!$A$3:$B$212,2,0),"")</f>
        <v>YERBABUENA</v>
      </c>
      <c r="J17" s="46" t="s">
        <v>755</v>
      </c>
      <c r="K17" s="138" t="s">
        <v>14</v>
      </c>
      <c r="L17" s="44" t="n">
        <v>18.18</v>
      </c>
      <c r="M17" s="44" t="n">
        <v>6</v>
      </c>
      <c r="N17" s="139" t="n">
        <f aca="false">IFERROR(IF(L17*M17=0,"",L17*M17),"")</f>
        <v>109.08</v>
      </c>
      <c r="O17" s="46" t="s">
        <v>280</v>
      </c>
      <c r="P17" s="138" t="str">
        <f aca="false">IFERROR(VLOOKUP(TEXT(O17,"0"),CONDUCTORES!$A$3:$G$100,2,0),"")</f>
        <v>SANCHEZ CAJO VICENTE</v>
      </c>
      <c r="Q17" s="138" t="str">
        <f aca="false">IFERROR(VLOOKUP(TEXT(O17,"0"),CONDUCTORES!$A$3:$H$100,6,0),"")</f>
        <v>EGL-296</v>
      </c>
      <c r="R17" s="85"/>
      <c r="S17" s="110" t="s">
        <v>1487</v>
      </c>
      <c r="T17" s="46"/>
      <c r="U17" s="85"/>
      <c r="V17" s="110"/>
      <c r="W17" s="46"/>
      <c r="X17" s="46"/>
      <c r="Y17" s="85"/>
      <c r="Z17" s="157" t="str">
        <f aca="false">IF(AND(R17&lt;&gt;"",V17&lt;&gt;"",W17&lt;&gt;""),"ENTREGADO","POR RECOGER")</f>
        <v>POR RECOGER</v>
      </c>
      <c r="AA17" s="4"/>
      <c r="AB17" s="4"/>
      <c r="AC17" s="4"/>
    </row>
    <row r="18" customFormat="false" ht="15.75" hidden="false" customHeight="true" outlineLevel="0" collapsed="false">
      <c r="A18" s="143" t="n">
        <v>13</v>
      </c>
      <c r="B18" s="144"/>
      <c r="C18" s="143" t="s">
        <v>752</v>
      </c>
      <c r="D18" s="144" t="s">
        <v>5061</v>
      </c>
      <c r="E18" s="143" t="s">
        <v>99</v>
      </c>
      <c r="F18" s="143" t="s">
        <v>5062</v>
      </c>
      <c r="G18" s="145" t="n">
        <v>46085</v>
      </c>
      <c r="H18" s="143" t="s">
        <v>581</v>
      </c>
      <c r="I18" s="138" t="str">
        <f aca="false">IFERROR(VLOOKUP(TEXT(H18,"0"),IPRESS!$A$3:$B$212,2,0),"")</f>
        <v>PEDRO RUIZ GALLO</v>
      </c>
      <c r="J18" s="143" t="s">
        <v>755</v>
      </c>
      <c r="K18" s="164" t="s">
        <v>16</v>
      </c>
      <c r="L18" s="146" t="n">
        <v>17.95</v>
      </c>
      <c r="M18" s="146" t="n">
        <v>6</v>
      </c>
      <c r="N18" s="139" t="n">
        <f aca="false">IFERROR(IF(L18*M18=0,"",L18*M18),"")</f>
        <v>107.7</v>
      </c>
      <c r="O18" s="143" t="s">
        <v>234</v>
      </c>
      <c r="P18" s="138" t="str">
        <f aca="false">IFERROR(VLOOKUP(TEXT(O18,"0"),CONDUCTORES!$A$3:$G$100,2,0),"")</f>
        <v>MONTENEGRO RUIZ LUIS MIGUEL</v>
      </c>
      <c r="Q18" s="138" t="str">
        <f aca="false">IFERROR(VLOOKUP(TEXT(O18,"0"),CONDUCTORES!$A$3:$H$100,6,0),"")</f>
        <v>EUH-427</v>
      </c>
      <c r="R18" s="147"/>
      <c r="S18" s="144" t="s">
        <v>5063</v>
      </c>
      <c r="T18" s="143"/>
      <c r="U18" s="147"/>
      <c r="V18" s="144"/>
      <c r="W18" s="143"/>
      <c r="X18" s="143"/>
      <c r="Y18" s="85"/>
      <c r="Z18" s="157" t="str">
        <f aca="false">IF(AND(R18&lt;&gt;"",V18&lt;&gt;"",W18&lt;&gt;""),"ENTREGADO","POR RECOGER")</f>
        <v>POR RECOGER</v>
      </c>
      <c r="AA18" s="4"/>
      <c r="AB18" s="4"/>
      <c r="AC18" s="4"/>
    </row>
    <row r="19" customFormat="false" ht="15.75" hidden="false" customHeight="true" outlineLevel="0" collapsed="false">
      <c r="A19" s="46" t="n">
        <v>14</v>
      </c>
      <c r="B19" s="110"/>
      <c r="C19" s="46" t="s">
        <v>752</v>
      </c>
      <c r="D19" s="110" t="s">
        <v>5064</v>
      </c>
      <c r="E19" s="46" t="s">
        <v>99</v>
      </c>
      <c r="F19" s="46" t="s">
        <v>5065</v>
      </c>
      <c r="G19" s="142" t="n">
        <v>46086</v>
      </c>
      <c r="H19" s="46" t="s">
        <v>529</v>
      </c>
      <c r="I19" s="138" t="str">
        <f aca="false">IFERROR(VLOOKUP(TEXT(H19,"0"),IPRESS!$A$3:$B$212,2,0),"")</f>
        <v>MARIA AUXILIADORA</v>
      </c>
      <c r="J19" s="46" t="s">
        <v>755</v>
      </c>
      <c r="K19" s="138" t="s">
        <v>14</v>
      </c>
      <c r="L19" s="44" t="n">
        <v>20.25</v>
      </c>
      <c r="M19" s="44" t="n">
        <v>7</v>
      </c>
      <c r="N19" s="139" t="n">
        <f aca="false">IFERROR(IF(L19*M19=0,"",L19*M19),"")</f>
        <v>141.75</v>
      </c>
      <c r="O19" s="46" t="s">
        <v>139</v>
      </c>
      <c r="P19" s="138" t="str">
        <f aca="false">IFERROR(VLOOKUP(TEXT(O19,"0"),CONDUCTORES!$A$3:$G$100,2,0),"")</f>
        <v>PORTOCARRERO PELAEZ MIGUEL ANTONIO</v>
      </c>
      <c r="Q19" s="138" t="str">
        <f aca="false">IFERROR(VLOOKUP(TEXT(O19,"0"),CONDUCTORES!$A$3:$H$100,6,0),"")</f>
        <v>EUH-421</v>
      </c>
      <c r="R19" s="85"/>
      <c r="S19" s="110" t="s">
        <v>998</v>
      </c>
      <c r="T19" s="46"/>
      <c r="U19" s="85"/>
      <c r="V19" s="110"/>
      <c r="W19" s="46"/>
      <c r="X19" s="46"/>
      <c r="Y19" s="85"/>
      <c r="Z19" s="157" t="str">
        <f aca="false">IF(AND(R19&lt;&gt;"",V19&lt;&gt;"",W19&lt;&gt;""),"ENTREGADO","POR RECOGER")</f>
        <v>POR RECOGER</v>
      </c>
      <c r="AA19" s="4"/>
      <c r="AB19" s="4"/>
      <c r="AC19" s="4"/>
    </row>
    <row r="20" customFormat="false" ht="15.75" hidden="false" customHeight="true" outlineLevel="0" collapsed="false">
      <c r="A20" s="106" t="n">
        <v>15</v>
      </c>
      <c r="B20" s="107"/>
      <c r="C20" s="106" t="s">
        <v>752</v>
      </c>
      <c r="D20" s="107" t="s">
        <v>5066</v>
      </c>
      <c r="E20" s="136" t="s">
        <v>99</v>
      </c>
      <c r="F20" s="106" t="s">
        <v>5067</v>
      </c>
      <c r="G20" s="137" t="n">
        <v>46086</v>
      </c>
      <c r="H20" s="106" t="s">
        <v>717</v>
      </c>
      <c r="I20" s="138" t="str">
        <f aca="false">IFERROR(VLOOKUP(TEXT(H20,"0"),IPRESS!$A$3:$B$212,2,0),"")</f>
        <v>YERBABUENA</v>
      </c>
      <c r="J20" s="106" t="s">
        <v>755</v>
      </c>
      <c r="K20" s="138" t="s">
        <v>14</v>
      </c>
      <c r="L20" s="50" t="n">
        <v>18.18</v>
      </c>
      <c r="M20" s="50" t="n">
        <v>6</v>
      </c>
      <c r="N20" s="139" t="n">
        <f aca="false">IFERROR(IF(L20*M20=0,"",L20*M20),"")</f>
        <v>109.08</v>
      </c>
      <c r="O20" s="106" t="s">
        <v>280</v>
      </c>
      <c r="P20" s="138" t="str">
        <f aca="false">IFERROR(VLOOKUP(TEXT(O20,"0"),CONDUCTORES!$A$3:$G$100,2,0),"")</f>
        <v>SANCHEZ CAJO VICENTE</v>
      </c>
      <c r="Q20" s="138" t="str">
        <f aca="false">IFERROR(VLOOKUP(TEXT(O20,"0"),CONDUCTORES!$A$3:$H$100,6,0),"")</f>
        <v>EGL-296</v>
      </c>
      <c r="R20" s="140"/>
      <c r="S20" s="107" t="s">
        <v>5068</v>
      </c>
      <c r="T20" s="136"/>
      <c r="U20" s="140"/>
      <c r="V20" s="107"/>
      <c r="W20" s="106"/>
      <c r="X20" s="106"/>
      <c r="Y20" s="85"/>
      <c r="Z20" s="157" t="str">
        <f aca="false">IF(AND(R20&lt;&gt;"",V20&lt;&gt;"",W20&lt;&gt;""),"ENTREGADO","POR RECOGER")</f>
        <v>POR RECOGER</v>
      </c>
      <c r="AA20" s="4"/>
      <c r="AB20" s="4"/>
      <c r="AC20" s="4"/>
    </row>
    <row r="21" customFormat="false" ht="15.75" hidden="false" customHeight="true" outlineLevel="0" collapsed="false">
      <c r="A21" s="143" t="n">
        <v>16</v>
      </c>
      <c r="B21" s="144"/>
      <c r="C21" s="143" t="s">
        <v>752</v>
      </c>
      <c r="D21" s="144" t="s">
        <v>5069</v>
      </c>
      <c r="E21" s="143" t="s">
        <v>99</v>
      </c>
      <c r="F21" s="143" t="s">
        <v>5070</v>
      </c>
      <c r="G21" s="145" t="n">
        <v>46087</v>
      </c>
      <c r="H21" s="143" t="s">
        <v>581</v>
      </c>
      <c r="I21" s="138" t="str">
        <f aca="false">IFERROR(VLOOKUP(TEXT(H21,"0"),IPRESS!$A$3:$B$212,2,0),"")</f>
        <v>PEDRO RUIZ GALLO</v>
      </c>
      <c r="J21" s="143" t="s">
        <v>755</v>
      </c>
      <c r="K21" s="164" t="s">
        <v>16</v>
      </c>
      <c r="L21" s="146" t="n">
        <v>17.95</v>
      </c>
      <c r="M21" s="146" t="n">
        <v>6</v>
      </c>
      <c r="N21" s="139" t="n">
        <f aca="false">IFERROR(IF(L21*M21=0,"",L21*M21),"")</f>
        <v>107.7</v>
      </c>
      <c r="O21" s="143" t="s">
        <v>234</v>
      </c>
      <c r="P21" s="138" t="str">
        <f aca="false">IFERROR(VLOOKUP(TEXT(O21,"0"),CONDUCTORES!$A$3:$G$100,2,0),"")</f>
        <v>MONTENEGRO RUIZ LUIS MIGUEL</v>
      </c>
      <c r="Q21" s="138" t="str">
        <f aca="false">IFERROR(VLOOKUP(TEXT(O21,"0"),CONDUCTORES!$A$3:$H$100,6,0),"")</f>
        <v>EUH-427</v>
      </c>
      <c r="R21" s="147"/>
      <c r="S21" s="144" t="s">
        <v>1292</v>
      </c>
      <c r="T21" s="143"/>
      <c r="U21" s="147"/>
      <c r="V21" s="144"/>
      <c r="W21" s="143"/>
      <c r="X21" s="143"/>
      <c r="Y21" s="85"/>
      <c r="Z21" s="157" t="str">
        <f aca="false">IF(AND(R21&lt;&gt;"",V21&lt;&gt;"",W21&lt;&gt;""),"ENTREGADO","POR RECOGER")</f>
        <v>POR RECOGER</v>
      </c>
      <c r="AA21" s="4"/>
      <c r="AB21" s="4"/>
      <c r="AC21" s="4"/>
    </row>
    <row r="22" customFormat="false" ht="15.75" hidden="false" customHeight="true" outlineLevel="0" collapsed="false">
      <c r="A22" s="143" t="n">
        <v>17</v>
      </c>
      <c r="B22" s="144"/>
      <c r="C22" s="143" t="s">
        <v>752</v>
      </c>
      <c r="D22" s="144" t="s">
        <v>5071</v>
      </c>
      <c r="E22" s="143" t="s">
        <v>99</v>
      </c>
      <c r="F22" s="143" t="s">
        <v>5072</v>
      </c>
      <c r="G22" s="145" t="n">
        <v>46087</v>
      </c>
      <c r="H22" s="143" t="s">
        <v>581</v>
      </c>
      <c r="I22" s="138" t="str">
        <f aca="false">IFERROR(VLOOKUP(TEXT(H22,"0"),IPRESS!$A$3:$B$212,2,0),"")</f>
        <v>PEDRO RUIZ GALLO</v>
      </c>
      <c r="J22" s="143" t="s">
        <v>755</v>
      </c>
      <c r="K22" s="164" t="s">
        <v>16</v>
      </c>
      <c r="L22" s="146" t="n">
        <v>17.95</v>
      </c>
      <c r="M22" s="146" t="n">
        <v>6</v>
      </c>
      <c r="N22" s="139" t="n">
        <f aca="false">IFERROR(IF(L22*M22=0,"",L22*M22),"")</f>
        <v>107.7</v>
      </c>
      <c r="O22" s="143" t="s">
        <v>238</v>
      </c>
      <c r="P22" s="138" t="str">
        <f aca="false">IFERROR(VLOOKUP(TEXT(O22,"0"),CONDUCTORES!$A$3:$G$100,2,0),"")</f>
        <v>RIOS CHAVEZ WUILQUE</v>
      </c>
      <c r="Q22" s="138" t="str">
        <f aca="false">IFERROR(VLOOKUP(TEXT(O22,"0"),CONDUCTORES!$A$3:$H$100,6,0),"")</f>
        <v>EUD360</v>
      </c>
      <c r="R22" s="147"/>
      <c r="S22" s="144" t="s">
        <v>5073</v>
      </c>
      <c r="T22" s="143"/>
      <c r="U22" s="147"/>
      <c r="V22" s="144"/>
      <c r="W22" s="143"/>
      <c r="X22" s="143"/>
      <c r="Y22" s="85"/>
      <c r="Z22" s="157" t="str">
        <f aca="false">IF(AND(R22&lt;&gt;"",V22&lt;&gt;"",W22&lt;&gt;""),"ENTREGADO","POR RECOGER")</f>
        <v>POR RECOGER</v>
      </c>
      <c r="AA22" s="4"/>
      <c r="AB22" s="4"/>
      <c r="AC22" s="4"/>
    </row>
    <row r="23" customFormat="false" ht="15.75" hidden="false" customHeight="true" outlineLevel="0" collapsed="false">
      <c r="A23" s="46" t="n">
        <v>18</v>
      </c>
      <c r="B23" s="110"/>
      <c r="C23" s="46" t="s">
        <v>752</v>
      </c>
      <c r="D23" s="110" t="s">
        <v>5074</v>
      </c>
      <c r="E23" s="46" t="s">
        <v>99</v>
      </c>
      <c r="F23" s="46" t="s">
        <v>5075</v>
      </c>
      <c r="G23" s="142" t="n">
        <v>46087</v>
      </c>
      <c r="H23" s="46" t="s">
        <v>529</v>
      </c>
      <c r="I23" s="138" t="str">
        <f aca="false">IFERROR(VLOOKUP(TEXT(H23,"0"),IPRESS!$A$3:$B$212,2,0),"")</f>
        <v>MARIA AUXILIADORA</v>
      </c>
      <c r="J23" s="46" t="s">
        <v>755</v>
      </c>
      <c r="K23" s="138" t="s">
        <v>14</v>
      </c>
      <c r="L23" s="44" t="n">
        <v>20.25</v>
      </c>
      <c r="M23" s="44" t="n">
        <v>7</v>
      </c>
      <c r="N23" s="139" t="n">
        <f aca="false">IFERROR(IF(L23*M23=0,"",L23*M23),"")</f>
        <v>141.75</v>
      </c>
      <c r="O23" s="46" t="s">
        <v>145</v>
      </c>
      <c r="P23" s="138" t="str">
        <f aca="false">IFERROR(VLOOKUP(TEXT(O23,"0"),CONDUCTORES!$A$3:$G$100,2,0),"")</f>
        <v>SERNAQUE PELAEZ WILMER</v>
      </c>
      <c r="Q23" s="138" t="str">
        <f aca="false">IFERROR(VLOOKUP(TEXT(O23,"0"),CONDUCTORES!$A$3:$H$100,6,0),"")</f>
        <v>EUH-421</v>
      </c>
      <c r="R23" s="85"/>
      <c r="S23" s="110" t="s">
        <v>5076</v>
      </c>
      <c r="T23" s="46"/>
      <c r="U23" s="85"/>
      <c r="V23" s="110"/>
      <c r="W23" s="46"/>
      <c r="X23" s="46"/>
      <c r="Y23" s="85"/>
      <c r="Z23" s="157" t="str">
        <f aca="false">IF(AND(R23&lt;&gt;"",V23&lt;&gt;"",W23&lt;&gt;""),"ENTREGADO","POR RECOGER")</f>
        <v>POR RECOGER</v>
      </c>
      <c r="AA23" s="4"/>
      <c r="AB23" s="4"/>
      <c r="AC23" s="4"/>
    </row>
    <row r="24" customFormat="false" ht="15.75" hidden="false" customHeight="true" outlineLevel="0" collapsed="false">
      <c r="A24" s="106" t="n">
        <v>19</v>
      </c>
      <c r="B24" s="107"/>
      <c r="C24" s="106" t="s">
        <v>752</v>
      </c>
      <c r="D24" s="107" t="s">
        <v>5077</v>
      </c>
      <c r="E24" s="136" t="s">
        <v>99</v>
      </c>
      <c r="F24" s="106" t="s">
        <v>5078</v>
      </c>
      <c r="G24" s="137" t="n">
        <v>46088</v>
      </c>
      <c r="H24" s="106" t="s">
        <v>572</v>
      </c>
      <c r="I24" s="138" t="str">
        <f aca="false">IFERROR(VLOOKUP(TEXT(H24,"0"),IPRESS!$A$3:$B$212,2,0),"")</f>
        <v>OMIA</v>
      </c>
      <c r="J24" s="106" t="s">
        <v>529</v>
      </c>
      <c r="K24" s="138" t="s">
        <v>14</v>
      </c>
      <c r="L24" s="50" t="n">
        <v>20.25</v>
      </c>
      <c r="M24" s="50" t="n">
        <v>3</v>
      </c>
      <c r="N24" s="139" t="n">
        <f aca="false">IFERROR(IF(L24*M24=0,"",L24*M24),"")</f>
        <v>60.75</v>
      </c>
      <c r="O24" s="106" t="s">
        <v>225</v>
      </c>
      <c r="P24" s="138" t="str">
        <f aca="false">IFERROR(VLOOKUP(TEXT(O24,"0"),CONDUCTORES!$A$3:$G$100,2,0),"")</f>
        <v>LOPEZ VARGAS HUBER</v>
      </c>
      <c r="Q24" s="138" t="str">
        <f aca="false">IFERROR(VLOOKUP(TEXT(O24,"0"),CONDUCTORES!$A$3:$H$100,6,0),"")</f>
        <v>EUH 634</v>
      </c>
      <c r="R24" s="140"/>
      <c r="S24" s="107" t="s">
        <v>5079</v>
      </c>
      <c r="T24" s="136"/>
      <c r="U24" s="140"/>
      <c r="V24" s="107"/>
      <c r="W24" s="106"/>
      <c r="X24" s="106"/>
      <c r="Y24" s="85"/>
      <c r="Z24" s="157" t="str">
        <f aca="false">IF(AND(R24&lt;&gt;"",V24&lt;&gt;"",W24&lt;&gt;""),"ENTREGADO","POR RECOGER")</f>
        <v>POR RECOGER</v>
      </c>
      <c r="AA24" s="4"/>
      <c r="AB24" s="4"/>
      <c r="AC24" s="4"/>
    </row>
    <row r="25" customFormat="false" ht="15.75" hidden="false" customHeight="true" outlineLevel="0" collapsed="false">
      <c r="A25" s="46" t="n">
        <v>20</v>
      </c>
      <c r="B25" s="110"/>
      <c r="C25" s="46" t="s">
        <v>752</v>
      </c>
      <c r="D25" s="110" t="s">
        <v>5080</v>
      </c>
      <c r="E25" s="46" t="s">
        <v>99</v>
      </c>
      <c r="F25" s="46" t="s">
        <v>5081</v>
      </c>
      <c r="G25" s="142" t="n">
        <v>46088</v>
      </c>
      <c r="H25" s="46" t="s">
        <v>529</v>
      </c>
      <c r="I25" s="138" t="str">
        <f aca="false">IFERROR(VLOOKUP(TEXT(H25,"0"),IPRESS!$A$3:$B$212,2,0),"")</f>
        <v>MARIA AUXILIADORA</v>
      </c>
      <c r="J25" s="46" t="s">
        <v>755</v>
      </c>
      <c r="K25" s="138" t="s">
        <v>14</v>
      </c>
      <c r="L25" s="44" t="n">
        <v>20.25</v>
      </c>
      <c r="M25" s="44" t="n">
        <v>7</v>
      </c>
      <c r="N25" s="139" t="n">
        <f aca="false">IFERROR(IF(L25*M25=0,"",L25*M25),"")</f>
        <v>141.75</v>
      </c>
      <c r="O25" s="46" t="s">
        <v>145</v>
      </c>
      <c r="P25" s="138" t="str">
        <f aca="false">IFERROR(VLOOKUP(TEXT(O25,"0"),CONDUCTORES!$A$3:$G$100,2,0),"")</f>
        <v>SERNAQUE PELAEZ WILMER</v>
      </c>
      <c r="Q25" s="138" t="str">
        <f aca="false">IFERROR(VLOOKUP(TEXT(O25,"0"),CONDUCTORES!$A$3:$H$100,6,0),"")</f>
        <v>EUH-421</v>
      </c>
      <c r="R25" s="85"/>
      <c r="S25" s="110" t="s">
        <v>5082</v>
      </c>
      <c r="T25" s="46"/>
      <c r="U25" s="85"/>
      <c r="V25" s="110"/>
      <c r="W25" s="46"/>
      <c r="X25" s="46"/>
      <c r="Y25" s="85"/>
      <c r="Z25" s="157" t="str">
        <f aca="false">IF(AND(R25&lt;&gt;"",V25&lt;&gt;"",W25&lt;&gt;""),"ENTREGADO","POR RECOGER")</f>
        <v>POR RECOGER</v>
      </c>
      <c r="AA25" s="4"/>
      <c r="AB25" s="4"/>
      <c r="AC25" s="4"/>
    </row>
    <row r="26" customFormat="false" ht="15.75" hidden="false" customHeight="true" outlineLevel="0" collapsed="false">
      <c r="A26" s="158" t="n">
        <v>21</v>
      </c>
      <c r="B26" s="159"/>
      <c r="C26" s="158" t="s">
        <v>752</v>
      </c>
      <c r="D26" s="159" t="s">
        <v>5083</v>
      </c>
      <c r="E26" s="158" t="s">
        <v>99</v>
      </c>
      <c r="F26" s="158" t="s">
        <v>5084</v>
      </c>
      <c r="G26" s="160" t="n">
        <v>46088</v>
      </c>
      <c r="H26" s="158" t="s">
        <v>460</v>
      </c>
      <c r="I26" s="138" t="str">
        <f aca="false">IFERROR(VLOOKUP(TEXT(H26,"0"),IPRESS!$A$3:$B$212,2,0),"")</f>
        <v>GUADALUPE</v>
      </c>
      <c r="J26" s="158" t="s">
        <v>1216</v>
      </c>
      <c r="K26" s="138" t="s">
        <v>14</v>
      </c>
      <c r="L26" s="161" t="n">
        <v>18.18</v>
      </c>
      <c r="M26" s="161" t="n">
        <v>20</v>
      </c>
      <c r="N26" s="139" t="n">
        <f aca="false">IFERROR(IF(L26*M26=0,"",L26*M26),"")</f>
        <v>363.6</v>
      </c>
      <c r="O26" s="81" t="s">
        <v>306</v>
      </c>
      <c r="P26" s="138" t="str">
        <f aca="false">IFERROR(VLOOKUP(TEXT(O26,"0"),CONDUCTORES!$A$3:$G$100,2,0),"")</f>
        <v>NAIDER TELLO ESTELA</v>
      </c>
      <c r="Q26" s="138" t="str">
        <f aca="false">IFERROR(VLOOKUP(TEXT(O26,"0"),CONDUCTORES!$A$3:$H$100,6,0),"")</f>
        <v>EUH-708</v>
      </c>
      <c r="R26" s="162"/>
      <c r="S26" s="159" t="s">
        <v>891</v>
      </c>
      <c r="T26" s="158"/>
      <c r="U26" s="162"/>
      <c r="V26" s="159"/>
      <c r="W26" s="158"/>
      <c r="X26" s="158"/>
      <c r="Y26" s="163" t="s">
        <v>311</v>
      </c>
      <c r="Z26" s="157" t="str">
        <f aca="false">IF(AND(R26&lt;&gt;"",V26&lt;&gt;"",W26&lt;&gt;""),"ENTREGADO","POR RECOGER")</f>
        <v>POR RECOGER</v>
      </c>
      <c r="AA26" s="4"/>
      <c r="AB26" s="4"/>
      <c r="AC26" s="4"/>
    </row>
    <row r="27" customFormat="false" ht="15.75" hidden="false" customHeight="true" outlineLevel="0" collapsed="false">
      <c r="A27" s="46" t="n">
        <v>22</v>
      </c>
      <c r="B27" s="110"/>
      <c r="C27" s="46" t="s">
        <v>752</v>
      </c>
      <c r="D27" s="110" t="s">
        <v>5085</v>
      </c>
      <c r="E27" s="46" t="s">
        <v>99</v>
      </c>
      <c r="F27" s="46" t="s">
        <v>5086</v>
      </c>
      <c r="G27" s="142" t="n">
        <v>46089</v>
      </c>
      <c r="H27" s="46" t="s">
        <v>529</v>
      </c>
      <c r="I27" s="138" t="str">
        <f aca="false">IFERROR(VLOOKUP(TEXT(H27,"0"),IPRESS!$A$3:$B$212,2,0),"")</f>
        <v>MARIA AUXILIADORA</v>
      </c>
      <c r="J27" s="46" t="s">
        <v>755</v>
      </c>
      <c r="K27" s="138" t="s">
        <v>14</v>
      </c>
      <c r="L27" s="44" t="n">
        <v>20.25</v>
      </c>
      <c r="M27" s="44" t="n">
        <v>7</v>
      </c>
      <c r="N27" s="139" t="n">
        <f aca="false">IFERROR(IF(L27*M27=0,"",L27*M27),"")</f>
        <v>141.75</v>
      </c>
      <c r="O27" s="46" t="s">
        <v>139</v>
      </c>
      <c r="P27" s="138" t="str">
        <f aca="false">IFERROR(VLOOKUP(TEXT(O27,"0"),CONDUCTORES!$A$3:$G$100,2,0),"")</f>
        <v>PORTOCARRERO PELAEZ MIGUEL ANTONIO</v>
      </c>
      <c r="Q27" s="138" t="str">
        <f aca="false">IFERROR(VLOOKUP(TEXT(O27,"0"),CONDUCTORES!$A$3:$H$100,6,0),"")</f>
        <v>EUH-421</v>
      </c>
      <c r="R27" s="85"/>
      <c r="S27" s="110" t="s">
        <v>5087</v>
      </c>
      <c r="T27" s="46"/>
      <c r="U27" s="85"/>
      <c r="V27" s="110"/>
      <c r="W27" s="46"/>
      <c r="X27" s="46"/>
      <c r="Y27" s="85"/>
      <c r="Z27" s="157" t="str">
        <f aca="false">IF(AND(R27&lt;&gt;"",V27&lt;&gt;"",W27&lt;&gt;""),"ENTREGADO","POR RECOGER")</f>
        <v>POR RECOGER</v>
      </c>
      <c r="AA27" s="4"/>
      <c r="AB27" s="4"/>
      <c r="AC27" s="4"/>
    </row>
    <row r="28" customFormat="false" ht="15.75" hidden="false" customHeight="true" outlineLevel="0" collapsed="false">
      <c r="A28" s="106" t="n">
        <v>23</v>
      </c>
      <c r="B28" s="107"/>
      <c r="C28" s="106" t="s">
        <v>752</v>
      </c>
      <c r="D28" s="107" t="s">
        <v>4688</v>
      </c>
      <c r="E28" s="136" t="s">
        <v>99</v>
      </c>
      <c r="F28" s="106" t="s">
        <v>4689</v>
      </c>
      <c r="G28" s="137" t="n">
        <v>46089</v>
      </c>
      <c r="H28" s="106" t="s">
        <v>717</v>
      </c>
      <c r="I28" s="138" t="str">
        <f aca="false">IFERROR(VLOOKUP(TEXT(H28,"0"),IPRESS!$A$3:$B$212,2,0),"")</f>
        <v>YERBABUENA</v>
      </c>
      <c r="J28" s="106" t="s">
        <v>755</v>
      </c>
      <c r="K28" s="138" t="s">
        <v>14</v>
      </c>
      <c r="L28" s="50" t="n">
        <v>18.18</v>
      </c>
      <c r="M28" s="50" t="n">
        <v>6</v>
      </c>
      <c r="N28" s="139" t="n">
        <f aca="false">IFERROR(IF(L28*M28=0,"",L28*M28),"")</f>
        <v>109.08</v>
      </c>
      <c r="O28" s="106" t="s">
        <v>280</v>
      </c>
      <c r="P28" s="138" t="str">
        <f aca="false">IFERROR(VLOOKUP(TEXT(O28,"0"),CONDUCTORES!$A$3:$G$100,2,0),"")</f>
        <v>SANCHEZ CAJO VICENTE</v>
      </c>
      <c r="Q28" s="138" t="str">
        <f aca="false">IFERROR(VLOOKUP(TEXT(O28,"0"),CONDUCTORES!$A$3:$H$100,6,0),"")</f>
        <v>EGL-296</v>
      </c>
      <c r="R28" s="140"/>
      <c r="S28" s="107" t="s">
        <v>5088</v>
      </c>
      <c r="T28" s="136"/>
      <c r="U28" s="140"/>
      <c r="V28" s="107"/>
      <c r="W28" s="106"/>
      <c r="X28" s="106"/>
      <c r="Y28" s="85"/>
      <c r="Z28" s="157" t="str">
        <f aca="false">IF(AND(R28&lt;&gt;"",V28&lt;&gt;"",W28&lt;&gt;""),"ENTREGADO","POR RECOGER")</f>
        <v>POR RECOGER</v>
      </c>
      <c r="AA28" s="4"/>
      <c r="AB28" s="4"/>
      <c r="AC28" s="4"/>
    </row>
    <row r="29" customFormat="false" ht="15.75" hidden="false" customHeight="true" outlineLevel="0" collapsed="false">
      <c r="A29" s="46" t="n">
        <v>24</v>
      </c>
      <c r="B29" s="110"/>
      <c r="C29" s="46" t="s">
        <v>752</v>
      </c>
      <c r="D29" s="110" t="s">
        <v>5089</v>
      </c>
      <c r="E29" s="46" t="s">
        <v>99</v>
      </c>
      <c r="F29" s="46" t="s">
        <v>5090</v>
      </c>
      <c r="G29" s="142" t="n">
        <v>46089</v>
      </c>
      <c r="H29" s="46" t="s">
        <v>569</v>
      </c>
      <c r="I29" s="138" t="str">
        <f aca="false">IFERROR(VLOOKUP(TEXT(H29,"0"),IPRESS!$A$3:$B$212,2,0),"")</f>
        <v>OCALLI</v>
      </c>
      <c r="J29" s="46" t="s">
        <v>1216</v>
      </c>
      <c r="K29" s="138" t="s">
        <v>14</v>
      </c>
      <c r="L29" s="44" t="n">
        <v>18.18</v>
      </c>
      <c r="M29" s="44" t="n">
        <v>22</v>
      </c>
      <c r="N29" s="139" t="n">
        <f aca="false">IFERROR(IF(L29*M29=0,"",L29*M29),"")</f>
        <v>399.96</v>
      </c>
      <c r="O29" s="77" t="s">
        <v>296</v>
      </c>
      <c r="P29" s="138" t="str">
        <f aca="false">IFERROR(VLOOKUP(TEXT(O29,"0"),CONDUCTORES!$A$3:$G$100,2,0),"")</f>
        <v>ALBERTO FARRO PEREZ</v>
      </c>
      <c r="Q29" s="138" t="str">
        <f aca="false">IFERROR(VLOOKUP(TEXT(O29,"0"),CONDUCTORES!$A$3:$H$100,6,0),"")</f>
        <v>EGO-124</v>
      </c>
      <c r="R29" s="85"/>
      <c r="S29" s="110" t="s">
        <v>2443</v>
      </c>
      <c r="T29" s="46"/>
      <c r="U29" s="85"/>
      <c r="V29" s="110"/>
      <c r="W29" s="46"/>
      <c r="X29" s="46"/>
      <c r="Y29" s="85"/>
      <c r="Z29" s="157" t="str">
        <f aca="false">IF(AND(R29&lt;&gt;"",V29&lt;&gt;"",W29&lt;&gt;""),"ENTREGADO","POR RECOGER")</f>
        <v>POR RECOGER</v>
      </c>
      <c r="AA29" s="4"/>
      <c r="AB29" s="4"/>
      <c r="AC29" s="4"/>
    </row>
    <row r="30" customFormat="false" ht="15.75" hidden="false" customHeight="true" outlineLevel="0" collapsed="false">
      <c r="A30" s="106" t="n">
        <v>25</v>
      </c>
      <c r="B30" s="107"/>
      <c r="C30" s="106" t="s">
        <v>752</v>
      </c>
      <c r="D30" s="107" t="s">
        <v>4240</v>
      </c>
      <c r="E30" s="136" t="s">
        <v>99</v>
      </c>
      <c r="F30" s="106" t="s">
        <v>4241</v>
      </c>
      <c r="G30" s="137" t="n">
        <v>46090</v>
      </c>
      <c r="H30" s="106" t="s">
        <v>581</v>
      </c>
      <c r="I30" s="138" t="str">
        <f aca="false">IFERROR(VLOOKUP(TEXT(H30,"0"),IPRESS!$A$3:$B$212,2,0),"")</f>
        <v>PEDRO RUIZ GALLO</v>
      </c>
      <c r="J30" s="106" t="s">
        <v>755</v>
      </c>
      <c r="K30" s="138" t="s">
        <v>14</v>
      </c>
      <c r="L30" s="50" t="n">
        <v>18.18</v>
      </c>
      <c r="M30" s="50" t="n">
        <v>5</v>
      </c>
      <c r="N30" s="139" t="n">
        <f aca="false">IFERROR(IF(L30*M30=0,"",L30*M30),"")</f>
        <v>90.9</v>
      </c>
      <c r="O30" s="106" t="s">
        <v>234</v>
      </c>
      <c r="P30" s="138" t="str">
        <f aca="false">IFERROR(VLOOKUP(TEXT(O30,"0"),CONDUCTORES!$A$3:$G$100,2,0),"")</f>
        <v>MONTENEGRO RUIZ LUIS MIGUEL</v>
      </c>
      <c r="Q30" s="138" t="str">
        <f aca="false">IFERROR(VLOOKUP(TEXT(O30,"0"),CONDUCTORES!$A$3:$H$100,6,0),"")</f>
        <v>EUH-427</v>
      </c>
      <c r="R30" s="140"/>
      <c r="S30" s="107" t="s">
        <v>2308</v>
      </c>
      <c r="T30" s="136"/>
      <c r="U30" s="140"/>
      <c r="V30" s="107"/>
      <c r="W30" s="106"/>
      <c r="X30" s="106"/>
      <c r="Y30" s="85"/>
      <c r="Z30" s="157" t="str">
        <f aca="false">IF(AND(R30&lt;&gt;"",V30&lt;&gt;"",W30&lt;&gt;""),"ENTREGADO","POR RECOGER")</f>
        <v>POR RECOGER</v>
      </c>
      <c r="AA30" s="4"/>
      <c r="AB30" s="4"/>
      <c r="AC30" s="4"/>
    </row>
    <row r="31" customFormat="false" ht="15.75" hidden="false" customHeight="true" outlineLevel="0" collapsed="false">
      <c r="A31" s="46" t="n">
        <v>26</v>
      </c>
      <c r="B31" s="110"/>
      <c r="C31" s="46" t="s">
        <v>752</v>
      </c>
      <c r="D31" s="110" t="s">
        <v>5091</v>
      </c>
      <c r="E31" s="46" t="s">
        <v>99</v>
      </c>
      <c r="F31" s="46" t="s">
        <v>5092</v>
      </c>
      <c r="G31" s="142" t="n">
        <v>46090</v>
      </c>
      <c r="H31" s="46" t="s">
        <v>407</v>
      </c>
      <c r="I31" s="138" t="str">
        <f aca="false">IFERROR(VLOOKUP(TEXT(H31,"0"),IPRESS!$A$3:$B$212,2,0),"")</f>
        <v>COCOCHO</v>
      </c>
      <c r="J31" s="46" t="s">
        <v>1216</v>
      </c>
      <c r="K31" s="138" t="s">
        <v>14</v>
      </c>
      <c r="L31" s="44" t="n">
        <v>18.18</v>
      </c>
      <c r="M31" s="44" t="n">
        <v>22</v>
      </c>
      <c r="N31" s="139" t="n">
        <f aca="false">IFERROR(IF(L31*M31=0,"",L31*M31),"")</f>
        <v>399.96</v>
      </c>
      <c r="O31" s="81" t="s">
        <v>306</v>
      </c>
      <c r="P31" s="138" t="str">
        <f aca="false">IFERROR(VLOOKUP(TEXT(O31,"0"),CONDUCTORES!$A$3:$G$100,2,0),"")</f>
        <v>NAIDER TELLO ESTELA</v>
      </c>
      <c r="Q31" s="138" t="str">
        <f aca="false">IFERROR(VLOOKUP(TEXT(O31,"0"),CONDUCTORES!$A$3:$H$100,6,0),"")</f>
        <v>EUH-708</v>
      </c>
      <c r="R31" s="85"/>
      <c r="S31" s="110" t="s">
        <v>1295</v>
      </c>
      <c r="T31" s="46"/>
      <c r="U31" s="85"/>
      <c r="V31" s="110"/>
      <c r="W31" s="46"/>
      <c r="X31" s="46"/>
      <c r="Y31" s="85"/>
      <c r="Z31" s="157" t="str">
        <f aca="false">IF(AND(R31&lt;&gt;"",V31&lt;&gt;"",W31&lt;&gt;""),"ENTREGADO","POR RECOGER")</f>
        <v>POR RECOGER</v>
      </c>
      <c r="AA31" s="4"/>
      <c r="AB31" s="4"/>
      <c r="AC31" s="4"/>
    </row>
    <row r="32" customFormat="false" ht="15.75" hidden="false" customHeight="true" outlineLevel="0" collapsed="false">
      <c r="A32" s="106" t="n">
        <v>27</v>
      </c>
      <c r="B32" s="107"/>
      <c r="C32" s="106" t="s">
        <v>752</v>
      </c>
      <c r="D32" s="107" t="s">
        <v>5093</v>
      </c>
      <c r="E32" s="136" t="s">
        <v>99</v>
      </c>
      <c r="F32" s="106" t="s">
        <v>5094</v>
      </c>
      <c r="G32" s="137" t="n">
        <v>46091</v>
      </c>
      <c r="H32" s="106" t="s">
        <v>529</v>
      </c>
      <c r="I32" s="138" t="str">
        <f aca="false">IFERROR(VLOOKUP(TEXT(H32,"0"),IPRESS!$A$3:$B$212,2,0),"")</f>
        <v>MARIA AUXILIADORA</v>
      </c>
      <c r="J32" s="106" t="s">
        <v>755</v>
      </c>
      <c r="K32" s="138" t="s">
        <v>14</v>
      </c>
      <c r="L32" s="50" t="n">
        <v>20.25</v>
      </c>
      <c r="M32" s="50" t="n">
        <v>7</v>
      </c>
      <c r="N32" s="139" t="n">
        <f aca="false">IFERROR(IF(L32*M32=0,"",L32*M32),"")</f>
        <v>141.75</v>
      </c>
      <c r="O32" s="106" t="s">
        <v>139</v>
      </c>
      <c r="P32" s="138" t="str">
        <f aca="false">IFERROR(VLOOKUP(TEXT(O32,"0"),CONDUCTORES!$A$3:$G$100,2,0),"")</f>
        <v>PORTOCARRERO PELAEZ MIGUEL ANTONIO</v>
      </c>
      <c r="Q32" s="138" t="str">
        <f aca="false">IFERROR(VLOOKUP(TEXT(O32,"0"),CONDUCTORES!$A$3:$H$100,6,0),"")</f>
        <v>EUH-421</v>
      </c>
      <c r="R32" s="140"/>
      <c r="S32" s="107" t="s">
        <v>891</v>
      </c>
      <c r="T32" s="136"/>
      <c r="U32" s="140"/>
      <c r="V32" s="107"/>
      <c r="W32" s="106"/>
      <c r="X32" s="106"/>
      <c r="Y32" s="85"/>
      <c r="Z32" s="157" t="str">
        <f aca="false">IF(AND(R32&lt;&gt;"",V32&lt;&gt;"",W32&lt;&gt;""),"ENTREGADO","POR RECOGER")</f>
        <v>POR RECOGER</v>
      </c>
      <c r="AA32" s="4"/>
      <c r="AB32" s="4"/>
      <c r="AC32" s="4"/>
    </row>
    <row r="33" customFormat="false" ht="15.75" hidden="false" customHeight="true" outlineLevel="0" collapsed="false">
      <c r="A33" s="143" t="n">
        <v>28</v>
      </c>
      <c r="B33" s="144"/>
      <c r="C33" s="143" t="s">
        <v>752</v>
      </c>
      <c r="D33" s="144" t="s">
        <v>5095</v>
      </c>
      <c r="E33" s="143" t="s">
        <v>99</v>
      </c>
      <c r="F33" s="143" t="s">
        <v>5096</v>
      </c>
      <c r="G33" s="145" t="n">
        <v>46091</v>
      </c>
      <c r="H33" s="143" t="s">
        <v>595</v>
      </c>
      <c r="I33" s="138" t="str">
        <f aca="false">IFERROR(VLOOKUP(TEXT(H33,"0"),IPRESS!$A$3:$B$212,2,0),"")</f>
        <v>POMACOCHAS</v>
      </c>
      <c r="J33" s="143" t="s">
        <v>755</v>
      </c>
      <c r="K33" s="164" t="s">
        <v>16</v>
      </c>
      <c r="L33" s="146" t="n">
        <v>17.95</v>
      </c>
      <c r="M33" s="146" t="n">
        <v>11</v>
      </c>
      <c r="N33" s="139" t="n">
        <f aca="false">IFERROR(IF(L33*M33=0,"",L33*M33),"")</f>
        <v>197.45</v>
      </c>
      <c r="O33" s="143" t="s">
        <v>248</v>
      </c>
      <c r="P33" s="138" t="str">
        <f aca="false">IFERROR(VLOOKUP(TEXT(O33,"0"),CONDUCTORES!$A$3:$G$100,2,0),"")</f>
        <v>CARRERA ARAUJO JEINER</v>
      </c>
      <c r="Q33" s="138" t="str">
        <f aca="false">IFERROR(VLOOKUP(TEXT(O33,"0"),CONDUCTORES!$A$3:$H$100,6,0),"")</f>
        <v>EUH747</v>
      </c>
      <c r="R33" s="147"/>
      <c r="S33" s="144" t="s">
        <v>5097</v>
      </c>
      <c r="T33" s="143"/>
      <c r="U33" s="147"/>
      <c r="V33" s="144"/>
      <c r="W33" s="143"/>
      <c r="X33" s="143"/>
      <c r="Y33" s="85"/>
      <c r="Z33" s="157" t="str">
        <f aca="false">IF(AND(R33&lt;&gt;"",V33&lt;&gt;"",W33&lt;&gt;""),"ENTREGADO","POR RECOGER")</f>
        <v>POR RECOGER</v>
      </c>
      <c r="AA33" s="4"/>
      <c r="AB33" s="4"/>
      <c r="AC33" s="4"/>
    </row>
    <row r="34" customFormat="false" ht="15.75" hidden="false" customHeight="true" outlineLevel="0" collapsed="false">
      <c r="A34" s="106" t="n">
        <v>29</v>
      </c>
      <c r="B34" s="107"/>
      <c r="C34" s="106" t="s">
        <v>752</v>
      </c>
      <c r="D34" s="107" t="s">
        <v>5098</v>
      </c>
      <c r="E34" s="136" t="s">
        <v>99</v>
      </c>
      <c r="F34" s="106" t="s">
        <v>5099</v>
      </c>
      <c r="G34" s="137" t="n">
        <v>46091</v>
      </c>
      <c r="H34" s="106" t="s">
        <v>529</v>
      </c>
      <c r="I34" s="138" t="str">
        <f aca="false">IFERROR(VLOOKUP(TEXT(H34,"0"),IPRESS!$A$3:$B$212,2,0),"")</f>
        <v>MARIA AUXILIADORA</v>
      </c>
      <c r="J34" s="106" t="s">
        <v>755</v>
      </c>
      <c r="K34" s="138" t="s">
        <v>14</v>
      </c>
      <c r="L34" s="50" t="n">
        <v>20.25</v>
      </c>
      <c r="M34" s="50" t="n">
        <v>7</v>
      </c>
      <c r="N34" s="139" t="n">
        <f aca="false">IFERROR(IF(L34*M34=0,"",L34*M34),"")</f>
        <v>141.75</v>
      </c>
      <c r="O34" s="106" t="s">
        <v>139</v>
      </c>
      <c r="P34" s="138" t="str">
        <f aca="false">IFERROR(VLOOKUP(TEXT(O34,"0"),CONDUCTORES!$A$3:$G$100,2,0),"")</f>
        <v>PORTOCARRERO PELAEZ MIGUEL ANTONIO</v>
      </c>
      <c r="Q34" s="138" t="str">
        <f aca="false">IFERROR(VLOOKUP(TEXT(O34,"0"),CONDUCTORES!$A$3:$H$100,6,0),"")</f>
        <v>EUH-421</v>
      </c>
      <c r="R34" s="140"/>
      <c r="S34" s="107" t="s">
        <v>5100</v>
      </c>
      <c r="T34" s="136"/>
      <c r="U34" s="140"/>
      <c r="V34" s="107"/>
      <c r="W34" s="106"/>
      <c r="X34" s="106"/>
      <c r="Y34" s="85"/>
      <c r="Z34" s="157" t="str">
        <f aca="false">IF(AND(R34&lt;&gt;"",V34&lt;&gt;"",W34&lt;&gt;""),"ENTREGADO","POR RECOGER")</f>
        <v>POR RECOGER</v>
      </c>
      <c r="AA34" s="4"/>
      <c r="AB34" s="4"/>
      <c r="AC34" s="4"/>
    </row>
    <row r="35" customFormat="false" ht="15.75" hidden="false" customHeight="true" outlineLevel="0" collapsed="false">
      <c r="A35" s="158" t="n">
        <v>30</v>
      </c>
      <c r="B35" s="159"/>
      <c r="C35" s="158" t="s">
        <v>752</v>
      </c>
      <c r="D35" s="159" t="s">
        <v>5101</v>
      </c>
      <c r="E35" s="158" t="s">
        <v>99</v>
      </c>
      <c r="F35" s="158" t="s">
        <v>5102</v>
      </c>
      <c r="G35" s="160" t="n">
        <v>46091</v>
      </c>
      <c r="H35" s="158" t="s">
        <v>645</v>
      </c>
      <c r="I35" s="138" t="str">
        <f aca="false">IFERROR(VLOOKUP(TEXT(H35,"0"),IPRESS!$A$3:$B$212,2,0),"")</f>
        <v>SAN JUAN DE OCUMAL</v>
      </c>
      <c r="J35" s="158" t="s">
        <v>755</v>
      </c>
      <c r="K35" s="138" t="s">
        <v>14</v>
      </c>
      <c r="L35" s="161" t="n">
        <v>18.18</v>
      </c>
      <c r="M35" s="161" t="n">
        <v>20</v>
      </c>
      <c r="N35" s="139" t="n">
        <f aca="false">IFERROR(IF(L35*M35=0,"",L35*M35),"")</f>
        <v>363.6</v>
      </c>
      <c r="O35" s="77" t="s">
        <v>296</v>
      </c>
      <c r="P35" s="138" t="str">
        <f aca="false">IFERROR(VLOOKUP(TEXT(O35,"0"),CONDUCTORES!$A$3:$G$100,2,0),"")</f>
        <v>ALBERTO FARRO PEREZ</v>
      </c>
      <c r="Q35" s="138" t="str">
        <f aca="false">IFERROR(VLOOKUP(TEXT(O35,"0"),CONDUCTORES!$A$3:$H$100,6,0),"")</f>
        <v>EGO-124</v>
      </c>
      <c r="R35" s="162"/>
      <c r="S35" s="159" t="s">
        <v>5103</v>
      </c>
      <c r="T35" s="158"/>
      <c r="U35" s="162"/>
      <c r="V35" s="159"/>
      <c r="W35" s="158"/>
      <c r="X35" s="158"/>
      <c r="Y35" s="163" t="s">
        <v>66</v>
      </c>
      <c r="Z35" s="157" t="str">
        <f aca="false">IF(AND(R35&lt;&gt;"",V35&lt;&gt;"",W35&lt;&gt;""),"ENTREGADO","POR RECOGER")</f>
        <v>POR RECOGER</v>
      </c>
      <c r="AA35" s="4"/>
      <c r="AB35" s="4"/>
      <c r="AC35" s="4"/>
    </row>
    <row r="36" customFormat="false" ht="15.75" hidden="false" customHeight="true" outlineLevel="0" collapsed="false">
      <c r="A36" s="106" t="n">
        <v>31</v>
      </c>
      <c r="B36" s="107"/>
      <c r="C36" s="106" t="s">
        <v>752</v>
      </c>
      <c r="D36" s="107" t="s">
        <v>5104</v>
      </c>
      <c r="E36" s="136" t="s">
        <v>99</v>
      </c>
      <c r="F36" s="106" t="s">
        <v>5105</v>
      </c>
      <c r="G36" s="137" t="n">
        <v>46092</v>
      </c>
      <c r="H36" s="106" t="s">
        <v>717</v>
      </c>
      <c r="I36" s="138" t="str">
        <f aca="false">IFERROR(VLOOKUP(TEXT(H36,"0"),IPRESS!$A$3:$B$212,2,0),"")</f>
        <v>YERBABUENA</v>
      </c>
      <c r="J36" s="106" t="s">
        <v>755</v>
      </c>
      <c r="K36" s="138" t="s">
        <v>14</v>
      </c>
      <c r="L36" s="50" t="n">
        <v>18.18</v>
      </c>
      <c r="M36" s="50" t="n">
        <v>8</v>
      </c>
      <c r="N36" s="139" t="n">
        <f aca="false">IFERROR(IF(L36*M36=0,"",L36*M36),"")</f>
        <v>145.44</v>
      </c>
      <c r="O36" s="106" t="s">
        <v>159</v>
      </c>
      <c r="P36" s="138" t="str">
        <f aca="false">IFERROR(VLOOKUP(TEXT(O36,"0"),CONDUCTORES!$A$3:$G$100,2,0),"")</f>
        <v>LEIVA LARA JUNIOR</v>
      </c>
      <c r="Q36" s="138" t="str">
        <f aca="false">IFERROR(VLOOKUP(TEXT(O36,"0"),CONDUCTORES!$A$3:$H$100,6,0),"")</f>
        <v>EUC 959</v>
      </c>
      <c r="R36" s="140"/>
      <c r="S36" s="107" t="s">
        <v>2105</v>
      </c>
      <c r="T36" s="136"/>
      <c r="U36" s="140"/>
      <c r="V36" s="107"/>
      <c r="W36" s="106"/>
      <c r="X36" s="106"/>
      <c r="Y36" s="85"/>
      <c r="Z36" s="157" t="str">
        <f aca="false">IF(AND(R36&lt;&gt;"",V36&lt;&gt;"",W36&lt;&gt;""),"ENTREGADO","POR RECOGER")</f>
        <v>POR RECOGER</v>
      </c>
      <c r="AA36" s="4"/>
      <c r="AB36" s="4"/>
      <c r="AC36" s="4"/>
    </row>
    <row r="37" customFormat="false" ht="15.75" hidden="false" customHeight="true" outlineLevel="0" collapsed="false">
      <c r="A37" s="46" t="n">
        <v>32</v>
      </c>
      <c r="B37" s="110"/>
      <c r="C37" s="46" t="s">
        <v>752</v>
      </c>
      <c r="D37" s="110" t="s">
        <v>5106</v>
      </c>
      <c r="E37" s="46" t="s">
        <v>99</v>
      </c>
      <c r="F37" s="46" t="s">
        <v>5107</v>
      </c>
      <c r="G37" s="142" t="n">
        <v>46092</v>
      </c>
      <c r="H37" s="46" t="s">
        <v>529</v>
      </c>
      <c r="I37" s="138" t="str">
        <f aca="false">IFERROR(VLOOKUP(TEXT(H37,"0"),IPRESS!$A$3:$B$212,2,0),"")</f>
        <v>MARIA AUXILIADORA</v>
      </c>
      <c r="J37" s="46" t="s">
        <v>755</v>
      </c>
      <c r="K37" s="138" t="s">
        <v>14</v>
      </c>
      <c r="L37" s="44" t="n">
        <v>20.25</v>
      </c>
      <c r="M37" s="44" t="n">
        <v>7</v>
      </c>
      <c r="N37" s="139" t="n">
        <f aca="false">IFERROR(IF(L37*M37=0,"",L37*M37),"")</f>
        <v>141.75</v>
      </c>
      <c r="O37" s="46" t="s">
        <v>148</v>
      </c>
      <c r="P37" s="138" t="str">
        <f aca="false">IFERROR(VLOOKUP(TEXT(O37,"0"),CONDUCTORES!$A$3:$G$100,2,0),"")</f>
        <v>ROJAS ALVARADO BENJAMIN</v>
      </c>
      <c r="Q37" s="138" t="str">
        <f aca="false">IFERROR(VLOOKUP(TEXT(O37,"0"),CONDUCTORES!$A$3:$H$100,6,0),"")</f>
        <v>421 EUH</v>
      </c>
      <c r="R37" s="85"/>
      <c r="S37" s="110" t="s">
        <v>1250</v>
      </c>
      <c r="T37" s="46"/>
      <c r="U37" s="85"/>
      <c r="V37" s="110"/>
      <c r="W37" s="46"/>
      <c r="X37" s="46"/>
      <c r="Y37" s="85"/>
      <c r="Z37" s="157" t="str">
        <f aca="false">IF(AND(R37&lt;&gt;"",V37&lt;&gt;"",W37&lt;&gt;""),"ENTREGADO","POR RECOGER")</f>
        <v>POR RECOGER</v>
      </c>
      <c r="AA37" s="4"/>
      <c r="AB37" s="4"/>
      <c r="AC37" s="4"/>
    </row>
    <row r="38" customFormat="false" ht="15.75" hidden="false" customHeight="true" outlineLevel="0" collapsed="false">
      <c r="A38" s="106" t="n">
        <v>33</v>
      </c>
      <c r="B38" s="107"/>
      <c r="C38" s="106" t="s">
        <v>752</v>
      </c>
      <c r="D38" s="107" t="s">
        <v>5108</v>
      </c>
      <c r="E38" s="136" t="s">
        <v>99</v>
      </c>
      <c r="F38" s="106" t="s">
        <v>5109</v>
      </c>
      <c r="G38" s="137" t="n">
        <v>46092</v>
      </c>
      <c r="H38" s="106" t="s">
        <v>581</v>
      </c>
      <c r="I38" s="138" t="str">
        <f aca="false">IFERROR(VLOOKUP(TEXT(H38,"0"),IPRESS!$A$3:$B$212,2,0),"")</f>
        <v>PEDRO RUIZ GALLO</v>
      </c>
      <c r="J38" s="106" t="s">
        <v>755</v>
      </c>
      <c r="K38" s="138" t="s">
        <v>14</v>
      </c>
      <c r="L38" s="50" t="n">
        <v>18.18</v>
      </c>
      <c r="M38" s="50" t="n">
        <v>5</v>
      </c>
      <c r="N38" s="139" t="n">
        <f aca="false">IFERROR(IF(L38*M38=0,"",L38*M38),"")</f>
        <v>90.9</v>
      </c>
      <c r="O38" s="106" t="s">
        <v>238</v>
      </c>
      <c r="P38" s="138" t="str">
        <f aca="false">IFERROR(VLOOKUP(TEXT(O38,"0"),CONDUCTORES!$A$3:$G$100,2,0),"")</f>
        <v>RIOS CHAVEZ WUILQUE</v>
      </c>
      <c r="Q38" s="138" t="str">
        <f aca="false">IFERROR(VLOOKUP(TEXT(O38,"0"),CONDUCTORES!$A$3:$H$100,6,0),"")</f>
        <v>EUD360</v>
      </c>
      <c r="R38" s="140"/>
      <c r="S38" s="107" t="s">
        <v>1902</v>
      </c>
      <c r="T38" s="136"/>
      <c r="U38" s="140"/>
      <c r="V38" s="107"/>
      <c r="W38" s="106"/>
      <c r="X38" s="106"/>
      <c r="Y38" s="85"/>
      <c r="Z38" s="157" t="str">
        <f aca="false">IF(AND(R38&lt;&gt;"",V38&lt;&gt;"",W38&lt;&gt;""),"ENTREGADO","POR RECOGER")</f>
        <v>POR RECOGER</v>
      </c>
      <c r="AA38" s="4"/>
      <c r="AB38" s="4"/>
      <c r="AC38" s="4"/>
    </row>
    <row r="39" customFormat="false" ht="15.75" hidden="false" customHeight="true" outlineLevel="0" collapsed="false">
      <c r="A39" s="46" t="n">
        <v>34</v>
      </c>
      <c r="B39" s="110"/>
      <c r="C39" s="46" t="s">
        <v>752</v>
      </c>
      <c r="D39" s="110" t="s">
        <v>5110</v>
      </c>
      <c r="E39" s="46" t="s">
        <v>99</v>
      </c>
      <c r="F39" s="46" t="s">
        <v>5111</v>
      </c>
      <c r="G39" s="142" t="n">
        <v>46092</v>
      </c>
      <c r="H39" s="46" t="s">
        <v>692</v>
      </c>
      <c r="I39" s="138" t="str">
        <f aca="false">IFERROR(VLOOKUP(TEXT(H39,"0"),IPRESS!$A$3:$B$212,2,0),"")</f>
        <v>TINGO</v>
      </c>
      <c r="J39" s="46" t="s">
        <v>755</v>
      </c>
      <c r="K39" s="138" t="s">
        <v>14</v>
      </c>
      <c r="L39" s="44" t="n">
        <v>18.18</v>
      </c>
      <c r="M39" s="44" t="n">
        <v>5</v>
      </c>
      <c r="N39" s="139" t="n">
        <f aca="false">IFERROR(IF(L39*M39=0,"",L39*M39),"")</f>
        <v>90.9</v>
      </c>
      <c r="O39" s="46" t="s">
        <v>263</v>
      </c>
      <c r="P39" s="138" t="str">
        <f aca="false">IFERROR(VLOOKUP(TEXT(O39,"0"),CONDUCTORES!$A$3:$G$100,2,0),"")</f>
        <v>VILCARROMERO TORREJON HERMERSON</v>
      </c>
      <c r="Q39" s="138" t="str">
        <f aca="false">IFERROR(VLOOKUP(TEXT(O39,"0"),CONDUCTORES!$A$3:$H$100,6,0),"")</f>
        <v>EUD-917</v>
      </c>
      <c r="R39" s="85"/>
      <c r="S39" s="110" t="s">
        <v>3069</v>
      </c>
      <c r="T39" s="46"/>
      <c r="U39" s="85"/>
      <c r="V39" s="110"/>
      <c r="W39" s="46"/>
      <c r="X39" s="46"/>
      <c r="Y39" s="85"/>
      <c r="Z39" s="157" t="str">
        <f aca="false">IF(AND(R39&lt;&gt;"",V39&lt;&gt;"",W39&lt;&gt;""),"ENTREGADO","POR RECOGER")</f>
        <v>POR RECOGER</v>
      </c>
      <c r="AA39" s="4"/>
      <c r="AB39" s="4"/>
      <c r="AC39" s="4"/>
    </row>
    <row r="40" customFormat="false" ht="15.75" hidden="false" customHeight="true" outlineLevel="0" collapsed="false">
      <c r="A40" s="106" t="n">
        <v>35</v>
      </c>
      <c r="B40" s="107"/>
      <c r="C40" s="106" t="s">
        <v>752</v>
      </c>
      <c r="D40" s="107" t="s">
        <v>5112</v>
      </c>
      <c r="E40" s="136" t="s">
        <v>99</v>
      </c>
      <c r="F40" s="106" t="s">
        <v>5113</v>
      </c>
      <c r="G40" s="137" t="n">
        <v>46093</v>
      </c>
      <c r="H40" s="106" t="s">
        <v>595</v>
      </c>
      <c r="I40" s="138" t="str">
        <f aca="false">IFERROR(VLOOKUP(TEXT(H40,"0"),IPRESS!$A$3:$B$212,2,0),"")</f>
        <v>POMACOCHAS</v>
      </c>
      <c r="J40" s="106" t="s">
        <v>755</v>
      </c>
      <c r="K40" s="138" t="s">
        <v>14</v>
      </c>
      <c r="L40" s="50" t="n">
        <v>18.18</v>
      </c>
      <c r="M40" s="50" t="n">
        <v>6</v>
      </c>
      <c r="N40" s="139" t="n">
        <f aca="false">IFERROR(IF(L40*M40=0,"",L40*M40),"")</f>
        <v>109.08</v>
      </c>
      <c r="O40" s="106" t="s">
        <v>248</v>
      </c>
      <c r="P40" s="138" t="str">
        <f aca="false">IFERROR(VLOOKUP(TEXT(O40,"0"),CONDUCTORES!$A$3:$G$100,2,0),"")</f>
        <v>CARRERA ARAUJO JEINER</v>
      </c>
      <c r="Q40" s="138" t="str">
        <f aca="false">IFERROR(VLOOKUP(TEXT(O40,"0"),CONDUCTORES!$A$3:$H$100,6,0),"")</f>
        <v>EUH747</v>
      </c>
      <c r="R40" s="140"/>
      <c r="S40" s="107" t="s">
        <v>5114</v>
      </c>
      <c r="T40" s="136"/>
      <c r="U40" s="140"/>
      <c r="V40" s="107"/>
      <c r="W40" s="106"/>
      <c r="X40" s="106"/>
      <c r="Y40" s="85"/>
      <c r="Z40" s="157" t="str">
        <f aca="false">IF(AND(R40&lt;&gt;"",V40&lt;&gt;"",W40&lt;&gt;""),"ENTREGADO","POR RECOGER")</f>
        <v>POR RECOGER</v>
      </c>
      <c r="AA40" s="4"/>
      <c r="AB40" s="4"/>
      <c r="AC40" s="4"/>
    </row>
    <row r="41" customFormat="false" ht="15.75" hidden="false" customHeight="true" outlineLevel="0" collapsed="false">
      <c r="A41" s="158" t="n">
        <v>36</v>
      </c>
      <c r="B41" s="159"/>
      <c r="C41" s="158" t="s">
        <v>752</v>
      </c>
      <c r="D41" s="159" t="s">
        <v>5115</v>
      </c>
      <c r="E41" s="158" t="s">
        <v>99</v>
      </c>
      <c r="F41" s="158" t="s">
        <v>5116</v>
      </c>
      <c r="G41" s="160" t="n">
        <v>46093</v>
      </c>
      <c r="H41" s="158" t="s">
        <v>529</v>
      </c>
      <c r="I41" s="138" t="str">
        <f aca="false">IFERROR(VLOOKUP(TEXT(H41,"0"),IPRESS!$A$3:$B$212,2,0),"")</f>
        <v>MARIA AUXILIADORA</v>
      </c>
      <c r="J41" s="158" t="s">
        <v>755</v>
      </c>
      <c r="K41" s="138" t="s">
        <v>14</v>
      </c>
      <c r="L41" s="161" t="n">
        <v>20.25</v>
      </c>
      <c r="M41" s="161" t="n">
        <v>10</v>
      </c>
      <c r="N41" s="139" t="n">
        <f aca="false">IFERROR(IF(L41*M41=0,"",L41*M41),"")</f>
        <v>202.5</v>
      </c>
      <c r="O41" s="158" t="s">
        <v>225</v>
      </c>
      <c r="P41" s="138" t="str">
        <f aca="false">IFERROR(VLOOKUP(TEXT(O41,"0"),CONDUCTORES!$A$3:$G$100,2,0),"")</f>
        <v>LOPEZ VARGAS HUBER</v>
      </c>
      <c r="Q41" s="138" t="str">
        <f aca="false">IFERROR(VLOOKUP(TEXT(O41,"0"),CONDUCTORES!$A$3:$H$100,6,0),"")</f>
        <v>EUH 634</v>
      </c>
      <c r="R41" s="162"/>
      <c r="S41" s="159" t="s">
        <v>1144</v>
      </c>
      <c r="T41" s="158"/>
      <c r="U41" s="162"/>
      <c r="V41" s="159"/>
      <c r="W41" s="158"/>
      <c r="X41" s="158"/>
      <c r="Y41" s="163" t="s">
        <v>68</v>
      </c>
      <c r="Z41" s="157" t="str">
        <f aca="false">IF(AND(R41&lt;&gt;"",V41&lt;&gt;"",W41&lt;&gt;""),"ENTREGADO","POR RECOGER")</f>
        <v>POR RECOGER</v>
      </c>
      <c r="AA41" s="4"/>
      <c r="AB41" s="4"/>
      <c r="AC41" s="4"/>
    </row>
    <row r="42" customFormat="false" ht="15.75" hidden="false" customHeight="true" outlineLevel="0" collapsed="false">
      <c r="A42" s="106" t="n">
        <v>37</v>
      </c>
      <c r="B42" s="107"/>
      <c r="C42" s="106" t="s">
        <v>752</v>
      </c>
      <c r="D42" s="107" t="s">
        <v>5117</v>
      </c>
      <c r="E42" s="136" t="s">
        <v>99</v>
      </c>
      <c r="F42" s="106" t="s">
        <v>5118</v>
      </c>
      <c r="G42" s="137" t="n">
        <v>46094</v>
      </c>
      <c r="H42" s="106" t="s">
        <v>432</v>
      </c>
      <c r="I42" s="138" t="str">
        <f aca="false">IFERROR(VLOOKUP(TEXT(H42,"0"),IPRESS!$A$3:$B$212,2,0),"")</f>
        <v>DURAZNOPAMPA</v>
      </c>
      <c r="J42" s="106" t="s">
        <v>755</v>
      </c>
      <c r="K42" s="138" t="s">
        <v>14</v>
      </c>
      <c r="L42" s="50" t="n">
        <v>18.18</v>
      </c>
      <c r="M42" s="50" t="n">
        <v>7</v>
      </c>
      <c r="N42" s="139" t="n">
        <f aca="false">IFERROR(IF(L42*M42=0,"",L42*M42),"")</f>
        <v>127.26</v>
      </c>
      <c r="O42" s="106" t="s">
        <v>280</v>
      </c>
      <c r="P42" s="138" t="str">
        <f aca="false">IFERROR(VLOOKUP(TEXT(O42,"0"),CONDUCTORES!$A$3:$G$100,2,0),"")</f>
        <v>SANCHEZ CAJO VICENTE</v>
      </c>
      <c r="Q42" s="138" t="str">
        <f aca="false">IFERROR(VLOOKUP(TEXT(O42,"0"),CONDUCTORES!$A$3:$H$100,6,0),"")</f>
        <v>EGL-296</v>
      </c>
      <c r="R42" s="140"/>
      <c r="S42" s="107" t="s">
        <v>891</v>
      </c>
      <c r="T42" s="136"/>
      <c r="U42" s="140"/>
      <c r="V42" s="107"/>
      <c r="W42" s="106"/>
      <c r="X42" s="106"/>
      <c r="Y42" s="85"/>
      <c r="Z42" s="157" t="str">
        <f aca="false">IF(AND(R42&lt;&gt;"",V42&lt;&gt;"",W42&lt;&gt;""),"ENTREGADO","POR RECOGER")</f>
        <v>POR RECOGER</v>
      </c>
      <c r="AA42" s="4"/>
      <c r="AB42" s="4"/>
      <c r="AC42" s="4"/>
    </row>
    <row r="43" customFormat="false" ht="15.75" hidden="false" customHeight="true" outlineLevel="0" collapsed="false">
      <c r="A43" s="46" t="n">
        <v>38</v>
      </c>
      <c r="B43" s="110"/>
      <c r="C43" s="46" t="s">
        <v>752</v>
      </c>
      <c r="D43" s="110" t="s">
        <v>5119</v>
      </c>
      <c r="E43" s="46" t="s">
        <v>99</v>
      </c>
      <c r="F43" s="46" t="s">
        <v>5120</v>
      </c>
      <c r="G43" s="142" t="n">
        <v>46094</v>
      </c>
      <c r="H43" s="46" t="s">
        <v>595</v>
      </c>
      <c r="I43" s="138" t="str">
        <f aca="false">IFERROR(VLOOKUP(TEXT(H43,"0"),IPRESS!$A$3:$B$212,2,0),"")</f>
        <v>POMACOCHAS</v>
      </c>
      <c r="J43" s="46" t="s">
        <v>755</v>
      </c>
      <c r="K43" s="138" t="s">
        <v>14</v>
      </c>
      <c r="L43" s="44" t="n">
        <v>18.18</v>
      </c>
      <c r="M43" s="44" t="n">
        <v>6</v>
      </c>
      <c r="N43" s="139" t="n">
        <f aca="false">IFERROR(IF(L43*M43=0,"",L43*M43),"")</f>
        <v>109.08</v>
      </c>
      <c r="O43" s="46" t="s">
        <v>248</v>
      </c>
      <c r="P43" s="138" t="str">
        <f aca="false">IFERROR(VLOOKUP(TEXT(O43,"0"),CONDUCTORES!$A$3:$G$100,2,0),"")</f>
        <v>CARRERA ARAUJO JEINER</v>
      </c>
      <c r="Q43" s="138" t="str">
        <f aca="false">IFERROR(VLOOKUP(TEXT(O43,"0"),CONDUCTORES!$A$3:$H$100,6,0),"")</f>
        <v>EUH747</v>
      </c>
      <c r="R43" s="85"/>
      <c r="S43" s="110" t="s">
        <v>5121</v>
      </c>
      <c r="T43" s="46"/>
      <c r="U43" s="85"/>
      <c r="V43" s="110"/>
      <c r="W43" s="46"/>
      <c r="X43" s="46"/>
      <c r="Y43" s="85"/>
      <c r="Z43" s="157" t="str">
        <f aca="false">IF(AND(R43&lt;&gt;"",V43&lt;&gt;"",W43&lt;&gt;""),"ENTREGADO","POR RECOGER")</f>
        <v>POR RECOGER</v>
      </c>
      <c r="AA43" s="4"/>
      <c r="AB43" s="4"/>
      <c r="AC43" s="4"/>
    </row>
    <row r="44" customFormat="false" ht="15.75" hidden="false" customHeight="true" outlineLevel="0" collapsed="false">
      <c r="A44" s="106" t="n">
        <v>39</v>
      </c>
      <c r="B44" s="107"/>
      <c r="C44" s="106" t="s">
        <v>752</v>
      </c>
      <c r="D44" s="107" t="s">
        <v>5122</v>
      </c>
      <c r="E44" s="136" t="s">
        <v>99</v>
      </c>
      <c r="F44" s="106" t="s">
        <v>5123</v>
      </c>
      <c r="G44" s="137" t="n">
        <v>46094</v>
      </c>
      <c r="H44" s="106" t="s">
        <v>529</v>
      </c>
      <c r="I44" s="138" t="str">
        <f aca="false">IFERROR(VLOOKUP(TEXT(H44,"0"),IPRESS!$A$3:$B$212,2,0),"")</f>
        <v>MARIA AUXILIADORA</v>
      </c>
      <c r="J44" s="106" t="s">
        <v>755</v>
      </c>
      <c r="K44" s="138" t="s">
        <v>14</v>
      </c>
      <c r="L44" s="50" t="n">
        <v>20.25</v>
      </c>
      <c r="M44" s="50" t="n">
        <v>7</v>
      </c>
      <c r="N44" s="139" t="n">
        <f aca="false">IFERROR(IF(L44*M44=0,"",L44*M44),"")</f>
        <v>141.75</v>
      </c>
      <c r="O44" s="106" t="s">
        <v>145</v>
      </c>
      <c r="P44" s="138" t="str">
        <f aca="false">IFERROR(VLOOKUP(TEXT(O44,"0"),CONDUCTORES!$A$3:$G$100,2,0),"")</f>
        <v>SERNAQUE PELAEZ WILMER</v>
      </c>
      <c r="Q44" s="138" t="str">
        <f aca="false">IFERROR(VLOOKUP(TEXT(O44,"0"),CONDUCTORES!$A$3:$H$100,6,0),"")</f>
        <v>EUH-421</v>
      </c>
      <c r="R44" s="140"/>
      <c r="S44" s="107" t="s">
        <v>2603</v>
      </c>
      <c r="T44" s="136"/>
      <c r="U44" s="140"/>
      <c r="V44" s="107"/>
      <c r="W44" s="106"/>
      <c r="X44" s="106"/>
      <c r="Y44" s="85"/>
      <c r="Z44" s="157" t="str">
        <f aca="false">IF(AND(R44&lt;&gt;"",V44&lt;&gt;"",W44&lt;&gt;""),"ENTREGADO","POR RECOGER")</f>
        <v>POR RECOGER</v>
      </c>
      <c r="AA44" s="4"/>
      <c r="AB44" s="4"/>
      <c r="AC44" s="4"/>
    </row>
    <row r="45" customFormat="false" ht="15.75" hidden="false" customHeight="true" outlineLevel="0" collapsed="false">
      <c r="A45" s="46" t="n">
        <v>40</v>
      </c>
      <c r="B45" s="110"/>
      <c r="C45" s="46" t="s">
        <v>752</v>
      </c>
      <c r="D45" s="110" t="s">
        <v>5124</v>
      </c>
      <c r="E45" s="46" t="s">
        <v>99</v>
      </c>
      <c r="F45" s="46" t="s">
        <v>5125</v>
      </c>
      <c r="G45" s="142" t="n">
        <v>46094</v>
      </c>
      <c r="H45" s="46" t="s">
        <v>581</v>
      </c>
      <c r="I45" s="138" t="str">
        <f aca="false">IFERROR(VLOOKUP(TEXT(H45,"0"),IPRESS!$A$3:$B$212,2,0),"")</f>
        <v>PEDRO RUIZ GALLO</v>
      </c>
      <c r="J45" s="46" t="s">
        <v>755</v>
      </c>
      <c r="K45" s="138" t="s">
        <v>14</v>
      </c>
      <c r="L45" s="44" t="n">
        <v>18.18</v>
      </c>
      <c r="M45" s="44" t="n">
        <v>5</v>
      </c>
      <c r="N45" s="139" t="n">
        <f aca="false">IFERROR(IF(L45*M45=0,"",L45*M45),"")</f>
        <v>90.9</v>
      </c>
      <c r="O45" s="46" t="s">
        <v>230</v>
      </c>
      <c r="P45" s="138" t="str">
        <f aca="false">IFERROR(VLOOKUP(TEXT(O45,"0"),CONDUCTORES!$A$3:$G$100,2,0),"")</f>
        <v>MUNOZ VERGARAY JORGE ENRRIQUE</v>
      </c>
      <c r="Q45" s="138" t="str">
        <f aca="false">IFERROR(VLOOKUP(TEXT(O45,"0"),CONDUCTORES!$A$3:$H$100,6,0),"")</f>
        <v>EUH 427</v>
      </c>
      <c r="R45" s="85"/>
      <c r="S45" s="110" t="s">
        <v>5126</v>
      </c>
      <c r="T45" s="46"/>
      <c r="U45" s="85"/>
      <c r="V45" s="110"/>
      <c r="W45" s="46"/>
      <c r="X45" s="46"/>
      <c r="Y45" s="85"/>
      <c r="Z45" s="157" t="str">
        <f aca="false">IF(AND(R45&lt;&gt;"",V45&lt;&gt;"",W45&lt;&gt;""),"ENTREGADO","POR RECOGER")</f>
        <v>POR RECOGER</v>
      </c>
      <c r="AA45" s="4"/>
      <c r="AB45" s="4"/>
      <c r="AC45" s="4"/>
    </row>
    <row r="46" customFormat="false" ht="15.75" hidden="false" customHeight="true" outlineLevel="0" collapsed="false">
      <c r="A46" s="106" t="n">
        <v>41</v>
      </c>
      <c r="B46" s="107"/>
      <c r="C46" s="106" t="s">
        <v>752</v>
      </c>
      <c r="D46" s="107" t="s">
        <v>5127</v>
      </c>
      <c r="E46" s="136" t="s">
        <v>99</v>
      </c>
      <c r="F46" s="106" t="s">
        <v>5128</v>
      </c>
      <c r="G46" s="137" t="n">
        <v>46095</v>
      </c>
      <c r="H46" s="106" t="s">
        <v>717</v>
      </c>
      <c r="I46" s="138" t="str">
        <f aca="false">IFERROR(VLOOKUP(TEXT(H46,"0"),IPRESS!$A$3:$B$212,2,0),"")</f>
        <v>YERBABUENA</v>
      </c>
      <c r="J46" s="106" t="s">
        <v>755</v>
      </c>
      <c r="K46" s="138" t="s">
        <v>14</v>
      </c>
      <c r="L46" s="50" t="n">
        <v>18.18</v>
      </c>
      <c r="M46" s="50" t="n">
        <v>6</v>
      </c>
      <c r="N46" s="139" t="n">
        <f aca="false">IFERROR(IF(L46*M46=0,"",L46*M46),"")</f>
        <v>109.08</v>
      </c>
      <c r="O46" s="106" t="s">
        <v>280</v>
      </c>
      <c r="P46" s="138" t="str">
        <f aca="false">IFERROR(VLOOKUP(TEXT(O46,"0"),CONDUCTORES!$A$3:$G$100,2,0),"")</f>
        <v>SANCHEZ CAJO VICENTE</v>
      </c>
      <c r="Q46" s="138" t="str">
        <f aca="false">IFERROR(VLOOKUP(TEXT(O46,"0"),CONDUCTORES!$A$3:$H$100,6,0),"")</f>
        <v>EGL-296</v>
      </c>
      <c r="R46" s="140"/>
      <c r="S46" s="107" t="s">
        <v>1752</v>
      </c>
      <c r="T46" s="136"/>
      <c r="U46" s="140"/>
      <c r="V46" s="107"/>
      <c r="W46" s="106"/>
      <c r="X46" s="106"/>
      <c r="Y46" s="85"/>
      <c r="Z46" s="157" t="str">
        <f aca="false">IF(AND(R46&lt;&gt;"",V46&lt;&gt;"",W46&lt;&gt;""),"ENTREGADO","POR RECOGER")</f>
        <v>POR RECOGER</v>
      </c>
      <c r="AA46" s="4"/>
      <c r="AB46" s="4"/>
      <c r="AC46" s="4"/>
    </row>
    <row r="47" customFormat="false" ht="15.75" hidden="false" customHeight="true" outlineLevel="0" collapsed="false">
      <c r="A47" s="46" t="n">
        <v>42</v>
      </c>
      <c r="B47" s="110"/>
      <c r="C47" s="46" t="s">
        <v>752</v>
      </c>
      <c r="D47" s="110" t="s">
        <v>5129</v>
      </c>
      <c r="E47" s="46" t="s">
        <v>99</v>
      </c>
      <c r="F47" s="46" t="s">
        <v>5130</v>
      </c>
      <c r="G47" s="142" t="n">
        <v>46095</v>
      </c>
      <c r="H47" s="46" t="s">
        <v>595</v>
      </c>
      <c r="I47" s="138" t="str">
        <f aca="false">IFERROR(VLOOKUP(TEXT(H47,"0"),IPRESS!$A$3:$B$212,2,0),"")</f>
        <v>POMACOCHAS</v>
      </c>
      <c r="J47" s="46" t="s">
        <v>755</v>
      </c>
      <c r="K47" s="138" t="s">
        <v>14</v>
      </c>
      <c r="L47" s="44" t="n">
        <v>18.18</v>
      </c>
      <c r="M47" s="44" t="n">
        <v>6</v>
      </c>
      <c r="N47" s="139" t="n">
        <f aca="false">IFERROR(IF(L47*M47=0,"",L47*M47),"")</f>
        <v>109.08</v>
      </c>
      <c r="O47" s="46" t="s">
        <v>248</v>
      </c>
      <c r="P47" s="138" t="str">
        <f aca="false">IFERROR(VLOOKUP(TEXT(O47,"0"),CONDUCTORES!$A$3:$G$100,2,0),"")</f>
        <v>CARRERA ARAUJO JEINER</v>
      </c>
      <c r="Q47" s="138" t="str">
        <f aca="false">IFERROR(VLOOKUP(TEXT(O47,"0"),CONDUCTORES!$A$3:$H$100,6,0),"")</f>
        <v>EUH747</v>
      </c>
      <c r="R47" s="85"/>
      <c r="S47" s="110" t="s">
        <v>5131</v>
      </c>
      <c r="T47" s="46"/>
      <c r="U47" s="85"/>
      <c r="V47" s="110"/>
      <c r="W47" s="46"/>
      <c r="X47" s="46"/>
      <c r="Y47" s="85"/>
      <c r="Z47" s="157" t="str">
        <f aca="false">IF(AND(R47&lt;&gt;"",V47&lt;&gt;"",W47&lt;&gt;""),"ENTREGADO","POR RECOGER")</f>
        <v>POR RECOGER</v>
      </c>
      <c r="AA47" s="4"/>
      <c r="AB47" s="4"/>
      <c r="AC47" s="4"/>
    </row>
    <row r="48" customFormat="false" ht="15.75" hidden="false" customHeight="true" outlineLevel="0" collapsed="false">
      <c r="A48" s="106" t="n">
        <v>43</v>
      </c>
      <c r="B48" s="107"/>
      <c r="C48" s="106" t="s">
        <v>752</v>
      </c>
      <c r="D48" s="107" t="s">
        <v>5132</v>
      </c>
      <c r="E48" s="136" t="s">
        <v>99</v>
      </c>
      <c r="F48" s="106" t="s">
        <v>5133</v>
      </c>
      <c r="G48" s="137" t="n">
        <v>46096</v>
      </c>
      <c r="H48" s="106" t="s">
        <v>529</v>
      </c>
      <c r="I48" s="138" t="str">
        <f aca="false">IFERROR(VLOOKUP(TEXT(H48,"0"),IPRESS!$A$3:$B$212,2,0),"")</f>
        <v>MARIA AUXILIADORA</v>
      </c>
      <c r="J48" s="106" t="s">
        <v>755</v>
      </c>
      <c r="K48" s="138" t="s">
        <v>14</v>
      </c>
      <c r="L48" s="50" t="n">
        <v>20.25</v>
      </c>
      <c r="M48" s="50" t="n">
        <v>8.06</v>
      </c>
      <c r="N48" s="139" t="n">
        <f aca="false">IFERROR(IF(L48*M48=0,"",L48*M48),"")</f>
        <v>163.215</v>
      </c>
      <c r="O48" s="106" t="s">
        <v>145</v>
      </c>
      <c r="P48" s="138" t="str">
        <f aca="false">IFERROR(VLOOKUP(TEXT(O48,"0"),CONDUCTORES!$A$3:$G$100,2,0),"")</f>
        <v>SERNAQUE PELAEZ WILMER</v>
      </c>
      <c r="Q48" s="138" t="str">
        <f aca="false">IFERROR(VLOOKUP(TEXT(O48,"0"),CONDUCTORES!$A$3:$H$100,6,0),"")</f>
        <v>EUH-421</v>
      </c>
      <c r="R48" s="140"/>
      <c r="S48" s="107" t="s">
        <v>891</v>
      </c>
      <c r="T48" s="136"/>
      <c r="U48" s="140"/>
      <c r="V48" s="107"/>
      <c r="W48" s="106"/>
      <c r="X48" s="106"/>
      <c r="Y48" s="85"/>
      <c r="Z48" s="157" t="str">
        <f aca="false">IF(AND(R48&lt;&gt;"",V48&lt;&gt;"",W48&lt;&gt;""),"ENTREGADO","POR RECOGER")</f>
        <v>POR RECOGER</v>
      </c>
      <c r="AA48" s="4"/>
      <c r="AB48" s="4"/>
      <c r="AC48" s="4"/>
    </row>
    <row r="49" customFormat="false" ht="15.75" hidden="false" customHeight="true" outlineLevel="0" collapsed="false">
      <c r="A49" s="143" t="n">
        <v>44</v>
      </c>
      <c r="B49" s="144"/>
      <c r="C49" s="143" t="s">
        <v>752</v>
      </c>
      <c r="D49" s="144" t="s">
        <v>5134</v>
      </c>
      <c r="E49" s="143" t="s">
        <v>99</v>
      </c>
      <c r="F49" s="143" t="s">
        <v>5135</v>
      </c>
      <c r="G49" s="145" t="n">
        <v>46096</v>
      </c>
      <c r="H49" s="143" t="s">
        <v>581</v>
      </c>
      <c r="I49" s="138" t="str">
        <f aca="false">IFERROR(VLOOKUP(TEXT(H49,"0"),IPRESS!$A$3:$B$212,2,0),"")</f>
        <v>PEDRO RUIZ GALLO</v>
      </c>
      <c r="J49" s="143" t="s">
        <v>755</v>
      </c>
      <c r="K49" s="164" t="s">
        <v>16</v>
      </c>
      <c r="L49" s="146" t="n">
        <v>17.95</v>
      </c>
      <c r="M49" s="146" t="n">
        <v>6</v>
      </c>
      <c r="N49" s="139" t="n">
        <f aca="false">IFERROR(IF(L49*M49=0,"",L49*M49),"")</f>
        <v>107.7</v>
      </c>
      <c r="O49" s="143" t="s">
        <v>230</v>
      </c>
      <c r="P49" s="138" t="str">
        <f aca="false">IFERROR(VLOOKUP(TEXT(O49,"0"),CONDUCTORES!$A$3:$G$100,2,0),"")</f>
        <v>MUNOZ VERGARAY JORGE ENRRIQUE</v>
      </c>
      <c r="Q49" s="138" t="str">
        <f aca="false">IFERROR(VLOOKUP(TEXT(O49,"0"),CONDUCTORES!$A$3:$H$100,6,0),"")</f>
        <v>EUH 427</v>
      </c>
      <c r="R49" s="147"/>
      <c r="S49" s="144" t="s">
        <v>5136</v>
      </c>
      <c r="T49" s="143"/>
      <c r="U49" s="147"/>
      <c r="V49" s="144"/>
      <c r="W49" s="143"/>
      <c r="X49" s="143"/>
      <c r="Y49" s="85"/>
      <c r="Z49" s="157" t="str">
        <f aca="false">IF(AND(R49&lt;&gt;"",V49&lt;&gt;"",W49&lt;&gt;""),"ENTREGADO","POR RECOGER")</f>
        <v>POR RECOGER</v>
      </c>
      <c r="AA49" s="4"/>
      <c r="AB49" s="4"/>
      <c r="AC49" s="4"/>
    </row>
    <row r="50" customFormat="false" ht="15.75" hidden="false" customHeight="true" outlineLevel="0" collapsed="false">
      <c r="A50" s="106" t="n">
        <v>45</v>
      </c>
      <c r="B50" s="107"/>
      <c r="C50" s="106" t="s">
        <v>752</v>
      </c>
      <c r="D50" s="107" t="s">
        <v>5137</v>
      </c>
      <c r="E50" s="136" t="s">
        <v>99</v>
      </c>
      <c r="F50" s="106" t="s">
        <v>5138</v>
      </c>
      <c r="G50" s="137" t="n">
        <v>46097</v>
      </c>
      <c r="H50" s="106" t="s">
        <v>692</v>
      </c>
      <c r="I50" s="138" t="str">
        <f aca="false">IFERROR(VLOOKUP(TEXT(H50,"0"),IPRESS!$A$3:$B$212,2,0),"")</f>
        <v>TINGO</v>
      </c>
      <c r="J50" s="106" t="s">
        <v>755</v>
      </c>
      <c r="K50" s="138" t="s">
        <v>14</v>
      </c>
      <c r="L50" s="50" t="n">
        <v>18.18</v>
      </c>
      <c r="M50" s="50" t="n">
        <v>5</v>
      </c>
      <c r="N50" s="139" t="n">
        <f aca="false">IFERROR(IF(L50*M50=0,"",L50*M50),"")</f>
        <v>90.9</v>
      </c>
      <c r="O50" s="106" t="s">
        <v>263</v>
      </c>
      <c r="P50" s="138" t="str">
        <f aca="false">IFERROR(VLOOKUP(TEXT(O50,"0"),CONDUCTORES!$A$3:$G$100,2,0),"")</f>
        <v>VILCARROMERO TORREJON HERMERSON</v>
      </c>
      <c r="Q50" s="138" t="str">
        <f aca="false">IFERROR(VLOOKUP(TEXT(O50,"0"),CONDUCTORES!$A$3:$H$100,6,0),"")</f>
        <v>EUD-917</v>
      </c>
      <c r="R50" s="140"/>
      <c r="S50" s="107" t="s">
        <v>5139</v>
      </c>
      <c r="T50" s="136"/>
      <c r="U50" s="140"/>
      <c r="V50" s="107"/>
      <c r="W50" s="106"/>
      <c r="X50" s="106"/>
      <c r="Y50" s="85"/>
      <c r="Z50" s="157" t="str">
        <f aca="false">IF(AND(R50&lt;&gt;"",V50&lt;&gt;"",W50&lt;&gt;""),"ENTREGADO","POR RECOGER")</f>
        <v>POR RECOGER</v>
      </c>
      <c r="AA50" s="4"/>
      <c r="AB50" s="4"/>
      <c r="AC50" s="4"/>
    </row>
    <row r="51" customFormat="false" ht="15.75" hidden="false" customHeight="true" outlineLevel="0" collapsed="false">
      <c r="A51" s="143" t="n">
        <v>46</v>
      </c>
      <c r="B51" s="144"/>
      <c r="C51" s="143" t="s">
        <v>752</v>
      </c>
      <c r="D51" s="144" t="s">
        <v>5140</v>
      </c>
      <c r="E51" s="143" t="s">
        <v>99</v>
      </c>
      <c r="F51" s="143" t="s">
        <v>5141</v>
      </c>
      <c r="G51" s="145" t="n">
        <v>46098</v>
      </c>
      <c r="H51" s="143" t="s">
        <v>350</v>
      </c>
      <c r="I51" s="138" t="str">
        <f aca="false">IFERROR(VLOOKUP(TEXT(H51,"0"),IPRESS!$A$3:$B$212,2,0),"")</f>
        <v>BUENOS AIRES</v>
      </c>
      <c r="J51" s="143" t="s">
        <v>595</v>
      </c>
      <c r="K51" s="164" t="s">
        <v>16</v>
      </c>
      <c r="L51" s="146" t="n">
        <v>17.95</v>
      </c>
      <c r="M51" s="146" t="n">
        <v>5</v>
      </c>
      <c r="N51" s="139" t="n">
        <f aca="false">IFERROR(IF(L51*M51=0,"",L51*M51),"")</f>
        <v>89.75</v>
      </c>
      <c r="O51" s="77" t="s">
        <v>301</v>
      </c>
      <c r="P51" s="138" t="str">
        <f aca="false">IFERROR(VLOOKUP(TEXT(O51,"0"),CONDUCTORES!$A$3:$G$100,2,0),"")</f>
        <v>RONAL SAUCEDO GUEVARA</v>
      </c>
      <c r="Q51" s="138" t="str">
        <f aca="false">IFERROR(VLOOKUP(TEXT(O51,"0"),CONDUCTORES!$A$3:$H$100,6,0),"")</f>
        <v>EUB-067</v>
      </c>
      <c r="R51" s="147"/>
      <c r="S51" s="144" t="s">
        <v>5142</v>
      </c>
      <c r="T51" s="143"/>
      <c r="U51" s="147"/>
      <c r="V51" s="144"/>
      <c r="W51" s="143"/>
      <c r="X51" s="143"/>
      <c r="Y51" s="85"/>
      <c r="Z51" s="157" t="str">
        <f aca="false">IF(AND(R51&lt;&gt;"",V51&lt;&gt;"",W51&lt;&gt;""),"ENTREGADO","POR RECOGER")</f>
        <v>POR RECOGER</v>
      </c>
      <c r="AA51" s="4"/>
      <c r="AB51" s="4"/>
      <c r="AC51" s="4"/>
    </row>
    <row r="52" customFormat="false" ht="15.75" hidden="false" customHeight="true" outlineLevel="0" collapsed="false">
      <c r="A52" s="106" t="n">
        <v>47</v>
      </c>
      <c r="B52" s="107"/>
      <c r="C52" s="106" t="s">
        <v>752</v>
      </c>
      <c r="D52" s="107" t="s">
        <v>2477</v>
      </c>
      <c r="E52" s="136" t="s">
        <v>99</v>
      </c>
      <c r="F52" s="106" t="s">
        <v>2478</v>
      </c>
      <c r="G52" s="137" t="n">
        <v>46098</v>
      </c>
      <c r="H52" s="106" t="s">
        <v>692</v>
      </c>
      <c r="I52" s="138" t="str">
        <f aca="false">IFERROR(VLOOKUP(TEXT(H52,"0"),IPRESS!$A$3:$B$212,2,0),"")</f>
        <v>TINGO</v>
      </c>
      <c r="J52" s="106" t="s">
        <v>755</v>
      </c>
      <c r="K52" s="138" t="s">
        <v>14</v>
      </c>
      <c r="L52" s="50" t="n">
        <v>18.18</v>
      </c>
      <c r="M52" s="50" t="n">
        <v>5</v>
      </c>
      <c r="N52" s="139" t="n">
        <f aca="false">IFERROR(IF(L52*M52=0,"",L52*M52),"")</f>
        <v>90.9</v>
      </c>
      <c r="O52" s="106" t="s">
        <v>263</v>
      </c>
      <c r="P52" s="138" t="str">
        <f aca="false">IFERROR(VLOOKUP(TEXT(O52,"0"),CONDUCTORES!$A$3:$G$100,2,0),"")</f>
        <v>VILCARROMERO TORREJON HERMERSON</v>
      </c>
      <c r="Q52" s="138" t="str">
        <f aca="false">IFERROR(VLOOKUP(TEXT(O52,"0"),CONDUCTORES!$A$3:$H$100,6,0),"")</f>
        <v>EUD-917</v>
      </c>
      <c r="R52" s="140"/>
      <c r="S52" s="107" t="s">
        <v>5143</v>
      </c>
      <c r="T52" s="136"/>
      <c r="U52" s="140"/>
      <c r="V52" s="107"/>
      <c r="W52" s="106"/>
      <c r="X52" s="106"/>
      <c r="Y52" s="85"/>
      <c r="Z52" s="157" t="str">
        <f aca="false">IF(AND(R52&lt;&gt;"",V52&lt;&gt;"",W52&lt;&gt;""),"ENTREGADO","POR RECOGER")</f>
        <v>POR RECOGER</v>
      </c>
      <c r="AA52" s="4"/>
      <c r="AB52" s="4"/>
      <c r="AC52" s="4"/>
    </row>
    <row r="53" customFormat="false" ht="15.75" hidden="false" customHeight="true" outlineLevel="0" collapsed="false">
      <c r="A53" s="46" t="n">
        <v>48</v>
      </c>
      <c r="B53" s="110"/>
      <c r="C53" s="46" t="s">
        <v>752</v>
      </c>
      <c r="D53" s="110" t="s">
        <v>5144</v>
      </c>
      <c r="E53" s="46" t="s">
        <v>99</v>
      </c>
      <c r="F53" s="46" t="s">
        <v>5145</v>
      </c>
      <c r="G53" s="142" t="n">
        <v>46099</v>
      </c>
      <c r="H53" s="46" t="s">
        <v>692</v>
      </c>
      <c r="I53" s="138" t="str">
        <f aca="false">IFERROR(VLOOKUP(TEXT(H53,"0"),IPRESS!$A$3:$B$212,2,0),"")</f>
        <v>TINGO</v>
      </c>
      <c r="J53" s="46" t="s">
        <v>755</v>
      </c>
      <c r="K53" s="138" t="s">
        <v>14</v>
      </c>
      <c r="L53" s="44" t="n">
        <v>18.18</v>
      </c>
      <c r="M53" s="44" t="n">
        <v>5</v>
      </c>
      <c r="N53" s="139" t="n">
        <f aca="false">IFERROR(IF(L53*M53=0,"",L53*M53),"")</f>
        <v>90.9</v>
      </c>
      <c r="O53" s="46" t="s">
        <v>263</v>
      </c>
      <c r="P53" s="138" t="str">
        <f aca="false">IFERROR(VLOOKUP(TEXT(O53,"0"),CONDUCTORES!$A$3:$G$100,2,0),"")</f>
        <v>VILCARROMERO TORREJON HERMERSON</v>
      </c>
      <c r="Q53" s="138" t="str">
        <f aca="false">IFERROR(VLOOKUP(TEXT(O53,"0"),CONDUCTORES!$A$3:$H$100,6,0),"")</f>
        <v>EUD-917</v>
      </c>
      <c r="R53" s="85"/>
      <c r="S53" s="110" t="s">
        <v>4046</v>
      </c>
      <c r="T53" s="46"/>
      <c r="U53" s="85"/>
      <c r="V53" s="110"/>
      <c r="W53" s="46"/>
      <c r="X53" s="46"/>
      <c r="Y53" s="85"/>
      <c r="Z53" s="157" t="str">
        <f aca="false">IF(AND(R53&lt;&gt;"",V53&lt;&gt;"",W53&lt;&gt;""),"ENTREGADO","POR RECOGER")</f>
        <v>POR RECOGER</v>
      </c>
      <c r="AA53" s="4"/>
      <c r="AB53" s="4"/>
      <c r="AC53" s="4"/>
    </row>
    <row r="54" customFormat="false" ht="15.75" hidden="false" customHeight="true" outlineLevel="0" collapsed="false">
      <c r="A54" s="106" t="n">
        <v>49</v>
      </c>
      <c r="B54" s="107"/>
      <c r="C54" s="106" t="s">
        <v>752</v>
      </c>
      <c r="D54" s="107" t="s">
        <v>5146</v>
      </c>
      <c r="E54" s="136" t="s">
        <v>99</v>
      </c>
      <c r="F54" s="106" t="s">
        <v>5147</v>
      </c>
      <c r="G54" s="137" t="n">
        <v>46100</v>
      </c>
      <c r="H54" s="106" t="s">
        <v>529</v>
      </c>
      <c r="I54" s="138" t="str">
        <f aca="false">IFERROR(VLOOKUP(TEXT(H54,"0"),IPRESS!$A$3:$B$212,2,0),"")</f>
        <v>MARIA AUXILIADORA</v>
      </c>
      <c r="J54" s="106" t="s">
        <v>755</v>
      </c>
      <c r="K54" s="138" t="s">
        <v>14</v>
      </c>
      <c r="L54" s="50" t="n">
        <v>20.25</v>
      </c>
      <c r="M54" s="50" t="n">
        <v>7</v>
      </c>
      <c r="N54" s="139" t="n">
        <f aca="false">IFERROR(IF(L54*M54=0,"",L54*M54),"")</f>
        <v>141.75</v>
      </c>
      <c r="O54" s="106" t="s">
        <v>139</v>
      </c>
      <c r="P54" s="138" t="str">
        <f aca="false">IFERROR(VLOOKUP(TEXT(O54,"0"),CONDUCTORES!$A$3:$G$100,2,0),"")</f>
        <v>PORTOCARRERO PELAEZ MIGUEL ANTONIO</v>
      </c>
      <c r="Q54" s="138" t="str">
        <f aca="false">IFERROR(VLOOKUP(TEXT(O54,"0"),CONDUCTORES!$A$3:$H$100,6,0),"")</f>
        <v>EUH-421</v>
      </c>
      <c r="R54" s="140"/>
      <c r="S54" s="107" t="s">
        <v>5148</v>
      </c>
      <c r="T54" s="136"/>
      <c r="U54" s="140"/>
      <c r="V54" s="107"/>
      <c r="W54" s="106"/>
      <c r="X54" s="106"/>
      <c r="Y54" s="85"/>
      <c r="Z54" s="157" t="str">
        <f aca="false">IF(AND(R54&lt;&gt;"",V54&lt;&gt;"",W54&lt;&gt;""),"ENTREGADO","POR RECOGER")</f>
        <v>POR RECOGER</v>
      </c>
      <c r="AA54" s="4"/>
      <c r="AB54" s="4"/>
      <c r="AC54" s="4"/>
    </row>
    <row r="55" customFormat="false" ht="15.75" hidden="false" customHeight="true" outlineLevel="0" collapsed="false">
      <c r="A55" s="46" t="n">
        <v>50</v>
      </c>
      <c r="B55" s="110"/>
      <c r="C55" s="46" t="s">
        <v>752</v>
      </c>
      <c r="D55" s="110" t="s">
        <v>5149</v>
      </c>
      <c r="E55" s="46" t="s">
        <v>99</v>
      </c>
      <c r="F55" s="46" t="s">
        <v>5150</v>
      </c>
      <c r="G55" s="142" t="n">
        <v>46100</v>
      </c>
      <c r="H55" s="46" t="s">
        <v>529</v>
      </c>
      <c r="I55" s="138" t="str">
        <f aca="false">IFERROR(VLOOKUP(TEXT(H55,"0"),IPRESS!$A$3:$B$212,2,0),"")</f>
        <v>MARIA AUXILIADORA</v>
      </c>
      <c r="J55" s="46" t="s">
        <v>755</v>
      </c>
      <c r="K55" s="138" t="s">
        <v>14</v>
      </c>
      <c r="L55" s="44" t="n">
        <v>20.25</v>
      </c>
      <c r="M55" s="44" t="n">
        <v>7</v>
      </c>
      <c r="N55" s="139" t="n">
        <f aca="false">IFERROR(IF(L55*M55=0,"",L55*M55),"")</f>
        <v>141.75</v>
      </c>
      <c r="O55" s="46" t="s">
        <v>148</v>
      </c>
      <c r="P55" s="138" t="str">
        <f aca="false">IFERROR(VLOOKUP(TEXT(O55,"0"),CONDUCTORES!$A$3:$G$100,2,0),"")</f>
        <v>ROJAS ALVARADO BENJAMIN</v>
      </c>
      <c r="Q55" s="138" t="str">
        <f aca="false">IFERROR(VLOOKUP(TEXT(O55,"0"),CONDUCTORES!$A$3:$H$100,6,0),"")</f>
        <v>421 EUH</v>
      </c>
      <c r="R55" s="85"/>
      <c r="S55" s="110" t="s">
        <v>5151</v>
      </c>
      <c r="T55" s="46"/>
      <c r="U55" s="85"/>
      <c r="V55" s="110"/>
      <c r="W55" s="46"/>
      <c r="X55" s="46"/>
      <c r="Y55" s="85"/>
      <c r="Z55" s="157" t="str">
        <f aca="false">IF(AND(R55&lt;&gt;"",V55&lt;&gt;"",W55&lt;&gt;""),"ENTREGADO","POR RECOGER")</f>
        <v>POR RECOGER</v>
      </c>
      <c r="AA55" s="4"/>
      <c r="AB55" s="4"/>
      <c r="AC55" s="4"/>
    </row>
    <row r="56" customFormat="false" ht="15.75" hidden="false" customHeight="true" outlineLevel="0" collapsed="false">
      <c r="A56" s="106" t="n">
        <v>51</v>
      </c>
      <c r="B56" s="107"/>
      <c r="C56" s="106" t="s">
        <v>752</v>
      </c>
      <c r="D56" s="107"/>
      <c r="E56" s="136" t="s">
        <v>99</v>
      </c>
      <c r="F56" s="106"/>
      <c r="G56" s="140"/>
      <c r="H56" s="106"/>
      <c r="I56" s="138" t="str">
        <f aca="false">IFERROR(VLOOKUP(TEXT(H56,"0"),IPRESS!$A$3:$B$212,2,0),"")</f>
        <v/>
      </c>
      <c r="J56" s="106"/>
      <c r="K56" s="138"/>
      <c r="L56" s="50" t="n">
        <v>20.25</v>
      </c>
      <c r="M56" s="50"/>
      <c r="N56" s="139" t="str">
        <f aca="false">IFERROR(IF(L56*M56=0,"",L56*M56),"")</f>
        <v/>
      </c>
      <c r="O56" s="106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40"/>
      <c r="S56" s="107"/>
      <c r="T56" s="136"/>
      <c r="U56" s="140"/>
      <c r="V56" s="107"/>
      <c r="W56" s="106"/>
      <c r="X56" s="106"/>
      <c r="Y56" s="85"/>
      <c r="Z56" s="157" t="str">
        <f aca="false">IF(AND(R56&lt;&gt;"",V56&lt;&gt;"",W56&lt;&gt;""),"ENTREGADO","POR RECOGER")</f>
        <v>POR RECOGER</v>
      </c>
      <c r="AA56" s="4"/>
      <c r="AB56" s="4"/>
      <c r="AC56" s="4"/>
    </row>
    <row r="57" customFormat="false" ht="15.75" hidden="false" customHeight="true" outlineLevel="0" collapsed="false">
      <c r="A57" s="46" t="n">
        <v>52</v>
      </c>
      <c r="B57" s="110"/>
      <c r="C57" s="46" t="s">
        <v>752</v>
      </c>
      <c r="D57" s="110"/>
      <c r="E57" s="46" t="s">
        <v>99</v>
      </c>
      <c r="F57" s="46"/>
      <c r="G57" s="85"/>
      <c r="H57" s="46"/>
      <c r="I57" s="138" t="str">
        <f aca="false">IFERROR(VLOOKUP(TEXT(H57,"0"),IPRESS!$A$3:$B$212,2,0),"")</f>
        <v/>
      </c>
      <c r="J57" s="46"/>
      <c r="K57" s="138"/>
      <c r="L57" s="44" t="n">
        <v>20.25</v>
      </c>
      <c r="M57" s="44"/>
      <c r="N57" s="139" t="str">
        <f aca="false">IFERROR(IF(L57*M57=0,"",L57*M57),"")</f>
        <v/>
      </c>
      <c r="O57" s="46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85"/>
      <c r="S57" s="110"/>
      <c r="T57" s="46"/>
      <c r="U57" s="85"/>
      <c r="V57" s="110"/>
      <c r="W57" s="46"/>
      <c r="X57" s="46"/>
      <c r="Y57" s="85"/>
      <c r="Z57" s="157" t="str">
        <f aca="false">IF(AND(R57&lt;&gt;"",V57&lt;&gt;"",W57&lt;&gt;""),"ENTREGADO","POR RECOGER")</f>
        <v>POR RECOGER</v>
      </c>
      <c r="AA57" s="4"/>
      <c r="AB57" s="4"/>
      <c r="AC57" s="4"/>
    </row>
    <row r="58" customFormat="false" ht="15.75" hidden="false" customHeight="true" outlineLevel="0" collapsed="false">
      <c r="A58" s="106" t="n">
        <v>53</v>
      </c>
      <c r="B58" s="107"/>
      <c r="C58" s="106" t="s">
        <v>752</v>
      </c>
      <c r="D58" s="107"/>
      <c r="E58" s="136" t="s">
        <v>99</v>
      </c>
      <c r="F58" s="106"/>
      <c r="G58" s="140"/>
      <c r="H58" s="106"/>
      <c r="I58" s="138" t="str">
        <f aca="false">IFERROR(VLOOKUP(TEXT(H58,"0"),IPRESS!$A$3:$B$212,2,0),"")</f>
        <v/>
      </c>
      <c r="J58" s="106"/>
      <c r="K58" s="138"/>
      <c r="L58" s="50" t="n">
        <v>20.25</v>
      </c>
      <c r="M58" s="50"/>
      <c r="N58" s="139" t="str">
        <f aca="false">IFERROR(IF(L58*M58=0,"",L58*M58),"")</f>
        <v/>
      </c>
      <c r="O58" s="106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40"/>
      <c r="S58" s="107"/>
      <c r="T58" s="136"/>
      <c r="U58" s="140"/>
      <c r="V58" s="107"/>
      <c r="W58" s="106"/>
      <c r="X58" s="106"/>
      <c r="Y58" s="85"/>
      <c r="Z58" s="157" t="str">
        <f aca="false">IF(AND(R58&lt;&gt;"",V58&lt;&gt;"",W58&lt;&gt;""),"ENTREGADO","POR RECOGER")</f>
        <v>POR RECOGER</v>
      </c>
      <c r="AA58" s="4"/>
      <c r="AB58" s="4"/>
      <c r="AC58" s="4"/>
    </row>
    <row r="59" customFormat="false" ht="15.75" hidden="false" customHeight="true" outlineLevel="0" collapsed="false">
      <c r="A59" s="46" t="n">
        <v>54</v>
      </c>
      <c r="B59" s="110"/>
      <c r="C59" s="46" t="s">
        <v>752</v>
      </c>
      <c r="D59" s="110"/>
      <c r="E59" s="46" t="s">
        <v>99</v>
      </c>
      <c r="F59" s="46"/>
      <c r="G59" s="85"/>
      <c r="H59" s="46"/>
      <c r="I59" s="138" t="str">
        <f aca="false">IFERROR(VLOOKUP(TEXT(H59,"0"),IPRESS!$A$3:$B$212,2,0),"")</f>
        <v/>
      </c>
      <c r="J59" s="46"/>
      <c r="K59" s="138"/>
      <c r="L59" s="44" t="n">
        <v>20.25</v>
      </c>
      <c r="M59" s="44"/>
      <c r="N59" s="139" t="str">
        <f aca="false">IFERROR(IF(L59*M59=0,"",L59*M59),"")</f>
        <v/>
      </c>
      <c r="O59" s="46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85"/>
      <c r="S59" s="110"/>
      <c r="T59" s="46"/>
      <c r="U59" s="85"/>
      <c r="V59" s="110"/>
      <c r="W59" s="46"/>
      <c r="X59" s="46"/>
      <c r="Y59" s="85"/>
      <c r="Z59" s="157" t="str">
        <f aca="false">IF(AND(R59&lt;&gt;"",V59&lt;&gt;"",W59&lt;&gt;""),"ENTREGADO","POR RECOGER")</f>
        <v>POR RECOGER</v>
      </c>
      <c r="AA59" s="4"/>
      <c r="AB59" s="4"/>
      <c r="AC59" s="4"/>
    </row>
    <row r="60" customFormat="false" ht="15.75" hidden="false" customHeight="true" outlineLevel="0" collapsed="false">
      <c r="A60" s="106" t="n">
        <v>55</v>
      </c>
      <c r="B60" s="107"/>
      <c r="C60" s="106" t="s">
        <v>752</v>
      </c>
      <c r="D60" s="107"/>
      <c r="E60" s="136" t="s">
        <v>99</v>
      </c>
      <c r="F60" s="106"/>
      <c r="G60" s="140"/>
      <c r="H60" s="106"/>
      <c r="I60" s="138" t="str">
        <f aca="false">IFERROR(VLOOKUP(TEXT(H60,"0"),IPRESS!$A$3:$B$212,2,0),"")</f>
        <v/>
      </c>
      <c r="J60" s="106"/>
      <c r="K60" s="138"/>
      <c r="L60" s="50" t="n">
        <v>20.25</v>
      </c>
      <c r="M60" s="50"/>
      <c r="N60" s="139" t="str">
        <f aca="false">IFERROR(IF(L60*M60=0,"",L60*M60),"")</f>
        <v/>
      </c>
      <c r="O60" s="106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40"/>
      <c r="S60" s="107"/>
      <c r="T60" s="136"/>
      <c r="U60" s="140"/>
      <c r="V60" s="107"/>
      <c r="W60" s="106"/>
      <c r="X60" s="106"/>
      <c r="Y60" s="85"/>
      <c r="Z60" s="157" t="str">
        <f aca="false">IF(AND(R60&lt;&gt;"",V60&lt;&gt;"",W60&lt;&gt;""),"ENTREGADO","POR RECOGER")</f>
        <v>POR RECOGER</v>
      </c>
      <c r="AA60" s="4"/>
      <c r="AB60" s="4"/>
      <c r="AC60" s="4"/>
    </row>
    <row r="61" customFormat="false" ht="15.75" hidden="false" customHeight="true" outlineLevel="0" collapsed="false">
      <c r="A61" s="46" t="n">
        <v>56</v>
      </c>
      <c r="B61" s="110"/>
      <c r="C61" s="46" t="s">
        <v>752</v>
      </c>
      <c r="D61" s="110"/>
      <c r="E61" s="46" t="s">
        <v>99</v>
      </c>
      <c r="F61" s="46"/>
      <c r="G61" s="85"/>
      <c r="H61" s="46"/>
      <c r="I61" s="138" t="str">
        <f aca="false">IFERROR(VLOOKUP(TEXT(H61,"0"),IPRESS!$A$3:$B$212,2,0),"")</f>
        <v/>
      </c>
      <c r="J61" s="46"/>
      <c r="K61" s="138"/>
      <c r="L61" s="44" t="n">
        <v>18.18</v>
      </c>
      <c r="M61" s="44"/>
      <c r="N61" s="139" t="str">
        <f aca="false">IFERROR(IF(L61*M61=0,"",L61*M61),"")</f>
        <v/>
      </c>
      <c r="O61" s="46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85"/>
      <c r="S61" s="110"/>
      <c r="T61" s="46"/>
      <c r="U61" s="85"/>
      <c r="V61" s="110"/>
      <c r="W61" s="46"/>
      <c r="X61" s="46"/>
      <c r="Y61" s="85"/>
      <c r="Z61" s="157" t="str">
        <f aca="false">IF(AND(R61&lt;&gt;"",V61&lt;&gt;"",W61&lt;&gt;""),"ENTREGADO","POR RECOGER")</f>
        <v>POR RECOGER</v>
      </c>
      <c r="AA61" s="4"/>
      <c r="AB61" s="4"/>
      <c r="AC61" s="4"/>
    </row>
    <row r="62" customFormat="false" ht="15.75" hidden="false" customHeight="true" outlineLevel="0" collapsed="false">
      <c r="A62" s="106" t="n">
        <v>57</v>
      </c>
      <c r="B62" s="107"/>
      <c r="C62" s="106" t="s">
        <v>752</v>
      </c>
      <c r="D62" s="107"/>
      <c r="E62" s="136" t="s">
        <v>99</v>
      </c>
      <c r="F62" s="106"/>
      <c r="G62" s="140"/>
      <c r="H62" s="106"/>
      <c r="I62" s="138" t="str">
        <f aca="false">IFERROR(VLOOKUP(TEXT(H62,"0"),IPRESS!$A$3:$B$212,2,0),"")</f>
        <v/>
      </c>
      <c r="J62" s="106"/>
      <c r="K62" s="138"/>
      <c r="L62" s="50" t="n">
        <v>18.18</v>
      </c>
      <c r="M62" s="50"/>
      <c r="N62" s="139" t="str">
        <f aca="false">IFERROR(IF(L62*M62=0,"",L62*M62),"")</f>
        <v/>
      </c>
      <c r="O62" s="106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40"/>
      <c r="S62" s="107"/>
      <c r="T62" s="136"/>
      <c r="U62" s="140"/>
      <c r="V62" s="107"/>
      <c r="W62" s="106"/>
      <c r="X62" s="106"/>
      <c r="Y62" s="85"/>
      <c r="Z62" s="157" t="str">
        <f aca="false">IF(AND(R62&lt;&gt;"",V62&lt;&gt;"",W62&lt;&gt;""),"ENTREGADO","POR RECOGER")</f>
        <v>POR RECOGER</v>
      </c>
      <c r="AA62" s="4"/>
      <c r="AB62" s="4"/>
      <c r="AC62" s="4"/>
    </row>
    <row r="63" customFormat="false" ht="15.75" hidden="false" customHeight="true" outlineLevel="0" collapsed="false">
      <c r="A63" s="46" t="n">
        <v>58</v>
      </c>
      <c r="B63" s="110"/>
      <c r="C63" s="46" t="s">
        <v>752</v>
      </c>
      <c r="D63" s="110"/>
      <c r="E63" s="46" t="s">
        <v>99</v>
      </c>
      <c r="F63" s="46"/>
      <c r="G63" s="85"/>
      <c r="H63" s="46"/>
      <c r="I63" s="138" t="str">
        <f aca="false">IFERROR(VLOOKUP(TEXT(H63,"0"),IPRESS!$A$3:$B$212,2,0),"")</f>
        <v/>
      </c>
      <c r="J63" s="46"/>
      <c r="K63" s="138"/>
      <c r="L63" s="44" t="n">
        <v>18.18</v>
      </c>
      <c r="M63" s="44"/>
      <c r="N63" s="139" t="str">
        <f aca="false">IFERROR(IF(L63*M63=0,"",L63*M63),"")</f>
        <v/>
      </c>
      <c r="O63" s="46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85"/>
      <c r="S63" s="110"/>
      <c r="T63" s="46"/>
      <c r="U63" s="85"/>
      <c r="V63" s="110"/>
      <c r="W63" s="46"/>
      <c r="X63" s="46"/>
      <c r="Y63" s="85"/>
      <c r="Z63" s="157" t="str">
        <f aca="false">IF(AND(R63&lt;&gt;"",V63&lt;&gt;"",W63&lt;&gt;""),"ENTREGADO","POR RECOGER")</f>
        <v>POR RECOGER</v>
      </c>
      <c r="AA63" s="4"/>
      <c r="AB63" s="4"/>
      <c r="AC63" s="4"/>
    </row>
    <row r="64" customFormat="false" ht="15.75" hidden="false" customHeight="true" outlineLevel="0" collapsed="false">
      <c r="A64" s="106" t="n">
        <v>59</v>
      </c>
      <c r="B64" s="107"/>
      <c r="C64" s="106" t="s">
        <v>752</v>
      </c>
      <c r="D64" s="107"/>
      <c r="E64" s="136" t="s">
        <v>99</v>
      </c>
      <c r="F64" s="106"/>
      <c r="G64" s="140"/>
      <c r="H64" s="106"/>
      <c r="I64" s="138" t="str">
        <f aca="false">IFERROR(VLOOKUP(TEXT(H64,"0"),IPRESS!$A$3:$B$212,2,0),"")</f>
        <v/>
      </c>
      <c r="J64" s="106"/>
      <c r="K64" s="138"/>
      <c r="L64" s="50" t="n">
        <v>18.18</v>
      </c>
      <c r="M64" s="50"/>
      <c r="N64" s="139" t="str">
        <f aca="false">IFERROR(IF(L64*M64=0,"",L64*M64),"")</f>
        <v/>
      </c>
      <c r="O64" s="106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40"/>
      <c r="S64" s="107"/>
      <c r="T64" s="136"/>
      <c r="U64" s="140"/>
      <c r="V64" s="107"/>
      <c r="W64" s="106"/>
      <c r="X64" s="106"/>
      <c r="Y64" s="85"/>
      <c r="Z64" s="157" t="str">
        <f aca="false">IF(AND(R64&lt;&gt;"",V64&lt;&gt;"",W64&lt;&gt;""),"ENTREGADO","POR RECOGER")</f>
        <v>POR RECOGER</v>
      </c>
      <c r="AA64" s="4"/>
      <c r="AB64" s="4"/>
      <c r="AC64" s="4"/>
    </row>
    <row r="65" customFormat="false" ht="15.75" hidden="false" customHeight="true" outlineLevel="0" collapsed="false">
      <c r="A65" s="46" t="n">
        <v>60</v>
      </c>
      <c r="B65" s="110"/>
      <c r="C65" s="46" t="s">
        <v>752</v>
      </c>
      <c r="D65" s="110"/>
      <c r="E65" s="46" t="s">
        <v>99</v>
      </c>
      <c r="F65" s="46"/>
      <c r="G65" s="85"/>
      <c r="H65" s="46"/>
      <c r="I65" s="138" t="str">
        <f aca="false">IFERROR(VLOOKUP(TEXT(H65,"0"),IPRESS!$A$3:$B$212,2,0),"")</f>
        <v/>
      </c>
      <c r="J65" s="46"/>
      <c r="K65" s="138"/>
      <c r="L65" s="44" t="n">
        <v>18.18</v>
      </c>
      <c r="M65" s="44"/>
      <c r="N65" s="139" t="str">
        <f aca="false">IFERROR(IF(L65*M65=0,"",L65*M65),"")</f>
        <v/>
      </c>
      <c r="O65" s="46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85"/>
      <c r="S65" s="110"/>
      <c r="T65" s="46"/>
      <c r="U65" s="85"/>
      <c r="V65" s="110"/>
      <c r="W65" s="46"/>
      <c r="X65" s="46"/>
      <c r="Y65" s="85"/>
      <c r="Z65" s="157" t="str">
        <f aca="false">IF(AND(R65&lt;&gt;"",V65&lt;&gt;"",W65&lt;&gt;""),"ENTREGADO","POR RECOGER")</f>
        <v>POR RECOGER</v>
      </c>
      <c r="AA65" s="4"/>
      <c r="AB65" s="4"/>
      <c r="AC65" s="4"/>
    </row>
    <row r="66" customFormat="false" ht="15.75" hidden="false" customHeight="true" outlineLevel="0" collapsed="false">
      <c r="A66" s="106" t="n">
        <v>61</v>
      </c>
      <c r="B66" s="107"/>
      <c r="C66" s="106" t="s">
        <v>752</v>
      </c>
      <c r="D66" s="107"/>
      <c r="E66" s="136" t="s">
        <v>99</v>
      </c>
      <c r="F66" s="106"/>
      <c r="G66" s="140"/>
      <c r="H66" s="106"/>
      <c r="I66" s="138" t="str">
        <f aca="false">IFERROR(VLOOKUP(TEXT(H66,"0"),IPRESS!$A$3:$B$212,2,0),"")</f>
        <v/>
      </c>
      <c r="J66" s="106"/>
      <c r="K66" s="138"/>
      <c r="L66" s="50" t="n">
        <v>20.25</v>
      </c>
      <c r="M66" s="50"/>
      <c r="N66" s="139" t="str">
        <f aca="false">IFERROR(IF(L66*M66=0,"",L66*M66),"")</f>
        <v/>
      </c>
      <c r="O66" s="106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40"/>
      <c r="S66" s="107"/>
      <c r="T66" s="136"/>
      <c r="U66" s="140"/>
      <c r="V66" s="107"/>
      <c r="W66" s="106"/>
      <c r="X66" s="106"/>
      <c r="Y66" s="85"/>
      <c r="Z66" s="157" t="str">
        <f aca="false">IF(AND(R66&lt;&gt;"",V66&lt;&gt;"",W66&lt;&gt;""),"ENTREGADO","POR RECOGER")</f>
        <v>POR RECOGER</v>
      </c>
      <c r="AA66" s="4"/>
      <c r="AB66" s="4"/>
      <c r="AC66" s="4"/>
    </row>
    <row r="67" customFormat="false" ht="15.75" hidden="false" customHeight="true" outlineLevel="0" collapsed="false">
      <c r="A67" s="46" t="n">
        <v>62</v>
      </c>
      <c r="B67" s="110"/>
      <c r="C67" s="46" t="s">
        <v>752</v>
      </c>
      <c r="D67" s="110"/>
      <c r="E67" s="46" t="s">
        <v>99</v>
      </c>
      <c r="F67" s="46"/>
      <c r="G67" s="85"/>
      <c r="H67" s="46"/>
      <c r="I67" s="138" t="str">
        <f aca="false">IFERROR(VLOOKUP(TEXT(H67,"0"),IPRESS!$A$3:$B$212,2,0),"")</f>
        <v/>
      </c>
      <c r="J67" s="46"/>
      <c r="K67" s="138"/>
      <c r="L67" s="44" t="n">
        <v>20.25</v>
      </c>
      <c r="M67" s="44"/>
      <c r="N67" s="139" t="str">
        <f aca="false">IFERROR(IF(L67*M67=0,"",L67*M67),"")</f>
        <v/>
      </c>
      <c r="O67" s="46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85"/>
      <c r="S67" s="110"/>
      <c r="T67" s="46"/>
      <c r="U67" s="85"/>
      <c r="V67" s="110"/>
      <c r="W67" s="46"/>
      <c r="X67" s="46"/>
      <c r="Y67" s="85"/>
      <c r="Z67" s="157" t="str">
        <f aca="false">IF(AND(R67&lt;&gt;"",V67&lt;&gt;"",W67&lt;&gt;""),"ENTREGADO","POR RECOGER")</f>
        <v>POR RECOGER</v>
      </c>
      <c r="AA67" s="4"/>
      <c r="AB67" s="4"/>
      <c r="AC67" s="4"/>
    </row>
    <row r="68" customFormat="false" ht="15.75" hidden="false" customHeight="true" outlineLevel="0" collapsed="false">
      <c r="A68" s="106" t="n">
        <v>63</v>
      </c>
      <c r="B68" s="107"/>
      <c r="C68" s="106" t="s">
        <v>752</v>
      </c>
      <c r="D68" s="107"/>
      <c r="E68" s="136" t="s">
        <v>99</v>
      </c>
      <c r="F68" s="106"/>
      <c r="G68" s="140"/>
      <c r="H68" s="106"/>
      <c r="I68" s="138" t="str">
        <f aca="false">IFERROR(VLOOKUP(TEXT(H68,"0"),IPRESS!$A$3:$B$212,2,0),"")</f>
        <v/>
      </c>
      <c r="J68" s="106"/>
      <c r="K68" s="138"/>
      <c r="L68" s="50" t="n">
        <v>18.18</v>
      </c>
      <c r="M68" s="50"/>
      <c r="N68" s="139" t="str">
        <f aca="false">IFERROR(IF(L68*M68=0,"",L68*M68),"")</f>
        <v/>
      </c>
      <c r="O68" s="106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40"/>
      <c r="S68" s="107"/>
      <c r="T68" s="136"/>
      <c r="U68" s="140"/>
      <c r="V68" s="107"/>
      <c r="W68" s="106"/>
      <c r="X68" s="106"/>
      <c r="Y68" s="85"/>
      <c r="Z68" s="157" t="str">
        <f aca="false">IF(AND(R68&lt;&gt;"",V68&lt;&gt;"",W68&lt;&gt;""),"ENTREGADO","POR RECOGER")</f>
        <v>POR RECOGER</v>
      </c>
      <c r="AA68" s="4"/>
      <c r="AB68" s="4"/>
      <c r="AC68" s="4"/>
    </row>
    <row r="69" customFormat="false" ht="15.75" hidden="false" customHeight="true" outlineLevel="0" collapsed="false">
      <c r="A69" s="46" t="n">
        <v>64</v>
      </c>
      <c r="B69" s="110"/>
      <c r="C69" s="46" t="s">
        <v>752</v>
      </c>
      <c r="D69" s="110"/>
      <c r="E69" s="46" t="s">
        <v>99</v>
      </c>
      <c r="F69" s="46"/>
      <c r="G69" s="85"/>
      <c r="H69" s="46"/>
      <c r="I69" s="138" t="str">
        <f aca="false">IFERROR(VLOOKUP(TEXT(H69,"0"),IPRESS!$A$3:$B$212,2,0),"")</f>
        <v/>
      </c>
      <c r="J69" s="46"/>
      <c r="K69" s="138"/>
      <c r="L69" s="44" t="n">
        <v>18.18</v>
      </c>
      <c r="M69" s="44"/>
      <c r="N69" s="139" t="str">
        <f aca="false">IFERROR(IF(L69*M69=0,"",L69*M69),"")</f>
        <v/>
      </c>
      <c r="O69" s="46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85"/>
      <c r="S69" s="110"/>
      <c r="T69" s="46"/>
      <c r="U69" s="85"/>
      <c r="V69" s="110"/>
      <c r="W69" s="46"/>
      <c r="X69" s="46"/>
      <c r="Y69" s="85"/>
      <c r="Z69" s="157" t="str">
        <f aca="false">IF(AND(R69&lt;&gt;"",V69&lt;&gt;"",W69&lt;&gt;""),"ENTREGADO","POR RECOGER")</f>
        <v>POR RECOGER</v>
      </c>
      <c r="AA69" s="4"/>
      <c r="AB69" s="4"/>
      <c r="AC69" s="4"/>
    </row>
    <row r="70" customFormat="false" ht="15.75" hidden="false" customHeight="true" outlineLevel="0" collapsed="false">
      <c r="A70" s="106" t="n">
        <v>65</v>
      </c>
      <c r="B70" s="107"/>
      <c r="C70" s="106" t="s">
        <v>752</v>
      </c>
      <c r="D70" s="107"/>
      <c r="E70" s="136" t="s">
        <v>99</v>
      </c>
      <c r="F70" s="106"/>
      <c r="G70" s="140"/>
      <c r="H70" s="106"/>
      <c r="I70" s="138" t="str">
        <f aca="false">IFERROR(VLOOKUP(TEXT(H70,"0"),IPRESS!$A$3:$B$212,2,0),"")</f>
        <v/>
      </c>
      <c r="J70" s="106"/>
      <c r="K70" s="138"/>
      <c r="L70" s="50" t="n">
        <v>18.18</v>
      </c>
      <c r="M70" s="50"/>
      <c r="N70" s="139" t="str">
        <f aca="false">IFERROR(IF(L70*M70=0,"",L70*M70),"")</f>
        <v/>
      </c>
      <c r="O70" s="106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40"/>
      <c r="S70" s="107"/>
      <c r="T70" s="136"/>
      <c r="U70" s="140"/>
      <c r="V70" s="107"/>
      <c r="W70" s="106"/>
      <c r="X70" s="106"/>
      <c r="Y70" s="85"/>
      <c r="Z70" s="157" t="str">
        <f aca="false">IF(AND(R70&lt;&gt;"",V70&lt;&gt;"",W70&lt;&gt;""),"ENTREGADO","POR RECOGER")</f>
        <v>POR RECOGER</v>
      </c>
      <c r="AA70" s="4"/>
      <c r="AB70" s="4"/>
      <c r="AC70" s="4"/>
    </row>
    <row r="71" customFormat="false" ht="15.75" hidden="false" customHeight="true" outlineLevel="0" collapsed="false">
      <c r="A71" s="46" t="n">
        <v>66</v>
      </c>
      <c r="B71" s="110"/>
      <c r="C71" s="46" t="s">
        <v>752</v>
      </c>
      <c r="D71" s="110"/>
      <c r="E71" s="46" t="s">
        <v>99</v>
      </c>
      <c r="F71" s="46"/>
      <c r="G71" s="85"/>
      <c r="H71" s="46"/>
      <c r="I71" s="138" t="str">
        <f aca="false">IFERROR(VLOOKUP(TEXT(H71,"0"),IPRESS!$A$3:$B$212,2,0),"")</f>
        <v/>
      </c>
      <c r="J71" s="46"/>
      <c r="K71" s="138"/>
      <c r="L71" s="44" t="n">
        <v>18.18</v>
      </c>
      <c r="M71" s="44"/>
      <c r="N71" s="139" t="str">
        <f aca="false">IFERROR(IF(L71*M71=0,"",L71*M71),"")</f>
        <v/>
      </c>
      <c r="O71" s="46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85"/>
      <c r="S71" s="110"/>
      <c r="T71" s="46"/>
      <c r="U71" s="85"/>
      <c r="V71" s="110"/>
      <c r="W71" s="46"/>
      <c r="X71" s="46"/>
      <c r="Y71" s="85"/>
      <c r="Z71" s="157" t="str">
        <f aca="false">IF(AND(R71&lt;&gt;"",V71&lt;&gt;"",W71&lt;&gt;""),"ENTREGADO","POR RECOGER")</f>
        <v>POR RECOGER</v>
      </c>
      <c r="AA71" s="4"/>
      <c r="AB71" s="4"/>
      <c r="AC71" s="4"/>
    </row>
    <row r="72" customFormat="false" ht="15.75" hidden="false" customHeight="true" outlineLevel="0" collapsed="false">
      <c r="A72" s="106" t="n">
        <v>67</v>
      </c>
      <c r="B72" s="107"/>
      <c r="C72" s="106" t="s">
        <v>752</v>
      </c>
      <c r="D72" s="107"/>
      <c r="E72" s="136" t="s">
        <v>99</v>
      </c>
      <c r="F72" s="106"/>
      <c r="G72" s="140"/>
      <c r="H72" s="106"/>
      <c r="I72" s="138" t="str">
        <f aca="false">IFERROR(VLOOKUP(TEXT(H72,"0"),IPRESS!$A$3:$B$212,2,0),"")</f>
        <v/>
      </c>
      <c r="J72" s="106"/>
      <c r="K72" s="138"/>
      <c r="L72" s="50" t="n">
        <v>18.18</v>
      </c>
      <c r="M72" s="50"/>
      <c r="N72" s="139" t="str">
        <f aca="false">IFERROR(IF(L72*M72=0,"",L72*M72),"")</f>
        <v/>
      </c>
      <c r="O72" s="106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40"/>
      <c r="S72" s="107"/>
      <c r="T72" s="136"/>
      <c r="U72" s="140"/>
      <c r="V72" s="107"/>
      <c r="W72" s="106"/>
      <c r="X72" s="106"/>
      <c r="Y72" s="85"/>
      <c r="Z72" s="157" t="str">
        <f aca="false">IF(AND(R72&lt;&gt;"",V72&lt;&gt;"",W72&lt;&gt;""),"ENTREGADO","POR RECOGER")</f>
        <v>POR RECOGER</v>
      </c>
      <c r="AA72" s="4"/>
      <c r="AB72" s="4"/>
      <c r="AC72" s="4"/>
    </row>
    <row r="73" customFormat="false" ht="15.75" hidden="false" customHeight="true" outlineLevel="0" collapsed="false">
      <c r="A73" s="46" t="n">
        <v>68</v>
      </c>
      <c r="B73" s="110"/>
      <c r="C73" s="46" t="s">
        <v>752</v>
      </c>
      <c r="D73" s="110"/>
      <c r="E73" s="46" t="s">
        <v>99</v>
      </c>
      <c r="F73" s="46"/>
      <c r="G73" s="85"/>
      <c r="H73" s="46"/>
      <c r="I73" s="138" t="str">
        <f aca="false">IFERROR(VLOOKUP(TEXT(H73,"0"),IPRESS!$A$3:$B$212,2,0),"")</f>
        <v/>
      </c>
      <c r="J73" s="46"/>
      <c r="K73" s="138"/>
      <c r="L73" s="44" t="n">
        <v>18.18</v>
      </c>
      <c r="M73" s="44"/>
      <c r="N73" s="139" t="str">
        <f aca="false">IFERROR(IF(L73*M73=0,"",L73*M73),"")</f>
        <v/>
      </c>
      <c r="O73" s="46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85"/>
      <c r="S73" s="110"/>
      <c r="T73" s="46"/>
      <c r="U73" s="85"/>
      <c r="V73" s="110"/>
      <c r="W73" s="46"/>
      <c r="X73" s="46"/>
      <c r="Y73" s="85"/>
      <c r="Z73" s="157" t="str">
        <f aca="false">IF(AND(R73&lt;&gt;"",V73&lt;&gt;"",W73&lt;&gt;""),"ENTREGADO","POR RECOGER")</f>
        <v>POR RECOGER</v>
      </c>
      <c r="AA73" s="4"/>
      <c r="AB73" s="4"/>
      <c r="AC73" s="4"/>
    </row>
    <row r="74" customFormat="false" ht="15.75" hidden="false" customHeight="true" outlineLevel="0" collapsed="false">
      <c r="A74" s="106" t="n">
        <v>69</v>
      </c>
      <c r="B74" s="107"/>
      <c r="C74" s="106" t="s">
        <v>752</v>
      </c>
      <c r="D74" s="107"/>
      <c r="E74" s="136" t="s">
        <v>99</v>
      </c>
      <c r="F74" s="106"/>
      <c r="G74" s="140"/>
      <c r="H74" s="106"/>
      <c r="I74" s="138" t="str">
        <f aca="false">IFERROR(VLOOKUP(TEXT(H74,"0"),IPRESS!$A$3:$B$212,2,0),"")</f>
        <v/>
      </c>
      <c r="J74" s="106"/>
      <c r="K74" s="138"/>
      <c r="L74" s="50" t="n">
        <v>18.18</v>
      </c>
      <c r="M74" s="50"/>
      <c r="N74" s="139" t="str">
        <f aca="false">IFERROR(IF(L74*M74=0,"",L74*M74),"")</f>
        <v/>
      </c>
      <c r="O74" s="106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40"/>
      <c r="S74" s="107"/>
      <c r="T74" s="136"/>
      <c r="U74" s="140"/>
      <c r="V74" s="107"/>
      <c r="W74" s="106"/>
      <c r="X74" s="106"/>
      <c r="Y74" s="85"/>
      <c r="Z74" s="157" t="str">
        <f aca="false">IF(AND(R74&lt;&gt;"",V74&lt;&gt;"",W74&lt;&gt;""),"ENTREGADO","POR RECOGER")</f>
        <v>POR RECOGER</v>
      </c>
      <c r="AA74" s="4"/>
      <c r="AB74" s="4"/>
      <c r="AC74" s="4"/>
    </row>
    <row r="75" customFormat="false" ht="15.75" hidden="false" customHeight="true" outlineLevel="0" collapsed="false">
      <c r="A75" s="46" t="n">
        <v>70</v>
      </c>
      <c r="B75" s="110"/>
      <c r="C75" s="46" t="s">
        <v>752</v>
      </c>
      <c r="D75" s="110"/>
      <c r="E75" s="46" t="s">
        <v>99</v>
      </c>
      <c r="F75" s="46"/>
      <c r="G75" s="85"/>
      <c r="H75" s="46"/>
      <c r="I75" s="138" t="str">
        <f aca="false">IFERROR(VLOOKUP(TEXT(H75,"0"),IPRESS!$A$3:$B$212,2,0),"")</f>
        <v/>
      </c>
      <c r="J75" s="46"/>
      <c r="K75" s="138"/>
      <c r="L75" s="44" t="n">
        <v>18.18</v>
      </c>
      <c r="M75" s="44"/>
      <c r="N75" s="139" t="str">
        <f aca="false">IFERROR(IF(L75*M75=0,"",L75*M75),"")</f>
        <v/>
      </c>
      <c r="O75" s="46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85"/>
      <c r="S75" s="110"/>
      <c r="T75" s="46"/>
      <c r="U75" s="85"/>
      <c r="V75" s="110"/>
      <c r="W75" s="46"/>
      <c r="X75" s="46"/>
      <c r="Y75" s="85"/>
      <c r="Z75" s="157" t="str">
        <f aca="false">IF(AND(R75&lt;&gt;"",V75&lt;&gt;"",W75&lt;&gt;""),"ENTREGADO","POR RECOGER")</f>
        <v>POR RECOGER</v>
      </c>
      <c r="AA75" s="4"/>
      <c r="AB75" s="4"/>
      <c r="AC75" s="4"/>
    </row>
    <row r="76" customFormat="false" ht="15.75" hidden="false" customHeight="true" outlineLevel="0" collapsed="false">
      <c r="A76" s="106" t="n">
        <v>71</v>
      </c>
      <c r="B76" s="107"/>
      <c r="C76" s="106" t="s">
        <v>752</v>
      </c>
      <c r="D76" s="107"/>
      <c r="E76" s="136" t="s">
        <v>99</v>
      </c>
      <c r="F76" s="106"/>
      <c r="G76" s="140"/>
      <c r="H76" s="106"/>
      <c r="I76" s="138" t="str">
        <f aca="false">IFERROR(VLOOKUP(TEXT(H76,"0"),IPRESS!$A$3:$B$212,2,0),"")</f>
        <v/>
      </c>
      <c r="J76" s="106"/>
      <c r="K76" s="138"/>
      <c r="L76" s="50" t="n">
        <v>18.18</v>
      </c>
      <c r="M76" s="50"/>
      <c r="N76" s="139" t="str">
        <f aca="false">IFERROR(IF(L76*M76=0,"",L76*M76),"")</f>
        <v/>
      </c>
      <c r="O76" s="106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40"/>
      <c r="S76" s="107"/>
      <c r="T76" s="136"/>
      <c r="U76" s="140"/>
      <c r="V76" s="107"/>
      <c r="W76" s="106"/>
      <c r="X76" s="106"/>
      <c r="Y76" s="85"/>
      <c r="Z76" s="157" t="str">
        <f aca="false">IF(AND(R76&lt;&gt;"",V76&lt;&gt;"",W76&lt;&gt;""),"ENTREGADO","POR RECOGER")</f>
        <v>POR RECOGER</v>
      </c>
      <c r="AA76" s="4"/>
      <c r="AB76" s="4"/>
      <c r="AC76" s="4"/>
    </row>
    <row r="77" customFormat="false" ht="15.75" hidden="false" customHeight="true" outlineLevel="0" collapsed="false">
      <c r="A77" s="46" t="n">
        <v>72</v>
      </c>
      <c r="B77" s="110"/>
      <c r="C77" s="46" t="s">
        <v>752</v>
      </c>
      <c r="D77" s="110"/>
      <c r="E77" s="46" t="s">
        <v>99</v>
      </c>
      <c r="F77" s="46"/>
      <c r="G77" s="85"/>
      <c r="H77" s="46"/>
      <c r="I77" s="138" t="str">
        <f aca="false">IFERROR(VLOOKUP(TEXT(H77,"0"),IPRESS!$A$3:$B$212,2,0),"")</f>
        <v/>
      </c>
      <c r="J77" s="46"/>
      <c r="K77" s="138"/>
      <c r="L77" s="44" t="n">
        <v>18.18</v>
      </c>
      <c r="M77" s="44"/>
      <c r="N77" s="139" t="str">
        <f aca="false">IFERROR(IF(L77*M77=0,"",L77*M77),"")</f>
        <v/>
      </c>
      <c r="O77" s="46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85"/>
      <c r="S77" s="110"/>
      <c r="T77" s="46"/>
      <c r="U77" s="85"/>
      <c r="V77" s="110"/>
      <c r="W77" s="46"/>
      <c r="X77" s="46"/>
      <c r="Y77" s="85"/>
      <c r="Z77" s="157" t="str">
        <f aca="false">IF(AND(R77&lt;&gt;"",V77&lt;&gt;"",W77&lt;&gt;""),"ENTREGADO","POR RECOGER")</f>
        <v>POR RECOGER</v>
      </c>
      <c r="AA77" s="4"/>
      <c r="AB77" s="4"/>
      <c r="AC77" s="4"/>
    </row>
    <row r="78" customFormat="false" ht="15.75" hidden="false" customHeight="true" outlineLevel="0" collapsed="false">
      <c r="A78" s="106" t="n">
        <v>73</v>
      </c>
      <c r="B78" s="107"/>
      <c r="C78" s="106" t="s">
        <v>752</v>
      </c>
      <c r="D78" s="107"/>
      <c r="E78" s="136" t="s">
        <v>99</v>
      </c>
      <c r="F78" s="106"/>
      <c r="G78" s="140"/>
      <c r="H78" s="106"/>
      <c r="I78" s="138" t="str">
        <f aca="false">IFERROR(VLOOKUP(TEXT(H78,"0"),IPRESS!$A$3:$B$212,2,0),"")</f>
        <v/>
      </c>
      <c r="J78" s="106"/>
      <c r="K78" s="138"/>
      <c r="L78" s="50"/>
      <c r="M78" s="50"/>
      <c r="N78" s="139" t="str">
        <f aca="false">IFERROR(IF(L78*M78=0,"",L78*M78),"")</f>
        <v/>
      </c>
      <c r="O78" s="106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40"/>
      <c r="S78" s="107"/>
      <c r="T78" s="136"/>
      <c r="U78" s="140"/>
      <c r="V78" s="107"/>
      <c r="W78" s="106"/>
      <c r="X78" s="106"/>
      <c r="Y78" s="85"/>
      <c r="Z78" s="157" t="str">
        <f aca="false">IF(AND(R78&lt;&gt;"",V78&lt;&gt;"",W78&lt;&gt;""),"ENTREGADO","POR RECOGER")</f>
        <v>POR RECOGER</v>
      </c>
      <c r="AA78" s="4"/>
      <c r="AB78" s="4"/>
      <c r="AC78" s="4"/>
    </row>
    <row r="79" customFormat="false" ht="15.75" hidden="false" customHeight="true" outlineLevel="0" collapsed="false">
      <c r="A79" s="46" t="n">
        <v>74</v>
      </c>
      <c r="B79" s="110"/>
      <c r="C79" s="46" t="s">
        <v>752</v>
      </c>
      <c r="D79" s="110"/>
      <c r="E79" s="46" t="s">
        <v>99</v>
      </c>
      <c r="F79" s="46"/>
      <c r="G79" s="85"/>
      <c r="H79" s="46"/>
      <c r="I79" s="138" t="str">
        <f aca="false">IFERROR(VLOOKUP(TEXT(H79,"0"),IPRESS!$A$3:$B$212,2,0),"")</f>
        <v/>
      </c>
      <c r="J79" s="46"/>
      <c r="K79" s="138"/>
      <c r="L79" s="44"/>
      <c r="M79" s="44"/>
      <c r="N79" s="139" t="str">
        <f aca="false">IFERROR(IF(L79*M79=0,"",L79*M79),"")</f>
        <v/>
      </c>
      <c r="O79" s="46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85"/>
      <c r="S79" s="110"/>
      <c r="T79" s="46"/>
      <c r="U79" s="85"/>
      <c r="V79" s="110"/>
      <c r="W79" s="46"/>
      <c r="X79" s="46"/>
      <c r="Y79" s="85"/>
      <c r="Z79" s="157" t="str">
        <f aca="false">IF(AND(R79&lt;&gt;"",V79&lt;&gt;"",W79&lt;&gt;""),"ENTREGADO","POR RECOGER")</f>
        <v>POR RECOGER</v>
      </c>
      <c r="AA79" s="4"/>
      <c r="AB79" s="4"/>
      <c r="AC79" s="4"/>
    </row>
    <row r="80" customFormat="false" ht="15.75" hidden="false" customHeight="true" outlineLevel="0" collapsed="false">
      <c r="A80" s="106" t="n">
        <v>75</v>
      </c>
      <c r="B80" s="107"/>
      <c r="C80" s="106" t="s">
        <v>752</v>
      </c>
      <c r="D80" s="107"/>
      <c r="E80" s="136" t="s">
        <v>99</v>
      </c>
      <c r="F80" s="106"/>
      <c r="G80" s="140"/>
      <c r="H80" s="106"/>
      <c r="I80" s="138" t="str">
        <f aca="false">IFERROR(VLOOKUP(TEXT(H80,"0"),IPRESS!$A$3:$B$212,2,0),"")</f>
        <v/>
      </c>
      <c r="J80" s="106"/>
      <c r="K80" s="138"/>
      <c r="L80" s="50"/>
      <c r="M80" s="50"/>
      <c r="N80" s="139" t="str">
        <f aca="false">IFERROR(IF(L80*M80=0,"",L80*M80),"")</f>
        <v/>
      </c>
      <c r="O80" s="106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40"/>
      <c r="S80" s="107"/>
      <c r="T80" s="136"/>
      <c r="U80" s="140"/>
      <c r="V80" s="107"/>
      <c r="W80" s="106"/>
      <c r="X80" s="106"/>
      <c r="Y80" s="85"/>
      <c r="Z80" s="157" t="str">
        <f aca="false">IF(AND(R80&lt;&gt;"",V80&lt;&gt;"",W80&lt;&gt;""),"ENTREGADO","POR RECOGER")</f>
        <v>POR RECOGER</v>
      </c>
      <c r="AA80" s="4"/>
      <c r="AB80" s="4"/>
      <c r="AC80" s="4"/>
    </row>
    <row r="81" customFormat="false" ht="15.75" hidden="false" customHeight="true" outlineLevel="0" collapsed="false">
      <c r="A81" s="46" t="n">
        <v>76</v>
      </c>
      <c r="B81" s="110"/>
      <c r="C81" s="46" t="s">
        <v>752</v>
      </c>
      <c r="D81" s="110"/>
      <c r="E81" s="46" t="s">
        <v>99</v>
      </c>
      <c r="F81" s="46"/>
      <c r="G81" s="85"/>
      <c r="H81" s="46"/>
      <c r="I81" s="138" t="str">
        <f aca="false">IFERROR(VLOOKUP(TEXT(H81,"0"),IPRESS!$A$3:$B$212,2,0),"")</f>
        <v/>
      </c>
      <c r="J81" s="46"/>
      <c r="K81" s="138"/>
      <c r="L81" s="44"/>
      <c r="M81" s="44"/>
      <c r="N81" s="139" t="str">
        <f aca="false">IFERROR(IF(L81*M81=0,"",L81*M81),"")</f>
        <v/>
      </c>
      <c r="O81" s="46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85"/>
      <c r="S81" s="110"/>
      <c r="T81" s="46"/>
      <c r="U81" s="85"/>
      <c r="V81" s="110"/>
      <c r="W81" s="46"/>
      <c r="X81" s="46"/>
      <c r="Y81" s="85"/>
      <c r="Z81" s="157" t="str">
        <f aca="false">IF(AND(R81&lt;&gt;"",V81&lt;&gt;"",W81&lt;&gt;""),"ENTREGADO","POR RECOGER")</f>
        <v>POR RECOGER</v>
      </c>
      <c r="AA81" s="4"/>
      <c r="AB81" s="4"/>
      <c r="AC81" s="4"/>
    </row>
    <row r="82" customFormat="false" ht="15.75" hidden="false" customHeight="true" outlineLevel="0" collapsed="false">
      <c r="A82" s="106" t="n">
        <v>77</v>
      </c>
      <c r="B82" s="107"/>
      <c r="C82" s="106" t="s">
        <v>752</v>
      </c>
      <c r="D82" s="107"/>
      <c r="E82" s="136" t="s">
        <v>99</v>
      </c>
      <c r="F82" s="106"/>
      <c r="G82" s="140"/>
      <c r="H82" s="106"/>
      <c r="I82" s="138" t="str">
        <f aca="false">IFERROR(VLOOKUP(TEXT(H82,"0"),IPRESS!$A$3:$B$212,2,0),"")</f>
        <v/>
      </c>
      <c r="J82" s="106"/>
      <c r="K82" s="138"/>
      <c r="L82" s="50"/>
      <c r="M82" s="50"/>
      <c r="N82" s="139" t="str">
        <f aca="false">IFERROR(IF(L82*M82=0,"",L82*M82),"")</f>
        <v/>
      </c>
      <c r="O82" s="106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40"/>
      <c r="S82" s="107"/>
      <c r="T82" s="136"/>
      <c r="U82" s="140"/>
      <c r="V82" s="107"/>
      <c r="W82" s="106"/>
      <c r="X82" s="106"/>
      <c r="Y82" s="85"/>
      <c r="Z82" s="157" t="str">
        <f aca="false">IF(AND(R82&lt;&gt;"",V82&lt;&gt;"",W82&lt;&gt;""),"ENTREGADO","POR RECOGER")</f>
        <v>POR RECOGER</v>
      </c>
      <c r="AA82" s="4"/>
      <c r="AB82" s="4"/>
      <c r="AC82" s="4"/>
    </row>
    <row r="83" customFormat="false" ht="15.75" hidden="false" customHeight="true" outlineLevel="0" collapsed="false">
      <c r="A83" s="46" t="n">
        <v>78</v>
      </c>
      <c r="B83" s="110"/>
      <c r="C83" s="46" t="s">
        <v>752</v>
      </c>
      <c r="D83" s="110"/>
      <c r="E83" s="46" t="s">
        <v>99</v>
      </c>
      <c r="F83" s="46"/>
      <c r="G83" s="85"/>
      <c r="H83" s="46"/>
      <c r="I83" s="138" t="str">
        <f aca="false">IFERROR(VLOOKUP(TEXT(H83,"0"),IPRESS!$A$3:$B$212,2,0),"")</f>
        <v/>
      </c>
      <c r="J83" s="46"/>
      <c r="K83" s="138"/>
      <c r="L83" s="44"/>
      <c r="M83" s="44"/>
      <c r="N83" s="139" t="str">
        <f aca="false">IFERROR(IF(L83*M83=0,"",L83*M83),"")</f>
        <v/>
      </c>
      <c r="O83" s="46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85"/>
      <c r="S83" s="110"/>
      <c r="T83" s="46"/>
      <c r="U83" s="85"/>
      <c r="V83" s="110"/>
      <c r="W83" s="46"/>
      <c r="X83" s="46"/>
      <c r="Y83" s="85"/>
      <c r="Z83" s="157" t="str">
        <f aca="false">IF(AND(R83&lt;&gt;"",V83&lt;&gt;"",W83&lt;&gt;""),"ENTREGADO","POR RECOGER")</f>
        <v>POR RECOGER</v>
      </c>
      <c r="AA83" s="4"/>
      <c r="AB83" s="4"/>
      <c r="AC83" s="4"/>
    </row>
    <row r="84" customFormat="false" ht="15.75" hidden="false" customHeight="true" outlineLevel="0" collapsed="false">
      <c r="A84" s="106" t="n">
        <v>79</v>
      </c>
      <c r="B84" s="107"/>
      <c r="C84" s="106" t="s">
        <v>752</v>
      </c>
      <c r="D84" s="107"/>
      <c r="E84" s="136" t="s">
        <v>99</v>
      </c>
      <c r="F84" s="106"/>
      <c r="G84" s="140"/>
      <c r="H84" s="106"/>
      <c r="I84" s="138" t="str">
        <f aca="false">IFERROR(VLOOKUP(TEXT(H84,"0"),IPRESS!$A$3:$B$212,2,0),"")</f>
        <v/>
      </c>
      <c r="J84" s="106"/>
      <c r="K84" s="138"/>
      <c r="L84" s="50"/>
      <c r="M84" s="50"/>
      <c r="N84" s="139" t="str">
        <f aca="false">IFERROR(IF(L84*M84=0,"",L84*M84),"")</f>
        <v/>
      </c>
      <c r="O84" s="106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40"/>
      <c r="S84" s="107"/>
      <c r="T84" s="136"/>
      <c r="U84" s="140"/>
      <c r="V84" s="107"/>
      <c r="W84" s="106"/>
      <c r="X84" s="106"/>
      <c r="Y84" s="85"/>
      <c r="Z84" s="157" t="str">
        <f aca="false">IF(AND(R84&lt;&gt;"",V84&lt;&gt;"",W84&lt;&gt;""),"ENTREGADO","POR RECOGER")</f>
        <v>POR RECOGER</v>
      </c>
      <c r="AA84" s="4"/>
      <c r="AB84" s="4"/>
      <c r="AC84" s="4"/>
    </row>
    <row r="85" customFormat="false" ht="15.75" hidden="false" customHeight="true" outlineLevel="0" collapsed="false">
      <c r="A85" s="46" t="n">
        <v>80</v>
      </c>
      <c r="B85" s="110"/>
      <c r="C85" s="46" t="s">
        <v>752</v>
      </c>
      <c r="D85" s="110"/>
      <c r="E85" s="46" t="s">
        <v>99</v>
      </c>
      <c r="F85" s="46"/>
      <c r="G85" s="85"/>
      <c r="H85" s="46"/>
      <c r="I85" s="138" t="str">
        <f aca="false">IFERROR(VLOOKUP(TEXT(H85,"0"),IPRESS!$A$3:$B$212,2,0),"")</f>
        <v/>
      </c>
      <c r="J85" s="46"/>
      <c r="K85" s="138"/>
      <c r="L85" s="44"/>
      <c r="M85" s="44"/>
      <c r="N85" s="139" t="str">
        <f aca="false">IFERROR(IF(L85*M85=0,"",L85*M85),"")</f>
        <v/>
      </c>
      <c r="O85" s="46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85"/>
      <c r="S85" s="110"/>
      <c r="T85" s="46"/>
      <c r="U85" s="85"/>
      <c r="V85" s="110"/>
      <c r="W85" s="46"/>
      <c r="X85" s="46"/>
      <c r="Y85" s="85"/>
      <c r="Z85" s="157" t="str">
        <f aca="false">IF(AND(R85&lt;&gt;"",V85&lt;&gt;"",W85&lt;&gt;""),"ENTREGADO","POR RECOGER")</f>
        <v>POR RECOGER</v>
      </c>
      <c r="AA85" s="4"/>
      <c r="AB85" s="4"/>
      <c r="AC85" s="4"/>
    </row>
    <row r="86" customFormat="false" ht="15.75" hidden="false" customHeight="true" outlineLevel="0" collapsed="false">
      <c r="A86" s="106" t="n">
        <v>81</v>
      </c>
      <c r="B86" s="107"/>
      <c r="C86" s="106" t="s">
        <v>752</v>
      </c>
      <c r="D86" s="107"/>
      <c r="E86" s="136" t="s">
        <v>99</v>
      </c>
      <c r="F86" s="106"/>
      <c r="G86" s="140"/>
      <c r="H86" s="106"/>
      <c r="I86" s="138" t="str">
        <f aca="false">IFERROR(VLOOKUP(TEXT(H86,"0"),IPRESS!$A$3:$B$212,2,0),"")</f>
        <v/>
      </c>
      <c r="J86" s="106"/>
      <c r="K86" s="138"/>
      <c r="L86" s="50"/>
      <c r="M86" s="50"/>
      <c r="N86" s="139" t="str">
        <f aca="false">IFERROR(IF(L86*M86=0,"",L86*M86),"")</f>
        <v/>
      </c>
      <c r="O86" s="106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40"/>
      <c r="S86" s="107"/>
      <c r="T86" s="136"/>
      <c r="U86" s="140"/>
      <c r="V86" s="107"/>
      <c r="W86" s="106"/>
      <c r="X86" s="106"/>
      <c r="Y86" s="85"/>
      <c r="Z86" s="157" t="str">
        <f aca="false">IF(AND(R86&lt;&gt;"",V86&lt;&gt;"",W86&lt;&gt;""),"ENTREGADO","POR RECOGER")</f>
        <v>POR RECOGER</v>
      </c>
      <c r="AA86" s="4"/>
      <c r="AB86" s="4"/>
      <c r="AC86" s="4"/>
    </row>
    <row r="87" customFormat="false" ht="15.75" hidden="false" customHeight="true" outlineLevel="0" collapsed="false">
      <c r="A87" s="46" t="n">
        <v>82</v>
      </c>
      <c r="B87" s="110"/>
      <c r="C87" s="46" t="s">
        <v>752</v>
      </c>
      <c r="D87" s="110"/>
      <c r="E87" s="46" t="s">
        <v>99</v>
      </c>
      <c r="F87" s="46"/>
      <c r="G87" s="85"/>
      <c r="H87" s="46"/>
      <c r="I87" s="138" t="str">
        <f aca="false">IFERROR(VLOOKUP(TEXT(H87,"0"),IPRESS!$A$3:$B$212,2,0),"")</f>
        <v/>
      </c>
      <c r="J87" s="46"/>
      <c r="K87" s="138"/>
      <c r="L87" s="44"/>
      <c r="M87" s="44"/>
      <c r="N87" s="139" t="str">
        <f aca="false">IFERROR(IF(L87*M87=0,"",L87*M87),"")</f>
        <v/>
      </c>
      <c r="O87" s="46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85"/>
      <c r="S87" s="110"/>
      <c r="T87" s="46"/>
      <c r="U87" s="85"/>
      <c r="V87" s="110"/>
      <c r="W87" s="46"/>
      <c r="X87" s="46"/>
      <c r="Y87" s="85"/>
      <c r="Z87" s="157" t="str">
        <f aca="false">IF(AND(R87&lt;&gt;"",V87&lt;&gt;"",W87&lt;&gt;""),"ENTREGADO","POR RECOGER")</f>
        <v>POR RECOGER</v>
      </c>
      <c r="AA87" s="4"/>
      <c r="AB87" s="4"/>
      <c r="AC87" s="4"/>
    </row>
    <row r="88" customFormat="false" ht="15.75" hidden="false" customHeight="true" outlineLevel="0" collapsed="false">
      <c r="A88" s="106" t="n">
        <v>83</v>
      </c>
      <c r="B88" s="107"/>
      <c r="C88" s="106" t="s">
        <v>752</v>
      </c>
      <c r="D88" s="107"/>
      <c r="E88" s="136" t="s">
        <v>99</v>
      </c>
      <c r="F88" s="106"/>
      <c r="G88" s="140"/>
      <c r="H88" s="106"/>
      <c r="I88" s="138" t="str">
        <f aca="false">IFERROR(VLOOKUP(TEXT(H88,"0"),IPRESS!$A$3:$B$212,2,0),"")</f>
        <v/>
      </c>
      <c r="J88" s="106"/>
      <c r="K88" s="138"/>
      <c r="L88" s="50"/>
      <c r="M88" s="50"/>
      <c r="N88" s="139" t="str">
        <f aca="false">IFERROR(IF(L88*M88=0,"",L88*M88),"")</f>
        <v/>
      </c>
      <c r="O88" s="106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40"/>
      <c r="S88" s="107"/>
      <c r="T88" s="136"/>
      <c r="U88" s="140"/>
      <c r="V88" s="107"/>
      <c r="W88" s="106"/>
      <c r="X88" s="106"/>
      <c r="Y88" s="85"/>
      <c r="Z88" s="157" t="str">
        <f aca="false">IF(AND(R88&lt;&gt;"",V88&lt;&gt;"",W88&lt;&gt;""),"ENTREGADO","POR RECOGER")</f>
        <v>POR RECOGER</v>
      </c>
      <c r="AA88" s="4"/>
      <c r="AB88" s="4"/>
      <c r="AC88" s="4"/>
    </row>
    <row r="89" customFormat="false" ht="15.75" hidden="false" customHeight="true" outlineLevel="0" collapsed="false">
      <c r="A89" s="46" t="n">
        <v>84</v>
      </c>
      <c r="B89" s="110"/>
      <c r="C89" s="46" t="s">
        <v>752</v>
      </c>
      <c r="D89" s="110"/>
      <c r="E89" s="46" t="s">
        <v>99</v>
      </c>
      <c r="F89" s="46"/>
      <c r="G89" s="85"/>
      <c r="H89" s="46"/>
      <c r="I89" s="138" t="str">
        <f aca="false">IFERROR(VLOOKUP(TEXT(H89,"0"),IPRESS!$A$3:$B$212,2,0),"")</f>
        <v/>
      </c>
      <c r="J89" s="46"/>
      <c r="K89" s="138"/>
      <c r="L89" s="44"/>
      <c r="M89" s="44"/>
      <c r="N89" s="139" t="str">
        <f aca="false">IFERROR(IF(L89*M89=0,"",L89*M89),"")</f>
        <v/>
      </c>
      <c r="O89" s="46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85"/>
      <c r="S89" s="110"/>
      <c r="T89" s="46"/>
      <c r="U89" s="85"/>
      <c r="V89" s="110"/>
      <c r="W89" s="46"/>
      <c r="X89" s="46"/>
      <c r="Y89" s="85"/>
      <c r="Z89" s="157" t="str">
        <f aca="false">IF(AND(R89&lt;&gt;"",V89&lt;&gt;"",W89&lt;&gt;""),"ENTREGADO","POR RECOGER")</f>
        <v>POR RECOGER</v>
      </c>
      <c r="AA89" s="4"/>
      <c r="AB89" s="4"/>
      <c r="AC89" s="4"/>
    </row>
    <row r="90" customFormat="false" ht="15.75" hidden="false" customHeight="true" outlineLevel="0" collapsed="false">
      <c r="A90" s="106" t="n">
        <v>85</v>
      </c>
      <c r="B90" s="107"/>
      <c r="C90" s="106" t="s">
        <v>752</v>
      </c>
      <c r="D90" s="107"/>
      <c r="E90" s="136" t="s">
        <v>99</v>
      </c>
      <c r="F90" s="106"/>
      <c r="G90" s="140"/>
      <c r="H90" s="106"/>
      <c r="I90" s="138" t="str">
        <f aca="false">IFERROR(VLOOKUP(TEXT(H90,"0"),IPRESS!$A$3:$B$212,2,0),"")</f>
        <v/>
      </c>
      <c r="J90" s="106"/>
      <c r="K90" s="138"/>
      <c r="L90" s="50"/>
      <c r="M90" s="50"/>
      <c r="N90" s="139" t="str">
        <f aca="false">IFERROR(IF(L90*M90=0,"",L90*M90),"")</f>
        <v/>
      </c>
      <c r="O90" s="106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40"/>
      <c r="S90" s="107"/>
      <c r="T90" s="136"/>
      <c r="U90" s="140"/>
      <c r="V90" s="107"/>
      <c r="W90" s="106"/>
      <c r="X90" s="106"/>
      <c r="Y90" s="85"/>
      <c r="Z90" s="157" t="str">
        <f aca="false">IF(AND(R90&lt;&gt;"",V90&lt;&gt;"",W90&lt;&gt;""),"ENTREGADO","POR RECOGER")</f>
        <v>POR RECOGER</v>
      </c>
      <c r="AA90" s="4"/>
      <c r="AB90" s="4"/>
      <c r="AC90" s="4"/>
    </row>
    <row r="91" customFormat="false" ht="15.75" hidden="false" customHeight="true" outlineLevel="0" collapsed="false">
      <c r="A91" s="46" t="n">
        <v>86</v>
      </c>
      <c r="B91" s="110"/>
      <c r="C91" s="46" t="s">
        <v>752</v>
      </c>
      <c r="D91" s="110"/>
      <c r="E91" s="46" t="s">
        <v>99</v>
      </c>
      <c r="F91" s="46"/>
      <c r="G91" s="85"/>
      <c r="H91" s="46"/>
      <c r="I91" s="138" t="str">
        <f aca="false">IFERROR(VLOOKUP(TEXT(H91,"0"),IPRESS!$A$3:$B$212,2,0),"")</f>
        <v/>
      </c>
      <c r="J91" s="46"/>
      <c r="K91" s="138"/>
      <c r="L91" s="44"/>
      <c r="M91" s="44"/>
      <c r="N91" s="139" t="str">
        <f aca="false">IFERROR(IF(L91*M91=0,"",L91*M91),"")</f>
        <v/>
      </c>
      <c r="O91" s="46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85"/>
      <c r="S91" s="110"/>
      <c r="T91" s="46"/>
      <c r="U91" s="85"/>
      <c r="V91" s="110"/>
      <c r="W91" s="46"/>
      <c r="X91" s="46"/>
      <c r="Y91" s="85"/>
      <c r="Z91" s="157" t="str">
        <f aca="false">IF(AND(R91&lt;&gt;"",V91&lt;&gt;"",W91&lt;&gt;""),"ENTREGADO","POR RECOGER")</f>
        <v>POR RECOGER</v>
      </c>
      <c r="AA91" s="4"/>
      <c r="AB91" s="4"/>
      <c r="AC91" s="4"/>
    </row>
    <row r="92" customFormat="false" ht="15.75" hidden="false" customHeight="true" outlineLevel="0" collapsed="false">
      <c r="A92" s="106" t="n">
        <v>87</v>
      </c>
      <c r="B92" s="107"/>
      <c r="C92" s="106" t="s">
        <v>752</v>
      </c>
      <c r="D92" s="107"/>
      <c r="E92" s="136" t="s">
        <v>99</v>
      </c>
      <c r="F92" s="106"/>
      <c r="G92" s="140"/>
      <c r="H92" s="106"/>
      <c r="I92" s="138" t="str">
        <f aca="false">IFERROR(VLOOKUP(TEXT(H92,"0"),IPRESS!$A$3:$B$212,2,0),"")</f>
        <v/>
      </c>
      <c r="J92" s="106"/>
      <c r="K92" s="138"/>
      <c r="L92" s="50"/>
      <c r="M92" s="50"/>
      <c r="N92" s="139" t="str">
        <f aca="false">IFERROR(IF(L92*M92=0,"",L92*M92),"")</f>
        <v/>
      </c>
      <c r="O92" s="106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40"/>
      <c r="S92" s="107"/>
      <c r="T92" s="136"/>
      <c r="U92" s="140"/>
      <c r="V92" s="107"/>
      <c r="W92" s="106"/>
      <c r="X92" s="106"/>
      <c r="Y92" s="85"/>
      <c r="Z92" s="157" t="str">
        <f aca="false">IF(AND(R92&lt;&gt;"",V92&lt;&gt;"",W92&lt;&gt;""),"ENTREGADO","POR RECOGER")</f>
        <v>POR RECOGER</v>
      </c>
      <c r="AA92" s="4"/>
      <c r="AB92" s="4"/>
      <c r="AC92" s="4"/>
    </row>
    <row r="93" customFormat="false" ht="15.75" hidden="false" customHeight="true" outlineLevel="0" collapsed="false">
      <c r="A93" s="46" t="n">
        <v>88</v>
      </c>
      <c r="B93" s="110"/>
      <c r="C93" s="46" t="s">
        <v>752</v>
      </c>
      <c r="D93" s="110"/>
      <c r="E93" s="46" t="s">
        <v>99</v>
      </c>
      <c r="F93" s="46"/>
      <c r="G93" s="85"/>
      <c r="H93" s="46"/>
      <c r="I93" s="138" t="str">
        <f aca="false">IFERROR(VLOOKUP(TEXT(H93,"0"),IPRESS!$A$3:$B$212,2,0),"")</f>
        <v/>
      </c>
      <c r="J93" s="46"/>
      <c r="K93" s="138"/>
      <c r="L93" s="44"/>
      <c r="M93" s="44"/>
      <c r="N93" s="139" t="str">
        <f aca="false">IFERROR(IF(L93*M93=0,"",L93*M93),"")</f>
        <v/>
      </c>
      <c r="O93" s="46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85"/>
      <c r="S93" s="110"/>
      <c r="T93" s="46"/>
      <c r="U93" s="85"/>
      <c r="V93" s="110"/>
      <c r="W93" s="46"/>
      <c r="X93" s="46"/>
      <c r="Y93" s="85"/>
      <c r="Z93" s="157" t="str">
        <f aca="false">IF(AND(R93&lt;&gt;"",V93&lt;&gt;"",W93&lt;&gt;""),"ENTREGADO","POR RECOGER")</f>
        <v>POR RECOGER</v>
      </c>
      <c r="AA93" s="4"/>
      <c r="AB93" s="4"/>
      <c r="AC93" s="4"/>
    </row>
    <row r="94" customFormat="false" ht="15.75" hidden="false" customHeight="true" outlineLevel="0" collapsed="false">
      <c r="A94" s="106" t="n">
        <v>89</v>
      </c>
      <c r="B94" s="107"/>
      <c r="C94" s="106" t="s">
        <v>752</v>
      </c>
      <c r="D94" s="107"/>
      <c r="E94" s="136" t="s">
        <v>99</v>
      </c>
      <c r="F94" s="106"/>
      <c r="G94" s="140"/>
      <c r="H94" s="106"/>
      <c r="I94" s="138" t="str">
        <f aca="false">IFERROR(VLOOKUP(TEXT(H94,"0"),IPRESS!$A$3:$B$212,2,0),"")</f>
        <v/>
      </c>
      <c r="J94" s="106"/>
      <c r="K94" s="138"/>
      <c r="L94" s="50"/>
      <c r="M94" s="50"/>
      <c r="N94" s="139" t="str">
        <f aca="false">IFERROR(IF(L94*M94=0,"",L94*M94),"")</f>
        <v/>
      </c>
      <c r="O94" s="106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40"/>
      <c r="S94" s="107"/>
      <c r="T94" s="136"/>
      <c r="U94" s="140"/>
      <c r="V94" s="107"/>
      <c r="W94" s="106"/>
      <c r="X94" s="106"/>
      <c r="Y94" s="85"/>
      <c r="Z94" s="157" t="str">
        <f aca="false">IF(AND(R94&lt;&gt;"",V94&lt;&gt;"",W94&lt;&gt;""),"ENTREGADO","POR RECOGER")</f>
        <v>POR RECOGER</v>
      </c>
      <c r="AA94" s="4"/>
      <c r="AB94" s="4"/>
      <c r="AC94" s="4"/>
    </row>
    <row r="95" customFormat="false" ht="15.75" hidden="false" customHeight="true" outlineLevel="0" collapsed="false">
      <c r="A95" s="46" t="n">
        <v>90</v>
      </c>
      <c r="B95" s="110"/>
      <c r="C95" s="46" t="s">
        <v>752</v>
      </c>
      <c r="D95" s="110"/>
      <c r="E95" s="46" t="s">
        <v>99</v>
      </c>
      <c r="F95" s="46"/>
      <c r="G95" s="85"/>
      <c r="H95" s="46"/>
      <c r="I95" s="138" t="str">
        <f aca="false">IFERROR(VLOOKUP(TEXT(H95,"0"),IPRESS!$A$3:$B$212,2,0),"")</f>
        <v/>
      </c>
      <c r="J95" s="46"/>
      <c r="K95" s="138"/>
      <c r="L95" s="44"/>
      <c r="M95" s="44"/>
      <c r="N95" s="139" t="str">
        <f aca="false">IFERROR(IF(L95*M95=0,"",L95*M95),"")</f>
        <v/>
      </c>
      <c r="O95" s="46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85"/>
      <c r="S95" s="110"/>
      <c r="T95" s="46"/>
      <c r="U95" s="85"/>
      <c r="V95" s="110"/>
      <c r="W95" s="46"/>
      <c r="X95" s="46"/>
      <c r="Y95" s="85"/>
      <c r="Z95" s="157" t="str">
        <f aca="false">IF(AND(R95&lt;&gt;"",V95&lt;&gt;"",W95&lt;&gt;""),"ENTREGADO","POR RECOGER")</f>
        <v>POR RECOGER</v>
      </c>
      <c r="AA95" s="4"/>
      <c r="AB95" s="4"/>
      <c r="AC95" s="4"/>
    </row>
    <row r="96" customFormat="false" ht="15.75" hidden="false" customHeight="true" outlineLevel="0" collapsed="false">
      <c r="A96" s="106" t="n">
        <v>91</v>
      </c>
      <c r="B96" s="107"/>
      <c r="C96" s="106" t="s">
        <v>752</v>
      </c>
      <c r="D96" s="107"/>
      <c r="E96" s="136" t="s">
        <v>99</v>
      </c>
      <c r="F96" s="106"/>
      <c r="G96" s="140"/>
      <c r="H96" s="106"/>
      <c r="I96" s="138" t="str">
        <f aca="false">IFERROR(VLOOKUP(TEXT(H96,"0"),IPRESS!$A$3:$B$212,2,0),"")</f>
        <v/>
      </c>
      <c r="J96" s="106"/>
      <c r="K96" s="138"/>
      <c r="L96" s="50"/>
      <c r="M96" s="50"/>
      <c r="N96" s="139" t="str">
        <f aca="false">IFERROR(IF(L96*M96=0,"",L96*M96),"")</f>
        <v/>
      </c>
      <c r="O96" s="106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40"/>
      <c r="S96" s="107"/>
      <c r="T96" s="136"/>
      <c r="U96" s="140"/>
      <c r="V96" s="107"/>
      <c r="W96" s="106"/>
      <c r="X96" s="106"/>
      <c r="Y96" s="85"/>
      <c r="Z96" s="157" t="str">
        <f aca="false">IF(AND(R96&lt;&gt;"",V96&lt;&gt;"",W96&lt;&gt;""),"ENTREGADO","POR RECOGER")</f>
        <v>POR RECOGER</v>
      </c>
      <c r="AA96" s="4"/>
      <c r="AB96" s="4"/>
      <c r="AC96" s="4"/>
    </row>
    <row r="97" customFormat="false" ht="15.75" hidden="false" customHeight="true" outlineLevel="0" collapsed="false">
      <c r="A97" s="46" t="n">
        <v>92</v>
      </c>
      <c r="B97" s="110"/>
      <c r="C97" s="46" t="s">
        <v>752</v>
      </c>
      <c r="D97" s="110"/>
      <c r="E97" s="46" t="s">
        <v>99</v>
      </c>
      <c r="F97" s="46"/>
      <c r="G97" s="85"/>
      <c r="H97" s="46"/>
      <c r="I97" s="138" t="str">
        <f aca="false">IFERROR(VLOOKUP(TEXT(H97,"0"),IPRESS!$A$3:$B$212,2,0),"")</f>
        <v/>
      </c>
      <c r="J97" s="46"/>
      <c r="K97" s="138"/>
      <c r="L97" s="44"/>
      <c r="M97" s="44"/>
      <c r="N97" s="139" t="str">
        <f aca="false">IFERROR(IF(L97*M97=0,"",L97*M97),"")</f>
        <v/>
      </c>
      <c r="O97" s="46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85"/>
      <c r="S97" s="110"/>
      <c r="T97" s="46"/>
      <c r="U97" s="85"/>
      <c r="V97" s="110"/>
      <c r="W97" s="46"/>
      <c r="X97" s="46"/>
      <c r="Y97" s="85"/>
      <c r="Z97" s="157" t="str">
        <f aca="false">IF(AND(R97&lt;&gt;"",V97&lt;&gt;"",W97&lt;&gt;""),"ENTREGADO","POR RECOGER")</f>
        <v>POR RECOGER</v>
      </c>
      <c r="AA97" s="4"/>
      <c r="AB97" s="4"/>
      <c r="AC97" s="4"/>
    </row>
    <row r="98" customFormat="false" ht="15.75" hidden="false" customHeight="true" outlineLevel="0" collapsed="false">
      <c r="A98" s="106" t="n">
        <v>93</v>
      </c>
      <c r="B98" s="107"/>
      <c r="C98" s="106" t="s">
        <v>752</v>
      </c>
      <c r="D98" s="107"/>
      <c r="E98" s="136" t="s">
        <v>99</v>
      </c>
      <c r="F98" s="106"/>
      <c r="G98" s="140"/>
      <c r="H98" s="106"/>
      <c r="I98" s="138" t="str">
        <f aca="false">IFERROR(VLOOKUP(TEXT(H98,"0"),IPRESS!$A$3:$B$212,2,0),"")</f>
        <v/>
      </c>
      <c r="J98" s="106"/>
      <c r="K98" s="138"/>
      <c r="L98" s="50"/>
      <c r="M98" s="50"/>
      <c r="N98" s="139" t="str">
        <f aca="false">IFERROR(IF(L98*M98=0,"",L98*M98),"")</f>
        <v/>
      </c>
      <c r="O98" s="106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40"/>
      <c r="S98" s="107"/>
      <c r="T98" s="136"/>
      <c r="U98" s="140"/>
      <c r="V98" s="107"/>
      <c r="W98" s="106"/>
      <c r="X98" s="106"/>
      <c r="Y98" s="85"/>
      <c r="Z98" s="157" t="str">
        <f aca="false">IF(AND(R98&lt;&gt;"",V98&lt;&gt;"",W98&lt;&gt;""),"ENTREGADO","POR RECOGER")</f>
        <v>POR RECOGER</v>
      </c>
      <c r="AA98" s="4"/>
      <c r="AB98" s="4"/>
      <c r="AC98" s="4"/>
    </row>
    <row r="99" customFormat="false" ht="15.75" hidden="false" customHeight="true" outlineLevel="0" collapsed="false">
      <c r="A99" s="46" t="n">
        <v>94</v>
      </c>
      <c r="B99" s="110"/>
      <c r="C99" s="46" t="s">
        <v>752</v>
      </c>
      <c r="D99" s="110"/>
      <c r="E99" s="46" t="s">
        <v>99</v>
      </c>
      <c r="F99" s="46"/>
      <c r="G99" s="85"/>
      <c r="H99" s="46"/>
      <c r="I99" s="138" t="str">
        <f aca="false">IFERROR(VLOOKUP(TEXT(H99,"0"),IPRESS!$A$3:$B$212,2,0),"")</f>
        <v/>
      </c>
      <c r="J99" s="46"/>
      <c r="K99" s="138"/>
      <c r="L99" s="44"/>
      <c r="M99" s="44"/>
      <c r="N99" s="139" t="str">
        <f aca="false">IFERROR(IF(L99*M99=0,"",L99*M99),"")</f>
        <v/>
      </c>
      <c r="O99" s="46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85"/>
      <c r="S99" s="110"/>
      <c r="T99" s="46"/>
      <c r="U99" s="85"/>
      <c r="V99" s="110"/>
      <c r="W99" s="46"/>
      <c r="X99" s="46"/>
      <c r="Y99" s="85"/>
      <c r="Z99" s="157" t="str">
        <f aca="false">IF(AND(R99&lt;&gt;"",V99&lt;&gt;"",W99&lt;&gt;""),"ENTREGADO","POR RECOGER")</f>
        <v>POR RECOGER</v>
      </c>
      <c r="AA99" s="4"/>
      <c r="AB99" s="4"/>
      <c r="AC99" s="4"/>
    </row>
    <row r="100" customFormat="false" ht="15" hidden="false" customHeight="true" outlineLevel="0" collapsed="false">
      <c r="A100" s="85"/>
      <c r="B100" s="85"/>
      <c r="C100" s="85"/>
      <c r="D100" s="85"/>
      <c r="E100" s="85"/>
      <c r="F100" s="85"/>
      <c r="G100" s="85"/>
      <c r="H100" s="85"/>
      <c r="I100" s="149"/>
      <c r="J100" s="85"/>
      <c r="K100" s="149"/>
      <c r="L100" s="85"/>
      <c r="M100" s="85"/>
      <c r="N100" s="151"/>
      <c r="O100" s="85"/>
      <c r="P100" s="149"/>
      <c r="Q100" s="149"/>
      <c r="R100" s="85"/>
      <c r="S100" s="85"/>
      <c r="T100" s="85"/>
      <c r="U100" s="85"/>
      <c r="V100" s="85"/>
      <c r="W100" s="85"/>
      <c r="X100" s="85"/>
      <c r="Y100" s="85"/>
      <c r="Z100" s="157"/>
      <c r="AA100" s="4"/>
      <c r="AB100" s="4"/>
      <c r="AC100" s="4"/>
    </row>
    <row r="101" customFormat="false" ht="24" hidden="false" customHeight="true" outlineLevel="0" collapsed="false">
      <c r="A101" s="165"/>
      <c r="B101" s="165"/>
      <c r="C101" s="165"/>
      <c r="D101" s="165"/>
      <c r="E101" s="165"/>
      <c r="F101" s="165"/>
      <c r="G101" s="165"/>
      <c r="H101" s="165"/>
      <c r="I101" s="165"/>
      <c r="J101" s="165"/>
      <c r="K101" s="149"/>
      <c r="L101" s="85"/>
      <c r="M101" s="166"/>
      <c r="N101" s="166"/>
      <c r="O101" s="85"/>
      <c r="P101" s="149"/>
      <c r="Q101" s="149"/>
      <c r="R101" s="85"/>
      <c r="S101" s="85"/>
      <c r="T101" s="85"/>
      <c r="U101" s="85"/>
      <c r="V101" s="85"/>
      <c r="W101" s="85"/>
      <c r="X101" s="85"/>
      <c r="Y101" s="85"/>
      <c r="Z101" s="157"/>
      <c r="AA101" s="4"/>
      <c r="AB101" s="4"/>
      <c r="AC101" s="4"/>
    </row>
    <row r="102" customFormat="false" ht="15" hidden="false" customHeight="true" outlineLevel="0" collapsed="false">
      <c r="A102" s="85"/>
      <c r="B102" s="85"/>
      <c r="C102" s="85"/>
      <c r="D102" s="85"/>
      <c r="E102" s="85"/>
      <c r="F102" s="85"/>
      <c r="G102" s="85"/>
      <c r="H102" s="85"/>
      <c r="I102" s="149"/>
      <c r="J102" s="85"/>
      <c r="K102" s="149"/>
      <c r="L102" s="85"/>
      <c r="M102" s="85"/>
      <c r="N102" s="151"/>
      <c r="O102" s="85"/>
      <c r="P102" s="149"/>
      <c r="Q102" s="149"/>
      <c r="R102" s="85"/>
      <c r="S102" s="85"/>
      <c r="T102" s="85"/>
      <c r="U102" s="85"/>
      <c r="V102" s="85"/>
      <c r="W102" s="85"/>
      <c r="X102" s="85"/>
      <c r="Y102" s="85"/>
      <c r="Z102" s="157"/>
      <c r="AA102" s="4"/>
      <c r="AB102" s="4"/>
      <c r="AC102" s="4"/>
    </row>
    <row r="103" customFormat="false" ht="1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149"/>
      <c r="J103" s="85"/>
      <c r="K103" s="149"/>
      <c r="L103" s="85"/>
      <c r="M103" s="85"/>
      <c r="N103" s="151"/>
      <c r="O103" s="85"/>
      <c r="P103" s="149"/>
      <c r="Q103" s="149"/>
      <c r="R103" s="85"/>
      <c r="S103" s="85"/>
      <c r="T103" s="85"/>
      <c r="U103" s="85"/>
      <c r="V103" s="85"/>
      <c r="W103" s="85"/>
      <c r="X103" s="85"/>
      <c r="Y103" s="85"/>
      <c r="Z103" s="157"/>
      <c r="AA103" s="4"/>
      <c r="AB103" s="4"/>
      <c r="AC103" s="4"/>
    </row>
    <row r="104" customFormat="false" ht="15" hidden="false" customHeight="true" outlineLevel="0" collapsed="false">
      <c r="A104" s="85"/>
      <c r="B104" s="85"/>
      <c r="C104" s="85"/>
      <c r="D104" s="85"/>
      <c r="E104" s="85"/>
      <c r="F104" s="85"/>
      <c r="G104" s="85"/>
      <c r="H104" s="85"/>
      <c r="I104" s="138" t="str">
        <f aca="false">IFERROR(VLOOKUP(TEXT(H104,"0"),IPRESS!$A$3:$B$212,2,0),"")</f>
        <v/>
      </c>
      <c r="J104" s="85"/>
      <c r="K104" s="149"/>
      <c r="L104" s="85"/>
      <c r="M104" s="85"/>
      <c r="N104" s="151"/>
      <c r="O104" s="85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85"/>
      <c r="S104" s="85"/>
      <c r="T104" s="85"/>
      <c r="U104" s="85"/>
      <c r="V104" s="85"/>
      <c r="W104" s="85"/>
      <c r="X104" s="85"/>
      <c r="Y104" s="85"/>
      <c r="Z104" s="157"/>
      <c r="AA104" s="4"/>
      <c r="AB104" s="4"/>
      <c r="AC104" s="4"/>
    </row>
    <row r="105" customFormat="false" ht="1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38" t="str">
        <f aca="false">IFERROR(VLOOKUP(TEXT(H105,"0"),IPRESS!$A$3:$B$212,2,0),"")</f>
        <v/>
      </c>
      <c r="J105" s="85"/>
      <c r="K105" s="149"/>
      <c r="L105" s="85"/>
      <c r="M105" s="85"/>
      <c r="N105" s="151"/>
      <c r="O105" s="85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85"/>
      <c r="S105" s="85"/>
      <c r="T105" s="85"/>
      <c r="U105" s="85"/>
      <c r="V105" s="85"/>
      <c r="W105" s="85"/>
      <c r="X105" s="85"/>
      <c r="Y105" s="85"/>
      <c r="Z105" s="157"/>
      <c r="AA105" s="4"/>
      <c r="AB105" s="4"/>
      <c r="AC105" s="4"/>
    </row>
    <row r="106" customFormat="false" ht="15" hidden="false" customHeight="true" outlineLevel="0" collapsed="false">
      <c r="A106" s="85"/>
      <c r="B106" s="85"/>
      <c r="C106" s="85"/>
      <c r="D106" s="85"/>
      <c r="E106" s="85"/>
      <c r="F106" s="85"/>
      <c r="G106" s="85"/>
      <c r="H106" s="85"/>
      <c r="I106" s="138" t="str">
        <f aca="false">IFERROR(VLOOKUP(TEXT(H106,"0"),IPRESS!$A$3:$B$212,2,0),"")</f>
        <v/>
      </c>
      <c r="J106" s="85"/>
      <c r="K106" s="149"/>
      <c r="L106" s="85"/>
      <c r="M106" s="85"/>
      <c r="N106" s="151"/>
      <c r="O106" s="85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85"/>
      <c r="S106" s="85"/>
      <c r="T106" s="85"/>
      <c r="U106" s="85"/>
      <c r="V106" s="85"/>
      <c r="W106" s="85"/>
      <c r="X106" s="85"/>
      <c r="Y106" s="85"/>
      <c r="Z106" s="157"/>
      <c r="AA106" s="4"/>
      <c r="AB106" s="4"/>
      <c r="AC106" s="4"/>
    </row>
    <row r="107" customFormat="false" ht="1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38" t="str">
        <f aca="false">IFERROR(VLOOKUP(TEXT(H107,"0"),IPRESS!$A$3:$B$212,2,0),"")</f>
        <v/>
      </c>
      <c r="J107" s="85"/>
      <c r="K107" s="149"/>
      <c r="L107" s="85"/>
      <c r="M107" s="85"/>
      <c r="N107" s="151"/>
      <c r="O107" s="85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85"/>
      <c r="S107" s="85"/>
      <c r="T107" s="85"/>
      <c r="U107" s="85"/>
      <c r="V107" s="85"/>
      <c r="W107" s="85"/>
      <c r="X107" s="85"/>
      <c r="Y107" s="85"/>
      <c r="Z107" s="157"/>
      <c r="AA107" s="4"/>
      <c r="AB107" s="4"/>
      <c r="AC107" s="4"/>
    </row>
    <row r="108" customFormat="false" ht="15" hidden="false" customHeight="true" outlineLevel="0" collapsed="false">
      <c r="A108" s="85"/>
      <c r="B108" s="85"/>
      <c r="C108" s="85"/>
      <c r="D108" s="85"/>
      <c r="E108" s="85"/>
      <c r="F108" s="85"/>
      <c r="G108" s="85"/>
      <c r="H108" s="85"/>
      <c r="I108" s="138" t="str">
        <f aca="false">IFERROR(VLOOKUP(TEXT(H108,"0"),IPRESS!$A$3:$B$212,2,0),"")</f>
        <v/>
      </c>
      <c r="J108" s="85"/>
      <c r="K108" s="149"/>
      <c r="L108" s="85"/>
      <c r="M108" s="85"/>
      <c r="N108" s="151"/>
      <c r="O108" s="85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85"/>
      <c r="S108" s="85"/>
      <c r="T108" s="85"/>
      <c r="U108" s="85"/>
      <c r="V108" s="85"/>
      <c r="W108" s="85"/>
      <c r="X108" s="85"/>
      <c r="Y108" s="85"/>
      <c r="Z108" s="157"/>
      <c r="AA108" s="4"/>
      <c r="AB108" s="4"/>
      <c r="AC108" s="4"/>
    </row>
    <row r="109" customFormat="false" ht="1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49"/>
      <c r="L109" s="85"/>
      <c r="M109" s="85"/>
      <c r="N109" s="151"/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157"/>
      <c r="AA109" s="4"/>
      <c r="AB109" s="4"/>
      <c r="AC109" s="4"/>
    </row>
    <row r="110" customFormat="false" ht="15" hidden="false" customHeight="true" outlineLevel="0" collapsed="false">
      <c r="A110" s="85"/>
      <c r="B110" s="85"/>
      <c r="C110" s="85"/>
      <c r="D110" s="85"/>
      <c r="E110" s="85"/>
      <c r="F110" s="85"/>
      <c r="G110" s="85"/>
      <c r="H110" s="85"/>
      <c r="I110" s="138" t="str">
        <f aca="false">IFERROR(VLOOKUP(TEXT(H110,"0"),IPRESS!$A$3:$B$212,2,0),"")</f>
        <v/>
      </c>
      <c r="J110" s="85"/>
      <c r="K110" s="149"/>
      <c r="L110" s="85"/>
      <c r="M110" s="85"/>
      <c r="N110" s="151"/>
      <c r="O110" s="85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85"/>
      <c r="S110" s="85"/>
      <c r="T110" s="85"/>
      <c r="U110" s="85"/>
      <c r="V110" s="85"/>
      <c r="W110" s="85"/>
      <c r="X110" s="85"/>
      <c r="Y110" s="85"/>
      <c r="Z110" s="157"/>
      <c r="AA110" s="4"/>
      <c r="AB110" s="4"/>
      <c r="AC110" s="4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138" t="str">
        <f aca="false">IFERROR(VLOOKUP(TEXT(H111,"0"),IPRESS!$A$3:$B$212,2,0),"")</f>
        <v/>
      </c>
      <c r="J111" s="85"/>
      <c r="K111" s="149"/>
      <c r="L111" s="85"/>
      <c r="M111" s="85"/>
      <c r="N111" s="151"/>
      <c r="O111" s="85"/>
      <c r="P111" s="138" t="str">
        <f aca="false">IFERROR(VLOOKUP(TEXT(O111,"0"),CONDUCTORES!$A$3:$G$54,2,0),"")</f>
        <v/>
      </c>
      <c r="Q111" s="138" t="str">
        <f aca="false">IFERROR(VLOOKUP(TEXT(O111,"0"),CONDUCTORES!$A$3:$H$54,6,0),"")</f>
        <v/>
      </c>
      <c r="R111" s="85"/>
      <c r="S111" s="85"/>
      <c r="T111" s="85"/>
      <c r="U111" s="85"/>
      <c r="V111" s="85"/>
      <c r="W111" s="85"/>
      <c r="X111" s="85"/>
      <c r="Y111" s="85"/>
      <c r="Z111" s="157"/>
      <c r="AA111" s="4"/>
      <c r="AB111" s="4"/>
      <c r="AC111" s="4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38" t="str">
        <f aca="false">IFERROR(VLOOKUP(TEXT(H112,"0"),IPRESS!$A$3:$B$212,2,0),"")</f>
        <v/>
      </c>
      <c r="J112" s="85"/>
      <c r="K112" s="149"/>
      <c r="L112" s="85"/>
      <c r="M112" s="85"/>
      <c r="N112" s="151"/>
      <c r="O112" s="85"/>
      <c r="P112" s="138" t="str">
        <f aca="false">IFERROR(VLOOKUP(TEXT(O112,"0"),CONDUCTORES!$A$3:$G$54,2,0),"")</f>
        <v/>
      </c>
      <c r="Q112" s="138" t="str">
        <f aca="false">IFERROR(VLOOKUP(TEXT(O112,"0"),CONDUCTORES!$A$3:$H$54,6,0),"")</f>
        <v/>
      </c>
      <c r="R112" s="85"/>
      <c r="S112" s="85"/>
      <c r="T112" s="85"/>
      <c r="U112" s="85"/>
      <c r="V112" s="85"/>
      <c r="W112" s="85"/>
      <c r="X112" s="85"/>
      <c r="Y112" s="85"/>
      <c r="Z112" s="157"/>
      <c r="AA112" s="4"/>
      <c r="AB112" s="4"/>
      <c r="AC112" s="4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138" t="str">
        <f aca="false">IFERROR(VLOOKUP(TEXT(H113,"0"),IPRESS!$A$3:$B$212,2,0),"")</f>
        <v/>
      </c>
      <c r="J113" s="85"/>
      <c r="K113" s="149"/>
      <c r="L113" s="85"/>
      <c r="M113" s="85"/>
      <c r="N113" s="151"/>
      <c r="O113" s="85"/>
      <c r="P113" s="138" t="str">
        <f aca="false">IFERROR(VLOOKUP(TEXT(O113,"0"),CONDUCTORES!$A$3:$G$54,2,0),"")</f>
        <v/>
      </c>
      <c r="Q113" s="138" t="str">
        <f aca="false">IFERROR(VLOOKUP(TEXT(O113,"0"),CONDUCTORES!$A$3:$H$54,6,0),"")</f>
        <v/>
      </c>
      <c r="R113" s="85"/>
      <c r="S113" s="85"/>
      <c r="T113" s="85"/>
      <c r="U113" s="85"/>
      <c r="V113" s="85"/>
      <c r="W113" s="85"/>
      <c r="X113" s="85"/>
      <c r="Y113" s="85"/>
      <c r="Z113" s="157"/>
      <c r="AA113" s="4"/>
      <c r="AB113" s="4"/>
      <c r="AC113" s="4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38" t="str">
        <f aca="false">IFERROR(VLOOKUP(TEXT(H114,"0"),IPRESS!$A$3:$B$212,2,0),"")</f>
        <v/>
      </c>
      <c r="J114" s="85"/>
      <c r="K114" s="149"/>
      <c r="L114" s="85"/>
      <c r="M114" s="85"/>
      <c r="N114" s="151"/>
      <c r="O114" s="85"/>
      <c r="P114" s="138" t="str">
        <f aca="false">IFERROR(VLOOKUP(TEXT(O114,"0"),CONDUCTORES!$A$3:$G$54,2,0),"")</f>
        <v/>
      </c>
      <c r="Q114" s="138" t="str">
        <f aca="false">IFERROR(VLOOKUP(TEXT(O114,"0"),CONDUCTORES!$A$3:$H$54,6,0),"")</f>
        <v/>
      </c>
      <c r="R114" s="85"/>
      <c r="S114" s="85"/>
      <c r="T114" s="85"/>
      <c r="U114" s="85"/>
      <c r="V114" s="85"/>
      <c r="W114" s="85"/>
      <c r="X114" s="85"/>
      <c r="Y114" s="85"/>
      <c r="Z114" s="157"/>
      <c r="AA114" s="4"/>
      <c r="AB114" s="4"/>
      <c r="AC114" s="4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138" t="str">
        <f aca="false">IFERROR(VLOOKUP(TEXT(H115,"0"),IPRESS!$A$3:$B$212,2,0),"")</f>
        <v/>
      </c>
      <c r="J115" s="85"/>
      <c r="K115" s="149"/>
      <c r="L115" s="85"/>
      <c r="M115" s="85"/>
      <c r="N115" s="151"/>
      <c r="O115" s="85"/>
      <c r="P115" s="138" t="str">
        <f aca="false">IFERROR(VLOOKUP(TEXT(O115,"0"),CONDUCTORES!$A$3:$G$54,2,0),"")</f>
        <v/>
      </c>
      <c r="Q115" s="138" t="str">
        <f aca="false">IFERROR(VLOOKUP(TEXT(O115,"0"),CONDUCTORES!$A$3:$H$54,6,0),"")</f>
        <v/>
      </c>
      <c r="R115" s="85"/>
      <c r="S115" s="85"/>
      <c r="T115" s="85"/>
      <c r="U115" s="85"/>
      <c r="V115" s="85"/>
      <c r="W115" s="85"/>
      <c r="X115" s="85"/>
      <c r="Y115" s="85"/>
      <c r="Z115" s="157"/>
      <c r="AA115" s="4"/>
      <c r="AB115" s="4"/>
      <c r="AC115" s="4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38" t="str">
        <f aca="false">IFERROR(VLOOKUP(TEXT(H116,"0"),IPRESS!$A$3:$B$212,2,0),"")</f>
        <v/>
      </c>
      <c r="J116" s="85"/>
      <c r="K116" s="149"/>
      <c r="L116" s="85"/>
      <c r="M116" s="85"/>
      <c r="N116" s="151"/>
      <c r="O116" s="85"/>
      <c r="P116" s="138" t="str">
        <f aca="false">IFERROR(VLOOKUP(TEXT(O116,"0"),CONDUCTORES!$A$3:$G$54,2,0),"")</f>
        <v/>
      </c>
      <c r="Q116" s="138" t="str">
        <f aca="false">IFERROR(VLOOKUP(TEXT(O116,"0"),CONDUCTORES!$A$3:$H$54,6,0),"")</f>
        <v/>
      </c>
      <c r="R116" s="85"/>
      <c r="S116" s="85"/>
      <c r="T116" s="85"/>
      <c r="U116" s="85"/>
      <c r="V116" s="85"/>
      <c r="W116" s="85"/>
      <c r="X116" s="85"/>
      <c r="Y116" s="85"/>
      <c r="Z116" s="157"/>
      <c r="AA116" s="4"/>
      <c r="AB116" s="4"/>
      <c r="AC116" s="4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138" t="str">
        <f aca="false">IFERROR(VLOOKUP(TEXT(H117,"0"),IPRESS!$A$3:$B$212,2,0),"")</f>
        <v/>
      </c>
      <c r="J117" s="85"/>
      <c r="K117" s="149"/>
      <c r="L117" s="85"/>
      <c r="M117" s="85"/>
      <c r="N117" s="151"/>
      <c r="O117" s="85"/>
      <c r="P117" s="138" t="str">
        <f aca="false">IFERROR(VLOOKUP(TEXT(O117,"0"),CONDUCTORES!$A$3:$G$54,2,0),"")</f>
        <v/>
      </c>
      <c r="Q117" s="138" t="str">
        <f aca="false">IFERROR(VLOOKUP(TEXT(O117,"0"),CONDUCTORES!$A$3:$H$54,6,0),"")</f>
        <v/>
      </c>
      <c r="R117" s="85"/>
      <c r="S117" s="85"/>
      <c r="T117" s="85"/>
      <c r="U117" s="85"/>
      <c r="V117" s="85"/>
      <c r="W117" s="85"/>
      <c r="X117" s="85"/>
      <c r="Y117" s="85"/>
      <c r="Z117" s="157"/>
      <c r="AA117" s="4"/>
      <c r="AB117" s="4"/>
      <c r="AC117" s="4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49"/>
      <c r="L118" s="85"/>
      <c r="M118" s="85"/>
      <c r="N118" s="151"/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  <c r="Z118" s="157"/>
      <c r="AA118" s="4"/>
      <c r="AB118" s="4"/>
      <c r="AC118" s="4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138" t="str">
        <f aca="false">IFERROR(VLOOKUP(TEXT(H119,"0"),IPRESS!$A$3:$B$212,2,0),"")</f>
        <v/>
      </c>
      <c r="J119" s="85"/>
      <c r="K119" s="149"/>
      <c r="L119" s="85"/>
      <c r="M119" s="85"/>
      <c r="N119" s="151"/>
      <c r="O119" s="85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85"/>
      <c r="S119" s="85"/>
      <c r="T119" s="85"/>
      <c r="U119" s="85"/>
      <c r="V119" s="85"/>
      <c r="W119" s="85"/>
      <c r="X119" s="85"/>
      <c r="Y119" s="85"/>
      <c r="Z119" s="157"/>
      <c r="AA119" s="4"/>
      <c r="AB119" s="4"/>
      <c r="AC119" s="4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49"/>
      <c r="L120" s="85"/>
      <c r="M120" s="85"/>
      <c r="N120" s="151"/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57"/>
      <c r="AA120" s="4"/>
      <c r="AB120" s="4"/>
      <c r="AC120" s="4"/>
    </row>
    <row r="121" customFormat="false" ht="15" hidden="false" customHeight="true" outlineLevel="0" collapsed="false">
      <c r="A121" s="85"/>
      <c r="B121" s="85"/>
      <c r="C121" s="85"/>
      <c r="D121" s="85"/>
      <c r="E121" s="85"/>
      <c r="F121" s="85"/>
      <c r="G121" s="85"/>
      <c r="H121" s="85"/>
      <c r="I121" s="138" t="str">
        <f aca="false">IFERROR(VLOOKUP(TEXT(H121,"0"),IPRESS!$A$3:$B$212,2,0),"")</f>
        <v/>
      </c>
      <c r="J121" s="85"/>
      <c r="K121" s="149"/>
      <c r="L121" s="85"/>
      <c r="M121" s="85"/>
      <c r="N121" s="151"/>
      <c r="O121" s="85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85"/>
      <c r="S121" s="85"/>
      <c r="T121" s="85"/>
      <c r="U121" s="85"/>
      <c r="V121" s="85"/>
      <c r="W121" s="85"/>
      <c r="X121" s="85"/>
      <c r="Y121" s="85"/>
      <c r="Z121" s="157"/>
      <c r="AA121" s="4"/>
      <c r="AB121" s="4"/>
      <c r="AC121" s="4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49"/>
      <c r="L122" s="85"/>
      <c r="M122" s="85"/>
      <c r="N122" s="151"/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57"/>
      <c r="AA122" s="4"/>
      <c r="AB122" s="4"/>
      <c r="AC122" s="4"/>
    </row>
    <row r="123" customFormat="false" ht="15" hidden="false" customHeight="true" outlineLevel="0" collapsed="false">
      <c r="A123" s="85"/>
      <c r="B123" s="85"/>
      <c r="C123" s="85"/>
      <c r="D123" s="85"/>
      <c r="E123" s="85"/>
      <c r="F123" s="85"/>
      <c r="G123" s="85"/>
      <c r="H123" s="85"/>
      <c r="I123" s="138" t="str">
        <f aca="false">IFERROR(VLOOKUP(TEXT(H123,"0"),IPRESS!$A$3:$B$212,2,0),"")</f>
        <v/>
      </c>
      <c r="J123" s="85"/>
      <c r="K123" s="149"/>
      <c r="L123" s="85"/>
      <c r="M123" s="85"/>
      <c r="N123" s="151"/>
      <c r="O123" s="85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85"/>
      <c r="S123" s="85"/>
      <c r="T123" s="85"/>
      <c r="U123" s="85"/>
      <c r="V123" s="85"/>
      <c r="W123" s="85"/>
      <c r="X123" s="85"/>
      <c r="Y123" s="85"/>
      <c r="Z123" s="157"/>
      <c r="AA123" s="4"/>
      <c r="AB123" s="4"/>
      <c r="AC123" s="4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49"/>
      <c r="L124" s="85"/>
      <c r="M124" s="85"/>
      <c r="N124" s="151"/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57"/>
      <c r="AA124" s="4"/>
      <c r="AB124" s="4"/>
      <c r="AC124" s="4"/>
    </row>
    <row r="125" customFormat="false" ht="15" hidden="false" customHeight="true" outlineLevel="0" collapsed="false">
      <c r="A125" s="85"/>
      <c r="B125" s="85"/>
      <c r="C125" s="85"/>
      <c r="D125" s="85"/>
      <c r="E125" s="85"/>
      <c r="F125" s="85"/>
      <c r="G125" s="85"/>
      <c r="H125" s="85"/>
      <c r="I125" s="138" t="str">
        <f aca="false">IFERROR(VLOOKUP(TEXT(H125,"0"),IPRESS!$A$3:$B$212,2,0),"")</f>
        <v/>
      </c>
      <c r="J125" s="85"/>
      <c r="K125" s="149"/>
      <c r="L125" s="85"/>
      <c r="M125" s="85"/>
      <c r="N125" s="151"/>
      <c r="O125" s="85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85"/>
      <c r="S125" s="85"/>
      <c r="T125" s="85"/>
      <c r="U125" s="85"/>
      <c r="V125" s="85"/>
      <c r="W125" s="85"/>
      <c r="X125" s="85"/>
      <c r="Y125" s="85"/>
      <c r="Z125" s="157"/>
      <c r="AA125" s="4"/>
      <c r="AB125" s="4"/>
      <c r="AC125" s="4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49"/>
      <c r="L126" s="85"/>
      <c r="M126" s="85"/>
      <c r="N126" s="151"/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57"/>
      <c r="AA126" s="4"/>
      <c r="AB126" s="4"/>
      <c r="AC126" s="4"/>
    </row>
    <row r="127" customFormat="false" ht="15" hidden="false" customHeight="true" outlineLevel="0" collapsed="false">
      <c r="A127" s="85"/>
      <c r="B127" s="85"/>
      <c r="C127" s="85"/>
      <c r="D127" s="85"/>
      <c r="E127" s="85"/>
      <c r="F127" s="85"/>
      <c r="G127" s="85"/>
      <c r="H127" s="85"/>
      <c r="I127" s="138" t="str">
        <f aca="false">IFERROR(VLOOKUP(TEXT(H127,"0"),IPRESS!$A$3:$B$212,2,0),"")</f>
        <v/>
      </c>
      <c r="J127" s="85"/>
      <c r="K127" s="149"/>
      <c r="L127" s="85"/>
      <c r="M127" s="85"/>
      <c r="N127" s="151"/>
      <c r="O127" s="85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85"/>
      <c r="S127" s="85"/>
      <c r="T127" s="85"/>
      <c r="U127" s="85"/>
      <c r="V127" s="85"/>
      <c r="W127" s="85"/>
      <c r="X127" s="85"/>
      <c r="Y127" s="85"/>
      <c r="Z127" s="157"/>
      <c r="AA127" s="4"/>
      <c r="AB127" s="4"/>
      <c r="AC127" s="4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49"/>
      <c r="L128" s="85"/>
      <c r="M128" s="85"/>
      <c r="N128" s="151"/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57"/>
      <c r="AA128" s="4"/>
      <c r="AB128" s="4"/>
      <c r="AC128" s="4"/>
    </row>
    <row r="129" customFormat="false" ht="15" hidden="false" customHeight="true" outlineLevel="0" collapsed="false">
      <c r="A129" s="85"/>
      <c r="B129" s="85"/>
      <c r="C129" s="85"/>
      <c r="D129" s="85"/>
      <c r="E129" s="85"/>
      <c r="F129" s="85"/>
      <c r="G129" s="85"/>
      <c r="H129" s="85"/>
      <c r="I129" s="138" t="str">
        <f aca="false">IFERROR(VLOOKUP(TEXT(H129,"0"),IPRESS!$A$3:$B$212,2,0),"")</f>
        <v/>
      </c>
      <c r="J129" s="85"/>
      <c r="K129" s="149"/>
      <c r="L129" s="85"/>
      <c r="M129" s="85"/>
      <c r="N129" s="151"/>
      <c r="O129" s="85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85"/>
      <c r="S129" s="85"/>
      <c r="T129" s="85"/>
      <c r="U129" s="85"/>
      <c r="V129" s="85"/>
      <c r="W129" s="85"/>
      <c r="X129" s="85"/>
      <c r="Y129" s="85"/>
      <c r="Z129" s="157"/>
      <c r="AA129" s="4"/>
      <c r="AB129" s="4"/>
      <c r="AC129" s="4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49"/>
      <c r="L130" s="85"/>
      <c r="M130" s="85"/>
      <c r="N130" s="151"/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57"/>
      <c r="AA130" s="4"/>
      <c r="AB130" s="4"/>
      <c r="AC130" s="4"/>
    </row>
    <row r="131" customFormat="false" ht="15" hidden="false" customHeight="true" outlineLevel="0" collapsed="false">
      <c r="A131" s="85"/>
      <c r="B131" s="85"/>
      <c r="C131" s="85"/>
      <c r="D131" s="85"/>
      <c r="E131" s="85"/>
      <c r="F131" s="85"/>
      <c r="G131" s="85"/>
      <c r="H131" s="85"/>
      <c r="I131" s="138" t="str">
        <f aca="false">IFERROR(VLOOKUP(TEXT(H131,"0"),IPRESS!$A$3:$B$212,2,0),"")</f>
        <v/>
      </c>
      <c r="J131" s="85"/>
      <c r="K131" s="149"/>
      <c r="L131" s="85"/>
      <c r="M131" s="85"/>
      <c r="N131" s="151"/>
      <c r="O131" s="85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85"/>
      <c r="S131" s="85"/>
      <c r="T131" s="85"/>
      <c r="U131" s="85"/>
      <c r="V131" s="85"/>
      <c r="W131" s="85"/>
      <c r="X131" s="85"/>
      <c r="Y131" s="85"/>
      <c r="Z131" s="157"/>
      <c r="AA131" s="4"/>
      <c r="AB131" s="4"/>
      <c r="AC131" s="4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49"/>
      <c r="L132" s="85"/>
      <c r="M132" s="85"/>
      <c r="N132" s="151"/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57"/>
      <c r="AA132" s="4"/>
      <c r="AB132" s="4"/>
      <c r="AC132" s="4"/>
    </row>
    <row r="133" customFormat="false" ht="15" hidden="false" customHeight="true" outlineLevel="0" collapsed="false">
      <c r="A133" s="85"/>
      <c r="B133" s="85"/>
      <c r="C133" s="85"/>
      <c r="D133" s="85"/>
      <c r="E133" s="85"/>
      <c r="F133" s="85"/>
      <c r="G133" s="85"/>
      <c r="H133" s="85"/>
      <c r="I133" s="138" t="str">
        <f aca="false">IFERROR(VLOOKUP(TEXT(H133,"0"),IPRESS!$A$3:$B$212,2,0),"")</f>
        <v/>
      </c>
      <c r="J133" s="85"/>
      <c r="K133" s="149"/>
      <c r="L133" s="85"/>
      <c r="M133" s="85"/>
      <c r="N133" s="151"/>
      <c r="O133" s="85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85"/>
      <c r="S133" s="85"/>
      <c r="T133" s="85"/>
      <c r="U133" s="85"/>
      <c r="V133" s="85"/>
      <c r="W133" s="85"/>
      <c r="X133" s="85"/>
      <c r="Y133" s="85"/>
      <c r="Z133" s="157"/>
      <c r="AA133" s="4"/>
      <c r="AB133" s="4"/>
      <c r="AC133" s="4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49"/>
      <c r="L134" s="85"/>
      <c r="M134" s="85"/>
      <c r="N134" s="151"/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57"/>
      <c r="AA134" s="4"/>
      <c r="AB134" s="4"/>
      <c r="AC134" s="4"/>
    </row>
    <row r="135" customFormat="false" ht="15" hidden="false" customHeight="true" outlineLevel="0" collapsed="false">
      <c r="A135" s="85"/>
      <c r="B135" s="85"/>
      <c r="C135" s="85"/>
      <c r="D135" s="85"/>
      <c r="E135" s="85"/>
      <c r="F135" s="85"/>
      <c r="G135" s="85"/>
      <c r="H135" s="85"/>
      <c r="I135" s="138" t="str">
        <f aca="false">IFERROR(VLOOKUP(TEXT(H135,"0"),IPRESS!$A$3:$B$212,2,0),"")</f>
        <v/>
      </c>
      <c r="J135" s="85"/>
      <c r="K135" s="149"/>
      <c r="L135" s="85"/>
      <c r="M135" s="85"/>
      <c r="N135" s="151"/>
      <c r="O135" s="85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85"/>
      <c r="S135" s="85"/>
      <c r="T135" s="85"/>
      <c r="U135" s="85"/>
      <c r="V135" s="85"/>
      <c r="W135" s="85"/>
      <c r="X135" s="85"/>
      <c r="Y135" s="85"/>
      <c r="Z135" s="157"/>
      <c r="AA135" s="4"/>
      <c r="AB135" s="4"/>
      <c r="AC135" s="4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49"/>
      <c r="L136" s="85"/>
      <c r="M136" s="85"/>
      <c r="N136" s="151"/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57"/>
      <c r="AA136" s="4"/>
      <c r="AB136" s="4"/>
      <c r="AC136" s="4"/>
    </row>
    <row r="137" customFormat="false" ht="15" hidden="false" customHeight="true" outlineLevel="0" collapsed="false">
      <c r="A137" s="85"/>
      <c r="B137" s="85"/>
      <c r="C137" s="85"/>
      <c r="D137" s="85"/>
      <c r="E137" s="85"/>
      <c r="F137" s="85"/>
      <c r="G137" s="85"/>
      <c r="H137" s="85"/>
      <c r="I137" s="138" t="str">
        <f aca="false">IFERROR(VLOOKUP(TEXT(H137,"0"),IPRESS!$A$3:$B$212,2,0),"")</f>
        <v/>
      </c>
      <c r="J137" s="85"/>
      <c r="K137" s="149"/>
      <c r="L137" s="85"/>
      <c r="M137" s="85"/>
      <c r="N137" s="151"/>
      <c r="O137" s="85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85"/>
      <c r="S137" s="85"/>
      <c r="T137" s="85"/>
      <c r="U137" s="85"/>
      <c r="V137" s="85"/>
      <c r="W137" s="85"/>
      <c r="X137" s="85"/>
      <c r="Y137" s="85"/>
      <c r="Z137" s="157"/>
      <c r="AA137" s="4"/>
      <c r="AB137" s="4"/>
      <c r="AC137" s="4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49"/>
      <c r="L138" s="85"/>
      <c r="M138" s="85"/>
      <c r="N138" s="151"/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57"/>
      <c r="AA138" s="4"/>
      <c r="AB138" s="4"/>
      <c r="AC138" s="4"/>
    </row>
    <row r="139" customFormat="false" ht="15" hidden="false" customHeight="true" outlineLevel="0" collapsed="false">
      <c r="A139" s="85"/>
      <c r="B139" s="85"/>
      <c r="C139" s="85"/>
      <c r="D139" s="85"/>
      <c r="E139" s="85"/>
      <c r="F139" s="85"/>
      <c r="G139" s="85"/>
      <c r="H139" s="85"/>
      <c r="I139" s="138" t="str">
        <f aca="false">IFERROR(VLOOKUP(TEXT(H139,"0"),IPRESS!$A$3:$B$212,2,0),"")</f>
        <v/>
      </c>
      <c r="J139" s="85"/>
      <c r="K139" s="149"/>
      <c r="L139" s="85"/>
      <c r="M139" s="85"/>
      <c r="N139" s="151"/>
      <c r="O139" s="85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85"/>
      <c r="S139" s="85"/>
      <c r="T139" s="85"/>
      <c r="U139" s="85"/>
      <c r="V139" s="85"/>
      <c r="W139" s="85"/>
      <c r="X139" s="85"/>
      <c r="Y139" s="85"/>
      <c r="Z139" s="157"/>
      <c r="AA139" s="4"/>
      <c r="AB139" s="4"/>
      <c r="AC139" s="4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49"/>
      <c r="L140" s="85"/>
      <c r="M140" s="85"/>
      <c r="N140" s="151"/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57"/>
      <c r="AA140" s="4"/>
      <c r="AB140" s="4"/>
      <c r="AC140" s="4"/>
    </row>
    <row r="141" customFormat="false" ht="15" hidden="false" customHeight="true" outlineLevel="0" collapsed="false">
      <c r="A141" s="85"/>
      <c r="B141" s="85"/>
      <c r="C141" s="85"/>
      <c r="D141" s="85"/>
      <c r="E141" s="85"/>
      <c r="F141" s="85"/>
      <c r="G141" s="85"/>
      <c r="H141" s="85"/>
      <c r="I141" s="138" t="str">
        <f aca="false">IFERROR(VLOOKUP(TEXT(H141,"0"),IPRESS!$A$3:$B$212,2,0),"")</f>
        <v/>
      </c>
      <c r="J141" s="85"/>
      <c r="K141" s="149"/>
      <c r="L141" s="85"/>
      <c r="M141" s="85"/>
      <c r="N141" s="151"/>
      <c r="O141" s="85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85"/>
      <c r="S141" s="85"/>
      <c r="T141" s="85"/>
      <c r="U141" s="85"/>
      <c r="V141" s="85"/>
      <c r="W141" s="85"/>
      <c r="X141" s="85"/>
      <c r="Y141" s="85"/>
      <c r="Z141" s="157"/>
      <c r="AA141" s="4"/>
      <c r="AB141" s="4"/>
      <c r="AC141" s="4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49"/>
      <c r="L142" s="85"/>
      <c r="M142" s="85"/>
      <c r="N142" s="151"/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57"/>
      <c r="AA142" s="4"/>
      <c r="AB142" s="4"/>
      <c r="AC142" s="4"/>
    </row>
    <row r="143" customFormat="false" ht="15" hidden="false" customHeight="true" outlineLevel="0" collapsed="false">
      <c r="A143" s="85"/>
      <c r="B143" s="85"/>
      <c r="C143" s="85"/>
      <c r="D143" s="85"/>
      <c r="E143" s="85"/>
      <c r="F143" s="85"/>
      <c r="G143" s="85"/>
      <c r="H143" s="85"/>
      <c r="I143" s="138" t="str">
        <f aca="false">IFERROR(VLOOKUP(TEXT(H143,"0"),IPRESS!$A$3:$B$212,2,0),"")</f>
        <v/>
      </c>
      <c r="J143" s="85"/>
      <c r="K143" s="149"/>
      <c r="L143" s="85"/>
      <c r="M143" s="85"/>
      <c r="N143" s="151"/>
      <c r="O143" s="85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85"/>
      <c r="S143" s="85"/>
      <c r="T143" s="85"/>
      <c r="U143" s="85"/>
      <c r="V143" s="85"/>
      <c r="W143" s="85"/>
      <c r="X143" s="85"/>
      <c r="Y143" s="85"/>
      <c r="Z143" s="157"/>
      <c r="AA143" s="4"/>
      <c r="AB143" s="4"/>
      <c r="AC143" s="4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49"/>
      <c r="L144" s="85"/>
      <c r="M144" s="85"/>
      <c r="N144" s="151"/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57"/>
      <c r="AA144" s="4"/>
      <c r="AB144" s="4"/>
      <c r="AC144" s="4"/>
    </row>
    <row r="145" customFormat="false" ht="15" hidden="false" customHeight="true" outlineLevel="0" collapsed="false">
      <c r="A145" s="85"/>
      <c r="B145" s="85"/>
      <c r="C145" s="85"/>
      <c r="D145" s="85"/>
      <c r="E145" s="85"/>
      <c r="F145" s="85"/>
      <c r="G145" s="85"/>
      <c r="H145" s="85"/>
      <c r="I145" s="138" t="str">
        <f aca="false">IFERROR(VLOOKUP(TEXT(H145,"0"),IPRESS!$A$3:$B$212,2,0),"")</f>
        <v/>
      </c>
      <c r="J145" s="85"/>
      <c r="K145" s="149"/>
      <c r="L145" s="85"/>
      <c r="M145" s="85"/>
      <c r="N145" s="151"/>
      <c r="O145" s="85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85"/>
      <c r="S145" s="85"/>
      <c r="T145" s="85"/>
      <c r="U145" s="85"/>
      <c r="V145" s="85"/>
      <c r="W145" s="85"/>
      <c r="X145" s="85"/>
      <c r="Y145" s="85"/>
      <c r="Z145" s="157"/>
      <c r="AA145" s="4"/>
      <c r="AB145" s="4"/>
      <c r="AC145" s="4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49"/>
      <c r="L146" s="85"/>
      <c r="M146" s="85"/>
      <c r="N146" s="151"/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57"/>
      <c r="AA146" s="4"/>
      <c r="AB146" s="4"/>
      <c r="AC146" s="4"/>
    </row>
    <row r="147" customFormat="false" ht="15" hidden="false" customHeight="true" outlineLevel="0" collapsed="false">
      <c r="A147" s="85"/>
      <c r="B147" s="85"/>
      <c r="C147" s="85"/>
      <c r="D147" s="85"/>
      <c r="E147" s="85"/>
      <c r="F147" s="85"/>
      <c r="G147" s="85"/>
      <c r="H147" s="85"/>
      <c r="I147" s="138" t="str">
        <f aca="false">IFERROR(VLOOKUP(TEXT(H147,"0"),IPRESS!$A$3:$B$212,2,0),"")</f>
        <v/>
      </c>
      <c r="J147" s="85"/>
      <c r="K147" s="149"/>
      <c r="L147" s="85"/>
      <c r="M147" s="85"/>
      <c r="N147" s="151"/>
      <c r="O147" s="85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85"/>
      <c r="S147" s="85"/>
      <c r="T147" s="85"/>
      <c r="U147" s="85"/>
      <c r="V147" s="85"/>
      <c r="W147" s="85"/>
      <c r="X147" s="85"/>
      <c r="Y147" s="85"/>
      <c r="Z147" s="157"/>
      <c r="AA147" s="4"/>
      <c r="AB147" s="4"/>
      <c r="AC147" s="4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49"/>
      <c r="L148" s="85"/>
      <c r="M148" s="85"/>
      <c r="N148" s="151"/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57"/>
      <c r="AA148" s="4"/>
      <c r="AB148" s="4"/>
      <c r="AC148" s="4"/>
    </row>
    <row r="149" customFormat="false" ht="15" hidden="false" customHeight="true" outlineLevel="0" collapsed="false">
      <c r="A149" s="85"/>
      <c r="B149" s="85"/>
      <c r="C149" s="85"/>
      <c r="D149" s="85"/>
      <c r="E149" s="85"/>
      <c r="F149" s="85"/>
      <c r="G149" s="85"/>
      <c r="H149" s="85"/>
      <c r="I149" s="138" t="str">
        <f aca="false">IFERROR(VLOOKUP(TEXT(H149,"0"),IPRESS!$A$3:$B$212,2,0),"")</f>
        <v/>
      </c>
      <c r="J149" s="85"/>
      <c r="K149" s="149"/>
      <c r="L149" s="85"/>
      <c r="M149" s="85"/>
      <c r="N149" s="151"/>
      <c r="O149" s="85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85"/>
      <c r="S149" s="85"/>
      <c r="T149" s="85"/>
      <c r="U149" s="85"/>
      <c r="V149" s="85"/>
      <c r="W149" s="85"/>
      <c r="X149" s="85"/>
      <c r="Y149" s="85"/>
      <c r="Z149" s="157"/>
      <c r="AA149" s="4"/>
      <c r="AB149" s="4"/>
      <c r="AC149" s="4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49"/>
      <c r="L150" s="85"/>
      <c r="M150" s="85"/>
      <c r="N150" s="151"/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57"/>
      <c r="AA150" s="4"/>
      <c r="AB150" s="4"/>
      <c r="AC150" s="4"/>
    </row>
    <row r="151" customFormat="false" ht="15" hidden="false" customHeight="true" outlineLevel="0" collapsed="false">
      <c r="A151" s="85"/>
      <c r="B151" s="85"/>
      <c r="C151" s="85"/>
      <c r="D151" s="85"/>
      <c r="E151" s="85"/>
      <c r="F151" s="85"/>
      <c r="G151" s="85"/>
      <c r="H151" s="85"/>
      <c r="I151" s="138" t="str">
        <f aca="false">IFERROR(VLOOKUP(TEXT(H151,"0"),IPRESS!$A$3:$B$212,2,0),"")</f>
        <v/>
      </c>
      <c r="J151" s="85"/>
      <c r="K151" s="149"/>
      <c r="L151" s="85"/>
      <c r="M151" s="85"/>
      <c r="N151" s="151"/>
      <c r="O151" s="85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85"/>
      <c r="S151" s="85"/>
      <c r="T151" s="85"/>
      <c r="U151" s="85"/>
      <c r="V151" s="85"/>
      <c r="W151" s="85"/>
      <c r="X151" s="85"/>
      <c r="Y151" s="85"/>
      <c r="Z151" s="157"/>
      <c r="AA151" s="4"/>
      <c r="AB151" s="4"/>
      <c r="AC151" s="4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49"/>
      <c r="L152" s="85"/>
      <c r="M152" s="85"/>
      <c r="N152" s="151"/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57"/>
      <c r="AA152" s="4"/>
      <c r="AB152" s="4"/>
      <c r="AC152" s="4"/>
    </row>
    <row r="153" customFormat="false" ht="15" hidden="false" customHeight="true" outlineLevel="0" collapsed="false">
      <c r="A153" s="85"/>
      <c r="B153" s="85"/>
      <c r="C153" s="85"/>
      <c r="D153" s="85"/>
      <c r="E153" s="85"/>
      <c r="F153" s="85"/>
      <c r="G153" s="85"/>
      <c r="H153" s="85"/>
      <c r="I153" s="138" t="str">
        <f aca="false">IFERROR(VLOOKUP(TEXT(H153,"0"),IPRESS!$A$3:$B$212,2,0),"")</f>
        <v/>
      </c>
      <c r="J153" s="85"/>
      <c r="K153" s="149"/>
      <c r="L153" s="85"/>
      <c r="M153" s="85"/>
      <c r="N153" s="151"/>
      <c r="O153" s="85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85"/>
      <c r="S153" s="85"/>
      <c r="T153" s="85"/>
      <c r="U153" s="85"/>
      <c r="V153" s="85"/>
      <c r="W153" s="85"/>
      <c r="X153" s="85"/>
      <c r="Y153" s="85"/>
      <c r="Z153" s="157"/>
      <c r="AA153" s="4"/>
      <c r="AB153" s="4"/>
      <c r="AC153" s="4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49"/>
      <c r="L154" s="85"/>
      <c r="M154" s="85"/>
      <c r="N154" s="151"/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57"/>
      <c r="AA154" s="4"/>
      <c r="AB154" s="4"/>
      <c r="AC154" s="4"/>
    </row>
    <row r="155" customFormat="false" ht="15" hidden="false" customHeight="true" outlineLevel="0" collapsed="false">
      <c r="A155" s="85"/>
      <c r="B155" s="85"/>
      <c r="C155" s="85"/>
      <c r="D155" s="85"/>
      <c r="E155" s="85"/>
      <c r="F155" s="85"/>
      <c r="G155" s="85"/>
      <c r="H155" s="85"/>
      <c r="I155" s="138" t="str">
        <f aca="false">IFERROR(VLOOKUP(TEXT(H155,"0"),IPRESS!$A$3:$B$212,2,0),"")</f>
        <v/>
      </c>
      <c r="J155" s="85"/>
      <c r="K155" s="149"/>
      <c r="L155" s="85"/>
      <c r="M155" s="85"/>
      <c r="N155" s="151"/>
      <c r="O155" s="85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85"/>
      <c r="S155" s="85"/>
      <c r="T155" s="85"/>
      <c r="U155" s="85"/>
      <c r="V155" s="85"/>
      <c r="W155" s="85"/>
      <c r="X155" s="85"/>
      <c r="Y155" s="85"/>
      <c r="Z155" s="157"/>
      <c r="AA155" s="4"/>
      <c r="AB155" s="4"/>
      <c r="AC155" s="4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49"/>
      <c r="L156" s="85"/>
      <c r="M156" s="85"/>
      <c r="N156" s="151"/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57"/>
      <c r="AA156" s="4"/>
      <c r="AB156" s="4"/>
      <c r="AC156" s="4"/>
    </row>
    <row r="157" customFormat="false" ht="15" hidden="false" customHeight="true" outlineLevel="0" collapsed="false">
      <c r="A157" s="85"/>
      <c r="B157" s="85"/>
      <c r="C157" s="85"/>
      <c r="D157" s="85"/>
      <c r="E157" s="85"/>
      <c r="F157" s="85"/>
      <c r="G157" s="85"/>
      <c r="H157" s="85"/>
      <c r="I157" s="138" t="str">
        <f aca="false">IFERROR(VLOOKUP(TEXT(H157,"0"),IPRESS!$A$3:$B$212,2,0),"")</f>
        <v/>
      </c>
      <c r="J157" s="85"/>
      <c r="K157" s="149"/>
      <c r="L157" s="85"/>
      <c r="M157" s="85"/>
      <c r="N157" s="151"/>
      <c r="O157" s="85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85"/>
      <c r="S157" s="85"/>
      <c r="T157" s="85"/>
      <c r="U157" s="85"/>
      <c r="V157" s="85"/>
      <c r="W157" s="85"/>
      <c r="X157" s="85"/>
      <c r="Y157" s="85"/>
      <c r="Z157" s="157"/>
      <c r="AA157" s="4"/>
      <c r="AB157" s="4"/>
      <c r="AC157" s="4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49"/>
      <c r="L158" s="85"/>
      <c r="M158" s="85"/>
      <c r="N158" s="151"/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57"/>
      <c r="AA158" s="4"/>
      <c r="AB158" s="4"/>
      <c r="AC158" s="4"/>
    </row>
    <row r="159" customFormat="false" ht="15" hidden="false" customHeight="true" outlineLevel="0" collapsed="false">
      <c r="A159" s="85"/>
      <c r="B159" s="85"/>
      <c r="C159" s="85"/>
      <c r="D159" s="85"/>
      <c r="E159" s="85"/>
      <c r="F159" s="85"/>
      <c r="G159" s="85"/>
      <c r="H159" s="85"/>
      <c r="I159" s="138" t="str">
        <f aca="false">IFERROR(VLOOKUP(TEXT(H159,"0"),IPRESS!$A$3:$B$212,2,0),"")</f>
        <v/>
      </c>
      <c r="J159" s="85"/>
      <c r="K159" s="149"/>
      <c r="L159" s="85"/>
      <c r="M159" s="85"/>
      <c r="N159" s="151"/>
      <c r="O159" s="85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85"/>
      <c r="S159" s="85"/>
      <c r="T159" s="85"/>
      <c r="U159" s="85"/>
      <c r="V159" s="85"/>
      <c r="W159" s="85"/>
      <c r="X159" s="85"/>
      <c r="Y159" s="85"/>
      <c r="Z159" s="157"/>
      <c r="AA159" s="4"/>
      <c r="AB159" s="4"/>
      <c r="AC159" s="4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49"/>
      <c r="L160" s="85"/>
      <c r="M160" s="85"/>
      <c r="N160" s="151"/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57"/>
      <c r="AA160" s="4"/>
      <c r="AB160" s="4"/>
      <c r="AC160" s="4"/>
    </row>
    <row r="161" customFormat="false" ht="15" hidden="false" customHeight="true" outlineLevel="0" collapsed="false">
      <c r="A161" s="85"/>
      <c r="B161" s="85"/>
      <c r="C161" s="85"/>
      <c r="D161" s="85"/>
      <c r="E161" s="85"/>
      <c r="F161" s="85"/>
      <c r="G161" s="85"/>
      <c r="H161" s="85"/>
      <c r="I161" s="138" t="str">
        <f aca="false">IFERROR(VLOOKUP(TEXT(H161,"0"),IPRESS!$A$3:$B$212,2,0),"")</f>
        <v/>
      </c>
      <c r="J161" s="85"/>
      <c r="K161" s="149"/>
      <c r="L161" s="85"/>
      <c r="M161" s="85"/>
      <c r="N161" s="151"/>
      <c r="O161" s="85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85"/>
      <c r="S161" s="85"/>
      <c r="T161" s="85"/>
      <c r="U161" s="85"/>
      <c r="V161" s="85"/>
      <c r="W161" s="85"/>
      <c r="X161" s="85"/>
      <c r="Y161" s="85"/>
      <c r="Z161" s="157"/>
      <c r="AA161" s="4"/>
      <c r="AB161" s="4"/>
      <c r="AC161" s="4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49"/>
      <c r="L162" s="85"/>
      <c r="M162" s="85"/>
      <c r="N162" s="151"/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57"/>
      <c r="AA162" s="4"/>
      <c r="AB162" s="4"/>
      <c r="AC162" s="4"/>
    </row>
    <row r="163" customFormat="false" ht="15" hidden="false" customHeight="true" outlineLevel="0" collapsed="false">
      <c r="A163" s="85"/>
      <c r="B163" s="85"/>
      <c r="C163" s="85"/>
      <c r="D163" s="85"/>
      <c r="E163" s="85"/>
      <c r="F163" s="85"/>
      <c r="G163" s="85"/>
      <c r="H163" s="85"/>
      <c r="I163" s="138" t="str">
        <f aca="false">IFERROR(VLOOKUP(TEXT(H163,"0"),IPRESS!$A$3:$B$212,2,0),"")</f>
        <v/>
      </c>
      <c r="J163" s="85"/>
      <c r="K163" s="149"/>
      <c r="L163" s="85"/>
      <c r="M163" s="85"/>
      <c r="N163" s="151"/>
      <c r="O163" s="85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85"/>
      <c r="S163" s="85"/>
      <c r="T163" s="85"/>
      <c r="U163" s="85"/>
      <c r="V163" s="85"/>
      <c r="W163" s="85"/>
      <c r="X163" s="85"/>
      <c r="Y163" s="85"/>
      <c r="Z163" s="157"/>
      <c r="AA163" s="4"/>
      <c r="AB163" s="4"/>
      <c r="AC163" s="4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49"/>
      <c r="L164" s="85"/>
      <c r="M164" s="85"/>
      <c r="N164" s="151"/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57"/>
      <c r="AA164" s="4"/>
      <c r="AB164" s="4"/>
      <c r="AC164" s="4"/>
    </row>
    <row r="165" customFormat="false" ht="15" hidden="false" customHeight="true" outlineLevel="0" collapsed="false">
      <c r="A165" s="85"/>
      <c r="B165" s="85"/>
      <c r="C165" s="85"/>
      <c r="D165" s="85"/>
      <c r="E165" s="85"/>
      <c r="F165" s="85"/>
      <c r="G165" s="85"/>
      <c r="H165" s="85"/>
      <c r="I165" s="138" t="str">
        <f aca="false">IFERROR(VLOOKUP(TEXT(H165,"0"),IPRESS!$A$3:$B$212,2,0),"")</f>
        <v/>
      </c>
      <c r="J165" s="85"/>
      <c r="K165" s="149"/>
      <c r="L165" s="85"/>
      <c r="M165" s="85"/>
      <c r="N165" s="151"/>
      <c r="O165" s="85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85"/>
      <c r="S165" s="85"/>
      <c r="T165" s="85"/>
      <c r="U165" s="85"/>
      <c r="V165" s="85"/>
      <c r="W165" s="85"/>
      <c r="X165" s="85"/>
      <c r="Y165" s="85"/>
      <c r="Z165" s="157"/>
      <c r="AA165" s="4"/>
      <c r="AB165" s="4"/>
      <c r="AC165" s="4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49"/>
      <c r="L166" s="85"/>
      <c r="M166" s="85"/>
      <c r="N166" s="151"/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57"/>
      <c r="AA166" s="4"/>
      <c r="AB166" s="4"/>
      <c r="AC166" s="4"/>
    </row>
    <row r="167" customFormat="false" ht="15" hidden="false" customHeight="true" outlineLevel="0" collapsed="false">
      <c r="A167" s="85"/>
      <c r="B167" s="85"/>
      <c r="C167" s="85"/>
      <c r="D167" s="85"/>
      <c r="E167" s="85"/>
      <c r="F167" s="85"/>
      <c r="G167" s="85"/>
      <c r="H167" s="85"/>
      <c r="I167" s="138" t="str">
        <f aca="false">IFERROR(VLOOKUP(TEXT(H167,"0"),IPRESS!$A$3:$B$212,2,0),"")</f>
        <v/>
      </c>
      <c r="J167" s="85"/>
      <c r="K167" s="149"/>
      <c r="L167" s="85"/>
      <c r="M167" s="85"/>
      <c r="N167" s="151"/>
      <c r="O167" s="85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85"/>
      <c r="S167" s="85"/>
      <c r="T167" s="85"/>
      <c r="U167" s="85"/>
      <c r="V167" s="85"/>
      <c r="W167" s="85"/>
      <c r="X167" s="85"/>
      <c r="Y167" s="85"/>
      <c r="Z167" s="157"/>
      <c r="AA167" s="4"/>
      <c r="AB167" s="4"/>
      <c r="AC167" s="4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49"/>
      <c r="L168" s="85"/>
      <c r="M168" s="85"/>
      <c r="N168" s="151"/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57"/>
      <c r="AA168" s="4"/>
      <c r="AB168" s="4"/>
      <c r="AC168" s="4"/>
    </row>
    <row r="169" customFormat="false" ht="15" hidden="false" customHeight="true" outlineLevel="0" collapsed="false">
      <c r="A169" s="85"/>
      <c r="B169" s="85"/>
      <c r="C169" s="85"/>
      <c r="D169" s="85"/>
      <c r="E169" s="85"/>
      <c r="F169" s="85"/>
      <c r="G169" s="85"/>
      <c r="H169" s="85"/>
      <c r="I169" s="138" t="str">
        <f aca="false">IFERROR(VLOOKUP(TEXT(H169,"0"),IPRESS!$A$3:$B$212,2,0),"")</f>
        <v/>
      </c>
      <c r="J169" s="85"/>
      <c r="K169" s="149"/>
      <c r="L169" s="85"/>
      <c r="M169" s="85"/>
      <c r="N169" s="151"/>
      <c r="O169" s="85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85"/>
      <c r="S169" s="85"/>
      <c r="T169" s="85"/>
      <c r="U169" s="85"/>
      <c r="V169" s="85"/>
      <c r="W169" s="85"/>
      <c r="X169" s="85"/>
      <c r="Y169" s="85"/>
      <c r="Z169" s="157"/>
      <c r="AA169" s="4"/>
      <c r="AB169" s="4"/>
      <c r="AC169" s="4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49"/>
      <c r="L170" s="85"/>
      <c r="M170" s="85"/>
      <c r="N170" s="151"/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57"/>
      <c r="AA170" s="4"/>
      <c r="AB170" s="4"/>
      <c r="AC170" s="4"/>
    </row>
    <row r="171" customFormat="false" ht="15" hidden="false" customHeight="true" outlineLevel="0" collapsed="false">
      <c r="A171" s="85"/>
      <c r="B171" s="85"/>
      <c r="C171" s="85"/>
      <c r="D171" s="85"/>
      <c r="E171" s="85"/>
      <c r="F171" s="85"/>
      <c r="G171" s="85"/>
      <c r="H171" s="85"/>
      <c r="I171" s="138" t="str">
        <f aca="false">IFERROR(VLOOKUP(TEXT(H171,"0"),IPRESS!$A$3:$B$212,2,0),"")</f>
        <v/>
      </c>
      <c r="J171" s="85"/>
      <c r="K171" s="149"/>
      <c r="L171" s="85"/>
      <c r="M171" s="85"/>
      <c r="N171" s="151"/>
      <c r="O171" s="85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85"/>
      <c r="S171" s="85"/>
      <c r="T171" s="85"/>
      <c r="U171" s="85"/>
      <c r="V171" s="85"/>
      <c r="W171" s="85"/>
      <c r="X171" s="85"/>
      <c r="Y171" s="85"/>
      <c r="Z171" s="157"/>
      <c r="AA171" s="4"/>
      <c r="AB171" s="4"/>
      <c r="AC171" s="4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49"/>
      <c r="L172" s="85"/>
      <c r="M172" s="85"/>
      <c r="N172" s="151"/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57"/>
      <c r="AA172" s="4"/>
      <c r="AB172" s="4"/>
      <c r="AC172" s="4"/>
    </row>
    <row r="173" customFormat="false" ht="15" hidden="false" customHeight="true" outlineLevel="0" collapsed="false">
      <c r="A173" s="85"/>
      <c r="B173" s="85"/>
      <c r="C173" s="85"/>
      <c r="D173" s="85"/>
      <c r="E173" s="85"/>
      <c r="F173" s="85"/>
      <c r="G173" s="85"/>
      <c r="H173" s="85"/>
      <c r="I173" s="138" t="str">
        <f aca="false">IFERROR(VLOOKUP(TEXT(H173,"0"),IPRESS!$A$3:$B$212,2,0),"")</f>
        <v/>
      </c>
      <c r="J173" s="85"/>
      <c r="K173" s="149"/>
      <c r="L173" s="85"/>
      <c r="M173" s="85"/>
      <c r="N173" s="151"/>
      <c r="O173" s="85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85"/>
      <c r="S173" s="85"/>
      <c r="T173" s="85"/>
      <c r="U173" s="85"/>
      <c r="V173" s="85"/>
      <c r="W173" s="85"/>
      <c r="X173" s="85"/>
      <c r="Y173" s="85"/>
      <c r="Z173" s="157"/>
      <c r="AA173" s="4"/>
      <c r="AB173" s="4"/>
      <c r="AC173" s="4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49"/>
      <c r="L174" s="85"/>
      <c r="M174" s="85"/>
      <c r="N174" s="151"/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57"/>
      <c r="AA174" s="4"/>
      <c r="AB174" s="4"/>
      <c r="AC174" s="4"/>
    </row>
    <row r="175" customFormat="false" ht="15" hidden="false" customHeight="true" outlineLevel="0" collapsed="false">
      <c r="A175" s="85"/>
      <c r="B175" s="85"/>
      <c r="C175" s="85"/>
      <c r="D175" s="85"/>
      <c r="E175" s="85"/>
      <c r="F175" s="85"/>
      <c r="G175" s="85"/>
      <c r="H175" s="85"/>
      <c r="I175" s="138" t="str">
        <f aca="false">IFERROR(VLOOKUP(TEXT(H175,"0"),IPRESS!$A$3:$B$212,2,0),"")</f>
        <v/>
      </c>
      <c r="J175" s="85"/>
      <c r="K175" s="149"/>
      <c r="L175" s="85"/>
      <c r="M175" s="85"/>
      <c r="N175" s="151"/>
      <c r="O175" s="85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85"/>
      <c r="S175" s="85"/>
      <c r="T175" s="85"/>
      <c r="U175" s="85"/>
      <c r="V175" s="85"/>
      <c r="W175" s="85"/>
      <c r="X175" s="85"/>
      <c r="Y175" s="85"/>
      <c r="Z175" s="157"/>
      <c r="AA175" s="4"/>
      <c r="AB175" s="4"/>
      <c r="AC175" s="4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49"/>
      <c r="L176" s="85"/>
      <c r="M176" s="85"/>
      <c r="N176" s="151"/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57"/>
      <c r="AA176" s="4"/>
      <c r="AB176" s="4"/>
      <c r="AC176" s="4"/>
    </row>
    <row r="177" customFormat="false" ht="15" hidden="false" customHeight="true" outlineLevel="0" collapsed="false">
      <c r="A177" s="85"/>
      <c r="B177" s="85"/>
      <c r="C177" s="85"/>
      <c r="D177" s="85"/>
      <c r="E177" s="85"/>
      <c r="F177" s="85"/>
      <c r="G177" s="85"/>
      <c r="H177" s="85"/>
      <c r="I177" s="138" t="str">
        <f aca="false">IFERROR(VLOOKUP(TEXT(H177,"0"),IPRESS!$A$3:$B$212,2,0),"")</f>
        <v/>
      </c>
      <c r="J177" s="85"/>
      <c r="K177" s="149"/>
      <c r="L177" s="85"/>
      <c r="M177" s="85"/>
      <c r="N177" s="151"/>
      <c r="O177" s="85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85"/>
      <c r="S177" s="85"/>
      <c r="T177" s="85"/>
      <c r="U177" s="85"/>
      <c r="V177" s="85"/>
      <c r="W177" s="85"/>
      <c r="X177" s="85"/>
      <c r="Y177" s="85"/>
      <c r="Z177" s="157"/>
      <c r="AA177" s="4"/>
      <c r="AB177" s="4"/>
      <c r="AC177" s="4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49"/>
      <c r="L178" s="85"/>
      <c r="M178" s="85"/>
      <c r="N178" s="151"/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57"/>
      <c r="AA178" s="4"/>
      <c r="AB178" s="4"/>
      <c r="AC178" s="4"/>
    </row>
    <row r="179" customFormat="false" ht="15" hidden="false" customHeight="true" outlineLevel="0" collapsed="false">
      <c r="A179" s="85"/>
      <c r="B179" s="85"/>
      <c r="C179" s="85"/>
      <c r="D179" s="85"/>
      <c r="E179" s="85"/>
      <c r="F179" s="85"/>
      <c r="G179" s="85"/>
      <c r="H179" s="85"/>
      <c r="I179" s="138" t="str">
        <f aca="false">IFERROR(VLOOKUP(TEXT(H179,"0"),IPRESS!$A$3:$B$212,2,0),"")</f>
        <v/>
      </c>
      <c r="J179" s="85"/>
      <c r="K179" s="149"/>
      <c r="L179" s="85"/>
      <c r="M179" s="85"/>
      <c r="N179" s="151"/>
      <c r="O179" s="85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85"/>
      <c r="S179" s="85"/>
      <c r="T179" s="85"/>
      <c r="U179" s="85"/>
      <c r="V179" s="85"/>
      <c r="W179" s="85"/>
      <c r="X179" s="85"/>
      <c r="Y179" s="85"/>
      <c r="Z179" s="157"/>
      <c r="AA179" s="4"/>
      <c r="AB179" s="4"/>
      <c r="AC179" s="4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49"/>
      <c r="L180" s="85"/>
      <c r="M180" s="85"/>
      <c r="N180" s="151"/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57"/>
      <c r="AA180" s="4"/>
      <c r="AB180" s="4"/>
      <c r="AC180" s="4"/>
    </row>
    <row r="181" customFormat="false" ht="15" hidden="false" customHeight="true" outlineLevel="0" collapsed="false">
      <c r="A181" s="85"/>
      <c r="B181" s="85"/>
      <c r="C181" s="85"/>
      <c r="D181" s="85"/>
      <c r="E181" s="85"/>
      <c r="F181" s="85"/>
      <c r="G181" s="85"/>
      <c r="H181" s="85"/>
      <c r="I181" s="138" t="str">
        <f aca="false">IFERROR(VLOOKUP(TEXT(H181,"0"),IPRESS!$A$3:$B$212,2,0),"")</f>
        <v/>
      </c>
      <c r="J181" s="85"/>
      <c r="K181" s="149"/>
      <c r="L181" s="85"/>
      <c r="M181" s="85"/>
      <c r="N181" s="151"/>
      <c r="O181" s="85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85"/>
      <c r="S181" s="85"/>
      <c r="T181" s="85"/>
      <c r="U181" s="85"/>
      <c r="V181" s="85"/>
      <c r="W181" s="85"/>
      <c r="X181" s="85"/>
      <c r="Y181" s="85"/>
      <c r="Z181" s="157"/>
      <c r="AA181" s="4"/>
      <c r="AB181" s="4"/>
      <c r="AC181" s="4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49"/>
      <c r="L182" s="85"/>
      <c r="M182" s="85"/>
      <c r="N182" s="151"/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57"/>
      <c r="AA182" s="4"/>
      <c r="AB182" s="4"/>
      <c r="AC182" s="4"/>
    </row>
    <row r="183" customFormat="false" ht="15" hidden="false" customHeight="true" outlineLevel="0" collapsed="false">
      <c r="A183" s="85"/>
      <c r="B183" s="85"/>
      <c r="C183" s="85"/>
      <c r="D183" s="85"/>
      <c r="E183" s="85"/>
      <c r="F183" s="85"/>
      <c r="G183" s="85"/>
      <c r="H183" s="85"/>
      <c r="I183" s="138" t="str">
        <f aca="false">IFERROR(VLOOKUP(TEXT(H183,"0"),IPRESS!$A$3:$B$212,2,0),"")</f>
        <v/>
      </c>
      <c r="J183" s="85"/>
      <c r="K183" s="149"/>
      <c r="L183" s="85"/>
      <c r="M183" s="85"/>
      <c r="N183" s="151"/>
      <c r="O183" s="85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85"/>
      <c r="S183" s="85"/>
      <c r="T183" s="85"/>
      <c r="U183" s="85"/>
      <c r="V183" s="85"/>
      <c r="W183" s="85"/>
      <c r="X183" s="85"/>
      <c r="Y183" s="85"/>
      <c r="Z183" s="157"/>
      <c r="AA183" s="4"/>
      <c r="AB183" s="4"/>
      <c r="AC183" s="4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49"/>
      <c r="L184" s="85"/>
      <c r="M184" s="85"/>
      <c r="N184" s="151"/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57"/>
      <c r="AA184" s="4"/>
      <c r="AB184" s="4"/>
      <c r="AC184" s="4"/>
    </row>
    <row r="185" customFormat="false" ht="15" hidden="false" customHeight="true" outlineLevel="0" collapsed="false">
      <c r="A185" s="85"/>
      <c r="B185" s="85"/>
      <c r="C185" s="85"/>
      <c r="D185" s="85"/>
      <c r="E185" s="85"/>
      <c r="F185" s="85"/>
      <c r="G185" s="85"/>
      <c r="H185" s="85"/>
      <c r="I185" s="138" t="str">
        <f aca="false">IFERROR(VLOOKUP(TEXT(H185,"0"),IPRESS!$A$3:$B$212,2,0),"")</f>
        <v/>
      </c>
      <c r="J185" s="85"/>
      <c r="K185" s="149"/>
      <c r="L185" s="85"/>
      <c r="M185" s="85"/>
      <c r="N185" s="151"/>
      <c r="O185" s="85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85"/>
      <c r="S185" s="85"/>
      <c r="T185" s="85"/>
      <c r="U185" s="85"/>
      <c r="V185" s="85"/>
      <c r="W185" s="85"/>
      <c r="X185" s="85"/>
      <c r="Y185" s="85"/>
      <c r="Z185" s="157"/>
      <c r="AA185" s="4"/>
      <c r="AB185" s="4"/>
      <c r="AC185" s="4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49"/>
      <c r="L186" s="85"/>
      <c r="M186" s="85"/>
      <c r="N186" s="151"/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57"/>
      <c r="AA186" s="4"/>
      <c r="AB186" s="4"/>
      <c r="AC186" s="4"/>
    </row>
    <row r="187" customFormat="false" ht="15" hidden="false" customHeight="true" outlineLevel="0" collapsed="false">
      <c r="A187" s="85"/>
      <c r="B187" s="85"/>
      <c r="C187" s="85"/>
      <c r="D187" s="85"/>
      <c r="E187" s="85"/>
      <c r="F187" s="85"/>
      <c r="G187" s="85"/>
      <c r="H187" s="85"/>
      <c r="I187" s="138" t="str">
        <f aca="false">IFERROR(VLOOKUP(TEXT(H187,"0"),IPRESS!$A$3:$B$212,2,0),"")</f>
        <v/>
      </c>
      <c r="J187" s="85"/>
      <c r="K187" s="149"/>
      <c r="L187" s="85"/>
      <c r="M187" s="85"/>
      <c r="N187" s="151"/>
      <c r="O187" s="85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85"/>
      <c r="S187" s="85"/>
      <c r="T187" s="85"/>
      <c r="U187" s="85"/>
      <c r="V187" s="85"/>
      <c r="W187" s="85"/>
      <c r="X187" s="85"/>
      <c r="Y187" s="85"/>
      <c r="Z187" s="157"/>
      <c r="AA187" s="4"/>
      <c r="AB187" s="4"/>
      <c r="AC187" s="4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49"/>
      <c r="L188" s="85"/>
      <c r="M188" s="85"/>
      <c r="N188" s="151"/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57"/>
      <c r="AA188" s="4"/>
      <c r="AB188" s="4"/>
      <c r="AC188" s="4"/>
    </row>
    <row r="189" customFormat="false" ht="15" hidden="false" customHeight="true" outlineLevel="0" collapsed="false">
      <c r="A189" s="85"/>
      <c r="B189" s="85"/>
      <c r="C189" s="85"/>
      <c r="D189" s="85"/>
      <c r="E189" s="85"/>
      <c r="F189" s="85"/>
      <c r="G189" s="85"/>
      <c r="H189" s="85"/>
      <c r="I189" s="138" t="str">
        <f aca="false">IFERROR(VLOOKUP(TEXT(H189,"0"),IPRESS!$A$3:$B$212,2,0),"")</f>
        <v/>
      </c>
      <c r="J189" s="85"/>
      <c r="K189" s="149"/>
      <c r="L189" s="85"/>
      <c r="M189" s="85"/>
      <c r="N189" s="151"/>
      <c r="O189" s="85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85"/>
      <c r="S189" s="85"/>
      <c r="T189" s="85"/>
      <c r="U189" s="85"/>
      <c r="V189" s="85"/>
      <c r="W189" s="85"/>
      <c r="X189" s="85"/>
      <c r="Y189" s="85"/>
      <c r="Z189" s="157"/>
      <c r="AA189" s="4"/>
      <c r="AB189" s="4"/>
      <c r="AC189" s="4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49"/>
      <c r="L190" s="85"/>
      <c r="M190" s="85"/>
      <c r="N190" s="151"/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57"/>
      <c r="AA190" s="4"/>
      <c r="AB190" s="4"/>
      <c r="AC190" s="4"/>
    </row>
    <row r="191" customFormat="false" ht="15" hidden="false" customHeight="true" outlineLevel="0" collapsed="false">
      <c r="A191" s="85"/>
      <c r="B191" s="85"/>
      <c r="C191" s="85"/>
      <c r="D191" s="85"/>
      <c r="E191" s="85"/>
      <c r="F191" s="85"/>
      <c r="G191" s="85"/>
      <c r="H191" s="85"/>
      <c r="I191" s="138" t="str">
        <f aca="false">IFERROR(VLOOKUP(TEXT(H191,"0"),IPRESS!$A$3:$B$212,2,0),"")</f>
        <v/>
      </c>
      <c r="J191" s="85"/>
      <c r="K191" s="149"/>
      <c r="L191" s="85"/>
      <c r="M191" s="85"/>
      <c r="N191" s="151"/>
      <c r="O191" s="85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85"/>
      <c r="S191" s="85"/>
      <c r="T191" s="85"/>
      <c r="U191" s="85"/>
      <c r="V191" s="85"/>
      <c r="W191" s="85"/>
      <c r="X191" s="85"/>
      <c r="Y191" s="85"/>
      <c r="Z191" s="157"/>
      <c r="AA191" s="4"/>
      <c r="AB191" s="4"/>
      <c r="AC191" s="4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49"/>
      <c r="L192" s="85"/>
      <c r="M192" s="85"/>
      <c r="N192" s="151"/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57"/>
      <c r="AA192" s="4"/>
      <c r="AB192" s="4"/>
      <c r="AC192" s="4"/>
    </row>
    <row r="193" customFormat="false" ht="15" hidden="false" customHeight="true" outlineLevel="0" collapsed="false">
      <c r="A193" s="85"/>
      <c r="B193" s="85"/>
      <c r="C193" s="85"/>
      <c r="D193" s="85"/>
      <c r="E193" s="85"/>
      <c r="F193" s="85"/>
      <c r="G193" s="85"/>
      <c r="H193" s="85"/>
      <c r="I193" s="138" t="str">
        <f aca="false">IFERROR(VLOOKUP(TEXT(H193,"0"),IPRESS!$A$3:$B$212,2,0),"")</f>
        <v/>
      </c>
      <c r="J193" s="85"/>
      <c r="K193" s="149"/>
      <c r="L193" s="85"/>
      <c r="M193" s="85"/>
      <c r="N193" s="151"/>
      <c r="O193" s="85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85"/>
      <c r="S193" s="85"/>
      <c r="T193" s="85"/>
      <c r="U193" s="85"/>
      <c r="V193" s="85"/>
      <c r="W193" s="85"/>
      <c r="X193" s="85"/>
      <c r="Y193" s="85"/>
      <c r="Z193" s="157"/>
      <c r="AA193" s="4"/>
      <c r="AB193" s="4"/>
      <c r="AC193" s="4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49"/>
      <c r="L194" s="85"/>
      <c r="M194" s="85"/>
      <c r="N194" s="151"/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57"/>
      <c r="AA194" s="4"/>
      <c r="AB194" s="4"/>
      <c r="AC194" s="4"/>
    </row>
    <row r="195" customFormat="false" ht="15" hidden="false" customHeight="true" outlineLevel="0" collapsed="false">
      <c r="A195" s="85"/>
      <c r="B195" s="85"/>
      <c r="C195" s="85"/>
      <c r="D195" s="85"/>
      <c r="E195" s="85"/>
      <c r="F195" s="85"/>
      <c r="G195" s="85"/>
      <c r="H195" s="85"/>
      <c r="I195" s="138" t="str">
        <f aca="false">IFERROR(VLOOKUP(TEXT(H195,"0"),IPRESS!$A$3:$B$212,2,0),"")</f>
        <v/>
      </c>
      <c r="J195" s="85"/>
      <c r="K195" s="149"/>
      <c r="L195" s="85"/>
      <c r="M195" s="85"/>
      <c r="N195" s="151"/>
      <c r="O195" s="85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85"/>
      <c r="S195" s="85"/>
      <c r="T195" s="85"/>
      <c r="U195" s="85"/>
      <c r="V195" s="85"/>
      <c r="W195" s="85"/>
      <c r="X195" s="85"/>
      <c r="Y195" s="85"/>
      <c r="Z195" s="157"/>
      <c r="AA195" s="4"/>
      <c r="AB195" s="4"/>
      <c r="AC195" s="4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49"/>
      <c r="L196" s="85"/>
      <c r="M196" s="85"/>
      <c r="N196" s="151"/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57"/>
      <c r="AA196" s="4"/>
      <c r="AB196" s="4"/>
      <c r="AC196" s="4"/>
    </row>
    <row r="197" customFormat="false" ht="15" hidden="false" customHeight="true" outlineLevel="0" collapsed="false">
      <c r="A197" s="85"/>
      <c r="B197" s="85"/>
      <c r="C197" s="85"/>
      <c r="D197" s="85"/>
      <c r="E197" s="85"/>
      <c r="F197" s="85"/>
      <c r="G197" s="85"/>
      <c r="H197" s="85"/>
      <c r="I197" s="138" t="str">
        <f aca="false">IFERROR(VLOOKUP(TEXT(H197,"0"),IPRESS!$A$3:$B$212,2,0),"")</f>
        <v/>
      </c>
      <c r="J197" s="85"/>
      <c r="K197" s="149"/>
      <c r="L197" s="85"/>
      <c r="M197" s="85"/>
      <c r="N197" s="151"/>
      <c r="O197" s="85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85"/>
      <c r="S197" s="85"/>
      <c r="T197" s="85"/>
      <c r="U197" s="85"/>
      <c r="V197" s="85"/>
      <c r="W197" s="85"/>
      <c r="X197" s="85"/>
      <c r="Y197" s="85"/>
      <c r="Z197" s="157"/>
      <c r="AA197" s="4"/>
      <c r="AB197" s="4"/>
      <c r="AC197" s="4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49"/>
      <c r="L198" s="85"/>
      <c r="M198" s="85"/>
      <c r="N198" s="151"/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57"/>
      <c r="AA198" s="4"/>
      <c r="AB198" s="4"/>
      <c r="AC198" s="4"/>
    </row>
    <row r="199" customFormat="false" ht="15" hidden="false" customHeight="true" outlineLevel="0" collapsed="false">
      <c r="A199" s="85"/>
      <c r="B199" s="85"/>
      <c r="C199" s="85"/>
      <c r="D199" s="85"/>
      <c r="E199" s="85"/>
      <c r="F199" s="85"/>
      <c r="G199" s="85"/>
      <c r="H199" s="85"/>
      <c r="I199" s="138" t="str">
        <f aca="false">IFERROR(VLOOKUP(TEXT(H199,"0"),IPRESS!$A$3:$B$212,2,0),"")</f>
        <v/>
      </c>
      <c r="J199" s="85"/>
      <c r="K199" s="149"/>
      <c r="L199" s="85"/>
      <c r="M199" s="85"/>
      <c r="N199" s="151"/>
      <c r="O199" s="85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85"/>
      <c r="S199" s="85"/>
      <c r="T199" s="85"/>
      <c r="U199" s="85"/>
      <c r="V199" s="85"/>
      <c r="W199" s="85"/>
      <c r="X199" s="85"/>
      <c r="Y199" s="85"/>
      <c r="Z199" s="157"/>
      <c r="AA199" s="4"/>
      <c r="AB199" s="4"/>
      <c r="AC199" s="4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49"/>
      <c r="L200" s="85"/>
      <c r="M200" s="85"/>
      <c r="N200" s="151"/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57"/>
      <c r="AA200" s="4"/>
      <c r="AB200" s="4"/>
      <c r="AC200" s="4"/>
    </row>
    <row r="201" customFormat="false" ht="15" hidden="false" customHeight="true" outlineLevel="0" collapsed="false">
      <c r="A201" s="85"/>
      <c r="B201" s="85"/>
      <c r="C201" s="85"/>
      <c r="D201" s="85"/>
      <c r="E201" s="85"/>
      <c r="F201" s="85"/>
      <c r="G201" s="85"/>
      <c r="H201" s="85"/>
      <c r="I201" s="138" t="str">
        <f aca="false">IFERROR(VLOOKUP(TEXT(H201,"0"),IPRESS!$A$3:$B$212,2,0),"")</f>
        <v/>
      </c>
      <c r="J201" s="85"/>
      <c r="K201" s="149"/>
      <c r="L201" s="85"/>
      <c r="M201" s="85"/>
      <c r="N201" s="151"/>
      <c r="O201" s="85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85"/>
      <c r="S201" s="85"/>
      <c r="T201" s="85"/>
      <c r="U201" s="85"/>
      <c r="V201" s="85"/>
      <c r="W201" s="85"/>
      <c r="X201" s="85"/>
      <c r="Y201" s="85"/>
      <c r="Z201" s="157"/>
      <c r="AA201" s="4"/>
      <c r="AB201" s="4"/>
      <c r="AC201" s="4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49"/>
      <c r="L202" s="85"/>
      <c r="M202" s="85"/>
      <c r="N202" s="151"/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57"/>
      <c r="AA202" s="4"/>
      <c r="AB202" s="4"/>
      <c r="AC202" s="4"/>
    </row>
    <row r="203" customFormat="false" ht="15" hidden="false" customHeight="true" outlineLevel="0" collapsed="false">
      <c r="A203" s="85"/>
      <c r="B203" s="85"/>
      <c r="C203" s="85"/>
      <c r="D203" s="85"/>
      <c r="E203" s="85"/>
      <c r="F203" s="85"/>
      <c r="G203" s="85"/>
      <c r="H203" s="85"/>
      <c r="I203" s="138" t="str">
        <f aca="false">IFERROR(VLOOKUP(TEXT(H203,"0"),IPRESS!$A$3:$B$212,2,0),"")</f>
        <v/>
      </c>
      <c r="J203" s="85"/>
      <c r="K203" s="149"/>
      <c r="L203" s="85"/>
      <c r="M203" s="85"/>
      <c r="N203" s="151"/>
      <c r="O203" s="85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85"/>
      <c r="S203" s="85"/>
      <c r="T203" s="85"/>
      <c r="U203" s="85"/>
      <c r="V203" s="85"/>
      <c r="W203" s="85"/>
      <c r="X203" s="85"/>
      <c r="Y203" s="85"/>
      <c r="Z203" s="157"/>
      <c r="AA203" s="4"/>
      <c r="AB203" s="4"/>
      <c r="AC203" s="4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49"/>
      <c r="L204" s="85"/>
      <c r="M204" s="85"/>
      <c r="N204" s="151"/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57"/>
      <c r="AA204" s="4"/>
      <c r="AB204" s="4"/>
      <c r="AC204" s="4"/>
    </row>
    <row r="205" customFormat="false" ht="15" hidden="false" customHeight="true" outlineLevel="0" collapsed="false">
      <c r="A205" s="85"/>
      <c r="B205" s="85"/>
      <c r="C205" s="85"/>
      <c r="D205" s="85"/>
      <c r="E205" s="85"/>
      <c r="F205" s="85"/>
      <c r="G205" s="85"/>
      <c r="H205" s="85"/>
      <c r="I205" s="138" t="str">
        <f aca="false">IFERROR(VLOOKUP(TEXT(H205,"0"),IPRESS!$A$3:$B$212,2,0),"")</f>
        <v/>
      </c>
      <c r="J205" s="85"/>
      <c r="K205" s="149"/>
      <c r="L205" s="85"/>
      <c r="M205" s="85"/>
      <c r="N205" s="151"/>
      <c r="O205" s="85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85"/>
      <c r="S205" s="85"/>
      <c r="T205" s="85"/>
      <c r="U205" s="85"/>
      <c r="V205" s="85"/>
      <c r="W205" s="85"/>
      <c r="X205" s="85"/>
      <c r="Y205" s="85"/>
      <c r="Z205" s="157"/>
      <c r="AA205" s="4"/>
      <c r="AB205" s="4"/>
      <c r="AC205" s="4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49"/>
      <c r="L206" s="85"/>
      <c r="M206" s="85"/>
      <c r="N206" s="151"/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57"/>
      <c r="AA206" s="4"/>
      <c r="AB206" s="4"/>
      <c r="AC206" s="4"/>
    </row>
    <row r="207" customFormat="false" ht="15" hidden="false" customHeight="true" outlineLevel="0" collapsed="false">
      <c r="A207" s="85"/>
      <c r="B207" s="85"/>
      <c r="C207" s="85"/>
      <c r="D207" s="85"/>
      <c r="E207" s="85"/>
      <c r="F207" s="85"/>
      <c r="G207" s="85"/>
      <c r="H207" s="85"/>
      <c r="I207" s="138" t="str">
        <f aca="false">IFERROR(VLOOKUP(TEXT(H207,"0"),IPRESS!$A$3:$B$212,2,0),"")</f>
        <v/>
      </c>
      <c r="J207" s="85"/>
      <c r="K207" s="149"/>
      <c r="L207" s="85"/>
      <c r="M207" s="85"/>
      <c r="N207" s="151"/>
      <c r="O207" s="85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85"/>
      <c r="S207" s="85"/>
      <c r="T207" s="85"/>
      <c r="U207" s="85"/>
      <c r="V207" s="85"/>
      <c r="W207" s="85"/>
      <c r="X207" s="85"/>
      <c r="Y207" s="85"/>
      <c r="Z207" s="157"/>
      <c r="AA207" s="4"/>
      <c r="AB207" s="4"/>
      <c r="AC207" s="4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49"/>
      <c r="L208" s="85"/>
      <c r="M208" s="85"/>
      <c r="N208" s="151"/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57"/>
      <c r="AA208" s="4"/>
      <c r="AB208" s="4"/>
      <c r="AC208" s="4"/>
    </row>
    <row r="209" customFormat="false" ht="15" hidden="false" customHeight="true" outlineLevel="0" collapsed="false">
      <c r="A209" s="85"/>
      <c r="B209" s="85"/>
      <c r="C209" s="85"/>
      <c r="D209" s="85"/>
      <c r="E209" s="85"/>
      <c r="F209" s="85"/>
      <c r="G209" s="85"/>
      <c r="H209" s="85"/>
      <c r="I209" s="138" t="str">
        <f aca="false">IFERROR(VLOOKUP(TEXT(H209,"0"),IPRESS!$A$3:$B$212,2,0),"")</f>
        <v/>
      </c>
      <c r="J209" s="85"/>
      <c r="K209" s="149"/>
      <c r="L209" s="85"/>
      <c r="M209" s="85"/>
      <c r="N209" s="151"/>
      <c r="O209" s="85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85"/>
      <c r="S209" s="85"/>
      <c r="T209" s="85"/>
      <c r="U209" s="85"/>
      <c r="V209" s="85"/>
      <c r="W209" s="85"/>
      <c r="X209" s="85"/>
      <c r="Y209" s="85"/>
      <c r="Z209" s="157"/>
      <c r="AA209" s="4"/>
      <c r="AB209" s="4"/>
      <c r="AC209" s="4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49"/>
      <c r="L210" s="85"/>
      <c r="M210" s="85"/>
      <c r="N210" s="151"/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57"/>
      <c r="AA210" s="4"/>
      <c r="AB210" s="4"/>
      <c r="AC210" s="4"/>
    </row>
    <row r="211" customFormat="false" ht="15" hidden="false" customHeight="true" outlineLevel="0" collapsed="false">
      <c r="A211" s="85"/>
      <c r="B211" s="85"/>
      <c r="C211" s="85"/>
      <c r="D211" s="85"/>
      <c r="E211" s="85"/>
      <c r="F211" s="85"/>
      <c r="G211" s="85"/>
      <c r="H211" s="85"/>
      <c r="I211" s="138" t="str">
        <f aca="false">IFERROR(VLOOKUP(TEXT(H211,"0"),IPRESS!$A$3:$B$212,2,0),"")</f>
        <v/>
      </c>
      <c r="J211" s="85"/>
      <c r="K211" s="149"/>
      <c r="L211" s="85"/>
      <c r="M211" s="85"/>
      <c r="N211" s="151"/>
      <c r="O211" s="85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85"/>
      <c r="S211" s="85"/>
      <c r="T211" s="85"/>
      <c r="U211" s="85"/>
      <c r="V211" s="85"/>
      <c r="W211" s="85"/>
      <c r="X211" s="85"/>
      <c r="Y211" s="85"/>
      <c r="Z211" s="157"/>
      <c r="AA211" s="4"/>
      <c r="AB211" s="4"/>
      <c r="AC211" s="4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49"/>
      <c r="L212" s="85"/>
      <c r="M212" s="85"/>
      <c r="N212" s="151"/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57"/>
      <c r="AA212" s="4"/>
      <c r="AB212" s="4"/>
      <c r="AC212" s="4"/>
    </row>
    <row r="213" customFormat="false" ht="15" hidden="false" customHeight="true" outlineLevel="0" collapsed="false">
      <c r="A213" s="85"/>
      <c r="B213" s="85"/>
      <c r="C213" s="85"/>
      <c r="D213" s="85"/>
      <c r="E213" s="85"/>
      <c r="F213" s="85"/>
      <c r="G213" s="85"/>
      <c r="H213" s="85"/>
      <c r="I213" s="138" t="str">
        <f aca="false">IFERROR(VLOOKUP(TEXT(H213,"0"),IPRESS!$A$3:$B$212,2,0),"")</f>
        <v/>
      </c>
      <c r="J213" s="85"/>
      <c r="K213" s="149"/>
      <c r="L213" s="85"/>
      <c r="M213" s="85"/>
      <c r="N213" s="151"/>
      <c r="O213" s="85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85"/>
      <c r="S213" s="85"/>
      <c r="T213" s="85"/>
      <c r="U213" s="85"/>
      <c r="V213" s="85"/>
      <c r="W213" s="85"/>
      <c r="X213" s="85"/>
      <c r="Y213" s="85"/>
      <c r="Z213" s="157"/>
      <c r="AA213" s="4"/>
      <c r="AB213" s="4"/>
      <c r="AC213" s="4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49"/>
      <c r="L214" s="85"/>
      <c r="M214" s="85"/>
      <c r="N214" s="151"/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57"/>
      <c r="AA214" s="4"/>
      <c r="AB214" s="4"/>
      <c r="AC214" s="4"/>
    </row>
    <row r="215" customFormat="false" ht="15" hidden="false" customHeight="true" outlineLevel="0" collapsed="false">
      <c r="A215" s="85"/>
      <c r="B215" s="85"/>
      <c r="C215" s="85"/>
      <c r="D215" s="85"/>
      <c r="E215" s="85"/>
      <c r="F215" s="85"/>
      <c r="G215" s="85"/>
      <c r="H215" s="85"/>
      <c r="I215" s="138" t="str">
        <f aca="false">IFERROR(VLOOKUP(TEXT(H215,"0"),IPRESS!$A$3:$B$212,2,0),"")</f>
        <v/>
      </c>
      <c r="J215" s="85"/>
      <c r="K215" s="149"/>
      <c r="L215" s="85"/>
      <c r="M215" s="85"/>
      <c r="N215" s="151"/>
      <c r="O215" s="85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85"/>
      <c r="S215" s="85"/>
      <c r="T215" s="85"/>
      <c r="U215" s="85"/>
      <c r="V215" s="85"/>
      <c r="W215" s="85"/>
      <c r="X215" s="85"/>
      <c r="Y215" s="85"/>
      <c r="Z215" s="157"/>
      <c r="AA215" s="4"/>
      <c r="AB215" s="4"/>
      <c r="AC215" s="4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49"/>
      <c r="L216" s="85"/>
      <c r="M216" s="85"/>
      <c r="N216" s="151"/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57"/>
      <c r="AA216" s="4"/>
      <c r="AB216" s="4"/>
      <c r="AC216" s="4"/>
    </row>
    <row r="217" customFormat="false" ht="15" hidden="false" customHeight="true" outlineLevel="0" collapsed="false">
      <c r="A217" s="85"/>
      <c r="B217" s="85"/>
      <c r="C217" s="85"/>
      <c r="D217" s="85"/>
      <c r="E217" s="85"/>
      <c r="F217" s="85"/>
      <c r="G217" s="85"/>
      <c r="H217" s="85"/>
      <c r="I217" s="138" t="str">
        <f aca="false">IFERROR(VLOOKUP(TEXT(H217,"0"),IPRESS!$A$3:$B$212,2,0),"")</f>
        <v/>
      </c>
      <c r="J217" s="85"/>
      <c r="K217" s="149"/>
      <c r="L217" s="85"/>
      <c r="M217" s="85"/>
      <c r="N217" s="151"/>
      <c r="O217" s="85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85"/>
      <c r="S217" s="85"/>
      <c r="T217" s="85"/>
      <c r="U217" s="85"/>
      <c r="V217" s="85"/>
      <c r="W217" s="85"/>
      <c r="X217" s="85"/>
      <c r="Y217" s="85"/>
      <c r="Z217" s="157"/>
      <c r="AA217" s="4"/>
      <c r="AB217" s="4"/>
      <c r="AC217" s="4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49"/>
      <c r="L218" s="85"/>
      <c r="M218" s="85"/>
      <c r="N218" s="151"/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57"/>
      <c r="AA218" s="4"/>
      <c r="AB218" s="4"/>
      <c r="AC218" s="4"/>
    </row>
    <row r="219" customFormat="false" ht="15" hidden="false" customHeight="true" outlineLevel="0" collapsed="false">
      <c r="A219" s="85"/>
      <c r="B219" s="85"/>
      <c r="C219" s="85"/>
      <c r="D219" s="85"/>
      <c r="E219" s="85"/>
      <c r="F219" s="85"/>
      <c r="G219" s="85"/>
      <c r="H219" s="85"/>
      <c r="I219" s="138" t="str">
        <f aca="false">IFERROR(VLOOKUP(TEXT(H219,"0"),IPRESS!$A$3:$B$212,2,0),"")</f>
        <v/>
      </c>
      <c r="J219" s="85"/>
      <c r="K219" s="149"/>
      <c r="L219" s="85"/>
      <c r="M219" s="85"/>
      <c r="N219" s="151"/>
      <c r="O219" s="85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85"/>
      <c r="S219" s="85"/>
      <c r="T219" s="85"/>
      <c r="U219" s="85"/>
      <c r="V219" s="85"/>
      <c r="W219" s="85"/>
      <c r="X219" s="85"/>
      <c r="Y219" s="85"/>
      <c r="Z219" s="157"/>
      <c r="AA219" s="4"/>
      <c r="AB219" s="4"/>
      <c r="AC219" s="4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49"/>
      <c r="L220" s="85"/>
      <c r="M220" s="85"/>
      <c r="N220" s="151"/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57"/>
      <c r="AA220" s="4"/>
      <c r="AB220" s="4"/>
      <c r="AC220" s="4"/>
    </row>
    <row r="221" customFormat="false" ht="15" hidden="false" customHeight="true" outlineLevel="0" collapsed="false">
      <c r="A221" s="85"/>
      <c r="B221" s="85"/>
      <c r="C221" s="85"/>
      <c r="D221" s="85"/>
      <c r="E221" s="85"/>
      <c r="F221" s="85"/>
      <c r="G221" s="85"/>
      <c r="H221" s="85"/>
      <c r="I221" s="138" t="str">
        <f aca="false">IFERROR(VLOOKUP(TEXT(H221,"0"),IPRESS!$A$3:$B$212,2,0),"")</f>
        <v/>
      </c>
      <c r="J221" s="85"/>
      <c r="K221" s="149"/>
      <c r="L221" s="85"/>
      <c r="M221" s="85"/>
      <c r="N221" s="151"/>
      <c r="O221" s="85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85"/>
      <c r="S221" s="85"/>
      <c r="T221" s="85"/>
      <c r="U221" s="85"/>
      <c r="V221" s="85"/>
      <c r="W221" s="85"/>
      <c r="X221" s="85"/>
      <c r="Y221" s="85"/>
      <c r="Z221" s="157"/>
      <c r="AA221" s="4"/>
      <c r="AB221" s="4"/>
      <c r="AC221" s="4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49"/>
      <c r="L222" s="85"/>
      <c r="M222" s="85"/>
      <c r="N222" s="151"/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57"/>
      <c r="AA222" s="4"/>
      <c r="AB222" s="4"/>
      <c r="AC222" s="4"/>
    </row>
    <row r="223" customFormat="false" ht="15" hidden="false" customHeight="true" outlineLevel="0" collapsed="false">
      <c r="A223" s="85"/>
      <c r="B223" s="85"/>
      <c r="C223" s="85"/>
      <c r="D223" s="85"/>
      <c r="E223" s="85"/>
      <c r="F223" s="85"/>
      <c r="G223" s="85"/>
      <c r="H223" s="85"/>
      <c r="I223" s="138" t="str">
        <f aca="false">IFERROR(VLOOKUP(TEXT(H223,"0"),IPRESS!$A$3:$B$212,2,0),"")</f>
        <v/>
      </c>
      <c r="J223" s="85"/>
      <c r="K223" s="149"/>
      <c r="L223" s="85"/>
      <c r="M223" s="85"/>
      <c r="N223" s="151"/>
      <c r="O223" s="85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85"/>
      <c r="S223" s="85"/>
      <c r="T223" s="85"/>
      <c r="U223" s="85"/>
      <c r="V223" s="85"/>
      <c r="W223" s="85"/>
      <c r="X223" s="85"/>
      <c r="Y223" s="85"/>
      <c r="Z223" s="157"/>
      <c r="AA223" s="4"/>
      <c r="AB223" s="4"/>
      <c r="AC223" s="4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49"/>
      <c r="L224" s="85"/>
      <c r="M224" s="85"/>
      <c r="N224" s="151"/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57"/>
      <c r="AA224" s="4"/>
      <c r="AB224" s="4"/>
      <c r="AC224" s="4"/>
    </row>
    <row r="225" customFormat="false" ht="15" hidden="false" customHeight="true" outlineLevel="0" collapsed="false">
      <c r="A225" s="85"/>
      <c r="B225" s="85"/>
      <c r="C225" s="85"/>
      <c r="D225" s="85"/>
      <c r="E225" s="85"/>
      <c r="F225" s="85"/>
      <c r="G225" s="85"/>
      <c r="H225" s="85"/>
      <c r="I225" s="138" t="str">
        <f aca="false">IFERROR(VLOOKUP(TEXT(H225,"0"),IPRESS!$A$3:$B$212,2,0),"")</f>
        <v/>
      </c>
      <c r="J225" s="85"/>
      <c r="K225" s="149"/>
      <c r="L225" s="85"/>
      <c r="M225" s="85"/>
      <c r="N225" s="151"/>
      <c r="O225" s="85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85"/>
      <c r="S225" s="85"/>
      <c r="T225" s="85"/>
      <c r="U225" s="85"/>
      <c r="V225" s="85"/>
      <c r="W225" s="85"/>
      <c r="X225" s="85"/>
      <c r="Y225" s="85"/>
      <c r="Z225" s="157"/>
      <c r="AA225" s="4"/>
      <c r="AB225" s="4"/>
      <c r="AC225" s="4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49"/>
      <c r="L226" s="85"/>
      <c r="M226" s="85"/>
      <c r="N226" s="151"/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57"/>
      <c r="AA226" s="4"/>
      <c r="AB226" s="4"/>
      <c r="AC226" s="4"/>
    </row>
    <row r="227" customFormat="false" ht="15" hidden="false" customHeight="true" outlineLevel="0" collapsed="false">
      <c r="A227" s="85"/>
      <c r="B227" s="85"/>
      <c r="C227" s="85"/>
      <c r="D227" s="85"/>
      <c r="E227" s="85"/>
      <c r="F227" s="85"/>
      <c r="G227" s="85"/>
      <c r="H227" s="85"/>
      <c r="I227" s="138" t="str">
        <f aca="false">IFERROR(VLOOKUP(TEXT(H227,"0"),IPRESS!$A$3:$B$212,2,0),"")</f>
        <v/>
      </c>
      <c r="J227" s="85"/>
      <c r="K227" s="149"/>
      <c r="L227" s="85"/>
      <c r="M227" s="85"/>
      <c r="N227" s="151"/>
      <c r="O227" s="85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85"/>
      <c r="S227" s="85"/>
      <c r="T227" s="85"/>
      <c r="U227" s="85"/>
      <c r="V227" s="85"/>
      <c r="W227" s="85"/>
      <c r="X227" s="85"/>
      <c r="Y227" s="85"/>
      <c r="Z227" s="157"/>
      <c r="AA227" s="4"/>
      <c r="AB227" s="4"/>
      <c r="AC227" s="4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49"/>
      <c r="L228" s="85"/>
      <c r="M228" s="85"/>
      <c r="N228" s="151"/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57"/>
      <c r="AA228" s="4"/>
      <c r="AB228" s="4"/>
      <c r="AC228" s="4"/>
    </row>
    <row r="229" customFormat="false" ht="15" hidden="false" customHeight="true" outlineLevel="0" collapsed="false">
      <c r="A229" s="85"/>
      <c r="B229" s="85"/>
      <c r="C229" s="85"/>
      <c r="D229" s="85"/>
      <c r="E229" s="85"/>
      <c r="F229" s="85"/>
      <c r="G229" s="85"/>
      <c r="H229" s="85"/>
      <c r="I229" s="138" t="str">
        <f aca="false">IFERROR(VLOOKUP(TEXT(H229,"0"),IPRESS!$A$3:$B$212,2,0),"")</f>
        <v/>
      </c>
      <c r="J229" s="85"/>
      <c r="K229" s="149"/>
      <c r="L229" s="85"/>
      <c r="M229" s="85"/>
      <c r="N229" s="151"/>
      <c r="O229" s="85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85"/>
      <c r="S229" s="85"/>
      <c r="T229" s="85"/>
      <c r="U229" s="85"/>
      <c r="V229" s="85"/>
      <c r="W229" s="85"/>
      <c r="X229" s="85"/>
      <c r="Y229" s="85"/>
      <c r="Z229" s="157"/>
      <c r="AA229" s="4"/>
      <c r="AB229" s="4"/>
      <c r="AC229" s="4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49"/>
      <c r="L230" s="85"/>
      <c r="M230" s="85"/>
      <c r="N230" s="151"/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57"/>
      <c r="AA230" s="4"/>
      <c r="AB230" s="4"/>
      <c r="AC230" s="4"/>
    </row>
    <row r="231" customFormat="false" ht="15" hidden="false" customHeight="true" outlineLevel="0" collapsed="false">
      <c r="A231" s="85"/>
      <c r="B231" s="85"/>
      <c r="C231" s="85"/>
      <c r="D231" s="85"/>
      <c r="E231" s="85"/>
      <c r="F231" s="85"/>
      <c r="G231" s="85"/>
      <c r="H231" s="85"/>
      <c r="I231" s="138" t="str">
        <f aca="false">IFERROR(VLOOKUP(TEXT(H231,"0"),IPRESS!$A$3:$B$212,2,0),"")</f>
        <v/>
      </c>
      <c r="J231" s="85"/>
      <c r="K231" s="149"/>
      <c r="L231" s="85"/>
      <c r="M231" s="85"/>
      <c r="N231" s="151"/>
      <c r="O231" s="85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85"/>
      <c r="S231" s="85"/>
      <c r="T231" s="85"/>
      <c r="U231" s="85"/>
      <c r="V231" s="85"/>
      <c r="W231" s="85"/>
      <c r="X231" s="85"/>
      <c r="Y231" s="85"/>
      <c r="Z231" s="157"/>
      <c r="AA231" s="4"/>
      <c r="AB231" s="4"/>
      <c r="AC231" s="4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49"/>
      <c r="L232" s="85"/>
      <c r="M232" s="85"/>
      <c r="N232" s="151"/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57"/>
      <c r="AA232" s="4"/>
      <c r="AB232" s="4"/>
      <c r="AC232" s="4"/>
    </row>
    <row r="233" customFormat="false" ht="15" hidden="false" customHeight="true" outlineLevel="0" collapsed="false">
      <c r="A233" s="85"/>
      <c r="B233" s="85"/>
      <c r="C233" s="85"/>
      <c r="D233" s="85"/>
      <c r="E233" s="85"/>
      <c r="F233" s="85"/>
      <c r="G233" s="85"/>
      <c r="H233" s="85"/>
      <c r="I233" s="138" t="str">
        <f aca="false">IFERROR(VLOOKUP(TEXT(H233,"0"),IPRESS!$A$3:$B$212,2,0),"")</f>
        <v/>
      </c>
      <c r="J233" s="85"/>
      <c r="K233" s="149"/>
      <c r="L233" s="85"/>
      <c r="M233" s="85"/>
      <c r="N233" s="151"/>
      <c r="O233" s="85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85"/>
      <c r="S233" s="85"/>
      <c r="T233" s="85"/>
      <c r="U233" s="85"/>
      <c r="V233" s="85"/>
      <c r="W233" s="85"/>
      <c r="X233" s="85"/>
      <c r="Y233" s="85"/>
      <c r="Z233" s="157"/>
      <c r="AA233" s="4"/>
      <c r="AB233" s="4"/>
      <c r="AC233" s="4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49"/>
      <c r="L234" s="85"/>
      <c r="M234" s="85"/>
      <c r="N234" s="151"/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57"/>
      <c r="AA234" s="4"/>
      <c r="AB234" s="4"/>
      <c r="AC234" s="4"/>
    </row>
    <row r="235" customFormat="false" ht="15" hidden="false" customHeight="true" outlineLevel="0" collapsed="false">
      <c r="A235" s="85"/>
      <c r="B235" s="85"/>
      <c r="C235" s="85"/>
      <c r="D235" s="85"/>
      <c r="E235" s="85"/>
      <c r="F235" s="85"/>
      <c r="G235" s="85"/>
      <c r="H235" s="85"/>
      <c r="I235" s="138" t="str">
        <f aca="false">IFERROR(VLOOKUP(TEXT(H235,"0"),IPRESS!$A$3:$B$212,2,0),"")</f>
        <v/>
      </c>
      <c r="J235" s="85"/>
      <c r="K235" s="149"/>
      <c r="L235" s="85"/>
      <c r="M235" s="85"/>
      <c r="N235" s="151"/>
      <c r="O235" s="85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85"/>
      <c r="S235" s="85"/>
      <c r="T235" s="85"/>
      <c r="U235" s="85"/>
      <c r="V235" s="85"/>
      <c r="W235" s="85"/>
      <c r="X235" s="85"/>
      <c r="Y235" s="85"/>
      <c r="Z235" s="157"/>
      <c r="AA235" s="4"/>
      <c r="AB235" s="4"/>
      <c r="AC235" s="4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49"/>
      <c r="L236" s="85"/>
      <c r="M236" s="85"/>
      <c r="N236" s="151"/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57"/>
      <c r="AA236" s="4"/>
      <c r="AB236" s="4"/>
      <c r="AC236" s="4"/>
    </row>
    <row r="237" customFormat="false" ht="15" hidden="false" customHeight="true" outlineLevel="0" collapsed="false">
      <c r="A237" s="85"/>
      <c r="B237" s="85"/>
      <c r="C237" s="85"/>
      <c r="D237" s="85"/>
      <c r="E237" s="85"/>
      <c r="F237" s="85"/>
      <c r="G237" s="85"/>
      <c r="H237" s="85"/>
      <c r="I237" s="138" t="str">
        <f aca="false">IFERROR(VLOOKUP(TEXT(H237,"0"),IPRESS!$A$3:$B$212,2,0),"")</f>
        <v/>
      </c>
      <c r="J237" s="85"/>
      <c r="K237" s="149"/>
      <c r="L237" s="85"/>
      <c r="M237" s="85"/>
      <c r="N237" s="151"/>
      <c r="O237" s="85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85"/>
      <c r="S237" s="85"/>
      <c r="T237" s="85"/>
      <c r="U237" s="85"/>
      <c r="V237" s="85"/>
      <c r="W237" s="85"/>
      <c r="X237" s="85"/>
      <c r="Y237" s="85"/>
      <c r="Z237" s="157"/>
      <c r="AA237" s="4"/>
      <c r="AB237" s="4"/>
      <c r="AC237" s="4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49"/>
      <c r="L238" s="85"/>
      <c r="M238" s="85"/>
      <c r="N238" s="151"/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57"/>
      <c r="AA238" s="4"/>
      <c r="AB238" s="4"/>
      <c r="AC238" s="4"/>
    </row>
    <row r="239" customFormat="false" ht="15" hidden="false" customHeight="true" outlineLevel="0" collapsed="false">
      <c r="A239" s="85"/>
      <c r="B239" s="85"/>
      <c r="C239" s="85"/>
      <c r="D239" s="85"/>
      <c r="E239" s="85"/>
      <c r="F239" s="85"/>
      <c r="G239" s="85"/>
      <c r="H239" s="85"/>
      <c r="I239" s="138" t="str">
        <f aca="false">IFERROR(VLOOKUP(TEXT(H239,"0"),IPRESS!$A$3:$B$212,2,0),"")</f>
        <v/>
      </c>
      <c r="J239" s="85"/>
      <c r="K239" s="149"/>
      <c r="L239" s="85"/>
      <c r="M239" s="85"/>
      <c r="N239" s="151"/>
      <c r="O239" s="85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85"/>
      <c r="S239" s="85"/>
      <c r="T239" s="85"/>
      <c r="U239" s="85"/>
      <c r="V239" s="85"/>
      <c r="W239" s="85"/>
      <c r="X239" s="85"/>
      <c r="Y239" s="85"/>
      <c r="Z239" s="157"/>
      <c r="AA239" s="4"/>
      <c r="AB239" s="4"/>
      <c r="AC239" s="4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49"/>
      <c r="L240" s="85"/>
      <c r="M240" s="85"/>
      <c r="N240" s="151"/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57"/>
      <c r="AA240" s="4"/>
      <c r="AB240" s="4"/>
      <c r="AC240" s="4"/>
    </row>
    <row r="241" customFormat="false" ht="15" hidden="false" customHeight="true" outlineLevel="0" collapsed="false">
      <c r="A241" s="85"/>
      <c r="B241" s="85"/>
      <c r="C241" s="85"/>
      <c r="D241" s="85"/>
      <c r="E241" s="85"/>
      <c r="F241" s="85"/>
      <c r="G241" s="85"/>
      <c r="H241" s="85"/>
      <c r="I241" s="138" t="str">
        <f aca="false">IFERROR(VLOOKUP(TEXT(H241,"0"),IPRESS!$A$3:$B$212,2,0),"")</f>
        <v/>
      </c>
      <c r="J241" s="85"/>
      <c r="K241" s="149"/>
      <c r="L241" s="85"/>
      <c r="M241" s="85"/>
      <c r="N241" s="151"/>
      <c r="O241" s="85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85"/>
      <c r="S241" s="85"/>
      <c r="T241" s="85"/>
      <c r="U241" s="85"/>
      <c r="V241" s="85"/>
      <c r="W241" s="85"/>
      <c r="X241" s="85"/>
      <c r="Y241" s="85"/>
      <c r="Z241" s="157"/>
      <c r="AA241" s="4"/>
      <c r="AB241" s="4"/>
      <c r="AC241" s="4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49"/>
      <c r="L242" s="85"/>
      <c r="M242" s="85"/>
      <c r="N242" s="151"/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57"/>
      <c r="AA242" s="4"/>
      <c r="AB242" s="4"/>
      <c r="AC242" s="4"/>
    </row>
    <row r="243" customFormat="false" ht="15" hidden="false" customHeight="true" outlineLevel="0" collapsed="false">
      <c r="A243" s="85"/>
      <c r="B243" s="85"/>
      <c r="C243" s="85"/>
      <c r="D243" s="85"/>
      <c r="E243" s="85"/>
      <c r="F243" s="85"/>
      <c r="G243" s="85"/>
      <c r="H243" s="85"/>
      <c r="I243" s="138" t="str">
        <f aca="false">IFERROR(VLOOKUP(TEXT(H243,"0"),IPRESS!$A$3:$B$212,2,0),"")</f>
        <v/>
      </c>
      <c r="J243" s="85"/>
      <c r="K243" s="149"/>
      <c r="L243" s="85"/>
      <c r="M243" s="85"/>
      <c r="N243" s="151"/>
      <c r="O243" s="85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85"/>
      <c r="S243" s="85"/>
      <c r="T243" s="85"/>
      <c r="U243" s="85"/>
      <c r="V243" s="85"/>
      <c r="W243" s="85"/>
      <c r="X243" s="85"/>
      <c r="Y243" s="85"/>
      <c r="Z243" s="157"/>
      <c r="AA243" s="4"/>
      <c r="AB243" s="4"/>
      <c r="AC243" s="4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49"/>
      <c r="L244" s="85"/>
      <c r="M244" s="85"/>
      <c r="N244" s="151"/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57"/>
      <c r="AA244" s="4"/>
      <c r="AB244" s="4"/>
      <c r="AC244" s="4"/>
    </row>
    <row r="245" customFormat="false" ht="15" hidden="false" customHeight="true" outlineLevel="0" collapsed="false">
      <c r="A245" s="85"/>
      <c r="B245" s="85"/>
      <c r="C245" s="85"/>
      <c r="D245" s="85"/>
      <c r="E245" s="85"/>
      <c r="F245" s="85"/>
      <c r="G245" s="85"/>
      <c r="H245" s="85"/>
      <c r="I245" s="138" t="str">
        <f aca="false">IFERROR(VLOOKUP(TEXT(H245,"0"),IPRESS!$A$3:$B$212,2,0),"")</f>
        <v/>
      </c>
      <c r="J245" s="85"/>
      <c r="K245" s="149"/>
      <c r="L245" s="85"/>
      <c r="M245" s="85"/>
      <c r="N245" s="151"/>
      <c r="O245" s="85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85"/>
      <c r="S245" s="85"/>
      <c r="T245" s="85"/>
      <c r="U245" s="85"/>
      <c r="V245" s="85"/>
      <c r="W245" s="85"/>
      <c r="X245" s="85"/>
      <c r="Y245" s="85"/>
      <c r="Z245" s="157"/>
      <c r="AA245" s="4"/>
      <c r="AB245" s="4"/>
      <c r="AC245" s="4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49"/>
      <c r="L246" s="85"/>
      <c r="M246" s="85"/>
      <c r="N246" s="151"/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57"/>
      <c r="AA246" s="4"/>
      <c r="AB246" s="4"/>
      <c r="AC246" s="4"/>
    </row>
    <row r="247" customFormat="false" ht="15" hidden="false" customHeight="true" outlineLevel="0" collapsed="false">
      <c r="A247" s="85"/>
      <c r="B247" s="85"/>
      <c r="C247" s="85"/>
      <c r="D247" s="85"/>
      <c r="E247" s="85"/>
      <c r="F247" s="85"/>
      <c r="G247" s="85"/>
      <c r="H247" s="85"/>
      <c r="I247" s="138" t="str">
        <f aca="false">IFERROR(VLOOKUP(TEXT(H247,"0"),IPRESS!$A$3:$B$212,2,0),"")</f>
        <v/>
      </c>
      <c r="J247" s="85"/>
      <c r="K247" s="149"/>
      <c r="L247" s="85"/>
      <c r="M247" s="85"/>
      <c r="N247" s="151"/>
      <c r="O247" s="85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85"/>
      <c r="S247" s="85"/>
      <c r="T247" s="85"/>
      <c r="U247" s="85"/>
      <c r="V247" s="85"/>
      <c r="W247" s="85"/>
      <c r="X247" s="85"/>
      <c r="Y247" s="85"/>
      <c r="Z247" s="157"/>
      <c r="AA247" s="4"/>
      <c r="AB247" s="4"/>
      <c r="AC247" s="4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49"/>
      <c r="L248" s="85"/>
      <c r="M248" s="85"/>
      <c r="N248" s="151"/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57"/>
      <c r="AA248" s="4"/>
      <c r="AB248" s="4"/>
      <c r="AC248" s="4"/>
    </row>
    <row r="249" customFormat="false" ht="15" hidden="false" customHeight="true" outlineLevel="0" collapsed="false">
      <c r="A249" s="85"/>
      <c r="B249" s="85"/>
      <c r="C249" s="85"/>
      <c r="D249" s="85"/>
      <c r="E249" s="85"/>
      <c r="F249" s="85"/>
      <c r="G249" s="85"/>
      <c r="H249" s="85"/>
      <c r="I249" s="138" t="str">
        <f aca="false">IFERROR(VLOOKUP(TEXT(H249,"0"),IPRESS!$A$3:$B$212,2,0),"")</f>
        <v/>
      </c>
      <c r="J249" s="85"/>
      <c r="K249" s="149"/>
      <c r="L249" s="85"/>
      <c r="M249" s="85"/>
      <c r="N249" s="151"/>
      <c r="O249" s="85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85"/>
      <c r="S249" s="85"/>
      <c r="T249" s="85"/>
      <c r="U249" s="85"/>
      <c r="V249" s="85"/>
      <c r="W249" s="85"/>
      <c r="X249" s="85"/>
      <c r="Y249" s="85"/>
      <c r="Z249" s="157"/>
      <c r="AA249" s="4"/>
      <c r="AB249" s="4"/>
      <c r="AC249" s="4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49"/>
      <c r="L250" s="85"/>
      <c r="M250" s="85"/>
      <c r="N250" s="151"/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57"/>
      <c r="AA250" s="4"/>
      <c r="AB250" s="4"/>
      <c r="AC250" s="4"/>
    </row>
    <row r="251" customFormat="false" ht="15" hidden="false" customHeight="true" outlineLevel="0" collapsed="false">
      <c r="A251" s="85"/>
      <c r="B251" s="85"/>
      <c r="C251" s="85"/>
      <c r="D251" s="85"/>
      <c r="E251" s="85"/>
      <c r="F251" s="85"/>
      <c r="G251" s="85"/>
      <c r="H251" s="85"/>
      <c r="I251" s="138" t="str">
        <f aca="false">IFERROR(VLOOKUP(TEXT(H251,"0"),IPRESS!$A$3:$B$212,2,0),"")</f>
        <v/>
      </c>
      <c r="J251" s="85"/>
      <c r="K251" s="149"/>
      <c r="L251" s="85"/>
      <c r="M251" s="85"/>
      <c r="N251" s="151"/>
      <c r="O251" s="85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85"/>
      <c r="S251" s="85"/>
      <c r="T251" s="85"/>
      <c r="U251" s="85"/>
      <c r="V251" s="85"/>
      <c r="W251" s="85"/>
      <c r="X251" s="85"/>
      <c r="Y251" s="85"/>
      <c r="Z251" s="157"/>
      <c r="AA251" s="4"/>
      <c r="AB251" s="4"/>
      <c r="AC251" s="4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49"/>
      <c r="L252" s="85"/>
      <c r="M252" s="85"/>
      <c r="N252" s="151"/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57"/>
      <c r="AA252" s="4"/>
      <c r="AB252" s="4"/>
      <c r="AC252" s="4"/>
    </row>
    <row r="253" customFormat="false" ht="15" hidden="false" customHeight="true" outlineLevel="0" collapsed="false">
      <c r="A253" s="85"/>
      <c r="B253" s="85"/>
      <c r="C253" s="85"/>
      <c r="D253" s="85"/>
      <c r="E253" s="85"/>
      <c r="F253" s="85"/>
      <c r="G253" s="85"/>
      <c r="H253" s="85"/>
      <c r="I253" s="138" t="str">
        <f aca="false">IFERROR(VLOOKUP(TEXT(H253,"0"),IPRESS!$A$3:$B$212,2,0),"")</f>
        <v/>
      </c>
      <c r="J253" s="85"/>
      <c r="K253" s="149"/>
      <c r="L253" s="85"/>
      <c r="M253" s="85"/>
      <c r="N253" s="151"/>
      <c r="O253" s="85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85"/>
      <c r="S253" s="85"/>
      <c r="T253" s="85"/>
      <c r="U253" s="85"/>
      <c r="V253" s="85"/>
      <c r="W253" s="85"/>
      <c r="X253" s="85"/>
      <c r="Y253" s="85"/>
      <c r="Z253" s="157"/>
      <c r="AA253" s="4"/>
      <c r="AB253" s="4"/>
      <c r="AC253" s="4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49"/>
      <c r="L254" s="85"/>
      <c r="M254" s="85"/>
      <c r="N254" s="151"/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57"/>
      <c r="AA254" s="4"/>
      <c r="AB254" s="4"/>
      <c r="AC254" s="4"/>
    </row>
    <row r="255" customFormat="false" ht="15" hidden="false" customHeight="true" outlineLevel="0" collapsed="false">
      <c r="A255" s="85"/>
      <c r="B255" s="85"/>
      <c r="C255" s="85"/>
      <c r="D255" s="85"/>
      <c r="E255" s="85"/>
      <c r="F255" s="85"/>
      <c r="G255" s="85"/>
      <c r="H255" s="85"/>
      <c r="I255" s="138" t="str">
        <f aca="false">IFERROR(VLOOKUP(TEXT(H255,"0"),IPRESS!$A$3:$B$212,2,0),"")</f>
        <v/>
      </c>
      <c r="J255" s="85"/>
      <c r="K255" s="149"/>
      <c r="L255" s="85"/>
      <c r="M255" s="85"/>
      <c r="N255" s="151"/>
      <c r="O255" s="85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85"/>
      <c r="S255" s="85"/>
      <c r="T255" s="85"/>
      <c r="U255" s="85"/>
      <c r="V255" s="85"/>
      <c r="W255" s="85"/>
      <c r="X255" s="85"/>
      <c r="Y255" s="85"/>
      <c r="Z255" s="157"/>
      <c r="AA255" s="4"/>
      <c r="AB255" s="4"/>
      <c r="AC255" s="4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49"/>
      <c r="L256" s="85"/>
      <c r="M256" s="85"/>
      <c r="N256" s="151"/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57"/>
      <c r="AA256" s="4"/>
      <c r="AB256" s="4"/>
      <c r="AC256" s="4"/>
    </row>
    <row r="257" customFormat="false" ht="15" hidden="false" customHeight="true" outlineLevel="0" collapsed="false">
      <c r="A257" s="85"/>
      <c r="B257" s="85"/>
      <c r="C257" s="85"/>
      <c r="D257" s="85"/>
      <c r="E257" s="85"/>
      <c r="F257" s="85"/>
      <c r="G257" s="85"/>
      <c r="H257" s="85"/>
      <c r="I257" s="138" t="str">
        <f aca="false">IFERROR(VLOOKUP(TEXT(H257,"0"),IPRESS!$A$3:$B$212,2,0),"")</f>
        <v/>
      </c>
      <c r="J257" s="85"/>
      <c r="K257" s="149"/>
      <c r="L257" s="85"/>
      <c r="M257" s="85"/>
      <c r="N257" s="151"/>
      <c r="O257" s="85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85"/>
      <c r="S257" s="85"/>
      <c r="T257" s="85"/>
      <c r="U257" s="85"/>
      <c r="V257" s="85"/>
      <c r="W257" s="85"/>
      <c r="X257" s="85"/>
      <c r="Y257" s="85"/>
      <c r="Z257" s="157"/>
      <c r="AA257" s="4"/>
      <c r="AB257" s="4"/>
      <c r="AC257" s="4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49"/>
      <c r="L258" s="85"/>
      <c r="M258" s="85"/>
      <c r="N258" s="151"/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57"/>
      <c r="AA258" s="4"/>
      <c r="AB258" s="4"/>
      <c r="AC258" s="4"/>
    </row>
    <row r="259" customFormat="false" ht="15" hidden="false" customHeight="true" outlineLevel="0" collapsed="false">
      <c r="A259" s="85"/>
      <c r="B259" s="85"/>
      <c r="C259" s="85"/>
      <c r="D259" s="85"/>
      <c r="E259" s="85"/>
      <c r="F259" s="85"/>
      <c r="G259" s="85"/>
      <c r="H259" s="85"/>
      <c r="I259" s="138" t="str">
        <f aca="false">IFERROR(VLOOKUP(TEXT(H259,"0"),IPRESS!$A$3:$B$212,2,0),"")</f>
        <v/>
      </c>
      <c r="J259" s="85"/>
      <c r="K259" s="149"/>
      <c r="L259" s="85"/>
      <c r="M259" s="85"/>
      <c r="N259" s="151"/>
      <c r="O259" s="85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85"/>
      <c r="S259" s="85"/>
      <c r="T259" s="85"/>
      <c r="U259" s="85"/>
      <c r="V259" s="85"/>
      <c r="W259" s="85"/>
      <c r="X259" s="85"/>
      <c r="Y259" s="85"/>
      <c r="Z259" s="157"/>
      <c r="AA259" s="4"/>
      <c r="AB259" s="4"/>
      <c r="AC259" s="4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49"/>
      <c r="L260" s="85"/>
      <c r="M260" s="85"/>
      <c r="N260" s="151"/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57"/>
      <c r="AA260" s="4"/>
      <c r="AB260" s="4"/>
      <c r="AC260" s="4"/>
    </row>
    <row r="261" customFormat="false" ht="15" hidden="false" customHeight="true" outlineLevel="0" collapsed="false">
      <c r="A261" s="85"/>
      <c r="B261" s="85"/>
      <c r="C261" s="85"/>
      <c r="D261" s="85"/>
      <c r="E261" s="85"/>
      <c r="F261" s="85"/>
      <c r="G261" s="85"/>
      <c r="H261" s="85"/>
      <c r="I261" s="138" t="str">
        <f aca="false">IFERROR(VLOOKUP(TEXT(H261,"0"),IPRESS!$A$3:$B$212,2,0),"")</f>
        <v/>
      </c>
      <c r="J261" s="85"/>
      <c r="K261" s="149"/>
      <c r="L261" s="85"/>
      <c r="M261" s="85"/>
      <c r="N261" s="151"/>
      <c r="O261" s="85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85"/>
      <c r="S261" s="85"/>
      <c r="T261" s="85"/>
      <c r="U261" s="85"/>
      <c r="V261" s="85"/>
      <c r="W261" s="85"/>
      <c r="X261" s="85"/>
      <c r="Y261" s="85"/>
      <c r="Z261" s="157"/>
      <c r="AA261" s="4"/>
      <c r="AB261" s="4"/>
      <c r="AC261" s="4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49"/>
      <c r="L262" s="85"/>
      <c r="M262" s="85"/>
      <c r="N262" s="151"/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57"/>
      <c r="AA262" s="4"/>
      <c r="AB262" s="4"/>
      <c r="AC262" s="4"/>
    </row>
    <row r="263" customFormat="false" ht="15" hidden="false" customHeight="true" outlineLevel="0" collapsed="false">
      <c r="A263" s="85"/>
      <c r="B263" s="85"/>
      <c r="C263" s="85"/>
      <c r="D263" s="85"/>
      <c r="E263" s="85"/>
      <c r="F263" s="85"/>
      <c r="G263" s="85"/>
      <c r="H263" s="85"/>
      <c r="I263" s="138" t="str">
        <f aca="false">IFERROR(VLOOKUP(TEXT(H263,"0"),IPRESS!$A$3:$B$212,2,0),"")</f>
        <v/>
      </c>
      <c r="J263" s="85"/>
      <c r="K263" s="149"/>
      <c r="L263" s="85"/>
      <c r="M263" s="85"/>
      <c r="N263" s="151"/>
      <c r="O263" s="85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85"/>
      <c r="S263" s="85"/>
      <c r="T263" s="85"/>
      <c r="U263" s="85"/>
      <c r="V263" s="85"/>
      <c r="W263" s="85"/>
      <c r="X263" s="85"/>
      <c r="Y263" s="85"/>
      <c r="Z263" s="157"/>
      <c r="AA263" s="4"/>
      <c r="AB263" s="4"/>
      <c r="AC263" s="4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49"/>
      <c r="L264" s="85"/>
      <c r="M264" s="85"/>
      <c r="N264" s="151"/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57"/>
      <c r="AA264" s="4"/>
      <c r="AB264" s="4"/>
      <c r="AC264" s="4"/>
    </row>
    <row r="265" customFormat="false" ht="15" hidden="false" customHeight="true" outlineLevel="0" collapsed="false">
      <c r="A265" s="85"/>
      <c r="B265" s="85"/>
      <c r="C265" s="85"/>
      <c r="D265" s="85"/>
      <c r="E265" s="85"/>
      <c r="F265" s="85"/>
      <c r="G265" s="85"/>
      <c r="H265" s="85"/>
      <c r="I265" s="138" t="str">
        <f aca="false">IFERROR(VLOOKUP(TEXT(H265,"0"),IPRESS!$A$3:$B$212,2,0),"")</f>
        <v/>
      </c>
      <c r="J265" s="85"/>
      <c r="K265" s="149"/>
      <c r="L265" s="85"/>
      <c r="M265" s="85"/>
      <c r="N265" s="151"/>
      <c r="O265" s="85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85"/>
      <c r="S265" s="85"/>
      <c r="T265" s="85"/>
      <c r="U265" s="85"/>
      <c r="V265" s="85"/>
      <c r="W265" s="85"/>
      <c r="X265" s="85"/>
      <c r="Y265" s="85"/>
      <c r="Z265" s="157"/>
      <c r="AA265" s="4"/>
      <c r="AB265" s="4"/>
      <c r="AC265" s="4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49"/>
      <c r="L266" s="85"/>
      <c r="M266" s="85"/>
      <c r="N266" s="151"/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57"/>
      <c r="AA266" s="4"/>
      <c r="AB266" s="4"/>
      <c r="AC266" s="4"/>
    </row>
    <row r="267" customFormat="false" ht="15" hidden="false" customHeight="true" outlineLevel="0" collapsed="false">
      <c r="A267" s="85"/>
      <c r="B267" s="85"/>
      <c r="C267" s="85"/>
      <c r="D267" s="85"/>
      <c r="E267" s="85"/>
      <c r="F267" s="85"/>
      <c r="G267" s="85"/>
      <c r="H267" s="85"/>
      <c r="I267" s="138" t="str">
        <f aca="false">IFERROR(VLOOKUP(TEXT(H267,"0"),IPRESS!$A$3:$B$212,2,0),"")</f>
        <v/>
      </c>
      <c r="J267" s="85"/>
      <c r="K267" s="149"/>
      <c r="L267" s="85"/>
      <c r="M267" s="85"/>
      <c r="N267" s="151"/>
      <c r="O267" s="85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85"/>
      <c r="S267" s="85"/>
      <c r="T267" s="85"/>
      <c r="U267" s="85"/>
      <c r="V267" s="85"/>
      <c r="W267" s="85"/>
      <c r="X267" s="85"/>
      <c r="Y267" s="85"/>
      <c r="Z267" s="157"/>
      <c r="AA267" s="4"/>
      <c r="AB267" s="4"/>
      <c r="AC267" s="4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49"/>
      <c r="L268" s="85"/>
      <c r="M268" s="85"/>
      <c r="N268" s="151"/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57"/>
      <c r="AA268" s="4"/>
      <c r="AB268" s="4"/>
      <c r="AC268" s="4"/>
    </row>
    <row r="269" customFormat="false" ht="15" hidden="false" customHeight="true" outlineLevel="0" collapsed="false">
      <c r="A269" s="85"/>
      <c r="B269" s="85"/>
      <c r="C269" s="85"/>
      <c r="D269" s="85"/>
      <c r="E269" s="85"/>
      <c r="F269" s="85"/>
      <c r="G269" s="85"/>
      <c r="H269" s="85"/>
      <c r="I269" s="138" t="str">
        <f aca="false">IFERROR(VLOOKUP(TEXT(H269,"0"),IPRESS!$A$3:$B$212,2,0),"")</f>
        <v/>
      </c>
      <c r="J269" s="85"/>
      <c r="K269" s="149"/>
      <c r="L269" s="85"/>
      <c r="M269" s="85"/>
      <c r="N269" s="151"/>
      <c r="O269" s="85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85"/>
      <c r="S269" s="85"/>
      <c r="T269" s="85"/>
      <c r="U269" s="85"/>
      <c r="V269" s="85"/>
      <c r="W269" s="85"/>
      <c r="X269" s="85"/>
      <c r="Y269" s="85"/>
      <c r="Z269" s="157"/>
      <c r="AA269" s="4"/>
      <c r="AB269" s="4"/>
      <c r="AC269" s="4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49"/>
      <c r="L270" s="85"/>
      <c r="M270" s="85"/>
      <c r="N270" s="151"/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57"/>
      <c r="AA270" s="4"/>
      <c r="AB270" s="4"/>
      <c r="AC270" s="4"/>
    </row>
    <row r="271" customFormat="false" ht="15" hidden="false" customHeight="true" outlineLevel="0" collapsed="false">
      <c r="A271" s="85"/>
      <c r="B271" s="85"/>
      <c r="C271" s="85"/>
      <c r="D271" s="85"/>
      <c r="E271" s="85"/>
      <c r="F271" s="85"/>
      <c r="G271" s="85"/>
      <c r="H271" s="85"/>
      <c r="I271" s="138" t="str">
        <f aca="false">IFERROR(VLOOKUP(TEXT(H271,"0"),IPRESS!$A$3:$B$212,2,0),"")</f>
        <v/>
      </c>
      <c r="J271" s="85"/>
      <c r="K271" s="149"/>
      <c r="L271" s="85"/>
      <c r="M271" s="85"/>
      <c r="N271" s="151"/>
      <c r="O271" s="85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85"/>
      <c r="S271" s="85"/>
      <c r="T271" s="85"/>
      <c r="U271" s="85"/>
      <c r="V271" s="85"/>
      <c r="W271" s="85"/>
      <c r="X271" s="85"/>
      <c r="Y271" s="85"/>
      <c r="Z271" s="157"/>
      <c r="AA271" s="4"/>
      <c r="AB271" s="4"/>
      <c r="AC271" s="4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49"/>
      <c r="L272" s="85"/>
      <c r="M272" s="85"/>
      <c r="N272" s="151"/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57"/>
      <c r="AA272" s="4"/>
      <c r="AB272" s="4"/>
      <c r="AC272" s="4"/>
    </row>
    <row r="273" customFormat="false" ht="15" hidden="false" customHeight="true" outlineLevel="0" collapsed="false">
      <c r="A273" s="85"/>
      <c r="B273" s="85"/>
      <c r="C273" s="85"/>
      <c r="D273" s="85"/>
      <c r="E273" s="85"/>
      <c r="F273" s="85"/>
      <c r="G273" s="85"/>
      <c r="H273" s="85"/>
      <c r="I273" s="138" t="str">
        <f aca="false">IFERROR(VLOOKUP(TEXT(H273,"0"),IPRESS!$A$3:$B$212,2,0),"")</f>
        <v/>
      </c>
      <c r="J273" s="85"/>
      <c r="K273" s="149"/>
      <c r="L273" s="85"/>
      <c r="M273" s="85"/>
      <c r="N273" s="151"/>
      <c r="O273" s="85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85"/>
      <c r="S273" s="85"/>
      <c r="T273" s="85"/>
      <c r="U273" s="85"/>
      <c r="V273" s="85"/>
      <c r="W273" s="85"/>
      <c r="X273" s="85"/>
      <c r="Y273" s="85"/>
      <c r="Z273" s="157"/>
      <c r="AA273" s="4"/>
      <c r="AB273" s="4"/>
      <c r="AC273" s="4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49"/>
      <c r="L274" s="85"/>
      <c r="M274" s="85"/>
      <c r="N274" s="151"/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57"/>
      <c r="AA274" s="4"/>
      <c r="AB274" s="4"/>
      <c r="AC274" s="4"/>
    </row>
    <row r="275" customFormat="false" ht="15" hidden="false" customHeight="true" outlineLevel="0" collapsed="false">
      <c r="A275" s="85"/>
      <c r="B275" s="85"/>
      <c r="C275" s="85"/>
      <c r="D275" s="85"/>
      <c r="E275" s="85"/>
      <c r="F275" s="85"/>
      <c r="G275" s="85"/>
      <c r="H275" s="85"/>
      <c r="I275" s="138" t="str">
        <f aca="false">IFERROR(VLOOKUP(TEXT(H275,"0"),IPRESS!$A$3:$B$212,2,0),"")</f>
        <v/>
      </c>
      <c r="J275" s="85"/>
      <c r="K275" s="149"/>
      <c r="L275" s="85"/>
      <c r="M275" s="85"/>
      <c r="N275" s="151"/>
      <c r="O275" s="85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85"/>
      <c r="S275" s="85"/>
      <c r="T275" s="85"/>
      <c r="U275" s="85"/>
      <c r="V275" s="85"/>
      <c r="W275" s="85"/>
      <c r="X275" s="85"/>
      <c r="Y275" s="85"/>
      <c r="Z275" s="157"/>
      <c r="AA275" s="4"/>
      <c r="AB275" s="4"/>
      <c r="AC275" s="4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49"/>
      <c r="L276" s="85"/>
      <c r="M276" s="85"/>
      <c r="N276" s="151"/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57"/>
      <c r="AA276" s="4"/>
      <c r="AB276" s="4"/>
      <c r="AC276" s="4"/>
    </row>
    <row r="277" customFormat="false" ht="15" hidden="false" customHeight="true" outlineLevel="0" collapsed="false">
      <c r="A277" s="85"/>
      <c r="B277" s="85"/>
      <c r="C277" s="85"/>
      <c r="D277" s="85"/>
      <c r="E277" s="85"/>
      <c r="F277" s="85"/>
      <c r="G277" s="85"/>
      <c r="H277" s="85"/>
      <c r="I277" s="138" t="str">
        <f aca="false">IFERROR(VLOOKUP(TEXT(H277,"0"),IPRESS!$A$3:$B$212,2,0),"")</f>
        <v/>
      </c>
      <c r="J277" s="85"/>
      <c r="K277" s="149"/>
      <c r="L277" s="85"/>
      <c r="M277" s="85"/>
      <c r="N277" s="151"/>
      <c r="O277" s="85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85"/>
      <c r="S277" s="85"/>
      <c r="T277" s="85"/>
      <c r="U277" s="85"/>
      <c r="V277" s="85"/>
      <c r="W277" s="85"/>
      <c r="X277" s="85"/>
      <c r="Y277" s="85"/>
      <c r="Z277" s="157"/>
      <c r="AA277" s="4"/>
      <c r="AB277" s="4"/>
      <c r="AC277" s="4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49"/>
      <c r="L278" s="85"/>
      <c r="M278" s="85"/>
      <c r="N278" s="151"/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57"/>
      <c r="AA278" s="4"/>
      <c r="AB278" s="4"/>
      <c r="AC278" s="4"/>
    </row>
    <row r="279" customFormat="false" ht="15" hidden="false" customHeight="true" outlineLevel="0" collapsed="false">
      <c r="A279" s="85"/>
      <c r="B279" s="85"/>
      <c r="C279" s="85"/>
      <c r="D279" s="85"/>
      <c r="E279" s="85"/>
      <c r="F279" s="85"/>
      <c r="G279" s="85"/>
      <c r="H279" s="85"/>
      <c r="I279" s="138" t="str">
        <f aca="false">IFERROR(VLOOKUP(TEXT(H279,"0"),IPRESS!$A$3:$B$212,2,0),"")</f>
        <v/>
      </c>
      <c r="J279" s="85"/>
      <c r="K279" s="149"/>
      <c r="L279" s="85"/>
      <c r="M279" s="85"/>
      <c r="N279" s="151"/>
      <c r="O279" s="85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85"/>
      <c r="S279" s="85"/>
      <c r="T279" s="85"/>
      <c r="U279" s="85"/>
      <c r="V279" s="85"/>
      <c r="W279" s="85"/>
      <c r="X279" s="85"/>
      <c r="Y279" s="85"/>
      <c r="Z279" s="157"/>
      <c r="AA279" s="4"/>
      <c r="AB279" s="4"/>
      <c r="AC279" s="4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49"/>
      <c r="L280" s="85"/>
      <c r="M280" s="85"/>
      <c r="N280" s="151"/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57"/>
      <c r="AA280" s="4"/>
      <c r="AB280" s="4"/>
      <c r="AC280" s="4"/>
    </row>
    <row r="281" customFormat="false" ht="15" hidden="false" customHeight="true" outlineLevel="0" collapsed="false">
      <c r="A281" s="85"/>
      <c r="B281" s="85"/>
      <c r="C281" s="85"/>
      <c r="D281" s="85"/>
      <c r="E281" s="85"/>
      <c r="F281" s="85"/>
      <c r="G281" s="85"/>
      <c r="H281" s="85"/>
      <c r="I281" s="138" t="str">
        <f aca="false">IFERROR(VLOOKUP(TEXT(H281,"0"),IPRESS!$A$3:$B$212,2,0),"")</f>
        <v/>
      </c>
      <c r="J281" s="85"/>
      <c r="K281" s="149"/>
      <c r="L281" s="85"/>
      <c r="M281" s="85"/>
      <c r="N281" s="151"/>
      <c r="O281" s="85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85"/>
      <c r="S281" s="85"/>
      <c r="T281" s="85"/>
      <c r="U281" s="85"/>
      <c r="V281" s="85"/>
      <c r="W281" s="85"/>
      <c r="X281" s="85"/>
      <c r="Y281" s="85"/>
      <c r="Z281" s="157"/>
      <c r="AA281" s="4"/>
      <c r="AB281" s="4"/>
      <c r="AC281" s="4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49"/>
      <c r="L282" s="85"/>
      <c r="M282" s="85"/>
      <c r="N282" s="151"/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57"/>
      <c r="AA282" s="4"/>
      <c r="AB282" s="4"/>
      <c r="AC282" s="4"/>
    </row>
    <row r="283" customFormat="false" ht="15" hidden="false" customHeight="true" outlineLevel="0" collapsed="false">
      <c r="A283" s="85"/>
      <c r="B283" s="85"/>
      <c r="C283" s="85"/>
      <c r="D283" s="85"/>
      <c r="E283" s="85"/>
      <c r="F283" s="85"/>
      <c r="G283" s="85"/>
      <c r="H283" s="85"/>
      <c r="I283" s="138" t="str">
        <f aca="false">IFERROR(VLOOKUP(TEXT(H283,"0"),IPRESS!$A$3:$B$212,2,0),"")</f>
        <v/>
      </c>
      <c r="J283" s="85"/>
      <c r="K283" s="149"/>
      <c r="L283" s="85"/>
      <c r="M283" s="85"/>
      <c r="N283" s="151"/>
      <c r="O283" s="85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85"/>
      <c r="S283" s="85"/>
      <c r="T283" s="85"/>
      <c r="U283" s="85"/>
      <c r="V283" s="85"/>
      <c r="W283" s="85"/>
      <c r="X283" s="85"/>
      <c r="Y283" s="85"/>
      <c r="Z283" s="157"/>
      <c r="AA283" s="4"/>
      <c r="AB283" s="4"/>
      <c r="AC283" s="4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49"/>
      <c r="L284" s="85"/>
      <c r="M284" s="85"/>
      <c r="N284" s="151"/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57"/>
      <c r="AA284" s="4"/>
      <c r="AB284" s="4"/>
      <c r="AC284" s="4"/>
    </row>
    <row r="285" customFormat="false" ht="15" hidden="false" customHeight="true" outlineLevel="0" collapsed="false">
      <c r="A285" s="85"/>
      <c r="B285" s="85"/>
      <c r="C285" s="85"/>
      <c r="D285" s="85"/>
      <c r="E285" s="85"/>
      <c r="F285" s="85"/>
      <c r="G285" s="85"/>
      <c r="H285" s="85"/>
      <c r="I285" s="138" t="str">
        <f aca="false">IFERROR(VLOOKUP(TEXT(H285,"0"),IPRESS!$A$3:$B$212,2,0),"")</f>
        <v/>
      </c>
      <c r="J285" s="85"/>
      <c r="K285" s="149"/>
      <c r="L285" s="85"/>
      <c r="M285" s="85"/>
      <c r="N285" s="151"/>
      <c r="O285" s="85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85"/>
      <c r="S285" s="85"/>
      <c r="T285" s="85"/>
      <c r="U285" s="85"/>
      <c r="V285" s="85"/>
      <c r="W285" s="85"/>
      <c r="X285" s="85"/>
      <c r="Y285" s="85"/>
      <c r="Z285" s="157"/>
      <c r="AA285" s="4"/>
      <c r="AB285" s="4"/>
      <c r="AC285" s="4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49"/>
      <c r="L286" s="85"/>
      <c r="M286" s="85"/>
      <c r="N286" s="151"/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57"/>
      <c r="AA286" s="4"/>
      <c r="AB286" s="4"/>
      <c r="AC286" s="4"/>
    </row>
    <row r="287" customFormat="false" ht="15" hidden="false" customHeight="true" outlineLevel="0" collapsed="false">
      <c r="A287" s="85"/>
      <c r="B287" s="85"/>
      <c r="C287" s="85"/>
      <c r="D287" s="85"/>
      <c r="E287" s="85"/>
      <c r="F287" s="85"/>
      <c r="G287" s="85"/>
      <c r="H287" s="85"/>
      <c r="I287" s="138" t="str">
        <f aca="false">IFERROR(VLOOKUP(TEXT(H287,"0"),IPRESS!$A$3:$B$212,2,0),"")</f>
        <v/>
      </c>
      <c r="J287" s="85"/>
      <c r="K287" s="149"/>
      <c r="L287" s="85"/>
      <c r="M287" s="85"/>
      <c r="N287" s="151"/>
      <c r="O287" s="85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85"/>
      <c r="S287" s="85"/>
      <c r="T287" s="85"/>
      <c r="U287" s="85"/>
      <c r="V287" s="85"/>
      <c r="W287" s="85"/>
      <c r="X287" s="85"/>
      <c r="Y287" s="85"/>
      <c r="Z287" s="157"/>
      <c r="AA287" s="4"/>
      <c r="AB287" s="4"/>
      <c r="AC287" s="4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49"/>
      <c r="L288" s="85"/>
      <c r="M288" s="85"/>
      <c r="N288" s="151"/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57"/>
      <c r="AA288" s="4"/>
      <c r="AB288" s="4"/>
      <c r="AC288" s="4"/>
    </row>
    <row r="289" customFormat="false" ht="15" hidden="false" customHeight="true" outlineLevel="0" collapsed="false">
      <c r="A289" s="85"/>
      <c r="B289" s="85"/>
      <c r="C289" s="85"/>
      <c r="D289" s="85"/>
      <c r="E289" s="85"/>
      <c r="F289" s="85"/>
      <c r="G289" s="85"/>
      <c r="H289" s="85"/>
      <c r="I289" s="138" t="str">
        <f aca="false">IFERROR(VLOOKUP(TEXT(H289,"0"),IPRESS!$A$3:$B$212,2,0),"")</f>
        <v/>
      </c>
      <c r="J289" s="85"/>
      <c r="K289" s="149"/>
      <c r="L289" s="85"/>
      <c r="M289" s="85"/>
      <c r="N289" s="151"/>
      <c r="O289" s="85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85"/>
      <c r="S289" s="85"/>
      <c r="T289" s="85"/>
      <c r="U289" s="85"/>
      <c r="V289" s="85"/>
      <c r="W289" s="85"/>
      <c r="X289" s="85"/>
      <c r="Y289" s="85"/>
      <c r="Z289" s="157"/>
      <c r="AA289" s="4"/>
      <c r="AB289" s="4"/>
      <c r="AC289" s="4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49"/>
      <c r="L290" s="85"/>
      <c r="M290" s="85"/>
      <c r="N290" s="151"/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57"/>
      <c r="AA290" s="4"/>
      <c r="AB290" s="4"/>
      <c r="AC290" s="4"/>
    </row>
    <row r="291" customFormat="false" ht="15" hidden="false" customHeight="true" outlineLevel="0" collapsed="false">
      <c r="A291" s="85"/>
      <c r="B291" s="85"/>
      <c r="C291" s="85"/>
      <c r="D291" s="85"/>
      <c r="E291" s="85"/>
      <c r="F291" s="85"/>
      <c r="G291" s="85"/>
      <c r="H291" s="85"/>
      <c r="I291" s="138" t="str">
        <f aca="false">IFERROR(VLOOKUP(TEXT(H291,"0"),IPRESS!$A$3:$B$212,2,0),"")</f>
        <v/>
      </c>
      <c r="J291" s="85"/>
      <c r="K291" s="149"/>
      <c r="L291" s="85"/>
      <c r="M291" s="85"/>
      <c r="N291" s="151"/>
      <c r="O291" s="85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85"/>
      <c r="S291" s="85"/>
      <c r="T291" s="85"/>
      <c r="U291" s="85"/>
      <c r="V291" s="85"/>
      <c r="W291" s="85"/>
      <c r="X291" s="85"/>
      <c r="Y291" s="85"/>
      <c r="Z291" s="157"/>
      <c r="AA291" s="4"/>
      <c r="AB291" s="4"/>
      <c r="AC291" s="4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49"/>
      <c r="L292" s="85"/>
      <c r="M292" s="85"/>
      <c r="N292" s="151"/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57"/>
      <c r="AA292" s="4"/>
      <c r="AB292" s="4"/>
      <c r="AC292" s="4"/>
    </row>
    <row r="293" customFormat="false" ht="15" hidden="false" customHeight="true" outlineLevel="0" collapsed="false">
      <c r="A293" s="85"/>
      <c r="B293" s="85"/>
      <c r="C293" s="85"/>
      <c r="D293" s="85"/>
      <c r="E293" s="85"/>
      <c r="F293" s="85"/>
      <c r="G293" s="85"/>
      <c r="H293" s="85"/>
      <c r="I293" s="138" t="str">
        <f aca="false">IFERROR(VLOOKUP(TEXT(H293,"0"),IPRESS!$A$3:$B$212,2,0),"")</f>
        <v/>
      </c>
      <c r="J293" s="85"/>
      <c r="K293" s="149"/>
      <c r="L293" s="85"/>
      <c r="M293" s="85"/>
      <c r="N293" s="151"/>
      <c r="O293" s="85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85"/>
      <c r="S293" s="85"/>
      <c r="T293" s="85"/>
      <c r="U293" s="85"/>
      <c r="V293" s="85"/>
      <c r="W293" s="85"/>
      <c r="X293" s="85"/>
      <c r="Y293" s="85"/>
      <c r="Z293" s="157"/>
      <c r="AA293" s="4"/>
      <c r="AB293" s="4"/>
      <c r="AC293" s="4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49"/>
      <c r="L294" s="85"/>
      <c r="M294" s="85"/>
      <c r="N294" s="151"/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57"/>
      <c r="AA294" s="4"/>
      <c r="AB294" s="4"/>
      <c r="AC294" s="4"/>
    </row>
    <row r="295" customFormat="false" ht="15" hidden="false" customHeight="true" outlineLevel="0" collapsed="false">
      <c r="A295" s="85"/>
      <c r="B295" s="85"/>
      <c r="C295" s="85"/>
      <c r="D295" s="85"/>
      <c r="E295" s="85"/>
      <c r="F295" s="85"/>
      <c r="G295" s="85"/>
      <c r="H295" s="85"/>
      <c r="I295" s="138" t="str">
        <f aca="false">IFERROR(VLOOKUP(TEXT(H295,"0"),IPRESS!$A$3:$B$212,2,0),"")</f>
        <v/>
      </c>
      <c r="J295" s="85"/>
      <c r="K295" s="149"/>
      <c r="L295" s="85"/>
      <c r="M295" s="85"/>
      <c r="N295" s="151"/>
      <c r="O295" s="85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85"/>
      <c r="S295" s="85"/>
      <c r="T295" s="85"/>
      <c r="U295" s="85"/>
      <c r="V295" s="85"/>
      <c r="W295" s="85"/>
      <c r="X295" s="85"/>
      <c r="Y295" s="85"/>
      <c r="Z295" s="157"/>
      <c r="AA295" s="4"/>
      <c r="AB295" s="4"/>
      <c r="AC295" s="4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49"/>
      <c r="L296" s="85"/>
      <c r="M296" s="85"/>
      <c r="N296" s="151"/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57"/>
      <c r="AA296" s="4"/>
      <c r="AB296" s="4"/>
      <c r="AC296" s="4"/>
    </row>
    <row r="297" customFormat="false" ht="15" hidden="false" customHeight="true" outlineLevel="0" collapsed="false">
      <c r="A297" s="85"/>
      <c r="B297" s="85"/>
      <c r="C297" s="85"/>
      <c r="D297" s="85"/>
      <c r="E297" s="85"/>
      <c r="F297" s="85"/>
      <c r="G297" s="85"/>
      <c r="H297" s="85"/>
      <c r="I297" s="138" t="str">
        <f aca="false">IFERROR(VLOOKUP(TEXT(H297,"0"),IPRESS!$A$3:$B$212,2,0),"")</f>
        <v/>
      </c>
      <c r="J297" s="85"/>
      <c r="K297" s="149"/>
      <c r="L297" s="85"/>
      <c r="M297" s="85"/>
      <c r="N297" s="151"/>
      <c r="O297" s="85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85"/>
      <c r="S297" s="85"/>
      <c r="T297" s="85"/>
      <c r="U297" s="85"/>
      <c r="V297" s="85"/>
      <c r="W297" s="85"/>
      <c r="X297" s="85"/>
      <c r="Y297" s="85"/>
      <c r="Z297" s="157"/>
      <c r="AA297" s="4"/>
      <c r="AB297" s="4"/>
      <c r="AC297" s="4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49"/>
      <c r="L298" s="85"/>
      <c r="M298" s="85"/>
      <c r="N298" s="151"/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57"/>
      <c r="AA298" s="4"/>
      <c r="AB298" s="4"/>
      <c r="AC298" s="4"/>
    </row>
    <row r="299" customFormat="false" ht="15" hidden="false" customHeight="true" outlineLevel="0" collapsed="false">
      <c r="A299" s="85"/>
      <c r="B299" s="85"/>
      <c r="C299" s="85"/>
      <c r="D299" s="85"/>
      <c r="E299" s="85"/>
      <c r="F299" s="85"/>
      <c r="G299" s="85"/>
      <c r="H299" s="85"/>
      <c r="I299" s="138" t="str">
        <f aca="false">IFERROR(VLOOKUP(TEXT(H299,"0"),IPRESS!$A$3:$B$212,2,0),"")</f>
        <v/>
      </c>
      <c r="J299" s="85"/>
      <c r="K299" s="149"/>
      <c r="L299" s="85"/>
      <c r="M299" s="85"/>
      <c r="N299" s="151"/>
      <c r="O299" s="85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85"/>
      <c r="S299" s="85"/>
      <c r="T299" s="85"/>
      <c r="U299" s="85"/>
      <c r="V299" s="85"/>
      <c r="W299" s="85"/>
      <c r="X299" s="85"/>
      <c r="Y299" s="85"/>
      <c r="Z299" s="157"/>
      <c r="AA299" s="4"/>
      <c r="AB299" s="4"/>
      <c r="AC299" s="4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49"/>
      <c r="L300" s="85"/>
      <c r="M300" s="85"/>
      <c r="N300" s="151"/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57"/>
      <c r="AA300" s="4"/>
      <c r="AB300" s="4"/>
      <c r="AC300" s="4"/>
    </row>
    <row r="301" customFormat="false" ht="15" hidden="false" customHeight="true" outlineLevel="0" collapsed="false">
      <c r="A301" s="85"/>
      <c r="B301" s="85"/>
      <c r="C301" s="85"/>
      <c r="D301" s="85"/>
      <c r="E301" s="85"/>
      <c r="F301" s="85"/>
      <c r="G301" s="85"/>
      <c r="H301" s="85"/>
      <c r="I301" s="138" t="str">
        <f aca="false">IFERROR(VLOOKUP(TEXT(H301,"0"),IPRESS!$A$3:$B$212,2,0),"")</f>
        <v/>
      </c>
      <c r="J301" s="85"/>
      <c r="K301" s="149"/>
      <c r="L301" s="85"/>
      <c r="M301" s="85"/>
      <c r="N301" s="151"/>
      <c r="O301" s="85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85"/>
      <c r="S301" s="85"/>
      <c r="T301" s="85"/>
      <c r="U301" s="85"/>
      <c r="V301" s="85"/>
      <c r="W301" s="85"/>
      <c r="X301" s="85"/>
      <c r="Y301" s="85"/>
      <c r="Z301" s="157"/>
      <c r="AA301" s="4"/>
      <c r="AB301" s="4"/>
      <c r="AC301" s="4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49"/>
      <c r="L302" s="85"/>
      <c r="M302" s="85"/>
      <c r="N302" s="151"/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57"/>
      <c r="AA302" s="4"/>
      <c r="AB302" s="4"/>
      <c r="AC302" s="4"/>
    </row>
    <row r="303" customFormat="false" ht="15" hidden="false" customHeight="true" outlineLevel="0" collapsed="false">
      <c r="A303" s="85"/>
      <c r="B303" s="85"/>
      <c r="C303" s="85"/>
      <c r="D303" s="85"/>
      <c r="E303" s="85"/>
      <c r="F303" s="85"/>
      <c r="G303" s="85"/>
      <c r="H303" s="85"/>
      <c r="I303" s="138" t="str">
        <f aca="false">IFERROR(VLOOKUP(TEXT(H303,"0"),IPRESS!$A$3:$B$212,2,0),"")</f>
        <v/>
      </c>
      <c r="J303" s="85"/>
      <c r="K303" s="149"/>
      <c r="L303" s="85"/>
      <c r="M303" s="85"/>
      <c r="N303" s="151"/>
      <c r="O303" s="85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85"/>
      <c r="S303" s="85"/>
      <c r="T303" s="85"/>
      <c r="U303" s="85"/>
      <c r="V303" s="85"/>
      <c r="W303" s="85"/>
      <c r="X303" s="85"/>
      <c r="Y303" s="85"/>
      <c r="Z303" s="157"/>
      <c r="AA303" s="4"/>
      <c r="AB303" s="4"/>
      <c r="AC303" s="4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49"/>
      <c r="L304" s="85"/>
      <c r="M304" s="85"/>
      <c r="N304" s="151"/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57"/>
      <c r="AA304" s="4"/>
      <c r="AB304" s="4"/>
      <c r="AC304" s="4"/>
    </row>
    <row r="305" customFormat="false" ht="15" hidden="false" customHeight="true" outlineLevel="0" collapsed="false">
      <c r="A305" s="85"/>
      <c r="B305" s="85"/>
      <c r="C305" s="85"/>
      <c r="D305" s="85"/>
      <c r="E305" s="85"/>
      <c r="F305" s="85"/>
      <c r="G305" s="85"/>
      <c r="H305" s="85"/>
      <c r="I305" s="138" t="str">
        <f aca="false">IFERROR(VLOOKUP(TEXT(H305,"0"),IPRESS!$A$3:$B$212,2,0),"")</f>
        <v/>
      </c>
      <c r="J305" s="85"/>
      <c r="K305" s="149"/>
      <c r="L305" s="85"/>
      <c r="M305" s="85"/>
      <c r="N305" s="151"/>
      <c r="O305" s="85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85"/>
      <c r="S305" s="85"/>
      <c r="T305" s="85"/>
      <c r="U305" s="85"/>
      <c r="V305" s="85"/>
      <c r="W305" s="85"/>
      <c r="X305" s="85"/>
      <c r="Y305" s="85"/>
      <c r="Z305" s="157"/>
      <c r="AA305" s="4"/>
      <c r="AB305" s="4"/>
      <c r="AC305" s="4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49"/>
      <c r="L306" s="85"/>
      <c r="M306" s="85"/>
      <c r="N306" s="151"/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57"/>
      <c r="AA306" s="4"/>
      <c r="AB306" s="4"/>
      <c r="AC306" s="4"/>
    </row>
    <row r="307" customFormat="false" ht="15" hidden="false" customHeight="true" outlineLevel="0" collapsed="false">
      <c r="A307" s="85"/>
      <c r="B307" s="85"/>
      <c r="C307" s="85"/>
      <c r="D307" s="85"/>
      <c r="E307" s="85"/>
      <c r="F307" s="85"/>
      <c r="G307" s="85"/>
      <c r="H307" s="85"/>
      <c r="I307" s="138" t="str">
        <f aca="false">IFERROR(VLOOKUP(TEXT(H307,"0"),IPRESS!$A$3:$B$212,2,0),"")</f>
        <v/>
      </c>
      <c r="J307" s="85"/>
      <c r="K307" s="149"/>
      <c r="L307" s="85"/>
      <c r="M307" s="85"/>
      <c r="N307" s="151"/>
      <c r="O307" s="85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85"/>
      <c r="S307" s="85"/>
      <c r="T307" s="85"/>
      <c r="U307" s="85"/>
      <c r="V307" s="85"/>
      <c r="W307" s="85"/>
      <c r="X307" s="85"/>
      <c r="Y307" s="85"/>
      <c r="Z307" s="157"/>
      <c r="AA307" s="4"/>
      <c r="AB307" s="4"/>
      <c r="AC307" s="4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49"/>
      <c r="L308" s="85"/>
      <c r="M308" s="85"/>
      <c r="N308" s="151"/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57"/>
      <c r="AA308" s="4"/>
      <c r="AB308" s="4"/>
      <c r="AC308" s="4"/>
    </row>
    <row r="309" customFormat="false" ht="15" hidden="false" customHeight="true" outlineLevel="0" collapsed="false">
      <c r="A309" s="85"/>
      <c r="B309" s="85"/>
      <c r="C309" s="85"/>
      <c r="D309" s="85"/>
      <c r="E309" s="85"/>
      <c r="F309" s="85"/>
      <c r="G309" s="85"/>
      <c r="H309" s="85"/>
      <c r="I309" s="138" t="str">
        <f aca="false">IFERROR(VLOOKUP(TEXT(H309,"0"),IPRESS!$A$3:$B$212,2,0),"")</f>
        <v/>
      </c>
      <c r="J309" s="85"/>
      <c r="K309" s="149"/>
      <c r="L309" s="85"/>
      <c r="M309" s="85"/>
      <c r="N309" s="151"/>
      <c r="O309" s="85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85"/>
      <c r="S309" s="85"/>
      <c r="T309" s="85"/>
      <c r="U309" s="85"/>
      <c r="V309" s="85"/>
      <c r="W309" s="85"/>
      <c r="X309" s="85"/>
      <c r="Y309" s="85"/>
      <c r="Z309" s="157"/>
      <c r="AA309" s="4"/>
      <c r="AB309" s="4"/>
      <c r="AC309" s="4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49"/>
      <c r="L310" s="85"/>
      <c r="M310" s="85"/>
      <c r="N310" s="151"/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57"/>
      <c r="AA310" s="4"/>
      <c r="AB310" s="4"/>
      <c r="AC310" s="4"/>
    </row>
    <row r="311" customFormat="false" ht="15" hidden="false" customHeight="true" outlineLevel="0" collapsed="false">
      <c r="A311" s="85"/>
      <c r="B311" s="85"/>
      <c r="C311" s="85"/>
      <c r="D311" s="85"/>
      <c r="E311" s="85"/>
      <c r="F311" s="85"/>
      <c r="G311" s="85"/>
      <c r="H311" s="85"/>
      <c r="I311" s="138" t="str">
        <f aca="false">IFERROR(VLOOKUP(TEXT(H311,"0"),IPRESS!$A$3:$B$212,2,0),"")</f>
        <v/>
      </c>
      <c r="J311" s="85"/>
      <c r="K311" s="149"/>
      <c r="L311" s="85"/>
      <c r="M311" s="85"/>
      <c r="N311" s="151"/>
      <c r="O311" s="85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85"/>
      <c r="S311" s="85"/>
      <c r="T311" s="85"/>
      <c r="U311" s="85"/>
      <c r="V311" s="85"/>
      <c r="W311" s="85"/>
      <c r="X311" s="85"/>
      <c r="Y311" s="85"/>
      <c r="Z311" s="157"/>
      <c r="AA311" s="4"/>
      <c r="AB311" s="4"/>
      <c r="AC311" s="4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49"/>
      <c r="L312" s="85"/>
      <c r="M312" s="85"/>
      <c r="N312" s="151"/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57"/>
      <c r="AA312" s="4"/>
      <c r="AB312" s="4"/>
      <c r="AC312" s="4"/>
    </row>
    <row r="313" customFormat="false" ht="15" hidden="false" customHeight="true" outlineLevel="0" collapsed="false">
      <c r="A313" s="85"/>
      <c r="B313" s="85"/>
      <c r="C313" s="85"/>
      <c r="D313" s="85"/>
      <c r="E313" s="85"/>
      <c r="F313" s="85"/>
      <c r="G313" s="85"/>
      <c r="H313" s="85"/>
      <c r="I313" s="138" t="str">
        <f aca="false">IFERROR(VLOOKUP(TEXT(H313,"0"),IPRESS!$A$3:$B$212,2,0),"")</f>
        <v/>
      </c>
      <c r="J313" s="85"/>
      <c r="K313" s="149"/>
      <c r="L313" s="85"/>
      <c r="M313" s="85"/>
      <c r="N313" s="151"/>
      <c r="O313" s="85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85"/>
      <c r="S313" s="85"/>
      <c r="T313" s="85"/>
      <c r="U313" s="85"/>
      <c r="V313" s="85"/>
      <c r="W313" s="85"/>
      <c r="X313" s="85"/>
      <c r="Y313" s="85"/>
      <c r="Z313" s="157"/>
      <c r="AA313" s="4"/>
      <c r="AB313" s="4"/>
      <c r="AC313" s="4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49"/>
      <c r="L314" s="85"/>
      <c r="M314" s="85"/>
      <c r="N314" s="151"/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57"/>
      <c r="AA314" s="4"/>
      <c r="AB314" s="4"/>
      <c r="AC314" s="4"/>
    </row>
    <row r="315" customFormat="false" ht="15" hidden="false" customHeight="true" outlineLevel="0" collapsed="false">
      <c r="A315" s="85"/>
      <c r="B315" s="85"/>
      <c r="C315" s="85"/>
      <c r="D315" s="85"/>
      <c r="E315" s="85"/>
      <c r="F315" s="85"/>
      <c r="G315" s="85"/>
      <c r="H315" s="85"/>
      <c r="I315" s="138" t="str">
        <f aca="false">IFERROR(VLOOKUP(TEXT(H315,"0"),IPRESS!$A$3:$B$212,2,0),"")</f>
        <v/>
      </c>
      <c r="J315" s="85"/>
      <c r="K315" s="149"/>
      <c r="L315" s="85"/>
      <c r="M315" s="85"/>
      <c r="N315" s="151"/>
      <c r="O315" s="85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85"/>
      <c r="S315" s="85"/>
      <c r="T315" s="85"/>
      <c r="U315" s="85"/>
      <c r="V315" s="85"/>
      <c r="W315" s="85"/>
      <c r="X315" s="85"/>
      <c r="Y315" s="85"/>
      <c r="Z315" s="157"/>
      <c r="AA315" s="4"/>
      <c r="AB315" s="4"/>
      <c r="AC315" s="4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49"/>
      <c r="L316" s="85"/>
      <c r="M316" s="85"/>
      <c r="N316" s="151"/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57"/>
      <c r="AA316" s="4"/>
      <c r="AB316" s="4"/>
      <c r="AC316" s="4"/>
    </row>
    <row r="317" customFormat="false" ht="15" hidden="false" customHeight="true" outlineLevel="0" collapsed="false">
      <c r="A317" s="85"/>
      <c r="B317" s="85"/>
      <c r="C317" s="85"/>
      <c r="D317" s="85"/>
      <c r="E317" s="85"/>
      <c r="F317" s="85"/>
      <c r="G317" s="85"/>
      <c r="H317" s="85"/>
      <c r="I317" s="138" t="str">
        <f aca="false">IFERROR(VLOOKUP(TEXT(H317,"0"),IPRESS!$A$3:$B$212,2,0),"")</f>
        <v/>
      </c>
      <c r="J317" s="85"/>
      <c r="K317" s="149"/>
      <c r="L317" s="85"/>
      <c r="M317" s="85"/>
      <c r="N317" s="151"/>
      <c r="O317" s="85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85"/>
      <c r="S317" s="85"/>
      <c r="T317" s="85"/>
      <c r="U317" s="85"/>
      <c r="V317" s="85"/>
      <c r="W317" s="85"/>
      <c r="X317" s="85"/>
      <c r="Y317" s="85"/>
      <c r="Z317" s="157"/>
      <c r="AA317" s="4"/>
      <c r="AB317" s="4"/>
      <c r="AC317" s="4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49"/>
      <c r="L318" s="85"/>
      <c r="M318" s="85"/>
      <c r="N318" s="151"/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57"/>
      <c r="AA318" s="4"/>
      <c r="AB318" s="4"/>
      <c r="AC318" s="4"/>
    </row>
    <row r="319" customFormat="false" ht="15" hidden="false" customHeight="true" outlineLevel="0" collapsed="false">
      <c r="A319" s="85"/>
      <c r="B319" s="85"/>
      <c r="C319" s="85"/>
      <c r="D319" s="85"/>
      <c r="E319" s="85"/>
      <c r="F319" s="85"/>
      <c r="G319" s="85"/>
      <c r="H319" s="85"/>
      <c r="I319" s="138" t="str">
        <f aca="false">IFERROR(VLOOKUP(TEXT(H319,"0"),IPRESS!$A$3:$B$212,2,0),"")</f>
        <v/>
      </c>
      <c r="J319" s="85"/>
      <c r="K319" s="149"/>
      <c r="L319" s="85"/>
      <c r="M319" s="85"/>
      <c r="N319" s="151"/>
      <c r="O319" s="85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85"/>
      <c r="S319" s="85"/>
      <c r="T319" s="85"/>
      <c r="U319" s="85"/>
      <c r="V319" s="85"/>
      <c r="W319" s="85"/>
      <c r="X319" s="85"/>
      <c r="Y319" s="85"/>
      <c r="Z319" s="157"/>
      <c r="AA319" s="4"/>
      <c r="AB319" s="4"/>
      <c r="AC319" s="4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49"/>
      <c r="L320" s="85"/>
      <c r="M320" s="85"/>
      <c r="N320" s="151"/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57"/>
      <c r="AA320" s="4"/>
      <c r="AB320" s="4"/>
      <c r="AC320" s="4"/>
    </row>
    <row r="321" customFormat="false" ht="15" hidden="false" customHeight="true" outlineLevel="0" collapsed="false">
      <c r="A321" s="85"/>
      <c r="B321" s="85"/>
      <c r="C321" s="85"/>
      <c r="D321" s="85"/>
      <c r="E321" s="85"/>
      <c r="F321" s="85"/>
      <c r="G321" s="85"/>
      <c r="H321" s="85"/>
      <c r="I321" s="138" t="str">
        <f aca="false">IFERROR(VLOOKUP(TEXT(H321,"0"),IPRESS!$A$3:$B$212,2,0),"")</f>
        <v/>
      </c>
      <c r="J321" s="85"/>
      <c r="K321" s="149"/>
      <c r="L321" s="85"/>
      <c r="M321" s="85"/>
      <c r="N321" s="151"/>
      <c r="O321" s="85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85"/>
      <c r="S321" s="85"/>
      <c r="T321" s="85"/>
      <c r="U321" s="85"/>
      <c r="V321" s="85"/>
      <c r="W321" s="85"/>
      <c r="X321" s="85"/>
      <c r="Y321" s="85"/>
      <c r="Z321" s="157"/>
      <c r="AA321" s="4"/>
      <c r="AB321" s="4"/>
      <c r="AC321" s="4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49"/>
      <c r="L322" s="85"/>
      <c r="M322" s="85"/>
      <c r="N322" s="151"/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57"/>
      <c r="AA322" s="4"/>
      <c r="AB322" s="4"/>
      <c r="AC322" s="4"/>
    </row>
    <row r="323" customFormat="false" ht="15" hidden="false" customHeight="true" outlineLevel="0" collapsed="false">
      <c r="A323" s="85"/>
      <c r="B323" s="85"/>
      <c r="C323" s="85"/>
      <c r="D323" s="85"/>
      <c r="E323" s="85"/>
      <c r="F323" s="85"/>
      <c r="G323" s="85"/>
      <c r="H323" s="85"/>
      <c r="I323" s="138" t="str">
        <f aca="false">IFERROR(VLOOKUP(TEXT(H323,"0"),IPRESS!$A$3:$B$212,2,0),"")</f>
        <v/>
      </c>
      <c r="J323" s="85"/>
      <c r="K323" s="149"/>
      <c r="L323" s="85"/>
      <c r="M323" s="85"/>
      <c r="N323" s="151"/>
      <c r="O323" s="85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85"/>
      <c r="S323" s="85"/>
      <c r="T323" s="85"/>
      <c r="U323" s="85"/>
      <c r="V323" s="85"/>
      <c r="W323" s="85"/>
      <c r="X323" s="85"/>
      <c r="Y323" s="85"/>
      <c r="Z323" s="157"/>
      <c r="AA323" s="4"/>
      <c r="AB323" s="4"/>
      <c r="AC323" s="4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49"/>
      <c r="L324" s="85"/>
      <c r="M324" s="85"/>
      <c r="N324" s="151"/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57"/>
      <c r="AA324" s="4"/>
      <c r="AB324" s="4"/>
      <c r="AC324" s="4"/>
    </row>
    <row r="325" customFormat="false" ht="15" hidden="false" customHeight="true" outlineLevel="0" collapsed="false">
      <c r="A325" s="85"/>
      <c r="B325" s="85"/>
      <c r="C325" s="85"/>
      <c r="D325" s="85"/>
      <c r="E325" s="85"/>
      <c r="F325" s="85"/>
      <c r="G325" s="85"/>
      <c r="H325" s="85"/>
      <c r="I325" s="138" t="str">
        <f aca="false">IFERROR(VLOOKUP(TEXT(H325,"0"),IPRESS!$A$3:$B$212,2,0),"")</f>
        <v/>
      </c>
      <c r="J325" s="85"/>
      <c r="K325" s="149"/>
      <c r="L325" s="85"/>
      <c r="M325" s="85"/>
      <c r="N325" s="151"/>
      <c r="O325" s="85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85"/>
      <c r="S325" s="85"/>
      <c r="T325" s="85"/>
      <c r="U325" s="85"/>
      <c r="V325" s="85"/>
      <c r="W325" s="85"/>
      <c r="X325" s="85"/>
      <c r="Y325" s="85"/>
      <c r="Z325" s="157"/>
      <c r="AA325" s="4"/>
      <c r="AB325" s="4"/>
      <c r="AC325" s="4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49"/>
      <c r="L326" s="85"/>
      <c r="M326" s="85"/>
      <c r="N326" s="151"/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57"/>
      <c r="AA326" s="4"/>
      <c r="AB326" s="4"/>
      <c r="AC326" s="4"/>
    </row>
    <row r="327" customFormat="false" ht="15" hidden="false" customHeight="true" outlineLevel="0" collapsed="false">
      <c r="A327" s="85"/>
      <c r="B327" s="85"/>
      <c r="C327" s="85"/>
      <c r="D327" s="85"/>
      <c r="E327" s="85"/>
      <c r="F327" s="85"/>
      <c r="G327" s="85"/>
      <c r="H327" s="85"/>
      <c r="I327" s="138" t="str">
        <f aca="false">IFERROR(VLOOKUP(TEXT(H327,"0"),IPRESS!$A$3:$B$212,2,0),"")</f>
        <v/>
      </c>
      <c r="J327" s="85"/>
      <c r="K327" s="149"/>
      <c r="L327" s="85"/>
      <c r="M327" s="85"/>
      <c r="N327" s="151"/>
      <c r="O327" s="85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85"/>
      <c r="S327" s="85"/>
      <c r="T327" s="85"/>
      <c r="U327" s="85"/>
      <c r="V327" s="85"/>
      <c r="W327" s="85"/>
      <c r="X327" s="85"/>
      <c r="Y327" s="85"/>
      <c r="Z327" s="157"/>
      <c r="AA327" s="4"/>
      <c r="AB327" s="4"/>
      <c r="AC327" s="4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49"/>
      <c r="L328" s="85"/>
      <c r="M328" s="85"/>
      <c r="N328" s="151"/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57"/>
      <c r="AA328" s="4"/>
      <c r="AB328" s="4"/>
      <c r="AC328" s="4"/>
    </row>
    <row r="329" customFormat="false" ht="15" hidden="false" customHeight="true" outlineLevel="0" collapsed="false">
      <c r="A329" s="85"/>
      <c r="B329" s="85"/>
      <c r="C329" s="85"/>
      <c r="D329" s="85"/>
      <c r="E329" s="85"/>
      <c r="F329" s="85"/>
      <c r="G329" s="85"/>
      <c r="H329" s="85"/>
      <c r="I329" s="138" t="str">
        <f aca="false">IFERROR(VLOOKUP(TEXT(H329,"0"),IPRESS!$A$3:$B$212,2,0),"")</f>
        <v/>
      </c>
      <c r="J329" s="85"/>
      <c r="K329" s="149"/>
      <c r="L329" s="85"/>
      <c r="M329" s="85"/>
      <c r="N329" s="151"/>
      <c r="O329" s="85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85"/>
      <c r="S329" s="85"/>
      <c r="T329" s="85"/>
      <c r="U329" s="85"/>
      <c r="V329" s="85"/>
      <c r="W329" s="85"/>
      <c r="X329" s="85"/>
      <c r="Y329" s="85"/>
      <c r="Z329" s="157"/>
      <c r="AA329" s="4"/>
      <c r="AB329" s="4"/>
      <c r="AC329" s="4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49"/>
      <c r="L330" s="85"/>
      <c r="M330" s="85"/>
      <c r="N330" s="151"/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57"/>
      <c r="AA330" s="4"/>
      <c r="AB330" s="4"/>
      <c r="AC330" s="4"/>
    </row>
    <row r="331" customFormat="false" ht="15" hidden="false" customHeight="true" outlineLevel="0" collapsed="false">
      <c r="A331" s="85"/>
      <c r="B331" s="85"/>
      <c r="C331" s="85"/>
      <c r="D331" s="85"/>
      <c r="E331" s="85"/>
      <c r="F331" s="85"/>
      <c r="G331" s="85"/>
      <c r="H331" s="85"/>
      <c r="I331" s="138" t="str">
        <f aca="false">IFERROR(VLOOKUP(TEXT(H331,"0"),IPRESS!$A$3:$B$212,2,0),"")</f>
        <v/>
      </c>
      <c r="J331" s="85"/>
      <c r="K331" s="149"/>
      <c r="L331" s="85"/>
      <c r="M331" s="85"/>
      <c r="N331" s="151"/>
      <c r="O331" s="85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85"/>
      <c r="S331" s="85"/>
      <c r="T331" s="85"/>
      <c r="U331" s="85"/>
      <c r="V331" s="85"/>
      <c r="W331" s="85"/>
      <c r="X331" s="85"/>
      <c r="Y331" s="85"/>
      <c r="Z331" s="157"/>
      <c r="AA331" s="4"/>
      <c r="AB331" s="4"/>
      <c r="AC331" s="4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49"/>
      <c r="L332" s="85"/>
      <c r="M332" s="85"/>
      <c r="N332" s="151"/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57"/>
      <c r="AA332" s="4"/>
      <c r="AB332" s="4"/>
      <c r="AC332" s="4"/>
    </row>
    <row r="333" customFormat="false" ht="15" hidden="false" customHeight="true" outlineLevel="0" collapsed="false">
      <c r="A333" s="85"/>
      <c r="B333" s="85"/>
      <c r="C333" s="85"/>
      <c r="D333" s="85"/>
      <c r="E333" s="85"/>
      <c r="F333" s="85"/>
      <c r="G333" s="85"/>
      <c r="H333" s="85"/>
      <c r="I333" s="138" t="str">
        <f aca="false">IFERROR(VLOOKUP(TEXT(H333,"0"),IPRESS!$A$3:$B$212,2,0),"")</f>
        <v/>
      </c>
      <c r="J333" s="85"/>
      <c r="K333" s="149"/>
      <c r="L333" s="85"/>
      <c r="M333" s="85"/>
      <c r="N333" s="151"/>
      <c r="O333" s="85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85"/>
      <c r="S333" s="85"/>
      <c r="T333" s="85"/>
      <c r="U333" s="85"/>
      <c r="V333" s="85"/>
      <c r="W333" s="85"/>
      <c r="X333" s="85"/>
      <c r="Y333" s="85"/>
      <c r="Z333" s="157"/>
      <c r="AA333" s="4"/>
      <c r="AB333" s="4"/>
      <c r="AC333" s="4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49"/>
      <c r="L334" s="85"/>
      <c r="M334" s="85"/>
      <c r="N334" s="151"/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57"/>
      <c r="AA334" s="4"/>
      <c r="AB334" s="4"/>
      <c r="AC334" s="4"/>
    </row>
    <row r="335" customFormat="false" ht="15" hidden="false" customHeight="true" outlineLevel="0" collapsed="false">
      <c r="A335" s="85"/>
      <c r="B335" s="85"/>
      <c r="C335" s="85"/>
      <c r="D335" s="85"/>
      <c r="E335" s="85"/>
      <c r="F335" s="85"/>
      <c r="G335" s="85"/>
      <c r="H335" s="85"/>
      <c r="I335" s="138" t="str">
        <f aca="false">IFERROR(VLOOKUP(TEXT(H335,"0"),IPRESS!$A$3:$B$212,2,0),"")</f>
        <v/>
      </c>
      <c r="J335" s="85"/>
      <c r="K335" s="149"/>
      <c r="L335" s="85"/>
      <c r="M335" s="85"/>
      <c r="N335" s="151"/>
      <c r="O335" s="85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85"/>
      <c r="S335" s="85"/>
      <c r="T335" s="85"/>
      <c r="U335" s="85"/>
      <c r="V335" s="85"/>
      <c r="W335" s="85"/>
      <c r="X335" s="85"/>
      <c r="Y335" s="85"/>
      <c r="Z335" s="157"/>
      <c r="AA335" s="4"/>
      <c r="AB335" s="4"/>
      <c r="AC335" s="4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49"/>
      <c r="L336" s="85"/>
      <c r="M336" s="85"/>
      <c r="N336" s="151"/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57"/>
      <c r="AA336" s="4"/>
      <c r="AB336" s="4"/>
      <c r="AC336" s="4"/>
    </row>
    <row r="337" customFormat="false" ht="15" hidden="false" customHeight="true" outlineLevel="0" collapsed="false">
      <c r="A337" s="85"/>
      <c r="B337" s="85"/>
      <c r="C337" s="85"/>
      <c r="D337" s="85"/>
      <c r="E337" s="85"/>
      <c r="F337" s="85"/>
      <c r="G337" s="85"/>
      <c r="H337" s="85"/>
      <c r="I337" s="138" t="str">
        <f aca="false">IFERROR(VLOOKUP(TEXT(H337,"0"),IPRESS!$A$3:$B$212,2,0),"")</f>
        <v/>
      </c>
      <c r="J337" s="85"/>
      <c r="K337" s="149"/>
      <c r="L337" s="85"/>
      <c r="M337" s="85"/>
      <c r="N337" s="151"/>
      <c r="O337" s="85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85"/>
      <c r="S337" s="85"/>
      <c r="T337" s="85"/>
      <c r="U337" s="85"/>
      <c r="V337" s="85"/>
      <c r="W337" s="85"/>
      <c r="X337" s="85"/>
      <c r="Y337" s="85"/>
      <c r="Z337" s="157"/>
      <c r="AA337" s="4"/>
      <c r="AB337" s="4"/>
      <c r="AC337" s="4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49"/>
      <c r="L338" s="85"/>
      <c r="M338" s="85"/>
      <c r="N338" s="151"/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57"/>
      <c r="AA338" s="4"/>
      <c r="AB338" s="4"/>
      <c r="AC338" s="4"/>
    </row>
    <row r="339" customFormat="false" ht="15" hidden="false" customHeight="true" outlineLevel="0" collapsed="false">
      <c r="A339" s="85"/>
      <c r="B339" s="85"/>
      <c r="C339" s="85"/>
      <c r="D339" s="85"/>
      <c r="E339" s="85"/>
      <c r="F339" s="85"/>
      <c r="G339" s="85"/>
      <c r="H339" s="85"/>
      <c r="I339" s="138" t="str">
        <f aca="false">IFERROR(VLOOKUP(TEXT(H339,"0"),IPRESS!$A$3:$B$212,2,0),"")</f>
        <v/>
      </c>
      <c r="J339" s="85"/>
      <c r="K339" s="149"/>
      <c r="L339" s="85"/>
      <c r="M339" s="85"/>
      <c r="N339" s="151"/>
      <c r="O339" s="85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85"/>
      <c r="S339" s="85"/>
      <c r="T339" s="85"/>
      <c r="U339" s="85"/>
      <c r="V339" s="85"/>
      <c r="W339" s="85"/>
      <c r="X339" s="85"/>
      <c r="Y339" s="85"/>
      <c r="Z339" s="157"/>
      <c r="AA339" s="4"/>
      <c r="AB339" s="4"/>
      <c r="AC339" s="4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49"/>
      <c r="L340" s="85"/>
      <c r="M340" s="85"/>
      <c r="N340" s="151"/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57"/>
      <c r="AA340" s="4"/>
      <c r="AB340" s="4"/>
      <c r="AC340" s="4"/>
    </row>
    <row r="341" customFormat="false" ht="15" hidden="false" customHeight="true" outlineLevel="0" collapsed="false">
      <c r="A341" s="85"/>
      <c r="B341" s="85"/>
      <c r="C341" s="85"/>
      <c r="D341" s="85"/>
      <c r="E341" s="85"/>
      <c r="F341" s="85"/>
      <c r="G341" s="85"/>
      <c r="H341" s="85"/>
      <c r="I341" s="138" t="str">
        <f aca="false">IFERROR(VLOOKUP(TEXT(H341,"0"),IPRESS!$A$3:$B$212,2,0),"")</f>
        <v/>
      </c>
      <c r="J341" s="85"/>
      <c r="K341" s="149"/>
      <c r="L341" s="85"/>
      <c r="M341" s="85"/>
      <c r="N341" s="151"/>
      <c r="O341" s="85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85"/>
      <c r="S341" s="85"/>
      <c r="T341" s="85"/>
      <c r="U341" s="85"/>
      <c r="V341" s="85"/>
      <c r="W341" s="85"/>
      <c r="X341" s="85"/>
      <c r="Y341" s="85"/>
      <c r="Z341" s="157"/>
      <c r="AA341" s="4"/>
      <c r="AB341" s="4"/>
      <c r="AC341" s="4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49"/>
      <c r="L342" s="85"/>
      <c r="M342" s="85"/>
      <c r="N342" s="151"/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57"/>
      <c r="AA342" s="4"/>
      <c r="AB342" s="4"/>
      <c r="AC342" s="4"/>
    </row>
    <row r="343" customFormat="false" ht="15" hidden="false" customHeight="true" outlineLevel="0" collapsed="false">
      <c r="A343" s="85"/>
      <c r="B343" s="85"/>
      <c r="C343" s="85"/>
      <c r="D343" s="85"/>
      <c r="E343" s="85"/>
      <c r="F343" s="85"/>
      <c r="G343" s="85"/>
      <c r="H343" s="85"/>
      <c r="I343" s="138" t="str">
        <f aca="false">IFERROR(VLOOKUP(TEXT(H343,"0"),IPRESS!$A$3:$B$212,2,0),"")</f>
        <v/>
      </c>
      <c r="J343" s="85"/>
      <c r="K343" s="149"/>
      <c r="L343" s="85"/>
      <c r="M343" s="85"/>
      <c r="N343" s="151"/>
      <c r="O343" s="85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85"/>
      <c r="S343" s="85"/>
      <c r="T343" s="85"/>
      <c r="U343" s="85"/>
      <c r="V343" s="85"/>
      <c r="W343" s="85"/>
      <c r="X343" s="85"/>
      <c r="Y343" s="85"/>
      <c r="Z343" s="157"/>
      <c r="AA343" s="4"/>
      <c r="AB343" s="4"/>
      <c r="AC343" s="4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49"/>
      <c r="L344" s="85"/>
      <c r="M344" s="85"/>
      <c r="N344" s="151"/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57"/>
      <c r="AA344" s="4"/>
      <c r="AB344" s="4"/>
      <c r="AC344" s="4"/>
    </row>
    <row r="345" customFormat="false" ht="15" hidden="false" customHeight="true" outlineLevel="0" collapsed="false">
      <c r="A345" s="85"/>
      <c r="B345" s="85"/>
      <c r="C345" s="85"/>
      <c r="D345" s="85"/>
      <c r="E345" s="85"/>
      <c r="F345" s="85"/>
      <c r="G345" s="85"/>
      <c r="H345" s="85"/>
      <c r="I345" s="138" t="str">
        <f aca="false">IFERROR(VLOOKUP(TEXT(H345,"0"),IPRESS!$A$3:$B$212,2,0),"")</f>
        <v/>
      </c>
      <c r="J345" s="85"/>
      <c r="K345" s="149"/>
      <c r="L345" s="85"/>
      <c r="M345" s="85"/>
      <c r="N345" s="151"/>
      <c r="O345" s="85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85"/>
      <c r="S345" s="85"/>
      <c r="T345" s="85"/>
      <c r="U345" s="85"/>
      <c r="V345" s="85"/>
      <c r="W345" s="85"/>
      <c r="X345" s="85"/>
      <c r="Y345" s="85"/>
      <c r="Z345" s="157"/>
      <c r="AA345" s="4"/>
      <c r="AB345" s="4"/>
      <c r="AC345" s="4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49"/>
      <c r="L346" s="85"/>
      <c r="M346" s="85"/>
      <c r="N346" s="151"/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57"/>
      <c r="AA346" s="4"/>
      <c r="AB346" s="4"/>
      <c r="AC346" s="4"/>
    </row>
    <row r="347" customFormat="false" ht="15" hidden="false" customHeight="true" outlineLevel="0" collapsed="false">
      <c r="A347" s="85"/>
      <c r="B347" s="85"/>
      <c r="C347" s="85"/>
      <c r="D347" s="85"/>
      <c r="E347" s="85"/>
      <c r="F347" s="85"/>
      <c r="G347" s="85"/>
      <c r="H347" s="85"/>
      <c r="I347" s="138" t="str">
        <f aca="false">IFERROR(VLOOKUP(TEXT(H347,"0"),IPRESS!$A$3:$B$212,2,0),"")</f>
        <v/>
      </c>
      <c r="J347" s="85"/>
      <c r="K347" s="149"/>
      <c r="L347" s="85"/>
      <c r="M347" s="85"/>
      <c r="N347" s="151"/>
      <c r="O347" s="85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85"/>
      <c r="S347" s="85"/>
      <c r="T347" s="85"/>
      <c r="U347" s="85"/>
      <c r="V347" s="85"/>
      <c r="W347" s="85"/>
      <c r="X347" s="85"/>
      <c r="Y347" s="85"/>
      <c r="Z347" s="157"/>
      <c r="AA347" s="4"/>
      <c r="AB347" s="4"/>
      <c r="AC347" s="4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49"/>
      <c r="L348" s="85"/>
      <c r="M348" s="85"/>
      <c r="N348" s="151"/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57"/>
      <c r="AA348" s="4"/>
      <c r="AB348" s="4"/>
      <c r="AC348" s="4"/>
    </row>
    <row r="349" customFormat="false" ht="15" hidden="false" customHeight="true" outlineLevel="0" collapsed="false">
      <c r="A349" s="85"/>
      <c r="B349" s="85"/>
      <c r="C349" s="85"/>
      <c r="D349" s="85"/>
      <c r="E349" s="85"/>
      <c r="F349" s="85"/>
      <c r="G349" s="85"/>
      <c r="H349" s="85"/>
      <c r="I349" s="138" t="str">
        <f aca="false">IFERROR(VLOOKUP(TEXT(H349,"0"),IPRESS!$A$3:$B$212,2,0),"")</f>
        <v/>
      </c>
      <c r="J349" s="85"/>
      <c r="K349" s="149"/>
      <c r="L349" s="85"/>
      <c r="M349" s="85"/>
      <c r="N349" s="151"/>
      <c r="O349" s="85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85"/>
      <c r="S349" s="85"/>
      <c r="T349" s="85"/>
      <c r="U349" s="85"/>
      <c r="V349" s="85"/>
      <c r="W349" s="85"/>
      <c r="X349" s="85"/>
      <c r="Y349" s="85"/>
      <c r="Z349" s="157"/>
      <c r="AA349" s="4"/>
      <c r="AB349" s="4"/>
      <c r="AC349" s="4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49"/>
      <c r="L350" s="85"/>
      <c r="M350" s="85"/>
      <c r="N350" s="151"/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57"/>
      <c r="AA350" s="4"/>
      <c r="AB350" s="4"/>
      <c r="AC350" s="4"/>
    </row>
    <row r="351" customFormat="false" ht="15" hidden="false" customHeight="true" outlineLevel="0" collapsed="false">
      <c r="A351" s="85"/>
      <c r="B351" s="85"/>
      <c r="C351" s="85"/>
      <c r="D351" s="85"/>
      <c r="E351" s="85"/>
      <c r="F351" s="85"/>
      <c r="G351" s="85"/>
      <c r="H351" s="85"/>
      <c r="I351" s="138" t="str">
        <f aca="false">IFERROR(VLOOKUP(TEXT(H351,"0"),IPRESS!$A$3:$B$212,2,0),"")</f>
        <v/>
      </c>
      <c r="J351" s="85"/>
      <c r="K351" s="149"/>
      <c r="L351" s="85"/>
      <c r="M351" s="85"/>
      <c r="N351" s="151"/>
      <c r="O351" s="85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85"/>
      <c r="S351" s="85"/>
      <c r="T351" s="85"/>
      <c r="U351" s="85"/>
      <c r="V351" s="85"/>
      <c r="W351" s="85"/>
      <c r="X351" s="85"/>
      <c r="Y351" s="85"/>
      <c r="Z351" s="157"/>
      <c r="AA351" s="4"/>
      <c r="AB351" s="4"/>
      <c r="AC351" s="4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49"/>
      <c r="L352" s="85"/>
      <c r="M352" s="85"/>
      <c r="N352" s="151"/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57"/>
      <c r="AA352" s="4"/>
      <c r="AB352" s="4"/>
      <c r="AC352" s="4"/>
    </row>
    <row r="353" customFormat="false" ht="15" hidden="false" customHeight="true" outlineLevel="0" collapsed="false">
      <c r="A353" s="85"/>
      <c r="B353" s="85"/>
      <c r="C353" s="85"/>
      <c r="D353" s="85"/>
      <c r="E353" s="85"/>
      <c r="F353" s="85"/>
      <c r="G353" s="85"/>
      <c r="H353" s="85"/>
      <c r="I353" s="138" t="str">
        <f aca="false">IFERROR(VLOOKUP(TEXT(H353,"0"),IPRESS!$A$3:$B$212,2,0),"")</f>
        <v/>
      </c>
      <c r="J353" s="85"/>
      <c r="K353" s="149"/>
      <c r="L353" s="85"/>
      <c r="M353" s="85"/>
      <c r="N353" s="151"/>
      <c r="O353" s="85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85"/>
      <c r="S353" s="85"/>
      <c r="T353" s="85"/>
      <c r="U353" s="85"/>
      <c r="V353" s="85"/>
      <c r="W353" s="85"/>
      <c r="X353" s="85"/>
      <c r="Y353" s="85"/>
      <c r="Z353" s="157"/>
      <c r="AA353" s="4"/>
      <c r="AB353" s="4"/>
      <c r="AC353" s="4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49"/>
      <c r="L354" s="85"/>
      <c r="M354" s="85"/>
      <c r="N354" s="151"/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57"/>
      <c r="AA354" s="4"/>
      <c r="AB354" s="4"/>
      <c r="AC354" s="4"/>
    </row>
    <row r="355" customFormat="false" ht="15" hidden="false" customHeight="true" outlineLevel="0" collapsed="false">
      <c r="A355" s="85"/>
      <c r="B355" s="85"/>
      <c r="C355" s="85"/>
      <c r="D355" s="85"/>
      <c r="E355" s="85"/>
      <c r="F355" s="85"/>
      <c r="G355" s="85"/>
      <c r="H355" s="85"/>
      <c r="I355" s="138" t="str">
        <f aca="false">IFERROR(VLOOKUP(TEXT(H355,"0"),IPRESS!$A$3:$B$212,2,0),"")</f>
        <v/>
      </c>
      <c r="J355" s="85"/>
      <c r="K355" s="149"/>
      <c r="L355" s="85"/>
      <c r="M355" s="85"/>
      <c r="N355" s="151"/>
      <c r="O355" s="85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85"/>
      <c r="S355" s="85"/>
      <c r="T355" s="85"/>
      <c r="U355" s="85"/>
      <c r="V355" s="85"/>
      <c r="W355" s="85"/>
      <c r="X355" s="85"/>
      <c r="Y355" s="85"/>
      <c r="Z355" s="157"/>
      <c r="AA355" s="4"/>
      <c r="AB355" s="4"/>
      <c r="AC355" s="4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49"/>
      <c r="L356" s="85"/>
      <c r="M356" s="85"/>
      <c r="N356" s="151"/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57"/>
      <c r="AA356" s="4"/>
      <c r="AB356" s="4"/>
      <c r="AC356" s="4"/>
    </row>
    <row r="357" customFormat="false" ht="15" hidden="false" customHeight="true" outlineLevel="0" collapsed="false">
      <c r="A357" s="85"/>
      <c r="B357" s="85"/>
      <c r="C357" s="85"/>
      <c r="D357" s="85"/>
      <c r="E357" s="85"/>
      <c r="F357" s="85"/>
      <c r="G357" s="85"/>
      <c r="H357" s="85"/>
      <c r="I357" s="138" t="str">
        <f aca="false">IFERROR(VLOOKUP(TEXT(H357,"0"),IPRESS!$A$3:$B$212,2,0),"")</f>
        <v/>
      </c>
      <c r="J357" s="85"/>
      <c r="K357" s="149"/>
      <c r="L357" s="85"/>
      <c r="M357" s="85"/>
      <c r="N357" s="151"/>
      <c r="O357" s="85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85"/>
      <c r="S357" s="85"/>
      <c r="T357" s="85"/>
      <c r="U357" s="85"/>
      <c r="V357" s="85"/>
      <c r="W357" s="85"/>
      <c r="X357" s="85"/>
      <c r="Y357" s="85"/>
      <c r="Z357" s="157"/>
      <c r="AA357" s="4"/>
      <c r="AB357" s="4"/>
      <c r="AC357" s="4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49"/>
      <c r="L358" s="85"/>
      <c r="M358" s="85"/>
      <c r="N358" s="151"/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57"/>
      <c r="AA358" s="4"/>
      <c r="AB358" s="4"/>
      <c r="AC358" s="4"/>
    </row>
    <row r="359" customFormat="false" ht="15" hidden="false" customHeight="true" outlineLevel="0" collapsed="false">
      <c r="A359" s="85"/>
      <c r="B359" s="85"/>
      <c r="C359" s="85"/>
      <c r="D359" s="85"/>
      <c r="E359" s="85"/>
      <c r="F359" s="85"/>
      <c r="G359" s="85"/>
      <c r="H359" s="85"/>
      <c r="I359" s="138" t="str">
        <f aca="false">IFERROR(VLOOKUP(TEXT(H359,"0"),IPRESS!$A$3:$B$212,2,0),"")</f>
        <v/>
      </c>
      <c r="J359" s="85"/>
      <c r="K359" s="149"/>
      <c r="L359" s="85"/>
      <c r="M359" s="85"/>
      <c r="N359" s="151"/>
      <c r="O359" s="85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85"/>
      <c r="S359" s="85"/>
      <c r="T359" s="85"/>
      <c r="U359" s="85"/>
      <c r="V359" s="85"/>
      <c r="W359" s="85"/>
      <c r="X359" s="85"/>
      <c r="Y359" s="85"/>
      <c r="Z359" s="157"/>
      <c r="AA359" s="4"/>
      <c r="AB359" s="4"/>
      <c r="AC359" s="4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49"/>
      <c r="L360" s="85"/>
      <c r="M360" s="85"/>
      <c r="N360" s="151"/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57"/>
      <c r="AA360" s="4"/>
      <c r="AB360" s="4"/>
      <c r="AC360" s="4"/>
    </row>
    <row r="361" customFormat="false" ht="15" hidden="false" customHeight="true" outlineLevel="0" collapsed="false">
      <c r="A361" s="85"/>
      <c r="B361" s="85"/>
      <c r="C361" s="85"/>
      <c r="D361" s="85"/>
      <c r="E361" s="85"/>
      <c r="F361" s="85"/>
      <c r="G361" s="85"/>
      <c r="H361" s="85"/>
      <c r="I361" s="138" t="str">
        <f aca="false">IFERROR(VLOOKUP(TEXT(H361,"0"),IPRESS!$A$3:$B$212,2,0),"")</f>
        <v/>
      </c>
      <c r="J361" s="85"/>
      <c r="K361" s="149"/>
      <c r="L361" s="85"/>
      <c r="M361" s="85"/>
      <c r="N361" s="151"/>
      <c r="O361" s="85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85"/>
      <c r="S361" s="85"/>
      <c r="T361" s="85"/>
      <c r="U361" s="85"/>
      <c r="V361" s="85"/>
      <c r="W361" s="85"/>
      <c r="X361" s="85"/>
      <c r="Y361" s="85"/>
      <c r="Z361" s="157"/>
      <c r="AA361" s="4"/>
      <c r="AB361" s="4"/>
      <c r="AC361" s="4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49"/>
      <c r="L362" s="85"/>
      <c r="M362" s="85"/>
      <c r="N362" s="151"/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57"/>
      <c r="AA362" s="4"/>
      <c r="AB362" s="4"/>
      <c r="AC362" s="4"/>
    </row>
    <row r="363" customFormat="false" ht="15" hidden="false" customHeight="true" outlineLevel="0" collapsed="false">
      <c r="A363" s="85"/>
      <c r="B363" s="85"/>
      <c r="C363" s="85"/>
      <c r="D363" s="85"/>
      <c r="E363" s="85"/>
      <c r="F363" s="85"/>
      <c r="G363" s="85"/>
      <c r="H363" s="85"/>
      <c r="I363" s="138" t="str">
        <f aca="false">IFERROR(VLOOKUP(TEXT(H363,"0"),IPRESS!$A$3:$B$212,2,0),"")</f>
        <v/>
      </c>
      <c r="J363" s="85"/>
      <c r="K363" s="149"/>
      <c r="L363" s="85"/>
      <c r="M363" s="85"/>
      <c r="N363" s="151"/>
      <c r="O363" s="85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85"/>
      <c r="S363" s="85"/>
      <c r="T363" s="85"/>
      <c r="U363" s="85"/>
      <c r="V363" s="85"/>
      <c r="W363" s="85"/>
      <c r="X363" s="85"/>
      <c r="Y363" s="85"/>
      <c r="Z363" s="157"/>
      <c r="AA363" s="4"/>
      <c r="AB363" s="4"/>
      <c r="AC363" s="4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49"/>
      <c r="L364" s="85"/>
      <c r="M364" s="85"/>
      <c r="N364" s="151"/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57"/>
      <c r="AA364" s="4"/>
      <c r="AB364" s="4"/>
      <c r="AC364" s="4"/>
    </row>
    <row r="365" customFormat="false" ht="15" hidden="false" customHeight="true" outlineLevel="0" collapsed="false">
      <c r="A365" s="85"/>
      <c r="B365" s="85"/>
      <c r="C365" s="85"/>
      <c r="D365" s="85"/>
      <c r="E365" s="85"/>
      <c r="F365" s="85"/>
      <c r="G365" s="85"/>
      <c r="H365" s="85"/>
      <c r="I365" s="138" t="str">
        <f aca="false">IFERROR(VLOOKUP(TEXT(H365,"0"),IPRESS!$A$3:$B$212,2,0),"")</f>
        <v/>
      </c>
      <c r="J365" s="85"/>
      <c r="K365" s="149"/>
      <c r="L365" s="85"/>
      <c r="M365" s="85"/>
      <c r="N365" s="151"/>
      <c r="O365" s="85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85"/>
      <c r="S365" s="85"/>
      <c r="T365" s="85"/>
      <c r="U365" s="85"/>
      <c r="V365" s="85"/>
      <c r="W365" s="85"/>
      <c r="X365" s="85"/>
      <c r="Y365" s="85"/>
      <c r="Z365" s="157"/>
      <c r="AA365" s="4"/>
      <c r="AB365" s="4"/>
      <c r="AC365" s="4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49"/>
      <c r="L366" s="85"/>
      <c r="M366" s="85"/>
      <c r="N366" s="151"/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57"/>
      <c r="AA366" s="4"/>
      <c r="AB366" s="4"/>
      <c r="AC366" s="4"/>
    </row>
    <row r="367" customFormat="false" ht="15" hidden="false" customHeight="true" outlineLevel="0" collapsed="false">
      <c r="A367" s="85"/>
      <c r="B367" s="85"/>
      <c r="C367" s="85"/>
      <c r="D367" s="85"/>
      <c r="E367" s="85"/>
      <c r="F367" s="85"/>
      <c r="G367" s="85"/>
      <c r="H367" s="85"/>
      <c r="I367" s="138" t="str">
        <f aca="false">IFERROR(VLOOKUP(TEXT(H367,"0"),IPRESS!$A$3:$B$212,2,0),"")</f>
        <v/>
      </c>
      <c r="J367" s="85"/>
      <c r="K367" s="149"/>
      <c r="L367" s="85"/>
      <c r="M367" s="85"/>
      <c r="N367" s="151"/>
      <c r="O367" s="85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85"/>
      <c r="S367" s="85"/>
      <c r="T367" s="85"/>
      <c r="U367" s="85"/>
      <c r="V367" s="85"/>
      <c r="W367" s="85"/>
      <c r="X367" s="85"/>
      <c r="Y367" s="85"/>
      <c r="Z367" s="157"/>
      <c r="AA367" s="4"/>
      <c r="AB367" s="4"/>
      <c r="AC367" s="4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49"/>
      <c r="L368" s="85"/>
      <c r="M368" s="85"/>
      <c r="N368" s="151"/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57"/>
      <c r="AA368" s="4"/>
      <c r="AB368" s="4"/>
      <c r="AC368" s="4"/>
    </row>
    <row r="369" customFormat="false" ht="15" hidden="false" customHeight="true" outlineLevel="0" collapsed="false">
      <c r="A369" s="85"/>
      <c r="B369" s="85"/>
      <c r="C369" s="85"/>
      <c r="D369" s="85"/>
      <c r="E369" s="85"/>
      <c r="F369" s="85"/>
      <c r="G369" s="85"/>
      <c r="H369" s="85"/>
      <c r="I369" s="138" t="str">
        <f aca="false">IFERROR(VLOOKUP(TEXT(H369,"0"),IPRESS!$A$3:$B$212,2,0),"")</f>
        <v/>
      </c>
      <c r="J369" s="85"/>
      <c r="K369" s="149"/>
      <c r="L369" s="85"/>
      <c r="M369" s="85"/>
      <c r="N369" s="151"/>
      <c r="O369" s="85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85"/>
      <c r="S369" s="85"/>
      <c r="T369" s="85"/>
      <c r="U369" s="85"/>
      <c r="V369" s="85"/>
      <c r="W369" s="85"/>
      <c r="X369" s="85"/>
      <c r="Y369" s="85"/>
      <c r="Z369" s="157"/>
      <c r="AA369" s="4"/>
      <c r="AB369" s="4"/>
      <c r="AC369" s="4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49"/>
      <c r="L370" s="85"/>
      <c r="M370" s="85"/>
      <c r="N370" s="151"/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57"/>
      <c r="AA370" s="4"/>
      <c r="AB370" s="4"/>
      <c r="AC370" s="4"/>
    </row>
    <row r="371" customFormat="false" ht="15" hidden="false" customHeight="true" outlineLevel="0" collapsed="false">
      <c r="A371" s="85"/>
      <c r="B371" s="85"/>
      <c r="C371" s="85"/>
      <c r="D371" s="85"/>
      <c r="E371" s="85"/>
      <c r="F371" s="85"/>
      <c r="G371" s="85"/>
      <c r="H371" s="85"/>
      <c r="I371" s="138" t="str">
        <f aca="false">IFERROR(VLOOKUP(TEXT(H371,"0"),IPRESS!$A$3:$B$212,2,0),"")</f>
        <v/>
      </c>
      <c r="J371" s="85"/>
      <c r="K371" s="149"/>
      <c r="L371" s="85"/>
      <c r="M371" s="85"/>
      <c r="N371" s="151"/>
      <c r="O371" s="85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85"/>
      <c r="S371" s="85"/>
      <c r="T371" s="85"/>
      <c r="U371" s="85"/>
      <c r="V371" s="85"/>
      <c r="W371" s="85"/>
      <c r="X371" s="85"/>
      <c r="Y371" s="85"/>
      <c r="Z371" s="157"/>
      <c r="AA371" s="4"/>
      <c r="AB371" s="4"/>
      <c r="AC371" s="4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49"/>
      <c r="L372" s="85"/>
      <c r="M372" s="85"/>
      <c r="N372" s="151"/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57"/>
      <c r="AA372" s="4"/>
      <c r="AB372" s="4"/>
      <c r="AC372" s="4"/>
    </row>
    <row r="373" customFormat="false" ht="15" hidden="false" customHeight="true" outlineLevel="0" collapsed="false">
      <c r="A373" s="85"/>
      <c r="B373" s="85"/>
      <c r="C373" s="85"/>
      <c r="D373" s="85"/>
      <c r="E373" s="85"/>
      <c r="F373" s="85"/>
      <c r="G373" s="85"/>
      <c r="H373" s="85"/>
      <c r="I373" s="138" t="str">
        <f aca="false">IFERROR(VLOOKUP(TEXT(H373,"0"),IPRESS!$A$3:$B$212,2,0),"")</f>
        <v/>
      </c>
      <c r="J373" s="85"/>
      <c r="K373" s="149"/>
      <c r="L373" s="85"/>
      <c r="M373" s="85"/>
      <c r="N373" s="151"/>
      <c r="O373" s="85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85"/>
      <c r="S373" s="85"/>
      <c r="T373" s="85"/>
      <c r="U373" s="85"/>
      <c r="V373" s="85"/>
      <c r="W373" s="85"/>
      <c r="X373" s="85"/>
      <c r="Y373" s="85"/>
      <c r="Z373" s="157"/>
      <c r="AA373" s="4"/>
      <c r="AB373" s="4"/>
      <c r="AC373" s="4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49"/>
      <c r="L374" s="85"/>
      <c r="M374" s="85"/>
      <c r="N374" s="151"/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57"/>
      <c r="AA374" s="4"/>
      <c r="AB374" s="4"/>
      <c r="AC374" s="4"/>
    </row>
    <row r="375" customFormat="false" ht="15" hidden="false" customHeight="true" outlineLevel="0" collapsed="false">
      <c r="A375" s="85"/>
      <c r="B375" s="85"/>
      <c r="C375" s="85"/>
      <c r="D375" s="85"/>
      <c r="E375" s="85"/>
      <c r="F375" s="85"/>
      <c r="G375" s="85"/>
      <c r="H375" s="85"/>
      <c r="I375" s="138" t="str">
        <f aca="false">IFERROR(VLOOKUP(TEXT(H375,"0"),IPRESS!$A$3:$B$212,2,0),"")</f>
        <v/>
      </c>
      <c r="J375" s="85"/>
      <c r="K375" s="149"/>
      <c r="L375" s="85"/>
      <c r="M375" s="85"/>
      <c r="N375" s="151"/>
      <c r="O375" s="85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85"/>
      <c r="S375" s="85"/>
      <c r="T375" s="85"/>
      <c r="U375" s="85"/>
      <c r="V375" s="85"/>
      <c r="W375" s="85"/>
      <c r="X375" s="85"/>
      <c r="Y375" s="85"/>
      <c r="Z375" s="157"/>
      <c r="AA375" s="4"/>
      <c r="AB375" s="4"/>
      <c r="AC375" s="4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49"/>
      <c r="L376" s="85"/>
      <c r="M376" s="85"/>
      <c r="N376" s="151"/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57"/>
      <c r="AA376" s="4"/>
      <c r="AB376" s="4"/>
      <c r="AC376" s="4"/>
    </row>
    <row r="377" customFormat="false" ht="15" hidden="false" customHeight="true" outlineLevel="0" collapsed="false">
      <c r="A377" s="85"/>
      <c r="B377" s="85"/>
      <c r="C377" s="85"/>
      <c r="D377" s="85"/>
      <c r="E377" s="85"/>
      <c r="F377" s="85"/>
      <c r="G377" s="85"/>
      <c r="H377" s="85"/>
      <c r="I377" s="138" t="str">
        <f aca="false">IFERROR(VLOOKUP(TEXT(H377,"0"),IPRESS!$A$3:$B$212,2,0),"")</f>
        <v/>
      </c>
      <c r="J377" s="85"/>
      <c r="K377" s="149"/>
      <c r="L377" s="85"/>
      <c r="M377" s="85"/>
      <c r="N377" s="151"/>
      <c r="O377" s="85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85"/>
      <c r="S377" s="85"/>
      <c r="T377" s="85"/>
      <c r="U377" s="85"/>
      <c r="V377" s="85"/>
      <c r="W377" s="85"/>
      <c r="X377" s="85"/>
      <c r="Y377" s="85"/>
      <c r="Z377" s="157"/>
      <c r="AA377" s="4"/>
      <c r="AB377" s="4"/>
      <c r="AC377" s="4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49"/>
      <c r="L378" s="85"/>
      <c r="M378" s="85"/>
      <c r="N378" s="151"/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57"/>
      <c r="AA378" s="4"/>
      <c r="AB378" s="4"/>
      <c r="AC378" s="4"/>
    </row>
    <row r="379" customFormat="false" ht="15" hidden="false" customHeight="true" outlineLevel="0" collapsed="false">
      <c r="A379" s="85"/>
      <c r="B379" s="85"/>
      <c r="C379" s="85"/>
      <c r="D379" s="85"/>
      <c r="E379" s="85"/>
      <c r="F379" s="85"/>
      <c r="G379" s="85"/>
      <c r="H379" s="85"/>
      <c r="I379" s="138" t="str">
        <f aca="false">IFERROR(VLOOKUP(TEXT(H379,"0"),IPRESS!$A$3:$B$212,2,0),"")</f>
        <v/>
      </c>
      <c r="J379" s="85"/>
      <c r="K379" s="149"/>
      <c r="L379" s="85"/>
      <c r="M379" s="85"/>
      <c r="N379" s="151"/>
      <c r="O379" s="85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85"/>
      <c r="S379" s="85"/>
      <c r="T379" s="85"/>
      <c r="U379" s="85"/>
      <c r="V379" s="85"/>
      <c r="W379" s="85"/>
      <c r="X379" s="85"/>
      <c r="Y379" s="85"/>
      <c r="Z379" s="157"/>
      <c r="AA379" s="4"/>
      <c r="AB379" s="4"/>
      <c r="AC379" s="4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49"/>
      <c r="L380" s="85"/>
      <c r="M380" s="85"/>
      <c r="N380" s="151"/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57"/>
      <c r="AA380" s="4"/>
      <c r="AB380" s="4"/>
      <c r="AC380" s="4"/>
    </row>
    <row r="381" customFormat="false" ht="15" hidden="false" customHeight="true" outlineLevel="0" collapsed="false">
      <c r="A381" s="85"/>
      <c r="B381" s="85"/>
      <c r="C381" s="85"/>
      <c r="D381" s="85"/>
      <c r="E381" s="85"/>
      <c r="F381" s="85"/>
      <c r="G381" s="85"/>
      <c r="H381" s="85"/>
      <c r="I381" s="138" t="str">
        <f aca="false">IFERROR(VLOOKUP(TEXT(H381,"0"),IPRESS!$A$3:$B$212,2,0),"")</f>
        <v/>
      </c>
      <c r="J381" s="85"/>
      <c r="K381" s="149"/>
      <c r="L381" s="85"/>
      <c r="M381" s="85"/>
      <c r="N381" s="151"/>
      <c r="O381" s="85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85"/>
      <c r="S381" s="85"/>
      <c r="T381" s="85"/>
      <c r="U381" s="85"/>
      <c r="V381" s="85"/>
      <c r="W381" s="85"/>
      <c r="X381" s="85"/>
      <c r="Y381" s="85"/>
      <c r="Z381" s="157"/>
      <c r="AA381" s="4"/>
      <c r="AB381" s="4"/>
      <c r="AC381" s="4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49"/>
      <c r="L382" s="85"/>
      <c r="M382" s="85"/>
      <c r="N382" s="151"/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57"/>
      <c r="AA382" s="4"/>
      <c r="AB382" s="4"/>
      <c r="AC382" s="4"/>
    </row>
    <row r="383" customFormat="false" ht="15" hidden="false" customHeight="true" outlineLevel="0" collapsed="false">
      <c r="A383" s="85"/>
      <c r="B383" s="85"/>
      <c r="C383" s="85"/>
      <c r="D383" s="85"/>
      <c r="E383" s="85"/>
      <c r="F383" s="85"/>
      <c r="G383" s="85"/>
      <c r="H383" s="85"/>
      <c r="I383" s="138" t="str">
        <f aca="false">IFERROR(VLOOKUP(TEXT(H383,"0"),IPRESS!$A$3:$B$212,2,0),"")</f>
        <v/>
      </c>
      <c r="J383" s="85"/>
      <c r="K383" s="149"/>
      <c r="L383" s="85"/>
      <c r="M383" s="85"/>
      <c r="N383" s="151"/>
      <c r="O383" s="85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85"/>
      <c r="S383" s="85"/>
      <c r="T383" s="85"/>
      <c r="U383" s="85"/>
      <c r="V383" s="85"/>
      <c r="W383" s="85"/>
      <c r="X383" s="85"/>
      <c r="Y383" s="85"/>
      <c r="Z383" s="157"/>
      <c r="AA383" s="4"/>
      <c r="AB383" s="4"/>
      <c r="AC383" s="4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49"/>
      <c r="L384" s="85"/>
      <c r="M384" s="85"/>
      <c r="N384" s="151"/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57"/>
      <c r="AA384" s="4"/>
      <c r="AB384" s="4"/>
      <c r="AC384" s="4"/>
    </row>
    <row r="385" customFormat="false" ht="15" hidden="false" customHeight="true" outlineLevel="0" collapsed="false">
      <c r="A385" s="85"/>
      <c r="B385" s="85"/>
      <c r="C385" s="85"/>
      <c r="D385" s="85"/>
      <c r="E385" s="85"/>
      <c r="F385" s="85"/>
      <c r="G385" s="85"/>
      <c r="H385" s="85"/>
      <c r="I385" s="138" t="str">
        <f aca="false">IFERROR(VLOOKUP(TEXT(H385,"0"),IPRESS!$A$3:$B$212,2,0),"")</f>
        <v/>
      </c>
      <c r="J385" s="85"/>
      <c r="K385" s="149"/>
      <c r="L385" s="85"/>
      <c r="M385" s="85"/>
      <c r="N385" s="151"/>
      <c r="O385" s="85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85"/>
      <c r="S385" s="85"/>
      <c r="T385" s="85"/>
      <c r="U385" s="85"/>
      <c r="V385" s="85"/>
      <c r="W385" s="85"/>
      <c r="X385" s="85"/>
      <c r="Y385" s="85"/>
      <c r="Z385" s="157"/>
      <c r="AA385" s="4"/>
      <c r="AB385" s="4"/>
      <c r="AC385" s="4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49"/>
      <c r="L386" s="85"/>
      <c r="M386" s="85"/>
      <c r="N386" s="151"/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57"/>
      <c r="AA386" s="4"/>
      <c r="AB386" s="4"/>
      <c r="AC386" s="4"/>
    </row>
    <row r="387" customFormat="false" ht="15" hidden="false" customHeight="true" outlineLevel="0" collapsed="false">
      <c r="A387" s="85"/>
      <c r="B387" s="85"/>
      <c r="C387" s="85"/>
      <c r="D387" s="85"/>
      <c r="E387" s="85"/>
      <c r="F387" s="85"/>
      <c r="G387" s="85"/>
      <c r="H387" s="85"/>
      <c r="I387" s="138" t="str">
        <f aca="false">IFERROR(VLOOKUP(TEXT(H387,"0"),IPRESS!$A$3:$B$212,2,0),"")</f>
        <v/>
      </c>
      <c r="J387" s="85"/>
      <c r="K387" s="149"/>
      <c r="L387" s="85"/>
      <c r="M387" s="85"/>
      <c r="N387" s="151"/>
      <c r="O387" s="85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85"/>
      <c r="S387" s="85"/>
      <c r="T387" s="85"/>
      <c r="U387" s="85"/>
      <c r="V387" s="85"/>
      <c r="W387" s="85"/>
      <c r="X387" s="85"/>
      <c r="Y387" s="85"/>
      <c r="Z387" s="157"/>
      <c r="AA387" s="4"/>
      <c r="AB387" s="4"/>
      <c r="AC387" s="4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49"/>
      <c r="L388" s="85"/>
      <c r="M388" s="85"/>
      <c r="N388" s="151"/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57"/>
      <c r="AA388" s="4"/>
      <c r="AB388" s="4"/>
      <c r="AC388" s="4"/>
    </row>
    <row r="389" customFormat="false" ht="15" hidden="false" customHeight="true" outlineLevel="0" collapsed="false">
      <c r="A389" s="85"/>
      <c r="B389" s="85"/>
      <c r="C389" s="85"/>
      <c r="D389" s="85"/>
      <c r="E389" s="85"/>
      <c r="F389" s="85"/>
      <c r="G389" s="85"/>
      <c r="H389" s="85"/>
      <c r="I389" s="138" t="str">
        <f aca="false">IFERROR(VLOOKUP(TEXT(H389,"0"),IPRESS!$A$3:$B$212,2,0),"")</f>
        <v/>
      </c>
      <c r="J389" s="85"/>
      <c r="K389" s="149"/>
      <c r="L389" s="85"/>
      <c r="M389" s="85"/>
      <c r="N389" s="151"/>
      <c r="O389" s="85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85"/>
      <c r="S389" s="85"/>
      <c r="T389" s="85"/>
      <c r="U389" s="85"/>
      <c r="V389" s="85"/>
      <c r="W389" s="85"/>
      <c r="X389" s="85"/>
      <c r="Y389" s="85"/>
      <c r="Z389" s="157"/>
      <c r="AA389" s="4"/>
      <c r="AB389" s="4"/>
      <c r="AC389" s="4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49"/>
      <c r="L390" s="85"/>
      <c r="M390" s="85"/>
      <c r="N390" s="151"/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57"/>
      <c r="AA390" s="4"/>
      <c r="AB390" s="4"/>
      <c r="AC390" s="4"/>
    </row>
    <row r="391" customFormat="false" ht="15" hidden="false" customHeight="true" outlineLevel="0" collapsed="false">
      <c r="A391" s="85"/>
      <c r="B391" s="85"/>
      <c r="C391" s="85"/>
      <c r="D391" s="85"/>
      <c r="E391" s="85"/>
      <c r="F391" s="85"/>
      <c r="G391" s="85"/>
      <c r="H391" s="85"/>
      <c r="I391" s="138" t="str">
        <f aca="false">IFERROR(VLOOKUP(TEXT(H391,"0"),IPRESS!$A$3:$B$212,2,0),"")</f>
        <v/>
      </c>
      <c r="J391" s="85"/>
      <c r="K391" s="149"/>
      <c r="L391" s="85"/>
      <c r="M391" s="85"/>
      <c r="N391" s="151"/>
      <c r="O391" s="85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85"/>
      <c r="S391" s="85"/>
      <c r="T391" s="85"/>
      <c r="U391" s="85"/>
      <c r="V391" s="85"/>
      <c r="W391" s="85"/>
      <c r="X391" s="85"/>
      <c r="Y391" s="85"/>
      <c r="Z391" s="157"/>
      <c r="AA391" s="4"/>
      <c r="AB391" s="4"/>
      <c r="AC391" s="4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49"/>
      <c r="L392" s="85"/>
      <c r="M392" s="85"/>
      <c r="N392" s="151"/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57"/>
      <c r="AA392" s="4"/>
      <c r="AB392" s="4"/>
      <c r="AC392" s="4"/>
    </row>
    <row r="393" customFormat="false" ht="15" hidden="false" customHeight="true" outlineLevel="0" collapsed="false">
      <c r="A393" s="85"/>
      <c r="B393" s="85"/>
      <c r="C393" s="85"/>
      <c r="D393" s="85"/>
      <c r="E393" s="85"/>
      <c r="F393" s="85"/>
      <c r="G393" s="85"/>
      <c r="H393" s="85"/>
      <c r="I393" s="138" t="str">
        <f aca="false">IFERROR(VLOOKUP(TEXT(H393,"0"),IPRESS!$A$3:$B$212,2,0),"")</f>
        <v/>
      </c>
      <c r="J393" s="85"/>
      <c r="K393" s="149"/>
      <c r="L393" s="85"/>
      <c r="M393" s="85"/>
      <c r="N393" s="151"/>
      <c r="O393" s="85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85"/>
      <c r="S393" s="85"/>
      <c r="T393" s="85"/>
      <c r="U393" s="85"/>
      <c r="V393" s="85"/>
      <c r="W393" s="85"/>
      <c r="X393" s="85"/>
      <c r="Y393" s="85"/>
      <c r="Z393" s="157"/>
      <c r="AA393" s="4"/>
      <c r="AB393" s="4"/>
      <c r="AC393" s="4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49"/>
      <c r="L394" s="85"/>
      <c r="M394" s="85"/>
      <c r="N394" s="151"/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57"/>
      <c r="AA394" s="4"/>
      <c r="AB394" s="4"/>
      <c r="AC394" s="4"/>
    </row>
    <row r="395" customFormat="false" ht="15" hidden="false" customHeight="true" outlineLevel="0" collapsed="false">
      <c r="A395" s="85"/>
      <c r="B395" s="85"/>
      <c r="C395" s="85"/>
      <c r="D395" s="85"/>
      <c r="E395" s="85"/>
      <c r="F395" s="85"/>
      <c r="G395" s="85"/>
      <c r="H395" s="85"/>
      <c r="I395" s="138" t="str">
        <f aca="false">IFERROR(VLOOKUP(TEXT(H395,"0"),IPRESS!$A$3:$B$212,2,0),"")</f>
        <v/>
      </c>
      <c r="J395" s="85"/>
      <c r="K395" s="149"/>
      <c r="L395" s="85"/>
      <c r="M395" s="85"/>
      <c r="N395" s="151"/>
      <c r="O395" s="85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85"/>
      <c r="S395" s="85"/>
      <c r="T395" s="85"/>
      <c r="U395" s="85"/>
      <c r="V395" s="85"/>
      <c r="W395" s="85"/>
      <c r="X395" s="85"/>
      <c r="Y395" s="85"/>
      <c r="Z395" s="157"/>
      <c r="AA395" s="4"/>
      <c r="AB395" s="4"/>
      <c r="AC395" s="4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49"/>
      <c r="L396" s="85"/>
      <c r="M396" s="85"/>
      <c r="N396" s="151"/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57"/>
      <c r="AA396" s="4"/>
      <c r="AB396" s="4"/>
      <c r="AC396" s="4"/>
    </row>
    <row r="397" customFormat="false" ht="15" hidden="false" customHeight="true" outlineLevel="0" collapsed="false">
      <c r="A397" s="85"/>
      <c r="B397" s="85"/>
      <c r="C397" s="85"/>
      <c r="D397" s="85"/>
      <c r="E397" s="85"/>
      <c r="F397" s="85"/>
      <c r="G397" s="85"/>
      <c r="H397" s="85"/>
      <c r="I397" s="138" t="str">
        <f aca="false">IFERROR(VLOOKUP(TEXT(H397,"0"),IPRESS!$A$3:$B$212,2,0),"")</f>
        <v/>
      </c>
      <c r="J397" s="85"/>
      <c r="K397" s="149"/>
      <c r="L397" s="85"/>
      <c r="M397" s="85"/>
      <c r="N397" s="151"/>
      <c r="O397" s="85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85"/>
      <c r="S397" s="85"/>
      <c r="T397" s="85"/>
      <c r="U397" s="85"/>
      <c r="V397" s="85"/>
      <c r="W397" s="85"/>
      <c r="X397" s="85"/>
      <c r="Y397" s="85"/>
      <c r="Z397" s="157"/>
      <c r="AA397" s="4"/>
      <c r="AB397" s="4"/>
      <c r="AC397" s="4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49"/>
      <c r="L398" s="85"/>
      <c r="M398" s="85"/>
      <c r="N398" s="151"/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57"/>
      <c r="AA398" s="4"/>
      <c r="AB398" s="4"/>
      <c r="AC398" s="4"/>
    </row>
    <row r="399" customFormat="false" ht="15" hidden="false" customHeight="true" outlineLevel="0" collapsed="false">
      <c r="A399" s="85"/>
      <c r="B399" s="85"/>
      <c r="C399" s="85"/>
      <c r="D399" s="85"/>
      <c r="E399" s="85"/>
      <c r="F399" s="85"/>
      <c r="G399" s="85"/>
      <c r="H399" s="85"/>
      <c r="I399" s="138" t="str">
        <f aca="false">IFERROR(VLOOKUP(TEXT(H399,"0"),IPRESS!$A$3:$B$212,2,0),"")</f>
        <v/>
      </c>
      <c r="J399" s="85"/>
      <c r="K399" s="149"/>
      <c r="L399" s="85"/>
      <c r="M399" s="85"/>
      <c r="N399" s="151"/>
      <c r="O399" s="85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85"/>
      <c r="S399" s="85"/>
      <c r="T399" s="85"/>
      <c r="U399" s="85"/>
      <c r="V399" s="85"/>
      <c r="W399" s="85"/>
      <c r="X399" s="85"/>
      <c r="Y399" s="85"/>
      <c r="Z399" s="157"/>
      <c r="AA399" s="4"/>
      <c r="AB399" s="4"/>
      <c r="AC399" s="4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49"/>
      <c r="L400" s="85"/>
      <c r="M400" s="85"/>
      <c r="N400" s="151"/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57"/>
      <c r="AA400" s="4"/>
      <c r="AB400" s="4"/>
      <c r="AC400" s="4"/>
    </row>
    <row r="401" customFormat="false" ht="15" hidden="false" customHeight="true" outlineLevel="0" collapsed="false">
      <c r="A401" s="85"/>
      <c r="B401" s="85"/>
      <c r="C401" s="85"/>
      <c r="D401" s="85"/>
      <c r="E401" s="85"/>
      <c r="F401" s="85"/>
      <c r="G401" s="85"/>
      <c r="H401" s="85"/>
      <c r="I401" s="138" t="str">
        <f aca="false">IFERROR(VLOOKUP(TEXT(H401,"0"),IPRESS!$A$3:$B$212,2,0),"")</f>
        <v/>
      </c>
      <c r="J401" s="85"/>
      <c r="K401" s="149"/>
      <c r="L401" s="85"/>
      <c r="M401" s="85"/>
      <c r="N401" s="151"/>
      <c r="O401" s="85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85"/>
      <c r="S401" s="85"/>
      <c r="T401" s="85"/>
      <c r="U401" s="85"/>
      <c r="V401" s="85"/>
      <c r="W401" s="85"/>
      <c r="X401" s="85"/>
      <c r="Y401" s="85"/>
      <c r="Z401" s="157"/>
      <c r="AA401" s="4"/>
      <c r="AB401" s="4"/>
      <c r="AC401" s="4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49"/>
      <c r="L402" s="85"/>
      <c r="M402" s="85"/>
      <c r="N402" s="151"/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57"/>
      <c r="AA402" s="4"/>
      <c r="AB402" s="4"/>
      <c r="AC402" s="4"/>
    </row>
    <row r="403" customFormat="false" ht="15" hidden="false" customHeight="true" outlineLevel="0" collapsed="false">
      <c r="A403" s="85"/>
      <c r="B403" s="85"/>
      <c r="C403" s="85"/>
      <c r="D403" s="85"/>
      <c r="E403" s="85"/>
      <c r="F403" s="85"/>
      <c r="G403" s="85"/>
      <c r="H403" s="85"/>
      <c r="I403" s="138" t="str">
        <f aca="false">IFERROR(VLOOKUP(TEXT(H403,"0"),IPRESS!$A$3:$B$212,2,0),"")</f>
        <v/>
      </c>
      <c r="J403" s="85"/>
      <c r="K403" s="149"/>
      <c r="L403" s="85"/>
      <c r="M403" s="85"/>
      <c r="N403" s="151"/>
      <c r="O403" s="85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85"/>
      <c r="S403" s="85"/>
      <c r="T403" s="85"/>
      <c r="U403" s="85"/>
      <c r="V403" s="85"/>
      <c r="W403" s="85"/>
      <c r="X403" s="85"/>
      <c r="Y403" s="85"/>
      <c r="Z403" s="157"/>
      <c r="AA403" s="4"/>
      <c r="AB403" s="4"/>
      <c r="AC403" s="4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49"/>
      <c r="L404" s="85"/>
      <c r="M404" s="85"/>
      <c r="N404" s="151"/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57"/>
      <c r="AA404" s="4"/>
      <c r="AB404" s="4"/>
      <c r="AC404" s="4"/>
    </row>
    <row r="405" customFormat="false" ht="15" hidden="false" customHeight="true" outlineLevel="0" collapsed="false">
      <c r="A405" s="85"/>
      <c r="B405" s="85"/>
      <c r="C405" s="85"/>
      <c r="D405" s="85"/>
      <c r="E405" s="85"/>
      <c r="F405" s="85"/>
      <c r="G405" s="85"/>
      <c r="H405" s="85"/>
      <c r="I405" s="138" t="str">
        <f aca="false">IFERROR(VLOOKUP(TEXT(H405,"0"),IPRESS!$A$3:$B$212,2,0),"")</f>
        <v/>
      </c>
      <c r="J405" s="85"/>
      <c r="K405" s="149"/>
      <c r="L405" s="85"/>
      <c r="M405" s="85"/>
      <c r="N405" s="151"/>
      <c r="O405" s="85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85"/>
      <c r="S405" s="85"/>
      <c r="T405" s="85"/>
      <c r="U405" s="85"/>
      <c r="V405" s="85"/>
      <c r="W405" s="85"/>
      <c r="X405" s="85"/>
      <c r="Y405" s="85"/>
      <c r="Z405" s="157"/>
      <c r="AA405" s="4"/>
      <c r="AB405" s="4"/>
      <c r="AC405" s="4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49"/>
      <c r="L406" s="85"/>
      <c r="M406" s="85"/>
      <c r="N406" s="151"/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57"/>
      <c r="AA406" s="4"/>
      <c r="AB406" s="4"/>
      <c r="AC406" s="4"/>
    </row>
    <row r="407" customFormat="false" ht="15" hidden="false" customHeight="true" outlineLevel="0" collapsed="false">
      <c r="A407" s="85"/>
      <c r="B407" s="85"/>
      <c r="C407" s="85"/>
      <c r="D407" s="85"/>
      <c r="E407" s="85"/>
      <c r="F407" s="85"/>
      <c r="G407" s="85"/>
      <c r="H407" s="85"/>
      <c r="I407" s="138" t="str">
        <f aca="false">IFERROR(VLOOKUP(TEXT(H407,"0"),IPRESS!$A$3:$B$212,2,0),"")</f>
        <v/>
      </c>
      <c r="J407" s="85"/>
      <c r="K407" s="149"/>
      <c r="L407" s="85"/>
      <c r="M407" s="85"/>
      <c r="N407" s="151"/>
      <c r="O407" s="85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85"/>
      <c r="S407" s="85"/>
      <c r="T407" s="85"/>
      <c r="U407" s="85"/>
      <c r="V407" s="85"/>
      <c r="W407" s="85"/>
      <c r="X407" s="85"/>
      <c r="Y407" s="85"/>
      <c r="Z407" s="157"/>
      <c r="AA407" s="4"/>
      <c r="AB407" s="4"/>
      <c r="AC407" s="4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49"/>
      <c r="L408" s="85"/>
      <c r="M408" s="85"/>
      <c r="N408" s="151"/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57"/>
      <c r="AA408" s="4"/>
      <c r="AB408" s="4"/>
      <c r="AC408" s="4"/>
    </row>
    <row r="409" customFormat="false" ht="15" hidden="false" customHeight="true" outlineLevel="0" collapsed="false">
      <c r="A409" s="85"/>
      <c r="B409" s="85"/>
      <c r="C409" s="85"/>
      <c r="D409" s="85"/>
      <c r="E409" s="85"/>
      <c r="F409" s="85"/>
      <c r="G409" s="85"/>
      <c r="H409" s="85"/>
      <c r="I409" s="138" t="str">
        <f aca="false">IFERROR(VLOOKUP(TEXT(H409,"0"),IPRESS!$A$3:$B$212,2,0),"")</f>
        <v/>
      </c>
      <c r="J409" s="85"/>
      <c r="K409" s="149"/>
      <c r="L409" s="85"/>
      <c r="M409" s="85"/>
      <c r="N409" s="151"/>
      <c r="O409" s="85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85"/>
      <c r="S409" s="85"/>
      <c r="T409" s="85"/>
      <c r="U409" s="85"/>
      <c r="V409" s="85"/>
      <c r="W409" s="85"/>
      <c r="X409" s="85"/>
      <c r="Y409" s="85"/>
      <c r="Z409" s="157"/>
      <c r="AA409" s="4"/>
      <c r="AB409" s="4"/>
      <c r="AC409" s="4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49"/>
      <c r="L410" s="85"/>
      <c r="M410" s="85"/>
      <c r="N410" s="151"/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57"/>
      <c r="AA410" s="4"/>
      <c r="AB410" s="4"/>
      <c r="AC410" s="4"/>
    </row>
    <row r="411" customFormat="false" ht="15" hidden="false" customHeight="true" outlineLevel="0" collapsed="false">
      <c r="A411" s="85"/>
      <c r="B411" s="85"/>
      <c r="C411" s="85"/>
      <c r="D411" s="85"/>
      <c r="E411" s="85"/>
      <c r="F411" s="85"/>
      <c r="G411" s="85"/>
      <c r="H411" s="85"/>
      <c r="I411" s="138" t="str">
        <f aca="false">IFERROR(VLOOKUP(TEXT(H411,"0"),IPRESS!$A$3:$B$212,2,0),"")</f>
        <v/>
      </c>
      <c r="J411" s="85"/>
      <c r="K411" s="149"/>
      <c r="L411" s="85"/>
      <c r="M411" s="85"/>
      <c r="N411" s="151"/>
      <c r="O411" s="85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85"/>
      <c r="S411" s="85"/>
      <c r="T411" s="85"/>
      <c r="U411" s="85"/>
      <c r="V411" s="85"/>
      <c r="W411" s="85"/>
      <c r="X411" s="85"/>
      <c r="Y411" s="85"/>
      <c r="Z411" s="157"/>
      <c r="AA411" s="4"/>
      <c r="AB411" s="4"/>
      <c r="AC411" s="4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49"/>
      <c r="L412" s="85"/>
      <c r="M412" s="85"/>
      <c r="N412" s="151"/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57"/>
      <c r="AA412" s="4"/>
      <c r="AB412" s="4"/>
      <c r="AC412" s="4"/>
    </row>
    <row r="413" customFormat="false" ht="15" hidden="false" customHeight="true" outlineLevel="0" collapsed="false">
      <c r="A413" s="85"/>
      <c r="B413" s="85"/>
      <c r="C413" s="85"/>
      <c r="D413" s="85"/>
      <c r="E413" s="85"/>
      <c r="F413" s="85"/>
      <c r="G413" s="85"/>
      <c r="H413" s="85"/>
      <c r="I413" s="138" t="str">
        <f aca="false">IFERROR(VLOOKUP(TEXT(H413,"0"),IPRESS!$A$3:$B$212,2,0),"")</f>
        <v/>
      </c>
      <c r="J413" s="85"/>
      <c r="K413" s="149"/>
      <c r="L413" s="85"/>
      <c r="M413" s="85"/>
      <c r="N413" s="151"/>
      <c r="O413" s="85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85"/>
      <c r="S413" s="85"/>
      <c r="T413" s="85"/>
      <c r="U413" s="85"/>
      <c r="V413" s="85"/>
      <c r="W413" s="85"/>
      <c r="X413" s="85"/>
      <c r="Y413" s="85"/>
      <c r="Z413" s="157"/>
      <c r="AA413" s="4"/>
      <c r="AB413" s="4"/>
      <c r="AC413" s="4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49"/>
      <c r="L414" s="85"/>
      <c r="M414" s="85"/>
      <c r="N414" s="151"/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57"/>
      <c r="AA414" s="4"/>
      <c r="AB414" s="4"/>
      <c r="AC414" s="4"/>
    </row>
    <row r="415" customFormat="false" ht="15" hidden="false" customHeight="true" outlineLevel="0" collapsed="false">
      <c r="A415" s="85"/>
      <c r="B415" s="85"/>
      <c r="C415" s="85"/>
      <c r="D415" s="85"/>
      <c r="E415" s="85"/>
      <c r="F415" s="85"/>
      <c r="G415" s="85"/>
      <c r="H415" s="85"/>
      <c r="I415" s="138" t="str">
        <f aca="false">IFERROR(VLOOKUP(TEXT(H415,"0"),IPRESS!$A$3:$B$212,2,0),"")</f>
        <v/>
      </c>
      <c r="J415" s="85"/>
      <c r="K415" s="149"/>
      <c r="L415" s="85"/>
      <c r="M415" s="85"/>
      <c r="N415" s="151"/>
      <c r="O415" s="85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85"/>
      <c r="S415" s="85"/>
      <c r="T415" s="85"/>
      <c r="U415" s="85"/>
      <c r="V415" s="85"/>
      <c r="W415" s="85"/>
      <c r="X415" s="85"/>
      <c r="Y415" s="85"/>
      <c r="Z415" s="157"/>
      <c r="AA415" s="4"/>
      <c r="AB415" s="4"/>
      <c r="AC415" s="4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49"/>
      <c r="L416" s="85"/>
      <c r="M416" s="85"/>
      <c r="N416" s="151"/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57"/>
      <c r="AA416" s="4"/>
      <c r="AB416" s="4"/>
      <c r="AC416" s="4"/>
    </row>
    <row r="417" customFormat="false" ht="15" hidden="false" customHeight="true" outlineLevel="0" collapsed="false">
      <c r="A417" s="85"/>
      <c r="B417" s="85"/>
      <c r="C417" s="85"/>
      <c r="D417" s="85"/>
      <c r="E417" s="85"/>
      <c r="F417" s="85"/>
      <c r="G417" s="85"/>
      <c r="H417" s="85"/>
      <c r="I417" s="138" t="str">
        <f aca="false">IFERROR(VLOOKUP(TEXT(H417,"0"),IPRESS!$A$3:$B$212,2,0),"")</f>
        <v/>
      </c>
      <c r="J417" s="85"/>
      <c r="K417" s="149"/>
      <c r="L417" s="85"/>
      <c r="M417" s="85"/>
      <c r="N417" s="151"/>
      <c r="O417" s="85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85"/>
      <c r="S417" s="85"/>
      <c r="T417" s="85"/>
      <c r="U417" s="85"/>
      <c r="V417" s="85"/>
      <c r="W417" s="85"/>
      <c r="X417" s="85"/>
      <c r="Y417" s="85"/>
      <c r="Z417" s="157"/>
      <c r="AA417" s="4"/>
      <c r="AB417" s="4"/>
      <c r="AC417" s="4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49"/>
      <c r="L418" s="85"/>
      <c r="M418" s="85"/>
      <c r="N418" s="151"/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57"/>
      <c r="AA418" s="4"/>
      <c r="AB418" s="4"/>
      <c r="AC418" s="4"/>
    </row>
    <row r="419" customFormat="false" ht="15" hidden="false" customHeight="true" outlineLevel="0" collapsed="false">
      <c r="A419" s="85"/>
      <c r="B419" s="85"/>
      <c r="C419" s="85"/>
      <c r="D419" s="85"/>
      <c r="E419" s="85"/>
      <c r="F419" s="85"/>
      <c r="G419" s="85"/>
      <c r="H419" s="85"/>
      <c r="I419" s="138" t="str">
        <f aca="false">IFERROR(VLOOKUP(TEXT(H419,"0"),IPRESS!$A$3:$B$212,2,0),"")</f>
        <v/>
      </c>
      <c r="J419" s="85"/>
      <c r="K419" s="149"/>
      <c r="L419" s="85"/>
      <c r="M419" s="85"/>
      <c r="N419" s="151"/>
      <c r="O419" s="85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85"/>
      <c r="S419" s="85"/>
      <c r="T419" s="85"/>
      <c r="U419" s="85"/>
      <c r="V419" s="85"/>
      <c r="W419" s="85"/>
      <c r="X419" s="85"/>
      <c r="Y419" s="85"/>
      <c r="Z419" s="157"/>
      <c r="AA419" s="4"/>
      <c r="AB419" s="4"/>
      <c r="AC419" s="4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49"/>
      <c r="L420" s="85"/>
      <c r="M420" s="85"/>
      <c r="N420" s="151"/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57"/>
      <c r="AA420" s="4"/>
      <c r="AB420" s="4"/>
      <c r="AC420" s="4"/>
    </row>
    <row r="421" customFormat="false" ht="15" hidden="false" customHeight="true" outlineLevel="0" collapsed="false">
      <c r="A421" s="85"/>
      <c r="B421" s="85"/>
      <c r="C421" s="85"/>
      <c r="D421" s="85"/>
      <c r="E421" s="85"/>
      <c r="F421" s="85"/>
      <c r="G421" s="85"/>
      <c r="H421" s="85"/>
      <c r="I421" s="138" t="str">
        <f aca="false">IFERROR(VLOOKUP(TEXT(H421,"0"),IPRESS!$A$3:$B$212,2,0),"")</f>
        <v/>
      </c>
      <c r="J421" s="85"/>
      <c r="K421" s="149"/>
      <c r="L421" s="85"/>
      <c r="M421" s="85"/>
      <c r="N421" s="151"/>
      <c r="O421" s="85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85"/>
      <c r="S421" s="85"/>
      <c r="T421" s="85"/>
      <c r="U421" s="85"/>
      <c r="V421" s="85"/>
      <c r="W421" s="85"/>
      <c r="X421" s="85"/>
      <c r="Y421" s="85"/>
      <c r="Z421" s="157"/>
      <c r="AA421" s="4"/>
      <c r="AB421" s="4"/>
      <c r="AC421" s="4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49"/>
      <c r="L422" s="85"/>
      <c r="M422" s="85"/>
      <c r="N422" s="151"/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57"/>
      <c r="AA422" s="4"/>
      <c r="AB422" s="4"/>
      <c r="AC422" s="4"/>
    </row>
    <row r="423" customFormat="false" ht="15" hidden="false" customHeight="true" outlineLevel="0" collapsed="false">
      <c r="A423" s="85"/>
      <c r="B423" s="85"/>
      <c r="C423" s="85"/>
      <c r="D423" s="85"/>
      <c r="E423" s="85"/>
      <c r="F423" s="85"/>
      <c r="G423" s="85"/>
      <c r="H423" s="85"/>
      <c r="I423" s="138" t="str">
        <f aca="false">IFERROR(VLOOKUP(TEXT(H423,"0"),IPRESS!$A$3:$B$212,2,0),"")</f>
        <v/>
      </c>
      <c r="J423" s="85"/>
      <c r="K423" s="149"/>
      <c r="L423" s="85"/>
      <c r="M423" s="85"/>
      <c r="N423" s="151"/>
      <c r="O423" s="85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85"/>
      <c r="S423" s="85"/>
      <c r="T423" s="85"/>
      <c r="U423" s="85"/>
      <c r="V423" s="85"/>
      <c r="W423" s="85"/>
      <c r="X423" s="85"/>
      <c r="Y423" s="85"/>
      <c r="Z423" s="157"/>
      <c r="AA423" s="4"/>
      <c r="AB423" s="4"/>
      <c r="AC423" s="4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49"/>
      <c r="L424" s="85"/>
      <c r="M424" s="85"/>
      <c r="N424" s="151"/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57"/>
      <c r="AA424" s="4"/>
      <c r="AB424" s="4"/>
      <c r="AC424" s="4"/>
    </row>
    <row r="425" customFormat="false" ht="15" hidden="false" customHeight="true" outlineLevel="0" collapsed="false">
      <c r="A425" s="85"/>
      <c r="B425" s="85"/>
      <c r="C425" s="85"/>
      <c r="D425" s="85"/>
      <c r="E425" s="85"/>
      <c r="F425" s="85"/>
      <c r="G425" s="85"/>
      <c r="H425" s="85"/>
      <c r="I425" s="138" t="str">
        <f aca="false">IFERROR(VLOOKUP(TEXT(H425,"0"),IPRESS!$A$3:$B$212,2,0),"")</f>
        <v/>
      </c>
      <c r="J425" s="85"/>
      <c r="K425" s="149"/>
      <c r="L425" s="85"/>
      <c r="M425" s="85"/>
      <c r="N425" s="151"/>
      <c r="O425" s="85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85"/>
      <c r="S425" s="85"/>
      <c r="T425" s="85"/>
      <c r="U425" s="85"/>
      <c r="V425" s="85"/>
      <c r="W425" s="85"/>
      <c r="X425" s="85"/>
      <c r="Y425" s="85"/>
      <c r="Z425" s="157"/>
      <c r="AA425" s="4"/>
      <c r="AB425" s="4"/>
      <c r="AC425" s="4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49"/>
      <c r="L426" s="85"/>
      <c r="M426" s="85"/>
      <c r="N426" s="151"/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57"/>
      <c r="AA426" s="4"/>
      <c r="AB426" s="4"/>
      <c r="AC426" s="4"/>
    </row>
    <row r="427" customFormat="false" ht="15" hidden="false" customHeight="true" outlineLevel="0" collapsed="false">
      <c r="A427" s="85"/>
      <c r="B427" s="85"/>
      <c r="C427" s="85"/>
      <c r="D427" s="85"/>
      <c r="E427" s="85"/>
      <c r="F427" s="85"/>
      <c r="G427" s="85"/>
      <c r="H427" s="85"/>
      <c r="I427" s="138" t="str">
        <f aca="false">IFERROR(VLOOKUP(TEXT(H427,"0"),IPRESS!$A$3:$B$212,2,0),"")</f>
        <v/>
      </c>
      <c r="J427" s="85"/>
      <c r="K427" s="149"/>
      <c r="L427" s="85"/>
      <c r="M427" s="85"/>
      <c r="N427" s="151"/>
      <c r="O427" s="85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85"/>
      <c r="S427" s="85"/>
      <c r="T427" s="85"/>
      <c r="U427" s="85"/>
      <c r="V427" s="85"/>
      <c r="W427" s="85"/>
      <c r="X427" s="85"/>
      <c r="Y427" s="85"/>
      <c r="Z427" s="157"/>
      <c r="AA427" s="4"/>
      <c r="AB427" s="4"/>
      <c r="AC427" s="4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49"/>
      <c r="L428" s="85"/>
      <c r="M428" s="85"/>
      <c r="N428" s="151"/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57"/>
      <c r="AA428" s="4"/>
      <c r="AB428" s="4"/>
      <c r="AC428" s="4"/>
    </row>
    <row r="429" customFormat="false" ht="15" hidden="false" customHeight="true" outlineLevel="0" collapsed="false">
      <c r="A429" s="85"/>
      <c r="B429" s="85"/>
      <c r="C429" s="85"/>
      <c r="D429" s="85"/>
      <c r="E429" s="85"/>
      <c r="F429" s="85"/>
      <c r="G429" s="85"/>
      <c r="H429" s="85"/>
      <c r="I429" s="138" t="str">
        <f aca="false">IFERROR(VLOOKUP(TEXT(H429,"0"),IPRESS!$A$3:$B$212,2,0),"")</f>
        <v/>
      </c>
      <c r="J429" s="85"/>
      <c r="K429" s="149"/>
      <c r="L429" s="85"/>
      <c r="M429" s="85"/>
      <c r="N429" s="151"/>
      <c r="O429" s="85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85"/>
      <c r="S429" s="85"/>
      <c r="T429" s="85"/>
      <c r="U429" s="85"/>
      <c r="V429" s="85"/>
      <c r="W429" s="85"/>
      <c r="X429" s="85"/>
      <c r="Y429" s="85"/>
      <c r="Z429" s="157"/>
      <c r="AA429" s="4"/>
      <c r="AB429" s="4"/>
      <c r="AC429" s="4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49"/>
      <c r="L430" s="85"/>
      <c r="M430" s="85"/>
      <c r="N430" s="151"/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57"/>
      <c r="AA430" s="4"/>
      <c r="AB430" s="4"/>
      <c r="AC430" s="4"/>
    </row>
    <row r="431" customFormat="false" ht="15" hidden="false" customHeight="true" outlineLevel="0" collapsed="false">
      <c r="A431" s="85"/>
      <c r="B431" s="85"/>
      <c r="C431" s="85"/>
      <c r="D431" s="85"/>
      <c r="E431" s="85"/>
      <c r="F431" s="85"/>
      <c r="G431" s="85"/>
      <c r="H431" s="85"/>
      <c r="I431" s="138" t="str">
        <f aca="false">IFERROR(VLOOKUP(TEXT(H431,"0"),IPRESS!$A$3:$B$212,2,0),"")</f>
        <v/>
      </c>
      <c r="J431" s="85"/>
      <c r="K431" s="149"/>
      <c r="L431" s="85"/>
      <c r="M431" s="85"/>
      <c r="N431" s="151"/>
      <c r="O431" s="85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85"/>
      <c r="S431" s="85"/>
      <c r="T431" s="85"/>
      <c r="U431" s="85"/>
      <c r="V431" s="85"/>
      <c r="W431" s="85"/>
      <c r="X431" s="85"/>
      <c r="Y431" s="85"/>
      <c r="Z431" s="157"/>
      <c r="AA431" s="4"/>
      <c r="AB431" s="4"/>
      <c r="AC431" s="4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49"/>
      <c r="L432" s="85"/>
      <c r="M432" s="85"/>
      <c r="N432" s="151"/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57"/>
      <c r="AA432" s="4"/>
      <c r="AB432" s="4"/>
      <c r="AC432" s="4"/>
    </row>
    <row r="433" customFormat="false" ht="15" hidden="false" customHeight="true" outlineLevel="0" collapsed="false">
      <c r="A433" s="85"/>
      <c r="B433" s="85"/>
      <c r="C433" s="85"/>
      <c r="D433" s="85"/>
      <c r="E433" s="85"/>
      <c r="F433" s="85"/>
      <c r="G433" s="85"/>
      <c r="H433" s="85"/>
      <c r="I433" s="138" t="str">
        <f aca="false">IFERROR(VLOOKUP(TEXT(H433,"0"),IPRESS!$A$3:$B$212,2,0),"")</f>
        <v/>
      </c>
      <c r="J433" s="85"/>
      <c r="K433" s="149"/>
      <c r="L433" s="85"/>
      <c r="M433" s="85"/>
      <c r="N433" s="151"/>
      <c r="O433" s="85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85"/>
      <c r="S433" s="85"/>
      <c r="T433" s="85"/>
      <c r="U433" s="85"/>
      <c r="V433" s="85"/>
      <c r="W433" s="85"/>
      <c r="X433" s="85"/>
      <c r="Y433" s="85"/>
      <c r="Z433" s="157"/>
      <c r="AA433" s="4"/>
      <c r="AB433" s="4"/>
      <c r="AC433" s="4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49"/>
      <c r="L434" s="85"/>
      <c r="M434" s="85"/>
      <c r="N434" s="151"/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57"/>
      <c r="AA434" s="4"/>
      <c r="AB434" s="4"/>
      <c r="AC434" s="4"/>
    </row>
    <row r="435" customFormat="false" ht="15" hidden="false" customHeight="true" outlineLevel="0" collapsed="false">
      <c r="A435" s="85"/>
      <c r="B435" s="85"/>
      <c r="C435" s="85"/>
      <c r="D435" s="85"/>
      <c r="E435" s="85"/>
      <c r="F435" s="85"/>
      <c r="G435" s="85"/>
      <c r="H435" s="85"/>
      <c r="I435" s="138" t="str">
        <f aca="false">IFERROR(VLOOKUP(TEXT(H435,"0"),IPRESS!$A$3:$B$212,2,0),"")</f>
        <v/>
      </c>
      <c r="J435" s="85"/>
      <c r="K435" s="149"/>
      <c r="L435" s="85"/>
      <c r="M435" s="85"/>
      <c r="N435" s="151"/>
      <c r="O435" s="85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85"/>
      <c r="S435" s="85"/>
      <c r="T435" s="85"/>
      <c r="U435" s="85"/>
      <c r="V435" s="85"/>
      <c r="W435" s="85"/>
      <c r="X435" s="85"/>
      <c r="Y435" s="85"/>
      <c r="Z435" s="157"/>
      <c r="AA435" s="4"/>
      <c r="AB435" s="4"/>
      <c r="AC435" s="4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49"/>
      <c r="L436" s="85"/>
      <c r="M436" s="85"/>
      <c r="N436" s="151"/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57"/>
      <c r="AA436" s="4"/>
      <c r="AB436" s="4"/>
      <c r="AC436" s="4"/>
    </row>
    <row r="437" customFormat="false" ht="15" hidden="false" customHeight="true" outlineLevel="0" collapsed="false">
      <c r="A437" s="85"/>
      <c r="B437" s="85"/>
      <c r="C437" s="85"/>
      <c r="D437" s="85"/>
      <c r="E437" s="85"/>
      <c r="F437" s="85"/>
      <c r="G437" s="85"/>
      <c r="H437" s="85"/>
      <c r="I437" s="138" t="str">
        <f aca="false">IFERROR(VLOOKUP(TEXT(H437,"0"),IPRESS!$A$3:$B$212,2,0),"")</f>
        <v/>
      </c>
      <c r="J437" s="85"/>
      <c r="K437" s="149"/>
      <c r="L437" s="85"/>
      <c r="M437" s="85"/>
      <c r="N437" s="151"/>
      <c r="O437" s="85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85"/>
      <c r="S437" s="85"/>
      <c r="T437" s="85"/>
      <c r="U437" s="85"/>
      <c r="V437" s="85"/>
      <c r="W437" s="85"/>
      <c r="X437" s="85"/>
      <c r="Y437" s="85"/>
      <c r="Z437" s="157"/>
      <c r="AA437" s="4"/>
      <c r="AB437" s="4"/>
      <c r="AC437" s="4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49"/>
      <c r="L438" s="85"/>
      <c r="M438" s="85"/>
      <c r="N438" s="151"/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57"/>
      <c r="AA438" s="4"/>
      <c r="AB438" s="4"/>
      <c r="AC438" s="4"/>
    </row>
    <row r="439" customFormat="false" ht="15" hidden="false" customHeight="true" outlineLevel="0" collapsed="false">
      <c r="A439" s="85"/>
      <c r="B439" s="85"/>
      <c r="C439" s="85"/>
      <c r="D439" s="85"/>
      <c r="E439" s="85"/>
      <c r="F439" s="85"/>
      <c r="G439" s="85"/>
      <c r="H439" s="85"/>
      <c r="I439" s="138" t="str">
        <f aca="false">IFERROR(VLOOKUP(TEXT(H439,"0"),IPRESS!$A$3:$B$212,2,0),"")</f>
        <v/>
      </c>
      <c r="J439" s="85"/>
      <c r="K439" s="149"/>
      <c r="L439" s="85"/>
      <c r="M439" s="85"/>
      <c r="N439" s="151"/>
      <c r="O439" s="85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85"/>
      <c r="S439" s="85"/>
      <c r="T439" s="85"/>
      <c r="U439" s="85"/>
      <c r="V439" s="85"/>
      <c r="W439" s="85"/>
      <c r="X439" s="85"/>
      <c r="Y439" s="85"/>
      <c r="Z439" s="157"/>
      <c r="AA439" s="4"/>
      <c r="AB439" s="4"/>
      <c r="AC439" s="4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49"/>
      <c r="L440" s="85"/>
      <c r="M440" s="85"/>
      <c r="N440" s="151"/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57"/>
      <c r="AA440" s="4"/>
      <c r="AB440" s="4"/>
      <c r="AC440" s="4"/>
    </row>
    <row r="441" customFormat="false" ht="15" hidden="false" customHeight="true" outlineLevel="0" collapsed="false">
      <c r="A441" s="85"/>
      <c r="B441" s="85"/>
      <c r="C441" s="85"/>
      <c r="D441" s="85"/>
      <c r="E441" s="85"/>
      <c r="F441" s="85"/>
      <c r="G441" s="85"/>
      <c r="H441" s="85"/>
      <c r="I441" s="138" t="str">
        <f aca="false">IFERROR(VLOOKUP(TEXT(H441,"0"),IPRESS!$A$3:$B$212,2,0),"")</f>
        <v/>
      </c>
      <c r="J441" s="85"/>
      <c r="K441" s="149"/>
      <c r="L441" s="85"/>
      <c r="M441" s="85"/>
      <c r="N441" s="151"/>
      <c r="O441" s="85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85"/>
      <c r="S441" s="85"/>
      <c r="T441" s="85"/>
      <c r="U441" s="85"/>
      <c r="V441" s="85"/>
      <c r="W441" s="85"/>
      <c r="X441" s="85"/>
      <c r="Y441" s="85"/>
      <c r="Z441" s="157"/>
      <c r="AA441" s="4"/>
      <c r="AB441" s="4"/>
      <c r="AC441" s="4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49"/>
      <c r="L442" s="85"/>
      <c r="M442" s="85"/>
      <c r="N442" s="151"/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57"/>
      <c r="AA442" s="4"/>
      <c r="AB442" s="4"/>
      <c r="AC442" s="4"/>
    </row>
    <row r="443" customFormat="false" ht="15" hidden="false" customHeight="true" outlineLevel="0" collapsed="false">
      <c r="A443" s="85"/>
      <c r="B443" s="85"/>
      <c r="C443" s="85"/>
      <c r="D443" s="85"/>
      <c r="E443" s="85"/>
      <c r="F443" s="85"/>
      <c r="G443" s="85"/>
      <c r="H443" s="85"/>
      <c r="I443" s="138" t="str">
        <f aca="false">IFERROR(VLOOKUP(TEXT(H443,"0"),IPRESS!$A$3:$B$212,2,0),"")</f>
        <v/>
      </c>
      <c r="J443" s="85"/>
      <c r="K443" s="149"/>
      <c r="L443" s="85"/>
      <c r="M443" s="85"/>
      <c r="N443" s="151"/>
      <c r="O443" s="85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85"/>
      <c r="S443" s="85"/>
      <c r="T443" s="85"/>
      <c r="U443" s="85"/>
      <c r="V443" s="85"/>
      <c r="W443" s="85"/>
      <c r="X443" s="85"/>
      <c r="Y443" s="85"/>
      <c r="Z443" s="157"/>
      <c r="AA443" s="4"/>
      <c r="AB443" s="4"/>
      <c r="AC443" s="4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49"/>
      <c r="L444" s="85"/>
      <c r="M444" s="85"/>
      <c r="N444" s="151"/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57"/>
      <c r="AA444" s="4"/>
      <c r="AB444" s="4"/>
      <c r="AC444" s="4"/>
    </row>
    <row r="445" customFormat="false" ht="15" hidden="false" customHeight="true" outlineLevel="0" collapsed="false">
      <c r="A445" s="85"/>
      <c r="B445" s="85"/>
      <c r="C445" s="85"/>
      <c r="D445" s="85"/>
      <c r="E445" s="85"/>
      <c r="F445" s="85"/>
      <c r="G445" s="85"/>
      <c r="H445" s="85"/>
      <c r="I445" s="138" t="str">
        <f aca="false">IFERROR(VLOOKUP(TEXT(H445,"0"),IPRESS!$A$3:$B$212,2,0),"")</f>
        <v/>
      </c>
      <c r="J445" s="85"/>
      <c r="K445" s="149"/>
      <c r="L445" s="85"/>
      <c r="M445" s="85"/>
      <c r="N445" s="151"/>
      <c r="O445" s="85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85"/>
      <c r="S445" s="85"/>
      <c r="T445" s="85"/>
      <c r="U445" s="85"/>
      <c r="V445" s="85"/>
      <c r="W445" s="85"/>
      <c r="X445" s="85"/>
      <c r="Y445" s="85"/>
      <c r="Z445" s="157"/>
      <c r="AA445" s="4"/>
      <c r="AB445" s="4"/>
      <c r="AC445" s="4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49"/>
      <c r="L446" s="85"/>
      <c r="M446" s="85"/>
      <c r="N446" s="151"/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57"/>
      <c r="AA446" s="4"/>
      <c r="AB446" s="4"/>
      <c r="AC446" s="4"/>
    </row>
    <row r="447" customFormat="false" ht="15" hidden="false" customHeight="true" outlineLevel="0" collapsed="false">
      <c r="A447" s="85"/>
      <c r="B447" s="85"/>
      <c r="C447" s="85"/>
      <c r="D447" s="85"/>
      <c r="E447" s="85"/>
      <c r="F447" s="85"/>
      <c r="G447" s="85"/>
      <c r="H447" s="85"/>
      <c r="I447" s="138" t="str">
        <f aca="false">IFERROR(VLOOKUP(TEXT(H447,"0"),IPRESS!$A$3:$B$212,2,0),"")</f>
        <v/>
      </c>
      <c r="J447" s="85"/>
      <c r="K447" s="149"/>
      <c r="L447" s="85"/>
      <c r="M447" s="85"/>
      <c r="N447" s="151"/>
      <c r="O447" s="85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85"/>
      <c r="S447" s="85"/>
      <c r="T447" s="85"/>
      <c r="U447" s="85"/>
      <c r="V447" s="85"/>
      <c r="W447" s="85"/>
      <c r="X447" s="85"/>
      <c r="Y447" s="85"/>
      <c r="Z447" s="157"/>
      <c r="AA447" s="4"/>
      <c r="AB447" s="4"/>
      <c r="AC447" s="4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49"/>
      <c r="L448" s="85"/>
      <c r="M448" s="85"/>
      <c r="N448" s="151"/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57"/>
      <c r="AA448" s="4"/>
      <c r="AB448" s="4"/>
      <c r="AC448" s="4"/>
    </row>
    <row r="449" customFormat="false" ht="15" hidden="false" customHeight="true" outlineLevel="0" collapsed="false">
      <c r="A449" s="85"/>
      <c r="B449" s="85"/>
      <c r="C449" s="85"/>
      <c r="D449" s="85"/>
      <c r="E449" s="85"/>
      <c r="F449" s="85"/>
      <c r="G449" s="85"/>
      <c r="H449" s="85"/>
      <c r="I449" s="138" t="str">
        <f aca="false">IFERROR(VLOOKUP(TEXT(H449,"0"),IPRESS!$A$3:$B$212,2,0),"")</f>
        <v/>
      </c>
      <c r="J449" s="85"/>
      <c r="K449" s="149"/>
      <c r="L449" s="85"/>
      <c r="M449" s="85"/>
      <c r="N449" s="151"/>
      <c r="O449" s="85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85"/>
      <c r="S449" s="85"/>
      <c r="T449" s="85"/>
      <c r="U449" s="85"/>
      <c r="V449" s="85"/>
      <c r="W449" s="85"/>
      <c r="X449" s="85"/>
      <c r="Y449" s="85"/>
      <c r="Z449" s="157"/>
      <c r="AA449" s="4"/>
      <c r="AB449" s="4"/>
      <c r="AC449" s="4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49"/>
      <c r="L450" s="85"/>
      <c r="M450" s="85"/>
      <c r="N450" s="151"/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57"/>
      <c r="AA450" s="4"/>
      <c r="AB450" s="4"/>
      <c r="AC450" s="4"/>
    </row>
    <row r="451" customFormat="false" ht="15" hidden="false" customHeight="true" outlineLevel="0" collapsed="false">
      <c r="A451" s="85"/>
      <c r="B451" s="85"/>
      <c r="C451" s="85"/>
      <c r="D451" s="85"/>
      <c r="E451" s="85"/>
      <c r="F451" s="85"/>
      <c r="G451" s="85"/>
      <c r="H451" s="85"/>
      <c r="I451" s="138" t="str">
        <f aca="false">IFERROR(VLOOKUP(TEXT(H451,"0"),IPRESS!$A$3:$B$212,2,0),"")</f>
        <v/>
      </c>
      <c r="J451" s="85"/>
      <c r="K451" s="149"/>
      <c r="L451" s="85"/>
      <c r="M451" s="85"/>
      <c r="N451" s="151"/>
      <c r="O451" s="85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85"/>
      <c r="S451" s="85"/>
      <c r="T451" s="85"/>
      <c r="U451" s="85"/>
      <c r="V451" s="85"/>
      <c r="W451" s="85"/>
      <c r="X451" s="85"/>
      <c r="Y451" s="85"/>
      <c r="Z451" s="157"/>
      <c r="AA451" s="4"/>
      <c r="AB451" s="4"/>
      <c r="AC451" s="4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49"/>
      <c r="L452" s="85"/>
      <c r="M452" s="85"/>
      <c r="N452" s="151"/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57"/>
      <c r="AA452" s="4"/>
      <c r="AB452" s="4"/>
      <c r="AC452" s="4"/>
    </row>
    <row r="453" customFormat="false" ht="15" hidden="false" customHeight="true" outlineLevel="0" collapsed="false">
      <c r="A453" s="85"/>
      <c r="B453" s="85"/>
      <c r="C453" s="85"/>
      <c r="D453" s="85"/>
      <c r="E453" s="85"/>
      <c r="F453" s="85"/>
      <c r="G453" s="85"/>
      <c r="H453" s="85"/>
      <c r="I453" s="138" t="str">
        <f aca="false">IFERROR(VLOOKUP(TEXT(H453,"0"),IPRESS!$A$3:$B$212,2,0),"")</f>
        <v/>
      </c>
      <c r="J453" s="85"/>
      <c r="K453" s="149"/>
      <c r="L453" s="85"/>
      <c r="M453" s="85"/>
      <c r="N453" s="151"/>
      <c r="O453" s="85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85"/>
      <c r="S453" s="85"/>
      <c r="T453" s="85"/>
      <c r="U453" s="85"/>
      <c r="V453" s="85"/>
      <c r="W453" s="85"/>
      <c r="X453" s="85"/>
      <c r="Y453" s="85"/>
      <c r="Z453" s="157"/>
      <c r="AA453" s="4"/>
      <c r="AB453" s="4"/>
      <c r="AC453" s="4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49"/>
      <c r="L454" s="85"/>
      <c r="M454" s="85"/>
      <c r="N454" s="151"/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57"/>
      <c r="AA454" s="4"/>
      <c r="AB454" s="4"/>
      <c r="AC454" s="4"/>
    </row>
    <row r="455" customFormat="false" ht="15" hidden="false" customHeight="true" outlineLevel="0" collapsed="false">
      <c r="A455" s="85"/>
      <c r="B455" s="85"/>
      <c r="C455" s="85"/>
      <c r="D455" s="85"/>
      <c r="E455" s="85"/>
      <c r="F455" s="85"/>
      <c r="G455" s="85"/>
      <c r="H455" s="85"/>
      <c r="I455" s="138" t="str">
        <f aca="false">IFERROR(VLOOKUP(TEXT(H455,"0"),IPRESS!$A$3:$B$212,2,0),"")</f>
        <v/>
      </c>
      <c r="J455" s="85"/>
      <c r="K455" s="149"/>
      <c r="L455" s="85"/>
      <c r="M455" s="85"/>
      <c r="N455" s="151"/>
      <c r="O455" s="85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85"/>
      <c r="S455" s="85"/>
      <c r="T455" s="85"/>
      <c r="U455" s="85"/>
      <c r="V455" s="85"/>
      <c r="W455" s="85"/>
      <c r="X455" s="85"/>
      <c r="Y455" s="85"/>
      <c r="Z455" s="157"/>
      <c r="AA455" s="4"/>
      <c r="AB455" s="4"/>
      <c r="AC455" s="4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49"/>
      <c r="L456" s="85"/>
      <c r="M456" s="85"/>
      <c r="N456" s="151"/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57"/>
      <c r="AA456" s="4"/>
      <c r="AB456" s="4"/>
      <c r="AC456" s="4"/>
    </row>
    <row r="457" customFormat="false" ht="15" hidden="false" customHeight="true" outlineLevel="0" collapsed="false">
      <c r="A457" s="85"/>
      <c r="B457" s="85"/>
      <c r="C457" s="85"/>
      <c r="D457" s="85"/>
      <c r="E457" s="85"/>
      <c r="F457" s="85"/>
      <c r="G457" s="85"/>
      <c r="H457" s="85"/>
      <c r="I457" s="138" t="str">
        <f aca="false">IFERROR(VLOOKUP(TEXT(H457,"0"),IPRESS!$A$3:$B$212,2,0),"")</f>
        <v/>
      </c>
      <c r="J457" s="85"/>
      <c r="K457" s="149"/>
      <c r="L457" s="85"/>
      <c r="M457" s="85"/>
      <c r="N457" s="151"/>
      <c r="O457" s="85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85"/>
      <c r="S457" s="85"/>
      <c r="T457" s="85"/>
      <c r="U457" s="85"/>
      <c r="V457" s="85"/>
      <c r="W457" s="85"/>
      <c r="X457" s="85"/>
      <c r="Y457" s="85"/>
      <c r="Z457" s="157"/>
      <c r="AA457" s="4"/>
      <c r="AB457" s="4"/>
      <c r="AC457" s="4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49"/>
      <c r="L458" s="85"/>
      <c r="M458" s="85"/>
      <c r="N458" s="151"/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57"/>
      <c r="AA458" s="4"/>
      <c r="AB458" s="4"/>
      <c r="AC458" s="4"/>
    </row>
    <row r="459" customFormat="false" ht="15" hidden="false" customHeight="true" outlineLevel="0" collapsed="false">
      <c r="A459" s="85"/>
      <c r="B459" s="85"/>
      <c r="C459" s="85"/>
      <c r="D459" s="85"/>
      <c r="E459" s="85"/>
      <c r="F459" s="85"/>
      <c r="G459" s="85"/>
      <c r="H459" s="85"/>
      <c r="I459" s="138" t="str">
        <f aca="false">IFERROR(VLOOKUP(TEXT(H459,"0"),IPRESS!$A$3:$B$212,2,0),"")</f>
        <v/>
      </c>
      <c r="J459" s="85"/>
      <c r="K459" s="149"/>
      <c r="L459" s="85"/>
      <c r="M459" s="85"/>
      <c r="N459" s="151"/>
      <c r="O459" s="85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85"/>
      <c r="S459" s="85"/>
      <c r="T459" s="85"/>
      <c r="U459" s="85"/>
      <c r="V459" s="85"/>
      <c r="W459" s="85"/>
      <c r="X459" s="85"/>
      <c r="Y459" s="85"/>
      <c r="Z459" s="157"/>
      <c r="AA459" s="4"/>
      <c r="AB459" s="4"/>
      <c r="AC459" s="4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49"/>
      <c r="L460" s="85"/>
      <c r="M460" s="85"/>
      <c r="N460" s="151"/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57"/>
      <c r="AA460" s="4"/>
      <c r="AB460" s="4"/>
      <c r="AC460" s="4"/>
    </row>
    <row r="461" customFormat="false" ht="15" hidden="false" customHeight="true" outlineLevel="0" collapsed="false">
      <c r="A461" s="85"/>
      <c r="B461" s="85"/>
      <c r="C461" s="85"/>
      <c r="D461" s="85"/>
      <c r="E461" s="85"/>
      <c r="F461" s="85"/>
      <c r="G461" s="85"/>
      <c r="H461" s="85"/>
      <c r="I461" s="138" t="str">
        <f aca="false">IFERROR(VLOOKUP(TEXT(H461,"0"),IPRESS!$A$3:$B$212,2,0),"")</f>
        <v/>
      </c>
      <c r="J461" s="85"/>
      <c r="K461" s="149"/>
      <c r="L461" s="85"/>
      <c r="M461" s="85"/>
      <c r="N461" s="151"/>
      <c r="O461" s="85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85"/>
      <c r="S461" s="85"/>
      <c r="T461" s="85"/>
      <c r="U461" s="85"/>
      <c r="V461" s="85"/>
      <c r="W461" s="85"/>
      <c r="X461" s="85"/>
      <c r="Y461" s="85"/>
      <c r="Z461" s="157"/>
      <c r="AA461" s="4"/>
      <c r="AB461" s="4"/>
      <c r="AC461" s="4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49"/>
      <c r="L462" s="85"/>
      <c r="M462" s="85"/>
      <c r="N462" s="151"/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57"/>
      <c r="AA462" s="4"/>
      <c r="AB462" s="4"/>
      <c r="AC462" s="4"/>
    </row>
    <row r="463" customFormat="false" ht="15" hidden="false" customHeight="true" outlineLevel="0" collapsed="false">
      <c r="A463" s="85"/>
      <c r="B463" s="85"/>
      <c r="C463" s="85"/>
      <c r="D463" s="85"/>
      <c r="E463" s="85"/>
      <c r="F463" s="85"/>
      <c r="G463" s="85"/>
      <c r="H463" s="85"/>
      <c r="I463" s="138" t="str">
        <f aca="false">IFERROR(VLOOKUP(TEXT(H463,"0"),IPRESS!$A$3:$B$212,2,0),"")</f>
        <v/>
      </c>
      <c r="J463" s="85"/>
      <c r="K463" s="149"/>
      <c r="L463" s="85"/>
      <c r="M463" s="85"/>
      <c r="N463" s="151"/>
      <c r="O463" s="85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85"/>
      <c r="S463" s="85"/>
      <c r="T463" s="85"/>
      <c r="U463" s="85"/>
      <c r="V463" s="85"/>
      <c r="W463" s="85"/>
      <c r="X463" s="85"/>
      <c r="Y463" s="85"/>
      <c r="Z463" s="157"/>
      <c r="AA463" s="4"/>
      <c r="AB463" s="4"/>
      <c r="AC463" s="4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49"/>
      <c r="L464" s="85"/>
      <c r="M464" s="85"/>
      <c r="N464" s="151"/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57"/>
      <c r="AA464" s="4"/>
      <c r="AB464" s="4"/>
      <c r="AC464" s="4"/>
    </row>
    <row r="465" customFormat="false" ht="15" hidden="false" customHeight="true" outlineLevel="0" collapsed="false">
      <c r="A465" s="85"/>
      <c r="B465" s="85"/>
      <c r="C465" s="85"/>
      <c r="D465" s="85"/>
      <c r="E465" s="85"/>
      <c r="F465" s="85"/>
      <c r="G465" s="85"/>
      <c r="H465" s="85"/>
      <c r="I465" s="138" t="str">
        <f aca="false">IFERROR(VLOOKUP(TEXT(H465,"0"),IPRESS!$A$3:$B$212,2,0),"")</f>
        <v/>
      </c>
      <c r="J465" s="85"/>
      <c r="K465" s="149"/>
      <c r="L465" s="85"/>
      <c r="M465" s="85"/>
      <c r="N465" s="151"/>
      <c r="O465" s="85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85"/>
      <c r="S465" s="85"/>
      <c r="T465" s="85"/>
      <c r="U465" s="85"/>
      <c r="V465" s="85"/>
      <c r="W465" s="85"/>
      <c r="X465" s="85"/>
      <c r="Y465" s="85"/>
      <c r="Z465" s="157"/>
      <c r="AA465" s="4"/>
      <c r="AB465" s="4"/>
      <c r="AC465" s="4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49"/>
      <c r="L466" s="85"/>
      <c r="M466" s="85"/>
      <c r="N466" s="151"/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57"/>
      <c r="AA466" s="4"/>
      <c r="AB466" s="4"/>
      <c r="AC466" s="4"/>
    </row>
    <row r="467" customFormat="false" ht="15" hidden="false" customHeight="true" outlineLevel="0" collapsed="false">
      <c r="A467" s="85"/>
      <c r="B467" s="85"/>
      <c r="C467" s="85"/>
      <c r="D467" s="85"/>
      <c r="E467" s="85"/>
      <c r="F467" s="85"/>
      <c r="G467" s="85"/>
      <c r="H467" s="85"/>
      <c r="I467" s="138" t="str">
        <f aca="false">IFERROR(VLOOKUP(TEXT(H467,"0"),IPRESS!$A$3:$B$212,2,0),"")</f>
        <v/>
      </c>
      <c r="J467" s="85"/>
      <c r="K467" s="149"/>
      <c r="L467" s="85"/>
      <c r="M467" s="85"/>
      <c r="N467" s="151"/>
      <c r="O467" s="85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85"/>
      <c r="S467" s="85"/>
      <c r="T467" s="85"/>
      <c r="U467" s="85"/>
      <c r="V467" s="85"/>
      <c r="W467" s="85"/>
      <c r="X467" s="85"/>
      <c r="Y467" s="85"/>
      <c r="Z467" s="157"/>
      <c r="AA467" s="4"/>
      <c r="AB467" s="4"/>
      <c r="AC467" s="4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49"/>
      <c r="L468" s="85"/>
      <c r="M468" s="85"/>
      <c r="N468" s="151"/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57"/>
      <c r="AA468" s="4"/>
      <c r="AB468" s="4"/>
      <c r="AC468" s="4"/>
    </row>
    <row r="469" customFormat="false" ht="15" hidden="false" customHeight="true" outlineLevel="0" collapsed="false">
      <c r="A469" s="85"/>
      <c r="B469" s="85"/>
      <c r="C469" s="85"/>
      <c r="D469" s="85"/>
      <c r="E469" s="85"/>
      <c r="F469" s="85"/>
      <c r="G469" s="85"/>
      <c r="H469" s="85"/>
      <c r="I469" s="138" t="str">
        <f aca="false">IFERROR(VLOOKUP(TEXT(H469,"0"),IPRESS!$A$3:$B$212,2,0),"")</f>
        <v/>
      </c>
      <c r="J469" s="85"/>
      <c r="K469" s="149"/>
      <c r="L469" s="85"/>
      <c r="M469" s="85"/>
      <c r="N469" s="151"/>
      <c r="O469" s="85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85"/>
      <c r="S469" s="85"/>
      <c r="T469" s="85"/>
      <c r="U469" s="85"/>
      <c r="V469" s="85"/>
      <c r="W469" s="85"/>
      <c r="X469" s="85"/>
      <c r="Y469" s="85"/>
      <c r="Z469" s="157"/>
      <c r="AA469" s="4"/>
      <c r="AB469" s="4"/>
      <c r="AC469" s="4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49"/>
      <c r="L470" s="85"/>
      <c r="M470" s="85"/>
      <c r="N470" s="151"/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57"/>
      <c r="AA470" s="4"/>
      <c r="AB470" s="4"/>
      <c r="AC470" s="4"/>
    </row>
    <row r="471" customFormat="false" ht="15" hidden="false" customHeight="true" outlineLevel="0" collapsed="false">
      <c r="A471" s="85"/>
      <c r="B471" s="85"/>
      <c r="C471" s="85"/>
      <c r="D471" s="85"/>
      <c r="E471" s="85"/>
      <c r="F471" s="85"/>
      <c r="G471" s="85"/>
      <c r="H471" s="85"/>
      <c r="I471" s="138" t="str">
        <f aca="false">IFERROR(VLOOKUP(TEXT(H471,"0"),IPRESS!$A$3:$B$212,2,0),"")</f>
        <v/>
      </c>
      <c r="J471" s="85"/>
      <c r="K471" s="149"/>
      <c r="L471" s="85"/>
      <c r="M471" s="85"/>
      <c r="N471" s="151"/>
      <c r="O471" s="85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85"/>
      <c r="S471" s="85"/>
      <c r="T471" s="85"/>
      <c r="U471" s="85"/>
      <c r="V471" s="85"/>
      <c r="W471" s="85"/>
      <c r="X471" s="85"/>
      <c r="Y471" s="85"/>
      <c r="Z471" s="157"/>
      <c r="AA471" s="4"/>
      <c r="AB471" s="4"/>
      <c r="AC471" s="4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49"/>
      <c r="L472" s="85"/>
      <c r="M472" s="85"/>
      <c r="N472" s="151"/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57"/>
      <c r="AA472" s="4"/>
      <c r="AB472" s="4"/>
      <c r="AC472" s="4"/>
    </row>
    <row r="473" customFormat="false" ht="15" hidden="false" customHeight="true" outlineLevel="0" collapsed="false">
      <c r="A473" s="85"/>
      <c r="B473" s="85"/>
      <c r="C473" s="85"/>
      <c r="D473" s="85"/>
      <c r="E473" s="85"/>
      <c r="F473" s="85"/>
      <c r="G473" s="85"/>
      <c r="H473" s="85"/>
      <c r="I473" s="138" t="str">
        <f aca="false">IFERROR(VLOOKUP(TEXT(H473,"0"),IPRESS!$A$3:$B$212,2,0),"")</f>
        <v/>
      </c>
      <c r="J473" s="85"/>
      <c r="K473" s="149"/>
      <c r="L473" s="85"/>
      <c r="M473" s="85"/>
      <c r="N473" s="151"/>
      <c r="O473" s="85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85"/>
      <c r="S473" s="85"/>
      <c r="T473" s="85"/>
      <c r="U473" s="85"/>
      <c r="V473" s="85"/>
      <c r="W473" s="85"/>
      <c r="X473" s="85"/>
      <c r="Y473" s="85"/>
      <c r="Z473" s="157"/>
      <c r="AA473" s="4"/>
      <c r="AB473" s="4"/>
      <c r="AC473" s="4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49"/>
      <c r="L474" s="85"/>
      <c r="M474" s="85"/>
      <c r="N474" s="151"/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57"/>
      <c r="AA474" s="4"/>
      <c r="AB474" s="4"/>
      <c r="AC474" s="4"/>
    </row>
    <row r="475" customFormat="false" ht="15" hidden="false" customHeight="true" outlineLevel="0" collapsed="false">
      <c r="A475" s="85"/>
      <c r="B475" s="85"/>
      <c r="C475" s="85"/>
      <c r="D475" s="85"/>
      <c r="E475" s="85"/>
      <c r="F475" s="85"/>
      <c r="G475" s="85"/>
      <c r="H475" s="85"/>
      <c r="I475" s="138" t="str">
        <f aca="false">IFERROR(VLOOKUP(TEXT(H475,"0"),IPRESS!$A$3:$B$212,2,0),"")</f>
        <v/>
      </c>
      <c r="J475" s="85"/>
      <c r="K475" s="149"/>
      <c r="L475" s="85"/>
      <c r="M475" s="85"/>
      <c r="N475" s="151"/>
      <c r="O475" s="85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85"/>
      <c r="S475" s="85"/>
      <c r="T475" s="85"/>
      <c r="U475" s="85"/>
      <c r="V475" s="85"/>
      <c r="W475" s="85"/>
      <c r="X475" s="85"/>
      <c r="Y475" s="85"/>
      <c r="Z475" s="157"/>
      <c r="AA475" s="4"/>
      <c r="AB475" s="4"/>
      <c r="AC475" s="4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49"/>
      <c r="L476" s="85"/>
      <c r="M476" s="85"/>
      <c r="N476" s="151"/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57"/>
      <c r="AA476" s="4"/>
      <c r="AB476" s="4"/>
      <c r="AC476" s="4"/>
    </row>
    <row r="477" customFormat="false" ht="15" hidden="false" customHeight="true" outlineLevel="0" collapsed="false">
      <c r="A477" s="85"/>
      <c r="B477" s="85"/>
      <c r="C477" s="85"/>
      <c r="D477" s="85"/>
      <c r="E477" s="85"/>
      <c r="F477" s="85"/>
      <c r="G477" s="85"/>
      <c r="H477" s="85"/>
      <c r="I477" s="138" t="str">
        <f aca="false">IFERROR(VLOOKUP(TEXT(H477,"0"),IPRESS!$A$3:$B$212,2,0),"")</f>
        <v/>
      </c>
      <c r="J477" s="85"/>
      <c r="K477" s="149"/>
      <c r="L477" s="85"/>
      <c r="M477" s="85"/>
      <c r="N477" s="151"/>
      <c r="O477" s="85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85"/>
      <c r="S477" s="85"/>
      <c r="T477" s="85"/>
      <c r="U477" s="85"/>
      <c r="V477" s="85"/>
      <c r="W477" s="85"/>
      <c r="X477" s="85"/>
      <c r="Y477" s="85"/>
      <c r="Z477" s="157"/>
      <c r="AA477" s="4"/>
      <c r="AB477" s="4"/>
      <c r="AC477" s="4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49"/>
      <c r="L478" s="85"/>
      <c r="M478" s="85"/>
      <c r="N478" s="151"/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57"/>
      <c r="AA478" s="4"/>
      <c r="AB478" s="4"/>
      <c r="AC478" s="4"/>
    </row>
    <row r="479" customFormat="false" ht="15" hidden="false" customHeight="true" outlineLevel="0" collapsed="false">
      <c r="A479" s="85"/>
      <c r="B479" s="85"/>
      <c r="C479" s="85"/>
      <c r="D479" s="85"/>
      <c r="E479" s="85"/>
      <c r="F479" s="85"/>
      <c r="G479" s="85"/>
      <c r="H479" s="85"/>
      <c r="I479" s="138" t="str">
        <f aca="false">IFERROR(VLOOKUP(TEXT(H479,"0"),IPRESS!$A$3:$B$212,2,0),"")</f>
        <v/>
      </c>
      <c r="J479" s="85"/>
      <c r="K479" s="149"/>
      <c r="L479" s="85"/>
      <c r="M479" s="85"/>
      <c r="N479" s="151"/>
      <c r="O479" s="85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85"/>
      <c r="S479" s="85"/>
      <c r="T479" s="85"/>
      <c r="U479" s="85"/>
      <c r="V479" s="85"/>
      <c r="W479" s="85"/>
      <c r="X479" s="85"/>
      <c r="Y479" s="85"/>
      <c r="Z479" s="157"/>
      <c r="AA479" s="4"/>
      <c r="AB479" s="4"/>
      <c r="AC479" s="4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49"/>
      <c r="L480" s="85"/>
      <c r="M480" s="85"/>
      <c r="N480" s="151"/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57"/>
      <c r="AA480" s="4"/>
      <c r="AB480" s="4"/>
      <c r="AC480" s="4"/>
    </row>
    <row r="481" customFormat="false" ht="15" hidden="false" customHeight="true" outlineLevel="0" collapsed="false">
      <c r="A481" s="85"/>
      <c r="B481" s="85"/>
      <c r="C481" s="85"/>
      <c r="D481" s="85"/>
      <c r="E481" s="85"/>
      <c r="F481" s="85"/>
      <c r="G481" s="85"/>
      <c r="H481" s="85"/>
      <c r="I481" s="138" t="str">
        <f aca="false">IFERROR(VLOOKUP(TEXT(H481,"0"),IPRESS!$A$3:$B$212,2,0),"")</f>
        <v/>
      </c>
      <c r="J481" s="85"/>
      <c r="K481" s="149"/>
      <c r="L481" s="85"/>
      <c r="M481" s="85"/>
      <c r="N481" s="151"/>
      <c r="O481" s="85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85"/>
      <c r="S481" s="85"/>
      <c r="T481" s="85"/>
      <c r="U481" s="85"/>
      <c r="V481" s="85"/>
      <c r="W481" s="85"/>
      <c r="X481" s="85"/>
      <c r="Y481" s="85"/>
      <c r="Z481" s="157"/>
      <c r="AA481" s="4"/>
      <c r="AB481" s="4"/>
      <c r="AC481" s="4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49"/>
      <c r="L482" s="85"/>
      <c r="M482" s="85"/>
      <c r="N482" s="151"/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57"/>
      <c r="AA482" s="4"/>
      <c r="AB482" s="4"/>
      <c r="AC482" s="4"/>
    </row>
    <row r="483" customFormat="false" ht="15" hidden="false" customHeight="true" outlineLevel="0" collapsed="false">
      <c r="A483" s="85"/>
      <c r="B483" s="85"/>
      <c r="C483" s="85"/>
      <c r="D483" s="85"/>
      <c r="E483" s="85"/>
      <c r="F483" s="85"/>
      <c r="G483" s="85"/>
      <c r="H483" s="85"/>
      <c r="I483" s="138" t="str">
        <f aca="false">IFERROR(VLOOKUP(TEXT(H483,"0"),IPRESS!$A$3:$B$212,2,0),"")</f>
        <v/>
      </c>
      <c r="J483" s="85"/>
      <c r="K483" s="149"/>
      <c r="L483" s="85"/>
      <c r="M483" s="85"/>
      <c r="N483" s="151"/>
      <c r="O483" s="85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85"/>
      <c r="S483" s="85"/>
      <c r="T483" s="85"/>
      <c r="U483" s="85"/>
      <c r="V483" s="85"/>
      <c r="W483" s="85"/>
      <c r="X483" s="85"/>
      <c r="Y483" s="85"/>
      <c r="Z483" s="157"/>
      <c r="AA483" s="4"/>
      <c r="AB483" s="4"/>
      <c r="AC483" s="4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49"/>
      <c r="L484" s="85"/>
      <c r="M484" s="85"/>
      <c r="N484" s="151"/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57"/>
      <c r="AA484" s="4"/>
      <c r="AB484" s="4"/>
      <c r="AC484" s="4"/>
    </row>
    <row r="485" customFormat="false" ht="15" hidden="false" customHeight="true" outlineLevel="0" collapsed="false">
      <c r="A485" s="85"/>
      <c r="B485" s="85"/>
      <c r="C485" s="85"/>
      <c r="D485" s="85"/>
      <c r="E485" s="85"/>
      <c r="F485" s="85"/>
      <c r="G485" s="85"/>
      <c r="H485" s="85"/>
      <c r="I485" s="138" t="str">
        <f aca="false">IFERROR(VLOOKUP(TEXT(H485,"0"),IPRESS!$A$3:$B$212,2,0),"")</f>
        <v/>
      </c>
      <c r="J485" s="85"/>
      <c r="K485" s="149"/>
      <c r="L485" s="85"/>
      <c r="M485" s="85"/>
      <c r="N485" s="151"/>
      <c r="O485" s="85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85"/>
      <c r="S485" s="85"/>
      <c r="T485" s="85"/>
      <c r="U485" s="85"/>
      <c r="V485" s="85"/>
      <c r="W485" s="85"/>
      <c r="X485" s="85"/>
      <c r="Y485" s="85"/>
      <c r="Z485" s="157"/>
      <c r="AA485" s="4"/>
      <c r="AB485" s="4"/>
      <c r="AC485" s="4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49"/>
      <c r="L486" s="85"/>
      <c r="M486" s="85"/>
      <c r="N486" s="151"/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57"/>
      <c r="AA486" s="4"/>
      <c r="AB486" s="4"/>
      <c r="AC486" s="4"/>
    </row>
    <row r="487" customFormat="false" ht="15" hidden="false" customHeight="true" outlineLevel="0" collapsed="false">
      <c r="A487" s="85"/>
      <c r="B487" s="85"/>
      <c r="C487" s="85"/>
      <c r="D487" s="85"/>
      <c r="E487" s="85"/>
      <c r="F487" s="85"/>
      <c r="G487" s="85"/>
      <c r="H487" s="85"/>
      <c r="I487" s="138" t="str">
        <f aca="false">IFERROR(VLOOKUP(TEXT(H487,"0"),IPRESS!$A$3:$B$212,2,0),"")</f>
        <v/>
      </c>
      <c r="J487" s="85"/>
      <c r="K487" s="149"/>
      <c r="L487" s="85"/>
      <c r="M487" s="85"/>
      <c r="N487" s="151"/>
      <c r="O487" s="85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85"/>
      <c r="S487" s="85"/>
      <c r="T487" s="85"/>
      <c r="U487" s="85"/>
      <c r="V487" s="85"/>
      <c r="W487" s="85"/>
      <c r="X487" s="85"/>
      <c r="Y487" s="85"/>
      <c r="Z487" s="157"/>
      <c r="AA487" s="4"/>
      <c r="AB487" s="4"/>
      <c r="AC487" s="4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49"/>
      <c r="L488" s="85"/>
      <c r="M488" s="85"/>
      <c r="N488" s="151"/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57"/>
      <c r="AA488" s="4"/>
      <c r="AB488" s="4"/>
      <c r="AC488" s="4"/>
    </row>
    <row r="489" customFormat="false" ht="15" hidden="false" customHeight="true" outlineLevel="0" collapsed="false">
      <c r="A489" s="85"/>
      <c r="B489" s="85"/>
      <c r="C489" s="85"/>
      <c r="D489" s="85"/>
      <c r="E489" s="85"/>
      <c r="F489" s="85"/>
      <c r="G489" s="85"/>
      <c r="H489" s="85"/>
      <c r="I489" s="138" t="str">
        <f aca="false">IFERROR(VLOOKUP(TEXT(H489,"0"),IPRESS!$A$3:$B$212,2,0),"")</f>
        <v/>
      </c>
      <c r="J489" s="85"/>
      <c r="K489" s="149"/>
      <c r="L489" s="85"/>
      <c r="M489" s="85"/>
      <c r="N489" s="151"/>
      <c r="O489" s="85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85"/>
      <c r="S489" s="85"/>
      <c r="T489" s="85"/>
      <c r="U489" s="85"/>
      <c r="V489" s="85"/>
      <c r="W489" s="85"/>
      <c r="X489" s="85"/>
      <c r="Y489" s="85"/>
      <c r="Z489" s="157"/>
      <c r="AA489" s="4"/>
      <c r="AB489" s="4"/>
      <c r="AC489" s="4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49"/>
      <c r="L490" s="85"/>
      <c r="M490" s="85"/>
      <c r="N490" s="151"/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57"/>
      <c r="AA490" s="4"/>
      <c r="AB490" s="4"/>
      <c r="AC490" s="4"/>
    </row>
    <row r="491" customFormat="false" ht="15" hidden="false" customHeight="true" outlineLevel="0" collapsed="false">
      <c r="A491" s="85"/>
      <c r="B491" s="85"/>
      <c r="C491" s="85"/>
      <c r="D491" s="85"/>
      <c r="E491" s="85"/>
      <c r="F491" s="85"/>
      <c r="G491" s="85"/>
      <c r="H491" s="85"/>
      <c r="I491" s="138" t="str">
        <f aca="false">IFERROR(VLOOKUP(TEXT(H491,"0"),IPRESS!$A$3:$B$212,2,0),"")</f>
        <v/>
      </c>
      <c r="J491" s="85"/>
      <c r="K491" s="149"/>
      <c r="L491" s="85"/>
      <c r="M491" s="85"/>
      <c r="N491" s="151"/>
      <c r="O491" s="85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85"/>
      <c r="S491" s="85"/>
      <c r="T491" s="85"/>
      <c r="U491" s="85"/>
      <c r="V491" s="85"/>
      <c r="W491" s="85"/>
      <c r="X491" s="85"/>
      <c r="Y491" s="85"/>
      <c r="Z491" s="157"/>
      <c r="AA491" s="4"/>
      <c r="AB491" s="4"/>
      <c r="AC491" s="4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49"/>
      <c r="L492" s="85"/>
      <c r="M492" s="85"/>
      <c r="N492" s="151"/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57"/>
      <c r="AA492" s="4"/>
      <c r="AB492" s="4"/>
      <c r="AC492" s="4"/>
    </row>
    <row r="493" customFormat="false" ht="15" hidden="false" customHeight="true" outlineLevel="0" collapsed="false">
      <c r="A493" s="85"/>
      <c r="B493" s="85"/>
      <c r="C493" s="85"/>
      <c r="D493" s="85"/>
      <c r="E493" s="85"/>
      <c r="F493" s="85"/>
      <c r="G493" s="85"/>
      <c r="H493" s="85"/>
      <c r="I493" s="138" t="str">
        <f aca="false">IFERROR(VLOOKUP(TEXT(H493,"0"),IPRESS!$A$3:$B$212,2,0),"")</f>
        <v/>
      </c>
      <c r="J493" s="85"/>
      <c r="K493" s="149"/>
      <c r="L493" s="85"/>
      <c r="M493" s="85"/>
      <c r="N493" s="151"/>
      <c r="O493" s="85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85"/>
      <c r="S493" s="85"/>
      <c r="T493" s="85"/>
      <c r="U493" s="85"/>
      <c r="V493" s="85"/>
      <c r="W493" s="85"/>
      <c r="X493" s="85"/>
      <c r="Y493" s="85"/>
      <c r="Z493" s="157"/>
      <c r="AA493" s="4"/>
      <c r="AB493" s="4"/>
      <c r="AC493" s="4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49"/>
      <c r="L494" s="85"/>
      <c r="M494" s="85"/>
      <c r="N494" s="151"/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57"/>
      <c r="AA494" s="4"/>
      <c r="AB494" s="4"/>
      <c r="AC494" s="4"/>
    </row>
    <row r="495" customFormat="false" ht="15" hidden="false" customHeight="true" outlineLevel="0" collapsed="false">
      <c r="A495" s="85"/>
      <c r="B495" s="85"/>
      <c r="C495" s="85"/>
      <c r="D495" s="85"/>
      <c r="E495" s="85"/>
      <c r="F495" s="85"/>
      <c r="G495" s="85"/>
      <c r="H495" s="85"/>
      <c r="I495" s="138" t="str">
        <f aca="false">IFERROR(VLOOKUP(TEXT(H495,"0"),IPRESS!$A$3:$B$212,2,0),"")</f>
        <v/>
      </c>
      <c r="J495" s="85"/>
      <c r="K495" s="149"/>
      <c r="L495" s="85"/>
      <c r="M495" s="85"/>
      <c r="N495" s="151"/>
      <c r="O495" s="85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85"/>
      <c r="S495" s="85"/>
      <c r="T495" s="85"/>
      <c r="U495" s="85"/>
      <c r="V495" s="85"/>
      <c r="W495" s="85"/>
      <c r="X495" s="85"/>
      <c r="Y495" s="85"/>
      <c r="Z495" s="157"/>
      <c r="AA495" s="4"/>
      <c r="AB495" s="4"/>
      <c r="AC495" s="4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49"/>
      <c r="L496" s="85"/>
      <c r="M496" s="85"/>
      <c r="N496" s="151"/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57"/>
      <c r="AA496" s="4"/>
      <c r="AB496" s="4"/>
      <c r="AC496" s="4"/>
    </row>
    <row r="497" customFormat="false" ht="15" hidden="false" customHeight="true" outlineLevel="0" collapsed="false">
      <c r="A497" s="85"/>
      <c r="B497" s="85"/>
      <c r="C497" s="85"/>
      <c r="D497" s="85"/>
      <c r="E497" s="85"/>
      <c r="F497" s="85"/>
      <c r="G497" s="85"/>
      <c r="H497" s="85"/>
      <c r="I497" s="138" t="str">
        <f aca="false">IFERROR(VLOOKUP(TEXT(H497,"0"),IPRESS!$A$3:$B$212,2,0),"")</f>
        <v/>
      </c>
      <c r="J497" s="85"/>
      <c r="K497" s="149"/>
      <c r="L497" s="85"/>
      <c r="M497" s="85"/>
      <c r="N497" s="151"/>
      <c r="O497" s="85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85"/>
      <c r="S497" s="85"/>
      <c r="T497" s="85"/>
      <c r="U497" s="85"/>
      <c r="V497" s="85"/>
      <c r="W497" s="85"/>
      <c r="X497" s="85"/>
      <c r="Y497" s="85"/>
      <c r="Z497" s="157"/>
      <c r="AA497" s="4"/>
      <c r="AB497" s="4"/>
      <c r="AC497" s="4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49"/>
      <c r="L498" s="85"/>
      <c r="M498" s="85"/>
      <c r="N498" s="151"/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57"/>
      <c r="AA498" s="4"/>
      <c r="AB498" s="4"/>
      <c r="AC498" s="4"/>
    </row>
    <row r="499" customFormat="false" ht="15" hidden="false" customHeight="true" outlineLevel="0" collapsed="false">
      <c r="A499" s="85"/>
      <c r="B499" s="85"/>
      <c r="C499" s="85"/>
      <c r="D499" s="85"/>
      <c r="E499" s="85"/>
      <c r="F499" s="85"/>
      <c r="G499" s="85"/>
      <c r="H499" s="85"/>
      <c r="I499" s="138" t="str">
        <f aca="false">IFERROR(VLOOKUP(TEXT(H499,"0"),IPRESS!$A$3:$B$212,2,0),"")</f>
        <v/>
      </c>
      <c r="J499" s="85"/>
      <c r="K499" s="149"/>
      <c r="L499" s="85"/>
      <c r="M499" s="85"/>
      <c r="N499" s="151"/>
      <c r="O499" s="85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85"/>
      <c r="S499" s="85"/>
      <c r="T499" s="85"/>
      <c r="U499" s="85"/>
      <c r="V499" s="85"/>
      <c r="W499" s="85"/>
      <c r="X499" s="85"/>
      <c r="Y499" s="85"/>
      <c r="Z499" s="157"/>
      <c r="AA499" s="4"/>
      <c r="AB499" s="4"/>
      <c r="AC499" s="4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49"/>
      <c r="L500" s="85"/>
      <c r="M500" s="85"/>
      <c r="N500" s="151"/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57"/>
      <c r="AA500" s="4"/>
      <c r="AB500" s="4"/>
      <c r="AC500" s="4"/>
    </row>
    <row r="501" customFormat="false" ht="15" hidden="false" customHeight="true" outlineLevel="0" collapsed="false">
      <c r="A501" s="85"/>
      <c r="B501" s="85"/>
      <c r="C501" s="85"/>
      <c r="D501" s="85"/>
      <c r="E501" s="85"/>
      <c r="F501" s="85"/>
      <c r="G501" s="85"/>
      <c r="H501" s="85"/>
      <c r="I501" s="138" t="str">
        <f aca="false">IFERROR(VLOOKUP(TEXT(H501,"0"),IPRESS!$A$3:$B$212,2,0),"")</f>
        <v/>
      </c>
      <c r="J501" s="85"/>
      <c r="K501" s="149"/>
      <c r="L501" s="85"/>
      <c r="M501" s="85"/>
      <c r="N501" s="151"/>
      <c r="O501" s="85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85"/>
      <c r="S501" s="85"/>
      <c r="T501" s="85"/>
      <c r="U501" s="85"/>
      <c r="V501" s="85"/>
      <c r="W501" s="85"/>
      <c r="X501" s="85"/>
      <c r="Y501" s="85"/>
      <c r="Z501" s="157"/>
      <c r="AA501" s="4"/>
      <c r="AB501" s="4"/>
      <c r="AC501" s="4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49"/>
      <c r="L502" s="85"/>
      <c r="M502" s="85"/>
      <c r="N502" s="151"/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57"/>
      <c r="AA502" s="4"/>
      <c r="AB502" s="4"/>
      <c r="AC502" s="4"/>
    </row>
    <row r="503" customFormat="false" ht="15" hidden="false" customHeight="true" outlineLevel="0" collapsed="false">
      <c r="A503" s="85"/>
      <c r="B503" s="85"/>
      <c r="C503" s="85"/>
      <c r="D503" s="85"/>
      <c r="E503" s="85"/>
      <c r="F503" s="85"/>
      <c r="G503" s="85"/>
      <c r="H503" s="85"/>
      <c r="I503" s="138" t="str">
        <f aca="false">IFERROR(VLOOKUP(TEXT(H503,"0"),IPRESS!$A$3:$B$212,2,0),"")</f>
        <v/>
      </c>
      <c r="J503" s="85"/>
      <c r="K503" s="149"/>
      <c r="L503" s="85"/>
      <c r="M503" s="85"/>
      <c r="N503" s="151"/>
      <c r="O503" s="85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85"/>
      <c r="S503" s="85"/>
      <c r="T503" s="85"/>
      <c r="U503" s="85"/>
      <c r="V503" s="85"/>
      <c r="W503" s="85"/>
      <c r="X503" s="85"/>
      <c r="Y503" s="85"/>
      <c r="Z503" s="157"/>
      <c r="AA503" s="4"/>
      <c r="AB503" s="4"/>
      <c r="AC503" s="4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49"/>
      <c r="L504" s="85"/>
      <c r="M504" s="85"/>
      <c r="N504" s="151"/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57"/>
      <c r="AA504" s="4"/>
      <c r="AB504" s="4"/>
      <c r="AC504" s="4"/>
    </row>
    <row r="505" customFormat="false" ht="15" hidden="false" customHeight="true" outlineLevel="0" collapsed="false">
      <c r="A505" s="85"/>
      <c r="B505" s="85"/>
      <c r="C505" s="85"/>
      <c r="D505" s="85"/>
      <c r="E505" s="85"/>
      <c r="F505" s="85"/>
      <c r="G505" s="85"/>
      <c r="H505" s="85"/>
      <c r="I505" s="138" t="str">
        <f aca="false">IFERROR(VLOOKUP(TEXT(H505,"0"),IPRESS!$A$3:$B$212,2,0),"")</f>
        <v/>
      </c>
      <c r="J505" s="85"/>
      <c r="K505" s="149"/>
      <c r="L505" s="85"/>
      <c r="M505" s="85"/>
      <c r="N505" s="151"/>
      <c r="O505" s="85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85"/>
      <c r="S505" s="85"/>
      <c r="T505" s="85"/>
      <c r="U505" s="85"/>
      <c r="V505" s="85"/>
      <c r="W505" s="85"/>
      <c r="X505" s="85"/>
      <c r="Y505" s="85"/>
      <c r="Z505" s="157"/>
      <c r="AA505" s="4"/>
      <c r="AB505" s="4"/>
      <c r="AC505" s="4"/>
    </row>
    <row r="506" customFormat="false" ht="21.75" hidden="false" customHeight="true" outlineLevel="0" collapsed="false">
      <c r="A506" s="167"/>
      <c r="B506" s="167"/>
      <c r="C506" s="167"/>
      <c r="D506" s="167"/>
      <c r="E506" s="167"/>
      <c r="F506" s="167"/>
      <c r="G506" s="167"/>
      <c r="H506" s="4"/>
      <c r="J506" s="4"/>
      <c r="K506" s="4"/>
      <c r="L506" s="4"/>
      <c r="M506" s="168"/>
      <c r="N506" s="168"/>
      <c r="O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  <c r="O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customFormat="false" ht="1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  <c r="O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  <c r="O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customFormat="false" ht="1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  <c r="O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01:J101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Y6:Y110">
    <cfRule type="expression" priority="9" aboveAverage="0" equalAverage="0" bottom="0" percent="0" rank="0" text="" dxfId="9">
      <formula>Y6&lt;&gt;""</formula>
    </cfRule>
  </conditionalFormatting>
  <conditionalFormatting sqref="Z6:Z110">
    <cfRule type="expression" priority="10" aboveAverage="0" equalAverage="0" bottom="0" percent="0" rank="0" text="" dxfId="0">
      <formula>Z6="ENTREGADO"</formula>
    </cfRule>
    <cfRule type="expression" priority="11" aboveAverage="0" equalAverage="0" bottom="0" percent="0" rank="0" text="" dxfId="7">
      <formula>Z6="POR RECOGER"</formula>
    </cfRule>
  </conditionalFormatting>
  <dataValidations count="4"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00 E102:E505" type="list">
      <formula1>"DNI,CE,PASAPORTE"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6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28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22" t="s">
        <v>5152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customFormat="false" ht="21.75" hidden="false" customHeight="true" outlineLevel="0" collapsed="false">
      <c r="A2" s="123" t="s">
        <v>724</v>
      </c>
      <c r="B2" s="123"/>
      <c r="C2" s="123"/>
      <c r="D2" s="124" t="n">
        <f aca="false">IFERROR(SUMPRODUCT((K6:K99="PETROLEO")*ISNUMBER(M6:M99)*M6:M99),0)</f>
        <v>0</v>
      </c>
      <c r="E2" s="124"/>
      <c r="F2" s="124"/>
      <c r="G2" s="123" t="s">
        <v>725</v>
      </c>
      <c r="H2" s="123"/>
      <c r="I2" s="123"/>
      <c r="J2" s="124" t="n">
        <f aca="false">IFERROR(SUMPRODUCT((K6:K99="GASOLINA")*ISNUMBER(M6:M99)*M6:M99),0)</f>
        <v>0</v>
      </c>
      <c r="K2" s="124"/>
      <c r="L2" s="124"/>
      <c r="M2" s="123" t="s">
        <v>726</v>
      </c>
      <c r="N2" s="123"/>
      <c r="O2" s="123"/>
      <c r="P2" s="125" t="n">
        <f aca="false">IFERROR(SUMPRODUCT(ISNUMBER(M6:M99)*L6:L99*M6:M99),0)</f>
        <v>0</v>
      </c>
      <c r="Q2" s="125"/>
      <c r="R2" s="125"/>
      <c r="S2" s="123" t="s">
        <v>727</v>
      </c>
      <c r="T2" s="123"/>
      <c r="U2" s="126" t="n">
        <f aca="false">SUBTOTAL(2,A6:A99)</f>
        <v>94</v>
      </c>
      <c r="V2" s="126"/>
      <c r="W2" s="127" t="s">
        <v>728</v>
      </c>
      <c r="X2" s="127"/>
      <c r="Y2" s="127"/>
      <c r="Z2" s="127"/>
      <c r="AA2" s="127"/>
      <c r="AB2" s="127"/>
      <c r="AC2" s="127"/>
    </row>
    <row r="3" customFormat="false" ht="3.75" hidden="false" customHeight="true" outlineLevel="0" collapsed="false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</row>
    <row r="4" customFormat="false" ht="19.5" hidden="false" customHeight="true" outlineLevel="0" collapsed="false">
      <c r="A4" s="130" t="s">
        <v>730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</row>
    <row r="5" customFormat="false" ht="30" hidden="false" customHeight="true" outlineLevel="0" collapsed="false">
      <c r="A5" s="131" t="s">
        <v>97</v>
      </c>
      <c r="B5" s="132" t="s">
        <v>731</v>
      </c>
      <c r="C5" s="132" t="s">
        <v>732</v>
      </c>
      <c r="D5" s="132" t="s">
        <v>319</v>
      </c>
      <c r="E5" s="132" t="s">
        <v>733</v>
      </c>
      <c r="F5" s="132" t="s">
        <v>734</v>
      </c>
      <c r="G5" s="132" t="s">
        <v>735</v>
      </c>
      <c r="H5" s="132" t="s">
        <v>736</v>
      </c>
      <c r="I5" s="133" t="s">
        <v>737</v>
      </c>
      <c r="J5" s="132" t="s">
        <v>738</v>
      </c>
      <c r="K5" s="133" t="s">
        <v>739</v>
      </c>
      <c r="L5" s="132" t="s">
        <v>740</v>
      </c>
      <c r="M5" s="132" t="s">
        <v>4</v>
      </c>
      <c r="N5" s="133" t="s">
        <v>741</v>
      </c>
      <c r="O5" s="132" t="s">
        <v>742</v>
      </c>
      <c r="P5" s="133" t="s">
        <v>4527</v>
      </c>
      <c r="Q5" s="133" t="s">
        <v>104</v>
      </c>
      <c r="R5" s="132" t="s">
        <v>743</v>
      </c>
      <c r="S5" s="132" t="s">
        <v>744</v>
      </c>
      <c r="T5" s="132" t="s">
        <v>745</v>
      </c>
      <c r="U5" s="132" t="s">
        <v>746</v>
      </c>
      <c r="V5" s="132" t="s">
        <v>747</v>
      </c>
      <c r="W5" s="132" t="s">
        <v>748</v>
      </c>
      <c r="X5" s="132" t="s">
        <v>749</v>
      </c>
      <c r="Y5" s="155" t="s">
        <v>729</v>
      </c>
      <c r="Z5" s="156" t="s">
        <v>4528</v>
      </c>
    </row>
    <row r="6" customFormat="false" ht="15.75" hidden="false" customHeight="true" outlineLevel="0" collapsed="false">
      <c r="A6" s="106" t="n">
        <v>1</v>
      </c>
      <c r="B6" s="107"/>
      <c r="C6" s="106" t="s">
        <v>752</v>
      </c>
      <c r="D6" s="107"/>
      <c r="E6" s="136" t="s">
        <v>99</v>
      </c>
      <c r="F6" s="106"/>
      <c r="G6" s="140"/>
      <c r="H6" s="106"/>
      <c r="I6" s="138" t="str">
        <f aca="false">IFERROR(VLOOKUP(TEXT(H6,"0"),IPRESS!$A$3:$B$212,2,0),"")</f>
        <v/>
      </c>
      <c r="J6" s="106"/>
      <c r="K6" s="138"/>
      <c r="L6" s="50" t="n">
        <v>18.18</v>
      </c>
      <c r="M6" s="50"/>
      <c r="N6" s="139" t="str">
        <f aca="false">IFERROR(IF(L6*M6=0,"",L6*M6),"")</f>
        <v/>
      </c>
      <c r="O6" s="106"/>
      <c r="P6" s="138" t="str">
        <f aca="false">IFERROR(VLOOKUP(TEXT(O6,"0"),CONDUCTORES!$A$3:$G$100,2,0),"")</f>
        <v/>
      </c>
      <c r="Q6" s="138" t="str">
        <f aca="false">IFERROR(VLOOKUP(TEXT(O6,"0"),CONDUCTORES!$A$3:$H$100,6,0),"")</f>
        <v/>
      </c>
      <c r="R6" s="140"/>
      <c r="S6" s="107"/>
      <c r="T6" s="136"/>
      <c r="U6" s="140"/>
      <c r="V6" s="107"/>
      <c r="W6" s="106"/>
      <c r="X6" s="106"/>
      <c r="Y6" s="85"/>
      <c r="Z6" s="157" t="str">
        <f aca="false">IF(AND(R6&lt;&gt;"",V6&lt;&gt;"",W6&lt;&gt;""),"ENTREGADO","POR RECOGER")</f>
        <v>POR RECOGER</v>
      </c>
      <c r="AA6" s="4"/>
      <c r="AB6" s="4"/>
      <c r="AC6" s="4"/>
    </row>
    <row r="7" customFormat="false" ht="15.75" hidden="false" customHeight="true" outlineLevel="0" collapsed="false">
      <c r="A7" s="46" t="n">
        <v>2</v>
      </c>
      <c r="B7" s="110"/>
      <c r="C7" s="46" t="s">
        <v>752</v>
      </c>
      <c r="D7" s="110"/>
      <c r="E7" s="46" t="s">
        <v>99</v>
      </c>
      <c r="F7" s="46"/>
      <c r="G7" s="85"/>
      <c r="H7" s="46"/>
      <c r="I7" s="138" t="str">
        <f aca="false">IFERROR(VLOOKUP(TEXT(H7,"0"),IPRESS!$A$3:$B$212,2,0),"")</f>
        <v/>
      </c>
      <c r="J7" s="46"/>
      <c r="K7" s="138"/>
      <c r="L7" s="44" t="n">
        <v>18.18</v>
      </c>
      <c r="M7" s="44"/>
      <c r="N7" s="139" t="str">
        <f aca="false">IFERROR(IF(L7*M7=0,"",L7*M7),"")</f>
        <v/>
      </c>
      <c r="O7" s="46"/>
      <c r="P7" s="138" t="str">
        <f aca="false">IFERROR(VLOOKUP(TEXT(O7,"0"),CONDUCTORES!$A$3:$G$100,2,0),"")</f>
        <v/>
      </c>
      <c r="Q7" s="138" t="str">
        <f aca="false">IFERROR(VLOOKUP(TEXT(O7,"0"),CONDUCTORES!$A$3:$H$100,6,0),"")</f>
        <v/>
      </c>
      <c r="R7" s="85"/>
      <c r="S7" s="110"/>
      <c r="T7" s="46"/>
      <c r="U7" s="85"/>
      <c r="V7" s="110"/>
      <c r="W7" s="46"/>
      <c r="X7" s="46"/>
      <c r="Y7" s="85"/>
      <c r="Z7" s="157" t="str">
        <f aca="false">IF(AND(R7&lt;&gt;"",V7&lt;&gt;"",W7&lt;&gt;""),"ENTREGADO","POR RECOGER")</f>
        <v>POR RECOGER</v>
      </c>
      <c r="AA7" s="4"/>
      <c r="AB7" s="4"/>
      <c r="AC7" s="4"/>
    </row>
    <row r="8" customFormat="false" ht="15.75" hidden="false" customHeight="true" outlineLevel="0" collapsed="false">
      <c r="A8" s="106" t="n">
        <v>3</v>
      </c>
      <c r="B8" s="107"/>
      <c r="C8" s="106" t="s">
        <v>752</v>
      </c>
      <c r="D8" s="107"/>
      <c r="E8" s="136" t="s">
        <v>99</v>
      </c>
      <c r="F8" s="106"/>
      <c r="G8" s="140"/>
      <c r="H8" s="106"/>
      <c r="I8" s="138" t="str">
        <f aca="false">IFERROR(VLOOKUP(TEXT(H8,"0"),IPRESS!$A$3:$B$212,2,0),"")</f>
        <v/>
      </c>
      <c r="J8" s="106"/>
      <c r="K8" s="138"/>
      <c r="L8" s="50" t="n">
        <v>17.95</v>
      </c>
      <c r="M8" s="50"/>
      <c r="N8" s="139" t="str">
        <f aca="false">IFERROR(IF(L8*M8=0,"",L8*M8),"")</f>
        <v/>
      </c>
      <c r="O8" s="106"/>
      <c r="P8" s="138" t="str">
        <f aca="false">IFERROR(VLOOKUP(TEXT(O8,"0"),CONDUCTORES!$A$3:$G$100,2,0),"")</f>
        <v/>
      </c>
      <c r="Q8" s="138" t="str">
        <f aca="false">IFERROR(VLOOKUP(TEXT(O8,"0"),CONDUCTORES!$A$3:$H$100,6,0),"")</f>
        <v/>
      </c>
      <c r="R8" s="140"/>
      <c r="S8" s="107"/>
      <c r="T8" s="136"/>
      <c r="U8" s="140"/>
      <c r="V8" s="107"/>
      <c r="W8" s="106"/>
      <c r="X8" s="106"/>
      <c r="Y8" s="85"/>
      <c r="Z8" s="157" t="str">
        <f aca="false">IF(AND(R8&lt;&gt;"",V8&lt;&gt;"",W8&lt;&gt;""),"ENTREGADO","POR RECOGER")</f>
        <v>POR RECOGER</v>
      </c>
      <c r="AA8" s="4"/>
      <c r="AB8" s="4"/>
      <c r="AC8" s="4"/>
    </row>
    <row r="9" customFormat="false" ht="15.75" hidden="false" customHeight="true" outlineLevel="0" collapsed="false">
      <c r="A9" s="46" t="n">
        <v>4</v>
      </c>
      <c r="B9" s="110"/>
      <c r="C9" s="46" t="s">
        <v>752</v>
      </c>
      <c r="D9" s="110"/>
      <c r="E9" s="46" t="s">
        <v>99</v>
      </c>
      <c r="F9" s="46"/>
      <c r="G9" s="85"/>
      <c r="H9" s="46"/>
      <c r="I9" s="138" t="str">
        <f aca="false">IFERROR(VLOOKUP(TEXT(H9,"0"),IPRESS!$A$3:$B$212,2,0),"")</f>
        <v/>
      </c>
      <c r="J9" s="46"/>
      <c r="K9" s="138"/>
      <c r="L9" s="44" t="n">
        <v>18.18</v>
      </c>
      <c r="M9" s="44"/>
      <c r="N9" s="139" t="str">
        <f aca="false">IFERROR(IF(L9*M9=0,"",L9*M9),"")</f>
        <v/>
      </c>
      <c r="O9" s="46"/>
      <c r="P9" s="138" t="str">
        <f aca="false">IFERROR(VLOOKUP(TEXT(O9,"0"),CONDUCTORES!$A$3:$G$100,2,0),"")</f>
        <v/>
      </c>
      <c r="Q9" s="138" t="str">
        <f aca="false">IFERROR(VLOOKUP(TEXT(O9,"0"),CONDUCTORES!$A$3:$H$100,6,0),"")</f>
        <v/>
      </c>
      <c r="R9" s="85"/>
      <c r="S9" s="110"/>
      <c r="T9" s="46"/>
      <c r="U9" s="85"/>
      <c r="V9" s="110"/>
      <c r="W9" s="46"/>
      <c r="X9" s="46"/>
      <c r="Y9" s="85"/>
      <c r="Z9" s="157" t="str">
        <f aca="false">IF(AND(R9&lt;&gt;"",V9&lt;&gt;"",W9&lt;&gt;""),"ENTREGADO","POR RECOGER")</f>
        <v>POR RECOGER</v>
      </c>
      <c r="AA9" s="4"/>
      <c r="AB9" s="4"/>
      <c r="AC9" s="4"/>
    </row>
    <row r="10" customFormat="false" ht="15.75" hidden="false" customHeight="true" outlineLevel="0" collapsed="false">
      <c r="A10" s="106" t="n">
        <v>5</v>
      </c>
      <c r="B10" s="107"/>
      <c r="C10" s="106" t="s">
        <v>752</v>
      </c>
      <c r="D10" s="107"/>
      <c r="E10" s="136" t="s">
        <v>99</v>
      </c>
      <c r="F10" s="106"/>
      <c r="G10" s="140"/>
      <c r="H10" s="106"/>
      <c r="I10" s="138" t="str">
        <f aca="false">IFERROR(VLOOKUP(TEXT(H10,"0"),IPRESS!$A$3:$B$212,2,0),"")</f>
        <v/>
      </c>
      <c r="J10" s="106"/>
      <c r="K10" s="138"/>
      <c r="L10" s="50" t="n">
        <v>18.18</v>
      </c>
      <c r="M10" s="50"/>
      <c r="N10" s="139" t="str">
        <f aca="false">IFERROR(IF(L10*M10=0,"",L10*M10),"")</f>
        <v/>
      </c>
      <c r="O10" s="106"/>
      <c r="P10" s="138" t="str">
        <f aca="false">IFERROR(VLOOKUP(TEXT(O10,"0"),CONDUCTORES!$A$3:$G$100,2,0),"")</f>
        <v/>
      </c>
      <c r="Q10" s="138" t="str">
        <f aca="false">IFERROR(VLOOKUP(TEXT(O10,"0"),CONDUCTORES!$A$3:$H$100,6,0),"")</f>
        <v/>
      </c>
      <c r="R10" s="140"/>
      <c r="S10" s="107"/>
      <c r="T10" s="136"/>
      <c r="U10" s="140"/>
      <c r="V10" s="107"/>
      <c r="W10" s="106"/>
      <c r="X10" s="106"/>
      <c r="Y10" s="85"/>
      <c r="Z10" s="157" t="str">
        <f aca="false">IF(AND(R10&lt;&gt;"",V10&lt;&gt;"",W10&lt;&gt;""),"ENTREGADO","POR RECOGER")</f>
        <v>POR RECOGER</v>
      </c>
      <c r="AA10" s="4"/>
      <c r="AB10" s="4"/>
      <c r="AC10" s="4"/>
    </row>
    <row r="11" customFormat="false" ht="15.75" hidden="false" customHeight="true" outlineLevel="0" collapsed="false">
      <c r="A11" s="46" t="n">
        <v>6</v>
      </c>
      <c r="B11" s="110"/>
      <c r="C11" s="46" t="s">
        <v>752</v>
      </c>
      <c r="D11" s="110"/>
      <c r="E11" s="46" t="s">
        <v>99</v>
      </c>
      <c r="F11" s="46"/>
      <c r="G11" s="85"/>
      <c r="H11" s="46"/>
      <c r="I11" s="138" t="str">
        <f aca="false">IFERROR(VLOOKUP(TEXT(H11,"0"),IPRESS!$A$3:$B$212,2,0),"")</f>
        <v/>
      </c>
      <c r="J11" s="46"/>
      <c r="K11" s="138"/>
      <c r="L11" s="44" t="n">
        <v>17.95</v>
      </c>
      <c r="M11" s="44"/>
      <c r="N11" s="139" t="str">
        <f aca="false">IFERROR(IF(L11*M11=0,"",L11*M11),"")</f>
        <v/>
      </c>
      <c r="O11" s="46"/>
      <c r="P11" s="138" t="str">
        <f aca="false">IFERROR(VLOOKUP(TEXT(O11,"0"),CONDUCTORES!$A$3:$G$100,2,0),"")</f>
        <v/>
      </c>
      <c r="Q11" s="138" t="str">
        <f aca="false">IFERROR(VLOOKUP(TEXT(O11,"0"),CONDUCTORES!$A$3:$H$100,6,0),"")</f>
        <v/>
      </c>
      <c r="R11" s="85"/>
      <c r="S11" s="110"/>
      <c r="T11" s="46"/>
      <c r="U11" s="85"/>
      <c r="V11" s="110"/>
      <c r="W11" s="46"/>
      <c r="X11" s="46"/>
      <c r="Y11" s="85"/>
      <c r="Z11" s="157" t="str">
        <f aca="false">IF(AND(R11&lt;&gt;"",V11&lt;&gt;"",W11&lt;&gt;""),"ENTREGADO","POR RECOGER")</f>
        <v>POR RECOGER</v>
      </c>
      <c r="AA11" s="4"/>
      <c r="AB11" s="4"/>
      <c r="AC11" s="4"/>
    </row>
    <row r="12" customFormat="false" ht="15.75" hidden="false" customHeight="true" outlineLevel="0" collapsed="false">
      <c r="A12" s="106" t="n">
        <v>7</v>
      </c>
      <c r="B12" s="107"/>
      <c r="C12" s="106" t="s">
        <v>752</v>
      </c>
      <c r="D12" s="107"/>
      <c r="E12" s="136" t="s">
        <v>99</v>
      </c>
      <c r="F12" s="106"/>
      <c r="G12" s="140"/>
      <c r="H12" s="106"/>
      <c r="I12" s="138" t="str">
        <f aca="false">IFERROR(VLOOKUP(TEXT(H12,"0"),IPRESS!$A$3:$B$212,2,0),"")</f>
        <v/>
      </c>
      <c r="J12" s="106"/>
      <c r="K12" s="138"/>
      <c r="L12" s="50" t="n">
        <v>18.18</v>
      </c>
      <c r="M12" s="50"/>
      <c r="N12" s="139" t="str">
        <f aca="false">IFERROR(IF(L12*M12=0,"",L12*M12),"")</f>
        <v/>
      </c>
      <c r="O12" s="106"/>
      <c r="P12" s="138" t="str">
        <f aca="false">IFERROR(VLOOKUP(TEXT(O12,"0"),CONDUCTORES!$A$3:$G$100,2,0),"")</f>
        <v/>
      </c>
      <c r="Q12" s="138" t="str">
        <f aca="false">IFERROR(VLOOKUP(TEXT(O12,"0"),CONDUCTORES!$A$3:$H$100,6,0),"")</f>
        <v/>
      </c>
      <c r="R12" s="140"/>
      <c r="S12" s="107"/>
      <c r="T12" s="136"/>
      <c r="U12" s="140"/>
      <c r="V12" s="107"/>
      <c r="W12" s="106"/>
      <c r="X12" s="106"/>
      <c r="Y12" s="85"/>
      <c r="Z12" s="157" t="str">
        <f aca="false">IF(AND(R12&lt;&gt;"",V12&lt;&gt;"",W12&lt;&gt;""),"ENTREGADO","POR RECOGER")</f>
        <v>POR RECOGER</v>
      </c>
      <c r="AA12" s="4"/>
      <c r="AB12" s="4"/>
      <c r="AC12" s="4"/>
    </row>
    <row r="13" customFormat="false" ht="15.75" hidden="false" customHeight="true" outlineLevel="0" collapsed="false">
      <c r="A13" s="46" t="n">
        <v>8</v>
      </c>
      <c r="B13" s="110"/>
      <c r="C13" s="46" t="s">
        <v>752</v>
      </c>
      <c r="D13" s="110"/>
      <c r="E13" s="46" t="s">
        <v>99</v>
      </c>
      <c r="F13" s="46"/>
      <c r="G13" s="85"/>
      <c r="H13" s="46"/>
      <c r="I13" s="138" t="str">
        <f aca="false">IFERROR(VLOOKUP(TEXT(H13,"0"),IPRESS!$A$3:$B$212,2,0),"")</f>
        <v/>
      </c>
      <c r="J13" s="46"/>
      <c r="K13" s="138"/>
      <c r="L13" s="44" t="n">
        <v>18.18</v>
      </c>
      <c r="M13" s="44"/>
      <c r="N13" s="139" t="str">
        <f aca="false">IFERROR(IF(L13*M13=0,"",L13*M13),"")</f>
        <v/>
      </c>
      <c r="O13" s="46"/>
      <c r="P13" s="138" t="str">
        <f aca="false">IFERROR(VLOOKUP(TEXT(O13,"0"),CONDUCTORES!$A$3:$G$100,2,0),"")</f>
        <v/>
      </c>
      <c r="Q13" s="138" t="str">
        <f aca="false">IFERROR(VLOOKUP(TEXT(O13,"0"),CONDUCTORES!$A$3:$H$100,6,0),"")</f>
        <v/>
      </c>
      <c r="R13" s="85"/>
      <c r="S13" s="110"/>
      <c r="T13" s="46"/>
      <c r="U13" s="85"/>
      <c r="V13" s="110"/>
      <c r="W13" s="46"/>
      <c r="X13" s="46"/>
      <c r="Y13" s="85"/>
      <c r="Z13" s="157" t="str">
        <f aca="false">IF(AND(R13&lt;&gt;"",V13&lt;&gt;"",W13&lt;&gt;""),"ENTREGADO","POR RECOGER")</f>
        <v>POR RECOGER</v>
      </c>
      <c r="AA13" s="4"/>
      <c r="AB13" s="4"/>
      <c r="AC13" s="4"/>
    </row>
    <row r="14" customFormat="false" ht="15.75" hidden="false" customHeight="true" outlineLevel="0" collapsed="false">
      <c r="A14" s="106" t="n">
        <v>9</v>
      </c>
      <c r="B14" s="107"/>
      <c r="C14" s="106" t="s">
        <v>752</v>
      </c>
      <c r="D14" s="107"/>
      <c r="E14" s="136" t="s">
        <v>99</v>
      </c>
      <c r="F14" s="106"/>
      <c r="G14" s="140"/>
      <c r="H14" s="106"/>
      <c r="I14" s="138" t="str">
        <f aca="false">IFERROR(VLOOKUP(TEXT(H14,"0"),IPRESS!$A$3:$B$212,2,0),"")</f>
        <v/>
      </c>
      <c r="J14" s="106"/>
      <c r="K14" s="138"/>
      <c r="L14" s="50" t="n">
        <v>18.18</v>
      </c>
      <c r="M14" s="50"/>
      <c r="N14" s="139" t="str">
        <f aca="false">IFERROR(IF(L14*M14=0,"",L14*M14),"")</f>
        <v/>
      </c>
      <c r="O14" s="106"/>
      <c r="P14" s="138" t="str">
        <f aca="false">IFERROR(VLOOKUP(TEXT(O14,"0"),CONDUCTORES!$A$3:$G$100,2,0),"")</f>
        <v/>
      </c>
      <c r="Q14" s="138" t="str">
        <f aca="false">IFERROR(VLOOKUP(TEXT(O14,"0"),CONDUCTORES!$A$3:$H$100,6,0),"")</f>
        <v/>
      </c>
      <c r="R14" s="140"/>
      <c r="S14" s="107"/>
      <c r="T14" s="136"/>
      <c r="U14" s="140"/>
      <c r="V14" s="107"/>
      <c r="W14" s="106"/>
      <c r="X14" s="106"/>
      <c r="Y14" s="85"/>
      <c r="Z14" s="157" t="str">
        <f aca="false">IF(AND(R14&lt;&gt;"",V14&lt;&gt;"",W14&lt;&gt;""),"ENTREGADO","POR RECOGER")</f>
        <v>POR RECOGER</v>
      </c>
      <c r="AA14" s="4"/>
      <c r="AB14" s="4"/>
      <c r="AC14" s="4"/>
    </row>
    <row r="15" customFormat="false" ht="15.75" hidden="false" customHeight="true" outlineLevel="0" collapsed="false">
      <c r="A15" s="46" t="n">
        <v>10</v>
      </c>
      <c r="B15" s="110"/>
      <c r="C15" s="46" t="s">
        <v>752</v>
      </c>
      <c r="D15" s="110"/>
      <c r="E15" s="46" t="s">
        <v>99</v>
      </c>
      <c r="F15" s="46"/>
      <c r="G15" s="85"/>
      <c r="H15" s="46"/>
      <c r="I15" s="138" t="str">
        <f aca="false">IFERROR(VLOOKUP(TEXT(H15,"0"),IPRESS!$A$3:$B$212,2,0),"")</f>
        <v/>
      </c>
      <c r="J15" s="46"/>
      <c r="K15" s="138"/>
      <c r="L15" s="44" t="n">
        <v>18.18</v>
      </c>
      <c r="M15" s="44"/>
      <c r="N15" s="139" t="str">
        <f aca="false">IFERROR(IF(L15*M15=0,"",L15*M15),"")</f>
        <v/>
      </c>
      <c r="O15" s="46"/>
      <c r="P15" s="138" t="str">
        <f aca="false">IFERROR(VLOOKUP(TEXT(O15,"0"),CONDUCTORES!$A$3:$G$100,2,0),"")</f>
        <v/>
      </c>
      <c r="Q15" s="138" t="str">
        <f aca="false">IFERROR(VLOOKUP(TEXT(O15,"0"),CONDUCTORES!$A$3:$H$100,6,0),"")</f>
        <v/>
      </c>
      <c r="R15" s="85"/>
      <c r="S15" s="110"/>
      <c r="T15" s="46"/>
      <c r="U15" s="85"/>
      <c r="V15" s="110"/>
      <c r="W15" s="46"/>
      <c r="X15" s="46"/>
      <c r="Y15" s="85"/>
      <c r="Z15" s="157" t="str">
        <f aca="false">IF(AND(R15&lt;&gt;"",V15&lt;&gt;"",W15&lt;&gt;""),"ENTREGADO","POR RECOGER")</f>
        <v>POR RECOGER</v>
      </c>
      <c r="AA15" s="4"/>
      <c r="AB15" s="4"/>
      <c r="AC15" s="4"/>
    </row>
    <row r="16" customFormat="false" ht="15.75" hidden="false" customHeight="true" outlineLevel="0" collapsed="false">
      <c r="A16" s="106" t="n">
        <v>11</v>
      </c>
      <c r="B16" s="107"/>
      <c r="C16" s="106" t="s">
        <v>752</v>
      </c>
      <c r="D16" s="107"/>
      <c r="E16" s="136" t="s">
        <v>99</v>
      </c>
      <c r="F16" s="106"/>
      <c r="G16" s="140"/>
      <c r="H16" s="106"/>
      <c r="I16" s="138" t="str">
        <f aca="false">IFERROR(VLOOKUP(TEXT(H16,"0"),IPRESS!$A$3:$B$212,2,0),"")</f>
        <v/>
      </c>
      <c r="J16" s="106"/>
      <c r="K16" s="138"/>
      <c r="L16" s="50" t="n">
        <v>17.95</v>
      </c>
      <c r="M16" s="50"/>
      <c r="N16" s="139" t="str">
        <f aca="false">IFERROR(IF(L16*M16=0,"",L16*M16),"")</f>
        <v/>
      </c>
      <c r="O16" s="106"/>
      <c r="P16" s="138" t="str">
        <f aca="false">IFERROR(VLOOKUP(TEXT(O16,"0"),CONDUCTORES!$A$3:$G$100,2,0),"")</f>
        <v/>
      </c>
      <c r="Q16" s="138" t="str">
        <f aca="false">IFERROR(VLOOKUP(TEXT(O16,"0"),CONDUCTORES!$A$3:$H$100,6,0),"")</f>
        <v/>
      </c>
      <c r="R16" s="140"/>
      <c r="S16" s="107"/>
      <c r="T16" s="136"/>
      <c r="U16" s="140"/>
      <c r="V16" s="107"/>
      <c r="W16" s="106"/>
      <c r="X16" s="106"/>
      <c r="Y16" s="85"/>
      <c r="Z16" s="157" t="str">
        <f aca="false">IF(AND(R16&lt;&gt;"",V16&lt;&gt;"",W16&lt;&gt;""),"ENTREGADO","POR RECOGER")</f>
        <v>POR RECOGER</v>
      </c>
      <c r="AA16" s="4"/>
      <c r="AB16" s="4"/>
      <c r="AC16" s="4"/>
    </row>
    <row r="17" customFormat="false" ht="15.75" hidden="false" customHeight="true" outlineLevel="0" collapsed="false">
      <c r="A17" s="46" t="n">
        <v>12</v>
      </c>
      <c r="B17" s="110"/>
      <c r="C17" s="46" t="s">
        <v>752</v>
      </c>
      <c r="D17" s="110"/>
      <c r="E17" s="46" t="s">
        <v>99</v>
      </c>
      <c r="F17" s="46"/>
      <c r="G17" s="85"/>
      <c r="H17" s="46"/>
      <c r="I17" s="138" t="str">
        <f aca="false">IFERROR(VLOOKUP(TEXT(H17,"0"),IPRESS!$A$3:$B$212,2,0),"")</f>
        <v/>
      </c>
      <c r="J17" s="46"/>
      <c r="K17" s="138"/>
      <c r="L17" s="44" t="n">
        <v>17.95</v>
      </c>
      <c r="M17" s="44"/>
      <c r="N17" s="139" t="str">
        <f aca="false">IFERROR(IF(L17*M17=0,"",L17*M17),"")</f>
        <v/>
      </c>
      <c r="O17" s="46"/>
      <c r="P17" s="138" t="str">
        <f aca="false">IFERROR(VLOOKUP(TEXT(O17,"0"),CONDUCTORES!$A$3:$G$100,2,0),"")</f>
        <v/>
      </c>
      <c r="Q17" s="138" t="str">
        <f aca="false">IFERROR(VLOOKUP(TEXT(O17,"0"),CONDUCTORES!$A$3:$H$100,6,0),"")</f>
        <v/>
      </c>
      <c r="R17" s="85"/>
      <c r="S17" s="110"/>
      <c r="T17" s="46"/>
      <c r="U17" s="85"/>
      <c r="V17" s="110"/>
      <c r="W17" s="46"/>
      <c r="X17" s="46"/>
      <c r="Y17" s="85"/>
      <c r="Z17" s="157" t="str">
        <f aca="false">IF(AND(R17&lt;&gt;"",V17&lt;&gt;"",W17&lt;&gt;""),"ENTREGADO","POR RECOGER")</f>
        <v>POR RECOGER</v>
      </c>
      <c r="AA17" s="4"/>
      <c r="AB17" s="4"/>
      <c r="AC17" s="4"/>
    </row>
    <row r="18" customFormat="false" ht="15.75" hidden="false" customHeight="true" outlineLevel="0" collapsed="false">
      <c r="A18" s="106" t="n">
        <v>13</v>
      </c>
      <c r="B18" s="107"/>
      <c r="C18" s="106" t="s">
        <v>752</v>
      </c>
      <c r="D18" s="107"/>
      <c r="E18" s="136" t="s">
        <v>99</v>
      </c>
      <c r="F18" s="106"/>
      <c r="G18" s="140"/>
      <c r="H18" s="106"/>
      <c r="I18" s="138" t="str">
        <f aca="false">IFERROR(VLOOKUP(TEXT(H18,"0"),IPRESS!$A$3:$B$212,2,0),"")</f>
        <v/>
      </c>
      <c r="J18" s="106"/>
      <c r="K18" s="138"/>
      <c r="L18" s="50" t="n">
        <v>17.95</v>
      </c>
      <c r="M18" s="50"/>
      <c r="N18" s="139" t="str">
        <f aca="false">IFERROR(IF(L18*M18=0,"",L18*M18),"")</f>
        <v/>
      </c>
      <c r="O18" s="106"/>
      <c r="P18" s="138" t="str">
        <f aca="false">IFERROR(VLOOKUP(TEXT(O18,"0"),CONDUCTORES!$A$3:$G$100,2,0),"")</f>
        <v/>
      </c>
      <c r="Q18" s="138" t="str">
        <f aca="false">IFERROR(VLOOKUP(TEXT(O18,"0"),CONDUCTORES!$A$3:$H$100,6,0),"")</f>
        <v/>
      </c>
      <c r="R18" s="140"/>
      <c r="S18" s="107"/>
      <c r="T18" s="136"/>
      <c r="U18" s="140"/>
      <c r="V18" s="107"/>
      <c r="W18" s="106"/>
      <c r="X18" s="106"/>
      <c r="Y18" s="85"/>
      <c r="Z18" s="157" t="str">
        <f aca="false">IF(AND(R18&lt;&gt;"",V18&lt;&gt;"",W18&lt;&gt;""),"ENTREGADO","POR RECOGER")</f>
        <v>POR RECOGER</v>
      </c>
      <c r="AA18" s="4"/>
      <c r="AB18" s="4"/>
      <c r="AC18" s="4"/>
    </row>
    <row r="19" customFormat="false" ht="15.75" hidden="false" customHeight="true" outlineLevel="0" collapsed="false">
      <c r="A19" s="46" t="n">
        <v>14</v>
      </c>
      <c r="B19" s="110"/>
      <c r="C19" s="46" t="s">
        <v>752</v>
      </c>
      <c r="D19" s="110"/>
      <c r="E19" s="46" t="s">
        <v>99</v>
      </c>
      <c r="F19" s="46"/>
      <c r="G19" s="85"/>
      <c r="H19" s="46"/>
      <c r="I19" s="138" t="str">
        <f aca="false">IFERROR(VLOOKUP(TEXT(H19,"0"),IPRESS!$A$3:$B$212,2,0),"")</f>
        <v/>
      </c>
      <c r="J19" s="46"/>
      <c r="K19" s="138"/>
      <c r="L19" s="44" t="n">
        <v>20.25</v>
      </c>
      <c r="M19" s="44"/>
      <c r="N19" s="139" t="str">
        <f aca="false">IFERROR(IF(L19*M19=0,"",L19*M19),"")</f>
        <v/>
      </c>
      <c r="O19" s="46"/>
      <c r="P19" s="138" t="str">
        <f aca="false">IFERROR(VLOOKUP(TEXT(O19,"0"),CONDUCTORES!$A$3:$G$100,2,0),"")</f>
        <v/>
      </c>
      <c r="Q19" s="138" t="str">
        <f aca="false">IFERROR(VLOOKUP(TEXT(O19,"0"),CONDUCTORES!$A$3:$H$100,6,0),"")</f>
        <v/>
      </c>
      <c r="R19" s="85"/>
      <c r="S19" s="110"/>
      <c r="T19" s="46"/>
      <c r="U19" s="85"/>
      <c r="V19" s="110"/>
      <c r="W19" s="46"/>
      <c r="X19" s="46"/>
      <c r="Y19" s="85"/>
      <c r="Z19" s="157" t="str">
        <f aca="false">IF(AND(R19&lt;&gt;"",V19&lt;&gt;"",W19&lt;&gt;""),"ENTREGADO","POR RECOGER")</f>
        <v>POR RECOGER</v>
      </c>
      <c r="AA19" s="4"/>
      <c r="AB19" s="4"/>
      <c r="AC19" s="4"/>
    </row>
    <row r="20" customFormat="false" ht="15.75" hidden="false" customHeight="true" outlineLevel="0" collapsed="false">
      <c r="A20" s="106" t="n">
        <v>15</v>
      </c>
      <c r="B20" s="107"/>
      <c r="C20" s="106" t="s">
        <v>752</v>
      </c>
      <c r="D20" s="107"/>
      <c r="E20" s="136" t="s">
        <v>99</v>
      </c>
      <c r="F20" s="106"/>
      <c r="G20" s="140"/>
      <c r="H20" s="106"/>
      <c r="I20" s="138" t="str">
        <f aca="false">IFERROR(VLOOKUP(TEXT(H20,"0"),IPRESS!$A$3:$B$212,2,0),"")</f>
        <v/>
      </c>
      <c r="J20" s="106"/>
      <c r="K20" s="138"/>
      <c r="L20" s="50" t="n">
        <v>20.25</v>
      </c>
      <c r="M20" s="50"/>
      <c r="N20" s="139" t="str">
        <f aca="false">IFERROR(IF(L20*M20=0,"",L20*M20),"")</f>
        <v/>
      </c>
      <c r="O20" s="106"/>
      <c r="P20" s="138" t="str">
        <f aca="false">IFERROR(VLOOKUP(TEXT(O20,"0"),CONDUCTORES!$A$3:$G$100,2,0),"")</f>
        <v/>
      </c>
      <c r="Q20" s="138" t="str">
        <f aca="false">IFERROR(VLOOKUP(TEXT(O20,"0"),CONDUCTORES!$A$3:$H$100,6,0),"")</f>
        <v/>
      </c>
      <c r="R20" s="140"/>
      <c r="S20" s="107"/>
      <c r="T20" s="136"/>
      <c r="U20" s="140"/>
      <c r="V20" s="107"/>
      <c r="W20" s="106"/>
      <c r="X20" s="106"/>
      <c r="Y20" s="85"/>
      <c r="Z20" s="157" t="str">
        <f aca="false">IF(AND(R20&lt;&gt;"",V20&lt;&gt;"",W20&lt;&gt;""),"ENTREGADO","POR RECOGER")</f>
        <v>POR RECOGER</v>
      </c>
      <c r="AA20" s="4"/>
      <c r="AB20" s="4"/>
      <c r="AC20" s="4"/>
    </row>
    <row r="21" customFormat="false" ht="15.75" hidden="false" customHeight="true" outlineLevel="0" collapsed="false">
      <c r="A21" s="46" t="n">
        <v>16</v>
      </c>
      <c r="B21" s="110"/>
      <c r="C21" s="46" t="s">
        <v>752</v>
      </c>
      <c r="D21" s="110"/>
      <c r="E21" s="46" t="s">
        <v>99</v>
      </c>
      <c r="F21" s="46"/>
      <c r="G21" s="85"/>
      <c r="H21" s="46"/>
      <c r="I21" s="138" t="str">
        <f aca="false">IFERROR(VLOOKUP(TEXT(H21,"0"),IPRESS!$A$3:$B$212,2,0),"")</f>
        <v/>
      </c>
      <c r="J21" s="46"/>
      <c r="K21" s="138"/>
      <c r="L21" s="44" t="n">
        <v>20.25</v>
      </c>
      <c r="M21" s="44"/>
      <c r="N21" s="139" t="str">
        <f aca="false">IFERROR(IF(L21*M21=0,"",L21*M21),"")</f>
        <v/>
      </c>
      <c r="O21" s="46"/>
      <c r="P21" s="138" t="str">
        <f aca="false">IFERROR(VLOOKUP(TEXT(O21,"0"),CONDUCTORES!$A$3:$G$100,2,0),"")</f>
        <v/>
      </c>
      <c r="Q21" s="138" t="str">
        <f aca="false">IFERROR(VLOOKUP(TEXT(O21,"0"),CONDUCTORES!$A$3:$H$100,6,0),"")</f>
        <v/>
      </c>
      <c r="R21" s="85"/>
      <c r="S21" s="110"/>
      <c r="T21" s="46"/>
      <c r="U21" s="85"/>
      <c r="V21" s="110"/>
      <c r="W21" s="46"/>
      <c r="X21" s="46"/>
      <c r="Y21" s="85"/>
      <c r="Z21" s="157" t="str">
        <f aca="false">IF(AND(R21&lt;&gt;"",V21&lt;&gt;"",W21&lt;&gt;""),"ENTREGADO","POR RECOGER")</f>
        <v>POR RECOGER</v>
      </c>
      <c r="AA21" s="4"/>
      <c r="AB21" s="4"/>
      <c r="AC21" s="4"/>
    </row>
    <row r="22" customFormat="false" ht="15.75" hidden="false" customHeight="true" outlineLevel="0" collapsed="false">
      <c r="A22" s="106" t="n">
        <v>17</v>
      </c>
      <c r="B22" s="107"/>
      <c r="C22" s="106" t="s">
        <v>752</v>
      </c>
      <c r="D22" s="107"/>
      <c r="E22" s="136" t="s">
        <v>99</v>
      </c>
      <c r="F22" s="106"/>
      <c r="G22" s="140"/>
      <c r="H22" s="106"/>
      <c r="I22" s="138" t="str">
        <f aca="false">IFERROR(VLOOKUP(TEXT(H22,"0"),IPRESS!$A$3:$B$212,2,0),"")</f>
        <v/>
      </c>
      <c r="J22" s="106"/>
      <c r="K22" s="138"/>
      <c r="L22" s="50" t="n">
        <v>20.25</v>
      </c>
      <c r="M22" s="50"/>
      <c r="N22" s="139" t="str">
        <f aca="false">IFERROR(IF(L22*M22=0,"",L22*M22),"")</f>
        <v/>
      </c>
      <c r="O22" s="106"/>
      <c r="P22" s="138" t="str">
        <f aca="false">IFERROR(VLOOKUP(TEXT(O22,"0"),CONDUCTORES!$A$3:$G$100,2,0),"")</f>
        <v/>
      </c>
      <c r="Q22" s="138" t="str">
        <f aca="false">IFERROR(VLOOKUP(TEXT(O22,"0"),CONDUCTORES!$A$3:$H$100,6,0),"")</f>
        <v/>
      </c>
      <c r="R22" s="140"/>
      <c r="S22" s="107"/>
      <c r="T22" s="136"/>
      <c r="U22" s="140"/>
      <c r="V22" s="107"/>
      <c r="W22" s="106"/>
      <c r="X22" s="106"/>
      <c r="Y22" s="85"/>
      <c r="Z22" s="157" t="str">
        <f aca="false">IF(AND(R22&lt;&gt;"",V22&lt;&gt;"",W22&lt;&gt;""),"ENTREGADO","POR RECOGER")</f>
        <v>POR RECOGER</v>
      </c>
      <c r="AA22" s="4"/>
      <c r="AB22" s="4"/>
      <c r="AC22" s="4"/>
    </row>
    <row r="23" customFormat="false" ht="15.75" hidden="false" customHeight="true" outlineLevel="0" collapsed="false">
      <c r="A23" s="46" t="n">
        <v>18</v>
      </c>
      <c r="B23" s="110"/>
      <c r="C23" s="46" t="s">
        <v>752</v>
      </c>
      <c r="D23" s="110"/>
      <c r="E23" s="46" t="s">
        <v>99</v>
      </c>
      <c r="F23" s="46"/>
      <c r="G23" s="85"/>
      <c r="H23" s="46"/>
      <c r="I23" s="138" t="str">
        <f aca="false">IFERROR(VLOOKUP(TEXT(H23,"0"),IPRESS!$A$3:$B$212,2,0),"")</f>
        <v/>
      </c>
      <c r="J23" s="46"/>
      <c r="K23" s="138"/>
      <c r="L23" s="44" t="n">
        <v>20.25</v>
      </c>
      <c r="M23" s="44"/>
      <c r="N23" s="139" t="str">
        <f aca="false">IFERROR(IF(L23*M23=0,"",L23*M23),"")</f>
        <v/>
      </c>
      <c r="O23" s="46"/>
      <c r="P23" s="138" t="str">
        <f aca="false">IFERROR(VLOOKUP(TEXT(O23,"0"),CONDUCTORES!$A$3:$G$100,2,0),"")</f>
        <v/>
      </c>
      <c r="Q23" s="138" t="str">
        <f aca="false">IFERROR(VLOOKUP(TEXT(O23,"0"),CONDUCTORES!$A$3:$H$100,6,0),"")</f>
        <v/>
      </c>
      <c r="R23" s="85"/>
      <c r="S23" s="110"/>
      <c r="T23" s="46"/>
      <c r="U23" s="85"/>
      <c r="V23" s="110"/>
      <c r="W23" s="46"/>
      <c r="X23" s="46"/>
      <c r="Y23" s="85"/>
      <c r="Z23" s="157" t="str">
        <f aca="false">IF(AND(R23&lt;&gt;"",V23&lt;&gt;"",W23&lt;&gt;""),"ENTREGADO","POR RECOGER")</f>
        <v>POR RECOGER</v>
      </c>
      <c r="AA23" s="4"/>
      <c r="AB23" s="4"/>
      <c r="AC23" s="4"/>
    </row>
    <row r="24" customFormat="false" ht="15.75" hidden="false" customHeight="true" outlineLevel="0" collapsed="false">
      <c r="A24" s="106" t="n">
        <v>19</v>
      </c>
      <c r="B24" s="107"/>
      <c r="C24" s="106" t="s">
        <v>752</v>
      </c>
      <c r="D24" s="107"/>
      <c r="E24" s="136" t="s">
        <v>99</v>
      </c>
      <c r="F24" s="106"/>
      <c r="G24" s="140"/>
      <c r="H24" s="106"/>
      <c r="I24" s="138" t="str">
        <f aca="false">IFERROR(VLOOKUP(TEXT(H24,"0"),IPRESS!$A$3:$B$212,2,0),"")</f>
        <v/>
      </c>
      <c r="J24" s="106"/>
      <c r="K24" s="138"/>
      <c r="L24" s="50" t="n">
        <v>20.25</v>
      </c>
      <c r="M24" s="50"/>
      <c r="N24" s="139" t="str">
        <f aca="false">IFERROR(IF(L24*M24=0,"",L24*M24),"")</f>
        <v/>
      </c>
      <c r="O24" s="106"/>
      <c r="P24" s="138" t="str">
        <f aca="false">IFERROR(VLOOKUP(TEXT(O24,"0"),CONDUCTORES!$A$3:$G$100,2,0),"")</f>
        <v/>
      </c>
      <c r="Q24" s="138" t="str">
        <f aca="false">IFERROR(VLOOKUP(TEXT(O24,"0"),CONDUCTORES!$A$3:$H$100,6,0),"")</f>
        <v/>
      </c>
      <c r="R24" s="140"/>
      <c r="S24" s="107"/>
      <c r="T24" s="136"/>
      <c r="U24" s="140"/>
      <c r="V24" s="107"/>
      <c r="W24" s="106"/>
      <c r="X24" s="106"/>
      <c r="Y24" s="85"/>
      <c r="Z24" s="157" t="str">
        <f aca="false">IF(AND(R24&lt;&gt;"",V24&lt;&gt;"",W24&lt;&gt;""),"ENTREGADO","POR RECOGER")</f>
        <v>POR RECOGER</v>
      </c>
      <c r="AA24" s="4"/>
      <c r="AB24" s="4"/>
      <c r="AC24" s="4"/>
    </row>
    <row r="25" customFormat="false" ht="15.75" hidden="false" customHeight="true" outlineLevel="0" collapsed="false">
      <c r="A25" s="46" t="n">
        <v>20</v>
      </c>
      <c r="B25" s="110"/>
      <c r="C25" s="46" t="s">
        <v>752</v>
      </c>
      <c r="D25" s="110"/>
      <c r="E25" s="46" t="s">
        <v>99</v>
      </c>
      <c r="F25" s="46"/>
      <c r="G25" s="85"/>
      <c r="H25" s="46"/>
      <c r="I25" s="138" t="str">
        <f aca="false">IFERROR(VLOOKUP(TEXT(H25,"0"),IPRESS!$A$3:$B$212,2,0),"")</f>
        <v/>
      </c>
      <c r="J25" s="46"/>
      <c r="K25" s="138"/>
      <c r="L25" s="44" t="n">
        <v>20.25</v>
      </c>
      <c r="M25" s="44"/>
      <c r="N25" s="139" t="str">
        <f aca="false">IFERROR(IF(L25*M25=0,"",L25*M25),"")</f>
        <v/>
      </c>
      <c r="O25" s="46"/>
      <c r="P25" s="138" t="str">
        <f aca="false">IFERROR(VLOOKUP(TEXT(O25,"0"),CONDUCTORES!$A$3:$G$100,2,0),"")</f>
        <v/>
      </c>
      <c r="Q25" s="138" t="str">
        <f aca="false">IFERROR(VLOOKUP(TEXT(O25,"0"),CONDUCTORES!$A$3:$H$100,6,0),"")</f>
        <v/>
      </c>
      <c r="R25" s="85"/>
      <c r="S25" s="110"/>
      <c r="T25" s="46"/>
      <c r="U25" s="85"/>
      <c r="V25" s="110"/>
      <c r="W25" s="46"/>
      <c r="X25" s="46"/>
      <c r="Y25" s="85"/>
      <c r="Z25" s="157" t="str">
        <f aca="false">IF(AND(R25&lt;&gt;"",V25&lt;&gt;"",W25&lt;&gt;""),"ENTREGADO","POR RECOGER")</f>
        <v>POR RECOGER</v>
      </c>
      <c r="AA25" s="4"/>
      <c r="AB25" s="4"/>
      <c r="AC25" s="4"/>
    </row>
    <row r="26" customFormat="false" ht="15.75" hidden="false" customHeight="true" outlineLevel="0" collapsed="false">
      <c r="A26" s="106" t="n">
        <v>21</v>
      </c>
      <c r="B26" s="107"/>
      <c r="C26" s="106" t="s">
        <v>752</v>
      </c>
      <c r="D26" s="107"/>
      <c r="E26" s="136" t="s">
        <v>99</v>
      </c>
      <c r="F26" s="106"/>
      <c r="G26" s="140"/>
      <c r="H26" s="106"/>
      <c r="I26" s="138" t="str">
        <f aca="false">IFERROR(VLOOKUP(TEXT(H26,"0"),IPRESS!$A$3:$B$212,2,0),"")</f>
        <v/>
      </c>
      <c r="J26" s="106"/>
      <c r="K26" s="138"/>
      <c r="L26" s="50" t="n">
        <v>20.25</v>
      </c>
      <c r="M26" s="50"/>
      <c r="N26" s="139" t="str">
        <f aca="false">IFERROR(IF(L26*M26=0,"",L26*M26),"")</f>
        <v/>
      </c>
      <c r="O26" s="106"/>
      <c r="P26" s="138" t="str">
        <f aca="false">IFERROR(VLOOKUP(TEXT(O26,"0"),CONDUCTORES!$A$3:$G$100,2,0),"")</f>
        <v/>
      </c>
      <c r="Q26" s="138" t="str">
        <f aca="false">IFERROR(VLOOKUP(TEXT(O26,"0"),CONDUCTORES!$A$3:$H$100,6,0),"")</f>
        <v/>
      </c>
      <c r="R26" s="140"/>
      <c r="S26" s="107"/>
      <c r="T26" s="136"/>
      <c r="U26" s="140"/>
      <c r="V26" s="107"/>
      <c r="W26" s="106"/>
      <c r="X26" s="106"/>
      <c r="Y26" s="85"/>
      <c r="Z26" s="157" t="str">
        <f aca="false">IF(AND(R26&lt;&gt;"",V26&lt;&gt;"",W26&lt;&gt;""),"ENTREGADO","POR RECOGER")</f>
        <v>POR RECOGER</v>
      </c>
      <c r="AA26" s="4"/>
      <c r="AB26" s="4"/>
      <c r="AC26" s="4"/>
    </row>
    <row r="27" customFormat="false" ht="15.75" hidden="false" customHeight="true" outlineLevel="0" collapsed="false">
      <c r="A27" s="46" t="n">
        <v>22</v>
      </c>
      <c r="B27" s="110"/>
      <c r="C27" s="46" t="s">
        <v>752</v>
      </c>
      <c r="D27" s="110"/>
      <c r="E27" s="46" t="s">
        <v>99</v>
      </c>
      <c r="F27" s="46"/>
      <c r="G27" s="85"/>
      <c r="H27" s="46"/>
      <c r="I27" s="138" t="str">
        <f aca="false">IFERROR(VLOOKUP(TEXT(H27,"0"),IPRESS!$A$3:$B$212,2,0),"")</f>
        <v/>
      </c>
      <c r="J27" s="46"/>
      <c r="K27" s="138"/>
      <c r="L27" s="44" t="n">
        <v>20.25</v>
      </c>
      <c r="M27" s="44"/>
      <c r="N27" s="139" t="str">
        <f aca="false">IFERROR(IF(L27*M27=0,"",L27*M27),"")</f>
        <v/>
      </c>
      <c r="O27" s="46"/>
      <c r="P27" s="138" t="str">
        <f aca="false">IFERROR(VLOOKUP(TEXT(O27,"0"),CONDUCTORES!$A$3:$G$100,2,0),"")</f>
        <v/>
      </c>
      <c r="Q27" s="138" t="str">
        <f aca="false">IFERROR(VLOOKUP(TEXT(O27,"0"),CONDUCTORES!$A$3:$H$100,6,0),"")</f>
        <v/>
      </c>
      <c r="R27" s="85"/>
      <c r="S27" s="110"/>
      <c r="T27" s="46"/>
      <c r="U27" s="85"/>
      <c r="V27" s="110"/>
      <c r="W27" s="46"/>
      <c r="X27" s="46"/>
      <c r="Y27" s="85"/>
      <c r="Z27" s="157" t="str">
        <f aca="false">IF(AND(R27&lt;&gt;"",V27&lt;&gt;"",W27&lt;&gt;""),"ENTREGADO","POR RECOGER")</f>
        <v>POR RECOGER</v>
      </c>
      <c r="AA27" s="4"/>
      <c r="AB27" s="4"/>
      <c r="AC27" s="4"/>
    </row>
    <row r="28" customFormat="false" ht="15.75" hidden="false" customHeight="true" outlineLevel="0" collapsed="false">
      <c r="A28" s="106" t="n">
        <v>23</v>
      </c>
      <c r="B28" s="107"/>
      <c r="C28" s="106" t="s">
        <v>752</v>
      </c>
      <c r="D28" s="107"/>
      <c r="E28" s="136" t="s">
        <v>99</v>
      </c>
      <c r="F28" s="106"/>
      <c r="G28" s="140"/>
      <c r="H28" s="106"/>
      <c r="I28" s="138" t="str">
        <f aca="false">IFERROR(VLOOKUP(TEXT(H28,"0"),IPRESS!$A$3:$B$212,2,0),"")</f>
        <v/>
      </c>
      <c r="J28" s="106"/>
      <c r="K28" s="138"/>
      <c r="L28" s="50" t="n">
        <v>18.18</v>
      </c>
      <c r="M28" s="50"/>
      <c r="N28" s="139" t="str">
        <f aca="false">IFERROR(IF(L28*M28=0,"",L28*M28),"")</f>
        <v/>
      </c>
      <c r="O28" s="106"/>
      <c r="P28" s="138" t="str">
        <f aca="false">IFERROR(VLOOKUP(TEXT(O28,"0"),CONDUCTORES!$A$3:$G$100,2,0),"")</f>
        <v/>
      </c>
      <c r="Q28" s="138" t="str">
        <f aca="false">IFERROR(VLOOKUP(TEXT(O28,"0"),CONDUCTORES!$A$3:$H$100,6,0),"")</f>
        <v/>
      </c>
      <c r="R28" s="140"/>
      <c r="S28" s="107"/>
      <c r="T28" s="136"/>
      <c r="U28" s="140"/>
      <c r="V28" s="107"/>
      <c r="W28" s="106"/>
      <c r="X28" s="106"/>
      <c r="Y28" s="85"/>
      <c r="Z28" s="157" t="str">
        <f aca="false">IF(AND(R28&lt;&gt;"",V28&lt;&gt;"",W28&lt;&gt;""),"ENTREGADO","POR RECOGER")</f>
        <v>POR RECOGER</v>
      </c>
      <c r="AA28" s="4"/>
      <c r="AB28" s="4"/>
      <c r="AC28" s="4"/>
    </row>
    <row r="29" customFormat="false" ht="15.75" hidden="false" customHeight="true" outlineLevel="0" collapsed="false">
      <c r="A29" s="46" t="n">
        <v>24</v>
      </c>
      <c r="B29" s="110"/>
      <c r="C29" s="46" t="s">
        <v>752</v>
      </c>
      <c r="D29" s="110"/>
      <c r="E29" s="46" t="s">
        <v>99</v>
      </c>
      <c r="F29" s="46"/>
      <c r="G29" s="85"/>
      <c r="H29" s="46"/>
      <c r="I29" s="138" t="str">
        <f aca="false">IFERROR(VLOOKUP(TEXT(H29,"0"),IPRESS!$A$3:$B$212,2,0),"")</f>
        <v/>
      </c>
      <c r="J29" s="46"/>
      <c r="K29" s="138"/>
      <c r="L29" s="44" t="n">
        <v>17.95</v>
      </c>
      <c r="M29" s="44"/>
      <c r="N29" s="139" t="str">
        <f aca="false">IFERROR(IF(L29*M29=0,"",L29*M29),"")</f>
        <v/>
      </c>
      <c r="O29" s="46"/>
      <c r="P29" s="138" t="str">
        <f aca="false">IFERROR(VLOOKUP(TEXT(O29,"0"),CONDUCTORES!$A$3:$G$100,2,0),"")</f>
        <v/>
      </c>
      <c r="Q29" s="138" t="str">
        <f aca="false">IFERROR(VLOOKUP(TEXT(O29,"0"),CONDUCTORES!$A$3:$H$100,6,0),"")</f>
        <v/>
      </c>
      <c r="R29" s="85"/>
      <c r="S29" s="110"/>
      <c r="T29" s="46"/>
      <c r="U29" s="85"/>
      <c r="V29" s="110"/>
      <c r="W29" s="46"/>
      <c r="X29" s="46"/>
      <c r="Y29" s="85"/>
      <c r="Z29" s="157" t="str">
        <f aca="false">IF(AND(R29&lt;&gt;"",V29&lt;&gt;"",W29&lt;&gt;""),"ENTREGADO","POR RECOGER")</f>
        <v>POR RECOGER</v>
      </c>
      <c r="AA29" s="4"/>
      <c r="AB29" s="4"/>
      <c r="AC29" s="4"/>
    </row>
    <row r="30" customFormat="false" ht="15.75" hidden="false" customHeight="true" outlineLevel="0" collapsed="false">
      <c r="A30" s="106" t="n">
        <v>25</v>
      </c>
      <c r="B30" s="107"/>
      <c r="C30" s="106" t="s">
        <v>752</v>
      </c>
      <c r="D30" s="107"/>
      <c r="E30" s="136" t="s">
        <v>99</v>
      </c>
      <c r="F30" s="106"/>
      <c r="G30" s="140"/>
      <c r="H30" s="106"/>
      <c r="I30" s="138" t="str">
        <f aca="false">IFERROR(VLOOKUP(TEXT(H30,"0"),IPRESS!$A$3:$B$212,2,0),"")</f>
        <v/>
      </c>
      <c r="J30" s="106"/>
      <c r="K30" s="138"/>
      <c r="L30" s="50" t="n">
        <v>18.18</v>
      </c>
      <c r="M30" s="50"/>
      <c r="N30" s="139" t="str">
        <f aca="false">IFERROR(IF(L30*M30=0,"",L30*M30),"")</f>
        <v/>
      </c>
      <c r="O30" s="106"/>
      <c r="P30" s="138" t="str">
        <f aca="false">IFERROR(VLOOKUP(TEXT(O30,"0"),CONDUCTORES!$A$3:$G$100,2,0),"")</f>
        <v/>
      </c>
      <c r="Q30" s="138" t="str">
        <f aca="false">IFERROR(VLOOKUP(TEXT(O30,"0"),CONDUCTORES!$A$3:$H$100,6,0),"")</f>
        <v/>
      </c>
      <c r="R30" s="140"/>
      <c r="S30" s="107"/>
      <c r="T30" s="136"/>
      <c r="U30" s="140"/>
      <c r="V30" s="107"/>
      <c r="W30" s="106"/>
      <c r="X30" s="106"/>
      <c r="Y30" s="85"/>
      <c r="Z30" s="157" t="str">
        <f aca="false">IF(AND(R30&lt;&gt;"",V30&lt;&gt;"",W30&lt;&gt;""),"ENTREGADO","POR RECOGER")</f>
        <v>POR RECOGER</v>
      </c>
      <c r="AA30" s="4"/>
      <c r="AB30" s="4"/>
      <c r="AC30" s="4"/>
    </row>
    <row r="31" customFormat="false" ht="15.75" hidden="false" customHeight="true" outlineLevel="0" collapsed="false">
      <c r="A31" s="46" t="n">
        <v>26</v>
      </c>
      <c r="B31" s="110"/>
      <c r="C31" s="46" t="s">
        <v>752</v>
      </c>
      <c r="D31" s="110"/>
      <c r="E31" s="46" t="s">
        <v>99</v>
      </c>
      <c r="F31" s="46"/>
      <c r="G31" s="85"/>
      <c r="H31" s="46"/>
      <c r="I31" s="138" t="str">
        <f aca="false">IFERROR(VLOOKUP(TEXT(H31,"0"),IPRESS!$A$3:$B$212,2,0),"")</f>
        <v/>
      </c>
      <c r="J31" s="46"/>
      <c r="K31" s="138"/>
      <c r="L31" s="44" t="n">
        <v>18.18</v>
      </c>
      <c r="M31" s="44"/>
      <c r="N31" s="139" t="str">
        <f aca="false">IFERROR(IF(L31*M31=0,"",L31*M31),"")</f>
        <v/>
      </c>
      <c r="O31" s="46"/>
      <c r="P31" s="138" t="str">
        <f aca="false">IFERROR(VLOOKUP(TEXT(O31,"0"),CONDUCTORES!$A$3:$G$100,2,0),"")</f>
        <v/>
      </c>
      <c r="Q31" s="138" t="str">
        <f aca="false">IFERROR(VLOOKUP(TEXT(O31,"0"),CONDUCTORES!$A$3:$H$100,6,0),"")</f>
        <v/>
      </c>
      <c r="R31" s="85"/>
      <c r="S31" s="110"/>
      <c r="T31" s="46"/>
      <c r="U31" s="85"/>
      <c r="V31" s="110"/>
      <c r="W31" s="46"/>
      <c r="X31" s="46"/>
      <c r="Y31" s="85"/>
      <c r="Z31" s="157" t="str">
        <f aca="false">IF(AND(R31&lt;&gt;"",V31&lt;&gt;"",W31&lt;&gt;""),"ENTREGADO","POR RECOGER")</f>
        <v>POR RECOGER</v>
      </c>
      <c r="AA31" s="4"/>
      <c r="AB31" s="4"/>
      <c r="AC31" s="4"/>
    </row>
    <row r="32" customFormat="false" ht="15.75" hidden="false" customHeight="true" outlineLevel="0" collapsed="false">
      <c r="A32" s="106" t="n">
        <v>27</v>
      </c>
      <c r="B32" s="107"/>
      <c r="C32" s="106" t="s">
        <v>752</v>
      </c>
      <c r="D32" s="107"/>
      <c r="E32" s="136" t="s">
        <v>99</v>
      </c>
      <c r="F32" s="106"/>
      <c r="G32" s="140"/>
      <c r="H32" s="106"/>
      <c r="I32" s="138" t="str">
        <f aca="false">IFERROR(VLOOKUP(TEXT(H32,"0"),IPRESS!$A$3:$B$212,2,0),"")</f>
        <v/>
      </c>
      <c r="J32" s="106"/>
      <c r="K32" s="138"/>
      <c r="L32" s="50" t="n">
        <v>17.95</v>
      </c>
      <c r="M32" s="50"/>
      <c r="N32" s="139" t="str">
        <f aca="false">IFERROR(IF(L32*M32=0,"",L32*M32),"")</f>
        <v/>
      </c>
      <c r="O32" s="106"/>
      <c r="P32" s="138" t="str">
        <f aca="false">IFERROR(VLOOKUP(TEXT(O32,"0"),CONDUCTORES!$A$3:$G$100,2,0),"")</f>
        <v/>
      </c>
      <c r="Q32" s="138" t="str">
        <f aca="false">IFERROR(VLOOKUP(TEXT(O32,"0"),CONDUCTORES!$A$3:$H$100,6,0),"")</f>
        <v/>
      </c>
      <c r="R32" s="140"/>
      <c r="S32" s="107"/>
      <c r="T32" s="136"/>
      <c r="U32" s="140"/>
      <c r="V32" s="107"/>
      <c r="W32" s="106"/>
      <c r="X32" s="106"/>
      <c r="Y32" s="85"/>
      <c r="Z32" s="157" t="str">
        <f aca="false">IF(AND(R32&lt;&gt;"",V32&lt;&gt;"",W32&lt;&gt;""),"ENTREGADO","POR RECOGER")</f>
        <v>POR RECOGER</v>
      </c>
      <c r="AA32" s="4"/>
      <c r="AB32" s="4"/>
      <c r="AC32" s="4"/>
    </row>
    <row r="33" customFormat="false" ht="15.75" hidden="false" customHeight="true" outlineLevel="0" collapsed="false">
      <c r="A33" s="46" t="n">
        <v>28</v>
      </c>
      <c r="B33" s="110"/>
      <c r="C33" s="46" t="s">
        <v>752</v>
      </c>
      <c r="D33" s="110"/>
      <c r="E33" s="46" t="s">
        <v>99</v>
      </c>
      <c r="F33" s="46"/>
      <c r="G33" s="85"/>
      <c r="H33" s="46"/>
      <c r="I33" s="138" t="str">
        <f aca="false">IFERROR(VLOOKUP(TEXT(H33,"0"),IPRESS!$A$3:$B$212,2,0),"")</f>
        <v/>
      </c>
      <c r="J33" s="46"/>
      <c r="K33" s="138"/>
      <c r="L33" s="44" t="n">
        <v>18.18</v>
      </c>
      <c r="M33" s="44"/>
      <c r="N33" s="139" t="str">
        <f aca="false">IFERROR(IF(L33*M33=0,"",L33*M33),"")</f>
        <v/>
      </c>
      <c r="O33" s="46"/>
      <c r="P33" s="138" t="str">
        <f aca="false">IFERROR(VLOOKUP(TEXT(O33,"0"),CONDUCTORES!$A$3:$G$100,2,0),"")</f>
        <v/>
      </c>
      <c r="Q33" s="138" t="str">
        <f aca="false">IFERROR(VLOOKUP(TEXT(O33,"0"),CONDUCTORES!$A$3:$H$100,6,0),"")</f>
        <v/>
      </c>
      <c r="R33" s="85"/>
      <c r="S33" s="110"/>
      <c r="T33" s="46"/>
      <c r="U33" s="85"/>
      <c r="V33" s="110"/>
      <c r="W33" s="46"/>
      <c r="X33" s="46"/>
      <c r="Y33" s="85"/>
      <c r="Z33" s="157" t="str">
        <f aca="false">IF(AND(R33&lt;&gt;"",V33&lt;&gt;"",W33&lt;&gt;""),"ENTREGADO","POR RECOGER")</f>
        <v>POR RECOGER</v>
      </c>
      <c r="AA33" s="4"/>
      <c r="AB33" s="4"/>
      <c r="AC33" s="4"/>
    </row>
    <row r="34" customFormat="false" ht="15.75" hidden="false" customHeight="true" outlineLevel="0" collapsed="false">
      <c r="A34" s="106" t="n">
        <v>29</v>
      </c>
      <c r="B34" s="107"/>
      <c r="C34" s="106" t="s">
        <v>752</v>
      </c>
      <c r="D34" s="107"/>
      <c r="E34" s="136" t="s">
        <v>99</v>
      </c>
      <c r="F34" s="106"/>
      <c r="G34" s="140"/>
      <c r="H34" s="106"/>
      <c r="I34" s="138" t="str">
        <f aca="false">IFERROR(VLOOKUP(TEXT(H34,"0"),IPRESS!$A$3:$B$212,2,0),"")</f>
        <v/>
      </c>
      <c r="J34" s="106"/>
      <c r="K34" s="138"/>
      <c r="L34" s="50" t="n">
        <v>18.18</v>
      </c>
      <c r="M34" s="50"/>
      <c r="N34" s="139" t="str">
        <f aca="false">IFERROR(IF(L34*M34=0,"",L34*M34),"")</f>
        <v/>
      </c>
      <c r="O34" s="106"/>
      <c r="P34" s="138" t="str">
        <f aca="false">IFERROR(VLOOKUP(TEXT(O34,"0"),CONDUCTORES!$A$3:$G$100,2,0),"")</f>
        <v/>
      </c>
      <c r="Q34" s="138" t="str">
        <f aca="false">IFERROR(VLOOKUP(TEXT(O34,"0"),CONDUCTORES!$A$3:$H$100,6,0),"")</f>
        <v/>
      </c>
      <c r="R34" s="140"/>
      <c r="S34" s="107"/>
      <c r="T34" s="136"/>
      <c r="U34" s="140"/>
      <c r="V34" s="107"/>
      <c r="W34" s="106"/>
      <c r="X34" s="106"/>
      <c r="Y34" s="85"/>
      <c r="Z34" s="157" t="str">
        <f aca="false">IF(AND(R34&lt;&gt;"",V34&lt;&gt;"",W34&lt;&gt;""),"ENTREGADO","POR RECOGER")</f>
        <v>POR RECOGER</v>
      </c>
      <c r="AA34" s="4"/>
      <c r="AB34" s="4"/>
      <c r="AC34" s="4"/>
    </row>
    <row r="35" customFormat="false" ht="15.75" hidden="false" customHeight="true" outlineLevel="0" collapsed="false">
      <c r="A35" s="46" t="n">
        <v>30</v>
      </c>
      <c r="B35" s="110"/>
      <c r="C35" s="46" t="s">
        <v>752</v>
      </c>
      <c r="D35" s="110"/>
      <c r="E35" s="46" t="s">
        <v>99</v>
      </c>
      <c r="F35" s="46"/>
      <c r="G35" s="85"/>
      <c r="H35" s="46"/>
      <c r="I35" s="138" t="str">
        <f aca="false">IFERROR(VLOOKUP(TEXT(H35,"0"),IPRESS!$A$3:$B$212,2,0),"")</f>
        <v/>
      </c>
      <c r="J35" s="46"/>
      <c r="K35" s="138"/>
      <c r="L35" s="44" t="n">
        <v>18.18</v>
      </c>
      <c r="M35" s="44"/>
      <c r="N35" s="139" t="str">
        <f aca="false">IFERROR(IF(L35*M35=0,"",L35*M35),"")</f>
        <v/>
      </c>
      <c r="O35" s="46"/>
      <c r="P35" s="138" t="str">
        <f aca="false">IFERROR(VLOOKUP(TEXT(O35,"0"),CONDUCTORES!$A$3:$G$100,2,0),"")</f>
        <v/>
      </c>
      <c r="Q35" s="138" t="str">
        <f aca="false">IFERROR(VLOOKUP(TEXT(O35,"0"),CONDUCTORES!$A$3:$H$100,6,0),"")</f>
        <v/>
      </c>
      <c r="R35" s="85"/>
      <c r="S35" s="110"/>
      <c r="T35" s="46"/>
      <c r="U35" s="85"/>
      <c r="V35" s="110"/>
      <c r="W35" s="46"/>
      <c r="X35" s="46"/>
      <c r="Y35" s="85"/>
      <c r="Z35" s="157" t="str">
        <f aca="false">IF(AND(R35&lt;&gt;"",V35&lt;&gt;"",W35&lt;&gt;""),"ENTREGADO","POR RECOGER")</f>
        <v>POR RECOGER</v>
      </c>
      <c r="AA35" s="4"/>
      <c r="AB35" s="4"/>
      <c r="AC35" s="4"/>
    </row>
    <row r="36" customFormat="false" ht="15.75" hidden="false" customHeight="true" outlineLevel="0" collapsed="false">
      <c r="A36" s="106" t="n">
        <v>31</v>
      </c>
      <c r="B36" s="107"/>
      <c r="C36" s="106" t="s">
        <v>752</v>
      </c>
      <c r="D36" s="107"/>
      <c r="E36" s="136" t="s">
        <v>99</v>
      </c>
      <c r="F36" s="106"/>
      <c r="G36" s="140"/>
      <c r="H36" s="106"/>
      <c r="I36" s="138" t="str">
        <f aca="false">IFERROR(VLOOKUP(TEXT(H36,"0"),IPRESS!$A$3:$B$212,2,0),"")</f>
        <v/>
      </c>
      <c r="J36" s="106"/>
      <c r="K36" s="138"/>
      <c r="L36" s="50" t="n">
        <v>18.18</v>
      </c>
      <c r="M36" s="50"/>
      <c r="N36" s="139" t="str">
        <f aca="false">IFERROR(IF(L36*M36=0,"",L36*M36),"")</f>
        <v/>
      </c>
      <c r="O36" s="106"/>
      <c r="P36" s="138" t="str">
        <f aca="false">IFERROR(VLOOKUP(TEXT(O36,"0"),CONDUCTORES!$A$3:$G$100,2,0),"")</f>
        <v/>
      </c>
      <c r="Q36" s="138" t="str">
        <f aca="false">IFERROR(VLOOKUP(TEXT(O36,"0"),CONDUCTORES!$A$3:$H$100,6,0),"")</f>
        <v/>
      </c>
      <c r="R36" s="140"/>
      <c r="S36" s="107"/>
      <c r="T36" s="136"/>
      <c r="U36" s="140"/>
      <c r="V36" s="107"/>
      <c r="W36" s="106"/>
      <c r="X36" s="106"/>
      <c r="Y36" s="85"/>
      <c r="Z36" s="157" t="str">
        <f aca="false">IF(AND(R36&lt;&gt;"",V36&lt;&gt;"",W36&lt;&gt;""),"ENTREGADO","POR RECOGER")</f>
        <v>POR RECOGER</v>
      </c>
      <c r="AA36" s="4"/>
      <c r="AB36" s="4"/>
      <c r="AC36" s="4"/>
    </row>
    <row r="37" customFormat="false" ht="15.75" hidden="false" customHeight="true" outlineLevel="0" collapsed="false">
      <c r="A37" s="46" t="n">
        <v>32</v>
      </c>
      <c r="B37" s="110"/>
      <c r="C37" s="46" t="s">
        <v>752</v>
      </c>
      <c r="D37" s="110"/>
      <c r="E37" s="46" t="s">
        <v>99</v>
      </c>
      <c r="F37" s="46"/>
      <c r="G37" s="85"/>
      <c r="H37" s="46"/>
      <c r="I37" s="138" t="str">
        <f aca="false">IFERROR(VLOOKUP(TEXT(H37,"0"),IPRESS!$A$3:$B$212,2,0),"")</f>
        <v/>
      </c>
      <c r="J37" s="46"/>
      <c r="K37" s="138"/>
      <c r="L37" s="44" t="n">
        <v>18.18</v>
      </c>
      <c r="M37" s="44"/>
      <c r="N37" s="139" t="str">
        <f aca="false">IFERROR(IF(L37*M37=0,"",L37*M37),"")</f>
        <v/>
      </c>
      <c r="O37" s="46"/>
      <c r="P37" s="138" t="str">
        <f aca="false">IFERROR(VLOOKUP(TEXT(O37,"0"),CONDUCTORES!$A$3:$G$100,2,0),"")</f>
        <v/>
      </c>
      <c r="Q37" s="138" t="str">
        <f aca="false">IFERROR(VLOOKUP(TEXT(O37,"0"),CONDUCTORES!$A$3:$H$100,6,0),"")</f>
        <v/>
      </c>
      <c r="R37" s="85"/>
      <c r="S37" s="110"/>
      <c r="T37" s="46"/>
      <c r="U37" s="85"/>
      <c r="V37" s="110"/>
      <c r="W37" s="46"/>
      <c r="X37" s="46"/>
      <c r="Y37" s="85"/>
      <c r="Z37" s="157" t="str">
        <f aca="false">IF(AND(R37&lt;&gt;"",V37&lt;&gt;"",W37&lt;&gt;""),"ENTREGADO","POR RECOGER")</f>
        <v>POR RECOGER</v>
      </c>
      <c r="AA37" s="4"/>
      <c r="AB37" s="4"/>
      <c r="AC37" s="4"/>
    </row>
    <row r="38" customFormat="false" ht="15.75" hidden="false" customHeight="true" outlineLevel="0" collapsed="false">
      <c r="A38" s="106" t="n">
        <v>33</v>
      </c>
      <c r="B38" s="107"/>
      <c r="C38" s="106" t="s">
        <v>752</v>
      </c>
      <c r="D38" s="107"/>
      <c r="E38" s="136" t="s">
        <v>99</v>
      </c>
      <c r="F38" s="106"/>
      <c r="G38" s="140"/>
      <c r="H38" s="106"/>
      <c r="I38" s="138" t="str">
        <f aca="false">IFERROR(VLOOKUP(TEXT(H38,"0"),IPRESS!$A$3:$B$212,2,0),"")</f>
        <v/>
      </c>
      <c r="J38" s="106"/>
      <c r="K38" s="138"/>
      <c r="L38" s="50" t="n">
        <v>18.18</v>
      </c>
      <c r="M38" s="50"/>
      <c r="N38" s="139" t="str">
        <f aca="false">IFERROR(IF(L38*M38=0,"",L38*M38),"")</f>
        <v/>
      </c>
      <c r="O38" s="106"/>
      <c r="P38" s="138" t="str">
        <f aca="false">IFERROR(VLOOKUP(TEXT(O38,"0"),CONDUCTORES!$A$3:$G$100,2,0),"")</f>
        <v/>
      </c>
      <c r="Q38" s="138" t="str">
        <f aca="false">IFERROR(VLOOKUP(TEXT(O38,"0"),CONDUCTORES!$A$3:$H$100,6,0),"")</f>
        <v/>
      </c>
      <c r="R38" s="140"/>
      <c r="S38" s="107"/>
      <c r="T38" s="136"/>
      <c r="U38" s="140"/>
      <c r="V38" s="107"/>
      <c r="W38" s="106"/>
      <c r="X38" s="106"/>
      <c r="Y38" s="85"/>
      <c r="Z38" s="157" t="str">
        <f aca="false">IF(AND(R38&lt;&gt;"",V38&lt;&gt;"",W38&lt;&gt;""),"ENTREGADO","POR RECOGER")</f>
        <v>POR RECOGER</v>
      </c>
      <c r="AA38" s="4"/>
      <c r="AB38" s="4"/>
      <c r="AC38" s="4"/>
    </row>
    <row r="39" customFormat="false" ht="15.75" hidden="false" customHeight="true" outlineLevel="0" collapsed="false">
      <c r="A39" s="46" t="n">
        <v>34</v>
      </c>
      <c r="B39" s="110"/>
      <c r="C39" s="46" t="s">
        <v>752</v>
      </c>
      <c r="D39" s="110"/>
      <c r="E39" s="46" t="s">
        <v>99</v>
      </c>
      <c r="F39" s="46"/>
      <c r="G39" s="85"/>
      <c r="H39" s="46"/>
      <c r="I39" s="138" t="str">
        <f aca="false">IFERROR(VLOOKUP(TEXT(H39,"0"),IPRESS!$A$3:$B$212,2,0),"")</f>
        <v/>
      </c>
      <c r="J39" s="46"/>
      <c r="K39" s="138"/>
      <c r="L39" s="44" t="n">
        <v>18.18</v>
      </c>
      <c r="M39" s="44"/>
      <c r="N39" s="139" t="str">
        <f aca="false">IFERROR(IF(L39*M39=0,"",L39*M39),"")</f>
        <v/>
      </c>
      <c r="O39" s="46"/>
      <c r="P39" s="138" t="str">
        <f aca="false">IFERROR(VLOOKUP(TEXT(O39,"0"),CONDUCTORES!$A$3:$G$100,2,0),"")</f>
        <v/>
      </c>
      <c r="Q39" s="138" t="str">
        <f aca="false">IFERROR(VLOOKUP(TEXT(O39,"0"),CONDUCTORES!$A$3:$H$100,6,0),"")</f>
        <v/>
      </c>
      <c r="R39" s="85"/>
      <c r="S39" s="110"/>
      <c r="T39" s="46"/>
      <c r="U39" s="85"/>
      <c r="V39" s="110"/>
      <c r="W39" s="46"/>
      <c r="X39" s="46"/>
      <c r="Y39" s="85"/>
      <c r="Z39" s="157" t="str">
        <f aca="false">IF(AND(R39&lt;&gt;"",V39&lt;&gt;"",W39&lt;&gt;""),"ENTREGADO","POR RECOGER")</f>
        <v>POR RECOGER</v>
      </c>
      <c r="AA39" s="4"/>
      <c r="AB39" s="4"/>
      <c r="AC39" s="4"/>
    </row>
    <row r="40" customFormat="false" ht="15.75" hidden="false" customHeight="true" outlineLevel="0" collapsed="false">
      <c r="A40" s="106" t="n">
        <v>35</v>
      </c>
      <c r="B40" s="107"/>
      <c r="C40" s="106" t="s">
        <v>752</v>
      </c>
      <c r="D40" s="107"/>
      <c r="E40" s="136" t="s">
        <v>99</v>
      </c>
      <c r="F40" s="106"/>
      <c r="G40" s="140"/>
      <c r="H40" s="106"/>
      <c r="I40" s="138" t="str">
        <f aca="false">IFERROR(VLOOKUP(TEXT(H40,"0"),IPRESS!$A$3:$B$212,2,0),"")</f>
        <v/>
      </c>
      <c r="J40" s="106"/>
      <c r="K40" s="138"/>
      <c r="L40" s="50" t="n">
        <v>18.18</v>
      </c>
      <c r="M40" s="50"/>
      <c r="N40" s="139" t="str">
        <f aca="false">IFERROR(IF(L40*M40=0,"",L40*M40),"")</f>
        <v/>
      </c>
      <c r="O40" s="106"/>
      <c r="P40" s="138" t="str">
        <f aca="false">IFERROR(VLOOKUP(TEXT(O40,"0"),CONDUCTORES!$A$3:$G$100,2,0),"")</f>
        <v/>
      </c>
      <c r="Q40" s="138" t="str">
        <f aca="false">IFERROR(VLOOKUP(TEXT(O40,"0"),CONDUCTORES!$A$3:$H$100,6,0),"")</f>
        <v/>
      </c>
      <c r="R40" s="140"/>
      <c r="S40" s="107"/>
      <c r="T40" s="136"/>
      <c r="U40" s="140"/>
      <c r="V40" s="107"/>
      <c r="W40" s="106"/>
      <c r="X40" s="106"/>
      <c r="Y40" s="85"/>
      <c r="Z40" s="157" t="str">
        <f aca="false">IF(AND(R40&lt;&gt;"",V40&lt;&gt;"",W40&lt;&gt;""),"ENTREGADO","POR RECOGER")</f>
        <v>POR RECOGER</v>
      </c>
      <c r="AA40" s="4"/>
      <c r="AB40" s="4"/>
      <c r="AC40" s="4"/>
    </row>
    <row r="41" customFormat="false" ht="15.75" hidden="false" customHeight="true" outlineLevel="0" collapsed="false">
      <c r="A41" s="46" t="n">
        <v>36</v>
      </c>
      <c r="B41" s="110"/>
      <c r="C41" s="46" t="s">
        <v>752</v>
      </c>
      <c r="D41" s="110"/>
      <c r="E41" s="46" t="s">
        <v>99</v>
      </c>
      <c r="F41" s="46"/>
      <c r="G41" s="85"/>
      <c r="H41" s="46"/>
      <c r="I41" s="138" t="str">
        <f aca="false">IFERROR(VLOOKUP(TEXT(H41,"0"),IPRESS!$A$3:$B$212,2,0),"")</f>
        <v/>
      </c>
      <c r="J41" s="46"/>
      <c r="K41" s="138"/>
      <c r="L41" s="44" t="n">
        <v>18.18</v>
      </c>
      <c r="M41" s="44"/>
      <c r="N41" s="139" t="str">
        <f aca="false">IFERROR(IF(L41*M41=0,"",L41*M41),"")</f>
        <v/>
      </c>
      <c r="O41" s="46"/>
      <c r="P41" s="138" t="str">
        <f aca="false">IFERROR(VLOOKUP(TEXT(O41,"0"),CONDUCTORES!$A$3:$G$100,2,0),"")</f>
        <v/>
      </c>
      <c r="Q41" s="138" t="str">
        <f aca="false">IFERROR(VLOOKUP(TEXT(O41,"0"),CONDUCTORES!$A$3:$H$100,6,0),"")</f>
        <v/>
      </c>
      <c r="R41" s="85"/>
      <c r="S41" s="110"/>
      <c r="T41" s="46"/>
      <c r="U41" s="85"/>
      <c r="V41" s="110"/>
      <c r="W41" s="46"/>
      <c r="X41" s="46"/>
      <c r="Y41" s="85"/>
      <c r="Z41" s="157" t="str">
        <f aca="false">IF(AND(R41&lt;&gt;"",V41&lt;&gt;"",W41&lt;&gt;""),"ENTREGADO","POR RECOGER")</f>
        <v>POR RECOGER</v>
      </c>
      <c r="AA41" s="4"/>
      <c r="AB41" s="4"/>
      <c r="AC41" s="4"/>
    </row>
    <row r="42" customFormat="false" ht="15.75" hidden="false" customHeight="true" outlineLevel="0" collapsed="false">
      <c r="A42" s="106" t="n">
        <v>37</v>
      </c>
      <c r="B42" s="107"/>
      <c r="C42" s="106" t="s">
        <v>752</v>
      </c>
      <c r="D42" s="107"/>
      <c r="E42" s="136" t="s">
        <v>99</v>
      </c>
      <c r="F42" s="106"/>
      <c r="G42" s="140"/>
      <c r="H42" s="106"/>
      <c r="I42" s="138" t="str">
        <f aca="false">IFERROR(VLOOKUP(TEXT(H42,"0"),IPRESS!$A$3:$B$212,2,0),"")</f>
        <v/>
      </c>
      <c r="J42" s="106"/>
      <c r="K42" s="138"/>
      <c r="L42" s="50" t="n">
        <v>18.18</v>
      </c>
      <c r="M42" s="50"/>
      <c r="N42" s="139" t="str">
        <f aca="false">IFERROR(IF(L42*M42=0,"",L42*M42),"")</f>
        <v/>
      </c>
      <c r="O42" s="106"/>
      <c r="P42" s="138" t="str">
        <f aca="false">IFERROR(VLOOKUP(TEXT(O42,"0"),CONDUCTORES!$A$3:$G$100,2,0),"")</f>
        <v/>
      </c>
      <c r="Q42" s="138" t="str">
        <f aca="false">IFERROR(VLOOKUP(TEXT(O42,"0"),CONDUCTORES!$A$3:$H$100,6,0),"")</f>
        <v/>
      </c>
      <c r="R42" s="140"/>
      <c r="S42" s="107"/>
      <c r="T42" s="136"/>
      <c r="U42" s="140"/>
      <c r="V42" s="107"/>
      <c r="W42" s="106"/>
      <c r="X42" s="106"/>
      <c r="Y42" s="85"/>
      <c r="Z42" s="157" t="str">
        <f aca="false">IF(AND(R42&lt;&gt;"",V42&lt;&gt;"",W42&lt;&gt;""),"ENTREGADO","POR RECOGER")</f>
        <v>POR RECOGER</v>
      </c>
      <c r="AA42" s="4"/>
      <c r="AB42" s="4"/>
      <c r="AC42" s="4"/>
    </row>
    <row r="43" customFormat="false" ht="15.75" hidden="false" customHeight="true" outlineLevel="0" collapsed="false">
      <c r="A43" s="46" t="n">
        <v>38</v>
      </c>
      <c r="B43" s="110"/>
      <c r="C43" s="46" t="s">
        <v>752</v>
      </c>
      <c r="D43" s="110"/>
      <c r="E43" s="46" t="s">
        <v>99</v>
      </c>
      <c r="F43" s="46"/>
      <c r="G43" s="85"/>
      <c r="H43" s="46"/>
      <c r="I43" s="138" t="str">
        <f aca="false">IFERROR(VLOOKUP(TEXT(H43,"0"),IPRESS!$A$3:$B$212,2,0),"")</f>
        <v/>
      </c>
      <c r="J43" s="46"/>
      <c r="K43" s="138"/>
      <c r="L43" s="44" t="n">
        <v>18.18</v>
      </c>
      <c r="M43" s="44"/>
      <c r="N43" s="139" t="str">
        <f aca="false">IFERROR(IF(L43*M43=0,"",L43*M43),"")</f>
        <v/>
      </c>
      <c r="O43" s="46"/>
      <c r="P43" s="138" t="str">
        <f aca="false">IFERROR(VLOOKUP(TEXT(O43,"0"),CONDUCTORES!$A$3:$G$100,2,0),"")</f>
        <v/>
      </c>
      <c r="Q43" s="138" t="str">
        <f aca="false">IFERROR(VLOOKUP(TEXT(O43,"0"),CONDUCTORES!$A$3:$H$100,6,0),"")</f>
        <v/>
      </c>
      <c r="R43" s="85"/>
      <c r="S43" s="110"/>
      <c r="T43" s="46"/>
      <c r="U43" s="85"/>
      <c r="V43" s="110"/>
      <c r="W43" s="46"/>
      <c r="X43" s="46"/>
      <c r="Y43" s="85"/>
      <c r="Z43" s="157" t="str">
        <f aca="false">IF(AND(R43&lt;&gt;"",V43&lt;&gt;"",W43&lt;&gt;""),"ENTREGADO","POR RECOGER")</f>
        <v>POR RECOGER</v>
      </c>
      <c r="AA43" s="4"/>
      <c r="AB43" s="4"/>
      <c r="AC43" s="4"/>
    </row>
    <row r="44" customFormat="false" ht="15.75" hidden="false" customHeight="true" outlineLevel="0" collapsed="false">
      <c r="A44" s="106" t="n">
        <v>39</v>
      </c>
      <c r="B44" s="107"/>
      <c r="C44" s="106" t="s">
        <v>752</v>
      </c>
      <c r="D44" s="107"/>
      <c r="E44" s="136" t="s">
        <v>99</v>
      </c>
      <c r="F44" s="106"/>
      <c r="G44" s="140"/>
      <c r="H44" s="106"/>
      <c r="I44" s="138" t="str">
        <f aca="false">IFERROR(VLOOKUP(TEXT(H44,"0"),IPRESS!$A$3:$B$212,2,0),"")</f>
        <v/>
      </c>
      <c r="J44" s="106"/>
      <c r="K44" s="138"/>
      <c r="L44" s="50" t="n">
        <v>20.25</v>
      </c>
      <c r="M44" s="50"/>
      <c r="N44" s="139" t="str">
        <f aca="false">IFERROR(IF(L44*M44=0,"",L44*M44),"")</f>
        <v/>
      </c>
      <c r="O44" s="106"/>
      <c r="P44" s="138" t="str">
        <f aca="false">IFERROR(VLOOKUP(TEXT(O44,"0"),CONDUCTORES!$A$3:$G$100,2,0),"")</f>
        <v/>
      </c>
      <c r="Q44" s="138" t="str">
        <f aca="false">IFERROR(VLOOKUP(TEXT(O44,"0"),CONDUCTORES!$A$3:$H$100,6,0),"")</f>
        <v/>
      </c>
      <c r="R44" s="140"/>
      <c r="S44" s="107"/>
      <c r="T44" s="136"/>
      <c r="U44" s="140"/>
      <c r="V44" s="107"/>
      <c r="W44" s="106"/>
      <c r="X44" s="106"/>
      <c r="Y44" s="85"/>
      <c r="Z44" s="157" t="str">
        <f aca="false">IF(AND(R44&lt;&gt;"",V44&lt;&gt;"",W44&lt;&gt;""),"ENTREGADO","POR RECOGER")</f>
        <v>POR RECOGER</v>
      </c>
      <c r="AA44" s="4"/>
      <c r="AB44" s="4"/>
      <c r="AC44" s="4"/>
    </row>
    <row r="45" customFormat="false" ht="15.75" hidden="false" customHeight="true" outlineLevel="0" collapsed="false">
      <c r="A45" s="46" t="n">
        <v>40</v>
      </c>
      <c r="B45" s="110"/>
      <c r="C45" s="46" t="s">
        <v>752</v>
      </c>
      <c r="D45" s="110"/>
      <c r="E45" s="46" t="s">
        <v>99</v>
      </c>
      <c r="F45" s="46"/>
      <c r="G45" s="85"/>
      <c r="H45" s="46"/>
      <c r="I45" s="138" t="str">
        <f aca="false">IFERROR(VLOOKUP(TEXT(H45,"0"),IPRESS!$A$3:$B$212,2,0),"")</f>
        <v/>
      </c>
      <c r="J45" s="46"/>
      <c r="K45" s="138"/>
      <c r="L45" s="44" t="n">
        <v>20.25</v>
      </c>
      <c r="M45" s="44"/>
      <c r="N45" s="139" t="str">
        <f aca="false">IFERROR(IF(L45*M45=0,"",L45*M45),"")</f>
        <v/>
      </c>
      <c r="O45" s="46"/>
      <c r="P45" s="138" t="str">
        <f aca="false">IFERROR(VLOOKUP(TEXT(O45,"0"),CONDUCTORES!$A$3:$G$100,2,0),"")</f>
        <v/>
      </c>
      <c r="Q45" s="138" t="str">
        <f aca="false">IFERROR(VLOOKUP(TEXT(O45,"0"),CONDUCTORES!$A$3:$H$100,6,0),"")</f>
        <v/>
      </c>
      <c r="R45" s="85"/>
      <c r="S45" s="110"/>
      <c r="T45" s="46"/>
      <c r="U45" s="85"/>
      <c r="V45" s="110"/>
      <c r="W45" s="46"/>
      <c r="X45" s="46"/>
      <c r="Y45" s="85"/>
      <c r="Z45" s="157" t="str">
        <f aca="false">IF(AND(R45&lt;&gt;"",V45&lt;&gt;"",W45&lt;&gt;""),"ENTREGADO","POR RECOGER")</f>
        <v>POR RECOGER</v>
      </c>
      <c r="AA45" s="4"/>
      <c r="AB45" s="4"/>
      <c r="AC45" s="4"/>
    </row>
    <row r="46" customFormat="false" ht="15.75" hidden="false" customHeight="true" outlineLevel="0" collapsed="false">
      <c r="A46" s="106" t="n">
        <v>41</v>
      </c>
      <c r="B46" s="107"/>
      <c r="C46" s="106" t="s">
        <v>752</v>
      </c>
      <c r="D46" s="107"/>
      <c r="E46" s="136" t="s">
        <v>99</v>
      </c>
      <c r="F46" s="106"/>
      <c r="G46" s="140"/>
      <c r="H46" s="106"/>
      <c r="I46" s="138" t="str">
        <f aca="false">IFERROR(VLOOKUP(TEXT(H46,"0"),IPRESS!$A$3:$B$212,2,0),"")</f>
        <v/>
      </c>
      <c r="J46" s="106"/>
      <c r="K46" s="138"/>
      <c r="L46" s="50" t="n">
        <v>20.25</v>
      </c>
      <c r="M46" s="50"/>
      <c r="N46" s="139" t="str">
        <f aca="false">IFERROR(IF(L46*M46=0,"",L46*M46),"")</f>
        <v/>
      </c>
      <c r="O46" s="106"/>
      <c r="P46" s="138" t="str">
        <f aca="false">IFERROR(VLOOKUP(TEXT(O46,"0"),CONDUCTORES!$A$3:$G$100,2,0),"")</f>
        <v/>
      </c>
      <c r="Q46" s="138" t="str">
        <f aca="false">IFERROR(VLOOKUP(TEXT(O46,"0"),CONDUCTORES!$A$3:$H$100,6,0),"")</f>
        <v/>
      </c>
      <c r="R46" s="140"/>
      <c r="S46" s="107"/>
      <c r="T46" s="136"/>
      <c r="U46" s="140"/>
      <c r="V46" s="107"/>
      <c r="W46" s="106"/>
      <c r="X46" s="106"/>
      <c r="Y46" s="85"/>
      <c r="Z46" s="157" t="str">
        <f aca="false">IF(AND(R46&lt;&gt;"",V46&lt;&gt;"",W46&lt;&gt;""),"ENTREGADO","POR RECOGER")</f>
        <v>POR RECOGER</v>
      </c>
      <c r="AA46" s="4"/>
      <c r="AB46" s="4"/>
      <c r="AC46" s="4"/>
    </row>
    <row r="47" customFormat="false" ht="15.75" hidden="false" customHeight="true" outlineLevel="0" collapsed="false">
      <c r="A47" s="46" t="n">
        <v>42</v>
      </c>
      <c r="B47" s="110"/>
      <c r="C47" s="46" t="s">
        <v>752</v>
      </c>
      <c r="D47" s="110"/>
      <c r="E47" s="46" t="s">
        <v>99</v>
      </c>
      <c r="F47" s="46"/>
      <c r="G47" s="85"/>
      <c r="H47" s="46"/>
      <c r="I47" s="138" t="str">
        <f aca="false">IFERROR(VLOOKUP(TEXT(H47,"0"),IPRESS!$A$3:$B$212,2,0),"")</f>
        <v/>
      </c>
      <c r="J47" s="46"/>
      <c r="K47" s="138"/>
      <c r="L47" s="44" t="n">
        <v>20.25</v>
      </c>
      <c r="M47" s="44"/>
      <c r="N47" s="139" t="str">
        <f aca="false">IFERROR(IF(L47*M47=0,"",L47*M47),"")</f>
        <v/>
      </c>
      <c r="O47" s="46"/>
      <c r="P47" s="138" t="str">
        <f aca="false">IFERROR(VLOOKUP(TEXT(O47,"0"),CONDUCTORES!$A$3:$G$100,2,0),"")</f>
        <v/>
      </c>
      <c r="Q47" s="138" t="str">
        <f aca="false">IFERROR(VLOOKUP(TEXT(O47,"0"),CONDUCTORES!$A$3:$H$100,6,0),"")</f>
        <v/>
      </c>
      <c r="R47" s="85"/>
      <c r="S47" s="110"/>
      <c r="T47" s="46"/>
      <c r="U47" s="85"/>
      <c r="V47" s="110"/>
      <c r="W47" s="46"/>
      <c r="X47" s="46"/>
      <c r="Y47" s="85"/>
      <c r="Z47" s="157" t="str">
        <f aca="false">IF(AND(R47&lt;&gt;"",V47&lt;&gt;"",W47&lt;&gt;""),"ENTREGADO","POR RECOGER")</f>
        <v>POR RECOGER</v>
      </c>
      <c r="AA47" s="4"/>
      <c r="AB47" s="4"/>
      <c r="AC47" s="4"/>
    </row>
    <row r="48" customFormat="false" ht="15.75" hidden="false" customHeight="true" outlineLevel="0" collapsed="false">
      <c r="A48" s="106" t="n">
        <v>43</v>
      </c>
      <c r="B48" s="107"/>
      <c r="C48" s="106" t="s">
        <v>752</v>
      </c>
      <c r="D48" s="107"/>
      <c r="E48" s="136" t="s">
        <v>99</v>
      </c>
      <c r="F48" s="106"/>
      <c r="G48" s="140"/>
      <c r="H48" s="106"/>
      <c r="I48" s="138" t="str">
        <f aca="false">IFERROR(VLOOKUP(TEXT(H48,"0"),IPRESS!$A$3:$B$212,2,0),"")</f>
        <v/>
      </c>
      <c r="J48" s="106"/>
      <c r="K48" s="138"/>
      <c r="L48" s="50" t="n">
        <v>20.25</v>
      </c>
      <c r="M48" s="50"/>
      <c r="N48" s="139" t="str">
        <f aca="false">IFERROR(IF(L48*M48=0,"",L48*M48),"")</f>
        <v/>
      </c>
      <c r="O48" s="106"/>
      <c r="P48" s="138" t="str">
        <f aca="false">IFERROR(VLOOKUP(TEXT(O48,"0"),CONDUCTORES!$A$3:$G$100,2,0),"")</f>
        <v/>
      </c>
      <c r="Q48" s="138" t="str">
        <f aca="false">IFERROR(VLOOKUP(TEXT(O48,"0"),CONDUCTORES!$A$3:$H$100,6,0),"")</f>
        <v/>
      </c>
      <c r="R48" s="140"/>
      <c r="S48" s="107"/>
      <c r="T48" s="136"/>
      <c r="U48" s="140"/>
      <c r="V48" s="107"/>
      <c r="W48" s="106"/>
      <c r="X48" s="106"/>
      <c r="Y48" s="85"/>
      <c r="Z48" s="157" t="str">
        <f aca="false">IF(AND(R48&lt;&gt;"",V48&lt;&gt;"",W48&lt;&gt;""),"ENTREGADO","POR RECOGER")</f>
        <v>POR RECOGER</v>
      </c>
      <c r="AA48" s="4"/>
      <c r="AB48" s="4"/>
      <c r="AC48" s="4"/>
    </row>
    <row r="49" customFormat="false" ht="15.75" hidden="false" customHeight="true" outlineLevel="0" collapsed="false">
      <c r="A49" s="46" t="n">
        <v>44</v>
      </c>
      <c r="B49" s="110"/>
      <c r="C49" s="46" t="s">
        <v>752</v>
      </c>
      <c r="D49" s="110"/>
      <c r="E49" s="46" t="s">
        <v>99</v>
      </c>
      <c r="F49" s="46"/>
      <c r="G49" s="85"/>
      <c r="H49" s="46"/>
      <c r="I49" s="138" t="str">
        <f aca="false">IFERROR(VLOOKUP(TEXT(H49,"0"),IPRESS!$A$3:$B$212,2,0),"")</f>
        <v/>
      </c>
      <c r="J49" s="46"/>
      <c r="K49" s="138"/>
      <c r="L49" s="44" t="n">
        <v>18.18</v>
      </c>
      <c r="M49" s="44"/>
      <c r="N49" s="139" t="str">
        <f aca="false">IFERROR(IF(L49*M49=0,"",L49*M49),"")</f>
        <v/>
      </c>
      <c r="O49" s="46"/>
      <c r="P49" s="138" t="str">
        <f aca="false">IFERROR(VLOOKUP(TEXT(O49,"0"),CONDUCTORES!$A$3:$G$100,2,0),"")</f>
        <v/>
      </c>
      <c r="Q49" s="138" t="str">
        <f aca="false">IFERROR(VLOOKUP(TEXT(O49,"0"),CONDUCTORES!$A$3:$H$100,6,0),"")</f>
        <v/>
      </c>
      <c r="R49" s="85"/>
      <c r="S49" s="110"/>
      <c r="T49" s="46"/>
      <c r="U49" s="85"/>
      <c r="V49" s="110"/>
      <c r="W49" s="46"/>
      <c r="X49" s="46"/>
      <c r="Y49" s="85"/>
      <c r="Z49" s="157" t="str">
        <f aca="false">IF(AND(R49&lt;&gt;"",V49&lt;&gt;"",W49&lt;&gt;""),"ENTREGADO","POR RECOGER")</f>
        <v>POR RECOGER</v>
      </c>
      <c r="AA49" s="4"/>
      <c r="AB49" s="4"/>
      <c r="AC49" s="4"/>
    </row>
    <row r="50" customFormat="false" ht="15.75" hidden="false" customHeight="true" outlineLevel="0" collapsed="false">
      <c r="A50" s="106" t="n">
        <v>45</v>
      </c>
      <c r="B50" s="107"/>
      <c r="C50" s="106" t="s">
        <v>752</v>
      </c>
      <c r="D50" s="107"/>
      <c r="E50" s="136" t="s">
        <v>99</v>
      </c>
      <c r="F50" s="106"/>
      <c r="G50" s="140"/>
      <c r="H50" s="106"/>
      <c r="I50" s="138" t="str">
        <f aca="false">IFERROR(VLOOKUP(TEXT(H50,"0"),IPRESS!$A$3:$B$212,2,0),"")</f>
        <v/>
      </c>
      <c r="J50" s="106"/>
      <c r="K50" s="138"/>
      <c r="L50" s="50" t="n">
        <v>18.18</v>
      </c>
      <c r="M50" s="50"/>
      <c r="N50" s="139" t="str">
        <f aca="false">IFERROR(IF(L50*M50=0,"",L50*M50),"")</f>
        <v/>
      </c>
      <c r="O50" s="106"/>
      <c r="P50" s="138" t="str">
        <f aca="false">IFERROR(VLOOKUP(TEXT(O50,"0"),CONDUCTORES!$A$3:$G$100,2,0),"")</f>
        <v/>
      </c>
      <c r="Q50" s="138" t="str">
        <f aca="false">IFERROR(VLOOKUP(TEXT(O50,"0"),CONDUCTORES!$A$3:$H$100,6,0),"")</f>
        <v/>
      </c>
      <c r="R50" s="140"/>
      <c r="S50" s="107"/>
      <c r="T50" s="136"/>
      <c r="U50" s="140"/>
      <c r="V50" s="107"/>
      <c r="W50" s="106"/>
      <c r="X50" s="106"/>
      <c r="Y50" s="85"/>
      <c r="Z50" s="157" t="str">
        <f aca="false">IF(AND(R50&lt;&gt;"",V50&lt;&gt;"",W50&lt;&gt;""),"ENTREGADO","POR RECOGER")</f>
        <v>POR RECOGER</v>
      </c>
      <c r="AA50" s="4"/>
      <c r="AB50" s="4"/>
      <c r="AC50" s="4"/>
    </row>
    <row r="51" customFormat="false" ht="15.75" hidden="false" customHeight="true" outlineLevel="0" collapsed="false">
      <c r="A51" s="46" t="n">
        <v>46</v>
      </c>
      <c r="B51" s="110"/>
      <c r="C51" s="46" t="s">
        <v>752</v>
      </c>
      <c r="D51" s="110"/>
      <c r="E51" s="46" t="s">
        <v>99</v>
      </c>
      <c r="F51" s="46"/>
      <c r="G51" s="85"/>
      <c r="H51" s="46"/>
      <c r="I51" s="138" t="str">
        <f aca="false">IFERROR(VLOOKUP(TEXT(H51,"0"),IPRESS!$A$3:$B$212,2,0),"")</f>
        <v/>
      </c>
      <c r="J51" s="46"/>
      <c r="K51" s="138"/>
      <c r="L51" s="44" t="n">
        <v>18.18</v>
      </c>
      <c r="M51" s="44"/>
      <c r="N51" s="139" t="str">
        <f aca="false">IFERROR(IF(L51*M51=0,"",L51*M51),"")</f>
        <v/>
      </c>
      <c r="O51" s="46"/>
      <c r="P51" s="138" t="str">
        <f aca="false">IFERROR(VLOOKUP(TEXT(O51,"0"),CONDUCTORES!$A$3:$G$100,2,0),"")</f>
        <v/>
      </c>
      <c r="Q51" s="138" t="str">
        <f aca="false">IFERROR(VLOOKUP(TEXT(O51,"0"),CONDUCTORES!$A$3:$H$100,6,0),"")</f>
        <v/>
      </c>
      <c r="R51" s="85"/>
      <c r="S51" s="110"/>
      <c r="T51" s="46"/>
      <c r="U51" s="85"/>
      <c r="V51" s="110"/>
      <c r="W51" s="46"/>
      <c r="X51" s="46"/>
      <c r="Y51" s="85"/>
      <c r="Z51" s="157" t="str">
        <f aca="false">IF(AND(R51&lt;&gt;"",V51&lt;&gt;"",W51&lt;&gt;""),"ENTREGADO","POR RECOGER")</f>
        <v>POR RECOGER</v>
      </c>
      <c r="AA51" s="4"/>
      <c r="AB51" s="4"/>
      <c r="AC51" s="4"/>
    </row>
    <row r="52" customFormat="false" ht="15.75" hidden="false" customHeight="true" outlineLevel="0" collapsed="false">
      <c r="A52" s="106" t="n">
        <v>47</v>
      </c>
      <c r="B52" s="107"/>
      <c r="C52" s="106" t="s">
        <v>752</v>
      </c>
      <c r="D52" s="107"/>
      <c r="E52" s="136" t="s">
        <v>99</v>
      </c>
      <c r="F52" s="106"/>
      <c r="G52" s="140"/>
      <c r="H52" s="106"/>
      <c r="I52" s="138" t="str">
        <f aca="false">IFERROR(VLOOKUP(TEXT(H52,"0"),IPRESS!$A$3:$B$212,2,0),"")</f>
        <v/>
      </c>
      <c r="J52" s="106"/>
      <c r="K52" s="138"/>
      <c r="L52" s="50" t="n">
        <v>18.18</v>
      </c>
      <c r="M52" s="50"/>
      <c r="N52" s="139" t="str">
        <f aca="false">IFERROR(IF(L52*M52=0,"",L52*M52),"")</f>
        <v/>
      </c>
      <c r="O52" s="106"/>
      <c r="P52" s="138" t="str">
        <f aca="false">IFERROR(VLOOKUP(TEXT(O52,"0"),CONDUCTORES!$A$3:$G$100,2,0),"")</f>
        <v/>
      </c>
      <c r="Q52" s="138" t="str">
        <f aca="false">IFERROR(VLOOKUP(TEXT(O52,"0"),CONDUCTORES!$A$3:$H$100,6,0),"")</f>
        <v/>
      </c>
      <c r="R52" s="140"/>
      <c r="S52" s="107"/>
      <c r="T52" s="136"/>
      <c r="U52" s="140"/>
      <c r="V52" s="107"/>
      <c r="W52" s="106"/>
      <c r="X52" s="106"/>
      <c r="Y52" s="85"/>
      <c r="Z52" s="157" t="str">
        <f aca="false">IF(AND(R52&lt;&gt;"",V52&lt;&gt;"",W52&lt;&gt;""),"ENTREGADO","POR RECOGER")</f>
        <v>POR RECOGER</v>
      </c>
      <c r="AA52" s="4"/>
      <c r="AB52" s="4"/>
      <c r="AC52" s="4"/>
    </row>
    <row r="53" customFormat="false" ht="15.75" hidden="false" customHeight="true" outlineLevel="0" collapsed="false">
      <c r="A53" s="46" t="n">
        <v>48</v>
      </c>
      <c r="B53" s="110"/>
      <c r="C53" s="46" t="s">
        <v>752</v>
      </c>
      <c r="D53" s="110"/>
      <c r="E53" s="46" t="s">
        <v>99</v>
      </c>
      <c r="F53" s="46"/>
      <c r="G53" s="85"/>
      <c r="H53" s="46"/>
      <c r="I53" s="138" t="str">
        <f aca="false">IFERROR(VLOOKUP(TEXT(H53,"0"),IPRESS!$A$3:$B$212,2,0),"")</f>
        <v/>
      </c>
      <c r="J53" s="46"/>
      <c r="K53" s="138"/>
      <c r="L53" s="44" t="n">
        <v>20.25</v>
      </c>
      <c r="M53" s="44"/>
      <c r="N53" s="139" t="str">
        <f aca="false">IFERROR(IF(L53*M53=0,"",L53*M53),"")</f>
        <v/>
      </c>
      <c r="O53" s="46"/>
      <c r="P53" s="138" t="str">
        <f aca="false">IFERROR(VLOOKUP(TEXT(O53,"0"),CONDUCTORES!$A$3:$G$100,2,0),"")</f>
        <v/>
      </c>
      <c r="Q53" s="138" t="str">
        <f aca="false">IFERROR(VLOOKUP(TEXT(O53,"0"),CONDUCTORES!$A$3:$H$100,6,0),"")</f>
        <v/>
      </c>
      <c r="R53" s="85"/>
      <c r="S53" s="110"/>
      <c r="T53" s="46"/>
      <c r="U53" s="85"/>
      <c r="V53" s="110"/>
      <c r="W53" s="46"/>
      <c r="X53" s="46"/>
      <c r="Y53" s="85"/>
      <c r="Z53" s="157" t="str">
        <f aca="false">IF(AND(R53&lt;&gt;"",V53&lt;&gt;"",W53&lt;&gt;""),"ENTREGADO","POR RECOGER")</f>
        <v>POR RECOGER</v>
      </c>
      <c r="AA53" s="4"/>
      <c r="AB53" s="4"/>
      <c r="AC53" s="4"/>
    </row>
    <row r="54" customFormat="false" ht="15.75" hidden="false" customHeight="true" outlineLevel="0" collapsed="false">
      <c r="A54" s="106" t="n">
        <v>49</v>
      </c>
      <c r="B54" s="107"/>
      <c r="C54" s="106" t="s">
        <v>752</v>
      </c>
      <c r="D54" s="107"/>
      <c r="E54" s="136" t="s">
        <v>99</v>
      </c>
      <c r="F54" s="106"/>
      <c r="G54" s="140"/>
      <c r="H54" s="106"/>
      <c r="I54" s="138" t="str">
        <f aca="false">IFERROR(VLOOKUP(TEXT(H54,"0"),IPRESS!$A$3:$B$212,2,0),"")</f>
        <v/>
      </c>
      <c r="J54" s="106"/>
      <c r="K54" s="138"/>
      <c r="L54" s="50" t="n">
        <v>20.25</v>
      </c>
      <c r="M54" s="50"/>
      <c r="N54" s="139" t="str">
        <f aca="false">IFERROR(IF(L54*M54=0,"",L54*M54),"")</f>
        <v/>
      </c>
      <c r="O54" s="106"/>
      <c r="P54" s="138" t="str">
        <f aca="false">IFERROR(VLOOKUP(TEXT(O54,"0"),CONDUCTORES!$A$3:$G$100,2,0),"")</f>
        <v/>
      </c>
      <c r="Q54" s="138" t="str">
        <f aca="false">IFERROR(VLOOKUP(TEXT(O54,"0"),CONDUCTORES!$A$3:$H$100,6,0),"")</f>
        <v/>
      </c>
      <c r="R54" s="140"/>
      <c r="S54" s="107"/>
      <c r="T54" s="136"/>
      <c r="U54" s="140"/>
      <c r="V54" s="107"/>
      <c r="W54" s="106"/>
      <c r="X54" s="106"/>
      <c r="Y54" s="85"/>
      <c r="Z54" s="157" t="str">
        <f aca="false">IF(AND(R54&lt;&gt;"",V54&lt;&gt;"",W54&lt;&gt;""),"ENTREGADO","POR RECOGER")</f>
        <v>POR RECOGER</v>
      </c>
      <c r="AA54" s="4"/>
      <c r="AB54" s="4"/>
      <c r="AC54" s="4"/>
    </row>
    <row r="55" customFormat="false" ht="15.75" hidden="false" customHeight="true" outlineLevel="0" collapsed="false">
      <c r="A55" s="46" t="n">
        <v>50</v>
      </c>
      <c r="B55" s="110"/>
      <c r="C55" s="46" t="s">
        <v>752</v>
      </c>
      <c r="D55" s="110"/>
      <c r="E55" s="46" t="s">
        <v>99</v>
      </c>
      <c r="F55" s="46"/>
      <c r="G55" s="85"/>
      <c r="H55" s="46"/>
      <c r="I55" s="138" t="str">
        <f aca="false">IFERROR(VLOOKUP(TEXT(H55,"0"),IPRESS!$A$3:$B$212,2,0),"")</f>
        <v/>
      </c>
      <c r="J55" s="46"/>
      <c r="K55" s="138"/>
      <c r="L55" s="44" t="n">
        <v>20.25</v>
      </c>
      <c r="M55" s="44"/>
      <c r="N55" s="139" t="str">
        <f aca="false">IFERROR(IF(L55*M55=0,"",L55*M55),"")</f>
        <v/>
      </c>
      <c r="O55" s="46"/>
      <c r="P55" s="138" t="str">
        <f aca="false">IFERROR(VLOOKUP(TEXT(O55,"0"),CONDUCTORES!$A$3:$G$100,2,0),"")</f>
        <v/>
      </c>
      <c r="Q55" s="138" t="str">
        <f aca="false">IFERROR(VLOOKUP(TEXT(O55,"0"),CONDUCTORES!$A$3:$H$100,6,0),"")</f>
        <v/>
      </c>
      <c r="R55" s="85"/>
      <c r="S55" s="110"/>
      <c r="T55" s="46"/>
      <c r="U55" s="85"/>
      <c r="V55" s="110"/>
      <c r="W55" s="46"/>
      <c r="X55" s="46"/>
      <c r="Y55" s="85"/>
      <c r="Z55" s="157" t="str">
        <f aca="false">IF(AND(R55&lt;&gt;"",V55&lt;&gt;"",W55&lt;&gt;""),"ENTREGADO","POR RECOGER")</f>
        <v>POR RECOGER</v>
      </c>
      <c r="AA55" s="4"/>
      <c r="AB55" s="4"/>
      <c r="AC55" s="4"/>
    </row>
    <row r="56" customFormat="false" ht="15.75" hidden="false" customHeight="true" outlineLevel="0" collapsed="false">
      <c r="A56" s="106" t="n">
        <v>51</v>
      </c>
      <c r="B56" s="107"/>
      <c r="C56" s="106" t="s">
        <v>752</v>
      </c>
      <c r="D56" s="107"/>
      <c r="E56" s="136" t="s">
        <v>99</v>
      </c>
      <c r="F56" s="106"/>
      <c r="G56" s="140"/>
      <c r="H56" s="106"/>
      <c r="I56" s="138" t="str">
        <f aca="false">IFERROR(VLOOKUP(TEXT(H56,"0"),IPRESS!$A$3:$B$212,2,0),"")</f>
        <v/>
      </c>
      <c r="J56" s="106"/>
      <c r="K56" s="138"/>
      <c r="L56" s="50" t="n">
        <v>20.25</v>
      </c>
      <c r="M56" s="50"/>
      <c r="N56" s="139" t="str">
        <f aca="false">IFERROR(IF(L56*M56=0,"",L56*M56),"")</f>
        <v/>
      </c>
      <c r="O56" s="106"/>
      <c r="P56" s="138" t="str">
        <f aca="false">IFERROR(VLOOKUP(TEXT(O56,"0"),CONDUCTORES!$A$3:$G$100,2,0),"")</f>
        <v/>
      </c>
      <c r="Q56" s="138" t="str">
        <f aca="false">IFERROR(VLOOKUP(TEXT(O56,"0"),CONDUCTORES!$A$3:$H$100,6,0),"")</f>
        <v/>
      </c>
      <c r="R56" s="140"/>
      <c r="S56" s="107"/>
      <c r="T56" s="136"/>
      <c r="U56" s="140"/>
      <c r="V56" s="107"/>
      <c r="W56" s="106"/>
      <c r="X56" s="106"/>
      <c r="Y56" s="85"/>
      <c r="Z56" s="157" t="str">
        <f aca="false">IF(AND(R56&lt;&gt;"",V56&lt;&gt;"",W56&lt;&gt;""),"ENTREGADO","POR RECOGER")</f>
        <v>POR RECOGER</v>
      </c>
      <c r="AA56" s="4"/>
      <c r="AB56" s="4"/>
      <c r="AC56" s="4"/>
    </row>
    <row r="57" customFormat="false" ht="15.75" hidden="false" customHeight="true" outlineLevel="0" collapsed="false">
      <c r="A57" s="46" t="n">
        <v>52</v>
      </c>
      <c r="B57" s="110"/>
      <c r="C57" s="46" t="s">
        <v>752</v>
      </c>
      <c r="D57" s="110"/>
      <c r="E57" s="46" t="s">
        <v>99</v>
      </c>
      <c r="F57" s="46"/>
      <c r="G57" s="85"/>
      <c r="H57" s="46"/>
      <c r="I57" s="138" t="str">
        <f aca="false">IFERROR(VLOOKUP(TEXT(H57,"0"),IPRESS!$A$3:$B$212,2,0),"")</f>
        <v/>
      </c>
      <c r="J57" s="46"/>
      <c r="K57" s="138"/>
      <c r="L57" s="44" t="n">
        <v>20.25</v>
      </c>
      <c r="M57" s="44"/>
      <c r="N57" s="139" t="str">
        <f aca="false">IFERROR(IF(L57*M57=0,"",L57*M57),"")</f>
        <v/>
      </c>
      <c r="O57" s="46"/>
      <c r="P57" s="138" t="str">
        <f aca="false">IFERROR(VLOOKUP(TEXT(O57,"0"),CONDUCTORES!$A$3:$G$100,2,0),"")</f>
        <v/>
      </c>
      <c r="Q57" s="138" t="str">
        <f aca="false">IFERROR(VLOOKUP(TEXT(O57,"0"),CONDUCTORES!$A$3:$H$100,6,0),"")</f>
        <v/>
      </c>
      <c r="R57" s="85"/>
      <c r="S57" s="110"/>
      <c r="T57" s="46"/>
      <c r="U57" s="85"/>
      <c r="V57" s="110"/>
      <c r="W57" s="46"/>
      <c r="X57" s="46"/>
      <c r="Y57" s="85"/>
      <c r="Z57" s="157" t="str">
        <f aca="false">IF(AND(R57&lt;&gt;"",V57&lt;&gt;"",W57&lt;&gt;""),"ENTREGADO","POR RECOGER")</f>
        <v>POR RECOGER</v>
      </c>
      <c r="AA57" s="4"/>
      <c r="AB57" s="4"/>
      <c r="AC57" s="4"/>
    </row>
    <row r="58" customFormat="false" ht="15.75" hidden="false" customHeight="true" outlineLevel="0" collapsed="false">
      <c r="A58" s="106" t="n">
        <v>53</v>
      </c>
      <c r="B58" s="107"/>
      <c r="C58" s="106" t="s">
        <v>752</v>
      </c>
      <c r="D58" s="107"/>
      <c r="E58" s="136" t="s">
        <v>99</v>
      </c>
      <c r="F58" s="106"/>
      <c r="G58" s="140"/>
      <c r="H58" s="106"/>
      <c r="I58" s="138" t="str">
        <f aca="false">IFERROR(VLOOKUP(TEXT(H58,"0"),IPRESS!$A$3:$B$212,2,0),"")</f>
        <v/>
      </c>
      <c r="J58" s="106"/>
      <c r="K58" s="138"/>
      <c r="L58" s="50" t="n">
        <v>20.25</v>
      </c>
      <c r="M58" s="50"/>
      <c r="N58" s="139" t="str">
        <f aca="false">IFERROR(IF(L58*M58=0,"",L58*M58),"")</f>
        <v/>
      </c>
      <c r="O58" s="106"/>
      <c r="P58" s="138" t="str">
        <f aca="false">IFERROR(VLOOKUP(TEXT(O58,"0"),CONDUCTORES!$A$3:$G$100,2,0),"")</f>
        <v/>
      </c>
      <c r="Q58" s="138" t="str">
        <f aca="false">IFERROR(VLOOKUP(TEXT(O58,"0"),CONDUCTORES!$A$3:$H$100,6,0),"")</f>
        <v/>
      </c>
      <c r="R58" s="140"/>
      <c r="S58" s="107"/>
      <c r="T58" s="136"/>
      <c r="U58" s="140"/>
      <c r="V58" s="107"/>
      <c r="W58" s="106"/>
      <c r="X58" s="106"/>
      <c r="Y58" s="85"/>
      <c r="Z58" s="157" t="str">
        <f aca="false">IF(AND(R58&lt;&gt;"",V58&lt;&gt;"",W58&lt;&gt;""),"ENTREGADO","POR RECOGER")</f>
        <v>POR RECOGER</v>
      </c>
      <c r="AA58" s="4"/>
      <c r="AB58" s="4"/>
      <c r="AC58" s="4"/>
    </row>
    <row r="59" customFormat="false" ht="15.75" hidden="false" customHeight="true" outlineLevel="0" collapsed="false">
      <c r="A59" s="46" t="n">
        <v>54</v>
      </c>
      <c r="B59" s="110"/>
      <c r="C59" s="46" t="s">
        <v>752</v>
      </c>
      <c r="D59" s="110"/>
      <c r="E59" s="46" t="s">
        <v>99</v>
      </c>
      <c r="F59" s="46"/>
      <c r="G59" s="85"/>
      <c r="H59" s="46"/>
      <c r="I59" s="138" t="str">
        <f aca="false">IFERROR(VLOOKUP(TEXT(H59,"0"),IPRESS!$A$3:$B$212,2,0),"")</f>
        <v/>
      </c>
      <c r="J59" s="46"/>
      <c r="K59" s="138"/>
      <c r="L59" s="44" t="n">
        <v>20.25</v>
      </c>
      <c r="M59" s="44"/>
      <c r="N59" s="139" t="str">
        <f aca="false">IFERROR(IF(L59*M59=0,"",L59*M59),"")</f>
        <v/>
      </c>
      <c r="O59" s="46"/>
      <c r="P59" s="138" t="str">
        <f aca="false">IFERROR(VLOOKUP(TEXT(O59,"0"),CONDUCTORES!$A$3:$G$100,2,0),"")</f>
        <v/>
      </c>
      <c r="Q59" s="138" t="str">
        <f aca="false">IFERROR(VLOOKUP(TEXT(O59,"0"),CONDUCTORES!$A$3:$H$100,6,0),"")</f>
        <v/>
      </c>
      <c r="R59" s="85"/>
      <c r="S59" s="110"/>
      <c r="T59" s="46"/>
      <c r="U59" s="85"/>
      <c r="V59" s="110"/>
      <c r="W59" s="46"/>
      <c r="X59" s="46"/>
      <c r="Y59" s="85"/>
      <c r="Z59" s="157" t="str">
        <f aca="false">IF(AND(R59&lt;&gt;"",V59&lt;&gt;"",W59&lt;&gt;""),"ENTREGADO","POR RECOGER")</f>
        <v>POR RECOGER</v>
      </c>
      <c r="AA59" s="4"/>
      <c r="AB59" s="4"/>
      <c r="AC59" s="4"/>
    </row>
    <row r="60" customFormat="false" ht="15.75" hidden="false" customHeight="true" outlineLevel="0" collapsed="false">
      <c r="A60" s="106" t="n">
        <v>55</v>
      </c>
      <c r="B60" s="107"/>
      <c r="C60" s="106" t="s">
        <v>752</v>
      </c>
      <c r="D60" s="107"/>
      <c r="E60" s="136" t="s">
        <v>99</v>
      </c>
      <c r="F60" s="106"/>
      <c r="G60" s="140"/>
      <c r="H60" s="106"/>
      <c r="I60" s="138" t="str">
        <f aca="false">IFERROR(VLOOKUP(TEXT(H60,"0"),IPRESS!$A$3:$B$212,2,0),"")</f>
        <v/>
      </c>
      <c r="J60" s="106"/>
      <c r="K60" s="138"/>
      <c r="L60" s="50" t="n">
        <v>20.25</v>
      </c>
      <c r="M60" s="50"/>
      <c r="N60" s="139" t="str">
        <f aca="false">IFERROR(IF(L60*M60=0,"",L60*M60),"")</f>
        <v/>
      </c>
      <c r="O60" s="106"/>
      <c r="P60" s="138" t="str">
        <f aca="false">IFERROR(VLOOKUP(TEXT(O60,"0"),CONDUCTORES!$A$3:$G$100,2,0),"")</f>
        <v/>
      </c>
      <c r="Q60" s="138" t="str">
        <f aca="false">IFERROR(VLOOKUP(TEXT(O60,"0"),CONDUCTORES!$A$3:$H$100,6,0),"")</f>
        <v/>
      </c>
      <c r="R60" s="140"/>
      <c r="S60" s="107"/>
      <c r="T60" s="136"/>
      <c r="U60" s="140"/>
      <c r="V60" s="107"/>
      <c r="W60" s="106"/>
      <c r="X60" s="106"/>
      <c r="Y60" s="85"/>
      <c r="Z60" s="157" t="str">
        <f aca="false">IF(AND(R60&lt;&gt;"",V60&lt;&gt;"",W60&lt;&gt;""),"ENTREGADO","POR RECOGER")</f>
        <v>POR RECOGER</v>
      </c>
      <c r="AA60" s="4"/>
      <c r="AB60" s="4"/>
      <c r="AC60" s="4"/>
    </row>
    <row r="61" customFormat="false" ht="15.75" hidden="false" customHeight="true" outlineLevel="0" collapsed="false">
      <c r="A61" s="46" t="n">
        <v>56</v>
      </c>
      <c r="B61" s="110"/>
      <c r="C61" s="46" t="s">
        <v>752</v>
      </c>
      <c r="D61" s="110"/>
      <c r="E61" s="46" t="s">
        <v>99</v>
      </c>
      <c r="F61" s="46"/>
      <c r="G61" s="85"/>
      <c r="H61" s="46"/>
      <c r="I61" s="138" t="str">
        <f aca="false">IFERROR(VLOOKUP(TEXT(H61,"0"),IPRESS!$A$3:$B$212,2,0),"")</f>
        <v/>
      </c>
      <c r="J61" s="46"/>
      <c r="K61" s="138"/>
      <c r="L61" s="44" t="n">
        <v>18.18</v>
      </c>
      <c r="M61" s="44"/>
      <c r="N61" s="139" t="str">
        <f aca="false">IFERROR(IF(L61*M61=0,"",L61*M61),"")</f>
        <v/>
      </c>
      <c r="O61" s="46"/>
      <c r="P61" s="138" t="str">
        <f aca="false">IFERROR(VLOOKUP(TEXT(O61,"0"),CONDUCTORES!$A$3:$G$100,2,0),"")</f>
        <v/>
      </c>
      <c r="Q61" s="138" t="str">
        <f aca="false">IFERROR(VLOOKUP(TEXT(O61,"0"),CONDUCTORES!$A$3:$H$100,6,0),"")</f>
        <v/>
      </c>
      <c r="R61" s="85"/>
      <c r="S61" s="110"/>
      <c r="T61" s="46"/>
      <c r="U61" s="85"/>
      <c r="V61" s="110"/>
      <c r="W61" s="46"/>
      <c r="X61" s="46"/>
      <c r="Y61" s="85"/>
      <c r="Z61" s="157" t="str">
        <f aca="false">IF(AND(R61&lt;&gt;"",V61&lt;&gt;"",W61&lt;&gt;""),"ENTREGADO","POR RECOGER")</f>
        <v>POR RECOGER</v>
      </c>
      <c r="AA61" s="4"/>
      <c r="AB61" s="4"/>
      <c r="AC61" s="4"/>
    </row>
    <row r="62" customFormat="false" ht="15.75" hidden="false" customHeight="true" outlineLevel="0" collapsed="false">
      <c r="A62" s="106" t="n">
        <v>57</v>
      </c>
      <c r="B62" s="107"/>
      <c r="C62" s="106" t="s">
        <v>752</v>
      </c>
      <c r="D62" s="107"/>
      <c r="E62" s="136" t="s">
        <v>99</v>
      </c>
      <c r="F62" s="106"/>
      <c r="G62" s="140"/>
      <c r="H62" s="106"/>
      <c r="I62" s="138" t="str">
        <f aca="false">IFERROR(VLOOKUP(TEXT(H62,"0"),IPRESS!$A$3:$B$212,2,0),"")</f>
        <v/>
      </c>
      <c r="J62" s="106"/>
      <c r="K62" s="138"/>
      <c r="L62" s="50" t="n">
        <v>18.18</v>
      </c>
      <c r="M62" s="50"/>
      <c r="N62" s="139" t="str">
        <f aca="false">IFERROR(IF(L62*M62=0,"",L62*M62),"")</f>
        <v/>
      </c>
      <c r="O62" s="106"/>
      <c r="P62" s="138" t="str">
        <f aca="false">IFERROR(VLOOKUP(TEXT(O62,"0"),CONDUCTORES!$A$3:$G$100,2,0),"")</f>
        <v/>
      </c>
      <c r="Q62" s="138" t="str">
        <f aca="false">IFERROR(VLOOKUP(TEXT(O62,"0"),CONDUCTORES!$A$3:$H$100,6,0),"")</f>
        <v/>
      </c>
      <c r="R62" s="140"/>
      <c r="S62" s="107"/>
      <c r="T62" s="136"/>
      <c r="U62" s="140"/>
      <c r="V62" s="107"/>
      <c r="W62" s="106"/>
      <c r="X62" s="106"/>
      <c r="Y62" s="85"/>
      <c r="Z62" s="157" t="str">
        <f aca="false">IF(AND(R62&lt;&gt;"",V62&lt;&gt;"",W62&lt;&gt;""),"ENTREGADO","POR RECOGER")</f>
        <v>POR RECOGER</v>
      </c>
      <c r="AA62" s="4"/>
      <c r="AB62" s="4"/>
      <c r="AC62" s="4"/>
    </row>
    <row r="63" customFormat="false" ht="15.75" hidden="false" customHeight="true" outlineLevel="0" collapsed="false">
      <c r="A63" s="46" t="n">
        <v>58</v>
      </c>
      <c r="B63" s="110"/>
      <c r="C63" s="46" t="s">
        <v>752</v>
      </c>
      <c r="D63" s="110"/>
      <c r="E63" s="46" t="s">
        <v>99</v>
      </c>
      <c r="F63" s="46"/>
      <c r="G63" s="85"/>
      <c r="H63" s="46"/>
      <c r="I63" s="138" t="str">
        <f aca="false">IFERROR(VLOOKUP(TEXT(H63,"0"),IPRESS!$A$3:$B$212,2,0),"")</f>
        <v/>
      </c>
      <c r="J63" s="46"/>
      <c r="K63" s="138"/>
      <c r="L63" s="44" t="n">
        <v>18.18</v>
      </c>
      <c r="M63" s="44"/>
      <c r="N63" s="139" t="str">
        <f aca="false">IFERROR(IF(L63*M63=0,"",L63*M63),"")</f>
        <v/>
      </c>
      <c r="O63" s="46"/>
      <c r="P63" s="138" t="str">
        <f aca="false">IFERROR(VLOOKUP(TEXT(O63,"0"),CONDUCTORES!$A$3:$G$100,2,0),"")</f>
        <v/>
      </c>
      <c r="Q63" s="138" t="str">
        <f aca="false">IFERROR(VLOOKUP(TEXT(O63,"0"),CONDUCTORES!$A$3:$H$100,6,0),"")</f>
        <v/>
      </c>
      <c r="R63" s="85"/>
      <c r="S63" s="110"/>
      <c r="T63" s="46"/>
      <c r="U63" s="85"/>
      <c r="V63" s="110"/>
      <c r="W63" s="46"/>
      <c r="X63" s="46"/>
      <c r="Y63" s="85"/>
      <c r="Z63" s="157" t="str">
        <f aca="false">IF(AND(R63&lt;&gt;"",V63&lt;&gt;"",W63&lt;&gt;""),"ENTREGADO","POR RECOGER")</f>
        <v>POR RECOGER</v>
      </c>
      <c r="AA63" s="4"/>
      <c r="AB63" s="4"/>
      <c r="AC63" s="4"/>
    </row>
    <row r="64" customFormat="false" ht="15.75" hidden="false" customHeight="true" outlineLevel="0" collapsed="false">
      <c r="A64" s="106" t="n">
        <v>59</v>
      </c>
      <c r="B64" s="107"/>
      <c r="C64" s="106" t="s">
        <v>752</v>
      </c>
      <c r="D64" s="107"/>
      <c r="E64" s="136" t="s">
        <v>99</v>
      </c>
      <c r="F64" s="106"/>
      <c r="G64" s="140"/>
      <c r="H64" s="106"/>
      <c r="I64" s="138" t="str">
        <f aca="false">IFERROR(VLOOKUP(TEXT(H64,"0"),IPRESS!$A$3:$B$212,2,0),"")</f>
        <v/>
      </c>
      <c r="J64" s="106"/>
      <c r="K64" s="138"/>
      <c r="L64" s="50" t="n">
        <v>18.18</v>
      </c>
      <c r="M64" s="50"/>
      <c r="N64" s="139" t="str">
        <f aca="false">IFERROR(IF(L64*M64=0,"",L64*M64),"")</f>
        <v/>
      </c>
      <c r="O64" s="106"/>
      <c r="P64" s="138" t="str">
        <f aca="false">IFERROR(VLOOKUP(TEXT(O64,"0"),CONDUCTORES!$A$3:$G$100,2,0),"")</f>
        <v/>
      </c>
      <c r="Q64" s="138" t="str">
        <f aca="false">IFERROR(VLOOKUP(TEXT(O64,"0"),CONDUCTORES!$A$3:$H$100,6,0),"")</f>
        <v/>
      </c>
      <c r="R64" s="140"/>
      <c r="S64" s="107"/>
      <c r="T64" s="136"/>
      <c r="U64" s="140"/>
      <c r="V64" s="107"/>
      <c r="W64" s="106"/>
      <c r="X64" s="106"/>
      <c r="Y64" s="85"/>
      <c r="Z64" s="157" t="str">
        <f aca="false">IF(AND(R64&lt;&gt;"",V64&lt;&gt;"",W64&lt;&gt;""),"ENTREGADO","POR RECOGER")</f>
        <v>POR RECOGER</v>
      </c>
      <c r="AA64" s="4"/>
      <c r="AB64" s="4"/>
      <c r="AC64" s="4"/>
    </row>
    <row r="65" customFormat="false" ht="15.75" hidden="false" customHeight="true" outlineLevel="0" collapsed="false">
      <c r="A65" s="46" t="n">
        <v>60</v>
      </c>
      <c r="B65" s="110"/>
      <c r="C65" s="46" t="s">
        <v>752</v>
      </c>
      <c r="D65" s="110"/>
      <c r="E65" s="46" t="s">
        <v>99</v>
      </c>
      <c r="F65" s="46"/>
      <c r="G65" s="85"/>
      <c r="H65" s="46"/>
      <c r="I65" s="138" t="str">
        <f aca="false">IFERROR(VLOOKUP(TEXT(H65,"0"),IPRESS!$A$3:$B$212,2,0),"")</f>
        <v/>
      </c>
      <c r="J65" s="46"/>
      <c r="K65" s="138"/>
      <c r="L65" s="44" t="n">
        <v>18.18</v>
      </c>
      <c r="M65" s="44"/>
      <c r="N65" s="139" t="str">
        <f aca="false">IFERROR(IF(L65*M65=0,"",L65*M65),"")</f>
        <v/>
      </c>
      <c r="O65" s="46"/>
      <c r="P65" s="138" t="str">
        <f aca="false">IFERROR(VLOOKUP(TEXT(O65,"0"),CONDUCTORES!$A$3:$G$100,2,0),"")</f>
        <v/>
      </c>
      <c r="Q65" s="138" t="str">
        <f aca="false">IFERROR(VLOOKUP(TEXT(O65,"0"),CONDUCTORES!$A$3:$H$100,6,0),"")</f>
        <v/>
      </c>
      <c r="R65" s="85"/>
      <c r="S65" s="110"/>
      <c r="T65" s="46"/>
      <c r="U65" s="85"/>
      <c r="V65" s="110"/>
      <c r="W65" s="46"/>
      <c r="X65" s="46"/>
      <c r="Y65" s="85"/>
      <c r="Z65" s="157" t="str">
        <f aca="false">IF(AND(R65&lt;&gt;"",V65&lt;&gt;"",W65&lt;&gt;""),"ENTREGADO","POR RECOGER")</f>
        <v>POR RECOGER</v>
      </c>
      <c r="AA65" s="4"/>
      <c r="AB65" s="4"/>
      <c r="AC65" s="4"/>
    </row>
    <row r="66" customFormat="false" ht="15.75" hidden="false" customHeight="true" outlineLevel="0" collapsed="false">
      <c r="A66" s="106" t="n">
        <v>61</v>
      </c>
      <c r="B66" s="107"/>
      <c r="C66" s="106" t="s">
        <v>752</v>
      </c>
      <c r="D66" s="107"/>
      <c r="E66" s="136" t="s">
        <v>99</v>
      </c>
      <c r="F66" s="106"/>
      <c r="G66" s="140"/>
      <c r="H66" s="106"/>
      <c r="I66" s="138" t="str">
        <f aca="false">IFERROR(VLOOKUP(TEXT(H66,"0"),IPRESS!$A$3:$B$212,2,0),"")</f>
        <v/>
      </c>
      <c r="J66" s="106"/>
      <c r="K66" s="138"/>
      <c r="L66" s="50" t="n">
        <v>20.25</v>
      </c>
      <c r="M66" s="50"/>
      <c r="N66" s="139" t="str">
        <f aca="false">IFERROR(IF(L66*M66=0,"",L66*M66),"")</f>
        <v/>
      </c>
      <c r="O66" s="106"/>
      <c r="P66" s="138" t="str">
        <f aca="false">IFERROR(VLOOKUP(TEXT(O66,"0"),CONDUCTORES!$A$3:$G$100,2,0),"")</f>
        <v/>
      </c>
      <c r="Q66" s="138" t="str">
        <f aca="false">IFERROR(VLOOKUP(TEXT(O66,"0"),CONDUCTORES!$A$3:$H$100,6,0),"")</f>
        <v/>
      </c>
      <c r="R66" s="140"/>
      <c r="S66" s="107"/>
      <c r="T66" s="136"/>
      <c r="U66" s="140"/>
      <c r="V66" s="107"/>
      <c r="W66" s="106"/>
      <c r="X66" s="106"/>
      <c r="Y66" s="85"/>
      <c r="Z66" s="157" t="str">
        <f aca="false">IF(AND(R66&lt;&gt;"",V66&lt;&gt;"",W66&lt;&gt;""),"ENTREGADO","POR RECOGER")</f>
        <v>POR RECOGER</v>
      </c>
      <c r="AA66" s="4"/>
      <c r="AB66" s="4"/>
      <c r="AC66" s="4"/>
    </row>
    <row r="67" customFormat="false" ht="15.75" hidden="false" customHeight="true" outlineLevel="0" collapsed="false">
      <c r="A67" s="46" t="n">
        <v>62</v>
      </c>
      <c r="B67" s="110"/>
      <c r="C67" s="46" t="s">
        <v>752</v>
      </c>
      <c r="D67" s="110"/>
      <c r="E67" s="46" t="s">
        <v>99</v>
      </c>
      <c r="F67" s="46"/>
      <c r="G67" s="85"/>
      <c r="H67" s="46"/>
      <c r="I67" s="138" t="str">
        <f aca="false">IFERROR(VLOOKUP(TEXT(H67,"0"),IPRESS!$A$3:$B$212,2,0),"")</f>
        <v/>
      </c>
      <c r="J67" s="46"/>
      <c r="K67" s="138"/>
      <c r="L67" s="44" t="n">
        <v>20.25</v>
      </c>
      <c r="M67" s="44"/>
      <c r="N67" s="139" t="str">
        <f aca="false">IFERROR(IF(L67*M67=0,"",L67*M67),"")</f>
        <v/>
      </c>
      <c r="O67" s="46"/>
      <c r="P67" s="138" t="str">
        <f aca="false">IFERROR(VLOOKUP(TEXT(O67,"0"),CONDUCTORES!$A$3:$G$100,2,0),"")</f>
        <v/>
      </c>
      <c r="Q67" s="138" t="str">
        <f aca="false">IFERROR(VLOOKUP(TEXT(O67,"0"),CONDUCTORES!$A$3:$H$100,6,0),"")</f>
        <v/>
      </c>
      <c r="R67" s="85"/>
      <c r="S67" s="110"/>
      <c r="T67" s="46"/>
      <c r="U67" s="85"/>
      <c r="V67" s="110"/>
      <c r="W67" s="46"/>
      <c r="X67" s="46"/>
      <c r="Y67" s="85"/>
      <c r="Z67" s="157" t="str">
        <f aca="false">IF(AND(R67&lt;&gt;"",V67&lt;&gt;"",W67&lt;&gt;""),"ENTREGADO","POR RECOGER")</f>
        <v>POR RECOGER</v>
      </c>
      <c r="AA67" s="4"/>
      <c r="AB67" s="4"/>
      <c r="AC67" s="4"/>
    </row>
    <row r="68" customFormat="false" ht="15.75" hidden="false" customHeight="true" outlineLevel="0" collapsed="false">
      <c r="A68" s="106" t="n">
        <v>63</v>
      </c>
      <c r="B68" s="107"/>
      <c r="C68" s="106" t="s">
        <v>752</v>
      </c>
      <c r="D68" s="107"/>
      <c r="E68" s="136" t="s">
        <v>99</v>
      </c>
      <c r="F68" s="106"/>
      <c r="G68" s="140"/>
      <c r="H68" s="106"/>
      <c r="I68" s="138" t="str">
        <f aca="false">IFERROR(VLOOKUP(TEXT(H68,"0"),IPRESS!$A$3:$B$212,2,0),"")</f>
        <v/>
      </c>
      <c r="J68" s="106"/>
      <c r="K68" s="138"/>
      <c r="L68" s="50" t="n">
        <v>18.18</v>
      </c>
      <c r="M68" s="50"/>
      <c r="N68" s="139" t="str">
        <f aca="false">IFERROR(IF(L68*M68=0,"",L68*M68),"")</f>
        <v/>
      </c>
      <c r="O68" s="106"/>
      <c r="P68" s="138" t="str">
        <f aca="false">IFERROR(VLOOKUP(TEXT(O68,"0"),CONDUCTORES!$A$3:$G$100,2,0),"")</f>
        <v/>
      </c>
      <c r="Q68" s="138" t="str">
        <f aca="false">IFERROR(VLOOKUP(TEXT(O68,"0"),CONDUCTORES!$A$3:$H$100,6,0),"")</f>
        <v/>
      </c>
      <c r="R68" s="140"/>
      <c r="S68" s="107"/>
      <c r="T68" s="136"/>
      <c r="U68" s="140"/>
      <c r="V68" s="107"/>
      <c r="W68" s="106"/>
      <c r="X68" s="106"/>
      <c r="Y68" s="85"/>
      <c r="Z68" s="157" t="str">
        <f aca="false">IF(AND(R68&lt;&gt;"",V68&lt;&gt;"",W68&lt;&gt;""),"ENTREGADO","POR RECOGER")</f>
        <v>POR RECOGER</v>
      </c>
      <c r="AA68" s="4"/>
      <c r="AB68" s="4"/>
      <c r="AC68" s="4"/>
    </row>
    <row r="69" customFormat="false" ht="15.75" hidden="false" customHeight="true" outlineLevel="0" collapsed="false">
      <c r="A69" s="46" t="n">
        <v>64</v>
      </c>
      <c r="B69" s="110"/>
      <c r="C69" s="46" t="s">
        <v>752</v>
      </c>
      <c r="D69" s="110"/>
      <c r="E69" s="46" t="s">
        <v>99</v>
      </c>
      <c r="F69" s="46"/>
      <c r="G69" s="85"/>
      <c r="H69" s="46"/>
      <c r="I69" s="138" t="str">
        <f aca="false">IFERROR(VLOOKUP(TEXT(H69,"0"),IPRESS!$A$3:$B$212,2,0),"")</f>
        <v/>
      </c>
      <c r="J69" s="46"/>
      <c r="K69" s="138"/>
      <c r="L69" s="44" t="n">
        <v>18.18</v>
      </c>
      <c r="M69" s="44"/>
      <c r="N69" s="139" t="str">
        <f aca="false">IFERROR(IF(L69*M69=0,"",L69*M69),"")</f>
        <v/>
      </c>
      <c r="O69" s="46"/>
      <c r="P69" s="138" t="str">
        <f aca="false">IFERROR(VLOOKUP(TEXT(O69,"0"),CONDUCTORES!$A$3:$G$100,2,0),"")</f>
        <v/>
      </c>
      <c r="Q69" s="138" t="str">
        <f aca="false">IFERROR(VLOOKUP(TEXT(O69,"0"),CONDUCTORES!$A$3:$H$100,6,0),"")</f>
        <v/>
      </c>
      <c r="R69" s="85"/>
      <c r="S69" s="110"/>
      <c r="T69" s="46"/>
      <c r="U69" s="85"/>
      <c r="V69" s="110"/>
      <c r="W69" s="46"/>
      <c r="X69" s="46"/>
      <c r="Y69" s="85"/>
      <c r="Z69" s="157" t="str">
        <f aca="false">IF(AND(R69&lt;&gt;"",V69&lt;&gt;"",W69&lt;&gt;""),"ENTREGADO","POR RECOGER")</f>
        <v>POR RECOGER</v>
      </c>
      <c r="AA69" s="4"/>
      <c r="AB69" s="4"/>
      <c r="AC69" s="4"/>
    </row>
    <row r="70" customFormat="false" ht="15.75" hidden="false" customHeight="true" outlineLevel="0" collapsed="false">
      <c r="A70" s="106" t="n">
        <v>65</v>
      </c>
      <c r="B70" s="107"/>
      <c r="C70" s="106" t="s">
        <v>752</v>
      </c>
      <c r="D70" s="107"/>
      <c r="E70" s="136" t="s">
        <v>99</v>
      </c>
      <c r="F70" s="106"/>
      <c r="G70" s="140"/>
      <c r="H70" s="106"/>
      <c r="I70" s="138" t="str">
        <f aca="false">IFERROR(VLOOKUP(TEXT(H70,"0"),IPRESS!$A$3:$B$212,2,0),"")</f>
        <v/>
      </c>
      <c r="J70" s="106"/>
      <c r="K70" s="138"/>
      <c r="L70" s="50" t="n">
        <v>18.18</v>
      </c>
      <c r="M70" s="50"/>
      <c r="N70" s="139" t="str">
        <f aca="false">IFERROR(IF(L70*M70=0,"",L70*M70),"")</f>
        <v/>
      </c>
      <c r="O70" s="106"/>
      <c r="P70" s="138" t="str">
        <f aca="false">IFERROR(VLOOKUP(TEXT(O70,"0"),CONDUCTORES!$A$3:$G$100,2,0),"")</f>
        <v/>
      </c>
      <c r="Q70" s="138" t="str">
        <f aca="false">IFERROR(VLOOKUP(TEXT(O70,"0"),CONDUCTORES!$A$3:$H$100,6,0),"")</f>
        <v/>
      </c>
      <c r="R70" s="140"/>
      <c r="S70" s="107"/>
      <c r="T70" s="136"/>
      <c r="U70" s="140"/>
      <c r="V70" s="107"/>
      <c r="W70" s="106"/>
      <c r="X70" s="106"/>
      <c r="Y70" s="85"/>
      <c r="Z70" s="157" t="str">
        <f aca="false">IF(AND(R70&lt;&gt;"",V70&lt;&gt;"",W70&lt;&gt;""),"ENTREGADO","POR RECOGER")</f>
        <v>POR RECOGER</v>
      </c>
      <c r="AA70" s="4"/>
      <c r="AB70" s="4"/>
      <c r="AC70" s="4"/>
    </row>
    <row r="71" customFormat="false" ht="15.75" hidden="false" customHeight="true" outlineLevel="0" collapsed="false">
      <c r="A71" s="46" t="n">
        <v>66</v>
      </c>
      <c r="B71" s="110"/>
      <c r="C71" s="46" t="s">
        <v>752</v>
      </c>
      <c r="D71" s="110"/>
      <c r="E71" s="46" t="s">
        <v>99</v>
      </c>
      <c r="F71" s="46"/>
      <c r="G71" s="85"/>
      <c r="H71" s="46"/>
      <c r="I71" s="138" t="str">
        <f aca="false">IFERROR(VLOOKUP(TEXT(H71,"0"),IPRESS!$A$3:$B$212,2,0),"")</f>
        <v/>
      </c>
      <c r="J71" s="46"/>
      <c r="K71" s="138"/>
      <c r="L71" s="44" t="n">
        <v>18.18</v>
      </c>
      <c r="M71" s="44"/>
      <c r="N71" s="139" t="str">
        <f aca="false">IFERROR(IF(L71*M71=0,"",L71*M71),"")</f>
        <v/>
      </c>
      <c r="O71" s="46"/>
      <c r="P71" s="138" t="str">
        <f aca="false">IFERROR(VLOOKUP(TEXT(O71,"0"),CONDUCTORES!$A$3:$G$100,2,0),"")</f>
        <v/>
      </c>
      <c r="Q71" s="138" t="str">
        <f aca="false">IFERROR(VLOOKUP(TEXT(O71,"0"),CONDUCTORES!$A$3:$H$100,6,0),"")</f>
        <v/>
      </c>
      <c r="R71" s="85"/>
      <c r="S71" s="110"/>
      <c r="T71" s="46"/>
      <c r="U71" s="85"/>
      <c r="V71" s="110"/>
      <c r="W71" s="46"/>
      <c r="X71" s="46"/>
      <c r="Y71" s="85"/>
      <c r="Z71" s="157" t="str">
        <f aca="false">IF(AND(R71&lt;&gt;"",V71&lt;&gt;"",W71&lt;&gt;""),"ENTREGADO","POR RECOGER")</f>
        <v>POR RECOGER</v>
      </c>
      <c r="AA71" s="4"/>
      <c r="AB71" s="4"/>
      <c r="AC71" s="4"/>
    </row>
    <row r="72" customFormat="false" ht="15.75" hidden="false" customHeight="true" outlineLevel="0" collapsed="false">
      <c r="A72" s="106" t="n">
        <v>67</v>
      </c>
      <c r="B72" s="107"/>
      <c r="C72" s="106" t="s">
        <v>752</v>
      </c>
      <c r="D72" s="107"/>
      <c r="E72" s="136" t="s">
        <v>99</v>
      </c>
      <c r="F72" s="106"/>
      <c r="G72" s="140"/>
      <c r="H72" s="106"/>
      <c r="I72" s="138" t="str">
        <f aca="false">IFERROR(VLOOKUP(TEXT(H72,"0"),IPRESS!$A$3:$B$212,2,0),"")</f>
        <v/>
      </c>
      <c r="J72" s="106"/>
      <c r="K72" s="138"/>
      <c r="L72" s="50" t="n">
        <v>18.18</v>
      </c>
      <c r="M72" s="50"/>
      <c r="N72" s="139" t="str">
        <f aca="false">IFERROR(IF(L72*M72=0,"",L72*M72),"")</f>
        <v/>
      </c>
      <c r="O72" s="106"/>
      <c r="P72" s="138" t="str">
        <f aca="false">IFERROR(VLOOKUP(TEXT(O72,"0"),CONDUCTORES!$A$3:$G$100,2,0),"")</f>
        <v/>
      </c>
      <c r="Q72" s="138" t="str">
        <f aca="false">IFERROR(VLOOKUP(TEXT(O72,"0"),CONDUCTORES!$A$3:$H$100,6,0),"")</f>
        <v/>
      </c>
      <c r="R72" s="140"/>
      <c r="S72" s="107"/>
      <c r="T72" s="136"/>
      <c r="U72" s="140"/>
      <c r="V72" s="107"/>
      <c r="W72" s="106"/>
      <c r="X72" s="106"/>
      <c r="Y72" s="85"/>
      <c r="Z72" s="157" t="str">
        <f aca="false">IF(AND(R72&lt;&gt;"",V72&lt;&gt;"",W72&lt;&gt;""),"ENTREGADO","POR RECOGER")</f>
        <v>POR RECOGER</v>
      </c>
      <c r="AA72" s="4"/>
      <c r="AB72" s="4"/>
      <c r="AC72" s="4"/>
    </row>
    <row r="73" customFormat="false" ht="15.75" hidden="false" customHeight="true" outlineLevel="0" collapsed="false">
      <c r="A73" s="46" t="n">
        <v>68</v>
      </c>
      <c r="B73" s="110"/>
      <c r="C73" s="46" t="s">
        <v>752</v>
      </c>
      <c r="D73" s="110"/>
      <c r="E73" s="46" t="s">
        <v>99</v>
      </c>
      <c r="F73" s="46"/>
      <c r="G73" s="85"/>
      <c r="H73" s="46"/>
      <c r="I73" s="138" t="str">
        <f aca="false">IFERROR(VLOOKUP(TEXT(H73,"0"),IPRESS!$A$3:$B$212,2,0),"")</f>
        <v/>
      </c>
      <c r="J73" s="46"/>
      <c r="K73" s="138"/>
      <c r="L73" s="44" t="n">
        <v>18.18</v>
      </c>
      <c r="M73" s="44"/>
      <c r="N73" s="139" t="str">
        <f aca="false">IFERROR(IF(L73*M73=0,"",L73*M73),"")</f>
        <v/>
      </c>
      <c r="O73" s="46"/>
      <c r="P73" s="138" t="str">
        <f aca="false">IFERROR(VLOOKUP(TEXT(O73,"0"),CONDUCTORES!$A$3:$G$100,2,0),"")</f>
        <v/>
      </c>
      <c r="Q73" s="138" t="str">
        <f aca="false">IFERROR(VLOOKUP(TEXT(O73,"0"),CONDUCTORES!$A$3:$H$100,6,0),"")</f>
        <v/>
      </c>
      <c r="R73" s="85"/>
      <c r="S73" s="110"/>
      <c r="T73" s="46"/>
      <c r="U73" s="85"/>
      <c r="V73" s="110"/>
      <c r="W73" s="46"/>
      <c r="X73" s="46"/>
      <c r="Y73" s="85"/>
      <c r="Z73" s="157" t="str">
        <f aca="false">IF(AND(R73&lt;&gt;"",V73&lt;&gt;"",W73&lt;&gt;""),"ENTREGADO","POR RECOGER")</f>
        <v>POR RECOGER</v>
      </c>
      <c r="AA73" s="4"/>
      <c r="AB73" s="4"/>
      <c r="AC73" s="4"/>
    </row>
    <row r="74" customFormat="false" ht="15.75" hidden="false" customHeight="true" outlineLevel="0" collapsed="false">
      <c r="A74" s="106" t="n">
        <v>69</v>
      </c>
      <c r="B74" s="107"/>
      <c r="C74" s="106" t="s">
        <v>752</v>
      </c>
      <c r="D74" s="107"/>
      <c r="E74" s="136" t="s">
        <v>99</v>
      </c>
      <c r="F74" s="106"/>
      <c r="G74" s="140"/>
      <c r="H74" s="106"/>
      <c r="I74" s="138" t="str">
        <f aca="false">IFERROR(VLOOKUP(TEXT(H74,"0"),IPRESS!$A$3:$B$212,2,0),"")</f>
        <v/>
      </c>
      <c r="J74" s="106"/>
      <c r="K74" s="138"/>
      <c r="L74" s="50" t="n">
        <v>18.18</v>
      </c>
      <c r="M74" s="50"/>
      <c r="N74" s="139" t="str">
        <f aca="false">IFERROR(IF(L74*M74=0,"",L74*M74),"")</f>
        <v/>
      </c>
      <c r="O74" s="106"/>
      <c r="P74" s="138" t="str">
        <f aca="false">IFERROR(VLOOKUP(TEXT(O74,"0"),CONDUCTORES!$A$3:$G$100,2,0),"")</f>
        <v/>
      </c>
      <c r="Q74" s="138" t="str">
        <f aca="false">IFERROR(VLOOKUP(TEXT(O74,"0"),CONDUCTORES!$A$3:$H$100,6,0),"")</f>
        <v/>
      </c>
      <c r="R74" s="140"/>
      <c r="S74" s="107"/>
      <c r="T74" s="136"/>
      <c r="U74" s="140"/>
      <c r="V74" s="107"/>
      <c r="W74" s="106"/>
      <c r="X74" s="106"/>
      <c r="Y74" s="85"/>
      <c r="Z74" s="157" t="str">
        <f aca="false">IF(AND(R74&lt;&gt;"",V74&lt;&gt;"",W74&lt;&gt;""),"ENTREGADO","POR RECOGER")</f>
        <v>POR RECOGER</v>
      </c>
      <c r="AA74" s="4"/>
      <c r="AB74" s="4"/>
      <c r="AC74" s="4"/>
    </row>
    <row r="75" customFormat="false" ht="15.75" hidden="false" customHeight="true" outlineLevel="0" collapsed="false">
      <c r="A75" s="46" t="n">
        <v>70</v>
      </c>
      <c r="B75" s="110"/>
      <c r="C75" s="46" t="s">
        <v>752</v>
      </c>
      <c r="D75" s="110"/>
      <c r="E75" s="46" t="s">
        <v>99</v>
      </c>
      <c r="F75" s="46"/>
      <c r="G75" s="85"/>
      <c r="H75" s="46"/>
      <c r="I75" s="138" t="str">
        <f aca="false">IFERROR(VLOOKUP(TEXT(H75,"0"),IPRESS!$A$3:$B$212,2,0),"")</f>
        <v/>
      </c>
      <c r="J75" s="46"/>
      <c r="K75" s="138"/>
      <c r="L75" s="44" t="n">
        <v>18.18</v>
      </c>
      <c r="M75" s="44"/>
      <c r="N75" s="139" t="str">
        <f aca="false">IFERROR(IF(L75*M75=0,"",L75*M75),"")</f>
        <v/>
      </c>
      <c r="O75" s="46"/>
      <c r="P75" s="138" t="str">
        <f aca="false">IFERROR(VLOOKUP(TEXT(O75,"0"),CONDUCTORES!$A$3:$G$100,2,0),"")</f>
        <v/>
      </c>
      <c r="Q75" s="138" t="str">
        <f aca="false">IFERROR(VLOOKUP(TEXT(O75,"0"),CONDUCTORES!$A$3:$H$100,6,0),"")</f>
        <v/>
      </c>
      <c r="R75" s="85"/>
      <c r="S75" s="110"/>
      <c r="T75" s="46"/>
      <c r="U75" s="85"/>
      <c r="V75" s="110"/>
      <c r="W75" s="46"/>
      <c r="X75" s="46"/>
      <c r="Y75" s="85"/>
      <c r="Z75" s="157" t="str">
        <f aca="false">IF(AND(R75&lt;&gt;"",V75&lt;&gt;"",W75&lt;&gt;""),"ENTREGADO","POR RECOGER")</f>
        <v>POR RECOGER</v>
      </c>
      <c r="AA75" s="4"/>
      <c r="AB75" s="4"/>
      <c r="AC75" s="4"/>
    </row>
    <row r="76" customFormat="false" ht="15.75" hidden="false" customHeight="true" outlineLevel="0" collapsed="false">
      <c r="A76" s="106" t="n">
        <v>71</v>
      </c>
      <c r="B76" s="107"/>
      <c r="C76" s="106" t="s">
        <v>752</v>
      </c>
      <c r="D76" s="107"/>
      <c r="E76" s="136" t="s">
        <v>99</v>
      </c>
      <c r="F76" s="106"/>
      <c r="G76" s="140"/>
      <c r="H76" s="106"/>
      <c r="I76" s="138" t="str">
        <f aca="false">IFERROR(VLOOKUP(TEXT(H76,"0"),IPRESS!$A$3:$B$212,2,0),"")</f>
        <v/>
      </c>
      <c r="J76" s="106"/>
      <c r="K76" s="138"/>
      <c r="L76" s="50" t="n">
        <v>18.18</v>
      </c>
      <c r="M76" s="50"/>
      <c r="N76" s="139" t="str">
        <f aca="false">IFERROR(IF(L76*M76=0,"",L76*M76),"")</f>
        <v/>
      </c>
      <c r="O76" s="106"/>
      <c r="P76" s="138" t="str">
        <f aca="false">IFERROR(VLOOKUP(TEXT(O76,"0"),CONDUCTORES!$A$3:$G$100,2,0),"")</f>
        <v/>
      </c>
      <c r="Q76" s="138" t="str">
        <f aca="false">IFERROR(VLOOKUP(TEXT(O76,"0"),CONDUCTORES!$A$3:$H$100,6,0),"")</f>
        <v/>
      </c>
      <c r="R76" s="140"/>
      <c r="S76" s="107"/>
      <c r="T76" s="136"/>
      <c r="U76" s="140"/>
      <c r="V76" s="107"/>
      <c r="W76" s="106"/>
      <c r="X76" s="106"/>
      <c r="Y76" s="85"/>
      <c r="Z76" s="157" t="str">
        <f aca="false">IF(AND(R76&lt;&gt;"",V76&lt;&gt;"",W76&lt;&gt;""),"ENTREGADO","POR RECOGER")</f>
        <v>POR RECOGER</v>
      </c>
      <c r="AA76" s="4"/>
      <c r="AB76" s="4"/>
      <c r="AC76" s="4"/>
    </row>
    <row r="77" customFormat="false" ht="15.75" hidden="false" customHeight="true" outlineLevel="0" collapsed="false">
      <c r="A77" s="46" t="n">
        <v>72</v>
      </c>
      <c r="B77" s="110"/>
      <c r="C77" s="46" t="s">
        <v>752</v>
      </c>
      <c r="D77" s="110"/>
      <c r="E77" s="46" t="s">
        <v>99</v>
      </c>
      <c r="F77" s="46"/>
      <c r="G77" s="85"/>
      <c r="H77" s="46"/>
      <c r="I77" s="138" t="str">
        <f aca="false">IFERROR(VLOOKUP(TEXT(H77,"0"),IPRESS!$A$3:$B$212,2,0),"")</f>
        <v/>
      </c>
      <c r="J77" s="46"/>
      <c r="K77" s="138"/>
      <c r="L77" s="44" t="n">
        <v>18.18</v>
      </c>
      <c r="M77" s="44"/>
      <c r="N77" s="139" t="str">
        <f aca="false">IFERROR(IF(L77*M77=0,"",L77*M77),"")</f>
        <v/>
      </c>
      <c r="O77" s="46"/>
      <c r="P77" s="138" t="str">
        <f aca="false">IFERROR(VLOOKUP(TEXT(O77,"0"),CONDUCTORES!$A$3:$G$100,2,0),"")</f>
        <v/>
      </c>
      <c r="Q77" s="138" t="str">
        <f aca="false">IFERROR(VLOOKUP(TEXT(O77,"0"),CONDUCTORES!$A$3:$H$100,6,0),"")</f>
        <v/>
      </c>
      <c r="R77" s="85"/>
      <c r="S77" s="110"/>
      <c r="T77" s="46"/>
      <c r="U77" s="85"/>
      <c r="V77" s="110"/>
      <c r="W77" s="46"/>
      <c r="X77" s="46"/>
      <c r="Y77" s="85"/>
      <c r="Z77" s="157" t="str">
        <f aca="false">IF(AND(R77&lt;&gt;"",V77&lt;&gt;"",W77&lt;&gt;""),"ENTREGADO","POR RECOGER")</f>
        <v>POR RECOGER</v>
      </c>
      <c r="AA77" s="4"/>
      <c r="AB77" s="4"/>
      <c r="AC77" s="4"/>
    </row>
    <row r="78" customFormat="false" ht="15.75" hidden="false" customHeight="true" outlineLevel="0" collapsed="false">
      <c r="A78" s="106" t="n">
        <v>73</v>
      </c>
      <c r="B78" s="107"/>
      <c r="C78" s="106" t="s">
        <v>752</v>
      </c>
      <c r="D78" s="107"/>
      <c r="E78" s="136" t="s">
        <v>99</v>
      </c>
      <c r="F78" s="106"/>
      <c r="G78" s="140"/>
      <c r="H78" s="106"/>
      <c r="I78" s="138" t="str">
        <f aca="false">IFERROR(VLOOKUP(TEXT(H78,"0"),IPRESS!$A$3:$B$212,2,0),"")</f>
        <v/>
      </c>
      <c r="J78" s="106"/>
      <c r="K78" s="138"/>
      <c r="L78" s="50"/>
      <c r="M78" s="50"/>
      <c r="N78" s="139" t="str">
        <f aca="false">IFERROR(IF(L78*M78=0,"",L78*M78),"")</f>
        <v/>
      </c>
      <c r="O78" s="106"/>
      <c r="P78" s="138" t="str">
        <f aca="false">IFERROR(VLOOKUP(TEXT(O78,"0"),CONDUCTORES!$A$3:$G$100,2,0),"")</f>
        <v/>
      </c>
      <c r="Q78" s="138" t="str">
        <f aca="false">IFERROR(VLOOKUP(TEXT(O78,"0"),CONDUCTORES!$A$3:$H$100,6,0),"")</f>
        <v/>
      </c>
      <c r="R78" s="140"/>
      <c r="S78" s="107"/>
      <c r="T78" s="136"/>
      <c r="U78" s="140"/>
      <c r="V78" s="107"/>
      <c r="W78" s="106"/>
      <c r="X78" s="106"/>
      <c r="Y78" s="85"/>
      <c r="Z78" s="157" t="str">
        <f aca="false">IF(AND(R78&lt;&gt;"",V78&lt;&gt;"",W78&lt;&gt;""),"ENTREGADO","POR RECOGER")</f>
        <v>POR RECOGER</v>
      </c>
      <c r="AA78" s="4"/>
      <c r="AB78" s="4"/>
      <c r="AC78" s="4"/>
    </row>
    <row r="79" customFormat="false" ht="15.75" hidden="false" customHeight="true" outlineLevel="0" collapsed="false">
      <c r="A79" s="46" t="n">
        <v>74</v>
      </c>
      <c r="B79" s="110"/>
      <c r="C79" s="46" t="s">
        <v>752</v>
      </c>
      <c r="D79" s="110"/>
      <c r="E79" s="46" t="s">
        <v>99</v>
      </c>
      <c r="F79" s="46"/>
      <c r="G79" s="85"/>
      <c r="H79" s="46"/>
      <c r="I79" s="138" t="str">
        <f aca="false">IFERROR(VLOOKUP(TEXT(H79,"0"),IPRESS!$A$3:$B$212,2,0),"")</f>
        <v/>
      </c>
      <c r="J79" s="46"/>
      <c r="K79" s="138"/>
      <c r="L79" s="44"/>
      <c r="M79" s="44"/>
      <c r="N79" s="139" t="str">
        <f aca="false">IFERROR(IF(L79*M79=0,"",L79*M79),"")</f>
        <v/>
      </c>
      <c r="O79" s="46"/>
      <c r="P79" s="138" t="str">
        <f aca="false">IFERROR(VLOOKUP(TEXT(O79,"0"),CONDUCTORES!$A$3:$G$100,2,0),"")</f>
        <v/>
      </c>
      <c r="Q79" s="138" t="str">
        <f aca="false">IFERROR(VLOOKUP(TEXT(O79,"0"),CONDUCTORES!$A$3:$H$100,6,0),"")</f>
        <v/>
      </c>
      <c r="R79" s="85"/>
      <c r="S79" s="110"/>
      <c r="T79" s="46"/>
      <c r="U79" s="85"/>
      <c r="V79" s="110"/>
      <c r="W79" s="46"/>
      <c r="X79" s="46"/>
      <c r="Y79" s="85"/>
      <c r="Z79" s="157" t="str">
        <f aca="false">IF(AND(R79&lt;&gt;"",V79&lt;&gt;"",W79&lt;&gt;""),"ENTREGADO","POR RECOGER")</f>
        <v>POR RECOGER</v>
      </c>
      <c r="AA79" s="4"/>
      <c r="AB79" s="4"/>
      <c r="AC79" s="4"/>
    </row>
    <row r="80" customFormat="false" ht="15.75" hidden="false" customHeight="true" outlineLevel="0" collapsed="false">
      <c r="A80" s="106" t="n">
        <v>75</v>
      </c>
      <c r="B80" s="107"/>
      <c r="C80" s="106" t="s">
        <v>752</v>
      </c>
      <c r="D80" s="107"/>
      <c r="E80" s="136" t="s">
        <v>99</v>
      </c>
      <c r="F80" s="106"/>
      <c r="G80" s="140"/>
      <c r="H80" s="106"/>
      <c r="I80" s="138" t="str">
        <f aca="false">IFERROR(VLOOKUP(TEXT(H80,"0"),IPRESS!$A$3:$B$212,2,0),"")</f>
        <v/>
      </c>
      <c r="J80" s="106"/>
      <c r="K80" s="138"/>
      <c r="L80" s="50"/>
      <c r="M80" s="50"/>
      <c r="N80" s="139" t="str">
        <f aca="false">IFERROR(IF(L80*M80=0,"",L80*M80),"")</f>
        <v/>
      </c>
      <c r="O80" s="106"/>
      <c r="P80" s="138" t="str">
        <f aca="false">IFERROR(VLOOKUP(TEXT(O80,"0"),CONDUCTORES!$A$3:$G$100,2,0),"")</f>
        <v/>
      </c>
      <c r="Q80" s="138" t="str">
        <f aca="false">IFERROR(VLOOKUP(TEXT(O80,"0"),CONDUCTORES!$A$3:$H$100,6,0),"")</f>
        <v/>
      </c>
      <c r="R80" s="140"/>
      <c r="S80" s="107"/>
      <c r="T80" s="136"/>
      <c r="U80" s="140"/>
      <c r="V80" s="107"/>
      <c r="W80" s="106"/>
      <c r="X80" s="106"/>
      <c r="Y80" s="85"/>
      <c r="Z80" s="157" t="str">
        <f aca="false">IF(AND(R80&lt;&gt;"",V80&lt;&gt;"",W80&lt;&gt;""),"ENTREGADO","POR RECOGER")</f>
        <v>POR RECOGER</v>
      </c>
      <c r="AA80" s="4"/>
      <c r="AB80" s="4"/>
      <c r="AC80" s="4"/>
    </row>
    <row r="81" customFormat="false" ht="15.75" hidden="false" customHeight="true" outlineLevel="0" collapsed="false">
      <c r="A81" s="46" t="n">
        <v>76</v>
      </c>
      <c r="B81" s="110"/>
      <c r="C81" s="46" t="s">
        <v>752</v>
      </c>
      <c r="D81" s="110"/>
      <c r="E81" s="46" t="s">
        <v>99</v>
      </c>
      <c r="F81" s="46"/>
      <c r="G81" s="85"/>
      <c r="H81" s="46"/>
      <c r="I81" s="138" t="str">
        <f aca="false">IFERROR(VLOOKUP(TEXT(H81,"0"),IPRESS!$A$3:$B$212,2,0),"")</f>
        <v/>
      </c>
      <c r="J81" s="46"/>
      <c r="K81" s="138"/>
      <c r="L81" s="44"/>
      <c r="M81" s="44"/>
      <c r="N81" s="139" t="str">
        <f aca="false">IFERROR(IF(L81*M81=0,"",L81*M81),"")</f>
        <v/>
      </c>
      <c r="O81" s="46"/>
      <c r="P81" s="138" t="str">
        <f aca="false">IFERROR(VLOOKUP(TEXT(O81,"0"),CONDUCTORES!$A$3:$G$100,2,0),"")</f>
        <v/>
      </c>
      <c r="Q81" s="138" t="str">
        <f aca="false">IFERROR(VLOOKUP(TEXT(O81,"0"),CONDUCTORES!$A$3:$H$100,6,0),"")</f>
        <v/>
      </c>
      <c r="R81" s="85"/>
      <c r="S81" s="110"/>
      <c r="T81" s="46"/>
      <c r="U81" s="85"/>
      <c r="V81" s="110"/>
      <c r="W81" s="46"/>
      <c r="X81" s="46"/>
      <c r="Y81" s="85"/>
      <c r="Z81" s="157" t="str">
        <f aca="false">IF(AND(R81&lt;&gt;"",V81&lt;&gt;"",W81&lt;&gt;""),"ENTREGADO","POR RECOGER")</f>
        <v>POR RECOGER</v>
      </c>
      <c r="AA81" s="4"/>
      <c r="AB81" s="4"/>
      <c r="AC81" s="4"/>
    </row>
    <row r="82" customFormat="false" ht="15.75" hidden="false" customHeight="true" outlineLevel="0" collapsed="false">
      <c r="A82" s="106" t="n">
        <v>77</v>
      </c>
      <c r="B82" s="107"/>
      <c r="C82" s="106" t="s">
        <v>752</v>
      </c>
      <c r="D82" s="107"/>
      <c r="E82" s="136" t="s">
        <v>99</v>
      </c>
      <c r="F82" s="106"/>
      <c r="G82" s="140"/>
      <c r="H82" s="106"/>
      <c r="I82" s="138" t="str">
        <f aca="false">IFERROR(VLOOKUP(TEXT(H82,"0"),IPRESS!$A$3:$B$212,2,0),"")</f>
        <v/>
      </c>
      <c r="J82" s="106"/>
      <c r="K82" s="138"/>
      <c r="L82" s="50"/>
      <c r="M82" s="50"/>
      <c r="N82" s="139" t="str">
        <f aca="false">IFERROR(IF(L82*M82=0,"",L82*M82),"")</f>
        <v/>
      </c>
      <c r="O82" s="106"/>
      <c r="P82" s="138" t="str">
        <f aca="false">IFERROR(VLOOKUP(TEXT(O82,"0"),CONDUCTORES!$A$3:$G$100,2,0),"")</f>
        <v/>
      </c>
      <c r="Q82" s="138" t="str">
        <f aca="false">IFERROR(VLOOKUP(TEXT(O82,"0"),CONDUCTORES!$A$3:$H$100,6,0),"")</f>
        <v/>
      </c>
      <c r="R82" s="140"/>
      <c r="S82" s="107"/>
      <c r="T82" s="136"/>
      <c r="U82" s="140"/>
      <c r="V82" s="107"/>
      <c r="W82" s="106"/>
      <c r="X82" s="106"/>
      <c r="Y82" s="85"/>
      <c r="Z82" s="157" t="str">
        <f aca="false">IF(AND(R82&lt;&gt;"",V82&lt;&gt;"",W82&lt;&gt;""),"ENTREGADO","POR RECOGER")</f>
        <v>POR RECOGER</v>
      </c>
      <c r="AA82" s="4"/>
      <c r="AB82" s="4"/>
      <c r="AC82" s="4"/>
    </row>
    <row r="83" customFormat="false" ht="15.75" hidden="false" customHeight="true" outlineLevel="0" collapsed="false">
      <c r="A83" s="46" t="n">
        <v>78</v>
      </c>
      <c r="B83" s="110"/>
      <c r="C83" s="46" t="s">
        <v>752</v>
      </c>
      <c r="D83" s="110"/>
      <c r="E83" s="46" t="s">
        <v>99</v>
      </c>
      <c r="F83" s="46"/>
      <c r="G83" s="85"/>
      <c r="H83" s="46"/>
      <c r="I83" s="138" t="str">
        <f aca="false">IFERROR(VLOOKUP(TEXT(H83,"0"),IPRESS!$A$3:$B$212,2,0),"")</f>
        <v/>
      </c>
      <c r="J83" s="46"/>
      <c r="K83" s="138"/>
      <c r="L83" s="44"/>
      <c r="M83" s="44"/>
      <c r="N83" s="139" t="str">
        <f aca="false">IFERROR(IF(L83*M83=0,"",L83*M83),"")</f>
        <v/>
      </c>
      <c r="O83" s="46"/>
      <c r="P83" s="138" t="str">
        <f aca="false">IFERROR(VLOOKUP(TEXT(O83,"0"),CONDUCTORES!$A$3:$G$100,2,0),"")</f>
        <v/>
      </c>
      <c r="Q83" s="138" t="str">
        <f aca="false">IFERROR(VLOOKUP(TEXT(O83,"0"),CONDUCTORES!$A$3:$H$100,6,0),"")</f>
        <v/>
      </c>
      <c r="R83" s="85"/>
      <c r="S83" s="110"/>
      <c r="T83" s="46"/>
      <c r="U83" s="85"/>
      <c r="V83" s="110"/>
      <c r="W83" s="46"/>
      <c r="X83" s="46"/>
      <c r="Y83" s="85"/>
      <c r="Z83" s="157" t="str">
        <f aca="false">IF(AND(R83&lt;&gt;"",V83&lt;&gt;"",W83&lt;&gt;""),"ENTREGADO","POR RECOGER")</f>
        <v>POR RECOGER</v>
      </c>
      <c r="AA83" s="4"/>
      <c r="AB83" s="4"/>
      <c r="AC83" s="4"/>
    </row>
    <row r="84" customFormat="false" ht="15.75" hidden="false" customHeight="true" outlineLevel="0" collapsed="false">
      <c r="A84" s="106" t="n">
        <v>79</v>
      </c>
      <c r="B84" s="107"/>
      <c r="C84" s="106" t="s">
        <v>752</v>
      </c>
      <c r="D84" s="107"/>
      <c r="E84" s="136" t="s">
        <v>99</v>
      </c>
      <c r="F84" s="106"/>
      <c r="G84" s="140"/>
      <c r="H84" s="106"/>
      <c r="I84" s="138" t="str">
        <f aca="false">IFERROR(VLOOKUP(TEXT(H84,"0"),IPRESS!$A$3:$B$212,2,0),"")</f>
        <v/>
      </c>
      <c r="J84" s="106"/>
      <c r="K84" s="138"/>
      <c r="L84" s="50"/>
      <c r="M84" s="50"/>
      <c r="N84" s="139" t="str">
        <f aca="false">IFERROR(IF(L84*M84=0,"",L84*M84),"")</f>
        <v/>
      </c>
      <c r="O84" s="106"/>
      <c r="P84" s="138" t="str">
        <f aca="false">IFERROR(VLOOKUP(TEXT(O84,"0"),CONDUCTORES!$A$3:$G$100,2,0),"")</f>
        <v/>
      </c>
      <c r="Q84" s="138" t="str">
        <f aca="false">IFERROR(VLOOKUP(TEXT(O84,"0"),CONDUCTORES!$A$3:$H$100,6,0),"")</f>
        <v/>
      </c>
      <c r="R84" s="140"/>
      <c r="S84" s="107"/>
      <c r="T84" s="136"/>
      <c r="U84" s="140"/>
      <c r="V84" s="107"/>
      <c r="W84" s="106"/>
      <c r="X84" s="106"/>
      <c r="Y84" s="85"/>
      <c r="Z84" s="157" t="str">
        <f aca="false">IF(AND(R84&lt;&gt;"",V84&lt;&gt;"",W84&lt;&gt;""),"ENTREGADO","POR RECOGER")</f>
        <v>POR RECOGER</v>
      </c>
      <c r="AA84" s="4"/>
      <c r="AB84" s="4"/>
      <c r="AC84" s="4"/>
    </row>
    <row r="85" customFormat="false" ht="15.75" hidden="false" customHeight="true" outlineLevel="0" collapsed="false">
      <c r="A85" s="46" t="n">
        <v>80</v>
      </c>
      <c r="B85" s="110"/>
      <c r="C85" s="46" t="s">
        <v>752</v>
      </c>
      <c r="D85" s="110"/>
      <c r="E85" s="46" t="s">
        <v>99</v>
      </c>
      <c r="F85" s="46"/>
      <c r="G85" s="85"/>
      <c r="H85" s="46"/>
      <c r="I85" s="138" t="str">
        <f aca="false">IFERROR(VLOOKUP(TEXT(H85,"0"),IPRESS!$A$3:$B$212,2,0),"")</f>
        <v/>
      </c>
      <c r="J85" s="46"/>
      <c r="K85" s="138"/>
      <c r="L85" s="44"/>
      <c r="M85" s="44"/>
      <c r="N85" s="139" t="str">
        <f aca="false">IFERROR(IF(L85*M85=0,"",L85*M85),"")</f>
        <v/>
      </c>
      <c r="O85" s="46"/>
      <c r="P85" s="138" t="str">
        <f aca="false">IFERROR(VLOOKUP(TEXT(O85,"0"),CONDUCTORES!$A$3:$G$100,2,0),"")</f>
        <v/>
      </c>
      <c r="Q85" s="138" t="str">
        <f aca="false">IFERROR(VLOOKUP(TEXT(O85,"0"),CONDUCTORES!$A$3:$H$100,6,0),"")</f>
        <v/>
      </c>
      <c r="R85" s="85"/>
      <c r="S85" s="110"/>
      <c r="T85" s="46"/>
      <c r="U85" s="85"/>
      <c r="V85" s="110"/>
      <c r="W85" s="46"/>
      <c r="X85" s="46"/>
      <c r="Y85" s="85"/>
      <c r="Z85" s="157" t="str">
        <f aca="false">IF(AND(R85&lt;&gt;"",V85&lt;&gt;"",W85&lt;&gt;""),"ENTREGADO","POR RECOGER")</f>
        <v>POR RECOGER</v>
      </c>
      <c r="AA85" s="4"/>
      <c r="AB85" s="4"/>
      <c r="AC85" s="4"/>
    </row>
    <row r="86" customFormat="false" ht="15.75" hidden="false" customHeight="true" outlineLevel="0" collapsed="false">
      <c r="A86" s="106" t="n">
        <v>81</v>
      </c>
      <c r="B86" s="107"/>
      <c r="C86" s="106" t="s">
        <v>752</v>
      </c>
      <c r="D86" s="107"/>
      <c r="E86" s="136" t="s">
        <v>99</v>
      </c>
      <c r="F86" s="106"/>
      <c r="G86" s="140"/>
      <c r="H86" s="106"/>
      <c r="I86" s="138" t="str">
        <f aca="false">IFERROR(VLOOKUP(TEXT(H86,"0"),IPRESS!$A$3:$B$212,2,0),"")</f>
        <v/>
      </c>
      <c r="J86" s="106"/>
      <c r="K86" s="138"/>
      <c r="L86" s="50"/>
      <c r="M86" s="50"/>
      <c r="N86" s="139" t="str">
        <f aca="false">IFERROR(IF(L86*M86=0,"",L86*M86),"")</f>
        <v/>
      </c>
      <c r="O86" s="106"/>
      <c r="P86" s="138" t="str">
        <f aca="false">IFERROR(VLOOKUP(TEXT(O86,"0"),CONDUCTORES!$A$3:$G$100,2,0),"")</f>
        <v/>
      </c>
      <c r="Q86" s="138" t="str">
        <f aca="false">IFERROR(VLOOKUP(TEXT(O86,"0"),CONDUCTORES!$A$3:$H$100,6,0),"")</f>
        <v/>
      </c>
      <c r="R86" s="140"/>
      <c r="S86" s="107"/>
      <c r="T86" s="136"/>
      <c r="U86" s="140"/>
      <c r="V86" s="107"/>
      <c r="W86" s="106"/>
      <c r="X86" s="106"/>
      <c r="Y86" s="85"/>
      <c r="Z86" s="157" t="str">
        <f aca="false">IF(AND(R86&lt;&gt;"",V86&lt;&gt;"",W86&lt;&gt;""),"ENTREGADO","POR RECOGER")</f>
        <v>POR RECOGER</v>
      </c>
      <c r="AA86" s="4"/>
      <c r="AB86" s="4"/>
      <c r="AC86" s="4"/>
    </row>
    <row r="87" customFormat="false" ht="15.75" hidden="false" customHeight="true" outlineLevel="0" collapsed="false">
      <c r="A87" s="46" t="n">
        <v>82</v>
      </c>
      <c r="B87" s="110"/>
      <c r="C87" s="46" t="s">
        <v>752</v>
      </c>
      <c r="D87" s="110"/>
      <c r="E87" s="46" t="s">
        <v>99</v>
      </c>
      <c r="F87" s="46"/>
      <c r="G87" s="85"/>
      <c r="H87" s="46"/>
      <c r="I87" s="138" t="str">
        <f aca="false">IFERROR(VLOOKUP(TEXT(H87,"0"),IPRESS!$A$3:$B$212,2,0),"")</f>
        <v/>
      </c>
      <c r="J87" s="46"/>
      <c r="K87" s="138"/>
      <c r="L87" s="44"/>
      <c r="M87" s="44"/>
      <c r="N87" s="139" t="str">
        <f aca="false">IFERROR(IF(L87*M87=0,"",L87*M87),"")</f>
        <v/>
      </c>
      <c r="O87" s="46"/>
      <c r="P87" s="138" t="str">
        <f aca="false">IFERROR(VLOOKUP(TEXT(O87,"0"),CONDUCTORES!$A$3:$G$100,2,0),"")</f>
        <v/>
      </c>
      <c r="Q87" s="138" t="str">
        <f aca="false">IFERROR(VLOOKUP(TEXT(O87,"0"),CONDUCTORES!$A$3:$H$100,6,0),"")</f>
        <v/>
      </c>
      <c r="R87" s="85"/>
      <c r="S87" s="110"/>
      <c r="T87" s="46"/>
      <c r="U87" s="85"/>
      <c r="V87" s="110"/>
      <c r="W87" s="46"/>
      <c r="X87" s="46"/>
      <c r="Y87" s="85"/>
      <c r="Z87" s="157" t="str">
        <f aca="false">IF(AND(R87&lt;&gt;"",V87&lt;&gt;"",W87&lt;&gt;""),"ENTREGADO","POR RECOGER")</f>
        <v>POR RECOGER</v>
      </c>
      <c r="AA87" s="4"/>
      <c r="AB87" s="4"/>
      <c r="AC87" s="4"/>
    </row>
    <row r="88" customFormat="false" ht="15.75" hidden="false" customHeight="true" outlineLevel="0" collapsed="false">
      <c r="A88" s="106" t="n">
        <v>83</v>
      </c>
      <c r="B88" s="107"/>
      <c r="C88" s="106" t="s">
        <v>752</v>
      </c>
      <c r="D88" s="107"/>
      <c r="E88" s="136" t="s">
        <v>99</v>
      </c>
      <c r="F88" s="106"/>
      <c r="G88" s="140"/>
      <c r="H88" s="106"/>
      <c r="I88" s="138" t="str">
        <f aca="false">IFERROR(VLOOKUP(TEXT(H88,"0"),IPRESS!$A$3:$B$212,2,0),"")</f>
        <v/>
      </c>
      <c r="J88" s="106"/>
      <c r="K88" s="138"/>
      <c r="L88" s="50"/>
      <c r="M88" s="50"/>
      <c r="N88" s="139" t="str">
        <f aca="false">IFERROR(IF(L88*M88=0,"",L88*M88),"")</f>
        <v/>
      </c>
      <c r="O88" s="106"/>
      <c r="P88" s="138" t="str">
        <f aca="false">IFERROR(VLOOKUP(TEXT(O88,"0"),CONDUCTORES!$A$3:$G$100,2,0),"")</f>
        <v/>
      </c>
      <c r="Q88" s="138" t="str">
        <f aca="false">IFERROR(VLOOKUP(TEXT(O88,"0"),CONDUCTORES!$A$3:$H$100,6,0),"")</f>
        <v/>
      </c>
      <c r="R88" s="140"/>
      <c r="S88" s="107"/>
      <c r="T88" s="136"/>
      <c r="U88" s="140"/>
      <c r="V88" s="107"/>
      <c r="W88" s="106"/>
      <c r="X88" s="106"/>
      <c r="Y88" s="85"/>
      <c r="Z88" s="157" t="str">
        <f aca="false">IF(AND(R88&lt;&gt;"",V88&lt;&gt;"",W88&lt;&gt;""),"ENTREGADO","POR RECOGER")</f>
        <v>POR RECOGER</v>
      </c>
      <c r="AA88" s="4"/>
      <c r="AB88" s="4"/>
      <c r="AC88" s="4"/>
    </row>
    <row r="89" customFormat="false" ht="15.75" hidden="false" customHeight="true" outlineLevel="0" collapsed="false">
      <c r="A89" s="46" t="n">
        <v>84</v>
      </c>
      <c r="B89" s="110"/>
      <c r="C89" s="46" t="s">
        <v>752</v>
      </c>
      <c r="D89" s="110"/>
      <c r="E89" s="46" t="s">
        <v>99</v>
      </c>
      <c r="F89" s="46"/>
      <c r="G89" s="85"/>
      <c r="H89" s="46"/>
      <c r="I89" s="138" t="str">
        <f aca="false">IFERROR(VLOOKUP(TEXT(H89,"0"),IPRESS!$A$3:$B$212,2,0),"")</f>
        <v/>
      </c>
      <c r="J89" s="46"/>
      <c r="K89" s="138"/>
      <c r="L89" s="44"/>
      <c r="M89" s="44"/>
      <c r="N89" s="139" t="str">
        <f aca="false">IFERROR(IF(L89*M89=0,"",L89*M89),"")</f>
        <v/>
      </c>
      <c r="O89" s="46"/>
      <c r="P89" s="138" t="str">
        <f aca="false">IFERROR(VLOOKUP(TEXT(O89,"0"),CONDUCTORES!$A$3:$G$100,2,0),"")</f>
        <v/>
      </c>
      <c r="Q89" s="138" t="str">
        <f aca="false">IFERROR(VLOOKUP(TEXT(O89,"0"),CONDUCTORES!$A$3:$H$100,6,0),"")</f>
        <v/>
      </c>
      <c r="R89" s="85"/>
      <c r="S89" s="110"/>
      <c r="T89" s="46"/>
      <c r="U89" s="85"/>
      <c r="V89" s="110"/>
      <c r="W89" s="46"/>
      <c r="X89" s="46"/>
      <c r="Y89" s="85"/>
      <c r="Z89" s="157" t="str">
        <f aca="false">IF(AND(R89&lt;&gt;"",V89&lt;&gt;"",W89&lt;&gt;""),"ENTREGADO","POR RECOGER")</f>
        <v>POR RECOGER</v>
      </c>
      <c r="AA89" s="4"/>
      <c r="AB89" s="4"/>
      <c r="AC89" s="4"/>
    </row>
    <row r="90" customFormat="false" ht="15.75" hidden="false" customHeight="true" outlineLevel="0" collapsed="false">
      <c r="A90" s="106" t="n">
        <v>85</v>
      </c>
      <c r="B90" s="107"/>
      <c r="C90" s="106" t="s">
        <v>752</v>
      </c>
      <c r="D90" s="107"/>
      <c r="E90" s="136" t="s">
        <v>99</v>
      </c>
      <c r="F90" s="106"/>
      <c r="G90" s="140"/>
      <c r="H90" s="106"/>
      <c r="I90" s="138" t="str">
        <f aca="false">IFERROR(VLOOKUP(TEXT(H90,"0"),IPRESS!$A$3:$B$212,2,0),"")</f>
        <v/>
      </c>
      <c r="J90" s="106"/>
      <c r="K90" s="138"/>
      <c r="L90" s="50"/>
      <c r="M90" s="50"/>
      <c r="N90" s="139" t="str">
        <f aca="false">IFERROR(IF(L90*M90=0,"",L90*M90),"")</f>
        <v/>
      </c>
      <c r="O90" s="106"/>
      <c r="P90" s="138" t="str">
        <f aca="false">IFERROR(VLOOKUP(TEXT(O90,"0"),CONDUCTORES!$A$3:$G$100,2,0),"")</f>
        <v/>
      </c>
      <c r="Q90" s="138" t="str">
        <f aca="false">IFERROR(VLOOKUP(TEXT(O90,"0"),CONDUCTORES!$A$3:$H$100,6,0),"")</f>
        <v/>
      </c>
      <c r="R90" s="140"/>
      <c r="S90" s="107"/>
      <c r="T90" s="136"/>
      <c r="U90" s="140"/>
      <c r="V90" s="107"/>
      <c r="W90" s="106"/>
      <c r="X90" s="106"/>
      <c r="Y90" s="85"/>
      <c r="Z90" s="157" t="str">
        <f aca="false">IF(AND(R90&lt;&gt;"",V90&lt;&gt;"",W90&lt;&gt;""),"ENTREGADO","POR RECOGER")</f>
        <v>POR RECOGER</v>
      </c>
      <c r="AA90" s="4"/>
      <c r="AB90" s="4"/>
      <c r="AC90" s="4"/>
    </row>
    <row r="91" customFormat="false" ht="15.75" hidden="false" customHeight="true" outlineLevel="0" collapsed="false">
      <c r="A91" s="46" t="n">
        <v>86</v>
      </c>
      <c r="B91" s="110"/>
      <c r="C91" s="46" t="s">
        <v>752</v>
      </c>
      <c r="D91" s="110"/>
      <c r="E91" s="46" t="s">
        <v>99</v>
      </c>
      <c r="F91" s="46"/>
      <c r="G91" s="85"/>
      <c r="H91" s="46"/>
      <c r="I91" s="138" t="str">
        <f aca="false">IFERROR(VLOOKUP(TEXT(H91,"0"),IPRESS!$A$3:$B$212,2,0),"")</f>
        <v/>
      </c>
      <c r="J91" s="46"/>
      <c r="K91" s="138"/>
      <c r="L91" s="44"/>
      <c r="M91" s="44"/>
      <c r="N91" s="139" t="str">
        <f aca="false">IFERROR(IF(L91*M91=0,"",L91*M91),"")</f>
        <v/>
      </c>
      <c r="O91" s="46"/>
      <c r="P91" s="138" t="str">
        <f aca="false">IFERROR(VLOOKUP(TEXT(O91,"0"),CONDUCTORES!$A$3:$G$100,2,0),"")</f>
        <v/>
      </c>
      <c r="Q91" s="138" t="str">
        <f aca="false">IFERROR(VLOOKUP(TEXT(O91,"0"),CONDUCTORES!$A$3:$H$100,6,0),"")</f>
        <v/>
      </c>
      <c r="R91" s="85"/>
      <c r="S91" s="110"/>
      <c r="T91" s="46"/>
      <c r="U91" s="85"/>
      <c r="V91" s="110"/>
      <c r="W91" s="46"/>
      <c r="X91" s="46"/>
      <c r="Y91" s="85"/>
      <c r="Z91" s="157" t="str">
        <f aca="false">IF(AND(R91&lt;&gt;"",V91&lt;&gt;"",W91&lt;&gt;""),"ENTREGADO","POR RECOGER")</f>
        <v>POR RECOGER</v>
      </c>
      <c r="AA91" s="4"/>
      <c r="AB91" s="4"/>
      <c r="AC91" s="4"/>
    </row>
    <row r="92" customFormat="false" ht="15.75" hidden="false" customHeight="true" outlineLevel="0" collapsed="false">
      <c r="A92" s="106" t="n">
        <v>87</v>
      </c>
      <c r="B92" s="107"/>
      <c r="C92" s="106" t="s">
        <v>752</v>
      </c>
      <c r="D92" s="107"/>
      <c r="E92" s="136" t="s">
        <v>99</v>
      </c>
      <c r="F92" s="106"/>
      <c r="G92" s="140"/>
      <c r="H92" s="106"/>
      <c r="I92" s="138" t="str">
        <f aca="false">IFERROR(VLOOKUP(TEXT(H92,"0"),IPRESS!$A$3:$B$212,2,0),"")</f>
        <v/>
      </c>
      <c r="J92" s="106"/>
      <c r="K92" s="138"/>
      <c r="L92" s="50"/>
      <c r="M92" s="50"/>
      <c r="N92" s="139" t="str">
        <f aca="false">IFERROR(IF(L92*M92=0,"",L92*M92),"")</f>
        <v/>
      </c>
      <c r="O92" s="106"/>
      <c r="P92" s="138" t="str">
        <f aca="false">IFERROR(VLOOKUP(TEXT(O92,"0"),CONDUCTORES!$A$3:$G$100,2,0),"")</f>
        <v/>
      </c>
      <c r="Q92" s="138" t="str">
        <f aca="false">IFERROR(VLOOKUP(TEXT(O92,"0"),CONDUCTORES!$A$3:$H$100,6,0),"")</f>
        <v/>
      </c>
      <c r="R92" s="140"/>
      <c r="S92" s="107"/>
      <c r="T92" s="136"/>
      <c r="U92" s="140"/>
      <c r="V92" s="107"/>
      <c r="W92" s="106"/>
      <c r="X92" s="106"/>
      <c r="Y92" s="85"/>
      <c r="Z92" s="157" t="str">
        <f aca="false">IF(AND(R92&lt;&gt;"",V92&lt;&gt;"",W92&lt;&gt;""),"ENTREGADO","POR RECOGER")</f>
        <v>POR RECOGER</v>
      </c>
      <c r="AA92" s="4"/>
      <c r="AB92" s="4"/>
      <c r="AC92" s="4"/>
    </row>
    <row r="93" customFormat="false" ht="15.75" hidden="false" customHeight="true" outlineLevel="0" collapsed="false">
      <c r="A93" s="46" t="n">
        <v>88</v>
      </c>
      <c r="B93" s="110"/>
      <c r="C93" s="46" t="s">
        <v>752</v>
      </c>
      <c r="D93" s="110"/>
      <c r="E93" s="46" t="s">
        <v>99</v>
      </c>
      <c r="F93" s="46"/>
      <c r="G93" s="85"/>
      <c r="H93" s="46"/>
      <c r="I93" s="138" t="str">
        <f aca="false">IFERROR(VLOOKUP(TEXT(H93,"0"),IPRESS!$A$3:$B$212,2,0),"")</f>
        <v/>
      </c>
      <c r="J93" s="46"/>
      <c r="K93" s="138"/>
      <c r="L93" s="44"/>
      <c r="M93" s="44"/>
      <c r="N93" s="139" t="str">
        <f aca="false">IFERROR(IF(L93*M93=0,"",L93*M93),"")</f>
        <v/>
      </c>
      <c r="O93" s="46"/>
      <c r="P93" s="138" t="str">
        <f aca="false">IFERROR(VLOOKUP(TEXT(O93,"0"),CONDUCTORES!$A$3:$G$100,2,0),"")</f>
        <v/>
      </c>
      <c r="Q93" s="138" t="str">
        <f aca="false">IFERROR(VLOOKUP(TEXT(O93,"0"),CONDUCTORES!$A$3:$H$100,6,0),"")</f>
        <v/>
      </c>
      <c r="R93" s="85"/>
      <c r="S93" s="110"/>
      <c r="T93" s="46"/>
      <c r="U93" s="85"/>
      <c r="V93" s="110"/>
      <c r="W93" s="46"/>
      <c r="X93" s="46"/>
      <c r="Y93" s="85"/>
      <c r="Z93" s="157" t="str">
        <f aca="false">IF(AND(R93&lt;&gt;"",V93&lt;&gt;"",W93&lt;&gt;""),"ENTREGADO","POR RECOGER")</f>
        <v>POR RECOGER</v>
      </c>
      <c r="AA93" s="4"/>
      <c r="AB93" s="4"/>
      <c r="AC93" s="4"/>
    </row>
    <row r="94" customFormat="false" ht="15.75" hidden="false" customHeight="true" outlineLevel="0" collapsed="false">
      <c r="A94" s="106" t="n">
        <v>89</v>
      </c>
      <c r="B94" s="107"/>
      <c r="C94" s="106" t="s">
        <v>752</v>
      </c>
      <c r="D94" s="107"/>
      <c r="E94" s="136" t="s">
        <v>99</v>
      </c>
      <c r="F94" s="106"/>
      <c r="G94" s="140"/>
      <c r="H94" s="106"/>
      <c r="I94" s="138" t="str">
        <f aca="false">IFERROR(VLOOKUP(TEXT(H94,"0"),IPRESS!$A$3:$B$212,2,0),"")</f>
        <v/>
      </c>
      <c r="J94" s="106"/>
      <c r="K94" s="138"/>
      <c r="L94" s="50"/>
      <c r="M94" s="50"/>
      <c r="N94" s="139" t="str">
        <f aca="false">IFERROR(IF(L94*M94=0,"",L94*M94),"")</f>
        <v/>
      </c>
      <c r="O94" s="106"/>
      <c r="P94" s="138" t="str">
        <f aca="false">IFERROR(VLOOKUP(TEXT(O94,"0"),CONDUCTORES!$A$3:$G$100,2,0),"")</f>
        <v/>
      </c>
      <c r="Q94" s="138" t="str">
        <f aca="false">IFERROR(VLOOKUP(TEXT(O94,"0"),CONDUCTORES!$A$3:$H$100,6,0),"")</f>
        <v/>
      </c>
      <c r="R94" s="140"/>
      <c r="S94" s="107"/>
      <c r="T94" s="136"/>
      <c r="U94" s="140"/>
      <c r="V94" s="107"/>
      <c r="W94" s="106"/>
      <c r="X94" s="106"/>
      <c r="Y94" s="85"/>
      <c r="Z94" s="157" t="str">
        <f aca="false">IF(AND(R94&lt;&gt;"",V94&lt;&gt;"",W94&lt;&gt;""),"ENTREGADO","POR RECOGER")</f>
        <v>POR RECOGER</v>
      </c>
      <c r="AA94" s="4"/>
      <c r="AB94" s="4"/>
      <c r="AC94" s="4"/>
    </row>
    <row r="95" customFormat="false" ht="15.75" hidden="false" customHeight="true" outlineLevel="0" collapsed="false">
      <c r="A95" s="46" t="n">
        <v>90</v>
      </c>
      <c r="B95" s="110"/>
      <c r="C95" s="46" t="s">
        <v>752</v>
      </c>
      <c r="D95" s="110"/>
      <c r="E95" s="46" t="s">
        <v>99</v>
      </c>
      <c r="F95" s="46"/>
      <c r="G95" s="85"/>
      <c r="H95" s="46"/>
      <c r="I95" s="138" t="str">
        <f aca="false">IFERROR(VLOOKUP(TEXT(H95,"0"),IPRESS!$A$3:$B$212,2,0),"")</f>
        <v/>
      </c>
      <c r="J95" s="46"/>
      <c r="K95" s="138"/>
      <c r="L95" s="44"/>
      <c r="M95" s="44"/>
      <c r="N95" s="139" t="str">
        <f aca="false">IFERROR(IF(L95*M95=0,"",L95*M95),"")</f>
        <v/>
      </c>
      <c r="O95" s="46"/>
      <c r="P95" s="138" t="str">
        <f aca="false">IFERROR(VLOOKUP(TEXT(O95,"0"),CONDUCTORES!$A$3:$G$100,2,0),"")</f>
        <v/>
      </c>
      <c r="Q95" s="138" t="str">
        <f aca="false">IFERROR(VLOOKUP(TEXT(O95,"0"),CONDUCTORES!$A$3:$H$100,6,0),"")</f>
        <v/>
      </c>
      <c r="R95" s="85"/>
      <c r="S95" s="110"/>
      <c r="T95" s="46"/>
      <c r="U95" s="85"/>
      <c r="V95" s="110"/>
      <c r="W95" s="46"/>
      <c r="X95" s="46"/>
      <c r="Y95" s="85"/>
      <c r="Z95" s="157" t="str">
        <f aca="false">IF(AND(R95&lt;&gt;"",V95&lt;&gt;"",W95&lt;&gt;""),"ENTREGADO","POR RECOGER")</f>
        <v>POR RECOGER</v>
      </c>
      <c r="AA95" s="4"/>
      <c r="AB95" s="4"/>
      <c r="AC95" s="4"/>
    </row>
    <row r="96" customFormat="false" ht="15.75" hidden="false" customHeight="true" outlineLevel="0" collapsed="false">
      <c r="A96" s="106" t="n">
        <v>91</v>
      </c>
      <c r="B96" s="107"/>
      <c r="C96" s="106" t="s">
        <v>752</v>
      </c>
      <c r="D96" s="107"/>
      <c r="E96" s="136" t="s">
        <v>99</v>
      </c>
      <c r="F96" s="106"/>
      <c r="G96" s="140"/>
      <c r="H96" s="106"/>
      <c r="I96" s="138" t="str">
        <f aca="false">IFERROR(VLOOKUP(TEXT(H96,"0"),IPRESS!$A$3:$B$212,2,0),"")</f>
        <v/>
      </c>
      <c r="J96" s="106"/>
      <c r="K96" s="138"/>
      <c r="L96" s="50"/>
      <c r="M96" s="50"/>
      <c r="N96" s="139" t="str">
        <f aca="false">IFERROR(IF(L96*M96=0,"",L96*M96),"")</f>
        <v/>
      </c>
      <c r="O96" s="106"/>
      <c r="P96" s="138" t="str">
        <f aca="false">IFERROR(VLOOKUP(TEXT(O96,"0"),CONDUCTORES!$A$3:$G$100,2,0),"")</f>
        <v/>
      </c>
      <c r="Q96" s="138" t="str">
        <f aca="false">IFERROR(VLOOKUP(TEXT(O96,"0"),CONDUCTORES!$A$3:$H$100,6,0),"")</f>
        <v/>
      </c>
      <c r="R96" s="140"/>
      <c r="S96" s="107"/>
      <c r="T96" s="136"/>
      <c r="U96" s="140"/>
      <c r="V96" s="107"/>
      <c r="W96" s="106"/>
      <c r="X96" s="106"/>
      <c r="Y96" s="85"/>
      <c r="Z96" s="157" t="str">
        <f aca="false">IF(AND(R96&lt;&gt;"",V96&lt;&gt;"",W96&lt;&gt;""),"ENTREGADO","POR RECOGER")</f>
        <v>POR RECOGER</v>
      </c>
      <c r="AA96" s="4"/>
      <c r="AB96" s="4"/>
      <c r="AC96" s="4"/>
    </row>
    <row r="97" customFormat="false" ht="15.75" hidden="false" customHeight="true" outlineLevel="0" collapsed="false">
      <c r="A97" s="46" t="n">
        <v>92</v>
      </c>
      <c r="B97" s="110"/>
      <c r="C97" s="46" t="s">
        <v>752</v>
      </c>
      <c r="D97" s="110"/>
      <c r="E97" s="46" t="s">
        <v>99</v>
      </c>
      <c r="F97" s="46"/>
      <c r="G97" s="85"/>
      <c r="H97" s="46"/>
      <c r="I97" s="138" t="str">
        <f aca="false">IFERROR(VLOOKUP(TEXT(H97,"0"),IPRESS!$A$3:$B$212,2,0),"")</f>
        <v/>
      </c>
      <c r="J97" s="46"/>
      <c r="K97" s="138"/>
      <c r="L97" s="44"/>
      <c r="M97" s="44"/>
      <c r="N97" s="139" t="str">
        <f aca="false">IFERROR(IF(L97*M97=0,"",L97*M97),"")</f>
        <v/>
      </c>
      <c r="O97" s="46"/>
      <c r="P97" s="138" t="str">
        <f aca="false">IFERROR(VLOOKUP(TEXT(O97,"0"),CONDUCTORES!$A$3:$G$100,2,0),"")</f>
        <v/>
      </c>
      <c r="Q97" s="138" t="str">
        <f aca="false">IFERROR(VLOOKUP(TEXT(O97,"0"),CONDUCTORES!$A$3:$H$100,6,0),"")</f>
        <v/>
      </c>
      <c r="R97" s="85"/>
      <c r="S97" s="110"/>
      <c r="T97" s="46"/>
      <c r="U97" s="85"/>
      <c r="V97" s="110"/>
      <c r="W97" s="46"/>
      <c r="X97" s="46"/>
      <c r="Y97" s="85"/>
      <c r="Z97" s="157" t="str">
        <f aca="false">IF(AND(R97&lt;&gt;"",V97&lt;&gt;"",W97&lt;&gt;""),"ENTREGADO","POR RECOGER")</f>
        <v>POR RECOGER</v>
      </c>
      <c r="AA97" s="4"/>
      <c r="AB97" s="4"/>
      <c r="AC97" s="4"/>
    </row>
    <row r="98" customFormat="false" ht="15.75" hidden="false" customHeight="true" outlineLevel="0" collapsed="false">
      <c r="A98" s="106" t="n">
        <v>93</v>
      </c>
      <c r="B98" s="107"/>
      <c r="C98" s="106" t="s">
        <v>752</v>
      </c>
      <c r="D98" s="107"/>
      <c r="E98" s="136" t="s">
        <v>99</v>
      </c>
      <c r="F98" s="106"/>
      <c r="G98" s="140"/>
      <c r="H98" s="106"/>
      <c r="I98" s="138" t="str">
        <f aca="false">IFERROR(VLOOKUP(TEXT(H98,"0"),IPRESS!$A$3:$B$212,2,0),"")</f>
        <v/>
      </c>
      <c r="J98" s="106"/>
      <c r="K98" s="138"/>
      <c r="L98" s="50"/>
      <c r="M98" s="50"/>
      <c r="N98" s="139" t="str">
        <f aca="false">IFERROR(IF(L98*M98=0,"",L98*M98),"")</f>
        <v/>
      </c>
      <c r="O98" s="106"/>
      <c r="P98" s="138" t="str">
        <f aca="false">IFERROR(VLOOKUP(TEXT(O98,"0"),CONDUCTORES!$A$3:$G$100,2,0),"")</f>
        <v/>
      </c>
      <c r="Q98" s="138" t="str">
        <f aca="false">IFERROR(VLOOKUP(TEXT(O98,"0"),CONDUCTORES!$A$3:$H$100,6,0),"")</f>
        <v/>
      </c>
      <c r="R98" s="140"/>
      <c r="S98" s="107"/>
      <c r="T98" s="136"/>
      <c r="U98" s="140"/>
      <c r="V98" s="107"/>
      <c r="W98" s="106"/>
      <c r="X98" s="106"/>
      <c r="Y98" s="85"/>
      <c r="Z98" s="157" t="str">
        <f aca="false">IF(AND(R98&lt;&gt;"",V98&lt;&gt;"",W98&lt;&gt;""),"ENTREGADO","POR RECOGER")</f>
        <v>POR RECOGER</v>
      </c>
      <c r="AA98" s="4"/>
      <c r="AB98" s="4"/>
      <c r="AC98" s="4"/>
    </row>
    <row r="99" customFormat="false" ht="15.75" hidden="false" customHeight="true" outlineLevel="0" collapsed="false">
      <c r="A99" s="46" t="n">
        <v>94</v>
      </c>
      <c r="B99" s="110"/>
      <c r="C99" s="46" t="s">
        <v>752</v>
      </c>
      <c r="D99" s="110"/>
      <c r="E99" s="46" t="s">
        <v>99</v>
      </c>
      <c r="F99" s="46"/>
      <c r="G99" s="85"/>
      <c r="H99" s="46"/>
      <c r="I99" s="138" t="str">
        <f aca="false">IFERROR(VLOOKUP(TEXT(H99,"0"),IPRESS!$A$3:$B$212,2,0),"")</f>
        <v/>
      </c>
      <c r="J99" s="46"/>
      <c r="K99" s="138"/>
      <c r="L99" s="44"/>
      <c r="M99" s="44"/>
      <c r="N99" s="139" t="str">
        <f aca="false">IFERROR(IF(L99*M99=0,"",L99*M99),"")</f>
        <v/>
      </c>
      <c r="O99" s="46"/>
      <c r="P99" s="138" t="str">
        <f aca="false">IFERROR(VLOOKUP(TEXT(O99,"0"),CONDUCTORES!$A$3:$G$100,2,0),"")</f>
        <v/>
      </c>
      <c r="Q99" s="138" t="str">
        <f aca="false">IFERROR(VLOOKUP(TEXT(O99,"0"),CONDUCTORES!$A$3:$H$100,6,0),"")</f>
        <v/>
      </c>
      <c r="R99" s="85"/>
      <c r="S99" s="110"/>
      <c r="T99" s="46"/>
      <c r="U99" s="85"/>
      <c r="V99" s="110"/>
      <c r="W99" s="46"/>
      <c r="X99" s="46"/>
      <c r="Y99" s="85"/>
      <c r="Z99" s="157" t="str">
        <f aca="false">IF(AND(R99&lt;&gt;"",V99&lt;&gt;"",W99&lt;&gt;""),"ENTREGADO","POR RECOGER")</f>
        <v>POR RECOGER</v>
      </c>
      <c r="AA99" s="4"/>
      <c r="AB99" s="4"/>
      <c r="AC99" s="4"/>
    </row>
    <row r="100" customFormat="false" ht="15" hidden="false" customHeight="true" outlineLevel="0" collapsed="false">
      <c r="A100" s="85"/>
      <c r="B100" s="85"/>
      <c r="C100" s="85"/>
      <c r="D100" s="85"/>
      <c r="E100" s="85"/>
      <c r="F100" s="85"/>
      <c r="G100" s="85"/>
      <c r="H100" s="85"/>
      <c r="I100" s="149"/>
      <c r="J100" s="85"/>
      <c r="K100" s="149"/>
      <c r="L100" s="85"/>
      <c r="M100" s="85"/>
      <c r="N100" s="151"/>
      <c r="O100" s="85"/>
      <c r="P100" s="149"/>
      <c r="Q100" s="149"/>
      <c r="R100" s="85"/>
      <c r="S100" s="85"/>
      <c r="T100" s="85"/>
      <c r="U100" s="85"/>
      <c r="V100" s="85"/>
      <c r="W100" s="85"/>
      <c r="X100" s="85"/>
      <c r="Y100" s="85"/>
      <c r="Z100" s="157"/>
      <c r="AA100" s="4"/>
      <c r="AB100" s="4"/>
      <c r="AC100" s="4"/>
    </row>
    <row r="101" customFormat="false" ht="24" hidden="false" customHeight="true" outlineLevel="0" collapsed="false">
      <c r="A101" s="165"/>
      <c r="B101" s="165"/>
      <c r="C101" s="165"/>
      <c r="D101" s="165"/>
      <c r="E101" s="165"/>
      <c r="F101" s="165"/>
      <c r="G101" s="165"/>
      <c r="H101" s="165"/>
      <c r="I101" s="165"/>
      <c r="J101" s="165"/>
      <c r="K101" s="149"/>
      <c r="L101" s="85"/>
      <c r="M101" s="166"/>
      <c r="N101" s="166"/>
      <c r="O101" s="85"/>
      <c r="P101" s="149"/>
      <c r="Q101" s="149"/>
      <c r="R101" s="85"/>
      <c r="S101" s="85"/>
      <c r="T101" s="85"/>
      <c r="U101" s="85"/>
      <c r="V101" s="85"/>
      <c r="W101" s="85"/>
      <c r="X101" s="85"/>
      <c r="Y101" s="85"/>
      <c r="Z101" s="157"/>
      <c r="AA101" s="4"/>
      <c r="AB101" s="4"/>
      <c r="AC101" s="4"/>
    </row>
    <row r="102" customFormat="false" ht="15" hidden="false" customHeight="true" outlineLevel="0" collapsed="false">
      <c r="A102" s="85"/>
      <c r="B102" s="85"/>
      <c r="C102" s="85"/>
      <c r="D102" s="85"/>
      <c r="E102" s="85"/>
      <c r="F102" s="85"/>
      <c r="G102" s="85"/>
      <c r="H102" s="85"/>
      <c r="I102" s="149"/>
      <c r="J102" s="85"/>
      <c r="K102" s="149"/>
      <c r="L102" s="85"/>
      <c r="M102" s="85"/>
      <c r="N102" s="151"/>
      <c r="O102" s="85"/>
      <c r="P102" s="149"/>
      <c r="Q102" s="149"/>
      <c r="R102" s="85"/>
      <c r="S102" s="85"/>
      <c r="T102" s="85"/>
      <c r="U102" s="85"/>
      <c r="V102" s="85"/>
      <c r="W102" s="85"/>
      <c r="X102" s="85"/>
      <c r="Y102" s="85"/>
      <c r="Z102" s="157"/>
      <c r="AA102" s="4"/>
      <c r="AB102" s="4"/>
      <c r="AC102" s="4"/>
    </row>
    <row r="103" customFormat="false" ht="1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149"/>
      <c r="J103" s="85"/>
      <c r="K103" s="149"/>
      <c r="L103" s="85"/>
      <c r="M103" s="85"/>
      <c r="N103" s="151"/>
      <c r="O103" s="85"/>
      <c r="P103" s="149"/>
      <c r="Q103" s="149"/>
      <c r="R103" s="85"/>
      <c r="S103" s="85"/>
      <c r="T103" s="85"/>
      <c r="U103" s="85"/>
      <c r="V103" s="85"/>
      <c r="W103" s="85"/>
      <c r="X103" s="85"/>
      <c r="Y103" s="85"/>
      <c r="Z103" s="157"/>
      <c r="AA103" s="4"/>
      <c r="AB103" s="4"/>
      <c r="AC103" s="4"/>
    </row>
    <row r="104" customFormat="false" ht="15" hidden="false" customHeight="true" outlineLevel="0" collapsed="false">
      <c r="A104" s="85"/>
      <c r="B104" s="85"/>
      <c r="C104" s="85"/>
      <c r="D104" s="85"/>
      <c r="E104" s="85"/>
      <c r="F104" s="85"/>
      <c r="G104" s="85"/>
      <c r="H104" s="85"/>
      <c r="I104" s="138" t="str">
        <f aca="false">IFERROR(VLOOKUP(TEXT(H104,"0"),IPRESS!$A$3:$B$212,2,0),"")</f>
        <v/>
      </c>
      <c r="J104" s="85"/>
      <c r="K104" s="149"/>
      <c r="L104" s="85"/>
      <c r="M104" s="85"/>
      <c r="N104" s="151"/>
      <c r="O104" s="85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85"/>
      <c r="S104" s="85"/>
      <c r="T104" s="85"/>
      <c r="U104" s="85"/>
      <c r="V104" s="85"/>
      <c r="W104" s="85"/>
      <c r="X104" s="85"/>
      <c r="Y104" s="85"/>
      <c r="Z104" s="157"/>
      <c r="AA104" s="4"/>
      <c r="AB104" s="4"/>
      <c r="AC104" s="4"/>
    </row>
    <row r="105" customFormat="false" ht="1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38" t="str">
        <f aca="false">IFERROR(VLOOKUP(TEXT(H105,"0"),IPRESS!$A$3:$B$212,2,0),"")</f>
        <v/>
      </c>
      <c r="J105" s="85"/>
      <c r="K105" s="149"/>
      <c r="L105" s="85"/>
      <c r="M105" s="85"/>
      <c r="N105" s="151"/>
      <c r="O105" s="85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85"/>
      <c r="S105" s="85"/>
      <c r="T105" s="85"/>
      <c r="U105" s="85"/>
      <c r="V105" s="85"/>
      <c r="W105" s="85"/>
      <c r="X105" s="85"/>
      <c r="Y105" s="85"/>
      <c r="Z105" s="157"/>
      <c r="AA105" s="4"/>
      <c r="AB105" s="4"/>
      <c r="AC105" s="4"/>
    </row>
    <row r="106" customFormat="false" ht="15" hidden="false" customHeight="true" outlineLevel="0" collapsed="false">
      <c r="A106" s="85"/>
      <c r="B106" s="85"/>
      <c r="C106" s="85"/>
      <c r="D106" s="85"/>
      <c r="E106" s="85"/>
      <c r="F106" s="85"/>
      <c r="G106" s="85"/>
      <c r="H106" s="85"/>
      <c r="I106" s="138" t="str">
        <f aca="false">IFERROR(VLOOKUP(TEXT(H106,"0"),IPRESS!$A$3:$B$212,2,0),"")</f>
        <v/>
      </c>
      <c r="J106" s="85"/>
      <c r="K106" s="149"/>
      <c r="L106" s="85"/>
      <c r="M106" s="85"/>
      <c r="N106" s="151"/>
      <c r="O106" s="85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85"/>
      <c r="S106" s="85"/>
      <c r="T106" s="85"/>
      <c r="U106" s="85"/>
      <c r="V106" s="85"/>
      <c r="W106" s="85"/>
      <c r="X106" s="85"/>
      <c r="Y106" s="85"/>
      <c r="Z106" s="157"/>
      <c r="AA106" s="4"/>
      <c r="AB106" s="4"/>
      <c r="AC106" s="4"/>
    </row>
    <row r="107" customFormat="false" ht="1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38" t="str">
        <f aca="false">IFERROR(VLOOKUP(TEXT(H107,"0"),IPRESS!$A$3:$B$212,2,0),"")</f>
        <v/>
      </c>
      <c r="J107" s="85"/>
      <c r="K107" s="149"/>
      <c r="L107" s="85"/>
      <c r="M107" s="85"/>
      <c r="N107" s="151"/>
      <c r="O107" s="85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85"/>
      <c r="S107" s="85"/>
      <c r="T107" s="85"/>
      <c r="U107" s="85"/>
      <c r="V107" s="85"/>
      <c r="W107" s="85"/>
      <c r="X107" s="85"/>
      <c r="Y107" s="85"/>
      <c r="Z107" s="157"/>
      <c r="AA107" s="4"/>
      <c r="AB107" s="4"/>
      <c r="AC107" s="4"/>
    </row>
    <row r="108" customFormat="false" ht="15" hidden="false" customHeight="true" outlineLevel="0" collapsed="false">
      <c r="A108" s="85"/>
      <c r="B108" s="85"/>
      <c r="C108" s="85"/>
      <c r="D108" s="85"/>
      <c r="E108" s="85"/>
      <c r="F108" s="85"/>
      <c r="G108" s="85"/>
      <c r="H108" s="85"/>
      <c r="I108" s="138" t="str">
        <f aca="false">IFERROR(VLOOKUP(TEXT(H108,"0"),IPRESS!$A$3:$B$212,2,0),"")</f>
        <v/>
      </c>
      <c r="J108" s="85"/>
      <c r="K108" s="149"/>
      <c r="L108" s="85"/>
      <c r="M108" s="85"/>
      <c r="N108" s="151"/>
      <c r="O108" s="85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85"/>
      <c r="S108" s="85"/>
      <c r="T108" s="85"/>
      <c r="U108" s="85"/>
      <c r="V108" s="85"/>
      <c r="W108" s="85"/>
      <c r="X108" s="85"/>
      <c r="Y108" s="85"/>
      <c r="Z108" s="157"/>
      <c r="AA108" s="4"/>
      <c r="AB108" s="4"/>
      <c r="AC108" s="4"/>
    </row>
    <row r="109" customFormat="false" ht="1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49"/>
      <c r="L109" s="85"/>
      <c r="M109" s="85"/>
      <c r="N109" s="151"/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157"/>
      <c r="AA109" s="4"/>
      <c r="AB109" s="4"/>
      <c r="AC109" s="4"/>
    </row>
    <row r="110" customFormat="false" ht="15" hidden="false" customHeight="true" outlineLevel="0" collapsed="false">
      <c r="A110" s="85"/>
      <c r="B110" s="85"/>
      <c r="C110" s="85"/>
      <c r="D110" s="85"/>
      <c r="E110" s="85"/>
      <c r="F110" s="85"/>
      <c r="G110" s="85"/>
      <c r="H110" s="85"/>
      <c r="I110" s="138" t="str">
        <f aca="false">IFERROR(VLOOKUP(TEXT(H110,"0"),IPRESS!$A$3:$B$212,2,0),"")</f>
        <v/>
      </c>
      <c r="J110" s="85"/>
      <c r="K110" s="149"/>
      <c r="L110" s="85"/>
      <c r="M110" s="85"/>
      <c r="N110" s="151"/>
      <c r="O110" s="85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85"/>
      <c r="S110" s="85"/>
      <c r="T110" s="85"/>
      <c r="U110" s="85"/>
      <c r="V110" s="85"/>
      <c r="W110" s="85"/>
      <c r="X110" s="85"/>
      <c r="Y110" s="85"/>
      <c r="Z110" s="157"/>
      <c r="AA110" s="4"/>
      <c r="AB110" s="4"/>
      <c r="AC110" s="4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138" t="str">
        <f aca="false">IFERROR(VLOOKUP(TEXT(H111,"0"),IPRESS!$A$3:$B$212,2,0),"")</f>
        <v/>
      </c>
      <c r="J111" s="85"/>
      <c r="K111" s="149"/>
      <c r="L111" s="85"/>
      <c r="M111" s="85"/>
      <c r="N111" s="151"/>
      <c r="O111" s="85"/>
      <c r="P111" s="138" t="str">
        <f aca="false">IFERROR(VLOOKUP(TEXT(O111,"0"),CONDUCTORES!$A$3:$G$54,2,0),"")</f>
        <v/>
      </c>
      <c r="Q111" s="138" t="str">
        <f aca="false">IFERROR(VLOOKUP(TEXT(O111,"0"),CONDUCTORES!$A$3:$H$54,6,0),"")</f>
        <v/>
      </c>
      <c r="R111" s="85"/>
      <c r="S111" s="85"/>
      <c r="T111" s="85"/>
      <c r="U111" s="85"/>
      <c r="V111" s="85"/>
      <c r="W111" s="85"/>
      <c r="X111" s="85"/>
      <c r="Y111" s="85"/>
      <c r="Z111" s="157"/>
      <c r="AA111" s="4"/>
      <c r="AB111" s="4"/>
      <c r="AC111" s="4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138" t="str">
        <f aca="false">IFERROR(VLOOKUP(TEXT(H112,"0"),IPRESS!$A$3:$B$212,2,0),"")</f>
        <v/>
      </c>
      <c r="J112" s="85"/>
      <c r="K112" s="149"/>
      <c r="L112" s="85"/>
      <c r="M112" s="85"/>
      <c r="N112" s="151"/>
      <c r="O112" s="85"/>
      <c r="P112" s="138" t="str">
        <f aca="false">IFERROR(VLOOKUP(TEXT(O112,"0"),CONDUCTORES!$A$3:$G$54,2,0),"")</f>
        <v/>
      </c>
      <c r="Q112" s="138" t="str">
        <f aca="false">IFERROR(VLOOKUP(TEXT(O112,"0"),CONDUCTORES!$A$3:$H$54,6,0),"")</f>
        <v/>
      </c>
      <c r="R112" s="85"/>
      <c r="S112" s="85"/>
      <c r="T112" s="85"/>
      <c r="U112" s="85"/>
      <c r="V112" s="85"/>
      <c r="W112" s="85"/>
      <c r="X112" s="85"/>
      <c r="Y112" s="85"/>
      <c r="Z112" s="157"/>
      <c r="AA112" s="4"/>
      <c r="AB112" s="4"/>
      <c r="AC112" s="4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138" t="str">
        <f aca="false">IFERROR(VLOOKUP(TEXT(H113,"0"),IPRESS!$A$3:$B$212,2,0),"")</f>
        <v/>
      </c>
      <c r="J113" s="85"/>
      <c r="K113" s="149"/>
      <c r="L113" s="85"/>
      <c r="M113" s="85"/>
      <c r="N113" s="151"/>
      <c r="O113" s="85"/>
      <c r="P113" s="138" t="str">
        <f aca="false">IFERROR(VLOOKUP(TEXT(O113,"0"),CONDUCTORES!$A$3:$G$54,2,0),"")</f>
        <v/>
      </c>
      <c r="Q113" s="138" t="str">
        <f aca="false">IFERROR(VLOOKUP(TEXT(O113,"0"),CONDUCTORES!$A$3:$H$54,6,0),"")</f>
        <v/>
      </c>
      <c r="R113" s="85"/>
      <c r="S113" s="85"/>
      <c r="T113" s="85"/>
      <c r="U113" s="85"/>
      <c r="V113" s="85"/>
      <c r="W113" s="85"/>
      <c r="X113" s="85"/>
      <c r="Y113" s="85"/>
      <c r="Z113" s="157"/>
      <c r="AA113" s="4"/>
      <c r="AB113" s="4"/>
      <c r="AC113" s="4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138" t="str">
        <f aca="false">IFERROR(VLOOKUP(TEXT(H114,"0"),IPRESS!$A$3:$B$212,2,0),"")</f>
        <v/>
      </c>
      <c r="J114" s="85"/>
      <c r="K114" s="149"/>
      <c r="L114" s="85"/>
      <c r="M114" s="85"/>
      <c r="N114" s="151"/>
      <c r="O114" s="85"/>
      <c r="P114" s="138" t="str">
        <f aca="false">IFERROR(VLOOKUP(TEXT(O114,"0"),CONDUCTORES!$A$3:$G$54,2,0),"")</f>
        <v/>
      </c>
      <c r="Q114" s="138" t="str">
        <f aca="false">IFERROR(VLOOKUP(TEXT(O114,"0"),CONDUCTORES!$A$3:$H$54,6,0),"")</f>
        <v/>
      </c>
      <c r="R114" s="85"/>
      <c r="S114" s="85"/>
      <c r="T114" s="85"/>
      <c r="U114" s="85"/>
      <c r="V114" s="85"/>
      <c r="W114" s="85"/>
      <c r="X114" s="85"/>
      <c r="Y114" s="85"/>
      <c r="Z114" s="157"/>
      <c r="AA114" s="4"/>
      <c r="AB114" s="4"/>
      <c r="AC114" s="4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138" t="str">
        <f aca="false">IFERROR(VLOOKUP(TEXT(H115,"0"),IPRESS!$A$3:$B$212,2,0),"")</f>
        <v/>
      </c>
      <c r="J115" s="85"/>
      <c r="K115" s="149"/>
      <c r="L115" s="85"/>
      <c r="M115" s="85"/>
      <c r="N115" s="151"/>
      <c r="O115" s="85"/>
      <c r="P115" s="138" t="str">
        <f aca="false">IFERROR(VLOOKUP(TEXT(O115,"0"),CONDUCTORES!$A$3:$G$54,2,0),"")</f>
        <v/>
      </c>
      <c r="Q115" s="138" t="str">
        <f aca="false">IFERROR(VLOOKUP(TEXT(O115,"0"),CONDUCTORES!$A$3:$H$54,6,0),"")</f>
        <v/>
      </c>
      <c r="R115" s="85"/>
      <c r="S115" s="85"/>
      <c r="T115" s="85"/>
      <c r="U115" s="85"/>
      <c r="V115" s="85"/>
      <c r="W115" s="85"/>
      <c r="X115" s="85"/>
      <c r="Y115" s="85"/>
      <c r="Z115" s="157"/>
      <c r="AA115" s="4"/>
      <c r="AB115" s="4"/>
      <c r="AC115" s="4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138" t="str">
        <f aca="false">IFERROR(VLOOKUP(TEXT(H116,"0"),IPRESS!$A$3:$B$212,2,0),"")</f>
        <v/>
      </c>
      <c r="J116" s="85"/>
      <c r="K116" s="149"/>
      <c r="L116" s="85"/>
      <c r="M116" s="85"/>
      <c r="N116" s="151"/>
      <c r="O116" s="85"/>
      <c r="P116" s="138" t="str">
        <f aca="false">IFERROR(VLOOKUP(TEXT(O116,"0"),CONDUCTORES!$A$3:$G$54,2,0),"")</f>
        <v/>
      </c>
      <c r="Q116" s="138" t="str">
        <f aca="false">IFERROR(VLOOKUP(TEXT(O116,"0"),CONDUCTORES!$A$3:$H$54,6,0),"")</f>
        <v/>
      </c>
      <c r="R116" s="85"/>
      <c r="S116" s="85"/>
      <c r="T116" s="85"/>
      <c r="U116" s="85"/>
      <c r="V116" s="85"/>
      <c r="W116" s="85"/>
      <c r="X116" s="85"/>
      <c r="Y116" s="85"/>
      <c r="Z116" s="157"/>
      <c r="AA116" s="4"/>
      <c r="AB116" s="4"/>
      <c r="AC116" s="4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138" t="str">
        <f aca="false">IFERROR(VLOOKUP(TEXT(H117,"0"),IPRESS!$A$3:$B$212,2,0),"")</f>
        <v/>
      </c>
      <c r="J117" s="85"/>
      <c r="K117" s="149"/>
      <c r="L117" s="85"/>
      <c r="M117" s="85"/>
      <c r="N117" s="151"/>
      <c r="O117" s="85"/>
      <c r="P117" s="138" t="str">
        <f aca="false">IFERROR(VLOOKUP(TEXT(O117,"0"),CONDUCTORES!$A$3:$G$54,2,0),"")</f>
        <v/>
      </c>
      <c r="Q117" s="138" t="str">
        <f aca="false">IFERROR(VLOOKUP(TEXT(O117,"0"),CONDUCTORES!$A$3:$H$54,6,0),"")</f>
        <v/>
      </c>
      <c r="R117" s="85"/>
      <c r="S117" s="85"/>
      <c r="T117" s="85"/>
      <c r="U117" s="85"/>
      <c r="V117" s="85"/>
      <c r="W117" s="85"/>
      <c r="X117" s="85"/>
      <c r="Y117" s="85"/>
      <c r="Z117" s="157"/>
      <c r="AA117" s="4"/>
      <c r="AB117" s="4"/>
      <c r="AC117" s="4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138" t="str">
        <f aca="false">IFERROR(VLOOKUP(TEXT(H118,"0"),IPRESS!$A$3:$B$212,2,0),"")</f>
        <v/>
      </c>
      <c r="J118" s="85"/>
      <c r="K118" s="149"/>
      <c r="L118" s="85"/>
      <c r="M118" s="85"/>
      <c r="N118" s="151"/>
      <c r="O118" s="85"/>
      <c r="P118" s="138" t="str">
        <f aca="false">IFERROR(VLOOKUP(TEXT(O118,"0"),CONDUCTORES!$A$3:$G$54,2,0),"")</f>
        <v/>
      </c>
      <c r="Q118" s="138" t="str">
        <f aca="false">IFERROR(VLOOKUP(TEXT(O118,"0"),CONDUCTORES!$A$3:$H$54,6,0),"")</f>
        <v/>
      </c>
      <c r="R118" s="85"/>
      <c r="S118" s="85"/>
      <c r="T118" s="85"/>
      <c r="U118" s="85"/>
      <c r="V118" s="85"/>
      <c r="W118" s="85"/>
      <c r="X118" s="85"/>
      <c r="Y118" s="85"/>
      <c r="Z118" s="157"/>
      <c r="AA118" s="4"/>
      <c r="AB118" s="4"/>
      <c r="AC118" s="4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138" t="str">
        <f aca="false">IFERROR(VLOOKUP(TEXT(H119,"0"),IPRESS!$A$3:$B$212,2,0),"")</f>
        <v/>
      </c>
      <c r="J119" s="85"/>
      <c r="K119" s="149"/>
      <c r="L119" s="85"/>
      <c r="M119" s="85"/>
      <c r="N119" s="151"/>
      <c r="O119" s="85"/>
      <c r="P119" s="138" t="str">
        <f aca="false">IFERROR(VLOOKUP(TEXT(O119,"0"),CONDUCTORES!$A$3:$G$54,2,0),"")</f>
        <v/>
      </c>
      <c r="Q119" s="138" t="str">
        <f aca="false">IFERROR(VLOOKUP(TEXT(O119,"0"),CONDUCTORES!$A$3:$H$54,6,0),"")</f>
        <v/>
      </c>
      <c r="R119" s="85"/>
      <c r="S119" s="85"/>
      <c r="T119" s="85"/>
      <c r="U119" s="85"/>
      <c r="V119" s="85"/>
      <c r="W119" s="85"/>
      <c r="X119" s="85"/>
      <c r="Y119" s="85"/>
      <c r="Z119" s="157"/>
      <c r="AA119" s="4"/>
      <c r="AB119" s="4"/>
      <c r="AC119" s="4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49"/>
      <c r="L120" s="85"/>
      <c r="M120" s="85"/>
      <c r="N120" s="151"/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57"/>
      <c r="AA120" s="4"/>
      <c r="AB120" s="4"/>
      <c r="AC120" s="4"/>
    </row>
    <row r="121" customFormat="false" ht="15" hidden="false" customHeight="true" outlineLevel="0" collapsed="false">
      <c r="A121" s="85"/>
      <c r="B121" s="85"/>
      <c r="C121" s="85"/>
      <c r="D121" s="85"/>
      <c r="E121" s="85"/>
      <c r="F121" s="85"/>
      <c r="G121" s="85"/>
      <c r="H121" s="85"/>
      <c r="I121" s="138" t="str">
        <f aca="false">IFERROR(VLOOKUP(TEXT(H121,"0"),IPRESS!$A$3:$B$212,2,0),"")</f>
        <v/>
      </c>
      <c r="J121" s="85"/>
      <c r="K121" s="149"/>
      <c r="L121" s="85"/>
      <c r="M121" s="85"/>
      <c r="N121" s="151"/>
      <c r="O121" s="85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85"/>
      <c r="S121" s="85"/>
      <c r="T121" s="85"/>
      <c r="U121" s="85"/>
      <c r="V121" s="85"/>
      <c r="W121" s="85"/>
      <c r="X121" s="85"/>
      <c r="Y121" s="85"/>
      <c r="Z121" s="157"/>
      <c r="AA121" s="4"/>
      <c r="AB121" s="4"/>
      <c r="AC121" s="4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49"/>
      <c r="L122" s="85"/>
      <c r="M122" s="85"/>
      <c r="N122" s="151"/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57"/>
      <c r="AA122" s="4"/>
      <c r="AB122" s="4"/>
      <c r="AC122" s="4"/>
    </row>
    <row r="123" customFormat="false" ht="15" hidden="false" customHeight="true" outlineLevel="0" collapsed="false">
      <c r="A123" s="85"/>
      <c r="B123" s="85"/>
      <c r="C123" s="85"/>
      <c r="D123" s="85"/>
      <c r="E123" s="85"/>
      <c r="F123" s="85"/>
      <c r="G123" s="85"/>
      <c r="H123" s="85"/>
      <c r="I123" s="138" t="str">
        <f aca="false">IFERROR(VLOOKUP(TEXT(H123,"0"),IPRESS!$A$3:$B$212,2,0),"")</f>
        <v/>
      </c>
      <c r="J123" s="85"/>
      <c r="K123" s="149"/>
      <c r="L123" s="85"/>
      <c r="M123" s="85"/>
      <c r="N123" s="151"/>
      <c r="O123" s="85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85"/>
      <c r="S123" s="85"/>
      <c r="T123" s="85"/>
      <c r="U123" s="85"/>
      <c r="V123" s="85"/>
      <c r="W123" s="85"/>
      <c r="X123" s="85"/>
      <c r="Y123" s="85"/>
      <c r="Z123" s="157"/>
      <c r="AA123" s="4"/>
      <c r="AB123" s="4"/>
      <c r="AC123" s="4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49"/>
      <c r="L124" s="85"/>
      <c r="M124" s="85"/>
      <c r="N124" s="151"/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57"/>
      <c r="AA124" s="4"/>
      <c r="AB124" s="4"/>
      <c r="AC124" s="4"/>
    </row>
    <row r="125" customFormat="false" ht="15" hidden="false" customHeight="true" outlineLevel="0" collapsed="false">
      <c r="A125" s="85"/>
      <c r="B125" s="85"/>
      <c r="C125" s="85"/>
      <c r="D125" s="85"/>
      <c r="E125" s="85"/>
      <c r="F125" s="85"/>
      <c r="G125" s="85"/>
      <c r="H125" s="85"/>
      <c r="I125" s="138" t="str">
        <f aca="false">IFERROR(VLOOKUP(TEXT(H125,"0"),IPRESS!$A$3:$B$212,2,0),"")</f>
        <v/>
      </c>
      <c r="J125" s="85"/>
      <c r="K125" s="149"/>
      <c r="L125" s="85"/>
      <c r="M125" s="85"/>
      <c r="N125" s="151"/>
      <c r="O125" s="85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85"/>
      <c r="S125" s="85"/>
      <c r="T125" s="85"/>
      <c r="U125" s="85"/>
      <c r="V125" s="85"/>
      <c r="W125" s="85"/>
      <c r="X125" s="85"/>
      <c r="Y125" s="85"/>
      <c r="Z125" s="157"/>
      <c r="AA125" s="4"/>
      <c r="AB125" s="4"/>
      <c r="AC125" s="4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49"/>
      <c r="L126" s="85"/>
      <c r="M126" s="85"/>
      <c r="N126" s="151"/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57"/>
      <c r="AA126" s="4"/>
      <c r="AB126" s="4"/>
      <c r="AC126" s="4"/>
    </row>
    <row r="127" customFormat="false" ht="15" hidden="false" customHeight="true" outlineLevel="0" collapsed="false">
      <c r="A127" s="85"/>
      <c r="B127" s="85"/>
      <c r="C127" s="85"/>
      <c r="D127" s="85"/>
      <c r="E127" s="85"/>
      <c r="F127" s="85"/>
      <c r="G127" s="85"/>
      <c r="H127" s="85"/>
      <c r="I127" s="138" t="str">
        <f aca="false">IFERROR(VLOOKUP(TEXT(H127,"0"),IPRESS!$A$3:$B$212,2,0),"")</f>
        <v/>
      </c>
      <c r="J127" s="85"/>
      <c r="K127" s="149"/>
      <c r="L127" s="85"/>
      <c r="M127" s="85"/>
      <c r="N127" s="151"/>
      <c r="O127" s="85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85"/>
      <c r="S127" s="85"/>
      <c r="T127" s="85"/>
      <c r="U127" s="85"/>
      <c r="V127" s="85"/>
      <c r="W127" s="85"/>
      <c r="X127" s="85"/>
      <c r="Y127" s="85"/>
      <c r="Z127" s="157"/>
      <c r="AA127" s="4"/>
      <c r="AB127" s="4"/>
      <c r="AC127" s="4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49"/>
      <c r="L128" s="85"/>
      <c r="M128" s="85"/>
      <c r="N128" s="151"/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57"/>
      <c r="AA128" s="4"/>
      <c r="AB128" s="4"/>
      <c r="AC128" s="4"/>
    </row>
    <row r="129" customFormat="false" ht="15" hidden="false" customHeight="true" outlineLevel="0" collapsed="false">
      <c r="A129" s="85"/>
      <c r="B129" s="85"/>
      <c r="C129" s="85"/>
      <c r="D129" s="85"/>
      <c r="E129" s="85"/>
      <c r="F129" s="85"/>
      <c r="G129" s="85"/>
      <c r="H129" s="85"/>
      <c r="I129" s="138" t="str">
        <f aca="false">IFERROR(VLOOKUP(TEXT(H129,"0"),IPRESS!$A$3:$B$212,2,0),"")</f>
        <v/>
      </c>
      <c r="J129" s="85"/>
      <c r="K129" s="149"/>
      <c r="L129" s="85"/>
      <c r="M129" s="85"/>
      <c r="N129" s="151"/>
      <c r="O129" s="85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85"/>
      <c r="S129" s="85"/>
      <c r="T129" s="85"/>
      <c r="U129" s="85"/>
      <c r="V129" s="85"/>
      <c r="W129" s="85"/>
      <c r="X129" s="85"/>
      <c r="Y129" s="85"/>
      <c r="Z129" s="157"/>
      <c r="AA129" s="4"/>
      <c r="AB129" s="4"/>
      <c r="AC129" s="4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49"/>
      <c r="L130" s="85"/>
      <c r="M130" s="85"/>
      <c r="N130" s="151"/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57"/>
      <c r="AA130" s="4"/>
      <c r="AB130" s="4"/>
      <c r="AC130" s="4"/>
    </row>
    <row r="131" customFormat="false" ht="15" hidden="false" customHeight="true" outlineLevel="0" collapsed="false">
      <c r="A131" s="85"/>
      <c r="B131" s="85"/>
      <c r="C131" s="85"/>
      <c r="D131" s="85"/>
      <c r="E131" s="85"/>
      <c r="F131" s="85"/>
      <c r="G131" s="85"/>
      <c r="H131" s="85"/>
      <c r="I131" s="138" t="str">
        <f aca="false">IFERROR(VLOOKUP(TEXT(H131,"0"),IPRESS!$A$3:$B$212,2,0),"")</f>
        <v/>
      </c>
      <c r="J131" s="85"/>
      <c r="K131" s="149"/>
      <c r="L131" s="85"/>
      <c r="M131" s="85"/>
      <c r="N131" s="151"/>
      <c r="O131" s="85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85"/>
      <c r="S131" s="85"/>
      <c r="T131" s="85"/>
      <c r="U131" s="85"/>
      <c r="V131" s="85"/>
      <c r="W131" s="85"/>
      <c r="X131" s="85"/>
      <c r="Y131" s="85"/>
      <c r="Z131" s="157"/>
      <c r="AA131" s="4"/>
      <c r="AB131" s="4"/>
      <c r="AC131" s="4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49"/>
      <c r="L132" s="85"/>
      <c r="M132" s="85"/>
      <c r="N132" s="151"/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57"/>
      <c r="AA132" s="4"/>
      <c r="AB132" s="4"/>
      <c r="AC132" s="4"/>
    </row>
    <row r="133" customFormat="false" ht="15" hidden="false" customHeight="true" outlineLevel="0" collapsed="false">
      <c r="A133" s="85"/>
      <c r="B133" s="85"/>
      <c r="C133" s="85"/>
      <c r="D133" s="85"/>
      <c r="E133" s="85"/>
      <c r="F133" s="85"/>
      <c r="G133" s="85"/>
      <c r="H133" s="85"/>
      <c r="I133" s="138" t="str">
        <f aca="false">IFERROR(VLOOKUP(TEXT(H133,"0"),IPRESS!$A$3:$B$212,2,0),"")</f>
        <v/>
      </c>
      <c r="J133" s="85"/>
      <c r="K133" s="149"/>
      <c r="L133" s="85"/>
      <c r="M133" s="85"/>
      <c r="N133" s="151"/>
      <c r="O133" s="85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85"/>
      <c r="S133" s="85"/>
      <c r="T133" s="85"/>
      <c r="U133" s="85"/>
      <c r="V133" s="85"/>
      <c r="W133" s="85"/>
      <c r="X133" s="85"/>
      <c r="Y133" s="85"/>
      <c r="Z133" s="157"/>
      <c r="AA133" s="4"/>
      <c r="AB133" s="4"/>
      <c r="AC133" s="4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49"/>
      <c r="L134" s="85"/>
      <c r="M134" s="85"/>
      <c r="N134" s="151"/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57"/>
      <c r="AA134" s="4"/>
      <c r="AB134" s="4"/>
      <c r="AC134" s="4"/>
    </row>
    <row r="135" customFormat="false" ht="15" hidden="false" customHeight="true" outlineLevel="0" collapsed="false">
      <c r="A135" s="85"/>
      <c r="B135" s="85"/>
      <c r="C135" s="85"/>
      <c r="D135" s="85"/>
      <c r="E135" s="85"/>
      <c r="F135" s="85"/>
      <c r="G135" s="85"/>
      <c r="H135" s="85"/>
      <c r="I135" s="138" t="str">
        <f aca="false">IFERROR(VLOOKUP(TEXT(H135,"0"),IPRESS!$A$3:$B$212,2,0),"")</f>
        <v/>
      </c>
      <c r="J135" s="85"/>
      <c r="K135" s="149"/>
      <c r="L135" s="85"/>
      <c r="M135" s="85"/>
      <c r="N135" s="151"/>
      <c r="O135" s="85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85"/>
      <c r="S135" s="85"/>
      <c r="T135" s="85"/>
      <c r="U135" s="85"/>
      <c r="V135" s="85"/>
      <c r="W135" s="85"/>
      <c r="X135" s="85"/>
      <c r="Y135" s="85"/>
      <c r="Z135" s="157"/>
      <c r="AA135" s="4"/>
      <c r="AB135" s="4"/>
      <c r="AC135" s="4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49"/>
      <c r="L136" s="85"/>
      <c r="M136" s="85"/>
      <c r="N136" s="151"/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57"/>
      <c r="AA136" s="4"/>
      <c r="AB136" s="4"/>
      <c r="AC136" s="4"/>
    </row>
    <row r="137" customFormat="false" ht="15" hidden="false" customHeight="true" outlineLevel="0" collapsed="false">
      <c r="A137" s="85"/>
      <c r="B137" s="85"/>
      <c r="C137" s="85"/>
      <c r="D137" s="85"/>
      <c r="E137" s="85"/>
      <c r="F137" s="85"/>
      <c r="G137" s="85"/>
      <c r="H137" s="85"/>
      <c r="I137" s="138" t="str">
        <f aca="false">IFERROR(VLOOKUP(TEXT(H137,"0"),IPRESS!$A$3:$B$212,2,0),"")</f>
        <v/>
      </c>
      <c r="J137" s="85"/>
      <c r="K137" s="149"/>
      <c r="L137" s="85"/>
      <c r="M137" s="85"/>
      <c r="N137" s="151"/>
      <c r="O137" s="85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85"/>
      <c r="S137" s="85"/>
      <c r="T137" s="85"/>
      <c r="U137" s="85"/>
      <c r="V137" s="85"/>
      <c r="W137" s="85"/>
      <c r="X137" s="85"/>
      <c r="Y137" s="85"/>
      <c r="Z137" s="157"/>
      <c r="AA137" s="4"/>
      <c r="AB137" s="4"/>
      <c r="AC137" s="4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49"/>
      <c r="L138" s="85"/>
      <c r="M138" s="85"/>
      <c r="N138" s="151"/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57"/>
      <c r="AA138" s="4"/>
      <c r="AB138" s="4"/>
      <c r="AC138" s="4"/>
    </row>
    <row r="139" customFormat="false" ht="15" hidden="false" customHeight="true" outlineLevel="0" collapsed="false">
      <c r="A139" s="85"/>
      <c r="B139" s="85"/>
      <c r="C139" s="85"/>
      <c r="D139" s="85"/>
      <c r="E139" s="85"/>
      <c r="F139" s="85"/>
      <c r="G139" s="85"/>
      <c r="H139" s="85"/>
      <c r="I139" s="138" t="str">
        <f aca="false">IFERROR(VLOOKUP(TEXT(H139,"0"),IPRESS!$A$3:$B$212,2,0),"")</f>
        <v/>
      </c>
      <c r="J139" s="85"/>
      <c r="K139" s="149"/>
      <c r="L139" s="85"/>
      <c r="M139" s="85"/>
      <c r="N139" s="151"/>
      <c r="O139" s="85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85"/>
      <c r="S139" s="85"/>
      <c r="T139" s="85"/>
      <c r="U139" s="85"/>
      <c r="V139" s="85"/>
      <c r="W139" s="85"/>
      <c r="X139" s="85"/>
      <c r="Y139" s="85"/>
      <c r="Z139" s="157"/>
      <c r="AA139" s="4"/>
      <c r="AB139" s="4"/>
      <c r="AC139" s="4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49"/>
      <c r="L140" s="85"/>
      <c r="M140" s="85"/>
      <c r="N140" s="151"/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57"/>
      <c r="AA140" s="4"/>
      <c r="AB140" s="4"/>
      <c r="AC140" s="4"/>
    </row>
    <row r="141" customFormat="false" ht="15" hidden="false" customHeight="true" outlineLevel="0" collapsed="false">
      <c r="A141" s="85"/>
      <c r="B141" s="85"/>
      <c r="C141" s="85"/>
      <c r="D141" s="85"/>
      <c r="E141" s="85"/>
      <c r="F141" s="85"/>
      <c r="G141" s="85"/>
      <c r="H141" s="85"/>
      <c r="I141" s="138" t="str">
        <f aca="false">IFERROR(VLOOKUP(TEXT(H141,"0"),IPRESS!$A$3:$B$212,2,0),"")</f>
        <v/>
      </c>
      <c r="J141" s="85"/>
      <c r="K141" s="149"/>
      <c r="L141" s="85"/>
      <c r="M141" s="85"/>
      <c r="N141" s="151"/>
      <c r="O141" s="85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85"/>
      <c r="S141" s="85"/>
      <c r="T141" s="85"/>
      <c r="U141" s="85"/>
      <c r="V141" s="85"/>
      <c r="W141" s="85"/>
      <c r="X141" s="85"/>
      <c r="Y141" s="85"/>
      <c r="Z141" s="157"/>
      <c r="AA141" s="4"/>
      <c r="AB141" s="4"/>
      <c r="AC141" s="4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49"/>
      <c r="L142" s="85"/>
      <c r="M142" s="85"/>
      <c r="N142" s="151"/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57"/>
      <c r="AA142" s="4"/>
      <c r="AB142" s="4"/>
      <c r="AC142" s="4"/>
    </row>
    <row r="143" customFormat="false" ht="15" hidden="false" customHeight="true" outlineLevel="0" collapsed="false">
      <c r="A143" s="85"/>
      <c r="B143" s="85"/>
      <c r="C143" s="85"/>
      <c r="D143" s="85"/>
      <c r="E143" s="85"/>
      <c r="F143" s="85"/>
      <c r="G143" s="85"/>
      <c r="H143" s="85"/>
      <c r="I143" s="138" t="str">
        <f aca="false">IFERROR(VLOOKUP(TEXT(H143,"0"),IPRESS!$A$3:$B$212,2,0),"")</f>
        <v/>
      </c>
      <c r="J143" s="85"/>
      <c r="K143" s="149"/>
      <c r="L143" s="85"/>
      <c r="M143" s="85"/>
      <c r="N143" s="151"/>
      <c r="O143" s="85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85"/>
      <c r="S143" s="85"/>
      <c r="T143" s="85"/>
      <c r="U143" s="85"/>
      <c r="V143" s="85"/>
      <c r="W143" s="85"/>
      <c r="X143" s="85"/>
      <c r="Y143" s="85"/>
      <c r="Z143" s="157"/>
      <c r="AA143" s="4"/>
      <c r="AB143" s="4"/>
      <c r="AC143" s="4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49"/>
      <c r="L144" s="85"/>
      <c r="M144" s="85"/>
      <c r="N144" s="151"/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57"/>
      <c r="AA144" s="4"/>
      <c r="AB144" s="4"/>
      <c r="AC144" s="4"/>
    </row>
    <row r="145" customFormat="false" ht="15" hidden="false" customHeight="true" outlineLevel="0" collapsed="false">
      <c r="A145" s="85"/>
      <c r="B145" s="85"/>
      <c r="C145" s="85"/>
      <c r="D145" s="85"/>
      <c r="E145" s="85"/>
      <c r="F145" s="85"/>
      <c r="G145" s="85"/>
      <c r="H145" s="85"/>
      <c r="I145" s="138" t="str">
        <f aca="false">IFERROR(VLOOKUP(TEXT(H145,"0"),IPRESS!$A$3:$B$212,2,0),"")</f>
        <v/>
      </c>
      <c r="J145" s="85"/>
      <c r="K145" s="149"/>
      <c r="L145" s="85"/>
      <c r="M145" s="85"/>
      <c r="N145" s="151"/>
      <c r="O145" s="85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85"/>
      <c r="S145" s="85"/>
      <c r="T145" s="85"/>
      <c r="U145" s="85"/>
      <c r="V145" s="85"/>
      <c r="W145" s="85"/>
      <c r="X145" s="85"/>
      <c r="Y145" s="85"/>
      <c r="Z145" s="157"/>
      <c r="AA145" s="4"/>
      <c r="AB145" s="4"/>
      <c r="AC145" s="4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49"/>
      <c r="L146" s="85"/>
      <c r="M146" s="85"/>
      <c r="N146" s="151"/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57"/>
      <c r="AA146" s="4"/>
      <c r="AB146" s="4"/>
      <c r="AC146" s="4"/>
    </row>
    <row r="147" customFormat="false" ht="15" hidden="false" customHeight="true" outlineLevel="0" collapsed="false">
      <c r="A147" s="85"/>
      <c r="B147" s="85"/>
      <c r="C147" s="85"/>
      <c r="D147" s="85"/>
      <c r="E147" s="85"/>
      <c r="F147" s="85"/>
      <c r="G147" s="85"/>
      <c r="H147" s="85"/>
      <c r="I147" s="138" t="str">
        <f aca="false">IFERROR(VLOOKUP(TEXT(H147,"0"),IPRESS!$A$3:$B$212,2,0),"")</f>
        <v/>
      </c>
      <c r="J147" s="85"/>
      <c r="K147" s="149"/>
      <c r="L147" s="85"/>
      <c r="M147" s="85"/>
      <c r="N147" s="151"/>
      <c r="O147" s="85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85"/>
      <c r="S147" s="85"/>
      <c r="T147" s="85"/>
      <c r="U147" s="85"/>
      <c r="V147" s="85"/>
      <c r="W147" s="85"/>
      <c r="X147" s="85"/>
      <c r="Y147" s="85"/>
      <c r="Z147" s="157"/>
      <c r="AA147" s="4"/>
      <c r="AB147" s="4"/>
      <c r="AC147" s="4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49"/>
      <c r="L148" s="85"/>
      <c r="M148" s="85"/>
      <c r="N148" s="151"/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57"/>
      <c r="AA148" s="4"/>
      <c r="AB148" s="4"/>
      <c r="AC148" s="4"/>
    </row>
    <row r="149" customFormat="false" ht="15" hidden="false" customHeight="true" outlineLevel="0" collapsed="false">
      <c r="A149" s="85"/>
      <c r="B149" s="85"/>
      <c r="C149" s="85"/>
      <c r="D149" s="85"/>
      <c r="E149" s="85"/>
      <c r="F149" s="85"/>
      <c r="G149" s="85"/>
      <c r="H149" s="85"/>
      <c r="I149" s="138" t="str">
        <f aca="false">IFERROR(VLOOKUP(TEXT(H149,"0"),IPRESS!$A$3:$B$212,2,0),"")</f>
        <v/>
      </c>
      <c r="J149" s="85"/>
      <c r="K149" s="149"/>
      <c r="L149" s="85"/>
      <c r="M149" s="85"/>
      <c r="N149" s="151"/>
      <c r="O149" s="85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85"/>
      <c r="S149" s="85"/>
      <c r="T149" s="85"/>
      <c r="U149" s="85"/>
      <c r="V149" s="85"/>
      <c r="W149" s="85"/>
      <c r="X149" s="85"/>
      <c r="Y149" s="85"/>
      <c r="Z149" s="157"/>
      <c r="AA149" s="4"/>
      <c r="AB149" s="4"/>
      <c r="AC149" s="4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49"/>
      <c r="L150" s="85"/>
      <c r="M150" s="85"/>
      <c r="N150" s="151"/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57"/>
      <c r="AA150" s="4"/>
      <c r="AB150" s="4"/>
      <c r="AC150" s="4"/>
    </row>
    <row r="151" customFormat="false" ht="15" hidden="false" customHeight="true" outlineLevel="0" collapsed="false">
      <c r="A151" s="85"/>
      <c r="B151" s="85"/>
      <c r="C151" s="85"/>
      <c r="D151" s="85"/>
      <c r="E151" s="85"/>
      <c r="F151" s="85"/>
      <c r="G151" s="85"/>
      <c r="H151" s="85"/>
      <c r="I151" s="138" t="str">
        <f aca="false">IFERROR(VLOOKUP(TEXT(H151,"0"),IPRESS!$A$3:$B$212,2,0),"")</f>
        <v/>
      </c>
      <c r="J151" s="85"/>
      <c r="K151" s="149"/>
      <c r="L151" s="85"/>
      <c r="M151" s="85"/>
      <c r="N151" s="151"/>
      <c r="O151" s="85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85"/>
      <c r="S151" s="85"/>
      <c r="T151" s="85"/>
      <c r="U151" s="85"/>
      <c r="V151" s="85"/>
      <c r="W151" s="85"/>
      <c r="X151" s="85"/>
      <c r="Y151" s="85"/>
      <c r="Z151" s="157"/>
      <c r="AA151" s="4"/>
      <c r="AB151" s="4"/>
      <c r="AC151" s="4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49"/>
      <c r="L152" s="85"/>
      <c r="M152" s="85"/>
      <c r="N152" s="151"/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57"/>
      <c r="AA152" s="4"/>
      <c r="AB152" s="4"/>
      <c r="AC152" s="4"/>
    </row>
    <row r="153" customFormat="false" ht="15" hidden="false" customHeight="true" outlineLevel="0" collapsed="false">
      <c r="A153" s="85"/>
      <c r="B153" s="85"/>
      <c r="C153" s="85"/>
      <c r="D153" s="85"/>
      <c r="E153" s="85"/>
      <c r="F153" s="85"/>
      <c r="G153" s="85"/>
      <c r="H153" s="85"/>
      <c r="I153" s="138" t="str">
        <f aca="false">IFERROR(VLOOKUP(TEXT(H153,"0"),IPRESS!$A$3:$B$212,2,0),"")</f>
        <v/>
      </c>
      <c r="J153" s="85"/>
      <c r="K153" s="149"/>
      <c r="L153" s="85"/>
      <c r="M153" s="85"/>
      <c r="N153" s="151"/>
      <c r="O153" s="85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85"/>
      <c r="S153" s="85"/>
      <c r="T153" s="85"/>
      <c r="U153" s="85"/>
      <c r="V153" s="85"/>
      <c r="W153" s="85"/>
      <c r="X153" s="85"/>
      <c r="Y153" s="85"/>
      <c r="Z153" s="157"/>
      <c r="AA153" s="4"/>
      <c r="AB153" s="4"/>
      <c r="AC153" s="4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49"/>
      <c r="L154" s="85"/>
      <c r="M154" s="85"/>
      <c r="N154" s="151"/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57"/>
      <c r="AA154" s="4"/>
      <c r="AB154" s="4"/>
      <c r="AC154" s="4"/>
    </row>
    <row r="155" customFormat="false" ht="15" hidden="false" customHeight="true" outlineLevel="0" collapsed="false">
      <c r="A155" s="85"/>
      <c r="B155" s="85"/>
      <c r="C155" s="85"/>
      <c r="D155" s="85"/>
      <c r="E155" s="85"/>
      <c r="F155" s="85"/>
      <c r="G155" s="85"/>
      <c r="H155" s="85"/>
      <c r="I155" s="138" t="str">
        <f aca="false">IFERROR(VLOOKUP(TEXT(H155,"0"),IPRESS!$A$3:$B$212,2,0),"")</f>
        <v/>
      </c>
      <c r="J155" s="85"/>
      <c r="K155" s="149"/>
      <c r="L155" s="85"/>
      <c r="M155" s="85"/>
      <c r="N155" s="151"/>
      <c r="O155" s="85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85"/>
      <c r="S155" s="85"/>
      <c r="T155" s="85"/>
      <c r="U155" s="85"/>
      <c r="V155" s="85"/>
      <c r="W155" s="85"/>
      <c r="X155" s="85"/>
      <c r="Y155" s="85"/>
      <c r="Z155" s="157"/>
      <c r="AA155" s="4"/>
      <c r="AB155" s="4"/>
      <c r="AC155" s="4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49"/>
      <c r="L156" s="85"/>
      <c r="M156" s="85"/>
      <c r="N156" s="151"/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57"/>
      <c r="AA156" s="4"/>
      <c r="AB156" s="4"/>
      <c r="AC156" s="4"/>
    </row>
    <row r="157" customFormat="false" ht="15" hidden="false" customHeight="true" outlineLevel="0" collapsed="false">
      <c r="A157" s="85"/>
      <c r="B157" s="85"/>
      <c r="C157" s="85"/>
      <c r="D157" s="85"/>
      <c r="E157" s="85"/>
      <c r="F157" s="85"/>
      <c r="G157" s="85"/>
      <c r="H157" s="85"/>
      <c r="I157" s="138" t="str">
        <f aca="false">IFERROR(VLOOKUP(TEXT(H157,"0"),IPRESS!$A$3:$B$212,2,0),"")</f>
        <v/>
      </c>
      <c r="J157" s="85"/>
      <c r="K157" s="149"/>
      <c r="L157" s="85"/>
      <c r="M157" s="85"/>
      <c r="N157" s="151"/>
      <c r="O157" s="85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85"/>
      <c r="S157" s="85"/>
      <c r="T157" s="85"/>
      <c r="U157" s="85"/>
      <c r="V157" s="85"/>
      <c r="W157" s="85"/>
      <c r="X157" s="85"/>
      <c r="Y157" s="85"/>
      <c r="Z157" s="157"/>
      <c r="AA157" s="4"/>
      <c r="AB157" s="4"/>
      <c r="AC157" s="4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49"/>
      <c r="L158" s="85"/>
      <c r="M158" s="85"/>
      <c r="N158" s="151"/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57"/>
      <c r="AA158" s="4"/>
      <c r="AB158" s="4"/>
      <c r="AC158" s="4"/>
    </row>
    <row r="159" customFormat="false" ht="15" hidden="false" customHeight="true" outlineLevel="0" collapsed="false">
      <c r="A159" s="85"/>
      <c r="B159" s="85"/>
      <c r="C159" s="85"/>
      <c r="D159" s="85"/>
      <c r="E159" s="85"/>
      <c r="F159" s="85"/>
      <c r="G159" s="85"/>
      <c r="H159" s="85"/>
      <c r="I159" s="138" t="str">
        <f aca="false">IFERROR(VLOOKUP(TEXT(H159,"0"),IPRESS!$A$3:$B$212,2,0),"")</f>
        <v/>
      </c>
      <c r="J159" s="85"/>
      <c r="K159" s="149"/>
      <c r="L159" s="85"/>
      <c r="M159" s="85"/>
      <c r="N159" s="151"/>
      <c r="O159" s="85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85"/>
      <c r="S159" s="85"/>
      <c r="T159" s="85"/>
      <c r="U159" s="85"/>
      <c r="V159" s="85"/>
      <c r="W159" s="85"/>
      <c r="X159" s="85"/>
      <c r="Y159" s="85"/>
      <c r="Z159" s="157"/>
      <c r="AA159" s="4"/>
      <c r="AB159" s="4"/>
      <c r="AC159" s="4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49"/>
      <c r="L160" s="85"/>
      <c r="M160" s="85"/>
      <c r="N160" s="151"/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57"/>
      <c r="AA160" s="4"/>
      <c r="AB160" s="4"/>
      <c r="AC160" s="4"/>
    </row>
    <row r="161" customFormat="false" ht="15" hidden="false" customHeight="true" outlineLevel="0" collapsed="false">
      <c r="A161" s="85"/>
      <c r="B161" s="85"/>
      <c r="C161" s="85"/>
      <c r="D161" s="85"/>
      <c r="E161" s="85"/>
      <c r="F161" s="85"/>
      <c r="G161" s="85"/>
      <c r="H161" s="85"/>
      <c r="I161" s="138" t="str">
        <f aca="false">IFERROR(VLOOKUP(TEXT(H161,"0"),IPRESS!$A$3:$B$212,2,0),"")</f>
        <v/>
      </c>
      <c r="J161" s="85"/>
      <c r="K161" s="149"/>
      <c r="L161" s="85"/>
      <c r="M161" s="85"/>
      <c r="N161" s="151"/>
      <c r="O161" s="85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85"/>
      <c r="S161" s="85"/>
      <c r="T161" s="85"/>
      <c r="U161" s="85"/>
      <c r="V161" s="85"/>
      <c r="W161" s="85"/>
      <c r="X161" s="85"/>
      <c r="Y161" s="85"/>
      <c r="Z161" s="157"/>
      <c r="AA161" s="4"/>
      <c r="AB161" s="4"/>
      <c r="AC161" s="4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49"/>
      <c r="L162" s="85"/>
      <c r="M162" s="85"/>
      <c r="N162" s="151"/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57"/>
      <c r="AA162" s="4"/>
      <c r="AB162" s="4"/>
      <c r="AC162" s="4"/>
    </row>
    <row r="163" customFormat="false" ht="15" hidden="false" customHeight="true" outlineLevel="0" collapsed="false">
      <c r="A163" s="85"/>
      <c r="B163" s="85"/>
      <c r="C163" s="85"/>
      <c r="D163" s="85"/>
      <c r="E163" s="85"/>
      <c r="F163" s="85"/>
      <c r="G163" s="85"/>
      <c r="H163" s="85"/>
      <c r="I163" s="138" t="str">
        <f aca="false">IFERROR(VLOOKUP(TEXT(H163,"0"),IPRESS!$A$3:$B$212,2,0),"")</f>
        <v/>
      </c>
      <c r="J163" s="85"/>
      <c r="K163" s="149"/>
      <c r="L163" s="85"/>
      <c r="M163" s="85"/>
      <c r="N163" s="151"/>
      <c r="O163" s="85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85"/>
      <c r="S163" s="85"/>
      <c r="T163" s="85"/>
      <c r="U163" s="85"/>
      <c r="V163" s="85"/>
      <c r="W163" s="85"/>
      <c r="X163" s="85"/>
      <c r="Y163" s="85"/>
      <c r="Z163" s="157"/>
      <c r="AA163" s="4"/>
      <c r="AB163" s="4"/>
      <c r="AC163" s="4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49"/>
      <c r="L164" s="85"/>
      <c r="M164" s="85"/>
      <c r="N164" s="151"/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57"/>
      <c r="AA164" s="4"/>
      <c r="AB164" s="4"/>
      <c r="AC164" s="4"/>
    </row>
    <row r="165" customFormat="false" ht="15" hidden="false" customHeight="true" outlineLevel="0" collapsed="false">
      <c r="A165" s="85"/>
      <c r="B165" s="85"/>
      <c r="C165" s="85"/>
      <c r="D165" s="85"/>
      <c r="E165" s="85"/>
      <c r="F165" s="85"/>
      <c r="G165" s="85"/>
      <c r="H165" s="85"/>
      <c r="I165" s="138" t="str">
        <f aca="false">IFERROR(VLOOKUP(TEXT(H165,"0"),IPRESS!$A$3:$B$212,2,0),"")</f>
        <v/>
      </c>
      <c r="J165" s="85"/>
      <c r="K165" s="149"/>
      <c r="L165" s="85"/>
      <c r="M165" s="85"/>
      <c r="N165" s="151"/>
      <c r="O165" s="85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85"/>
      <c r="S165" s="85"/>
      <c r="T165" s="85"/>
      <c r="U165" s="85"/>
      <c r="V165" s="85"/>
      <c r="W165" s="85"/>
      <c r="X165" s="85"/>
      <c r="Y165" s="85"/>
      <c r="Z165" s="157"/>
      <c r="AA165" s="4"/>
      <c r="AB165" s="4"/>
      <c r="AC165" s="4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49"/>
      <c r="L166" s="85"/>
      <c r="M166" s="85"/>
      <c r="N166" s="151"/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57"/>
      <c r="AA166" s="4"/>
      <c r="AB166" s="4"/>
      <c r="AC166" s="4"/>
    </row>
    <row r="167" customFormat="false" ht="15" hidden="false" customHeight="true" outlineLevel="0" collapsed="false">
      <c r="A167" s="85"/>
      <c r="B167" s="85"/>
      <c r="C167" s="85"/>
      <c r="D167" s="85"/>
      <c r="E167" s="85"/>
      <c r="F167" s="85"/>
      <c r="G167" s="85"/>
      <c r="H167" s="85"/>
      <c r="I167" s="138" t="str">
        <f aca="false">IFERROR(VLOOKUP(TEXT(H167,"0"),IPRESS!$A$3:$B$212,2,0),"")</f>
        <v/>
      </c>
      <c r="J167" s="85"/>
      <c r="K167" s="149"/>
      <c r="L167" s="85"/>
      <c r="M167" s="85"/>
      <c r="N167" s="151"/>
      <c r="O167" s="85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85"/>
      <c r="S167" s="85"/>
      <c r="T167" s="85"/>
      <c r="U167" s="85"/>
      <c r="V167" s="85"/>
      <c r="W167" s="85"/>
      <c r="X167" s="85"/>
      <c r="Y167" s="85"/>
      <c r="Z167" s="157"/>
      <c r="AA167" s="4"/>
      <c r="AB167" s="4"/>
      <c r="AC167" s="4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49"/>
      <c r="L168" s="85"/>
      <c r="M168" s="85"/>
      <c r="N168" s="151"/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57"/>
      <c r="AA168" s="4"/>
      <c r="AB168" s="4"/>
      <c r="AC168" s="4"/>
    </row>
    <row r="169" customFormat="false" ht="15" hidden="false" customHeight="true" outlineLevel="0" collapsed="false">
      <c r="A169" s="85"/>
      <c r="B169" s="85"/>
      <c r="C169" s="85"/>
      <c r="D169" s="85"/>
      <c r="E169" s="85"/>
      <c r="F169" s="85"/>
      <c r="G169" s="85"/>
      <c r="H169" s="85"/>
      <c r="I169" s="138" t="str">
        <f aca="false">IFERROR(VLOOKUP(TEXT(H169,"0"),IPRESS!$A$3:$B$212,2,0),"")</f>
        <v/>
      </c>
      <c r="J169" s="85"/>
      <c r="K169" s="149"/>
      <c r="L169" s="85"/>
      <c r="M169" s="85"/>
      <c r="N169" s="151"/>
      <c r="O169" s="85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85"/>
      <c r="S169" s="85"/>
      <c r="T169" s="85"/>
      <c r="U169" s="85"/>
      <c r="V169" s="85"/>
      <c r="W169" s="85"/>
      <c r="X169" s="85"/>
      <c r="Y169" s="85"/>
      <c r="Z169" s="157"/>
      <c r="AA169" s="4"/>
      <c r="AB169" s="4"/>
      <c r="AC169" s="4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49"/>
      <c r="L170" s="85"/>
      <c r="M170" s="85"/>
      <c r="N170" s="151"/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57"/>
      <c r="AA170" s="4"/>
      <c r="AB170" s="4"/>
      <c r="AC170" s="4"/>
    </row>
    <row r="171" customFormat="false" ht="15" hidden="false" customHeight="true" outlineLevel="0" collapsed="false">
      <c r="A171" s="85"/>
      <c r="B171" s="85"/>
      <c r="C171" s="85"/>
      <c r="D171" s="85"/>
      <c r="E171" s="85"/>
      <c r="F171" s="85"/>
      <c r="G171" s="85"/>
      <c r="H171" s="85"/>
      <c r="I171" s="138" t="str">
        <f aca="false">IFERROR(VLOOKUP(TEXT(H171,"0"),IPRESS!$A$3:$B$212,2,0),"")</f>
        <v/>
      </c>
      <c r="J171" s="85"/>
      <c r="K171" s="149"/>
      <c r="L171" s="85"/>
      <c r="M171" s="85"/>
      <c r="N171" s="151"/>
      <c r="O171" s="85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85"/>
      <c r="S171" s="85"/>
      <c r="T171" s="85"/>
      <c r="U171" s="85"/>
      <c r="V171" s="85"/>
      <c r="W171" s="85"/>
      <c r="X171" s="85"/>
      <c r="Y171" s="85"/>
      <c r="Z171" s="157"/>
      <c r="AA171" s="4"/>
      <c r="AB171" s="4"/>
      <c r="AC171" s="4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49"/>
      <c r="L172" s="85"/>
      <c r="M172" s="85"/>
      <c r="N172" s="151"/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57"/>
      <c r="AA172" s="4"/>
      <c r="AB172" s="4"/>
      <c r="AC172" s="4"/>
    </row>
    <row r="173" customFormat="false" ht="15" hidden="false" customHeight="true" outlineLevel="0" collapsed="false">
      <c r="A173" s="85"/>
      <c r="B173" s="85"/>
      <c r="C173" s="85"/>
      <c r="D173" s="85"/>
      <c r="E173" s="85"/>
      <c r="F173" s="85"/>
      <c r="G173" s="85"/>
      <c r="H173" s="85"/>
      <c r="I173" s="138" t="str">
        <f aca="false">IFERROR(VLOOKUP(TEXT(H173,"0"),IPRESS!$A$3:$B$212,2,0),"")</f>
        <v/>
      </c>
      <c r="J173" s="85"/>
      <c r="K173" s="149"/>
      <c r="L173" s="85"/>
      <c r="M173" s="85"/>
      <c r="N173" s="151"/>
      <c r="O173" s="85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85"/>
      <c r="S173" s="85"/>
      <c r="T173" s="85"/>
      <c r="U173" s="85"/>
      <c r="V173" s="85"/>
      <c r="W173" s="85"/>
      <c r="X173" s="85"/>
      <c r="Y173" s="85"/>
      <c r="Z173" s="157"/>
      <c r="AA173" s="4"/>
      <c r="AB173" s="4"/>
      <c r="AC173" s="4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49"/>
      <c r="L174" s="85"/>
      <c r="M174" s="85"/>
      <c r="N174" s="151"/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57"/>
      <c r="AA174" s="4"/>
      <c r="AB174" s="4"/>
      <c r="AC174" s="4"/>
    </row>
    <row r="175" customFormat="false" ht="15" hidden="false" customHeight="true" outlineLevel="0" collapsed="false">
      <c r="A175" s="85"/>
      <c r="B175" s="85"/>
      <c r="C175" s="85"/>
      <c r="D175" s="85"/>
      <c r="E175" s="85"/>
      <c r="F175" s="85"/>
      <c r="G175" s="85"/>
      <c r="H175" s="85"/>
      <c r="I175" s="138" t="str">
        <f aca="false">IFERROR(VLOOKUP(TEXT(H175,"0"),IPRESS!$A$3:$B$212,2,0),"")</f>
        <v/>
      </c>
      <c r="J175" s="85"/>
      <c r="K175" s="149"/>
      <c r="L175" s="85"/>
      <c r="M175" s="85"/>
      <c r="N175" s="151"/>
      <c r="O175" s="85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85"/>
      <c r="S175" s="85"/>
      <c r="T175" s="85"/>
      <c r="U175" s="85"/>
      <c r="V175" s="85"/>
      <c r="W175" s="85"/>
      <c r="X175" s="85"/>
      <c r="Y175" s="85"/>
      <c r="Z175" s="157"/>
      <c r="AA175" s="4"/>
      <c r="AB175" s="4"/>
      <c r="AC175" s="4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49"/>
      <c r="L176" s="85"/>
      <c r="M176" s="85"/>
      <c r="N176" s="151"/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57"/>
      <c r="AA176" s="4"/>
      <c r="AB176" s="4"/>
      <c r="AC176" s="4"/>
    </row>
    <row r="177" customFormat="false" ht="15" hidden="false" customHeight="true" outlineLevel="0" collapsed="false">
      <c r="A177" s="85"/>
      <c r="B177" s="85"/>
      <c r="C177" s="85"/>
      <c r="D177" s="85"/>
      <c r="E177" s="85"/>
      <c r="F177" s="85"/>
      <c r="G177" s="85"/>
      <c r="H177" s="85"/>
      <c r="I177" s="138" t="str">
        <f aca="false">IFERROR(VLOOKUP(TEXT(H177,"0"),IPRESS!$A$3:$B$212,2,0),"")</f>
        <v/>
      </c>
      <c r="J177" s="85"/>
      <c r="K177" s="149"/>
      <c r="L177" s="85"/>
      <c r="M177" s="85"/>
      <c r="N177" s="151"/>
      <c r="O177" s="85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85"/>
      <c r="S177" s="85"/>
      <c r="T177" s="85"/>
      <c r="U177" s="85"/>
      <c r="V177" s="85"/>
      <c r="W177" s="85"/>
      <c r="X177" s="85"/>
      <c r="Y177" s="85"/>
      <c r="Z177" s="157"/>
      <c r="AA177" s="4"/>
      <c r="AB177" s="4"/>
      <c r="AC177" s="4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49"/>
      <c r="L178" s="85"/>
      <c r="M178" s="85"/>
      <c r="N178" s="151"/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57"/>
      <c r="AA178" s="4"/>
      <c r="AB178" s="4"/>
      <c r="AC178" s="4"/>
    </row>
    <row r="179" customFormat="false" ht="15" hidden="false" customHeight="true" outlineLevel="0" collapsed="false">
      <c r="A179" s="85"/>
      <c r="B179" s="85"/>
      <c r="C179" s="85"/>
      <c r="D179" s="85"/>
      <c r="E179" s="85"/>
      <c r="F179" s="85"/>
      <c r="G179" s="85"/>
      <c r="H179" s="85"/>
      <c r="I179" s="138" t="str">
        <f aca="false">IFERROR(VLOOKUP(TEXT(H179,"0"),IPRESS!$A$3:$B$212,2,0),"")</f>
        <v/>
      </c>
      <c r="J179" s="85"/>
      <c r="K179" s="149"/>
      <c r="L179" s="85"/>
      <c r="M179" s="85"/>
      <c r="N179" s="151"/>
      <c r="O179" s="85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85"/>
      <c r="S179" s="85"/>
      <c r="T179" s="85"/>
      <c r="U179" s="85"/>
      <c r="V179" s="85"/>
      <c r="W179" s="85"/>
      <c r="X179" s="85"/>
      <c r="Y179" s="85"/>
      <c r="Z179" s="157"/>
      <c r="AA179" s="4"/>
      <c r="AB179" s="4"/>
      <c r="AC179" s="4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49"/>
      <c r="L180" s="85"/>
      <c r="M180" s="85"/>
      <c r="N180" s="151"/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57"/>
      <c r="AA180" s="4"/>
      <c r="AB180" s="4"/>
      <c r="AC180" s="4"/>
    </row>
    <row r="181" customFormat="false" ht="15" hidden="false" customHeight="true" outlineLevel="0" collapsed="false">
      <c r="A181" s="85"/>
      <c r="B181" s="85"/>
      <c r="C181" s="85"/>
      <c r="D181" s="85"/>
      <c r="E181" s="85"/>
      <c r="F181" s="85"/>
      <c r="G181" s="85"/>
      <c r="H181" s="85"/>
      <c r="I181" s="138" t="str">
        <f aca="false">IFERROR(VLOOKUP(TEXT(H181,"0"),IPRESS!$A$3:$B$212,2,0),"")</f>
        <v/>
      </c>
      <c r="J181" s="85"/>
      <c r="K181" s="149"/>
      <c r="L181" s="85"/>
      <c r="M181" s="85"/>
      <c r="N181" s="151"/>
      <c r="O181" s="85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85"/>
      <c r="S181" s="85"/>
      <c r="T181" s="85"/>
      <c r="U181" s="85"/>
      <c r="V181" s="85"/>
      <c r="W181" s="85"/>
      <c r="X181" s="85"/>
      <c r="Y181" s="85"/>
      <c r="Z181" s="157"/>
      <c r="AA181" s="4"/>
      <c r="AB181" s="4"/>
      <c r="AC181" s="4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49"/>
      <c r="L182" s="85"/>
      <c r="M182" s="85"/>
      <c r="N182" s="151"/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57"/>
      <c r="AA182" s="4"/>
      <c r="AB182" s="4"/>
      <c r="AC182" s="4"/>
    </row>
    <row r="183" customFormat="false" ht="15" hidden="false" customHeight="true" outlineLevel="0" collapsed="false">
      <c r="A183" s="85"/>
      <c r="B183" s="85"/>
      <c r="C183" s="85"/>
      <c r="D183" s="85"/>
      <c r="E183" s="85"/>
      <c r="F183" s="85"/>
      <c r="G183" s="85"/>
      <c r="H183" s="85"/>
      <c r="I183" s="138" t="str">
        <f aca="false">IFERROR(VLOOKUP(TEXT(H183,"0"),IPRESS!$A$3:$B$212,2,0),"")</f>
        <v/>
      </c>
      <c r="J183" s="85"/>
      <c r="K183" s="149"/>
      <c r="L183" s="85"/>
      <c r="M183" s="85"/>
      <c r="N183" s="151"/>
      <c r="O183" s="85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85"/>
      <c r="S183" s="85"/>
      <c r="T183" s="85"/>
      <c r="U183" s="85"/>
      <c r="V183" s="85"/>
      <c r="W183" s="85"/>
      <c r="X183" s="85"/>
      <c r="Y183" s="85"/>
      <c r="Z183" s="157"/>
      <c r="AA183" s="4"/>
      <c r="AB183" s="4"/>
      <c r="AC183" s="4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49"/>
      <c r="L184" s="85"/>
      <c r="M184" s="85"/>
      <c r="N184" s="151"/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57"/>
      <c r="AA184" s="4"/>
      <c r="AB184" s="4"/>
      <c r="AC184" s="4"/>
    </row>
    <row r="185" customFormat="false" ht="15" hidden="false" customHeight="true" outlineLevel="0" collapsed="false">
      <c r="A185" s="85"/>
      <c r="B185" s="85"/>
      <c r="C185" s="85"/>
      <c r="D185" s="85"/>
      <c r="E185" s="85"/>
      <c r="F185" s="85"/>
      <c r="G185" s="85"/>
      <c r="H185" s="85"/>
      <c r="I185" s="138" t="str">
        <f aca="false">IFERROR(VLOOKUP(TEXT(H185,"0"),IPRESS!$A$3:$B$212,2,0),"")</f>
        <v/>
      </c>
      <c r="J185" s="85"/>
      <c r="K185" s="149"/>
      <c r="L185" s="85"/>
      <c r="M185" s="85"/>
      <c r="N185" s="151"/>
      <c r="O185" s="85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85"/>
      <c r="S185" s="85"/>
      <c r="T185" s="85"/>
      <c r="U185" s="85"/>
      <c r="V185" s="85"/>
      <c r="W185" s="85"/>
      <c r="X185" s="85"/>
      <c r="Y185" s="85"/>
      <c r="Z185" s="157"/>
      <c r="AA185" s="4"/>
      <c r="AB185" s="4"/>
      <c r="AC185" s="4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49"/>
      <c r="L186" s="85"/>
      <c r="M186" s="85"/>
      <c r="N186" s="151"/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57"/>
      <c r="AA186" s="4"/>
      <c r="AB186" s="4"/>
      <c r="AC186" s="4"/>
    </row>
    <row r="187" customFormat="false" ht="15" hidden="false" customHeight="true" outlineLevel="0" collapsed="false">
      <c r="A187" s="85"/>
      <c r="B187" s="85"/>
      <c r="C187" s="85"/>
      <c r="D187" s="85"/>
      <c r="E187" s="85"/>
      <c r="F187" s="85"/>
      <c r="G187" s="85"/>
      <c r="H187" s="85"/>
      <c r="I187" s="138" t="str">
        <f aca="false">IFERROR(VLOOKUP(TEXT(H187,"0"),IPRESS!$A$3:$B$212,2,0),"")</f>
        <v/>
      </c>
      <c r="J187" s="85"/>
      <c r="K187" s="149"/>
      <c r="L187" s="85"/>
      <c r="M187" s="85"/>
      <c r="N187" s="151"/>
      <c r="O187" s="85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85"/>
      <c r="S187" s="85"/>
      <c r="T187" s="85"/>
      <c r="U187" s="85"/>
      <c r="V187" s="85"/>
      <c r="W187" s="85"/>
      <c r="X187" s="85"/>
      <c r="Y187" s="85"/>
      <c r="Z187" s="157"/>
      <c r="AA187" s="4"/>
      <c r="AB187" s="4"/>
      <c r="AC187" s="4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49"/>
      <c r="L188" s="85"/>
      <c r="M188" s="85"/>
      <c r="N188" s="151"/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57"/>
      <c r="AA188" s="4"/>
      <c r="AB188" s="4"/>
      <c r="AC188" s="4"/>
    </row>
    <row r="189" customFormat="false" ht="15" hidden="false" customHeight="true" outlineLevel="0" collapsed="false">
      <c r="A189" s="85"/>
      <c r="B189" s="85"/>
      <c r="C189" s="85"/>
      <c r="D189" s="85"/>
      <c r="E189" s="85"/>
      <c r="F189" s="85"/>
      <c r="G189" s="85"/>
      <c r="H189" s="85"/>
      <c r="I189" s="138" t="str">
        <f aca="false">IFERROR(VLOOKUP(TEXT(H189,"0"),IPRESS!$A$3:$B$212,2,0),"")</f>
        <v/>
      </c>
      <c r="J189" s="85"/>
      <c r="K189" s="149"/>
      <c r="L189" s="85"/>
      <c r="M189" s="85"/>
      <c r="N189" s="151"/>
      <c r="O189" s="85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85"/>
      <c r="S189" s="85"/>
      <c r="T189" s="85"/>
      <c r="U189" s="85"/>
      <c r="V189" s="85"/>
      <c r="W189" s="85"/>
      <c r="X189" s="85"/>
      <c r="Y189" s="85"/>
      <c r="Z189" s="157"/>
      <c r="AA189" s="4"/>
      <c r="AB189" s="4"/>
      <c r="AC189" s="4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49"/>
      <c r="L190" s="85"/>
      <c r="M190" s="85"/>
      <c r="N190" s="151"/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57"/>
      <c r="AA190" s="4"/>
      <c r="AB190" s="4"/>
      <c r="AC190" s="4"/>
    </row>
    <row r="191" customFormat="false" ht="15" hidden="false" customHeight="true" outlineLevel="0" collapsed="false">
      <c r="A191" s="85"/>
      <c r="B191" s="85"/>
      <c r="C191" s="85"/>
      <c r="D191" s="85"/>
      <c r="E191" s="85"/>
      <c r="F191" s="85"/>
      <c r="G191" s="85"/>
      <c r="H191" s="85"/>
      <c r="I191" s="138" t="str">
        <f aca="false">IFERROR(VLOOKUP(TEXT(H191,"0"),IPRESS!$A$3:$B$212,2,0),"")</f>
        <v/>
      </c>
      <c r="J191" s="85"/>
      <c r="K191" s="149"/>
      <c r="L191" s="85"/>
      <c r="M191" s="85"/>
      <c r="N191" s="151"/>
      <c r="O191" s="85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85"/>
      <c r="S191" s="85"/>
      <c r="T191" s="85"/>
      <c r="U191" s="85"/>
      <c r="V191" s="85"/>
      <c r="W191" s="85"/>
      <c r="X191" s="85"/>
      <c r="Y191" s="85"/>
      <c r="Z191" s="157"/>
      <c r="AA191" s="4"/>
      <c r="AB191" s="4"/>
      <c r="AC191" s="4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49"/>
      <c r="L192" s="85"/>
      <c r="M192" s="85"/>
      <c r="N192" s="151"/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57"/>
      <c r="AA192" s="4"/>
      <c r="AB192" s="4"/>
      <c r="AC192" s="4"/>
    </row>
    <row r="193" customFormat="false" ht="15" hidden="false" customHeight="true" outlineLevel="0" collapsed="false">
      <c r="A193" s="85"/>
      <c r="B193" s="85"/>
      <c r="C193" s="85"/>
      <c r="D193" s="85"/>
      <c r="E193" s="85"/>
      <c r="F193" s="85"/>
      <c r="G193" s="85"/>
      <c r="H193" s="85"/>
      <c r="I193" s="138" t="str">
        <f aca="false">IFERROR(VLOOKUP(TEXT(H193,"0"),IPRESS!$A$3:$B$212,2,0),"")</f>
        <v/>
      </c>
      <c r="J193" s="85"/>
      <c r="K193" s="149"/>
      <c r="L193" s="85"/>
      <c r="M193" s="85"/>
      <c r="N193" s="151"/>
      <c r="O193" s="85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85"/>
      <c r="S193" s="85"/>
      <c r="T193" s="85"/>
      <c r="U193" s="85"/>
      <c r="V193" s="85"/>
      <c r="W193" s="85"/>
      <c r="X193" s="85"/>
      <c r="Y193" s="85"/>
      <c r="Z193" s="157"/>
      <c r="AA193" s="4"/>
      <c r="AB193" s="4"/>
      <c r="AC193" s="4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49"/>
      <c r="L194" s="85"/>
      <c r="M194" s="85"/>
      <c r="N194" s="151"/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57"/>
      <c r="AA194" s="4"/>
      <c r="AB194" s="4"/>
      <c r="AC194" s="4"/>
    </row>
    <row r="195" customFormat="false" ht="15" hidden="false" customHeight="true" outlineLevel="0" collapsed="false">
      <c r="A195" s="85"/>
      <c r="B195" s="85"/>
      <c r="C195" s="85"/>
      <c r="D195" s="85"/>
      <c r="E195" s="85"/>
      <c r="F195" s="85"/>
      <c r="G195" s="85"/>
      <c r="H195" s="85"/>
      <c r="I195" s="138" t="str">
        <f aca="false">IFERROR(VLOOKUP(TEXT(H195,"0"),IPRESS!$A$3:$B$212,2,0),"")</f>
        <v/>
      </c>
      <c r="J195" s="85"/>
      <c r="K195" s="149"/>
      <c r="L195" s="85"/>
      <c r="M195" s="85"/>
      <c r="N195" s="151"/>
      <c r="O195" s="85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85"/>
      <c r="S195" s="85"/>
      <c r="T195" s="85"/>
      <c r="U195" s="85"/>
      <c r="V195" s="85"/>
      <c r="W195" s="85"/>
      <c r="X195" s="85"/>
      <c r="Y195" s="85"/>
      <c r="Z195" s="157"/>
      <c r="AA195" s="4"/>
      <c r="AB195" s="4"/>
      <c r="AC195" s="4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49"/>
      <c r="L196" s="85"/>
      <c r="M196" s="85"/>
      <c r="N196" s="151"/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57"/>
      <c r="AA196" s="4"/>
      <c r="AB196" s="4"/>
      <c r="AC196" s="4"/>
    </row>
    <row r="197" customFormat="false" ht="15" hidden="false" customHeight="true" outlineLevel="0" collapsed="false">
      <c r="A197" s="85"/>
      <c r="B197" s="85"/>
      <c r="C197" s="85"/>
      <c r="D197" s="85"/>
      <c r="E197" s="85"/>
      <c r="F197" s="85"/>
      <c r="G197" s="85"/>
      <c r="H197" s="85"/>
      <c r="I197" s="138" t="str">
        <f aca="false">IFERROR(VLOOKUP(TEXT(H197,"0"),IPRESS!$A$3:$B$212,2,0),"")</f>
        <v/>
      </c>
      <c r="J197" s="85"/>
      <c r="K197" s="149"/>
      <c r="L197" s="85"/>
      <c r="M197" s="85"/>
      <c r="N197" s="151"/>
      <c r="O197" s="85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85"/>
      <c r="S197" s="85"/>
      <c r="T197" s="85"/>
      <c r="U197" s="85"/>
      <c r="V197" s="85"/>
      <c r="W197" s="85"/>
      <c r="X197" s="85"/>
      <c r="Y197" s="85"/>
      <c r="Z197" s="157"/>
      <c r="AA197" s="4"/>
      <c r="AB197" s="4"/>
      <c r="AC197" s="4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49"/>
      <c r="L198" s="85"/>
      <c r="M198" s="85"/>
      <c r="N198" s="151"/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57"/>
      <c r="AA198" s="4"/>
      <c r="AB198" s="4"/>
      <c r="AC198" s="4"/>
    </row>
    <row r="199" customFormat="false" ht="15" hidden="false" customHeight="true" outlineLevel="0" collapsed="false">
      <c r="A199" s="85"/>
      <c r="B199" s="85"/>
      <c r="C199" s="85"/>
      <c r="D199" s="85"/>
      <c r="E199" s="85"/>
      <c r="F199" s="85"/>
      <c r="G199" s="85"/>
      <c r="H199" s="85"/>
      <c r="I199" s="138" t="str">
        <f aca="false">IFERROR(VLOOKUP(TEXT(H199,"0"),IPRESS!$A$3:$B$212,2,0),"")</f>
        <v/>
      </c>
      <c r="J199" s="85"/>
      <c r="K199" s="149"/>
      <c r="L199" s="85"/>
      <c r="M199" s="85"/>
      <c r="N199" s="151"/>
      <c r="O199" s="85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85"/>
      <c r="S199" s="85"/>
      <c r="T199" s="85"/>
      <c r="U199" s="85"/>
      <c r="V199" s="85"/>
      <c r="W199" s="85"/>
      <c r="X199" s="85"/>
      <c r="Y199" s="85"/>
      <c r="Z199" s="157"/>
      <c r="AA199" s="4"/>
      <c r="AB199" s="4"/>
      <c r="AC199" s="4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49"/>
      <c r="L200" s="85"/>
      <c r="M200" s="85"/>
      <c r="N200" s="151"/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57"/>
      <c r="AA200" s="4"/>
      <c r="AB200" s="4"/>
      <c r="AC200" s="4"/>
    </row>
    <row r="201" customFormat="false" ht="15" hidden="false" customHeight="true" outlineLevel="0" collapsed="false">
      <c r="A201" s="85"/>
      <c r="B201" s="85"/>
      <c r="C201" s="85"/>
      <c r="D201" s="85"/>
      <c r="E201" s="85"/>
      <c r="F201" s="85"/>
      <c r="G201" s="85"/>
      <c r="H201" s="85"/>
      <c r="I201" s="138" t="str">
        <f aca="false">IFERROR(VLOOKUP(TEXT(H201,"0"),IPRESS!$A$3:$B$212,2,0),"")</f>
        <v/>
      </c>
      <c r="J201" s="85"/>
      <c r="K201" s="149"/>
      <c r="L201" s="85"/>
      <c r="M201" s="85"/>
      <c r="N201" s="151"/>
      <c r="O201" s="85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85"/>
      <c r="S201" s="85"/>
      <c r="T201" s="85"/>
      <c r="U201" s="85"/>
      <c r="V201" s="85"/>
      <c r="W201" s="85"/>
      <c r="X201" s="85"/>
      <c r="Y201" s="85"/>
      <c r="Z201" s="157"/>
      <c r="AA201" s="4"/>
      <c r="AB201" s="4"/>
      <c r="AC201" s="4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49"/>
      <c r="L202" s="85"/>
      <c r="M202" s="85"/>
      <c r="N202" s="151"/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57"/>
      <c r="AA202" s="4"/>
      <c r="AB202" s="4"/>
      <c r="AC202" s="4"/>
    </row>
    <row r="203" customFormat="false" ht="15" hidden="false" customHeight="true" outlineLevel="0" collapsed="false">
      <c r="A203" s="85"/>
      <c r="B203" s="85"/>
      <c r="C203" s="85"/>
      <c r="D203" s="85"/>
      <c r="E203" s="85"/>
      <c r="F203" s="85"/>
      <c r="G203" s="85"/>
      <c r="H203" s="85"/>
      <c r="I203" s="138" t="str">
        <f aca="false">IFERROR(VLOOKUP(TEXT(H203,"0"),IPRESS!$A$3:$B$212,2,0),"")</f>
        <v/>
      </c>
      <c r="J203" s="85"/>
      <c r="K203" s="149"/>
      <c r="L203" s="85"/>
      <c r="M203" s="85"/>
      <c r="N203" s="151"/>
      <c r="O203" s="85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85"/>
      <c r="S203" s="85"/>
      <c r="T203" s="85"/>
      <c r="U203" s="85"/>
      <c r="V203" s="85"/>
      <c r="W203" s="85"/>
      <c r="X203" s="85"/>
      <c r="Y203" s="85"/>
      <c r="Z203" s="157"/>
      <c r="AA203" s="4"/>
      <c r="AB203" s="4"/>
      <c r="AC203" s="4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49"/>
      <c r="L204" s="85"/>
      <c r="M204" s="85"/>
      <c r="N204" s="151"/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57"/>
      <c r="AA204" s="4"/>
      <c r="AB204" s="4"/>
      <c r="AC204" s="4"/>
    </row>
    <row r="205" customFormat="false" ht="15" hidden="false" customHeight="true" outlineLevel="0" collapsed="false">
      <c r="A205" s="85"/>
      <c r="B205" s="85"/>
      <c r="C205" s="85"/>
      <c r="D205" s="85"/>
      <c r="E205" s="85"/>
      <c r="F205" s="85"/>
      <c r="G205" s="85"/>
      <c r="H205" s="85"/>
      <c r="I205" s="138" t="str">
        <f aca="false">IFERROR(VLOOKUP(TEXT(H205,"0"),IPRESS!$A$3:$B$212,2,0),"")</f>
        <v/>
      </c>
      <c r="J205" s="85"/>
      <c r="K205" s="149"/>
      <c r="L205" s="85"/>
      <c r="M205" s="85"/>
      <c r="N205" s="151"/>
      <c r="O205" s="85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85"/>
      <c r="S205" s="85"/>
      <c r="T205" s="85"/>
      <c r="U205" s="85"/>
      <c r="V205" s="85"/>
      <c r="W205" s="85"/>
      <c r="X205" s="85"/>
      <c r="Y205" s="85"/>
      <c r="Z205" s="157"/>
      <c r="AA205" s="4"/>
      <c r="AB205" s="4"/>
      <c r="AC205" s="4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49"/>
      <c r="L206" s="85"/>
      <c r="M206" s="85"/>
      <c r="N206" s="151"/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57"/>
      <c r="AA206" s="4"/>
      <c r="AB206" s="4"/>
      <c r="AC206" s="4"/>
    </row>
    <row r="207" customFormat="false" ht="15" hidden="false" customHeight="true" outlineLevel="0" collapsed="false">
      <c r="A207" s="85"/>
      <c r="B207" s="85"/>
      <c r="C207" s="85"/>
      <c r="D207" s="85"/>
      <c r="E207" s="85"/>
      <c r="F207" s="85"/>
      <c r="G207" s="85"/>
      <c r="H207" s="85"/>
      <c r="I207" s="138" t="str">
        <f aca="false">IFERROR(VLOOKUP(TEXT(H207,"0"),IPRESS!$A$3:$B$212,2,0),"")</f>
        <v/>
      </c>
      <c r="J207" s="85"/>
      <c r="K207" s="149"/>
      <c r="L207" s="85"/>
      <c r="M207" s="85"/>
      <c r="N207" s="151"/>
      <c r="O207" s="85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85"/>
      <c r="S207" s="85"/>
      <c r="T207" s="85"/>
      <c r="U207" s="85"/>
      <c r="V207" s="85"/>
      <c r="W207" s="85"/>
      <c r="X207" s="85"/>
      <c r="Y207" s="85"/>
      <c r="Z207" s="157"/>
      <c r="AA207" s="4"/>
      <c r="AB207" s="4"/>
      <c r="AC207" s="4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49"/>
      <c r="L208" s="85"/>
      <c r="M208" s="85"/>
      <c r="N208" s="151"/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57"/>
      <c r="AA208" s="4"/>
      <c r="AB208" s="4"/>
      <c r="AC208" s="4"/>
    </row>
    <row r="209" customFormat="false" ht="15" hidden="false" customHeight="true" outlineLevel="0" collapsed="false">
      <c r="A209" s="85"/>
      <c r="B209" s="85"/>
      <c r="C209" s="85"/>
      <c r="D209" s="85"/>
      <c r="E209" s="85"/>
      <c r="F209" s="85"/>
      <c r="G209" s="85"/>
      <c r="H209" s="85"/>
      <c r="I209" s="138" t="str">
        <f aca="false">IFERROR(VLOOKUP(TEXT(H209,"0"),IPRESS!$A$3:$B$212,2,0),"")</f>
        <v/>
      </c>
      <c r="J209" s="85"/>
      <c r="K209" s="149"/>
      <c r="L209" s="85"/>
      <c r="M209" s="85"/>
      <c r="N209" s="151"/>
      <c r="O209" s="85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85"/>
      <c r="S209" s="85"/>
      <c r="T209" s="85"/>
      <c r="U209" s="85"/>
      <c r="V209" s="85"/>
      <c r="W209" s="85"/>
      <c r="X209" s="85"/>
      <c r="Y209" s="85"/>
      <c r="Z209" s="157"/>
      <c r="AA209" s="4"/>
      <c r="AB209" s="4"/>
      <c r="AC209" s="4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49"/>
      <c r="L210" s="85"/>
      <c r="M210" s="85"/>
      <c r="N210" s="151"/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57"/>
      <c r="AA210" s="4"/>
      <c r="AB210" s="4"/>
      <c r="AC210" s="4"/>
    </row>
    <row r="211" customFormat="false" ht="15" hidden="false" customHeight="true" outlineLevel="0" collapsed="false">
      <c r="A211" s="85"/>
      <c r="B211" s="85"/>
      <c r="C211" s="85"/>
      <c r="D211" s="85"/>
      <c r="E211" s="85"/>
      <c r="F211" s="85"/>
      <c r="G211" s="85"/>
      <c r="H211" s="85"/>
      <c r="I211" s="138" t="str">
        <f aca="false">IFERROR(VLOOKUP(TEXT(H211,"0"),IPRESS!$A$3:$B$212,2,0),"")</f>
        <v/>
      </c>
      <c r="J211" s="85"/>
      <c r="K211" s="149"/>
      <c r="L211" s="85"/>
      <c r="M211" s="85"/>
      <c r="N211" s="151"/>
      <c r="O211" s="85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85"/>
      <c r="S211" s="85"/>
      <c r="T211" s="85"/>
      <c r="U211" s="85"/>
      <c r="V211" s="85"/>
      <c r="W211" s="85"/>
      <c r="X211" s="85"/>
      <c r="Y211" s="85"/>
      <c r="Z211" s="157"/>
      <c r="AA211" s="4"/>
      <c r="AB211" s="4"/>
      <c r="AC211" s="4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49"/>
      <c r="L212" s="85"/>
      <c r="M212" s="85"/>
      <c r="N212" s="151"/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57"/>
      <c r="AA212" s="4"/>
      <c r="AB212" s="4"/>
      <c r="AC212" s="4"/>
    </row>
    <row r="213" customFormat="false" ht="15" hidden="false" customHeight="true" outlineLevel="0" collapsed="false">
      <c r="A213" s="85"/>
      <c r="B213" s="85"/>
      <c r="C213" s="85"/>
      <c r="D213" s="85"/>
      <c r="E213" s="85"/>
      <c r="F213" s="85"/>
      <c r="G213" s="85"/>
      <c r="H213" s="85"/>
      <c r="I213" s="138" t="str">
        <f aca="false">IFERROR(VLOOKUP(TEXT(H213,"0"),IPRESS!$A$3:$B$212,2,0),"")</f>
        <v/>
      </c>
      <c r="J213" s="85"/>
      <c r="K213" s="149"/>
      <c r="L213" s="85"/>
      <c r="M213" s="85"/>
      <c r="N213" s="151"/>
      <c r="O213" s="85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85"/>
      <c r="S213" s="85"/>
      <c r="T213" s="85"/>
      <c r="U213" s="85"/>
      <c r="V213" s="85"/>
      <c r="W213" s="85"/>
      <c r="X213" s="85"/>
      <c r="Y213" s="85"/>
      <c r="Z213" s="157"/>
      <c r="AA213" s="4"/>
      <c r="AB213" s="4"/>
      <c r="AC213" s="4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49"/>
      <c r="L214" s="85"/>
      <c r="M214" s="85"/>
      <c r="N214" s="151"/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57"/>
      <c r="AA214" s="4"/>
      <c r="AB214" s="4"/>
      <c r="AC214" s="4"/>
    </row>
    <row r="215" customFormat="false" ht="15" hidden="false" customHeight="true" outlineLevel="0" collapsed="false">
      <c r="A215" s="85"/>
      <c r="B215" s="85"/>
      <c r="C215" s="85"/>
      <c r="D215" s="85"/>
      <c r="E215" s="85"/>
      <c r="F215" s="85"/>
      <c r="G215" s="85"/>
      <c r="H215" s="85"/>
      <c r="I215" s="138" t="str">
        <f aca="false">IFERROR(VLOOKUP(TEXT(H215,"0"),IPRESS!$A$3:$B$212,2,0),"")</f>
        <v/>
      </c>
      <c r="J215" s="85"/>
      <c r="K215" s="149"/>
      <c r="L215" s="85"/>
      <c r="M215" s="85"/>
      <c r="N215" s="151"/>
      <c r="O215" s="85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85"/>
      <c r="S215" s="85"/>
      <c r="T215" s="85"/>
      <c r="U215" s="85"/>
      <c r="V215" s="85"/>
      <c r="W215" s="85"/>
      <c r="X215" s="85"/>
      <c r="Y215" s="85"/>
      <c r="Z215" s="157"/>
      <c r="AA215" s="4"/>
      <c r="AB215" s="4"/>
      <c r="AC215" s="4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49"/>
      <c r="L216" s="85"/>
      <c r="M216" s="85"/>
      <c r="N216" s="151"/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57"/>
      <c r="AA216" s="4"/>
      <c r="AB216" s="4"/>
      <c r="AC216" s="4"/>
    </row>
    <row r="217" customFormat="false" ht="15" hidden="false" customHeight="true" outlineLevel="0" collapsed="false">
      <c r="A217" s="85"/>
      <c r="B217" s="85"/>
      <c r="C217" s="85"/>
      <c r="D217" s="85"/>
      <c r="E217" s="85"/>
      <c r="F217" s="85"/>
      <c r="G217" s="85"/>
      <c r="H217" s="85"/>
      <c r="I217" s="138" t="str">
        <f aca="false">IFERROR(VLOOKUP(TEXT(H217,"0"),IPRESS!$A$3:$B$212,2,0),"")</f>
        <v/>
      </c>
      <c r="J217" s="85"/>
      <c r="K217" s="149"/>
      <c r="L217" s="85"/>
      <c r="M217" s="85"/>
      <c r="N217" s="151"/>
      <c r="O217" s="85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85"/>
      <c r="S217" s="85"/>
      <c r="T217" s="85"/>
      <c r="U217" s="85"/>
      <c r="V217" s="85"/>
      <c r="W217" s="85"/>
      <c r="X217" s="85"/>
      <c r="Y217" s="85"/>
      <c r="Z217" s="157"/>
      <c r="AA217" s="4"/>
      <c r="AB217" s="4"/>
      <c r="AC217" s="4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49"/>
      <c r="L218" s="85"/>
      <c r="M218" s="85"/>
      <c r="N218" s="151"/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57"/>
      <c r="AA218" s="4"/>
      <c r="AB218" s="4"/>
      <c r="AC218" s="4"/>
    </row>
    <row r="219" customFormat="false" ht="15" hidden="false" customHeight="true" outlineLevel="0" collapsed="false">
      <c r="A219" s="85"/>
      <c r="B219" s="85"/>
      <c r="C219" s="85"/>
      <c r="D219" s="85"/>
      <c r="E219" s="85"/>
      <c r="F219" s="85"/>
      <c r="G219" s="85"/>
      <c r="H219" s="85"/>
      <c r="I219" s="138" t="str">
        <f aca="false">IFERROR(VLOOKUP(TEXT(H219,"0"),IPRESS!$A$3:$B$212,2,0),"")</f>
        <v/>
      </c>
      <c r="J219" s="85"/>
      <c r="K219" s="149"/>
      <c r="L219" s="85"/>
      <c r="M219" s="85"/>
      <c r="N219" s="151"/>
      <c r="O219" s="85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85"/>
      <c r="S219" s="85"/>
      <c r="T219" s="85"/>
      <c r="U219" s="85"/>
      <c r="V219" s="85"/>
      <c r="W219" s="85"/>
      <c r="X219" s="85"/>
      <c r="Y219" s="85"/>
      <c r="Z219" s="157"/>
      <c r="AA219" s="4"/>
      <c r="AB219" s="4"/>
      <c r="AC219" s="4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49"/>
      <c r="L220" s="85"/>
      <c r="M220" s="85"/>
      <c r="N220" s="151"/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57"/>
      <c r="AA220" s="4"/>
      <c r="AB220" s="4"/>
      <c r="AC220" s="4"/>
    </row>
    <row r="221" customFormat="false" ht="15" hidden="false" customHeight="true" outlineLevel="0" collapsed="false">
      <c r="A221" s="85"/>
      <c r="B221" s="85"/>
      <c r="C221" s="85"/>
      <c r="D221" s="85"/>
      <c r="E221" s="85"/>
      <c r="F221" s="85"/>
      <c r="G221" s="85"/>
      <c r="H221" s="85"/>
      <c r="I221" s="138" t="str">
        <f aca="false">IFERROR(VLOOKUP(TEXT(H221,"0"),IPRESS!$A$3:$B$212,2,0),"")</f>
        <v/>
      </c>
      <c r="J221" s="85"/>
      <c r="K221" s="149"/>
      <c r="L221" s="85"/>
      <c r="M221" s="85"/>
      <c r="N221" s="151"/>
      <c r="O221" s="85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85"/>
      <c r="S221" s="85"/>
      <c r="T221" s="85"/>
      <c r="U221" s="85"/>
      <c r="V221" s="85"/>
      <c r="W221" s="85"/>
      <c r="X221" s="85"/>
      <c r="Y221" s="85"/>
      <c r="Z221" s="157"/>
      <c r="AA221" s="4"/>
      <c r="AB221" s="4"/>
      <c r="AC221" s="4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49"/>
      <c r="L222" s="85"/>
      <c r="M222" s="85"/>
      <c r="N222" s="151"/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57"/>
      <c r="AA222" s="4"/>
      <c r="AB222" s="4"/>
      <c r="AC222" s="4"/>
    </row>
    <row r="223" customFormat="false" ht="15" hidden="false" customHeight="true" outlineLevel="0" collapsed="false">
      <c r="A223" s="85"/>
      <c r="B223" s="85"/>
      <c r="C223" s="85"/>
      <c r="D223" s="85"/>
      <c r="E223" s="85"/>
      <c r="F223" s="85"/>
      <c r="G223" s="85"/>
      <c r="H223" s="85"/>
      <c r="I223" s="138" t="str">
        <f aca="false">IFERROR(VLOOKUP(TEXT(H223,"0"),IPRESS!$A$3:$B$212,2,0),"")</f>
        <v/>
      </c>
      <c r="J223" s="85"/>
      <c r="K223" s="149"/>
      <c r="L223" s="85"/>
      <c r="M223" s="85"/>
      <c r="N223" s="151"/>
      <c r="O223" s="85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85"/>
      <c r="S223" s="85"/>
      <c r="T223" s="85"/>
      <c r="U223" s="85"/>
      <c r="V223" s="85"/>
      <c r="W223" s="85"/>
      <c r="X223" s="85"/>
      <c r="Y223" s="85"/>
      <c r="Z223" s="157"/>
      <c r="AA223" s="4"/>
      <c r="AB223" s="4"/>
      <c r="AC223" s="4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49"/>
      <c r="L224" s="85"/>
      <c r="M224" s="85"/>
      <c r="N224" s="151"/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57"/>
      <c r="AA224" s="4"/>
      <c r="AB224" s="4"/>
      <c r="AC224" s="4"/>
    </row>
    <row r="225" customFormat="false" ht="15" hidden="false" customHeight="true" outlineLevel="0" collapsed="false">
      <c r="A225" s="85"/>
      <c r="B225" s="85"/>
      <c r="C225" s="85"/>
      <c r="D225" s="85"/>
      <c r="E225" s="85"/>
      <c r="F225" s="85"/>
      <c r="G225" s="85"/>
      <c r="H225" s="85"/>
      <c r="I225" s="138" t="str">
        <f aca="false">IFERROR(VLOOKUP(TEXT(H225,"0"),IPRESS!$A$3:$B$212,2,0),"")</f>
        <v/>
      </c>
      <c r="J225" s="85"/>
      <c r="K225" s="149"/>
      <c r="L225" s="85"/>
      <c r="M225" s="85"/>
      <c r="N225" s="151"/>
      <c r="O225" s="85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85"/>
      <c r="S225" s="85"/>
      <c r="T225" s="85"/>
      <c r="U225" s="85"/>
      <c r="V225" s="85"/>
      <c r="W225" s="85"/>
      <c r="X225" s="85"/>
      <c r="Y225" s="85"/>
      <c r="Z225" s="157"/>
      <c r="AA225" s="4"/>
      <c r="AB225" s="4"/>
      <c r="AC225" s="4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49"/>
      <c r="L226" s="85"/>
      <c r="M226" s="85"/>
      <c r="N226" s="151"/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57"/>
      <c r="AA226" s="4"/>
      <c r="AB226" s="4"/>
      <c r="AC226" s="4"/>
    </row>
    <row r="227" customFormat="false" ht="15" hidden="false" customHeight="true" outlineLevel="0" collapsed="false">
      <c r="A227" s="85"/>
      <c r="B227" s="85"/>
      <c r="C227" s="85"/>
      <c r="D227" s="85"/>
      <c r="E227" s="85"/>
      <c r="F227" s="85"/>
      <c r="G227" s="85"/>
      <c r="H227" s="85"/>
      <c r="I227" s="138" t="str">
        <f aca="false">IFERROR(VLOOKUP(TEXT(H227,"0"),IPRESS!$A$3:$B$212,2,0),"")</f>
        <v/>
      </c>
      <c r="J227" s="85"/>
      <c r="K227" s="149"/>
      <c r="L227" s="85"/>
      <c r="M227" s="85"/>
      <c r="N227" s="151"/>
      <c r="O227" s="85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85"/>
      <c r="S227" s="85"/>
      <c r="T227" s="85"/>
      <c r="U227" s="85"/>
      <c r="V227" s="85"/>
      <c r="W227" s="85"/>
      <c r="X227" s="85"/>
      <c r="Y227" s="85"/>
      <c r="Z227" s="157"/>
      <c r="AA227" s="4"/>
      <c r="AB227" s="4"/>
      <c r="AC227" s="4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49"/>
      <c r="L228" s="85"/>
      <c r="M228" s="85"/>
      <c r="N228" s="151"/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57"/>
      <c r="AA228" s="4"/>
      <c r="AB228" s="4"/>
      <c r="AC228" s="4"/>
    </row>
    <row r="229" customFormat="false" ht="15" hidden="false" customHeight="true" outlineLevel="0" collapsed="false">
      <c r="A229" s="85"/>
      <c r="B229" s="85"/>
      <c r="C229" s="85"/>
      <c r="D229" s="85"/>
      <c r="E229" s="85"/>
      <c r="F229" s="85"/>
      <c r="G229" s="85"/>
      <c r="H229" s="85"/>
      <c r="I229" s="138" t="str">
        <f aca="false">IFERROR(VLOOKUP(TEXT(H229,"0"),IPRESS!$A$3:$B$212,2,0),"")</f>
        <v/>
      </c>
      <c r="J229" s="85"/>
      <c r="K229" s="149"/>
      <c r="L229" s="85"/>
      <c r="M229" s="85"/>
      <c r="N229" s="151"/>
      <c r="O229" s="85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85"/>
      <c r="S229" s="85"/>
      <c r="T229" s="85"/>
      <c r="U229" s="85"/>
      <c r="V229" s="85"/>
      <c r="W229" s="85"/>
      <c r="X229" s="85"/>
      <c r="Y229" s="85"/>
      <c r="Z229" s="157"/>
      <c r="AA229" s="4"/>
      <c r="AB229" s="4"/>
      <c r="AC229" s="4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49"/>
      <c r="L230" s="85"/>
      <c r="M230" s="85"/>
      <c r="N230" s="151"/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57"/>
      <c r="AA230" s="4"/>
      <c r="AB230" s="4"/>
      <c r="AC230" s="4"/>
    </row>
    <row r="231" customFormat="false" ht="15" hidden="false" customHeight="true" outlineLevel="0" collapsed="false">
      <c r="A231" s="85"/>
      <c r="B231" s="85"/>
      <c r="C231" s="85"/>
      <c r="D231" s="85"/>
      <c r="E231" s="85"/>
      <c r="F231" s="85"/>
      <c r="G231" s="85"/>
      <c r="H231" s="85"/>
      <c r="I231" s="138" t="str">
        <f aca="false">IFERROR(VLOOKUP(TEXT(H231,"0"),IPRESS!$A$3:$B$212,2,0),"")</f>
        <v/>
      </c>
      <c r="J231" s="85"/>
      <c r="K231" s="149"/>
      <c r="L231" s="85"/>
      <c r="M231" s="85"/>
      <c r="N231" s="151"/>
      <c r="O231" s="85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85"/>
      <c r="S231" s="85"/>
      <c r="T231" s="85"/>
      <c r="U231" s="85"/>
      <c r="V231" s="85"/>
      <c r="W231" s="85"/>
      <c r="X231" s="85"/>
      <c r="Y231" s="85"/>
      <c r="Z231" s="157"/>
      <c r="AA231" s="4"/>
      <c r="AB231" s="4"/>
      <c r="AC231" s="4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49"/>
      <c r="L232" s="85"/>
      <c r="M232" s="85"/>
      <c r="N232" s="151"/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57"/>
      <c r="AA232" s="4"/>
      <c r="AB232" s="4"/>
      <c r="AC232" s="4"/>
    </row>
    <row r="233" customFormat="false" ht="15" hidden="false" customHeight="true" outlineLevel="0" collapsed="false">
      <c r="A233" s="85"/>
      <c r="B233" s="85"/>
      <c r="C233" s="85"/>
      <c r="D233" s="85"/>
      <c r="E233" s="85"/>
      <c r="F233" s="85"/>
      <c r="G233" s="85"/>
      <c r="H233" s="85"/>
      <c r="I233" s="138" t="str">
        <f aca="false">IFERROR(VLOOKUP(TEXT(H233,"0"),IPRESS!$A$3:$B$212,2,0),"")</f>
        <v/>
      </c>
      <c r="J233" s="85"/>
      <c r="K233" s="149"/>
      <c r="L233" s="85"/>
      <c r="M233" s="85"/>
      <c r="N233" s="151"/>
      <c r="O233" s="85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85"/>
      <c r="S233" s="85"/>
      <c r="T233" s="85"/>
      <c r="U233" s="85"/>
      <c r="V233" s="85"/>
      <c r="W233" s="85"/>
      <c r="X233" s="85"/>
      <c r="Y233" s="85"/>
      <c r="Z233" s="157"/>
      <c r="AA233" s="4"/>
      <c r="AB233" s="4"/>
      <c r="AC233" s="4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49"/>
      <c r="L234" s="85"/>
      <c r="M234" s="85"/>
      <c r="N234" s="151"/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57"/>
      <c r="AA234" s="4"/>
      <c r="AB234" s="4"/>
      <c r="AC234" s="4"/>
    </row>
    <row r="235" customFormat="false" ht="15" hidden="false" customHeight="true" outlineLevel="0" collapsed="false">
      <c r="A235" s="85"/>
      <c r="B235" s="85"/>
      <c r="C235" s="85"/>
      <c r="D235" s="85"/>
      <c r="E235" s="85"/>
      <c r="F235" s="85"/>
      <c r="G235" s="85"/>
      <c r="H235" s="85"/>
      <c r="I235" s="138" t="str">
        <f aca="false">IFERROR(VLOOKUP(TEXT(H235,"0"),IPRESS!$A$3:$B$212,2,0),"")</f>
        <v/>
      </c>
      <c r="J235" s="85"/>
      <c r="K235" s="149"/>
      <c r="L235" s="85"/>
      <c r="M235" s="85"/>
      <c r="N235" s="151"/>
      <c r="O235" s="85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85"/>
      <c r="S235" s="85"/>
      <c r="T235" s="85"/>
      <c r="U235" s="85"/>
      <c r="V235" s="85"/>
      <c r="W235" s="85"/>
      <c r="X235" s="85"/>
      <c r="Y235" s="85"/>
      <c r="Z235" s="157"/>
      <c r="AA235" s="4"/>
      <c r="AB235" s="4"/>
      <c r="AC235" s="4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49"/>
      <c r="L236" s="85"/>
      <c r="M236" s="85"/>
      <c r="N236" s="151"/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57"/>
      <c r="AA236" s="4"/>
      <c r="AB236" s="4"/>
      <c r="AC236" s="4"/>
    </row>
    <row r="237" customFormat="false" ht="15" hidden="false" customHeight="true" outlineLevel="0" collapsed="false">
      <c r="A237" s="85"/>
      <c r="B237" s="85"/>
      <c r="C237" s="85"/>
      <c r="D237" s="85"/>
      <c r="E237" s="85"/>
      <c r="F237" s="85"/>
      <c r="G237" s="85"/>
      <c r="H237" s="85"/>
      <c r="I237" s="138" t="str">
        <f aca="false">IFERROR(VLOOKUP(TEXT(H237,"0"),IPRESS!$A$3:$B$212,2,0),"")</f>
        <v/>
      </c>
      <c r="J237" s="85"/>
      <c r="K237" s="149"/>
      <c r="L237" s="85"/>
      <c r="M237" s="85"/>
      <c r="N237" s="151"/>
      <c r="O237" s="85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85"/>
      <c r="S237" s="85"/>
      <c r="T237" s="85"/>
      <c r="U237" s="85"/>
      <c r="V237" s="85"/>
      <c r="W237" s="85"/>
      <c r="X237" s="85"/>
      <c r="Y237" s="85"/>
      <c r="Z237" s="157"/>
      <c r="AA237" s="4"/>
      <c r="AB237" s="4"/>
      <c r="AC237" s="4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49"/>
      <c r="L238" s="85"/>
      <c r="M238" s="85"/>
      <c r="N238" s="151"/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57"/>
      <c r="AA238" s="4"/>
      <c r="AB238" s="4"/>
      <c r="AC238" s="4"/>
    </row>
    <row r="239" customFormat="false" ht="15" hidden="false" customHeight="true" outlineLevel="0" collapsed="false">
      <c r="A239" s="85"/>
      <c r="B239" s="85"/>
      <c r="C239" s="85"/>
      <c r="D239" s="85"/>
      <c r="E239" s="85"/>
      <c r="F239" s="85"/>
      <c r="G239" s="85"/>
      <c r="H239" s="85"/>
      <c r="I239" s="138" t="str">
        <f aca="false">IFERROR(VLOOKUP(TEXT(H239,"0"),IPRESS!$A$3:$B$212,2,0),"")</f>
        <v/>
      </c>
      <c r="J239" s="85"/>
      <c r="K239" s="149"/>
      <c r="L239" s="85"/>
      <c r="M239" s="85"/>
      <c r="N239" s="151"/>
      <c r="O239" s="85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85"/>
      <c r="S239" s="85"/>
      <c r="T239" s="85"/>
      <c r="U239" s="85"/>
      <c r="V239" s="85"/>
      <c r="W239" s="85"/>
      <c r="X239" s="85"/>
      <c r="Y239" s="85"/>
      <c r="Z239" s="157"/>
      <c r="AA239" s="4"/>
      <c r="AB239" s="4"/>
      <c r="AC239" s="4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49"/>
      <c r="L240" s="85"/>
      <c r="M240" s="85"/>
      <c r="N240" s="151"/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57"/>
      <c r="AA240" s="4"/>
      <c r="AB240" s="4"/>
      <c r="AC240" s="4"/>
    </row>
    <row r="241" customFormat="false" ht="15" hidden="false" customHeight="true" outlineLevel="0" collapsed="false">
      <c r="A241" s="85"/>
      <c r="B241" s="85"/>
      <c r="C241" s="85"/>
      <c r="D241" s="85"/>
      <c r="E241" s="85"/>
      <c r="F241" s="85"/>
      <c r="G241" s="85"/>
      <c r="H241" s="85"/>
      <c r="I241" s="138" t="str">
        <f aca="false">IFERROR(VLOOKUP(TEXT(H241,"0"),IPRESS!$A$3:$B$212,2,0),"")</f>
        <v/>
      </c>
      <c r="J241" s="85"/>
      <c r="K241" s="149"/>
      <c r="L241" s="85"/>
      <c r="M241" s="85"/>
      <c r="N241" s="151"/>
      <c r="O241" s="85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85"/>
      <c r="S241" s="85"/>
      <c r="T241" s="85"/>
      <c r="U241" s="85"/>
      <c r="V241" s="85"/>
      <c r="W241" s="85"/>
      <c r="X241" s="85"/>
      <c r="Y241" s="85"/>
      <c r="Z241" s="157"/>
      <c r="AA241" s="4"/>
      <c r="AB241" s="4"/>
      <c r="AC241" s="4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49"/>
      <c r="L242" s="85"/>
      <c r="M242" s="85"/>
      <c r="N242" s="151"/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57"/>
      <c r="AA242" s="4"/>
      <c r="AB242" s="4"/>
      <c r="AC242" s="4"/>
    </row>
    <row r="243" customFormat="false" ht="15" hidden="false" customHeight="true" outlineLevel="0" collapsed="false">
      <c r="A243" s="85"/>
      <c r="B243" s="85"/>
      <c r="C243" s="85"/>
      <c r="D243" s="85"/>
      <c r="E243" s="85"/>
      <c r="F243" s="85"/>
      <c r="G243" s="85"/>
      <c r="H243" s="85"/>
      <c r="I243" s="138" t="str">
        <f aca="false">IFERROR(VLOOKUP(TEXT(H243,"0"),IPRESS!$A$3:$B$212,2,0),"")</f>
        <v/>
      </c>
      <c r="J243" s="85"/>
      <c r="K243" s="149"/>
      <c r="L243" s="85"/>
      <c r="M243" s="85"/>
      <c r="N243" s="151"/>
      <c r="O243" s="85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85"/>
      <c r="S243" s="85"/>
      <c r="T243" s="85"/>
      <c r="U243" s="85"/>
      <c r="V243" s="85"/>
      <c r="W243" s="85"/>
      <c r="X243" s="85"/>
      <c r="Y243" s="85"/>
      <c r="Z243" s="157"/>
      <c r="AA243" s="4"/>
      <c r="AB243" s="4"/>
      <c r="AC243" s="4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49"/>
      <c r="L244" s="85"/>
      <c r="M244" s="85"/>
      <c r="N244" s="151"/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57"/>
      <c r="AA244" s="4"/>
      <c r="AB244" s="4"/>
      <c r="AC244" s="4"/>
    </row>
    <row r="245" customFormat="false" ht="15" hidden="false" customHeight="true" outlineLevel="0" collapsed="false">
      <c r="A245" s="85"/>
      <c r="B245" s="85"/>
      <c r="C245" s="85"/>
      <c r="D245" s="85"/>
      <c r="E245" s="85"/>
      <c r="F245" s="85"/>
      <c r="G245" s="85"/>
      <c r="H245" s="85"/>
      <c r="I245" s="138" t="str">
        <f aca="false">IFERROR(VLOOKUP(TEXT(H245,"0"),IPRESS!$A$3:$B$212,2,0),"")</f>
        <v/>
      </c>
      <c r="J245" s="85"/>
      <c r="K245" s="149"/>
      <c r="L245" s="85"/>
      <c r="M245" s="85"/>
      <c r="N245" s="151"/>
      <c r="O245" s="85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85"/>
      <c r="S245" s="85"/>
      <c r="T245" s="85"/>
      <c r="U245" s="85"/>
      <c r="V245" s="85"/>
      <c r="W245" s="85"/>
      <c r="X245" s="85"/>
      <c r="Y245" s="85"/>
      <c r="Z245" s="157"/>
      <c r="AA245" s="4"/>
      <c r="AB245" s="4"/>
      <c r="AC245" s="4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49"/>
      <c r="L246" s="85"/>
      <c r="M246" s="85"/>
      <c r="N246" s="151"/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57"/>
      <c r="AA246" s="4"/>
      <c r="AB246" s="4"/>
      <c r="AC246" s="4"/>
    </row>
    <row r="247" customFormat="false" ht="15" hidden="false" customHeight="true" outlineLevel="0" collapsed="false">
      <c r="A247" s="85"/>
      <c r="B247" s="85"/>
      <c r="C247" s="85"/>
      <c r="D247" s="85"/>
      <c r="E247" s="85"/>
      <c r="F247" s="85"/>
      <c r="G247" s="85"/>
      <c r="H247" s="85"/>
      <c r="I247" s="138" t="str">
        <f aca="false">IFERROR(VLOOKUP(TEXT(H247,"0"),IPRESS!$A$3:$B$212,2,0),"")</f>
        <v/>
      </c>
      <c r="J247" s="85"/>
      <c r="K247" s="149"/>
      <c r="L247" s="85"/>
      <c r="M247" s="85"/>
      <c r="N247" s="151"/>
      <c r="O247" s="85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85"/>
      <c r="S247" s="85"/>
      <c r="T247" s="85"/>
      <c r="U247" s="85"/>
      <c r="V247" s="85"/>
      <c r="W247" s="85"/>
      <c r="X247" s="85"/>
      <c r="Y247" s="85"/>
      <c r="Z247" s="157"/>
      <c r="AA247" s="4"/>
      <c r="AB247" s="4"/>
      <c r="AC247" s="4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49"/>
      <c r="L248" s="85"/>
      <c r="M248" s="85"/>
      <c r="N248" s="151"/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57"/>
      <c r="AA248" s="4"/>
      <c r="AB248" s="4"/>
      <c r="AC248" s="4"/>
    </row>
    <row r="249" customFormat="false" ht="15" hidden="false" customHeight="true" outlineLevel="0" collapsed="false">
      <c r="A249" s="85"/>
      <c r="B249" s="85"/>
      <c r="C249" s="85"/>
      <c r="D249" s="85"/>
      <c r="E249" s="85"/>
      <c r="F249" s="85"/>
      <c r="G249" s="85"/>
      <c r="H249" s="85"/>
      <c r="I249" s="138" t="str">
        <f aca="false">IFERROR(VLOOKUP(TEXT(H249,"0"),IPRESS!$A$3:$B$212,2,0),"")</f>
        <v/>
      </c>
      <c r="J249" s="85"/>
      <c r="K249" s="149"/>
      <c r="L249" s="85"/>
      <c r="M249" s="85"/>
      <c r="N249" s="151"/>
      <c r="O249" s="85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85"/>
      <c r="S249" s="85"/>
      <c r="T249" s="85"/>
      <c r="U249" s="85"/>
      <c r="V249" s="85"/>
      <c r="W249" s="85"/>
      <c r="X249" s="85"/>
      <c r="Y249" s="85"/>
      <c r="Z249" s="157"/>
      <c r="AA249" s="4"/>
      <c r="AB249" s="4"/>
      <c r="AC249" s="4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49"/>
      <c r="L250" s="85"/>
      <c r="M250" s="85"/>
      <c r="N250" s="151"/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57"/>
      <c r="AA250" s="4"/>
      <c r="AB250" s="4"/>
      <c r="AC250" s="4"/>
    </row>
    <row r="251" customFormat="false" ht="15" hidden="false" customHeight="true" outlineLevel="0" collapsed="false">
      <c r="A251" s="85"/>
      <c r="B251" s="85"/>
      <c r="C251" s="85"/>
      <c r="D251" s="85"/>
      <c r="E251" s="85"/>
      <c r="F251" s="85"/>
      <c r="G251" s="85"/>
      <c r="H251" s="85"/>
      <c r="I251" s="138" t="str">
        <f aca="false">IFERROR(VLOOKUP(TEXT(H251,"0"),IPRESS!$A$3:$B$212,2,0),"")</f>
        <v/>
      </c>
      <c r="J251" s="85"/>
      <c r="K251" s="149"/>
      <c r="L251" s="85"/>
      <c r="M251" s="85"/>
      <c r="N251" s="151"/>
      <c r="O251" s="85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85"/>
      <c r="S251" s="85"/>
      <c r="T251" s="85"/>
      <c r="U251" s="85"/>
      <c r="V251" s="85"/>
      <c r="W251" s="85"/>
      <c r="X251" s="85"/>
      <c r="Y251" s="85"/>
      <c r="Z251" s="157"/>
      <c r="AA251" s="4"/>
      <c r="AB251" s="4"/>
      <c r="AC251" s="4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49"/>
      <c r="L252" s="85"/>
      <c r="M252" s="85"/>
      <c r="N252" s="151"/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57"/>
      <c r="AA252" s="4"/>
      <c r="AB252" s="4"/>
      <c r="AC252" s="4"/>
    </row>
    <row r="253" customFormat="false" ht="15" hidden="false" customHeight="true" outlineLevel="0" collapsed="false">
      <c r="A253" s="85"/>
      <c r="B253" s="85"/>
      <c r="C253" s="85"/>
      <c r="D253" s="85"/>
      <c r="E253" s="85"/>
      <c r="F253" s="85"/>
      <c r="G253" s="85"/>
      <c r="H253" s="85"/>
      <c r="I253" s="138" t="str">
        <f aca="false">IFERROR(VLOOKUP(TEXT(H253,"0"),IPRESS!$A$3:$B$212,2,0),"")</f>
        <v/>
      </c>
      <c r="J253" s="85"/>
      <c r="K253" s="149"/>
      <c r="L253" s="85"/>
      <c r="M253" s="85"/>
      <c r="N253" s="151"/>
      <c r="O253" s="85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85"/>
      <c r="S253" s="85"/>
      <c r="T253" s="85"/>
      <c r="U253" s="85"/>
      <c r="V253" s="85"/>
      <c r="W253" s="85"/>
      <c r="X253" s="85"/>
      <c r="Y253" s="85"/>
      <c r="Z253" s="157"/>
      <c r="AA253" s="4"/>
      <c r="AB253" s="4"/>
      <c r="AC253" s="4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49"/>
      <c r="L254" s="85"/>
      <c r="M254" s="85"/>
      <c r="N254" s="151"/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57"/>
      <c r="AA254" s="4"/>
      <c r="AB254" s="4"/>
      <c r="AC254" s="4"/>
    </row>
    <row r="255" customFormat="false" ht="15" hidden="false" customHeight="true" outlineLevel="0" collapsed="false">
      <c r="A255" s="85"/>
      <c r="B255" s="85"/>
      <c r="C255" s="85"/>
      <c r="D255" s="85"/>
      <c r="E255" s="85"/>
      <c r="F255" s="85"/>
      <c r="G255" s="85"/>
      <c r="H255" s="85"/>
      <c r="I255" s="138" t="str">
        <f aca="false">IFERROR(VLOOKUP(TEXT(H255,"0"),IPRESS!$A$3:$B$212,2,0),"")</f>
        <v/>
      </c>
      <c r="J255" s="85"/>
      <c r="K255" s="149"/>
      <c r="L255" s="85"/>
      <c r="M255" s="85"/>
      <c r="N255" s="151"/>
      <c r="O255" s="85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85"/>
      <c r="S255" s="85"/>
      <c r="T255" s="85"/>
      <c r="U255" s="85"/>
      <c r="V255" s="85"/>
      <c r="W255" s="85"/>
      <c r="X255" s="85"/>
      <c r="Y255" s="85"/>
      <c r="Z255" s="157"/>
      <c r="AA255" s="4"/>
      <c r="AB255" s="4"/>
      <c r="AC255" s="4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49"/>
      <c r="L256" s="85"/>
      <c r="M256" s="85"/>
      <c r="N256" s="151"/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57"/>
      <c r="AA256" s="4"/>
      <c r="AB256" s="4"/>
      <c r="AC256" s="4"/>
    </row>
    <row r="257" customFormat="false" ht="15" hidden="false" customHeight="true" outlineLevel="0" collapsed="false">
      <c r="A257" s="85"/>
      <c r="B257" s="85"/>
      <c r="C257" s="85"/>
      <c r="D257" s="85"/>
      <c r="E257" s="85"/>
      <c r="F257" s="85"/>
      <c r="G257" s="85"/>
      <c r="H257" s="85"/>
      <c r="I257" s="138" t="str">
        <f aca="false">IFERROR(VLOOKUP(TEXT(H257,"0"),IPRESS!$A$3:$B$212,2,0),"")</f>
        <v/>
      </c>
      <c r="J257" s="85"/>
      <c r="K257" s="149"/>
      <c r="L257" s="85"/>
      <c r="M257" s="85"/>
      <c r="N257" s="151"/>
      <c r="O257" s="85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85"/>
      <c r="S257" s="85"/>
      <c r="T257" s="85"/>
      <c r="U257" s="85"/>
      <c r="V257" s="85"/>
      <c r="W257" s="85"/>
      <c r="X257" s="85"/>
      <c r="Y257" s="85"/>
      <c r="Z257" s="157"/>
      <c r="AA257" s="4"/>
      <c r="AB257" s="4"/>
      <c r="AC257" s="4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49"/>
      <c r="L258" s="85"/>
      <c r="M258" s="85"/>
      <c r="N258" s="151"/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57"/>
      <c r="AA258" s="4"/>
      <c r="AB258" s="4"/>
      <c r="AC258" s="4"/>
    </row>
    <row r="259" customFormat="false" ht="15" hidden="false" customHeight="true" outlineLevel="0" collapsed="false">
      <c r="A259" s="85"/>
      <c r="B259" s="85"/>
      <c r="C259" s="85"/>
      <c r="D259" s="85"/>
      <c r="E259" s="85"/>
      <c r="F259" s="85"/>
      <c r="G259" s="85"/>
      <c r="H259" s="85"/>
      <c r="I259" s="138" t="str">
        <f aca="false">IFERROR(VLOOKUP(TEXT(H259,"0"),IPRESS!$A$3:$B$212,2,0),"")</f>
        <v/>
      </c>
      <c r="J259" s="85"/>
      <c r="K259" s="149"/>
      <c r="L259" s="85"/>
      <c r="M259" s="85"/>
      <c r="N259" s="151"/>
      <c r="O259" s="85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85"/>
      <c r="S259" s="85"/>
      <c r="T259" s="85"/>
      <c r="U259" s="85"/>
      <c r="V259" s="85"/>
      <c r="W259" s="85"/>
      <c r="X259" s="85"/>
      <c r="Y259" s="85"/>
      <c r="Z259" s="157"/>
      <c r="AA259" s="4"/>
      <c r="AB259" s="4"/>
      <c r="AC259" s="4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49"/>
      <c r="L260" s="85"/>
      <c r="M260" s="85"/>
      <c r="N260" s="151"/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57"/>
      <c r="AA260" s="4"/>
      <c r="AB260" s="4"/>
      <c r="AC260" s="4"/>
    </row>
    <row r="261" customFormat="false" ht="15" hidden="false" customHeight="true" outlineLevel="0" collapsed="false">
      <c r="A261" s="85"/>
      <c r="B261" s="85"/>
      <c r="C261" s="85"/>
      <c r="D261" s="85"/>
      <c r="E261" s="85"/>
      <c r="F261" s="85"/>
      <c r="G261" s="85"/>
      <c r="H261" s="85"/>
      <c r="I261" s="138" t="str">
        <f aca="false">IFERROR(VLOOKUP(TEXT(H261,"0"),IPRESS!$A$3:$B$212,2,0),"")</f>
        <v/>
      </c>
      <c r="J261" s="85"/>
      <c r="K261" s="149"/>
      <c r="L261" s="85"/>
      <c r="M261" s="85"/>
      <c r="N261" s="151"/>
      <c r="O261" s="85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85"/>
      <c r="S261" s="85"/>
      <c r="T261" s="85"/>
      <c r="U261" s="85"/>
      <c r="V261" s="85"/>
      <c r="W261" s="85"/>
      <c r="X261" s="85"/>
      <c r="Y261" s="85"/>
      <c r="Z261" s="157"/>
      <c r="AA261" s="4"/>
      <c r="AB261" s="4"/>
      <c r="AC261" s="4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49"/>
      <c r="L262" s="85"/>
      <c r="M262" s="85"/>
      <c r="N262" s="151"/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57"/>
      <c r="AA262" s="4"/>
      <c r="AB262" s="4"/>
      <c r="AC262" s="4"/>
    </row>
    <row r="263" customFormat="false" ht="15" hidden="false" customHeight="true" outlineLevel="0" collapsed="false">
      <c r="A263" s="85"/>
      <c r="B263" s="85"/>
      <c r="C263" s="85"/>
      <c r="D263" s="85"/>
      <c r="E263" s="85"/>
      <c r="F263" s="85"/>
      <c r="G263" s="85"/>
      <c r="H263" s="85"/>
      <c r="I263" s="138" t="str">
        <f aca="false">IFERROR(VLOOKUP(TEXT(H263,"0"),IPRESS!$A$3:$B$212,2,0),"")</f>
        <v/>
      </c>
      <c r="J263" s="85"/>
      <c r="K263" s="149"/>
      <c r="L263" s="85"/>
      <c r="M263" s="85"/>
      <c r="N263" s="151"/>
      <c r="O263" s="85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85"/>
      <c r="S263" s="85"/>
      <c r="T263" s="85"/>
      <c r="U263" s="85"/>
      <c r="V263" s="85"/>
      <c r="W263" s="85"/>
      <c r="X263" s="85"/>
      <c r="Y263" s="85"/>
      <c r="Z263" s="157"/>
      <c r="AA263" s="4"/>
      <c r="AB263" s="4"/>
      <c r="AC263" s="4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49"/>
      <c r="L264" s="85"/>
      <c r="M264" s="85"/>
      <c r="N264" s="151"/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57"/>
      <c r="AA264" s="4"/>
      <c r="AB264" s="4"/>
      <c r="AC264" s="4"/>
    </row>
    <row r="265" customFormat="false" ht="15" hidden="false" customHeight="true" outlineLevel="0" collapsed="false">
      <c r="A265" s="85"/>
      <c r="B265" s="85"/>
      <c r="C265" s="85"/>
      <c r="D265" s="85"/>
      <c r="E265" s="85"/>
      <c r="F265" s="85"/>
      <c r="G265" s="85"/>
      <c r="H265" s="85"/>
      <c r="I265" s="138" t="str">
        <f aca="false">IFERROR(VLOOKUP(TEXT(H265,"0"),IPRESS!$A$3:$B$212,2,0),"")</f>
        <v/>
      </c>
      <c r="J265" s="85"/>
      <c r="K265" s="149"/>
      <c r="L265" s="85"/>
      <c r="M265" s="85"/>
      <c r="N265" s="151"/>
      <c r="O265" s="85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85"/>
      <c r="S265" s="85"/>
      <c r="T265" s="85"/>
      <c r="U265" s="85"/>
      <c r="V265" s="85"/>
      <c r="W265" s="85"/>
      <c r="X265" s="85"/>
      <c r="Y265" s="85"/>
      <c r="Z265" s="157"/>
      <c r="AA265" s="4"/>
      <c r="AB265" s="4"/>
      <c r="AC265" s="4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49"/>
      <c r="L266" s="85"/>
      <c r="M266" s="85"/>
      <c r="N266" s="151"/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57"/>
      <c r="AA266" s="4"/>
      <c r="AB266" s="4"/>
      <c r="AC266" s="4"/>
    </row>
    <row r="267" customFormat="false" ht="15" hidden="false" customHeight="true" outlineLevel="0" collapsed="false">
      <c r="A267" s="85"/>
      <c r="B267" s="85"/>
      <c r="C267" s="85"/>
      <c r="D267" s="85"/>
      <c r="E267" s="85"/>
      <c r="F267" s="85"/>
      <c r="G267" s="85"/>
      <c r="H267" s="85"/>
      <c r="I267" s="138" t="str">
        <f aca="false">IFERROR(VLOOKUP(TEXT(H267,"0"),IPRESS!$A$3:$B$212,2,0),"")</f>
        <v/>
      </c>
      <c r="J267" s="85"/>
      <c r="K267" s="149"/>
      <c r="L267" s="85"/>
      <c r="M267" s="85"/>
      <c r="N267" s="151"/>
      <c r="O267" s="85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85"/>
      <c r="S267" s="85"/>
      <c r="T267" s="85"/>
      <c r="U267" s="85"/>
      <c r="V267" s="85"/>
      <c r="W267" s="85"/>
      <c r="X267" s="85"/>
      <c r="Y267" s="85"/>
      <c r="Z267" s="157"/>
      <c r="AA267" s="4"/>
      <c r="AB267" s="4"/>
      <c r="AC267" s="4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49"/>
      <c r="L268" s="85"/>
      <c r="M268" s="85"/>
      <c r="N268" s="151"/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57"/>
      <c r="AA268" s="4"/>
      <c r="AB268" s="4"/>
      <c r="AC268" s="4"/>
    </row>
    <row r="269" customFormat="false" ht="15" hidden="false" customHeight="true" outlineLevel="0" collapsed="false">
      <c r="A269" s="85"/>
      <c r="B269" s="85"/>
      <c r="C269" s="85"/>
      <c r="D269" s="85"/>
      <c r="E269" s="85"/>
      <c r="F269" s="85"/>
      <c r="G269" s="85"/>
      <c r="H269" s="85"/>
      <c r="I269" s="138" t="str">
        <f aca="false">IFERROR(VLOOKUP(TEXT(H269,"0"),IPRESS!$A$3:$B$212,2,0),"")</f>
        <v/>
      </c>
      <c r="J269" s="85"/>
      <c r="K269" s="149"/>
      <c r="L269" s="85"/>
      <c r="M269" s="85"/>
      <c r="N269" s="151"/>
      <c r="O269" s="85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85"/>
      <c r="S269" s="85"/>
      <c r="T269" s="85"/>
      <c r="U269" s="85"/>
      <c r="V269" s="85"/>
      <c r="W269" s="85"/>
      <c r="X269" s="85"/>
      <c r="Y269" s="85"/>
      <c r="Z269" s="157"/>
      <c r="AA269" s="4"/>
      <c r="AB269" s="4"/>
      <c r="AC269" s="4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49"/>
      <c r="L270" s="85"/>
      <c r="M270" s="85"/>
      <c r="N270" s="151"/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57"/>
      <c r="AA270" s="4"/>
      <c r="AB270" s="4"/>
      <c r="AC270" s="4"/>
    </row>
    <row r="271" customFormat="false" ht="15" hidden="false" customHeight="true" outlineLevel="0" collapsed="false">
      <c r="A271" s="85"/>
      <c r="B271" s="85"/>
      <c r="C271" s="85"/>
      <c r="D271" s="85"/>
      <c r="E271" s="85"/>
      <c r="F271" s="85"/>
      <c r="G271" s="85"/>
      <c r="H271" s="85"/>
      <c r="I271" s="138" t="str">
        <f aca="false">IFERROR(VLOOKUP(TEXT(H271,"0"),IPRESS!$A$3:$B$212,2,0),"")</f>
        <v/>
      </c>
      <c r="J271" s="85"/>
      <c r="K271" s="149"/>
      <c r="L271" s="85"/>
      <c r="M271" s="85"/>
      <c r="N271" s="151"/>
      <c r="O271" s="85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85"/>
      <c r="S271" s="85"/>
      <c r="T271" s="85"/>
      <c r="U271" s="85"/>
      <c r="V271" s="85"/>
      <c r="W271" s="85"/>
      <c r="X271" s="85"/>
      <c r="Y271" s="85"/>
      <c r="Z271" s="157"/>
      <c r="AA271" s="4"/>
      <c r="AB271" s="4"/>
      <c r="AC271" s="4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49"/>
      <c r="L272" s="85"/>
      <c r="M272" s="85"/>
      <c r="N272" s="151"/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57"/>
      <c r="AA272" s="4"/>
      <c r="AB272" s="4"/>
      <c r="AC272" s="4"/>
    </row>
    <row r="273" customFormat="false" ht="15" hidden="false" customHeight="true" outlineLevel="0" collapsed="false">
      <c r="A273" s="85"/>
      <c r="B273" s="85"/>
      <c r="C273" s="85"/>
      <c r="D273" s="85"/>
      <c r="E273" s="85"/>
      <c r="F273" s="85"/>
      <c r="G273" s="85"/>
      <c r="H273" s="85"/>
      <c r="I273" s="138" t="str">
        <f aca="false">IFERROR(VLOOKUP(TEXT(H273,"0"),IPRESS!$A$3:$B$212,2,0),"")</f>
        <v/>
      </c>
      <c r="J273" s="85"/>
      <c r="K273" s="149"/>
      <c r="L273" s="85"/>
      <c r="M273" s="85"/>
      <c r="N273" s="151"/>
      <c r="O273" s="85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85"/>
      <c r="S273" s="85"/>
      <c r="T273" s="85"/>
      <c r="U273" s="85"/>
      <c r="V273" s="85"/>
      <c r="W273" s="85"/>
      <c r="X273" s="85"/>
      <c r="Y273" s="85"/>
      <c r="Z273" s="157"/>
      <c r="AA273" s="4"/>
      <c r="AB273" s="4"/>
      <c r="AC273" s="4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49"/>
      <c r="L274" s="85"/>
      <c r="M274" s="85"/>
      <c r="N274" s="151"/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57"/>
      <c r="AA274" s="4"/>
      <c r="AB274" s="4"/>
      <c r="AC274" s="4"/>
    </row>
    <row r="275" customFormat="false" ht="15" hidden="false" customHeight="true" outlineLevel="0" collapsed="false">
      <c r="A275" s="85"/>
      <c r="B275" s="85"/>
      <c r="C275" s="85"/>
      <c r="D275" s="85"/>
      <c r="E275" s="85"/>
      <c r="F275" s="85"/>
      <c r="G275" s="85"/>
      <c r="H275" s="85"/>
      <c r="I275" s="138" t="str">
        <f aca="false">IFERROR(VLOOKUP(TEXT(H275,"0"),IPRESS!$A$3:$B$212,2,0),"")</f>
        <v/>
      </c>
      <c r="J275" s="85"/>
      <c r="K275" s="149"/>
      <c r="L275" s="85"/>
      <c r="M275" s="85"/>
      <c r="N275" s="151"/>
      <c r="O275" s="85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85"/>
      <c r="S275" s="85"/>
      <c r="T275" s="85"/>
      <c r="U275" s="85"/>
      <c r="V275" s="85"/>
      <c r="W275" s="85"/>
      <c r="X275" s="85"/>
      <c r="Y275" s="85"/>
      <c r="Z275" s="157"/>
      <c r="AA275" s="4"/>
      <c r="AB275" s="4"/>
      <c r="AC275" s="4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49"/>
      <c r="L276" s="85"/>
      <c r="M276" s="85"/>
      <c r="N276" s="151"/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57"/>
      <c r="AA276" s="4"/>
      <c r="AB276" s="4"/>
      <c r="AC276" s="4"/>
    </row>
    <row r="277" customFormat="false" ht="15" hidden="false" customHeight="true" outlineLevel="0" collapsed="false">
      <c r="A277" s="85"/>
      <c r="B277" s="85"/>
      <c r="C277" s="85"/>
      <c r="D277" s="85"/>
      <c r="E277" s="85"/>
      <c r="F277" s="85"/>
      <c r="G277" s="85"/>
      <c r="H277" s="85"/>
      <c r="I277" s="138" t="str">
        <f aca="false">IFERROR(VLOOKUP(TEXT(H277,"0"),IPRESS!$A$3:$B$212,2,0),"")</f>
        <v/>
      </c>
      <c r="J277" s="85"/>
      <c r="K277" s="149"/>
      <c r="L277" s="85"/>
      <c r="M277" s="85"/>
      <c r="N277" s="151"/>
      <c r="O277" s="85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85"/>
      <c r="S277" s="85"/>
      <c r="T277" s="85"/>
      <c r="U277" s="85"/>
      <c r="V277" s="85"/>
      <c r="W277" s="85"/>
      <c r="X277" s="85"/>
      <c r="Y277" s="85"/>
      <c r="Z277" s="157"/>
      <c r="AA277" s="4"/>
      <c r="AB277" s="4"/>
      <c r="AC277" s="4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49"/>
      <c r="L278" s="85"/>
      <c r="M278" s="85"/>
      <c r="N278" s="151"/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57"/>
      <c r="AA278" s="4"/>
      <c r="AB278" s="4"/>
      <c r="AC278" s="4"/>
    </row>
    <row r="279" customFormat="false" ht="15" hidden="false" customHeight="true" outlineLevel="0" collapsed="false">
      <c r="A279" s="85"/>
      <c r="B279" s="85"/>
      <c r="C279" s="85"/>
      <c r="D279" s="85"/>
      <c r="E279" s="85"/>
      <c r="F279" s="85"/>
      <c r="G279" s="85"/>
      <c r="H279" s="85"/>
      <c r="I279" s="138" t="str">
        <f aca="false">IFERROR(VLOOKUP(TEXT(H279,"0"),IPRESS!$A$3:$B$212,2,0),"")</f>
        <v/>
      </c>
      <c r="J279" s="85"/>
      <c r="K279" s="149"/>
      <c r="L279" s="85"/>
      <c r="M279" s="85"/>
      <c r="N279" s="151"/>
      <c r="O279" s="85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85"/>
      <c r="S279" s="85"/>
      <c r="T279" s="85"/>
      <c r="U279" s="85"/>
      <c r="V279" s="85"/>
      <c r="W279" s="85"/>
      <c r="X279" s="85"/>
      <c r="Y279" s="85"/>
      <c r="Z279" s="157"/>
      <c r="AA279" s="4"/>
      <c r="AB279" s="4"/>
      <c r="AC279" s="4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49"/>
      <c r="L280" s="85"/>
      <c r="M280" s="85"/>
      <c r="N280" s="151"/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57"/>
      <c r="AA280" s="4"/>
      <c r="AB280" s="4"/>
      <c r="AC280" s="4"/>
    </row>
    <row r="281" customFormat="false" ht="15" hidden="false" customHeight="true" outlineLevel="0" collapsed="false">
      <c r="A281" s="85"/>
      <c r="B281" s="85"/>
      <c r="C281" s="85"/>
      <c r="D281" s="85"/>
      <c r="E281" s="85"/>
      <c r="F281" s="85"/>
      <c r="G281" s="85"/>
      <c r="H281" s="85"/>
      <c r="I281" s="138" t="str">
        <f aca="false">IFERROR(VLOOKUP(TEXT(H281,"0"),IPRESS!$A$3:$B$212,2,0),"")</f>
        <v/>
      </c>
      <c r="J281" s="85"/>
      <c r="K281" s="149"/>
      <c r="L281" s="85"/>
      <c r="M281" s="85"/>
      <c r="N281" s="151"/>
      <c r="O281" s="85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85"/>
      <c r="S281" s="85"/>
      <c r="T281" s="85"/>
      <c r="U281" s="85"/>
      <c r="V281" s="85"/>
      <c r="W281" s="85"/>
      <c r="X281" s="85"/>
      <c r="Y281" s="85"/>
      <c r="Z281" s="157"/>
      <c r="AA281" s="4"/>
      <c r="AB281" s="4"/>
      <c r="AC281" s="4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49"/>
      <c r="L282" s="85"/>
      <c r="M282" s="85"/>
      <c r="N282" s="151"/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57"/>
      <c r="AA282" s="4"/>
      <c r="AB282" s="4"/>
      <c r="AC282" s="4"/>
    </row>
    <row r="283" customFormat="false" ht="15" hidden="false" customHeight="true" outlineLevel="0" collapsed="false">
      <c r="A283" s="85"/>
      <c r="B283" s="85"/>
      <c r="C283" s="85"/>
      <c r="D283" s="85"/>
      <c r="E283" s="85"/>
      <c r="F283" s="85"/>
      <c r="G283" s="85"/>
      <c r="H283" s="85"/>
      <c r="I283" s="138" t="str">
        <f aca="false">IFERROR(VLOOKUP(TEXT(H283,"0"),IPRESS!$A$3:$B$212,2,0),"")</f>
        <v/>
      </c>
      <c r="J283" s="85"/>
      <c r="K283" s="149"/>
      <c r="L283" s="85"/>
      <c r="M283" s="85"/>
      <c r="N283" s="151"/>
      <c r="O283" s="85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85"/>
      <c r="S283" s="85"/>
      <c r="T283" s="85"/>
      <c r="U283" s="85"/>
      <c r="V283" s="85"/>
      <c r="W283" s="85"/>
      <c r="X283" s="85"/>
      <c r="Y283" s="85"/>
      <c r="Z283" s="157"/>
      <c r="AA283" s="4"/>
      <c r="AB283" s="4"/>
      <c r="AC283" s="4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49"/>
      <c r="L284" s="85"/>
      <c r="M284" s="85"/>
      <c r="N284" s="151"/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57"/>
      <c r="AA284" s="4"/>
      <c r="AB284" s="4"/>
      <c r="AC284" s="4"/>
    </row>
    <row r="285" customFormat="false" ht="15" hidden="false" customHeight="true" outlineLevel="0" collapsed="false">
      <c r="A285" s="85"/>
      <c r="B285" s="85"/>
      <c r="C285" s="85"/>
      <c r="D285" s="85"/>
      <c r="E285" s="85"/>
      <c r="F285" s="85"/>
      <c r="G285" s="85"/>
      <c r="H285" s="85"/>
      <c r="I285" s="138" t="str">
        <f aca="false">IFERROR(VLOOKUP(TEXT(H285,"0"),IPRESS!$A$3:$B$212,2,0),"")</f>
        <v/>
      </c>
      <c r="J285" s="85"/>
      <c r="K285" s="149"/>
      <c r="L285" s="85"/>
      <c r="M285" s="85"/>
      <c r="N285" s="151"/>
      <c r="O285" s="85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85"/>
      <c r="S285" s="85"/>
      <c r="T285" s="85"/>
      <c r="U285" s="85"/>
      <c r="V285" s="85"/>
      <c r="W285" s="85"/>
      <c r="X285" s="85"/>
      <c r="Y285" s="85"/>
      <c r="Z285" s="157"/>
      <c r="AA285" s="4"/>
      <c r="AB285" s="4"/>
      <c r="AC285" s="4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49"/>
      <c r="L286" s="85"/>
      <c r="M286" s="85"/>
      <c r="N286" s="151"/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57"/>
      <c r="AA286" s="4"/>
      <c r="AB286" s="4"/>
      <c r="AC286" s="4"/>
    </row>
    <row r="287" customFormat="false" ht="15" hidden="false" customHeight="true" outlineLevel="0" collapsed="false">
      <c r="A287" s="85"/>
      <c r="B287" s="85"/>
      <c r="C287" s="85"/>
      <c r="D287" s="85"/>
      <c r="E287" s="85"/>
      <c r="F287" s="85"/>
      <c r="G287" s="85"/>
      <c r="H287" s="85"/>
      <c r="I287" s="138" t="str">
        <f aca="false">IFERROR(VLOOKUP(TEXT(H287,"0"),IPRESS!$A$3:$B$212,2,0),"")</f>
        <v/>
      </c>
      <c r="J287" s="85"/>
      <c r="K287" s="149"/>
      <c r="L287" s="85"/>
      <c r="M287" s="85"/>
      <c r="N287" s="151"/>
      <c r="O287" s="85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85"/>
      <c r="S287" s="85"/>
      <c r="T287" s="85"/>
      <c r="U287" s="85"/>
      <c r="V287" s="85"/>
      <c r="W287" s="85"/>
      <c r="X287" s="85"/>
      <c r="Y287" s="85"/>
      <c r="Z287" s="157"/>
      <c r="AA287" s="4"/>
      <c r="AB287" s="4"/>
      <c r="AC287" s="4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49"/>
      <c r="L288" s="85"/>
      <c r="M288" s="85"/>
      <c r="N288" s="151"/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57"/>
      <c r="AA288" s="4"/>
      <c r="AB288" s="4"/>
      <c r="AC288" s="4"/>
    </row>
    <row r="289" customFormat="false" ht="15" hidden="false" customHeight="true" outlineLevel="0" collapsed="false">
      <c r="A289" s="85"/>
      <c r="B289" s="85"/>
      <c r="C289" s="85"/>
      <c r="D289" s="85"/>
      <c r="E289" s="85"/>
      <c r="F289" s="85"/>
      <c r="G289" s="85"/>
      <c r="H289" s="85"/>
      <c r="I289" s="138" t="str">
        <f aca="false">IFERROR(VLOOKUP(TEXT(H289,"0"),IPRESS!$A$3:$B$212,2,0),"")</f>
        <v/>
      </c>
      <c r="J289" s="85"/>
      <c r="K289" s="149"/>
      <c r="L289" s="85"/>
      <c r="M289" s="85"/>
      <c r="N289" s="151"/>
      <c r="O289" s="85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85"/>
      <c r="S289" s="85"/>
      <c r="T289" s="85"/>
      <c r="U289" s="85"/>
      <c r="V289" s="85"/>
      <c r="W289" s="85"/>
      <c r="X289" s="85"/>
      <c r="Y289" s="85"/>
      <c r="Z289" s="157"/>
      <c r="AA289" s="4"/>
      <c r="AB289" s="4"/>
      <c r="AC289" s="4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49"/>
      <c r="L290" s="85"/>
      <c r="M290" s="85"/>
      <c r="N290" s="151"/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57"/>
      <c r="AA290" s="4"/>
      <c r="AB290" s="4"/>
      <c r="AC290" s="4"/>
    </row>
    <row r="291" customFormat="false" ht="15" hidden="false" customHeight="true" outlineLevel="0" collapsed="false">
      <c r="A291" s="85"/>
      <c r="B291" s="85"/>
      <c r="C291" s="85"/>
      <c r="D291" s="85"/>
      <c r="E291" s="85"/>
      <c r="F291" s="85"/>
      <c r="G291" s="85"/>
      <c r="H291" s="85"/>
      <c r="I291" s="138" t="str">
        <f aca="false">IFERROR(VLOOKUP(TEXT(H291,"0"),IPRESS!$A$3:$B$212,2,0),"")</f>
        <v/>
      </c>
      <c r="J291" s="85"/>
      <c r="K291" s="149"/>
      <c r="L291" s="85"/>
      <c r="M291" s="85"/>
      <c r="N291" s="151"/>
      <c r="O291" s="85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85"/>
      <c r="S291" s="85"/>
      <c r="T291" s="85"/>
      <c r="U291" s="85"/>
      <c r="V291" s="85"/>
      <c r="W291" s="85"/>
      <c r="X291" s="85"/>
      <c r="Y291" s="85"/>
      <c r="Z291" s="157"/>
      <c r="AA291" s="4"/>
      <c r="AB291" s="4"/>
      <c r="AC291" s="4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49"/>
      <c r="L292" s="85"/>
      <c r="M292" s="85"/>
      <c r="N292" s="151"/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57"/>
      <c r="AA292" s="4"/>
      <c r="AB292" s="4"/>
      <c r="AC292" s="4"/>
    </row>
    <row r="293" customFormat="false" ht="15" hidden="false" customHeight="true" outlineLevel="0" collapsed="false">
      <c r="A293" s="85"/>
      <c r="B293" s="85"/>
      <c r="C293" s="85"/>
      <c r="D293" s="85"/>
      <c r="E293" s="85"/>
      <c r="F293" s="85"/>
      <c r="G293" s="85"/>
      <c r="H293" s="85"/>
      <c r="I293" s="138" t="str">
        <f aca="false">IFERROR(VLOOKUP(TEXT(H293,"0"),IPRESS!$A$3:$B$212,2,0),"")</f>
        <v/>
      </c>
      <c r="J293" s="85"/>
      <c r="K293" s="149"/>
      <c r="L293" s="85"/>
      <c r="M293" s="85"/>
      <c r="N293" s="151"/>
      <c r="O293" s="85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85"/>
      <c r="S293" s="85"/>
      <c r="T293" s="85"/>
      <c r="U293" s="85"/>
      <c r="V293" s="85"/>
      <c r="W293" s="85"/>
      <c r="X293" s="85"/>
      <c r="Y293" s="85"/>
      <c r="Z293" s="157"/>
      <c r="AA293" s="4"/>
      <c r="AB293" s="4"/>
      <c r="AC293" s="4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49"/>
      <c r="L294" s="85"/>
      <c r="M294" s="85"/>
      <c r="N294" s="151"/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57"/>
      <c r="AA294" s="4"/>
      <c r="AB294" s="4"/>
      <c r="AC294" s="4"/>
    </row>
    <row r="295" customFormat="false" ht="15" hidden="false" customHeight="true" outlineLevel="0" collapsed="false">
      <c r="A295" s="85"/>
      <c r="B295" s="85"/>
      <c r="C295" s="85"/>
      <c r="D295" s="85"/>
      <c r="E295" s="85"/>
      <c r="F295" s="85"/>
      <c r="G295" s="85"/>
      <c r="H295" s="85"/>
      <c r="I295" s="138" t="str">
        <f aca="false">IFERROR(VLOOKUP(TEXT(H295,"0"),IPRESS!$A$3:$B$212,2,0),"")</f>
        <v/>
      </c>
      <c r="J295" s="85"/>
      <c r="K295" s="149"/>
      <c r="L295" s="85"/>
      <c r="M295" s="85"/>
      <c r="N295" s="151"/>
      <c r="O295" s="85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85"/>
      <c r="S295" s="85"/>
      <c r="T295" s="85"/>
      <c r="U295" s="85"/>
      <c r="V295" s="85"/>
      <c r="W295" s="85"/>
      <c r="X295" s="85"/>
      <c r="Y295" s="85"/>
      <c r="Z295" s="157"/>
      <c r="AA295" s="4"/>
      <c r="AB295" s="4"/>
      <c r="AC295" s="4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49"/>
      <c r="L296" s="85"/>
      <c r="M296" s="85"/>
      <c r="N296" s="151"/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57"/>
      <c r="AA296" s="4"/>
      <c r="AB296" s="4"/>
      <c r="AC296" s="4"/>
    </row>
    <row r="297" customFormat="false" ht="15" hidden="false" customHeight="true" outlineLevel="0" collapsed="false">
      <c r="A297" s="85"/>
      <c r="B297" s="85"/>
      <c r="C297" s="85"/>
      <c r="D297" s="85"/>
      <c r="E297" s="85"/>
      <c r="F297" s="85"/>
      <c r="G297" s="85"/>
      <c r="H297" s="85"/>
      <c r="I297" s="138" t="str">
        <f aca="false">IFERROR(VLOOKUP(TEXT(H297,"0"),IPRESS!$A$3:$B$212,2,0),"")</f>
        <v/>
      </c>
      <c r="J297" s="85"/>
      <c r="K297" s="149"/>
      <c r="L297" s="85"/>
      <c r="M297" s="85"/>
      <c r="N297" s="151"/>
      <c r="O297" s="85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85"/>
      <c r="S297" s="85"/>
      <c r="T297" s="85"/>
      <c r="U297" s="85"/>
      <c r="V297" s="85"/>
      <c r="W297" s="85"/>
      <c r="X297" s="85"/>
      <c r="Y297" s="85"/>
      <c r="Z297" s="157"/>
      <c r="AA297" s="4"/>
      <c r="AB297" s="4"/>
      <c r="AC297" s="4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49"/>
      <c r="L298" s="85"/>
      <c r="M298" s="85"/>
      <c r="N298" s="151"/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57"/>
      <c r="AA298" s="4"/>
      <c r="AB298" s="4"/>
      <c r="AC298" s="4"/>
    </row>
    <row r="299" customFormat="false" ht="15" hidden="false" customHeight="true" outlineLevel="0" collapsed="false">
      <c r="A299" s="85"/>
      <c r="B299" s="85"/>
      <c r="C299" s="85"/>
      <c r="D299" s="85"/>
      <c r="E299" s="85"/>
      <c r="F299" s="85"/>
      <c r="G299" s="85"/>
      <c r="H299" s="85"/>
      <c r="I299" s="138" t="str">
        <f aca="false">IFERROR(VLOOKUP(TEXT(H299,"0"),IPRESS!$A$3:$B$212,2,0),"")</f>
        <v/>
      </c>
      <c r="J299" s="85"/>
      <c r="K299" s="149"/>
      <c r="L299" s="85"/>
      <c r="M299" s="85"/>
      <c r="N299" s="151"/>
      <c r="O299" s="85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85"/>
      <c r="S299" s="85"/>
      <c r="T299" s="85"/>
      <c r="U299" s="85"/>
      <c r="V299" s="85"/>
      <c r="W299" s="85"/>
      <c r="X299" s="85"/>
      <c r="Y299" s="85"/>
      <c r="Z299" s="157"/>
      <c r="AA299" s="4"/>
      <c r="AB299" s="4"/>
      <c r="AC299" s="4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49"/>
      <c r="L300" s="85"/>
      <c r="M300" s="85"/>
      <c r="N300" s="151"/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57"/>
      <c r="AA300" s="4"/>
      <c r="AB300" s="4"/>
      <c r="AC300" s="4"/>
    </row>
    <row r="301" customFormat="false" ht="15" hidden="false" customHeight="true" outlineLevel="0" collapsed="false">
      <c r="A301" s="85"/>
      <c r="B301" s="85"/>
      <c r="C301" s="85"/>
      <c r="D301" s="85"/>
      <c r="E301" s="85"/>
      <c r="F301" s="85"/>
      <c r="G301" s="85"/>
      <c r="H301" s="85"/>
      <c r="I301" s="138" t="str">
        <f aca="false">IFERROR(VLOOKUP(TEXT(H301,"0"),IPRESS!$A$3:$B$212,2,0),"")</f>
        <v/>
      </c>
      <c r="J301" s="85"/>
      <c r="K301" s="149"/>
      <c r="L301" s="85"/>
      <c r="M301" s="85"/>
      <c r="N301" s="151"/>
      <c r="O301" s="85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85"/>
      <c r="S301" s="85"/>
      <c r="T301" s="85"/>
      <c r="U301" s="85"/>
      <c r="V301" s="85"/>
      <c r="W301" s="85"/>
      <c r="X301" s="85"/>
      <c r="Y301" s="85"/>
      <c r="Z301" s="157"/>
      <c r="AA301" s="4"/>
      <c r="AB301" s="4"/>
      <c r="AC301" s="4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49"/>
      <c r="L302" s="85"/>
      <c r="M302" s="85"/>
      <c r="N302" s="151"/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57"/>
      <c r="AA302" s="4"/>
      <c r="AB302" s="4"/>
      <c r="AC302" s="4"/>
    </row>
    <row r="303" customFormat="false" ht="15" hidden="false" customHeight="true" outlineLevel="0" collapsed="false">
      <c r="A303" s="85"/>
      <c r="B303" s="85"/>
      <c r="C303" s="85"/>
      <c r="D303" s="85"/>
      <c r="E303" s="85"/>
      <c r="F303" s="85"/>
      <c r="G303" s="85"/>
      <c r="H303" s="85"/>
      <c r="I303" s="138" t="str">
        <f aca="false">IFERROR(VLOOKUP(TEXT(H303,"0"),IPRESS!$A$3:$B$212,2,0),"")</f>
        <v/>
      </c>
      <c r="J303" s="85"/>
      <c r="K303" s="149"/>
      <c r="L303" s="85"/>
      <c r="M303" s="85"/>
      <c r="N303" s="151"/>
      <c r="O303" s="85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85"/>
      <c r="S303" s="85"/>
      <c r="T303" s="85"/>
      <c r="U303" s="85"/>
      <c r="V303" s="85"/>
      <c r="W303" s="85"/>
      <c r="X303" s="85"/>
      <c r="Y303" s="85"/>
      <c r="Z303" s="157"/>
      <c r="AA303" s="4"/>
      <c r="AB303" s="4"/>
      <c r="AC303" s="4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49"/>
      <c r="L304" s="85"/>
      <c r="M304" s="85"/>
      <c r="N304" s="151"/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57"/>
      <c r="AA304" s="4"/>
      <c r="AB304" s="4"/>
      <c r="AC304" s="4"/>
    </row>
    <row r="305" customFormat="false" ht="15" hidden="false" customHeight="true" outlineLevel="0" collapsed="false">
      <c r="A305" s="85"/>
      <c r="B305" s="85"/>
      <c r="C305" s="85"/>
      <c r="D305" s="85"/>
      <c r="E305" s="85"/>
      <c r="F305" s="85"/>
      <c r="G305" s="85"/>
      <c r="H305" s="85"/>
      <c r="I305" s="138" t="str">
        <f aca="false">IFERROR(VLOOKUP(TEXT(H305,"0"),IPRESS!$A$3:$B$212,2,0),"")</f>
        <v/>
      </c>
      <c r="J305" s="85"/>
      <c r="K305" s="149"/>
      <c r="L305" s="85"/>
      <c r="M305" s="85"/>
      <c r="N305" s="151"/>
      <c r="O305" s="85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85"/>
      <c r="S305" s="85"/>
      <c r="T305" s="85"/>
      <c r="U305" s="85"/>
      <c r="V305" s="85"/>
      <c r="W305" s="85"/>
      <c r="X305" s="85"/>
      <c r="Y305" s="85"/>
      <c r="Z305" s="157"/>
      <c r="AA305" s="4"/>
      <c r="AB305" s="4"/>
      <c r="AC305" s="4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49"/>
      <c r="L306" s="85"/>
      <c r="M306" s="85"/>
      <c r="N306" s="151"/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57"/>
      <c r="AA306" s="4"/>
      <c r="AB306" s="4"/>
      <c r="AC306" s="4"/>
    </row>
    <row r="307" customFormat="false" ht="15" hidden="false" customHeight="true" outlineLevel="0" collapsed="false">
      <c r="A307" s="85"/>
      <c r="B307" s="85"/>
      <c r="C307" s="85"/>
      <c r="D307" s="85"/>
      <c r="E307" s="85"/>
      <c r="F307" s="85"/>
      <c r="G307" s="85"/>
      <c r="H307" s="85"/>
      <c r="I307" s="138" t="str">
        <f aca="false">IFERROR(VLOOKUP(TEXT(H307,"0"),IPRESS!$A$3:$B$212,2,0),"")</f>
        <v/>
      </c>
      <c r="J307" s="85"/>
      <c r="K307" s="149"/>
      <c r="L307" s="85"/>
      <c r="M307" s="85"/>
      <c r="N307" s="151"/>
      <c r="O307" s="85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85"/>
      <c r="S307" s="85"/>
      <c r="T307" s="85"/>
      <c r="U307" s="85"/>
      <c r="V307" s="85"/>
      <c r="W307" s="85"/>
      <c r="X307" s="85"/>
      <c r="Y307" s="85"/>
      <c r="Z307" s="157"/>
      <c r="AA307" s="4"/>
      <c r="AB307" s="4"/>
      <c r="AC307" s="4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49"/>
      <c r="L308" s="85"/>
      <c r="M308" s="85"/>
      <c r="N308" s="151"/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57"/>
      <c r="AA308" s="4"/>
      <c r="AB308" s="4"/>
      <c r="AC308" s="4"/>
    </row>
    <row r="309" customFormat="false" ht="15" hidden="false" customHeight="true" outlineLevel="0" collapsed="false">
      <c r="A309" s="85"/>
      <c r="B309" s="85"/>
      <c r="C309" s="85"/>
      <c r="D309" s="85"/>
      <c r="E309" s="85"/>
      <c r="F309" s="85"/>
      <c r="G309" s="85"/>
      <c r="H309" s="85"/>
      <c r="I309" s="138" t="str">
        <f aca="false">IFERROR(VLOOKUP(TEXT(H309,"0"),IPRESS!$A$3:$B$212,2,0),"")</f>
        <v/>
      </c>
      <c r="J309" s="85"/>
      <c r="K309" s="149"/>
      <c r="L309" s="85"/>
      <c r="M309" s="85"/>
      <c r="N309" s="151"/>
      <c r="O309" s="85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85"/>
      <c r="S309" s="85"/>
      <c r="T309" s="85"/>
      <c r="U309" s="85"/>
      <c r="V309" s="85"/>
      <c r="W309" s="85"/>
      <c r="X309" s="85"/>
      <c r="Y309" s="85"/>
      <c r="Z309" s="157"/>
      <c r="AA309" s="4"/>
      <c r="AB309" s="4"/>
      <c r="AC309" s="4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49"/>
      <c r="L310" s="85"/>
      <c r="M310" s="85"/>
      <c r="N310" s="151"/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57"/>
      <c r="AA310" s="4"/>
      <c r="AB310" s="4"/>
      <c r="AC310" s="4"/>
    </row>
    <row r="311" customFormat="false" ht="15" hidden="false" customHeight="true" outlineLevel="0" collapsed="false">
      <c r="A311" s="85"/>
      <c r="B311" s="85"/>
      <c r="C311" s="85"/>
      <c r="D311" s="85"/>
      <c r="E311" s="85"/>
      <c r="F311" s="85"/>
      <c r="G311" s="85"/>
      <c r="H311" s="85"/>
      <c r="I311" s="138" t="str">
        <f aca="false">IFERROR(VLOOKUP(TEXT(H311,"0"),IPRESS!$A$3:$B$212,2,0),"")</f>
        <v/>
      </c>
      <c r="J311" s="85"/>
      <c r="K311" s="149"/>
      <c r="L311" s="85"/>
      <c r="M311" s="85"/>
      <c r="N311" s="151"/>
      <c r="O311" s="85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85"/>
      <c r="S311" s="85"/>
      <c r="T311" s="85"/>
      <c r="U311" s="85"/>
      <c r="V311" s="85"/>
      <c r="W311" s="85"/>
      <c r="X311" s="85"/>
      <c r="Y311" s="85"/>
      <c r="Z311" s="157"/>
      <c r="AA311" s="4"/>
      <c r="AB311" s="4"/>
      <c r="AC311" s="4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49"/>
      <c r="L312" s="85"/>
      <c r="M312" s="85"/>
      <c r="N312" s="151"/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57"/>
      <c r="AA312" s="4"/>
      <c r="AB312" s="4"/>
      <c r="AC312" s="4"/>
    </row>
    <row r="313" customFormat="false" ht="15" hidden="false" customHeight="true" outlineLevel="0" collapsed="false">
      <c r="A313" s="85"/>
      <c r="B313" s="85"/>
      <c r="C313" s="85"/>
      <c r="D313" s="85"/>
      <c r="E313" s="85"/>
      <c r="F313" s="85"/>
      <c r="G313" s="85"/>
      <c r="H313" s="85"/>
      <c r="I313" s="138" t="str">
        <f aca="false">IFERROR(VLOOKUP(TEXT(H313,"0"),IPRESS!$A$3:$B$212,2,0),"")</f>
        <v/>
      </c>
      <c r="J313" s="85"/>
      <c r="K313" s="149"/>
      <c r="L313" s="85"/>
      <c r="M313" s="85"/>
      <c r="N313" s="151"/>
      <c r="O313" s="85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85"/>
      <c r="S313" s="85"/>
      <c r="T313" s="85"/>
      <c r="U313" s="85"/>
      <c r="V313" s="85"/>
      <c r="W313" s="85"/>
      <c r="X313" s="85"/>
      <c r="Y313" s="85"/>
      <c r="Z313" s="157"/>
      <c r="AA313" s="4"/>
      <c r="AB313" s="4"/>
      <c r="AC313" s="4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49"/>
      <c r="L314" s="85"/>
      <c r="M314" s="85"/>
      <c r="N314" s="151"/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57"/>
      <c r="AA314" s="4"/>
      <c r="AB314" s="4"/>
      <c r="AC314" s="4"/>
    </row>
    <row r="315" customFormat="false" ht="15" hidden="false" customHeight="true" outlineLevel="0" collapsed="false">
      <c r="A315" s="85"/>
      <c r="B315" s="85"/>
      <c r="C315" s="85"/>
      <c r="D315" s="85"/>
      <c r="E315" s="85"/>
      <c r="F315" s="85"/>
      <c r="G315" s="85"/>
      <c r="H315" s="85"/>
      <c r="I315" s="138" t="str">
        <f aca="false">IFERROR(VLOOKUP(TEXT(H315,"0"),IPRESS!$A$3:$B$212,2,0),"")</f>
        <v/>
      </c>
      <c r="J315" s="85"/>
      <c r="K315" s="149"/>
      <c r="L315" s="85"/>
      <c r="M315" s="85"/>
      <c r="N315" s="151"/>
      <c r="O315" s="85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85"/>
      <c r="S315" s="85"/>
      <c r="T315" s="85"/>
      <c r="U315" s="85"/>
      <c r="V315" s="85"/>
      <c r="W315" s="85"/>
      <c r="X315" s="85"/>
      <c r="Y315" s="85"/>
      <c r="Z315" s="157"/>
      <c r="AA315" s="4"/>
      <c r="AB315" s="4"/>
      <c r="AC315" s="4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49"/>
      <c r="L316" s="85"/>
      <c r="M316" s="85"/>
      <c r="N316" s="151"/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57"/>
      <c r="AA316" s="4"/>
      <c r="AB316" s="4"/>
      <c r="AC316" s="4"/>
    </row>
    <row r="317" customFormat="false" ht="15" hidden="false" customHeight="true" outlineLevel="0" collapsed="false">
      <c r="A317" s="85"/>
      <c r="B317" s="85"/>
      <c r="C317" s="85"/>
      <c r="D317" s="85"/>
      <c r="E317" s="85"/>
      <c r="F317" s="85"/>
      <c r="G317" s="85"/>
      <c r="H317" s="85"/>
      <c r="I317" s="138" t="str">
        <f aca="false">IFERROR(VLOOKUP(TEXT(H317,"0"),IPRESS!$A$3:$B$212,2,0),"")</f>
        <v/>
      </c>
      <c r="J317" s="85"/>
      <c r="K317" s="149"/>
      <c r="L317" s="85"/>
      <c r="M317" s="85"/>
      <c r="N317" s="151"/>
      <c r="O317" s="85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85"/>
      <c r="S317" s="85"/>
      <c r="T317" s="85"/>
      <c r="U317" s="85"/>
      <c r="V317" s="85"/>
      <c r="W317" s="85"/>
      <c r="X317" s="85"/>
      <c r="Y317" s="85"/>
      <c r="Z317" s="157"/>
      <c r="AA317" s="4"/>
      <c r="AB317" s="4"/>
      <c r="AC317" s="4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49"/>
      <c r="L318" s="85"/>
      <c r="M318" s="85"/>
      <c r="N318" s="151"/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57"/>
      <c r="AA318" s="4"/>
      <c r="AB318" s="4"/>
      <c r="AC318" s="4"/>
    </row>
    <row r="319" customFormat="false" ht="15" hidden="false" customHeight="true" outlineLevel="0" collapsed="false">
      <c r="A319" s="85"/>
      <c r="B319" s="85"/>
      <c r="C319" s="85"/>
      <c r="D319" s="85"/>
      <c r="E319" s="85"/>
      <c r="F319" s="85"/>
      <c r="G319" s="85"/>
      <c r="H319" s="85"/>
      <c r="I319" s="138" t="str">
        <f aca="false">IFERROR(VLOOKUP(TEXT(H319,"0"),IPRESS!$A$3:$B$212,2,0),"")</f>
        <v/>
      </c>
      <c r="J319" s="85"/>
      <c r="K319" s="149"/>
      <c r="L319" s="85"/>
      <c r="M319" s="85"/>
      <c r="N319" s="151"/>
      <c r="O319" s="85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85"/>
      <c r="S319" s="85"/>
      <c r="T319" s="85"/>
      <c r="U319" s="85"/>
      <c r="V319" s="85"/>
      <c r="W319" s="85"/>
      <c r="X319" s="85"/>
      <c r="Y319" s="85"/>
      <c r="Z319" s="157"/>
      <c r="AA319" s="4"/>
      <c r="AB319" s="4"/>
      <c r="AC319" s="4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49"/>
      <c r="L320" s="85"/>
      <c r="M320" s="85"/>
      <c r="N320" s="151"/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57"/>
      <c r="AA320" s="4"/>
      <c r="AB320" s="4"/>
      <c r="AC320" s="4"/>
    </row>
    <row r="321" customFormat="false" ht="15" hidden="false" customHeight="true" outlineLevel="0" collapsed="false">
      <c r="A321" s="85"/>
      <c r="B321" s="85"/>
      <c r="C321" s="85"/>
      <c r="D321" s="85"/>
      <c r="E321" s="85"/>
      <c r="F321" s="85"/>
      <c r="G321" s="85"/>
      <c r="H321" s="85"/>
      <c r="I321" s="138" t="str">
        <f aca="false">IFERROR(VLOOKUP(TEXT(H321,"0"),IPRESS!$A$3:$B$212,2,0),"")</f>
        <v/>
      </c>
      <c r="J321" s="85"/>
      <c r="K321" s="149"/>
      <c r="L321" s="85"/>
      <c r="M321" s="85"/>
      <c r="N321" s="151"/>
      <c r="O321" s="85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85"/>
      <c r="S321" s="85"/>
      <c r="T321" s="85"/>
      <c r="U321" s="85"/>
      <c r="V321" s="85"/>
      <c r="W321" s="85"/>
      <c r="X321" s="85"/>
      <c r="Y321" s="85"/>
      <c r="Z321" s="157"/>
      <c r="AA321" s="4"/>
      <c r="AB321" s="4"/>
      <c r="AC321" s="4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49"/>
      <c r="L322" s="85"/>
      <c r="M322" s="85"/>
      <c r="N322" s="151"/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57"/>
      <c r="AA322" s="4"/>
      <c r="AB322" s="4"/>
      <c r="AC322" s="4"/>
    </row>
    <row r="323" customFormat="false" ht="15" hidden="false" customHeight="true" outlineLevel="0" collapsed="false">
      <c r="A323" s="85"/>
      <c r="B323" s="85"/>
      <c r="C323" s="85"/>
      <c r="D323" s="85"/>
      <c r="E323" s="85"/>
      <c r="F323" s="85"/>
      <c r="G323" s="85"/>
      <c r="H323" s="85"/>
      <c r="I323" s="138" t="str">
        <f aca="false">IFERROR(VLOOKUP(TEXT(H323,"0"),IPRESS!$A$3:$B$212,2,0),"")</f>
        <v/>
      </c>
      <c r="J323" s="85"/>
      <c r="K323" s="149"/>
      <c r="L323" s="85"/>
      <c r="M323" s="85"/>
      <c r="N323" s="151"/>
      <c r="O323" s="85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85"/>
      <c r="S323" s="85"/>
      <c r="T323" s="85"/>
      <c r="U323" s="85"/>
      <c r="V323" s="85"/>
      <c r="W323" s="85"/>
      <c r="X323" s="85"/>
      <c r="Y323" s="85"/>
      <c r="Z323" s="157"/>
      <c r="AA323" s="4"/>
      <c r="AB323" s="4"/>
      <c r="AC323" s="4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49"/>
      <c r="L324" s="85"/>
      <c r="M324" s="85"/>
      <c r="N324" s="151"/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57"/>
      <c r="AA324" s="4"/>
      <c r="AB324" s="4"/>
      <c r="AC324" s="4"/>
    </row>
    <row r="325" customFormat="false" ht="15" hidden="false" customHeight="true" outlineLevel="0" collapsed="false">
      <c r="A325" s="85"/>
      <c r="B325" s="85"/>
      <c r="C325" s="85"/>
      <c r="D325" s="85"/>
      <c r="E325" s="85"/>
      <c r="F325" s="85"/>
      <c r="G325" s="85"/>
      <c r="H325" s="85"/>
      <c r="I325" s="138" t="str">
        <f aca="false">IFERROR(VLOOKUP(TEXT(H325,"0"),IPRESS!$A$3:$B$212,2,0),"")</f>
        <v/>
      </c>
      <c r="J325" s="85"/>
      <c r="K325" s="149"/>
      <c r="L325" s="85"/>
      <c r="M325" s="85"/>
      <c r="N325" s="151"/>
      <c r="O325" s="85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85"/>
      <c r="S325" s="85"/>
      <c r="T325" s="85"/>
      <c r="U325" s="85"/>
      <c r="V325" s="85"/>
      <c r="W325" s="85"/>
      <c r="X325" s="85"/>
      <c r="Y325" s="85"/>
      <c r="Z325" s="157"/>
      <c r="AA325" s="4"/>
      <c r="AB325" s="4"/>
      <c r="AC325" s="4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49"/>
      <c r="L326" s="85"/>
      <c r="M326" s="85"/>
      <c r="N326" s="151"/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57"/>
      <c r="AA326" s="4"/>
      <c r="AB326" s="4"/>
      <c r="AC326" s="4"/>
    </row>
    <row r="327" customFormat="false" ht="15" hidden="false" customHeight="true" outlineLevel="0" collapsed="false">
      <c r="A327" s="85"/>
      <c r="B327" s="85"/>
      <c r="C327" s="85"/>
      <c r="D327" s="85"/>
      <c r="E327" s="85"/>
      <c r="F327" s="85"/>
      <c r="G327" s="85"/>
      <c r="H327" s="85"/>
      <c r="I327" s="138" t="str">
        <f aca="false">IFERROR(VLOOKUP(TEXT(H327,"0"),IPRESS!$A$3:$B$212,2,0),"")</f>
        <v/>
      </c>
      <c r="J327" s="85"/>
      <c r="K327" s="149"/>
      <c r="L327" s="85"/>
      <c r="M327" s="85"/>
      <c r="N327" s="151"/>
      <c r="O327" s="85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85"/>
      <c r="S327" s="85"/>
      <c r="T327" s="85"/>
      <c r="U327" s="85"/>
      <c r="V327" s="85"/>
      <c r="W327" s="85"/>
      <c r="X327" s="85"/>
      <c r="Y327" s="85"/>
      <c r="Z327" s="157"/>
      <c r="AA327" s="4"/>
      <c r="AB327" s="4"/>
      <c r="AC327" s="4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49"/>
      <c r="L328" s="85"/>
      <c r="M328" s="85"/>
      <c r="N328" s="151"/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57"/>
      <c r="AA328" s="4"/>
      <c r="AB328" s="4"/>
      <c r="AC328" s="4"/>
    </row>
    <row r="329" customFormat="false" ht="15" hidden="false" customHeight="true" outlineLevel="0" collapsed="false">
      <c r="A329" s="85"/>
      <c r="B329" s="85"/>
      <c r="C329" s="85"/>
      <c r="D329" s="85"/>
      <c r="E329" s="85"/>
      <c r="F329" s="85"/>
      <c r="G329" s="85"/>
      <c r="H329" s="85"/>
      <c r="I329" s="138" t="str">
        <f aca="false">IFERROR(VLOOKUP(TEXT(H329,"0"),IPRESS!$A$3:$B$212,2,0),"")</f>
        <v/>
      </c>
      <c r="J329" s="85"/>
      <c r="K329" s="149"/>
      <c r="L329" s="85"/>
      <c r="M329" s="85"/>
      <c r="N329" s="151"/>
      <c r="O329" s="85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85"/>
      <c r="S329" s="85"/>
      <c r="T329" s="85"/>
      <c r="U329" s="85"/>
      <c r="V329" s="85"/>
      <c r="W329" s="85"/>
      <c r="X329" s="85"/>
      <c r="Y329" s="85"/>
      <c r="Z329" s="157"/>
      <c r="AA329" s="4"/>
      <c r="AB329" s="4"/>
      <c r="AC329" s="4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49"/>
      <c r="L330" s="85"/>
      <c r="M330" s="85"/>
      <c r="N330" s="151"/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57"/>
      <c r="AA330" s="4"/>
      <c r="AB330" s="4"/>
      <c r="AC330" s="4"/>
    </row>
    <row r="331" customFormat="false" ht="15" hidden="false" customHeight="true" outlineLevel="0" collapsed="false">
      <c r="A331" s="85"/>
      <c r="B331" s="85"/>
      <c r="C331" s="85"/>
      <c r="D331" s="85"/>
      <c r="E331" s="85"/>
      <c r="F331" s="85"/>
      <c r="G331" s="85"/>
      <c r="H331" s="85"/>
      <c r="I331" s="138" t="str">
        <f aca="false">IFERROR(VLOOKUP(TEXT(H331,"0"),IPRESS!$A$3:$B$212,2,0),"")</f>
        <v/>
      </c>
      <c r="J331" s="85"/>
      <c r="K331" s="149"/>
      <c r="L331" s="85"/>
      <c r="M331" s="85"/>
      <c r="N331" s="151"/>
      <c r="O331" s="85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85"/>
      <c r="S331" s="85"/>
      <c r="T331" s="85"/>
      <c r="U331" s="85"/>
      <c r="V331" s="85"/>
      <c r="W331" s="85"/>
      <c r="X331" s="85"/>
      <c r="Y331" s="85"/>
      <c r="Z331" s="157"/>
      <c r="AA331" s="4"/>
      <c r="AB331" s="4"/>
      <c r="AC331" s="4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49"/>
      <c r="L332" s="85"/>
      <c r="M332" s="85"/>
      <c r="N332" s="151"/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57"/>
      <c r="AA332" s="4"/>
      <c r="AB332" s="4"/>
      <c r="AC332" s="4"/>
    </row>
    <row r="333" customFormat="false" ht="15" hidden="false" customHeight="true" outlineLevel="0" collapsed="false">
      <c r="A333" s="85"/>
      <c r="B333" s="85"/>
      <c r="C333" s="85"/>
      <c r="D333" s="85"/>
      <c r="E333" s="85"/>
      <c r="F333" s="85"/>
      <c r="G333" s="85"/>
      <c r="H333" s="85"/>
      <c r="I333" s="138" t="str">
        <f aca="false">IFERROR(VLOOKUP(TEXT(H333,"0"),IPRESS!$A$3:$B$212,2,0),"")</f>
        <v/>
      </c>
      <c r="J333" s="85"/>
      <c r="K333" s="149"/>
      <c r="L333" s="85"/>
      <c r="M333" s="85"/>
      <c r="N333" s="151"/>
      <c r="O333" s="85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85"/>
      <c r="S333" s="85"/>
      <c r="T333" s="85"/>
      <c r="U333" s="85"/>
      <c r="V333" s="85"/>
      <c r="W333" s="85"/>
      <c r="X333" s="85"/>
      <c r="Y333" s="85"/>
      <c r="Z333" s="157"/>
      <c r="AA333" s="4"/>
      <c r="AB333" s="4"/>
      <c r="AC333" s="4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49"/>
      <c r="L334" s="85"/>
      <c r="M334" s="85"/>
      <c r="N334" s="151"/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57"/>
      <c r="AA334" s="4"/>
      <c r="AB334" s="4"/>
      <c r="AC334" s="4"/>
    </row>
    <row r="335" customFormat="false" ht="15" hidden="false" customHeight="true" outlineLevel="0" collapsed="false">
      <c r="A335" s="85"/>
      <c r="B335" s="85"/>
      <c r="C335" s="85"/>
      <c r="D335" s="85"/>
      <c r="E335" s="85"/>
      <c r="F335" s="85"/>
      <c r="G335" s="85"/>
      <c r="H335" s="85"/>
      <c r="I335" s="138" t="str">
        <f aca="false">IFERROR(VLOOKUP(TEXT(H335,"0"),IPRESS!$A$3:$B$212,2,0),"")</f>
        <v/>
      </c>
      <c r="J335" s="85"/>
      <c r="K335" s="149"/>
      <c r="L335" s="85"/>
      <c r="M335" s="85"/>
      <c r="N335" s="151"/>
      <c r="O335" s="85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85"/>
      <c r="S335" s="85"/>
      <c r="T335" s="85"/>
      <c r="U335" s="85"/>
      <c r="V335" s="85"/>
      <c r="W335" s="85"/>
      <c r="X335" s="85"/>
      <c r="Y335" s="85"/>
      <c r="Z335" s="157"/>
      <c r="AA335" s="4"/>
      <c r="AB335" s="4"/>
      <c r="AC335" s="4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49"/>
      <c r="L336" s="85"/>
      <c r="M336" s="85"/>
      <c r="N336" s="151"/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57"/>
      <c r="AA336" s="4"/>
      <c r="AB336" s="4"/>
      <c r="AC336" s="4"/>
    </row>
    <row r="337" customFormat="false" ht="15" hidden="false" customHeight="true" outlineLevel="0" collapsed="false">
      <c r="A337" s="85"/>
      <c r="B337" s="85"/>
      <c r="C337" s="85"/>
      <c r="D337" s="85"/>
      <c r="E337" s="85"/>
      <c r="F337" s="85"/>
      <c r="G337" s="85"/>
      <c r="H337" s="85"/>
      <c r="I337" s="138" t="str">
        <f aca="false">IFERROR(VLOOKUP(TEXT(H337,"0"),IPRESS!$A$3:$B$212,2,0),"")</f>
        <v/>
      </c>
      <c r="J337" s="85"/>
      <c r="K337" s="149"/>
      <c r="L337" s="85"/>
      <c r="M337" s="85"/>
      <c r="N337" s="151"/>
      <c r="O337" s="85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85"/>
      <c r="S337" s="85"/>
      <c r="T337" s="85"/>
      <c r="U337" s="85"/>
      <c r="V337" s="85"/>
      <c r="W337" s="85"/>
      <c r="X337" s="85"/>
      <c r="Y337" s="85"/>
      <c r="Z337" s="157"/>
      <c r="AA337" s="4"/>
      <c r="AB337" s="4"/>
      <c r="AC337" s="4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49"/>
      <c r="L338" s="85"/>
      <c r="M338" s="85"/>
      <c r="N338" s="151"/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57"/>
      <c r="AA338" s="4"/>
      <c r="AB338" s="4"/>
      <c r="AC338" s="4"/>
    </row>
    <row r="339" customFormat="false" ht="15" hidden="false" customHeight="true" outlineLevel="0" collapsed="false">
      <c r="A339" s="85"/>
      <c r="B339" s="85"/>
      <c r="C339" s="85"/>
      <c r="D339" s="85"/>
      <c r="E339" s="85"/>
      <c r="F339" s="85"/>
      <c r="G339" s="85"/>
      <c r="H339" s="85"/>
      <c r="I339" s="138" t="str">
        <f aca="false">IFERROR(VLOOKUP(TEXT(H339,"0"),IPRESS!$A$3:$B$212,2,0),"")</f>
        <v/>
      </c>
      <c r="J339" s="85"/>
      <c r="K339" s="149"/>
      <c r="L339" s="85"/>
      <c r="M339" s="85"/>
      <c r="N339" s="151"/>
      <c r="O339" s="85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85"/>
      <c r="S339" s="85"/>
      <c r="T339" s="85"/>
      <c r="U339" s="85"/>
      <c r="V339" s="85"/>
      <c r="W339" s="85"/>
      <c r="X339" s="85"/>
      <c r="Y339" s="85"/>
      <c r="Z339" s="157"/>
      <c r="AA339" s="4"/>
      <c r="AB339" s="4"/>
      <c r="AC339" s="4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49"/>
      <c r="L340" s="85"/>
      <c r="M340" s="85"/>
      <c r="N340" s="151"/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57"/>
      <c r="AA340" s="4"/>
      <c r="AB340" s="4"/>
      <c r="AC340" s="4"/>
    </row>
    <row r="341" customFormat="false" ht="15" hidden="false" customHeight="true" outlineLevel="0" collapsed="false">
      <c r="A341" s="85"/>
      <c r="B341" s="85"/>
      <c r="C341" s="85"/>
      <c r="D341" s="85"/>
      <c r="E341" s="85"/>
      <c r="F341" s="85"/>
      <c r="G341" s="85"/>
      <c r="H341" s="85"/>
      <c r="I341" s="138" t="str">
        <f aca="false">IFERROR(VLOOKUP(TEXT(H341,"0"),IPRESS!$A$3:$B$212,2,0),"")</f>
        <v/>
      </c>
      <c r="J341" s="85"/>
      <c r="K341" s="149"/>
      <c r="L341" s="85"/>
      <c r="M341" s="85"/>
      <c r="N341" s="151"/>
      <c r="O341" s="85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85"/>
      <c r="S341" s="85"/>
      <c r="T341" s="85"/>
      <c r="U341" s="85"/>
      <c r="V341" s="85"/>
      <c r="W341" s="85"/>
      <c r="X341" s="85"/>
      <c r="Y341" s="85"/>
      <c r="Z341" s="157"/>
      <c r="AA341" s="4"/>
      <c r="AB341" s="4"/>
      <c r="AC341" s="4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49"/>
      <c r="L342" s="85"/>
      <c r="M342" s="85"/>
      <c r="N342" s="151"/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57"/>
      <c r="AA342" s="4"/>
      <c r="AB342" s="4"/>
      <c r="AC342" s="4"/>
    </row>
    <row r="343" customFormat="false" ht="15" hidden="false" customHeight="true" outlineLevel="0" collapsed="false">
      <c r="A343" s="85"/>
      <c r="B343" s="85"/>
      <c r="C343" s="85"/>
      <c r="D343" s="85"/>
      <c r="E343" s="85"/>
      <c r="F343" s="85"/>
      <c r="G343" s="85"/>
      <c r="H343" s="85"/>
      <c r="I343" s="138" t="str">
        <f aca="false">IFERROR(VLOOKUP(TEXT(H343,"0"),IPRESS!$A$3:$B$212,2,0),"")</f>
        <v/>
      </c>
      <c r="J343" s="85"/>
      <c r="K343" s="149"/>
      <c r="L343" s="85"/>
      <c r="M343" s="85"/>
      <c r="N343" s="151"/>
      <c r="O343" s="85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85"/>
      <c r="S343" s="85"/>
      <c r="T343" s="85"/>
      <c r="U343" s="85"/>
      <c r="V343" s="85"/>
      <c r="W343" s="85"/>
      <c r="X343" s="85"/>
      <c r="Y343" s="85"/>
      <c r="Z343" s="157"/>
      <c r="AA343" s="4"/>
      <c r="AB343" s="4"/>
      <c r="AC343" s="4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49"/>
      <c r="L344" s="85"/>
      <c r="M344" s="85"/>
      <c r="N344" s="151"/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57"/>
      <c r="AA344" s="4"/>
      <c r="AB344" s="4"/>
      <c r="AC344" s="4"/>
    </row>
    <row r="345" customFormat="false" ht="15" hidden="false" customHeight="true" outlineLevel="0" collapsed="false">
      <c r="A345" s="85"/>
      <c r="B345" s="85"/>
      <c r="C345" s="85"/>
      <c r="D345" s="85"/>
      <c r="E345" s="85"/>
      <c r="F345" s="85"/>
      <c r="G345" s="85"/>
      <c r="H345" s="85"/>
      <c r="I345" s="138" t="str">
        <f aca="false">IFERROR(VLOOKUP(TEXT(H345,"0"),IPRESS!$A$3:$B$212,2,0),"")</f>
        <v/>
      </c>
      <c r="J345" s="85"/>
      <c r="K345" s="149"/>
      <c r="L345" s="85"/>
      <c r="M345" s="85"/>
      <c r="N345" s="151"/>
      <c r="O345" s="85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85"/>
      <c r="S345" s="85"/>
      <c r="T345" s="85"/>
      <c r="U345" s="85"/>
      <c r="V345" s="85"/>
      <c r="W345" s="85"/>
      <c r="X345" s="85"/>
      <c r="Y345" s="85"/>
      <c r="Z345" s="157"/>
      <c r="AA345" s="4"/>
      <c r="AB345" s="4"/>
      <c r="AC345" s="4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49"/>
      <c r="L346" s="85"/>
      <c r="M346" s="85"/>
      <c r="N346" s="151"/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57"/>
      <c r="AA346" s="4"/>
      <c r="AB346" s="4"/>
      <c r="AC346" s="4"/>
    </row>
    <row r="347" customFormat="false" ht="15" hidden="false" customHeight="true" outlineLevel="0" collapsed="false">
      <c r="A347" s="85"/>
      <c r="B347" s="85"/>
      <c r="C347" s="85"/>
      <c r="D347" s="85"/>
      <c r="E347" s="85"/>
      <c r="F347" s="85"/>
      <c r="G347" s="85"/>
      <c r="H347" s="85"/>
      <c r="I347" s="138" t="str">
        <f aca="false">IFERROR(VLOOKUP(TEXT(H347,"0"),IPRESS!$A$3:$B$212,2,0),"")</f>
        <v/>
      </c>
      <c r="J347" s="85"/>
      <c r="K347" s="149"/>
      <c r="L347" s="85"/>
      <c r="M347" s="85"/>
      <c r="N347" s="151"/>
      <c r="O347" s="85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85"/>
      <c r="S347" s="85"/>
      <c r="T347" s="85"/>
      <c r="U347" s="85"/>
      <c r="V347" s="85"/>
      <c r="W347" s="85"/>
      <c r="X347" s="85"/>
      <c r="Y347" s="85"/>
      <c r="Z347" s="157"/>
      <c r="AA347" s="4"/>
      <c r="AB347" s="4"/>
      <c r="AC347" s="4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49"/>
      <c r="L348" s="85"/>
      <c r="M348" s="85"/>
      <c r="N348" s="151"/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57"/>
      <c r="AA348" s="4"/>
      <c r="AB348" s="4"/>
      <c r="AC348" s="4"/>
    </row>
    <row r="349" customFormat="false" ht="15" hidden="false" customHeight="true" outlineLevel="0" collapsed="false">
      <c r="A349" s="85"/>
      <c r="B349" s="85"/>
      <c r="C349" s="85"/>
      <c r="D349" s="85"/>
      <c r="E349" s="85"/>
      <c r="F349" s="85"/>
      <c r="G349" s="85"/>
      <c r="H349" s="85"/>
      <c r="I349" s="138" t="str">
        <f aca="false">IFERROR(VLOOKUP(TEXT(H349,"0"),IPRESS!$A$3:$B$212,2,0),"")</f>
        <v/>
      </c>
      <c r="J349" s="85"/>
      <c r="K349" s="149"/>
      <c r="L349" s="85"/>
      <c r="M349" s="85"/>
      <c r="N349" s="151"/>
      <c r="O349" s="85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85"/>
      <c r="S349" s="85"/>
      <c r="T349" s="85"/>
      <c r="U349" s="85"/>
      <c r="V349" s="85"/>
      <c r="W349" s="85"/>
      <c r="X349" s="85"/>
      <c r="Y349" s="85"/>
      <c r="Z349" s="157"/>
      <c r="AA349" s="4"/>
      <c r="AB349" s="4"/>
      <c r="AC349" s="4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49"/>
      <c r="L350" s="85"/>
      <c r="M350" s="85"/>
      <c r="N350" s="151"/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57"/>
      <c r="AA350" s="4"/>
      <c r="AB350" s="4"/>
      <c r="AC350" s="4"/>
    </row>
    <row r="351" customFormat="false" ht="15" hidden="false" customHeight="true" outlineLevel="0" collapsed="false">
      <c r="A351" s="85"/>
      <c r="B351" s="85"/>
      <c r="C351" s="85"/>
      <c r="D351" s="85"/>
      <c r="E351" s="85"/>
      <c r="F351" s="85"/>
      <c r="G351" s="85"/>
      <c r="H351" s="85"/>
      <c r="I351" s="138" t="str">
        <f aca="false">IFERROR(VLOOKUP(TEXT(H351,"0"),IPRESS!$A$3:$B$212,2,0),"")</f>
        <v/>
      </c>
      <c r="J351" s="85"/>
      <c r="K351" s="149"/>
      <c r="L351" s="85"/>
      <c r="M351" s="85"/>
      <c r="N351" s="151"/>
      <c r="O351" s="85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85"/>
      <c r="S351" s="85"/>
      <c r="T351" s="85"/>
      <c r="U351" s="85"/>
      <c r="V351" s="85"/>
      <c r="W351" s="85"/>
      <c r="X351" s="85"/>
      <c r="Y351" s="85"/>
      <c r="Z351" s="157"/>
      <c r="AA351" s="4"/>
      <c r="AB351" s="4"/>
      <c r="AC351" s="4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49"/>
      <c r="L352" s="85"/>
      <c r="M352" s="85"/>
      <c r="N352" s="151"/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57"/>
      <c r="AA352" s="4"/>
      <c r="AB352" s="4"/>
      <c r="AC352" s="4"/>
    </row>
    <row r="353" customFormat="false" ht="15" hidden="false" customHeight="true" outlineLevel="0" collapsed="false">
      <c r="A353" s="85"/>
      <c r="B353" s="85"/>
      <c r="C353" s="85"/>
      <c r="D353" s="85"/>
      <c r="E353" s="85"/>
      <c r="F353" s="85"/>
      <c r="G353" s="85"/>
      <c r="H353" s="85"/>
      <c r="I353" s="138" t="str">
        <f aca="false">IFERROR(VLOOKUP(TEXT(H353,"0"),IPRESS!$A$3:$B$212,2,0),"")</f>
        <v/>
      </c>
      <c r="J353" s="85"/>
      <c r="K353" s="149"/>
      <c r="L353" s="85"/>
      <c r="M353" s="85"/>
      <c r="N353" s="151"/>
      <c r="O353" s="85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85"/>
      <c r="S353" s="85"/>
      <c r="T353" s="85"/>
      <c r="U353" s="85"/>
      <c r="V353" s="85"/>
      <c r="W353" s="85"/>
      <c r="X353" s="85"/>
      <c r="Y353" s="85"/>
      <c r="Z353" s="157"/>
      <c r="AA353" s="4"/>
      <c r="AB353" s="4"/>
      <c r="AC353" s="4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49"/>
      <c r="L354" s="85"/>
      <c r="M354" s="85"/>
      <c r="N354" s="151"/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57"/>
      <c r="AA354" s="4"/>
      <c r="AB354" s="4"/>
      <c r="AC354" s="4"/>
    </row>
    <row r="355" customFormat="false" ht="15" hidden="false" customHeight="true" outlineLevel="0" collapsed="false">
      <c r="A355" s="85"/>
      <c r="B355" s="85"/>
      <c r="C355" s="85"/>
      <c r="D355" s="85"/>
      <c r="E355" s="85"/>
      <c r="F355" s="85"/>
      <c r="G355" s="85"/>
      <c r="H355" s="85"/>
      <c r="I355" s="138" t="str">
        <f aca="false">IFERROR(VLOOKUP(TEXT(H355,"0"),IPRESS!$A$3:$B$212,2,0),"")</f>
        <v/>
      </c>
      <c r="J355" s="85"/>
      <c r="K355" s="149"/>
      <c r="L355" s="85"/>
      <c r="M355" s="85"/>
      <c r="N355" s="151"/>
      <c r="O355" s="85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85"/>
      <c r="S355" s="85"/>
      <c r="T355" s="85"/>
      <c r="U355" s="85"/>
      <c r="V355" s="85"/>
      <c r="W355" s="85"/>
      <c r="X355" s="85"/>
      <c r="Y355" s="85"/>
      <c r="Z355" s="157"/>
      <c r="AA355" s="4"/>
      <c r="AB355" s="4"/>
      <c r="AC355" s="4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49"/>
      <c r="L356" s="85"/>
      <c r="M356" s="85"/>
      <c r="N356" s="151"/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57"/>
      <c r="AA356" s="4"/>
      <c r="AB356" s="4"/>
      <c r="AC356" s="4"/>
    </row>
    <row r="357" customFormat="false" ht="15" hidden="false" customHeight="true" outlineLevel="0" collapsed="false">
      <c r="A357" s="85"/>
      <c r="B357" s="85"/>
      <c r="C357" s="85"/>
      <c r="D357" s="85"/>
      <c r="E357" s="85"/>
      <c r="F357" s="85"/>
      <c r="G357" s="85"/>
      <c r="H357" s="85"/>
      <c r="I357" s="138" t="str">
        <f aca="false">IFERROR(VLOOKUP(TEXT(H357,"0"),IPRESS!$A$3:$B$212,2,0),"")</f>
        <v/>
      </c>
      <c r="J357" s="85"/>
      <c r="K357" s="149"/>
      <c r="L357" s="85"/>
      <c r="M357" s="85"/>
      <c r="N357" s="151"/>
      <c r="O357" s="85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85"/>
      <c r="S357" s="85"/>
      <c r="T357" s="85"/>
      <c r="U357" s="85"/>
      <c r="V357" s="85"/>
      <c r="W357" s="85"/>
      <c r="X357" s="85"/>
      <c r="Y357" s="85"/>
      <c r="Z357" s="157"/>
      <c r="AA357" s="4"/>
      <c r="AB357" s="4"/>
      <c r="AC357" s="4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49"/>
      <c r="L358" s="85"/>
      <c r="M358" s="85"/>
      <c r="N358" s="151"/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57"/>
      <c r="AA358" s="4"/>
      <c r="AB358" s="4"/>
      <c r="AC358" s="4"/>
    </row>
    <row r="359" customFormat="false" ht="15" hidden="false" customHeight="true" outlineLevel="0" collapsed="false">
      <c r="A359" s="85"/>
      <c r="B359" s="85"/>
      <c r="C359" s="85"/>
      <c r="D359" s="85"/>
      <c r="E359" s="85"/>
      <c r="F359" s="85"/>
      <c r="G359" s="85"/>
      <c r="H359" s="85"/>
      <c r="I359" s="138" t="str">
        <f aca="false">IFERROR(VLOOKUP(TEXT(H359,"0"),IPRESS!$A$3:$B$212,2,0),"")</f>
        <v/>
      </c>
      <c r="J359" s="85"/>
      <c r="K359" s="149"/>
      <c r="L359" s="85"/>
      <c r="M359" s="85"/>
      <c r="N359" s="151"/>
      <c r="O359" s="85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85"/>
      <c r="S359" s="85"/>
      <c r="T359" s="85"/>
      <c r="U359" s="85"/>
      <c r="V359" s="85"/>
      <c r="W359" s="85"/>
      <c r="X359" s="85"/>
      <c r="Y359" s="85"/>
      <c r="Z359" s="157"/>
      <c r="AA359" s="4"/>
      <c r="AB359" s="4"/>
      <c r="AC359" s="4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49"/>
      <c r="L360" s="85"/>
      <c r="M360" s="85"/>
      <c r="N360" s="151"/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57"/>
      <c r="AA360" s="4"/>
      <c r="AB360" s="4"/>
      <c r="AC360" s="4"/>
    </row>
    <row r="361" customFormat="false" ht="15" hidden="false" customHeight="true" outlineLevel="0" collapsed="false">
      <c r="A361" s="85"/>
      <c r="B361" s="85"/>
      <c r="C361" s="85"/>
      <c r="D361" s="85"/>
      <c r="E361" s="85"/>
      <c r="F361" s="85"/>
      <c r="G361" s="85"/>
      <c r="H361" s="85"/>
      <c r="I361" s="138" t="str">
        <f aca="false">IFERROR(VLOOKUP(TEXT(H361,"0"),IPRESS!$A$3:$B$212,2,0),"")</f>
        <v/>
      </c>
      <c r="J361" s="85"/>
      <c r="K361" s="149"/>
      <c r="L361" s="85"/>
      <c r="M361" s="85"/>
      <c r="N361" s="151"/>
      <c r="O361" s="85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85"/>
      <c r="S361" s="85"/>
      <c r="T361" s="85"/>
      <c r="U361" s="85"/>
      <c r="V361" s="85"/>
      <c r="W361" s="85"/>
      <c r="X361" s="85"/>
      <c r="Y361" s="85"/>
      <c r="Z361" s="157"/>
      <c r="AA361" s="4"/>
      <c r="AB361" s="4"/>
      <c r="AC361" s="4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49"/>
      <c r="L362" s="85"/>
      <c r="M362" s="85"/>
      <c r="N362" s="151"/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57"/>
      <c r="AA362" s="4"/>
      <c r="AB362" s="4"/>
      <c r="AC362" s="4"/>
    </row>
    <row r="363" customFormat="false" ht="15" hidden="false" customHeight="true" outlineLevel="0" collapsed="false">
      <c r="A363" s="85"/>
      <c r="B363" s="85"/>
      <c r="C363" s="85"/>
      <c r="D363" s="85"/>
      <c r="E363" s="85"/>
      <c r="F363" s="85"/>
      <c r="G363" s="85"/>
      <c r="H363" s="85"/>
      <c r="I363" s="138" t="str">
        <f aca="false">IFERROR(VLOOKUP(TEXT(H363,"0"),IPRESS!$A$3:$B$212,2,0),"")</f>
        <v/>
      </c>
      <c r="J363" s="85"/>
      <c r="K363" s="149"/>
      <c r="L363" s="85"/>
      <c r="M363" s="85"/>
      <c r="N363" s="151"/>
      <c r="O363" s="85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85"/>
      <c r="S363" s="85"/>
      <c r="T363" s="85"/>
      <c r="U363" s="85"/>
      <c r="V363" s="85"/>
      <c r="W363" s="85"/>
      <c r="X363" s="85"/>
      <c r="Y363" s="85"/>
      <c r="Z363" s="157"/>
      <c r="AA363" s="4"/>
      <c r="AB363" s="4"/>
      <c r="AC363" s="4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49"/>
      <c r="L364" s="85"/>
      <c r="M364" s="85"/>
      <c r="N364" s="151"/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57"/>
      <c r="AA364" s="4"/>
      <c r="AB364" s="4"/>
      <c r="AC364" s="4"/>
    </row>
    <row r="365" customFormat="false" ht="15" hidden="false" customHeight="true" outlineLevel="0" collapsed="false">
      <c r="A365" s="85"/>
      <c r="B365" s="85"/>
      <c r="C365" s="85"/>
      <c r="D365" s="85"/>
      <c r="E365" s="85"/>
      <c r="F365" s="85"/>
      <c r="G365" s="85"/>
      <c r="H365" s="85"/>
      <c r="I365" s="138" t="str">
        <f aca="false">IFERROR(VLOOKUP(TEXT(H365,"0"),IPRESS!$A$3:$B$212,2,0),"")</f>
        <v/>
      </c>
      <c r="J365" s="85"/>
      <c r="K365" s="149"/>
      <c r="L365" s="85"/>
      <c r="M365" s="85"/>
      <c r="N365" s="151"/>
      <c r="O365" s="85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85"/>
      <c r="S365" s="85"/>
      <c r="T365" s="85"/>
      <c r="U365" s="85"/>
      <c r="V365" s="85"/>
      <c r="W365" s="85"/>
      <c r="X365" s="85"/>
      <c r="Y365" s="85"/>
      <c r="Z365" s="157"/>
      <c r="AA365" s="4"/>
      <c r="AB365" s="4"/>
      <c r="AC365" s="4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49"/>
      <c r="L366" s="85"/>
      <c r="M366" s="85"/>
      <c r="N366" s="151"/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57"/>
      <c r="AA366" s="4"/>
      <c r="AB366" s="4"/>
      <c r="AC366" s="4"/>
    </row>
    <row r="367" customFormat="false" ht="15" hidden="false" customHeight="true" outlineLevel="0" collapsed="false">
      <c r="A367" s="85"/>
      <c r="B367" s="85"/>
      <c r="C367" s="85"/>
      <c r="D367" s="85"/>
      <c r="E367" s="85"/>
      <c r="F367" s="85"/>
      <c r="G367" s="85"/>
      <c r="H367" s="85"/>
      <c r="I367" s="138" t="str">
        <f aca="false">IFERROR(VLOOKUP(TEXT(H367,"0"),IPRESS!$A$3:$B$212,2,0),"")</f>
        <v/>
      </c>
      <c r="J367" s="85"/>
      <c r="K367" s="149"/>
      <c r="L367" s="85"/>
      <c r="M367" s="85"/>
      <c r="N367" s="151"/>
      <c r="O367" s="85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85"/>
      <c r="S367" s="85"/>
      <c r="T367" s="85"/>
      <c r="U367" s="85"/>
      <c r="V367" s="85"/>
      <c r="W367" s="85"/>
      <c r="X367" s="85"/>
      <c r="Y367" s="85"/>
      <c r="Z367" s="157"/>
      <c r="AA367" s="4"/>
      <c r="AB367" s="4"/>
      <c r="AC367" s="4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49"/>
      <c r="L368" s="85"/>
      <c r="M368" s="85"/>
      <c r="N368" s="151"/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57"/>
      <c r="AA368" s="4"/>
      <c r="AB368" s="4"/>
      <c r="AC368" s="4"/>
    </row>
    <row r="369" customFormat="false" ht="15" hidden="false" customHeight="true" outlineLevel="0" collapsed="false">
      <c r="A369" s="85"/>
      <c r="B369" s="85"/>
      <c r="C369" s="85"/>
      <c r="D369" s="85"/>
      <c r="E369" s="85"/>
      <c r="F369" s="85"/>
      <c r="G369" s="85"/>
      <c r="H369" s="85"/>
      <c r="I369" s="138" t="str">
        <f aca="false">IFERROR(VLOOKUP(TEXT(H369,"0"),IPRESS!$A$3:$B$212,2,0),"")</f>
        <v/>
      </c>
      <c r="J369" s="85"/>
      <c r="K369" s="149"/>
      <c r="L369" s="85"/>
      <c r="M369" s="85"/>
      <c r="N369" s="151"/>
      <c r="O369" s="85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85"/>
      <c r="S369" s="85"/>
      <c r="T369" s="85"/>
      <c r="U369" s="85"/>
      <c r="V369" s="85"/>
      <c r="W369" s="85"/>
      <c r="X369" s="85"/>
      <c r="Y369" s="85"/>
      <c r="Z369" s="157"/>
      <c r="AA369" s="4"/>
      <c r="AB369" s="4"/>
      <c r="AC369" s="4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49"/>
      <c r="L370" s="85"/>
      <c r="M370" s="85"/>
      <c r="N370" s="151"/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57"/>
      <c r="AA370" s="4"/>
      <c r="AB370" s="4"/>
      <c r="AC370" s="4"/>
    </row>
    <row r="371" customFormat="false" ht="15" hidden="false" customHeight="true" outlineLevel="0" collapsed="false">
      <c r="A371" s="85"/>
      <c r="B371" s="85"/>
      <c r="C371" s="85"/>
      <c r="D371" s="85"/>
      <c r="E371" s="85"/>
      <c r="F371" s="85"/>
      <c r="G371" s="85"/>
      <c r="H371" s="85"/>
      <c r="I371" s="138" t="str">
        <f aca="false">IFERROR(VLOOKUP(TEXT(H371,"0"),IPRESS!$A$3:$B$212,2,0),"")</f>
        <v/>
      </c>
      <c r="J371" s="85"/>
      <c r="K371" s="149"/>
      <c r="L371" s="85"/>
      <c r="M371" s="85"/>
      <c r="N371" s="151"/>
      <c r="O371" s="85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85"/>
      <c r="S371" s="85"/>
      <c r="T371" s="85"/>
      <c r="U371" s="85"/>
      <c r="V371" s="85"/>
      <c r="W371" s="85"/>
      <c r="X371" s="85"/>
      <c r="Y371" s="85"/>
      <c r="Z371" s="157"/>
      <c r="AA371" s="4"/>
      <c r="AB371" s="4"/>
      <c r="AC371" s="4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49"/>
      <c r="L372" s="85"/>
      <c r="M372" s="85"/>
      <c r="N372" s="151"/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57"/>
      <c r="AA372" s="4"/>
      <c r="AB372" s="4"/>
      <c r="AC372" s="4"/>
    </row>
    <row r="373" customFormat="false" ht="15" hidden="false" customHeight="true" outlineLevel="0" collapsed="false">
      <c r="A373" s="85"/>
      <c r="B373" s="85"/>
      <c r="C373" s="85"/>
      <c r="D373" s="85"/>
      <c r="E373" s="85"/>
      <c r="F373" s="85"/>
      <c r="G373" s="85"/>
      <c r="H373" s="85"/>
      <c r="I373" s="138" t="str">
        <f aca="false">IFERROR(VLOOKUP(TEXT(H373,"0"),IPRESS!$A$3:$B$212,2,0),"")</f>
        <v/>
      </c>
      <c r="J373" s="85"/>
      <c r="K373" s="149"/>
      <c r="L373" s="85"/>
      <c r="M373" s="85"/>
      <c r="N373" s="151"/>
      <c r="O373" s="85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85"/>
      <c r="S373" s="85"/>
      <c r="T373" s="85"/>
      <c r="U373" s="85"/>
      <c r="V373" s="85"/>
      <c r="W373" s="85"/>
      <c r="X373" s="85"/>
      <c r="Y373" s="85"/>
      <c r="Z373" s="157"/>
      <c r="AA373" s="4"/>
      <c r="AB373" s="4"/>
      <c r="AC373" s="4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49"/>
      <c r="L374" s="85"/>
      <c r="M374" s="85"/>
      <c r="N374" s="151"/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57"/>
      <c r="AA374" s="4"/>
      <c r="AB374" s="4"/>
      <c r="AC374" s="4"/>
    </row>
    <row r="375" customFormat="false" ht="15" hidden="false" customHeight="true" outlineLevel="0" collapsed="false">
      <c r="A375" s="85"/>
      <c r="B375" s="85"/>
      <c r="C375" s="85"/>
      <c r="D375" s="85"/>
      <c r="E375" s="85"/>
      <c r="F375" s="85"/>
      <c r="G375" s="85"/>
      <c r="H375" s="85"/>
      <c r="I375" s="138" t="str">
        <f aca="false">IFERROR(VLOOKUP(TEXT(H375,"0"),IPRESS!$A$3:$B$212,2,0),"")</f>
        <v/>
      </c>
      <c r="J375" s="85"/>
      <c r="K375" s="149"/>
      <c r="L375" s="85"/>
      <c r="M375" s="85"/>
      <c r="N375" s="151"/>
      <c r="O375" s="85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85"/>
      <c r="S375" s="85"/>
      <c r="T375" s="85"/>
      <c r="U375" s="85"/>
      <c r="V375" s="85"/>
      <c r="W375" s="85"/>
      <c r="X375" s="85"/>
      <c r="Y375" s="85"/>
      <c r="Z375" s="157"/>
      <c r="AA375" s="4"/>
      <c r="AB375" s="4"/>
      <c r="AC375" s="4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49"/>
      <c r="L376" s="85"/>
      <c r="M376" s="85"/>
      <c r="N376" s="151"/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57"/>
      <c r="AA376" s="4"/>
      <c r="AB376" s="4"/>
      <c r="AC376" s="4"/>
    </row>
    <row r="377" customFormat="false" ht="15" hidden="false" customHeight="true" outlineLevel="0" collapsed="false">
      <c r="A377" s="85"/>
      <c r="B377" s="85"/>
      <c r="C377" s="85"/>
      <c r="D377" s="85"/>
      <c r="E377" s="85"/>
      <c r="F377" s="85"/>
      <c r="G377" s="85"/>
      <c r="H377" s="85"/>
      <c r="I377" s="138" t="str">
        <f aca="false">IFERROR(VLOOKUP(TEXT(H377,"0"),IPRESS!$A$3:$B$212,2,0),"")</f>
        <v/>
      </c>
      <c r="J377" s="85"/>
      <c r="K377" s="149"/>
      <c r="L377" s="85"/>
      <c r="M377" s="85"/>
      <c r="N377" s="151"/>
      <c r="O377" s="85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85"/>
      <c r="S377" s="85"/>
      <c r="T377" s="85"/>
      <c r="U377" s="85"/>
      <c r="V377" s="85"/>
      <c r="W377" s="85"/>
      <c r="X377" s="85"/>
      <c r="Y377" s="85"/>
      <c r="Z377" s="157"/>
      <c r="AA377" s="4"/>
      <c r="AB377" s="4"/>
      <c r="AC377" s="4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49"/>
      <c r="L378" s="85"/>
      <c r="M378" s="85"/>
      <c r="N378" s="151"/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57"/>
      <c r="AA378" s="4"/>
      <c r="AB378" s="4"/>
      <c r="AC378" s="4"/>
    </row>
    <row r="379" customFormat="false" ht="15" hidden="false" customHeight="true" outlineLevel="0" collapsed="false">
      <c r="A379" s="85"/>
      <c r="B379" s="85"/>
      <c r="C379" s="85"/>
      <c r="D379" s="85"/>
      <c r="E379" s="85"/>
      <c r="F379" s="85"/>
      <c r="G379" s="85"/>
      <c r="H379" s="85"/>
      <c r="I379" s="138" t="str">
        <f aca="false">IFERROR(VLOOKUP(TEXT(H379,"0"),IPRESS!$A$3:$B$212,2,0),"")</f>
        <v/>
      </c>
      <c r="J379" s="85"/>
      <c r="K379" s="149"/>
      <c r="L379" s="85"/>
      <c r="M379" s="85"/>
      <c r="N379" s="151"/>
      <c r="O379" s="85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85"/>
      <c r="S379" s="85"/>
      <c r="T379" s="85"/>
      <c r="U379" s="85"/>
      <c r="V379" s="85"/>
      <c r="W379" s="85"/>
      <c r="X379" s="85"/>
      <c r="Y379" s="85"/>
      <c r="Z379" s="157"/>
      <c r="AA379" s="4"/>
      <c r="AB379" s="4"/>
      <c r="AC379" s="4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49"/>
      <c r="L380" s="85"/>
      <c r="M380" s="85"/>
      <c r="N380" s="151"/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57"/>
      <c r="AA380" s="4"/>
      <c r="AB380" s="4"/>
      <c r="AC380" s="4"/>
    </row>
    <row r="381" customFormat="false" ht="15" hidden="false" customHeight="true" outlineLevel="0" collapsed="false">
      <c r="A381" s="85"/>
      <c r="B381" s="85"/>
      <c r="C381" s="85"/>
      <c r="D381" s="85"/>
      <c r="E381" s="85"/>
      <c r="F381" s="85"/>
      <c r="G381" s="85"/>
      <c r="H381" s="85"/>
      <c r="I381" s="138" t="str">
        <f aca="false">IFERROR(VLOOKUP(TEXT(H381,"0"),IPRESS!$A$3:$B$212,2,0),"")</f>
        <v/>
      </c>
      <c r="J381" s="85"/>
      <c r="K381" s="149"/>
      <c r="L381" s="85"/>
      <c r="M381" s="85"/>
      <c r="N381" s="151"/>
      <c r="O381" s="85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85"/>
      <c r="S381" s="85"/>
      <c r="T381" s="85"/>
      <c r="U381" s="85"/>
      <c r="V381" s="85"/>
      <c r="W381" s="85"/>
      <c r="X381" s="85"/>
      <c r="Y381" s="85"/>
      <c r="Z381" s="157"/>
      <c r="AA381" s="4"/>
      <c r="AB381" s="4"/>
      <c r="AC381" s="4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49"/>
      <c r="L382" s="85"/>
      <c r="M382" s="85"/>
      <c r="N382" s="151"/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57"/>
      <c r="AA382" s="4"/>
      <c r="AB382" s="4"/>
      <c r="AC382" s="4"/>
    </row>
    <row r="383" customFormat="false" ht="15" hidden="false" customHeight="true" outlineLevel="0" collapsed="false">
      <c r="A383" s="85"/>
      <c r="B383" s="85"/>
      <c r="C383" s="85"/>
      <c r="D383" s="85"/>
      <c r="E383" s="85"/>
      <c r="F383" s="85"/>
      <c r="G383" s="85"/>
      <c r="H383" s="85"/>
      <c r="I383" s="138" t="str">
        <f aca="false">IFERROR(VLOOKUP(TEXT(H383,"0"),IPRESS!$A$3:$B$212,2,0),"")</f>
        <v/>
      </c>
      <c r="J383" s="85"/>
      <c r="K383" s="149"/>
      <c r="L383" s="85"/>
      <c r="M383" s="85"/>
      <c r="N383" s="151"/>
      <c r="O383" s="85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85"/>
      <c r="S383" s="85"/>
      <c r="T383" s="85"/>
      <c r="U383" s="85"/>
      <c r="V383" s="85"/>
      <c r="W383" s="85"/>
      <c r="X383" s="85"/>
      <c r="Y383" s="85"/>
      <c r="Z383" s="157"/>
      <c r="AA383" s="4"/>
      <c r="AB383" s="4"/>
      <c r="AC383" s="4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49"/>
      <c r="L384" s="85"/>
      <c r="M384" s="85"/>
      <c r="N384" s="151"/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57"/>
      <c r="AA384" s="4"/>
      <c r="AB384" s="4"/>
      <c r="AC384" s="4"/>
    </row>
    <row r="385" customFormat="false" ht="15" hidden="false" customHeight="true" outlineLevel="0" collapsed="false">
      <c r="A385" s="85"/>
      <c r="B385" s="85"/>
      <c r="C385" s="85"/>
      <c r="D385" s="85"/>
      <c r="E385" s="85"/>
      <c r="F385" s="85"/>
      <c r="G385" s="85"/>
      <c r="H385" s="85"/>
      <c r="I385" s="138" t="str">
        <f aca="false">IFERROR(VLOOKUP(TEXT(H385,"0"),IPRESS!$A$3:$B$212,2,0),"")</f>
        <v/>
      </c>
      <c r="J385" s="85"/>
      <c r="K385" s="149"/>
      <c r="L385" s="85"/>
      <c r="M385" s="85"/>
      <c r="N385" s="151"/>
      <c r="O385" s="85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85"/>
      <c r="S385" s="85"/>
      <c r="T385" s="85"/>
      <c r="U385" s="85"/>
      <c r="V385" s="85"/>
      <c r="W385" s="85"/>
      <c r="X385" s="85"/>
      <c r="Y385" s="85"/>
      <c r="Z385" s="157"/>
      <c r="AA385" s="4"/>
      <c r="AB385" s="4"/>
      <c r="AC385" s="4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49"/>
      <c r="L386" s="85"/>
      <c r="M386" s="85"/>
      <c r="N386" s="151"/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57"/>
      <c r="AA386" s="4"/>
      <c r="AB386" s="4"/>
      <c r="AC386" s="4"/>
    </row>
    <row r="387" customFormat="false" ht="15" hidden="false" customHeight="true" outlineLevel="0" collapsed="false">
      <c r="A387" s="85"/>
      <c r="B387" s="85"/>
      <c r="C387" s="85"/>
      <c r="D387" s="85"/>
      <c r="E387" s="85"/>
      <c r="F387" s="85"/>
      <c r="G387" s="85"/>
      <c r="H387" s="85"/>
      <c r="I387" s="138" t="str">
        <f aca="false">IFERROR(VLOOKUP(TEXT(H387,"0"),IPRESS!$A$3:$B$212,2,0),"")</f>
        <v/>
      </c>
      <c r="J387" s="85"/>
      <c r="K387" s="149"/>
      <c r="L387" s="85"/>
      <c r="M387" s="85"/>
      <c r="N387" s="151"/>
      <c r="O387" s="85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85"/>
      <c r="S387" s="85"/>
      <c r="T387" s="85"/>
      <c r="U387" s="85"/>
      <c r="V387" s="85"/>
      <c r="W387" s="85"/>
      <c r="X387" s="85"/>
      <c r="Y387" s="85"/>
      <c r="Z387" s="157"/>
      <c r="AA387" s="4"/>
      <c r="AB387" s="4"/>
      <c r="AC387" s="4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49"/>
      <c r="L388" s="85"/>
      <c r="M388" s="85"/>
      <c r="N388" s="151"/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57"/>
      <c r="AA388" s="4"/>
      <c r="AB388" s="4"/>
      <c r="AC388" s="4"/>
    </row>
    <row r="389" customFormat="false" ht="15" hidden="false" customHeight="true" outlineLevel="0" collapsed="false">
      <c r="A389" s="85"/>
      <c r="B389" s="85"/>
      <c r="C389" s="85"/>
      <c r="D389" s="85"/>
      <c r="E389" s="85"/>
      <c r="F389" s="85"/>
      <c r="G389" s="85"/>
      <c r="H389" s="85"/>
      <c r="I389" s="138" t="str">
        <f aca="false">IFERROR(VLOOKUP(TEXT(H389,"0"),IPRESS!$A$3:$B$212,2,0),"")</f>
        <v/>
      </c>
      <c r="J389" s="85"/>
      <c r="K389" s="149"/>
      <c r="L389" s="85"/>
      <c r="M389" s="85"/>
      <c r="N389" s="151"/>
      <c r="O389" s="85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85"/>
      <c r="S389" s="85"/>
      <c r="T389" s="85"/>
      <c r="U389" s="85"/>
      <c r="V389" s="85"/>
      <c r="W389" s="85"/>
      <c r="X389" s="85"/>
      <c r="Y389" s="85"/>
      <c r="Z389" s="157"/>
      <c r="AA389" s="4"/>
      <c r="AB389" s="4"/>
      <c r="AC389" s="4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49"/>
      <c r="L390" s="85"/>
      <c r="M390" s="85"/>
      <c r="N390" s="151"/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57"/>
      <c r="AA390" s="4"/>
      <c r="AB390" s="4"/>
      <c r="AC390" s="4"/>
    </row>
    <row r="391" customFormat="false" ht="15" hidden="false" customHeight="true" outlineLevel="0" collapsed="false">
      <c r="A391" s="85"/>
      <c r="B391" s="85"/>
      <c r="C391" s="85"/>
      <c r="D391" s="85"/>
      <c r="E391" s="85"/>
      <c r="F391" s="85"/>
      <c r="G391" s="85"/>
      <c r="H391" s="85"/>
      <c r="I391" s="138" t="str">
        <f aca="false">IFERROR(VLOOKUP(TEXT(H391,"0"),IPRESS!$A$3:$B$212,2,0),"")</f>
        <v/>
      </c>
      <c r="J391" s="85"/>
      <c r="K391" s="149"/>
      <c r="L391" s="85"/>
      <c r="M391" s="85"/>
      <c r="N391" s="151"/>
      <c r="O391" s="85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85"/>
      <c r="S391" s="85"/>
      <c r="T391" s="85"/>
      <c r="U391" s="85"/>
      <c r="V391" s="85"/>
      <c r="W391" s="85"/>
      <c r="X391" s="85"/>
      <c r="Y391" s="85"/>
      <c r="Z391" s="157"/>
      <c r="AA391" s="4"/>
      <c r="AB391" s="4"/>
      <c r="AC391" s="4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49"/>
      <c r="L392" s="85"/>
      <c r="M392" s="85"/>
      <c r="N392" s="151"/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57"/>
      <c r="AA392" s="4"/>
      <c r="AB392" s="4"/>
      <c r="AC392" s="4"/>
    </row>
    <row r="393" customFormat="false" ht="15" hidden="false" customHeight="true" outlineLevel="0" collapsed="false">
      <c r="A393" s="85"/>
      <c r="B393" s="85"/>
      <c r="C393" s="85"/>
      <c r="D393" s="85"/>
      <c r="E393" s="85"/>
      <c r="F393" s="85"/>
      <c r="G393" s="85"/>
      <c r="H393" s="85"/>
      <c r="I393" s="138" t="str">
        <f aca="false">IFERROR(VLOOKUP(TEXT(H393,"0"),IPRESS!$A$3:$B$212,2,0),"")</f>
        <v/>
      </c>
      <c r="J393" s="85"/>
      <c r="K393" s="149"/>
      <c r="L393" s="85"/>
      <c r="M393" s="85"/>
      <c r="N393" s="151"/>
      <c r="O393" s="85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85"/>
      <c r="S393" s="85"/>
      <c r="T393" s="85"/>
      <c r="U393" s="85"/>
      <c r="V393" s="85"/>
      <c r="W393" s="85"/>
      <c r="X393" s="85"/>
      <c r="Y393" s="85"/>
      <c r="Z393" s="157"/>
      <c r="AA393" s="4"/>
      <c r="AB393" s="4"/>
      <c r="AC393" s="4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49"/>
      <c r="L394" s="85"/>
      <c r="M394" s="85"/>
      <c r="N394" s="151"/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57"/>
      <c r="AA394" s="4"/>
      <c r="AB394" s="4"/>
      <c r="AC394" s="4"/>
    </row>
    <row r="395" customFormat="false" ht="15" hidden="false" customHeight="true" outlineLevel="0" collapsed="false">
      <c r="A395" s="85"/>
      <c r="B395" s="85"/>
      <c r="C395" s="85"/>
      <c r="D395" s="85"/>
      <c r="E395" s="85"/>
      <c r="F395" s="85"/>
      <c r="G395" s="85"/>
      <c r="H395" s="85"/>
      <c r="I395" s="138" t="str">
        <f aca="false">IFERROR(VLOOKUP(TEXT(H395,"0"),IPRESS!$A$3:$B$212,2,0),"")</f>
        <v/>
      </c>
      <c r="J395" s="85"/>
      <c r="K395" s="149"/>
      <c r="L395" s="85"/>
      <c r="M395" s="85"/>
      <c r="N395" s="151"/>
      <c r="O395" s="85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85"/>
      <c r="S395" s="85"/>
      <c r="T395" s="85"/>
      <c r="U395" s="85"/>
      <c r="V395" s="85"/>
      <c r="W395" s="85"/>
      <c r="X395" s="85"/>
      <c r="Y395" s="85"/>
      <c r="Z395" s="157"/>
      <c r="AA395" s="4"/>
      <c r="AB395" s="4"/>
      <c r="AC395" s="4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49"/>
      <c r="L396" s="85"/>
      <c r="M396" s="85"/>
      <c r="N396" s="151"/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57"/>
      <c r="AA396" s="4"/>
      <c r="AB396" s="4"/>
      <c r="AC396" s="4"/>
    </row>
    <row r="397" customFormat="false" ht="15" hidden="false" customHeight="true" outlineLevel="0" collapsed="false">
      <c r="A397" s="85"/>
      <c r="B397" s="85"/>
      <c r="C397" s="85"/>
      <c r="D397" s="85"/>
      <c r="E397" s="85"/>
      <c r="F397" s="85"/>
      <c r="G397" s="85"/>
      <c r="H397" s="85"/>
      <c r="I397" s="138" t="str">
        <f aca="false">IFERROR(VLOOKUP(TEXT(H397,"0"),IPRESS!$A$3:$B$212,2,0),"")</f>
        <v/>
      </c>
      <c r="J397" s="85"/>
      <c r="K397" s="149"/>
      <c r="L397" s="85"/>
      <c r="M397" s="85"/>
      <c r="N397" s="151"/>
      <c r="O397" s="85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85"/>
      <c r="S397" s="85"/>
      <c r="T397" s="85"/>
      <c r="U397" s="85"/>
      <c r="V397" s="85"/>
      <c r="W397" s="85"/>
      <c r="X397" s="85"/>
      <c r="Y397" s="85"/>
      <c r="Z397" s="157"/>
      <c r="AA397" s="4"/>
      <c r="AB397" s="4"/>
      <c r="AC397" s="4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49"/>
      <c r="L398" s="85"/>
      <c r="M398" s="85"/>
      <c r="N398" s="151"/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57"/>
      <c r="AA398" s="4"/>
      <c r="AB398" s="4"/>
      <c r="AC398" s="4"/>
    </row>
    <row r="399" customFormat="false" ht="15" hidden="false" customHeight="true" outlineLevel="0" collapsed="false">
      <c r="A399" s="85"/>
      <c r="B399" s="85"/>
      <c r="C399" s="85"/>
      <c r="D399" s="85"/>
      <c r="E399" s="85"/>
      <c r="F399" s="85"/>
      <c r="G399" s="85"/>
      <c r="H399" s="85"/>
      <c r="I399" s="138" t="str">
        <f aca="false">IFERROR(VLOOKUP(TEXT(H399,"0"),IPRESS!$A$3:$B$212,2,0),"")</f>
        <v/>
      </c>
      <c r="J399" s="85"/>
      <c r="K399" s="149"/>
      <c r="L399" s="85"/>
      <c r="M399" s="85"/>
      <c r="N399" s="151"/>
      <c r="O399" s="85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85"/>
      <c r="S399" s="85"/>
      <c r="T399" s="85"/>
      <c r="U399" s="85"/>
      <c r="V399" s="85"/>
      <c r="W399" s="85"/>
      <c r="X399" s="85"/>
      <c r="Y399" s="85"/>
      <c r="Z399" s="157"/>
      <c r="AA399" s="4"/>
      <c r="AB399" s="4"/>
      <c r="AC399" s="4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49"/>
      <c r="L400" s="85"/>
      <c r="M400" s="85"/>
      <c r="N400" s="151"/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57"/>
      <c r="AA400" s="4"/>
      <c r="AB400" s="4"/>
      <c r="AC400" s="4"/>
    </row>
    <row r="401" customFormat="false" ht="15" hidden="false" customHeight="true" outlineLevel="0" collapsed="false">
      <c r="A401" s="85"/>
      <c r="B401" s="85"/>
      <c r="C401" s="85"/>
      <c r="D401" s="85"/>
      <c r="E401" s="85"/>
      <c r="F401" s="85"/>
      <c r="G401" s="85"/>
      <c r="H401" s="85"/>
      <c r="I401" s="138" t="str">
        <f aca="false">IFERROR(VLOOKUP(TEXT(H401,"0"),IPRESS!$A$3:$B$212,2,0),"")</f>
        <v/>
      </c>
      <c r="J401" s="85"/>
      <c r="K401" s="149"/>
      <c r="L401" s="85"/>
      <c r="M401" s="85"/>
      <c r="N401" s="151"/>
      <c r="O401" s="85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85"/>
      <c r="S401" s="85"/>
      <c r="T401" s="85"/>
      <c r="U401" s="85"/>
      <c r="V401" s="85"/>
      <c r="W401" s="85"/>
      <c r="X401" s="85"/>
      <c r="Y401" s="85"/>
      <c r="Z401" s="157"/>
      <c r="AA401" s="4"/>
      <c r="AB401" s="4"/>
      <c r="AC401" s="4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49"/>
      <c r="L402" s="85"/>
      <c r="M402" s="85"/>
      <c r="N402" s="151"/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57"/>
      <c r="AA402" s="4"/>
      <c r="AB402" s="4"/>
      <c r="AC402" s="4"/>
    </row>
    <row r="403" customFormat="false" ht="15" hidden="false" customHeight="true" outlineLevel="0" collapsed="false">
      <c r="A403" s="85"/>
      <c r="B403" s="85"/>
      <c r="C403" s="85"/>
      <c r="D403" s="85"/>
      <c r="E403" s="85"/>
      <c r="F403" s="85"/>
      <c r="G403" s="85"/>
      <c r="H403" s="85"/>
      <c r="I403" s="138" t="str">
        <f aca="false">IFERROR(VLOOKUP(TEXT(H403,"0"),IPRESS!$A$3:$B$212,2,0),"")</f>
        <v/>
      </c>
      <c r="J403" s="85"/>
      <c r="K403" s="149"/>
      <c r="L403" s="85"/>
      <c r="M403" s="85"/>
      <c r="N403" s="151"/>
      <c r="O403" s="85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85"/>
      <c r="S403" s="85"/>
      <c r="T403" s="85"/>
      <c r="U403" s="85"/>
      <c r="V403" s="85"/>
      <c r="W403" s="85"/>
      <c r="X403" s="85"/>
      <c r="Y403" s="85"/>
      <c r="Z403" s="157"/>
      <c r="AA403" s="4"/>
      <c r="AB403" s="4"/>
      <c r="AC403" s="4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49"/>
      <c r="L404" s="85"/>
      <c r="M404" s="85"/>
      <c r="N404" s="151"/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57"/>
      <c r="AA404" s="4"/>
      <c r="AB404" s="4"/>
      <c r="AC404" s="4"/>
    </row>
    <row r="405" customFormat="false" ht="15" hidden="false" customHeight="true" outlineLevel="0" collapsed="false">
      <c r="A405" s="85"/>
      <c r="B405" s="85"/>
      <c r="C405" s="85"/>
      <c r="D405" s="85"/>
      <c r="E405" s="85"/>
      <c r="F405" s="85"/>
      <c r="G405" s="85"/>
      <c r="H405" s="85"/>
      <c r="I405" s="138" t="str">
        <f aca="false">IFERROR(VLOOKUP(TEXT(H405,"0"),IPRESS!$A$3:$B$212,2,0),"")</f>
        <v/>
      </c>
      <c r="J405" s="85"/>
      <c r="K405" s="149"/>
      <c r="L405" s="85"/>
      <c r="M405" s="85"/>
      <c r="N405" s="151"/>
      <c r="O405" s="85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85"/>
      <c r="S405" s="85"/>
      <c r="T405" s="85"/>
      <c r="U405" s="85"/>
      <c r="V405" s="85"/>
      <c r="W405" s="85"/>
      <c r="X405" s="85"/>
      <c r="Y405" s="85"/>
      <c r="Z405" s="157"/>
      <c r="AA405" s="4"/>
      <c r="AB405" s="4"/>
      <c r="AC405" s="4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49"/>
      <c r="L406" s="85"/>
      <c r="M406" s="85"/>
      <c r="N406" s="151"/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57"/>
      <c r="AA406" s="4"/>
      <c r="AB406" s="4"/>
      <c r="AC406" s="4"/>
    </row>
    <row r="407" customFormat="false" ht="15" hidden="false" customHeight="true" outlineLevel="0" collapsed="false">
      <c r="A407" s="85"/>
      <c r="B407" s="85"/>
      <c r="C407" s="85"/>
      <c r="D407" s="85"/>
      <c r="E407" s="85"/>
      <c r="F407" s="85"/>
      <c r="G407" s="85"/>
      <c r="H407" s="85"/>
      <c r="I407" s="138" t="str">
        <f aca="false">IFERROR(VLOOKUP(TEXT(H407,"0"),IPRESS!$A$3:$B$212,2,0),"")</f>
        <v/>
      </c>
      <c r="J407" s="85"/>
      <c r="K407" s="149"/>
      <c r="L407" s="85"/>
      <c r="M407" s="85"/>
      <c r="N407" s="151"/>
      <c r="O407" s="85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85"/>
      <c r="S407" s="85"/>
      <c r="T407" s="85"/>
      <c r="U407" s="85"/>
      <c r="V407" s="85"/>
      <c r="W407" s="85"/>
      <c r="X407" s="85"/>
      <c r="Y407" s="85"/>
      <c r="Z407" s="157"/>
      <c r="AA407" s="4"/>
      <c r="AB407" s="4"/>
      <c r="AC407" s="4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49"/>
      <c r="L408" s="85"/>
      <c r="M408" s="85"/>
      <c r="N408" s="151"/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57"/>
      <c r="AA408" s="4"/>
      <c r="AB408" s="4"/>
      <c r="AC408" s="4"/>
    </row>
    <row r="409" customFormat="false" ht="15" hidden="false" customHeight="true" outlineLevel="0" collapsed="false">
      <c r="A409" s="85"/>
      <c r="B409" s="85"/>
      <c r="C409" s="85"/>
      <c r="D409" s="85"/>
      <c r="E409" s="85"/>
      <c r="F409" s="85"/>
      <c r="G409" s="85"/>
      <c r="H409" s="85"/>
      <c r="I409" s="138" t="str">
        <f aca="false">IFERROR(VLOOKUP(TEXT(H409,"0"),IPRESS!$A$3:$B$212,2,0),"")</f>
        <v/>
      </c>
      <c r="J409" s="85"/>
      <c r="K409" s="149"/>
      <c r="L409" s="85"/>
      <c r="M409" s="85"/>
      <c r="N409" s="151"/>
      <c r="O409" s="85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85"/>
      <c r="S409" s="85"/>
      <c r="T409" s="85"/>
      <c r="U409" s="85"/>
      <c r="V409" s="85"/>
      <c r="W409" s="85"/>
      <c r="X409" s="85"/>
      <c r="Y409" s="85"/>
      <c r="Z409" s="157"/>
      <c r="AA409" s="4"/>
      <c r="AB409" s="4"/>
      <c r="AC409" s="4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49"/>
      <c r="L410" s="85"/>
      <c r="M410" s="85"/>
      <c r="N410" s="151"/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57"/>
      <c r="AA410" s="4"/>
      <c r="AB410" s="4"/>
      <c r="AC410" s="4"/>
    </row>
    <row r="411" customFormat="false" ht="15" hidden="false" customHeight="true" outlineLevel="0" collapsed="false">
      <c r="A411" s="85"/>
      <c r="B411" s="85"/>
      <c r="C411" s="85"/>
      <c r="D411" s="85"/>
      <c r="E411" s="85"/>
      <c r="F411" s="85"/>
      <c r="G411" s="85"/>
      <c r="H411" s="85"/>
      <c r="I411" s="138" t="str">
        <f aca="false">IFERROR(VLOOKUP(TEXT(H411,"0"),IPRESS!$A$3:$B$212,2,0),"")</f>
        <v/>
      </c>
      <c r="J411" s="85"/>
      <c r="K411" s="149"/>
      <c r="L411" s="85"/>
      <c r="M411" s="85"/>
      <c r="N411" s="151"/>
      <c r="O411" s="85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85"/>
      <c r="S411" s="85"/>
      <c r="T411" s="85"/>
      <c r="U411" s="85"/>
      <c r="V411" s="85"/>
      <c r="W411" s="85"/>
      <c r="X411" s="85"/>
      <c r="Y411" s="85"/>
      <c r="Z411" s="157"/>
      <c r="AA411" s="4"/>
      <c r="AB411" s="4"/>
      <c r="AC411" s="4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49"/>
      <c r="L412" s="85"/>
      <c r="M412" s="85"/>
      <c r="N412" s="151"/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57"/>
      <c r="AA412" s="4"/>
      <c r="AB412" s="4"/>
      <c r="AC412" s="4"/>
    </row>
    <row r="413" customFormat="false" ht="15" hidden="false" customHeight="true" outlineLevel="0" collapsed="false">
      <c r="A413" s="85"/>
      <c r="B413" s="85"/>
      <c r="C413" s="85"/>
      <c r="D413" s="85"/>
      <c r="E413" s="85"/>
      <c r="F413" s="85"/>
      <c r="G413" s="85"/>
      <c r="H413" s="85"/>
      <c r="I413" s="138" t="str">
        <f aca="false">IFERROR(VLOOKUP(TEXT(H413,"0"),IPRESS!$A$3:$B$212,2,0),"")</f>
        <v/>
      </c>
      <c r="J413" s="85"/>
      <c r="K413" s="149"/>
      <c r="L413" s="85"/>
      <c r="M413" s="85"/>
      <c r="N413" s="151"/>
      <c r="O413" s="85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85"/>
      <c r="S413" s="85"/>
      <c r="T413" s="85"/>
      <c r="U413" s="85"/>
      <c r="V413" s="85"/>
      <c r="W413" s="85"/>
      <c r="X413" s="85"/>
      <c r="Y413" s="85"/>
      <c r="Z413" s="157"/>
      <c r="AA413" s="4"/>
      <c r="AB413" s="4"/>
      <c r="AC413" s="4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49"/>
      <c r="L414" s="85"/>
      <c r="M414" s="85"/>
      <c r="N414" s="151"/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57"/>
      <c r="AA414" s="4"/>
      <c r="AB414" s="4"/>
      <c r="AC414" s="4"/>
    </row>
    <row r="415" customFormat="false" ht="15" hidden="false" customHeight="true" outlineLevel="0" collapsed="false">
      <c r="A415" s="85"/>
      <c r="B415" s="85"/>
      <c r="C415" s="85"/>
      <c r="D415" s="85"/>
      <c r="E415" s="85"/>
      <c r="F415" s="85"/>
      <c r="G415" s="85"/>
      <c r="H415" s="85"/>
      <c r="I415" s="138" t="str">
        <f aca="false">IFERROR(VLOOKUP(TEXT(H415,"0"),IPRESS!$A$3:$B$212,2,0),"")</f>
        <v/>
      </c>
      <c r="J415" s="85"/>
      <c r="K415" s="149"/>
      <c r="L415" s="85"/>
      <c r="M415" s="85"/>
      <c r="N415" s="151"/>
      <c r="O415" s="85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85"/>
      <c r="S415" s="85"/>
      <c r="T415" s="85"/>
      <c r="U415" s="85"/>
      <c r="V415" s="85"/>
      <c r="W415" s="85"/>
      <c r="X415" s="85"/>
      <c r="Y415" s="85"/>
      <c r="Z415" s="157"/>
      <c r="AA415" s="4"/>
      <c r="AB415" s="4"/>
      <c r="AC415" s="4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49"/>
      <c r="L416" s="85"/>
      <c r="M416" s="85"/>
      <c r="N416" s="151"/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57"/>
      <c r="AA416" s="4"/>
      <c r="AB416" s="4"/>
      <c r="AC416" s="4"/>
    </row>
    <row r="417" customFormat="false" ht="15" hidden="false" customHeight="true" outlineLevel="0" collapsed="false">
      <c r="A417" s="85"/>
      <c r="B417" s="85"/>
      <c r="C417" s="85"/>
      <c r="D417" s="85"/>
      <c r="E417" s="85"/>
      <c r="F417" s="85"/>
      <c r="G417" s="85"/>
      <c r="H417" s="85"/>
      <c r="I417" s="138" t="str">
        <f aca="false">IFERROR(VLOOKUP(TEXT(H417,"0"),IPRESS!$A$3:$B$212,2,0),"")</f>
        <v/>
      </c>
      <c r="J417" s="85"/>
      <c r="K417" s="149"/>
      <c r="L417" s="85"/>
      <c r="M417" s="85"/>
      <c r="N417" s="151"/>
      <c r="O417" s="85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85"/>
      <c r="S417" s="85"/>
      <c r="T417" s="85"/>
      <c r="U417" s="85"/>
      <c r="V417" s="85"/>
      <c r="W417" s="85"/>
      <c r="X417" s="85"/>
      <c r="Y417" s="85"/>
      <c r="Z417" s="157"/>
      <c r="AA417" s="4"/>
      <c r="AB417" s="4"/>
      <c r="AC417" s="4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49"/>
      <c r="L418" s="85"/>
      <c r="M418" s="85"/>
      <c r="N418" s="151"/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57"/>
      <c r="AA418" s="4"/>
      <c r="AB418" s="4"/>
      <c r="AC418" s="4"/>
    </row>
    <row r="419" customFormat="false" ht="15" hidden="false" customHeight="true" outlineLevel="0" collapsed="false">
      <c r="A419" s="85"/>
      <c r="B419" s="85"/>
      <c r="C419" s="85"/>
      <c r="D419" s="85"/>
      <c r="E419" s="85"/>
      <c r="F419" s="85"/>
      <c r="G419" s="85"/>
      <c r="H419" s="85"/>
      <c r="I419" s="138" t="str">
        <f aca="false">IFERROR(VLOOKUP(TEXT(H419,"0"),IPRESS!$A$3:$B$212,2,0),"")</f>
        <v/>
      </c>
      <c r="J419" s="85"/>
      <c r="K419" s="149"/>
      <c r="L419" s="85"/>
      <c r="M419" s="85"/>
      <c r="N419" s="151"/>
      <c r="O419" s="85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85"/>
      <c r="S419" s="85"/>
      <c r="T419" s="85"/>
      <c r="U419" s="85"/>
      <c r="V419" s="85"/>
      <c r="W419" s="85"/>
      <c r="X419" s="85"/>
      <c r="Y419" s="85"/>
      <c r="Z419" s="157"/>
      <c r="AA419" s="4"/>
      <c r="AB419" s="4"/>
      <c r="AC419" s="4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49"/>
      <c r="L420" s="85"/>
      <c r="M420" s="85"/>
      <c r="N420" s="151"/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57"/>
      <c r="AA420" s="4"/>
      <c r="AB420" s="4"/>
      <c r="AC420" s="4"/>
    </row>
    <row r="421" customFormat="false" ht="15" hidden="false" customHeight="true" outlineLevel="0" collapsed="false">
      <c r="A421" s="85"/>
      <c r="B421" s="85"/>
      <c r="C421" s="85"/>
      <c r="D421" s="85"/>
      <c r="E421" s="85"/>
      <c r="F421" s="85"/>
      <c r="G421" s="85"/>
      <c r="H421" s="85"/>
      <c r="I421" s="138" t="str">
        <f aca="false">IFERROR(VLOOKUP(TEXT(H421,"0"),IPRESS!$A$3:$B$212,2,0),"")</f>
        <v/>
      </c>
      <c r="J421" s="85"/>
      <c r="K421" s="149"/>
      <c r="L421" s="85"/>
      <c r="M421" s="85"/>
      <c r="N421" s="151"/>
      <c r="O421" s="85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85"/>
      <c r="S421" s="85"/>
      <c r="T421" s="85"/>
      <c r="U421" s="85"/>
      <c r="V421" s="85"/>
      <c r="W421" s="85"/>
      <c r="X421" s="85"/>
      <c r="Y421" s="85"/>
      <c r="Z421" s="157"/>
      <c r="AA421" s="4"/>
      <c r="AB421" s="4"/>
      <c r="AC421" s="4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49"/>
      <c r="L422" s="85"/>
      <c r="M422" s="85"/>
      <c r="N422" s="151"/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57"/>
      <c r="AA422" s="4"/>
      <c r="AB422" s="4"/>
      <c r="AC422" s="4"/>
    </row>
    <row r="423" customFormat="false" ht="15" hidden="false" customHeight="true" outlineLevel="0" collapsed="false">
      <c r="A423" s="85"/>
      <c r="B423" s="85"/>
      <c r="C423" s="85"/>
      <c r="D423" s="85"/>
      <c r="E423" s="85"/>
      <c r="F423" s="85"/>
      <c r="G423" s="85"/>
      <c r="H423" s="85"/>
      <c r="I423" s="138" t="str">
        <f aca="false">IFERROR(VLOOKUP(TEXT(H423,"0"),IPRESS!$A$3:$B$212,2,0),"")</f>
        <v/>
      </c>
      <c r="J423" s="85"/>
      <c r="K423" s="149"/>
      <c r="L423" s="85"/>
      <c r="M423" s="85"/>
      <c r="N423" s="151"/>
      <c r="O423" s="85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85"/>
      <c r="S423" s="85"/>
      <c r="T423" s="85"/>
      <c r="U423" s="85"/>
      <c r="V423" s="85"/>
      <c r="W423" s="85"/>
      <c r="X423" s="85"/>
      <c r="Y423" s="85"/>
      <c r="Z423" s="157"/>
      <c r="AA423" s="4"/>
      <c r="AB423" s="4"/>
      <c r="AC423" s="4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49"/>
      <c r="L424" s="85"/>
      <c r="M424" s="85"/>
      <c r="N424" s="151"/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57"/>
      <c r="AA424" s="4"/>
      <c r="AB424" s="4"/>
      <c r="AC424" s="4"/>
    </row>
    <row r="425" customFormat="false" ht="15" hidden="false" customHeight="true" outlineLevel="0" collapsed="false">
      <c r="A425" s="85"/>
      <c r="B425" s="85"/>
      <c r="C425" s="85"/>
      <c r="D425" s="85"/>
      <c r="E425" s="85"/>
      <c r="F425" s="85"/>
      <c r="G425" s="85"/>
      <c r="H425" s="85"/>
      <c r="I425" s="138" t="str">
        <f aca="false">IFERROR(VLOOKUP(TEXT(H425,"0"),IPRESS!$A$3:$B$212,2,0),"")</f>
        <v/>
      </c>
      <c r="J425" s="85"/>
      <c r="K425" s="149"/>
      <c r="L425" s="85"/>
      <c r="M425" s="85"/>
      <c r="N425" s="151"/>
      <c r="O425" s="85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85"/>
      <c r="S425" s="85"/>
      <c r="T425" s="85"/>
      <c r="U425" s="85"/>
      <c r="V425" s="85"/>
      <c r="W425" s="85"/>
      <c r="X425" s="85"/>
      <c r="Y425" s="85"/>
      <c r="Z425" s="157"/>
      <c r="AA425" s="4"/>
      <c r="AB425" s="4"/>
      <c r="AC425" s="4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49"/>
      <c r="L426" s="85"/>
      <c r="M426" s="85"/>
      <c r="N426" s="151"/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57"/>
      <c r="AA426" s="4"/>
      <c r="AB426" s="4"/>
      <c r="AC426" s="4"/>
    </row>
    <row r="427" customFormat="false" ht="15" hidden="false" customHeight="true" outlineLevel="0" collapsed="false">
      <c r="A427" s="85"/>
      <c r="B427" s="85"/>
      <c r="C427" s="85"/>
      <c r="D427" s="85"/>
      <c r="E427" s="85"/>
      <c r="F427" s="85"/>
      <c r="G427" s="85"/>
      <c r="H427" s="85"/>
      <c r="I427" s="138" t="str">
        <f aca="false">IFERROR(VLOOKUP(TEXT(H427,"0"),IPRESS!$A$3:$B$212,2,0),"")</f>
        <v/>
      </c>
      <c r="J427" s="85"/>
      <c r="K427" s="149"/>
      <c r="L427" s="85"/>
      <c r="M427" s="85"/>
      <c r="N427" s="151"/>
      <c r="O427" s="85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85"/>
      <c r="S427" s="85"/>
      <c r="T427" s="85"/>
      <c r="U427" s="85"/>
      <c r="V427" s="85"/>
      <c r="W427" s="85"/>
      <c r="X427" s="85"/>
      <c r="Y427" s="85"/>
      <c r="Z427" s="157"/>
      <c r="AA427" s="4"/>
      <c r="AB427" s="4"/>
      <c r="AC427" s="4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49"/>
      <c r="L428" s="85"/>
      <c r="M428" s="85"/>
      <c r="N428" s="151"/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57"/>
      <c r="AA428" s="4"/>
      <c r="AB428" s="4"/>
      <c r="AC428" s="4"/>
    </row>
    <row r="429" customFormat="false" ht="15" hidden="false" customHeight="true" outlineLevel="0" collapsed="false">
      <c r="A429" s="85"/>
      <c r="B429" s="85"/>
      <c r="C429" s="85"/>
      <c r="D429" s="85"/>
      <c r="E429" s="85"/>
      <c r="F429" s="85"/>
      <c r="G429" s="85"/>
      <c r="H429" s="85"/>
      <c r="I429" s="138" t="str">
        <f aca="false">IFERROR(VLOOKUP(TEXT(H429,"0"),IPRESS!$A$3:$B$212,2,0),"")</f>
        <v/>
      </c>
      <c r="J429" s="85"/>
      <c r="K429" s="149"/>
      <c r="L429" s="85"/>
      <c r="M429" s="85"/>
      <c r="N429" s="151"/>
      <c r="O429" s="85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85"/>
      <c r="S429" s="85"/>
      <c r="T429" s="85"/>
      <c r="U429" s="85"/>
      <c r="V429" s="85"/>
      <c r="W429" s="85"/>
      <c r="X429" s="85"/>
      <c r="Y429" s="85"/>
      <c r="Z429" s="157"/>
      <c r="AA429" s="4"/>
      <c r="AB429" s="4"/>
      <c r="AC429" s="4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49"/>
      <c r="L430" s="85"/>
      <c r="M430" s="85"/>
      <c r="N430" s="151"/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57"/>
      <c r="AA430" s="4"/>
      <c r="AB430" s="4"/>
      <c r="AC430" s="4"/>
    </row>
    <row r="431" customFormat="false" ht="15" hidden="false" customHeight="true" outlineLevel="0" collapsed="false">
      <c r="A431" s="85"/>
      <c r="B431" s="85"/>
      <c r="C431" s="85"/>
      <c r="D431" s="85"/>
      <c r="E431" s="85"/>
      <c r="F431" s="85"/>
      <c r="G431" s="85"/>
      <c r="H431" s="85"/>
      <c r="I431" s="138" t="str">
        <f aca="false">IFERROR(VLOOKUP(TEXT(H431,"0"),IPRESS!$A$3:$B$212,2,0),"")</f>
        <v/>
      </c>
      <c r="J431" s="85"/>
      <c r="K431" s="149"/>
      <c r="L431" s="85"/>
      <c r="M431" s="85"/>
      <c r="N431" s="151"/>
      <c r="O431" s="85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85"/>
      <c r="S431" s="85"/>
      <c r="T431" s="85"/>
      <c r="U431" s="85"/>
      <c r="V431" s="85"/>
      <c r="W431" s="85"/>
      <c r="X431" s="85"/>
      <c r="Y431" s="85"/>
      <c r="Z431" s="157"/>
      <c r="AA431" s="4"/>
      <c r="AB431" s="4"/>
      <c r="AC431" s="4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49"/>
      <c r="L432" s="85"/>
      <c r="M432" s="85"/>
      <c r="N432" s="151"/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57"/>
      <c r="AA432" s="4"/>
      <c r="AB432" s="4"/>
      <c r="AC432" s="4"/>
    </row>
    <row r="433" customFormat="false" ht="15" hidden="false" customHeight="true" outlineLevel="0" collapsed="false">
      <c r="A433" s="85"/>
      <c r="B433" s="85"/>
      <c r="C433" s="85"/>
      <c r="D433" s="85"/>
      <c r="E433" s="85"/>
      <c r="F433" s="85"/>
      <c r="G433" s="85"/>
      <c r="H433" s="85"/>
      <c r="I433" s="138" t="str">
        <f aca="false">IFERROR(VLOOKUP(TEXT(H433,"0"),IPRESS!$A$3:$B$212,2,0),"")</f>
        <v/>
      </c>
      <c r="J433" s="85"/>
      <c r="K433" s="149"/>
      <c r="L433" s="85"/>
      <c r="M433" s="85"/>
      <c r="N433" s="151"/>
      <c r="O433" s="85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85"/>
      <c r="S433" s="85"/>
      <c r="T433" s="85"/>
      <c r="U433" s="85"/>
      <c r="V433" s="85"/>
      <c r="W433" s="85"/>
      <c r="X433" s="85"/>
      <c r="Y433" s="85"/>
      <c r="Z433" s="157"/>
      <c r="AA433" s="4"/>
      <c r="AB433" s="4"/>
      <c r="AC433" s="4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49"/>
      <c r="L434" s="85"/>
      <c r="M434" s="85"/>
      <c r="N434" s="151"/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57"/>
      <c r="AA434" s="4"/>
      <c r="AB434" s="4"/>
      <c r="AC434" s="4"/>
    </row>
    <row r="435" customFormat="false" ht="15" hidden="false" customHeight="true" outlineLevel="0" collapsed="false">
      <c r="A435" s="85"/>
      <c r="B435" s="85"/>
      <c r="C435" s="85"/>
      <c r="D435" s="85"/>
      <c r="E435" s="85"/>
      <c r="F435" s="85"/>
      <c r="G435" s="85"/>
      <c r="H435" s="85"/>
      <c r="I435" s="138" t="str">
        <f aca="false">IFERROR(VLOOKUP(TEXT(H435,"0"),IPRESS!$A$3:$B$212,2,0),"")</f>
        <v/>
      </c>
      <c r="J435" s="85"/>
      <c r="K435" s="149"/>
      <c r="L435" s="85"/>
      <c r="M435" s="85"/>
      <c r="N435" s="151"/>
      <c r="O435" s="85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85"/>
      <c r="S435" s="85"/>
      <c r="T435" s="85"/>
      <c r="U435" s="85"/>
      <c r="V435" s="85"/>
      <c r="W435" s="85"/>
      <c r="X435" s="85"/>
      <c r="Y435" s="85"/>
      <c r="Z435" s="157"/>
      <c r="AA435" s="4"/>
      <c r="AB435" s="4"/>
      <c r="AC435" s="4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49"/>
      <c r="L436" s="85"/>
      <c r="M436" s="85"/>
      <c r="N436" s="151"/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57"/>
      <c r="AA436" s="4"/>
      <c r="AB436" s="4"/>
      <c r="AC436" s="4"/>
    </row>
    <row r="437" customFormat="false" ht="15" hidden="false" customHeight="true" outlineLevel="0" collapsed="false">
      <c r="A437" s="85"/>
      <c r="B437" s="85"/>
      <c r="C437" s="85"/>
      <c r="D437" s="85"/>
      <c r="E437" s="85"/>
      <c r="F437" s="85"/>
      <c r="G437" s="85"/>
      <c r="H437" s="85"/>
      <c r="I437" s="138" t="str">
        <f aca="false">IFERROR(VLOOKUP(TEXT(H437,"0"),IPRESS!$A$3:$B$212,2,0),"")</f>
        <v/>
      </c>
      <c r="J437" s="85"/>
      <c r="K437" s="149"/>
      <c r="L437" s="85"/>
      <c r="M437" s="85"/>
      <c r="N437" s="151"/>
      <c r="O437" s="85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85"/>
      <c r="S437" s="85"/>
      <c r="T437" s="85"/>
      <c r="U437" s="85"/>
      <c r="V437" s="85"/>
      <c r="W437" s="85"/>
      <c r="X437" s="85"/>
      <c r="Y437" s="85"/>
      <c r="Z437" s="157"/>
      <c r="AA437" s="4"/>
      <c r="AB437" s="4"/>
      <c r="AC437" s="4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49"/>
      <c r="L438" s="85"/>
      <c r="M438" s="85"/>
      <c r="N438" s="151"/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57"/>
      <c r="AA438" s="4"/>
      <c r="AB438" s="4"/>
      <c r="AC438" s="4"/>
    </row>
    <row r="439" customFormat="false" ht="15" hidden="false" customHeight="true" outlineLevel="0" collapsed="false">
      <c r="A439" s="85"/>
      <c r="B439" s="85"/>
      <c r="C439" s="85"/>
      <c r="D439" s="85"/>
      <c r="E439" s="85"/>
      <c r="F439" s="85"/>
      <c r="G439" s="85"/>
      <c r="H439" s="85"/>
      <c r="I439" s="138" t="str">
        <f aca="false">IFERROR(VLOOKUP(TEXT(H439,"0"),IPRESS!$A$3:$B$212,2,0),"")</f>
        <v/>
      </c>
      <c r="J439" s="85"/>
      <c r="K439" s="149"/>
      <c r="L439" s="85"/>
      <c r="M439" s="85"/>
      <c r="N439" s="151"/>
      <c r="O439" s="85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85"/>
      <c r="S439" s="85"/>
      <c r="T439" s="85"/>
      <c r="U439" s="85"/>
      <c r="V439" s="85"/>
      <c r="W439" s="85"/>
      <c r="X439" s="85"/>
      <c r="Y439" s="85"/>
      <c r="Z439" s="157"/>
      <c r="AA439" s="4"/>
      <c r="AB439" s="4"/>
      <c r="AC439" s="4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49"/>
      <c r="L440" s="85"/>
      <c r="M440" s="85"/>
      <c r="N440" s="151"/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57"/>
      <c r="AA440" s="4"/>
      <c r="AB440" s="4"/>
      <c r="AC440" s="4"/>
    </row>
    <row r="441" customFormat="false" ht="15" hidden="false" customHeight="true" outlineLevel="0" collapsed="false">
      <c r="A441" s="85"/>
      <c r="B441" s="85"/>
      <c r="C441" s="85"/>
      <c r="D441" s="85"/>
      <c r="E441" s="85"/>
      <c r="F441" s="85"/>
      <c r="G441" s="85"/>
      <c r="H441" s="85"/>
      <c r="I441" s="138" t="str">
        <f aca="false">IFERROR(VLOOKUP(TEXT(H441,"0"),IPRESS!$A$3:$B$212,2,0),"")</f>
        <v/>
      </c>
      <c r="J441" s="85"/>
      <c r="K441" s="149"/>
      <c r="L441" s="85"/>
      <c r="M441" s="85"/>
      <c r="N441" s="151"/>
      <c r="O441" s="85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85"/>
      <c r="S441" s="85"/>
      <c r="T441" s="85"/>
      <c r="U441" s="85"/>
      <c r="V441" s="85"/>
      <c r="W441" s="85"/>
      <c r="X441" s="85"/>
      <c r="Y441" s="85"/>
      <c r="Z441" s="157"/>
      <c r="AA441" s="4"/>
      <c r="AB441" s="4"/>
      <c r="AC441" s="4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49"/>
      <c r="L442" s="85"/>
      <c r="M442" s="85"/>
      <c r="N442" s="151"/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57"/>
      <c r="AA442" s="4"/>
      <c r="AB442" s="4"/>
      <c r="AC442" s="4"/>
    </row>
    <row r="443" customFormat="false" ht="15" hidden="false" customHeight="true" outlineLevel="0" collapsed="false">
      <c r="A443" s="85"/>
      <c r="B443" s="85"/>
      <c r="C443" s="85"/>
      <c r="D443" s="85"/>
      <c r="E443" s="85"/>
      <c r="F443" s="85"/>
      <c r="G443" s="85"/>
      <c r="H443" s="85"/>
      <c r="I443" s="138" t="str">
        <f aca="false">IFERROR(VLOOKUP(TEXT(H443,"0"),IPRESS!$A$3:$B$212,2,0),"")</f>
        <v/>
      </c>
      <c r="J443" s="85"/>
      <c r="K443" s="149"/>
      <c r="L443" s="85"/>
      <c r="M443" s="85"/>
      <c r="N443" s="151"/>
      <c r="O443" s="85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85"/>
      <c r="S443" s="85"/>
      <c r="T443" s="85"/>
      <c r="U443" s="85"/>
      <c r="V443" s="85"/>
      <c r="W443" s="85"/>
      <c r="X443" s="85"/>
      <c r="Y443" s="85"/>
      <c r="Z443" s="157"/>
      <c r="AA443" s="4"/>
      <c r="AB443" s="4"/>
      <c r="AC443" s="4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49"/>
      <c r="L444" s="85"/>
      <c r="M444" s="85"/>
      <c r="N444" s="151"/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57"/>
      <c r="AA444" s="4"/>
      <c r="AB444" s="4"/>
      <c r="AC444" s="4"/>
    </row>
    <row r="445" customFormat="false" ht="15" hidden="false" customHeight="true" outlineLevel="0" collapsed="false">
      <c r="A445" s="85"/>
      <c r="B445" s="85"/>
      <c r="C445" s="85"/>
      <c r="D445" s="85"/>
      <c r="E445" s="85"/>
      <c r="F445" s="85"/>
      <c r="G445" s="85"/>
      <c r="H445" s="85"/>
      <c r="I445" s="138" t="str">
        <f aca="false">IFERROR(VLOOKUP(TEXT(H445,"0"),IPRESS!$A$3:$B$212,2,0),"")</f>
        <v/>
      </c>
      <c r="J445" s="85"/>
      <c r="K445" s="149"/>
      <c r="L445" s="85"/>
      <c r="M445" s="85"/>
      <c r="N445" s="151"/>
      <c r="O445" s="85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85"/>
      <c r="S445" s="85"/>
      <c r="T445" s="85"/>
      <c r="U445" s="85"/>
      <c r="V445" s="85"/>
      <c r="W445" s="85"/>
      <c r="X445" s="85"/>
      <c r="Y445" s="85"/>
      <c r="Z445" s="157"/>
      <c r="AA445" s="4"/>
      <c r="AB445" s="4"/>
      <c r="AC445" s="4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49"/>
      <c r="L446" s="85"/>
      <c r="M446" s="85"/>
      <c r="N446" s="151"/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57"/>
      <c r="AA446" s="4"/>
      <c r="AB446" s="4"/>
      <c r="AC446" s="4"/>
    </row>
    <row r="447" customFormat="false" ht="15" hidden="false" customHeight="true" outlineLevel="0" collapsed="false">
      <c r="A447" s="85"/>
      <c r="B447" s="85"/>
      <c r="C447" s="85"/>
      <c r="D447" s="85"/>
      <c r="E447" s="85"/>
      <c r="F447" s="85"/>
      <c r="G447" s="85"/>
      <c r="H447" s="85"/>
      <c r="I447" s="138" t="str">
        <f aca="false">IFERROR(VLOOKUP(TEXT(H447,"0"),IPRESS!$A$3:$B$212,2,0),"")</f>
        <v/>
      </c>
      <c r="J447" s="85"/>
      <c r="K447" s="149"/>
      <c r="L447" s="85"/>
      <c r="M447" s="85"/>
      <c r="N447" s="151"/>
      <c r="O447" s="85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85"/>
      <c r="S447" s="85"/>
      <c r="T447" s="85"/>
      <c r="U447" s="85"/>
      <c r="V447" s="85"/>
      <c r="W447" s="85"/>
      <c r="X447" s="85"/>
      <c r="Y447" s="85"/>
      <c r="Z447" s="157"/>
      <c r="AA447" s="4"/>
      <c r="AB447" s="4"/>
      <c r="AC447" s="4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49"/>
      <c r="L448" s="85"/>
      <c r="M448" s="85"/>
      <c r="N448" s="151"/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57"/>
      <c r="AA448" s="4"/>
      <c r="AB448" s="4"/>
      <c r="AC448" s="4"/>
    </row>
    <row r="449" customFormat="false" ht="15" hidden="false" customHeight="true" outlineLevel="0" collapsed="false">
      <c r="A449" s="85"/>
      <c r="B449" s="85"/>
      <c r="C449" s="85"/>
      <c r="D449" s="85"/>
      <c r="E449" s="85"/>
      <c r="F449" s="85"/>
      <c r="G449" s="85"/>
      <c r="H449" s="85"/>
      <c r="I449" s="138" t="str">
        <f aca="false">IFERROR(VLOOKUP(TEXT(H449,"0"),IPRESS!$A$3:$B$212,2,0),"")</f>
        <v/>
      </c>
      <c r="J449" s="85"/>
      <c r="K449" s="149"/>
      <c r="L449" s="85"/>
      <c r="M449" s="85"/>
      <c r="N449" s="151"/>
      <c r="O449" s="85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85"/>
      <c r="S449" s="85"/>
      <c r="T449" s="85"/>
      <c r="U449" s="85"/>
      <c r="V449" s="85"/>
      <c r="W449" s="85"/>
      <c r="X449" s="85"/>
      <c r="Y449" s="85"/>
      <c r="Z449" s="157"/>
      <c r="AA449" s="4"/>
      <c r="AB449" s="4"/>
      <c r="AC449" s="4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49"/>
      <c r="L450" s="85"/>
      <c r="M450" s="85"/>
      <c r="N450" s="151"/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57"/>
      <c r="AA450" s="4"/>
      <c r="AB450" s="4"/>
      <c r="AC450" s="4"/>
    </row>
    <row r="451" customFormat="false" ht="15" hidden="false" customHeight="true" outlineLevel="0" collapsed="false">
      <c r="A451" s="85"/>
      <c r="B451" s="85"/>
      <c r="C451" s="85"/>
      <c r="D451" s="85"/>
      <c r="E451" s="85"/>
      <c r="F451" s="85"/>
      <c r="G451" s="85"/>
      <c r="H451" s="85"/>
      <c r="I451" s="138" t="str">
        <f aca="false">IFERROR(VLOOKUP(TEXT(H451,"0"),IPRESS!$A$3:$B$212,2,0),"")</f>
        <v/>
      </c>
      <c r="J451" s="85"/>
      <c r="K451" s="149"/>
      <c r="L451" s="85"/>
      <c r="M451" s="85"/>
      <c r="N451" s="151"/>
      <c r="O451" s="85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85"/>
      <c r="S451" s="85"/>
      <c r="T451" s="85"/>
      <c r="U451" s="85"/>
      <c r="V451" s="85"/>
      <c r="W451" s="85"/>
      <c r="X451" s="85"/>
      <c r="Y451" s="85"/>
      <c r="Z451" s="157"/>
      <c r="AA451" s="4"/>
      <c r="AB451" s="4"/>
      <c r="AC451" s="4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49"/>
      <c r="L452" s="85"/>
      <c r="M452" s="85"/>
      <c r="N452" s="151"/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57"/>
      <c r="AA452" s="4"/>
      <c r="AB452" s="4"/>
      <c r="AC452" s="4"/>
    </row>
    <row r="453" customFormat="false" ht="15" hidden="false" customHeight="true" outlineLevel="0" collapsed="false">
      <c r="A453" s="85"/>
      <c r="B453" s="85"/>
      <c r="C453" s="85"/>
      <c r="D453" s="85"/>
      <c r="E453" s="85"/>
      <c r="F453" s="85"/>
      <c r="G453" s="85"/>
      <c r="H453" s="85"/>
      <c r="I453" s="138" t="str">
        <f aca="false">IFERROR(VLOOKUP(TEXT(H453,"0"),IPRESS!$A$3:$B$212,2,0),"")</f>
        <v/>
      </c>
      <c r="J453" s="85"/>
      <c r="K453" s="149"/>
      <c r="L453" s="85"/>
      <c r="M453" s="85"/>
      <c r="N453" s="151"/>
      <c r="O453" s="85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85"/>
      <c r="S453" s="85"/>
      <c r="T453" s="85"/>
      <c r="U453" s="85"/>
      <c r="V453" s="85"/>
      <c r="W453" s="85"/>
      <c r="X453" s="85"/>
      <c r="Y453" s="85"/>
      <c r="Z453" s="157"/>
      <c r="AA453" s="4"/>
      <c r="AB453" s="4"/>
      <c r="AC453" s="4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49"/>
      <c r="L454" s="85"/>
      <c r="M454" s="85"/>
      <c r="N454" s="151"/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57"/>
      <c r="AA454" s="4"/>
      <c r="AB454" s="4"/>
      <c r="AC454" s="4"/>
    </row>
    <row r="455" customFormat="false" ht="15" hidden="false" customHeight="true" outlineLevel="0" collapsed="false">
      <c r="A455" s="85"/>
      <c r="B455" s="85"/>
      <c r="C455" s="85"/>
      <c r="D455" s="85"/>
      <c r="E455" s="85"/>
      <c r="F455" s="85"/>
      <c r="G455" s="85"/>
      <c r="H455" s="85"/>
      <c r="I455" s="138" t="str">
        <f aca="false">IFERROR(VLOOKUP(TEXT(H455,"0"),IPRESS!$A$3:$B$212,2,0),"")</f>
        <v/>
      </c>
      <c r="J455" s="85"/>
      <c r="K455" s="149"/>
      <c r="L455" s="85"/>
      <c r="M455" s="85"/>
      <c r="N455" s="151"/>
      <c r="O455" s="85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85"/>
      <c r="S455" s="85"/>
      <c r="T455" s="85"/>
      <c r="U455" s="85"/>
      <c r="V455" s="85"/>
      <c r="W455" s="85"/>
      <c r="X455" s="85"/>
      <c r="Y455" s="85"/>
      <c r="Z455" s="157"/>
      <c r="AA455" s="4"/>
      <c r="AB455" s="4"/>
      <c r="AC455" s="4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49"/>
      <c r="L456" s="85"/>
      <c r="M456" s="85"/>
      <c r="N456" s="151"/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57"/>
      <c r="AA456" s="4"/>
      <c r="AB456" s="4"/>
      <c r="AC456" s="4"/>
    </row>
    <row r="457" customFormat="false" ht="15" hidden="false" customHeight="true" outlineLevel="0" collapsed="false">
      <c r="A457" s="85"/>
      <c r="B457" s="85"/>
      <c r="C457" s="85"/>
      <c r="D457" s="85"/>
      <c r="E457" s="85"/>
      <c r="F457" s="85"/>
      <c r="G457" s="85"/>
      <c r="H457" s="85"/>
      <c r="I457" s="138" t="str">
        <f aca="false">IFERROR(VLOOKUP(TEXT(H457,"0"),IPRESS!$A$3:$B$212,2,0),"")</f>
        <v/>
      </c>
      <c r="J457" s="85"/>
      <c r="K457" s="149"/>
      <c r="L457" s="85"/>
      <c r="M457" s="85"/>
      <c r="N457" s="151"/>
      <c r="O457" s="85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85"/>
      <c r="S457" s="85"/>
      <c r="T457" s="85"/>
      <c r="U457" s="85"/>
      <c r="V457" s="85"/>
      <c r="W457" s="85"/>
      <c r="X457" s="85"/>
      <c r="Y457" s="85"/>
      <c r="Z457" s="157"/>
      <c r="AA457" s="4"/>
      <c r="AB457" s="4"/>
      <c r="AC457" s="4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49"/>
      <c r="L458" s="85"/>
      <c r="M458" s="85"/>
      <c r="N458" s="151"/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57"/>
      <c r="AA458" s="4"/>
      <c r="AB458" s="4"/>
      <c r="AC458" s="4"/>
    </row>
    <row r="459" customFormat="false" ht="15" hidden="false" customHeight="true" outlineLevel="0" collapsed="false">
      <c r="A459" s="85"/>
      <c r="B459" s="85"/>
      <c r="C459" s="85"/>
      <c r="D459" s="85"/>
      <c r="E459" s="85"/>
      <c r="F459" s="85"/>
      <c r="G459" s="85"/>
      <c r="H459" s="85"/>
      <c r="I459" s="138" t="str">
        <f aca="false">IFERROR(VLOOKUP(TEXT(H459,"0"),IPRESS!$A$3:$B$212,2,0),"")</f>
        <v/>
      </c>
      <c r="J459" s="85"/>
      <c r="K459" s="149"/>
      <c r="L459" s="85"/>
      <c r="M459" s="85"/>
      <c r="N459" s="151"/>
      <c r="O459" s="85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85"/>
      <c r="S459" s="85"/>
      <c r="T459" s="85"/>
      <c r="U459" s="85"/>
      <c r="V459" s="85"/>
      <c r="W459" s="85"/>
      <c r="X459" s="85"/>
      <c r="Y459" s="85"/>
      <c r="Z459" s="157"/>
      <c r="AA459" s="4"/>
      <c r="AB459" s="4"/>
      <c r="AC459" s="4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49"/>
      <c r="L460" s="85"/>
      <c r="M460" s="85"/>
      <c r="N460" s="151"/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57"/>
      <c r="AA460" s="4"/>
      <c r="AB460" s="4"/>
      <c r="AC460" s="4"/>
    </row>
    <row r="461" customFormat="false" ht="15" hidden="false" customHeight="true" outlineLevel="0" collapsed="false">
      <c r="A461" s="85"/>
      <c r="B461" s="85"/>
      <c r="C461" s="85"/>
      <c r="D461" s="85"/>
      <c r="E461" s="85"/>
      <c r="F461" s="85"/>
      <c r="G461" s="85"/>
      <c r="H461" s="85"/>
      <c r="I461" s="138" t="str">
        <f aca="false">IFERROR(VLOOKUP(TEXT(H461,"0"),IPRESS!$A$3:$B$212,2,0),"")</f>
        <v/>
      </c>
      <c r="J461" s="85"/>
      <c r="K461" s="149"/>
      <c r="L461" s="85"/>
      <c r="M461" s="85"/>
      <c r="N461" s="151"/>
      <c r="O461" s="85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85"/>
      <c r="S461" s="85"/>
      <c r="T461" s="85"/>
      <c r="U461" s="85"/>
      <c r="V461" s="85"/>
      <c r="W461" s="85"/>
      <c r="X461" s="85"/>
      <c r="Y461" s="85"/>
      <c r="Z461" s="157"/>
      <c r="AA461" s="4"/>
      <c r="AB461" s="4"/>
      <c r="AC461" s="4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49"/>
      <c r="L462" s="85"/>
      <c r="M462" s="85"/>
      <c r="N462" s="151"/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57"/>
      <c r="AA462" s="4"/>
      <c r="AB462" s="4"/>
      <c r="AC462" s="4"/>
    </row>
    <row r="463" customFormat="false" ht="15" hidden="false" customHeight="true" outlineLevel="0" collapsed="false">
      <c r="A463" s="85"/>
      <c r="B463" s="85"/>
      <c r="C463" s="85"/>
      <c r="D463" s="85"/>
      <c r="E463" s="85"/>
      <c r="F463" s="85"/>
      <c r="G463" s="85"/>
      <c r="H463" s="85"/>
      <c r="I463" s="138" t="str">
        <f aca="false">IFERROR(VLOOKUP(TEXT(H463,"0"),IPRESS!$A$3:$B$212,2,0),"")</f>
        <v/>
      </c>
      <c r="J463" s="85"/>
      <c r="K463" s="149"/>
      <c r="L463" s="85"/>
      <c r="M463" s="85"/>
      <c r="N463" s="151"/>
      <c r="O463" s="85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85"/>
      <c r="S463" s="85"/>
      <c r="T463" s="85"/>
      <c r="U463" s="85"/>
      <c r="V463" s="85"/>
      <c r="W463" s="85"/>
      <c r="X463" s="85"/>
      <c r="Y463" s="85"/>
      <c r="Z463" s="157"/>
      <c r="AA463" s="4"/>
      <c r="AB463" s="4"/>
      <c r="AC463" s="4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49"/>
      <c r="L464" s="85"/>
      <c r="M464" s="85"/>
      <c r="N464" s="151"/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57"/>
      <c r="AA464" s="4"/>
      <c r="AB464" s="4"/>
      <c r="AC464" s="4"/>
    </row>
    <row r="465" customFormat="false" ht="15" hidden="false" customHeight="true" outlineLevel="0" collapsed="false">
      <c r="A465" s="85"/>
      <c r="B465" s="85"/>
      <c r="C465" s="85"/>
      <c r="D465" s="85"/>
      <c r="E465" s="85"/>
      <c r="F465" s="85"/>
      <c r="G465" s="85"/>
      <c r="H465" s="85"/>
      <c r="I465" s="138" t="str">
        <f aca="false">IFERROR(VLOOKUP(TEXT(H465,"0"),IPRESS!$A$3:$B$212,2,0),"")</f>
        <v/>
      </c>
      <c r="J465" s="85"/>
      <c r="K465" s="149"/>
      <c r="L465" s="85"/>
      <c r="M465" s="85"/>
      <c r="N465" s="151"/>
      <c r="O465" s="85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85"/>
      <c r="S465" s="85"/>
      <c r="T465" s="85"/>
      <c r="U465" s="85"/>
      <c r="V465" s="85"/>
      <c r="W465" s="85"/>
      <c r="X465" s="85"/>
      <c r="Y465" s="85"/>
      <c r="Z465" s="157"/>
      <c r="AA465" s="4"/>
      <c r="AB465" s="4"/>
      <c r="AC465" s="4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49"/>
      <c r="L466" s="85"/>
      <c r="M466" s="85"/>
      <c r="N466" s="151"/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57"/>
      <c r="AA466" s="4"/>
      <c r="AB466" s="4"/>
      <c r="AC466" s="4"/>
    </row>
    <row r="467" customFormat="false" ht="15" hidden="false" customHeight="true" outlineLevel="0" collapsed="false">
      <c r="A467" s="85"/>
      <c r="B467" s="85"/>
      <c r="C467" s="85"/>
      <c r="D467" s="85"/>
      <c r="E467" s="85"/>
      <c r="F467" s="85"/>
      <c r="G467" s="85"/>
      <c r="H467" s="85"/>
      <c r="I467" s="138" t="str">
        <f aca="false">IFERROR(VLOOKUP(TEXT(H467,"0"),IPRESS!$A$3:$B$212,2,0),"")</f>
        <v/>
      </c>
      <c r="J467" s="85"/>
      <c r="K467" s="149"/>
      <c r="L467" s="85"/>
      <c r="M467" s="85"/>
      <c r="N467" s="151"/>
      <c r="O467" s="85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85"/>
      <c r="S467" s="85"/>
      <c r="T467" s="85"/>
      <c r="U467" s="85"/>
      <c r="V467" s="85"/>
      <c r="W467" s="85"/>
      <c r="X467" s="85"/>
      <c r="Y467" s="85"/>
      <c r="Z467" s="157"/>
      <c r="AA467" s="4"/>
      <c r="AB467" s="4"/>
      <c r="AC467" s="4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49"/>
      <c r="L468" s="85"/>
      <c r="M468" s="85"/>
      <c r="N468" s="151"/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57"/>
      <c r="AA468" s="4"/>
      <c r="AB468" s="4"/>
      <c r="AC468" s="4"/>
    </row>
    <row r="469" customFormat="false" ht="15" hidden="false" customHeight="true" outlineLevel="0" collapsed="false">
      <c r="A469" s="85"/>
      <c r="B469" s="85"/>
      <c r="C469" s="85"/>
      <c r="D469" s="85"/>
      <c r="E469" s="85"/>
      <c r="F469" s="85"/>
      <c r="G469" s="85"/>
      <c r="H469" s="85"/>
      <c r="I469" s="138" t="str">
        <f aca="false">IFERROR(VLOOKUP(TEXT(H469,"0"),IPRESS!$A$3:$B$212,2,0),"")</f>
        <v/>
      </c>
      <c r="J469" s="85"/>
      <c r="K469" s="149"/>
      <c r="L469" s="85"/>
      <c r="M469" s="85"/>
      <c r="N469" s="151"/>
      <c r="O469" s="85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85"/>
      <c r="S469" s="85"/>
      <c r="T469" s="85"/>
      <c r="U469" s="85"/>
      <c r="V469" s="85"/>
      <c r="W469" s="85"/>
      <c r="X469" s="85"/>
      <c r="Y469" s="85"/>
      <c r="Z469" s="157"/>
      <c r="AA469" s="4"/>
      <c r="AB469" s="4"/>
      <c r="AC469" s="4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49"/>
      <c r="L470" s="85"/>
      <c r="M470" s="85"/>
      <c r="N470" s="151"/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57"/>
      <c r="AA470" s="4"/>
      <c r="AB470" s="4"/>
      <c r="AC470" s="4"/>
    </row>
    <row r="471" customFormat="false" ht="15" hidden="false" customHeight="true" outlineLevel="0" collapsed="false">
      <c r="A471" s="85"/>
      <c r="B471" s="85"/>
      <c r="C471" s="85"/>
      <c r="D471" s="85"/>
      <c r="E471" s="85"/>
      <c r="F471" s="85"/>
      <c r="G471" s="85"/>
      <c r="H471" s="85"/>
      <c r="I471" s="138" t="str">
        <f aca="false">IFERROR(VLOOKUP(TEXT(H471,"0"),IPRESS!$A$3:$B$212,2,0),"")</f>
        <v/>
      </c>
      <c r="J471" s="85"/>
      <c r="K471" s="149"/>
      <c r="L471" s="85"/>
      <c r="M471" s="85"/>
      <c r="N471" s="151"/>
      <c r="O471" s="85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85"/>
      <c r="S471" s="85"/>
      <c r="T471" s="85"/>
      <c r="U471" s="85"/>
      <c r="V471" s="85"/>
      <c r="W471" s="85"/>
      <c r="X471" s="85"/>
      <c r="Y471" s="85"/>
      <c r="Z471" s="157"/>
      <c r="AA471" s="4"/>
      <c r="AB471" s="4"/>
      <c r="AC471" s="4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49"/>
      <c r="L472" s="85"/>
      <c r="M472" s="85"/>
      <c r="N472" s="151"/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57"/>
      <c r="AA472" s="4"/>
      <c r="AB472" s="4"/>
      <c r="AC472" s="4"/>
    </row>
    <row r="473" customFormat="false" ht="15" hidden="false" customHeight="true" outlineLevel="0" collapsed="false">
      <c r="A473" s="85"/>
      <c r="B473" s="85"/>
      <c r="C473" s="85"/>
      <c r="D473" s="85"/>
      <c r="E473" s="85"/>
      <c r="F473" s="85"/>
      <c r="G473" s="85"/>
      <c r="H473" s="85"/>
      <c r="I473" s="138" t="str">
        <f aca="false">IFERROR(VLOOKUP(TEXT(H473,"0"),IPRESS!$A$3:$B$212,2,0),"")</f>
        <v/>
      </c>
      <c r="J473" s="85"/>
      <c r="K473" s="149"/>
      <c r="L473" s="85"/>
      <c r="M473" s="85"/>
      <c r="N473" s="151"/>
      <c r="O473" s="85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85"/>
      <c r="S473" s="85"/>
      <c r="T473" s="85"/>
      <c r="U473" s="85"/>
      <c r="V473" s="85"/>
      <c r="W473" s="85"/>
      <c r="X473" s="85"/>
      <c r="Y473" s="85"/>
      <c r="Z473" s="157"/>
      <c r="AA473" s="4"/>
      <c r="AB473" s="4"/>
      <c r="AC473" s="4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49"/>
      <c r="L474" s="85"/>
      <c r="M474" s="85"/>
      <c r="N474" s="151"/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57"/>
      <c r="AA474" s="4"/>
      <c r="AB474" s="4"/>
      <c r="AC474" s="4"/>
    </row>
    <row r="475" customFormat="false" ht="15" hidden="false" customHeight="true" outlineLevel="0" collapsed="false">
      <c r="A475" s="85"/>
      <c r="B475" s="85"/>
      <c r="C475" s="85"/>
      <c r="D475" s="85"/>
      <c r="E475" s="85"/>
      <c r="F475" s="85"/>
      <c r="G475" s="85"/>
      <c r="H475" s="85"/>
      <c r="I475" s="138" t="str">
        <f aca="false">IFERROR(VLOOKUP(TEXT(H475,"0"),IPRESS!$A$3:$B$212,2,0),"")</f>
        <v/>
      </c>
      <c r="J475" s="85"/>
      <c r="K475" s="149"/>
      <c r="L475" s="85"/>
      <c r="M475" s="85"/>
      <c r="N475" s="151"/>
      <c r="O475" s="85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85"/>
      <c r="S475" s="85"/>
      <c r="T475" s="85"/>
      <c r="U475" s="85"/>
      <c r="V475" s="85"/>
      <c r="W475" s="85"/>
      <c r="X475" s="85"/>
      <c r="Y475" s="85"/>
      <c r="Z475" s="157"/>
      <c r="AA475" s="4"/>
      <c r="AB475" s="4"/>
      <c r="AC475" s="4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49"/>
      <c r="L476" s="85"/>
      <c r="M476" s="85"/>
      <c r="N476" s="151"/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57"/>
      <c r="AA476" s="4"/>
      <c r="AB476" s="4"/>
      <c r="AC476" s="4"/>
    </row>
    <row r="477" customFormat="false" ht="15" hidden="false" customHeight="true" outlineLevel="0" collapsed="false">
      <c r="A477" s="85"/>
      <c r="B477" s="85"/>
      <c r="C477" s="85"/>
      <c r="D477" s="85"/>
      <c r="E477" s="85"/>
      <c r="F477" s="85"/>
      <c r="G477" s="85"/>
      <c r="H477" s="85"/>
      <c r="I477" s="138" t="str">
        <f aca="false">IFERROR(VLOOKUP(TEXT(H477,"0"),IPRESS!$A$3:$B$212,2,0),"")</f>
        <v/>
      </c>
      <c r="J477" s="85"/>
      <c r="K477" s="149"/>
      <c r="L477" s="85"/>
      <c r="M477" s="85"/>
      <c r="N477" s="151"/>
      <c r="O477" s="85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85"/>
      <c r="S477" s="85"/>
      <c r="T477" s="85"/>
      <c r="U477" s="85"/>
      <c r="V477" s="85"/>
      <c r="W477" s="85"/>
      <c r="X477" s="85"/>
      <c r="Y477" s="85"/>
      <c r="Z477" s="157"/>
      <c r="AA477" s="4"/>
      <c r="AB477" s="4"/>
      <c r="AC477" s="4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49"/>
      <c r="L478" s="85"/>
      <c r="M478" s="85"/>
      <c r="N478" s="151"/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57"/>
      <c r="AA478" s="4"/>
      <c r="AB478" s="4"/>
      <c r="AC478" s="4"/>
    </row>
    <row r="479" customFormat="false" ht="15" hidden="false" customHeight="true" outlineLevel="0" collapsed="false">
      <c r="A479" s="85"/>
      <c r="B479" s="85"/>
      <c r="C479" s="85"/>
      <c r="D479" s="85"/>
      <c r="E479" s="85"/>
      <c r="F479" s="85"/>
      <c r="G479" s="85"/>
      <c r="H479" s="85"/>
      <c r="I479" s="138" t="str">
        <f aca="false">IFERROR(VLOOKUP(TEXT(H479,"0"),IPRESS!$A$3:$B$212,2,0),"")</f>
        <v/>
      </c>
      <c r="J479" s="85"/>
      <c r="K479" s="149"/>
      <c r="L479" s="85"/>
      <c r="M479" s="85"/>
      <c r="N479" s="151"/>
      <c r="O479" s="85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85"/>
      <c r="S479" s="85"/>
      <c r="T479" s="85"/>
      <c r="U479" s="85"/>
      <c r="V479" s="85"/>
      <c r="W479" s="85"/>
      <c r="X479" s="85"/>
      <c r="Y479" s="85"/>
      <c r="Z479" s="157"/>
      <c r="AA479" s="4"/>
      <c r="AB479" s="4"/>
      <c r="AC479" s="4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49"/>
      <c r="L480" s="85"/>
      <c r="M480" s="85"/>
      <c r="N480" s="151"/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57"/>
      <c r="AA480" s="4"/>
      <c r="AB480" s="4"/>
      <c r="AC480" s="4"/>
    </row>
    <row r="481" customFormat="false" ht="15" hidden="false" customHeight="true" outlineLevel="0" collapsed="false">
      <c r="A481" s="85"/>
      <c r="B481" s="85"/>
      <c r="C481" s="85"/>
      <c r="D481" s="85"/>
      <c r="E481" s="85"/>
      <c r="F481" s="85"/>
      <c r="G481" s="85"/>
      <c r="H481" s="85"/>
      <c r="I481" s="138" t="str">
        <f aca="false">IFERROR(VLOOKUP(TEXT(H481,"0"),IPRESS!$A$3:$B$212,2,0),"")</f>
        <v/>
      </c>
      <c r="J481" s="85"/>
      <c r="K481" s="149"/>
      <c r="L481" s="85"/>
      <c r="M481" s="85"/>
      <c r="N481" s="151"/>
      <c r="O481" s="85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85"/>
      <c r="S481" s="85"/>
      <c r="T481" s="85"/>
      <c r="U481" s="85"/>
      <c r="V481" s="85"/>
      <c r="W481" s="85"/>
      <c r="X481" s="85"/>
      <c r="Y481" s="85"/>
      <c r="Z481" s="157"/>
      <c r="AA481" s="4"/>
      <c r="AB481" s="4"/>
      <c r="AC481" s="4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49"/>
      <c r="L482" s="85"/>
      <c r="M482" s="85"/>
      <c r="N482" s="151"/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57"/>
      <c r="AA482" s="4"/>
      <c r="AB482" s="4"/>
      <c r="AC482" s="4"/>
    </row>
    <row r="483" customFormat="false" ht="15" hidden="false" customHeight="true" outlineLevel="0" collapsed="false">
      <c r="A483" s="85"/>
      <c r="B483" s="85"/>
      <c r="C483" s="85"/>
      <c r="D483" s="85"/>
      <c r="E483" s="85"/>
      <c r="F483" s="85"/>
      <c r="G483" s="85"/>
      <c r="H483" s="85"/>
      <c r="I483" s="138" t="str">
        <f aca="false">IFERROR(VLOOKUP(TEXT(H483,"0"),IPRESS!$A$3:$B$212,2,0),"")</f>
        <v/>
      </c>
      <c r="J483" s="85"/>
      <c r="K483" s="149"/>
      <c r="L483" s="85"/>
      <c r="M483" s="85"/>
      <c r="N483" s="151"/>
      <c r="O483" s="85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85"/>
      <c r="S483" s="85"/>
      <c r="T483" s="85"/>
      <c r="U483" s="85"/>
      <c r="V483" s="85"/>
      <c r="W483" s="85"/>
      <c r="X483" s="85"/>
      <c r="Y483" s="85"/>
      <c r="Z483" s="157"/>
      <c r="AA483" s="4"/>
      <c r="AB483" s="4"/>
      <c r="AC483" s="4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49"/>
      <c r="L484" s="85"/>
      <c r="M484" s="85"/>
      <c r="N484" s="151"/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57"/>
      <c r="AA484" s="4"/>
      <c r="AB484" s="4"/>
      <c r="AC484" s="4"/>
    </row>
    <row r="485" customFormat="false" ht="15" hidden="false" customHeight="true" outlineLevel="0" collapsed="false">
      <c r="A485" s="85"/>
      <c r="B485" s="85"/>
      <c r="C485" s="85"/>
      <c r="D485" s="85"/>
      <c r="E485" s="85"/>
      <c r="F485" s="85"/>
      <c r="G485" s="85"/>
      <c r="H485" s="85"/>
      <c r="I485" s="138" t="str">
        <f aca="false">IFERROR(VLOOKUP(TEXT(H485,"0"),IPRESS!$A$3:$B$212,2,0),"")</f>
        <v/>
      </c>
      <c r="J485" s="85"/>
      <c r="K485" s="149"/>
      <c r="L485" s="85"/>
      <c r="M485" s="85"/>
      <c r="N485" s="151"/>
      <c r="O485" s="85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85"/>
      <c r="S485" s="85"/>
      <c r="T485" s="85"/>
      <c r="U485" s="85"/>
      <c r="V485" s="85"/>
      <c r="W485" s="85"/>
      <c r="X485" s="85"/>
      <c r="Y485" s="85"/>
      <c r="Z485" s="157"/>
      <c r="AA485" s="4"/>
      <c r="AB485" s="4"/>
      <c r="AC485" s="4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49"/>
      <c r="L486" s="85"/>
      <c r="M486" s="85"/>
      <c r="N486" s="151"/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57"/>
      <c r="AA486" s="4"/>
      <c r="AB486" s="4"/>
      <c r="AC486" s="4"/>
    </row>
    <row r="487" customFormat="false" ht="15" hidden="false" customHeight="true" outlineLevel="0" collapsed="false">
      <c r="A487" s="85"/>
      <c r="B487" s="85"/>
      <c r="C487" s="85"/>
      <c r="D487" s="85"/>
      <c r="E487" s="85"/>
      <c r="F487" s="85"/>
      <c r="G487" s="85"/>
      <c r="H487" s="85"/>
      <c r="I487" s="138" t="str">
        <f aca="false">IFERROR(VLOOKUP(TEXT(H487,"0"),IPRESS!$A$3:$B$212,2,0),"")</f>
        <v/>
      </c>
      <c r="J487" s="85"/>
      <c r="K487" s="149"/>
      <c r="L487" s="85"/>
      <c r="M487" s="85"/>
      <c r="N487" s="151"/>
      <c r="O487" s="85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85"/>
      <c r="S487" s="85"/>
      <c r="T487" s="85"/>
      <c r="U487" s="85"/>
      <c r="V487" s="85"/>
      <c r="W487" s="85"/>
      <c r="X487" s="85"/>
      <c r="Y487" s="85"/>
      <c r="Z487" s="157"/>
      <c r="AA487" s="4"/>
      <c r="AB487" s="4"/>
      <c r="AC487" s="4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49"/>
      <c r="L488" s="85"/>
      <c r="M488" s="85"/>
      <c r="N488" s="151"/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57"/>
      <c r="AA488" s="4"/>
      <c r="AB488" s="4"/>
      <c r="AC488" s="4"/>
    </row>
    <row r="489" customFormat="false" ht="15" hidden="false" customHeight="true" outlineLevel="0" collapsed="false">
      <c r="A489" s="85"/>
      <c r="B489" s="85"/>
      <c r="C489" s="85"/>
      <c r="D489" s="85"/>
      <c r="E489" s="85"/>
      <c r="F489" s="85"/>
      <c r="G489" s="85"/>
      <c r="H489" s="85"/>
      <c r="I489" s="138" t="str">
        <f aca="false">IFERROR(VLOOKUP(TEXT(H489,"0"),IPRESS!$A$3:$B$212,2,0),"")</f>
        <v/>
      </c>
      <c r="J489" s="85"/>
      <c r="K489" s="149"/>
      <c r="L489" s="85"/>
      <c r="M489" s="85"/>
      <c r="N489" s="151"/>
      <c r="O489" s="85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85"/>
      <c r="S489" s="85"/>
      <c r="T489" s="85"/>
      <c r="U489" s="85"/>
      <c r="V489" s="85"/>
      <c r="W489" s="85"/>
      <c r="X489" s="85"/>
      <c r="Y489" s="85"/>
      <c r="Z489" s="157"/>
      <c r="AA489" s="4"/>
      <c r="AB489" s="4"/>
      <c r="AC489" s="4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49"/>
      <c r="L490" s="85"/>
      <c r="M490" s="85"/>
      <c r="N490" s="151"/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57"/>
      <c r="AA490" s="4"/>
      <c r="AB490" s="4"/>
      <c r="AC490" s="4"/>
    </row>
    <row r="491" customFormat="false" ht="15" hidden="false" customHeight="true" outlineLevel="0" collapsed="false">
      <c r="A491" s="85"/>
      <c r="B491" s="85"/>
      <c r="C491" s="85"/>
      <c r="D491" s="85"/>
      <c r="E491" s="85"/>
      <c r="F491" s="85"/>
      <c r="G491" s="85"/>
      <c r="H491" s="85"/>
      <c r="I491" s="138" t="str">
        <f aca="false">IFERROR(VLOOKUP(TEXT(H491,"0"),IPRESS!$A$3:$B$212,2,0),"")</f>
        <v/>
      </c>
      <c r="J491" s="85"/>
      <c r="K491" s="149"/>
      <c r="L491" s="85"/>
      <c r="M491" s="85"/>
      <c r="N491" s="151"/>
      <c r="O491" s="85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85"/>
      <c r="S491" s="85"/>
      <c r="T491" s="85"/>
      <c r="U491" s="85"/>
      <c r="V491" s="85"/>
      <c r="W491" s="85"/>
      <c r="X491" s="85"/>
      <c r="Y491" s="85"/>
      <c r="Z491" s="157"/>
      <c r="AA491" s="4"/>
      <c r="AB491" s="4"/>
      <c r="AC491" s="4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49"/>
      <c r="L492" s="85"/>
      <c r="M492" s="85"/>
      <c r="N492" s="151"/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57"/>
      <c r="AA492" s="4"/>
      <c r="AB492" s="4"/>
      <c r="AC492" s="4"/>
    </row>
    <row r="493" customFormat="false" ht="15" hidden="false" customHeight="true" outlineLevel="0" collapsed="false">
      <c r="A493" s="85"/>
      <c r="B493" s="85"/>
      <c r="C493" s="85"/>
      <c r="D493" s="85"/>
      <c r="E493" s="85"/>
      <c r="F493" s="85"/>
      <c r="G493" s="85"/>
      <c r="H493" s="85"/>
      <c r="I493" s="138" t="str">
        <f aca="false">IFERROR(VLOOKUP(TEXT(H493,"0"),IPRESS!$A$3:$B$212,2,0),"")</f>
        <v/>
      </c>
      <c r="J493" s="85"/>
      <c r="K493" s="149"/>
      <c r="L493" s="85"/>
      <c r="M493" s="85"/>
      <c r="N493" s="151"/>
      <c r="O493" s="85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85"/>
      <c r="S493" s="85"/>
      <c r="T493" s="85"/>
      <c r="U493" s="85"/>
      <c r="V493" s="85"/>
      <c r="W493" s="85"/>
      <c r="X493" s="85"/>
      <c r="Y493" s="85"/>
      <c r="Z493" s="157"/>
      <c r="AA493" s="4"/>
      <c r="AB493" s="4"/>
      <c r="AC493" s="4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49"/>
      <c r="L494" s="85"/>
      <c r="M494" s="85"/>
      <c r="N494" s="151"/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57"/>
      <c r="AA494" s="4"/>
      <c r="AB494" s="4"/>
      <c r="AC494" s="4"/>
    </row>
    <row r="495" customFormat="false" ht="15" hidden="false" customHeight="true" outlineLevel="0" collapsed="false">
      <c r="A495" s="85"/>
      <c r="B495" s="85"/>
      <c r="C495" s="85"/>
      <c r="D495" s="85"/>
      <c r="E495" s="85"/>
      <c r="F495" s="85"/>
      <c r="G495" s="85"/>
      <c r="H495" s="85"/>
      <c r="I495" s="138" t="str">
        <f aca="false">IFERROR(VLOOKUP(TEXT(H495,"0"),IPRESS!$A$3:$B$212,2,0),"")</f>
        <v/>
      </c>
      <c r="J495" s="85"/>
      <c r="K495" s="149"/>
      <c r="L495" s="85"/>
      <c r="M495" s="85"/>
      <c r="N495" s="151"/>
      <c r="O495" s="85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85"/>
      <c r="S495" s="85"/>
      <c r="T495" s="85"/>
      <c r="U495" s="85"/>
      <c r="V495" s="85"/>
      <c r="W495" s="85"/>
      <c r="X495" s="85"/>
      <c r="Y495" s="85"/>
      <c r="Z495" s="157"/>
      <c r="AA495" s="4"/>
      <c r="AB495" s="4"/>
      <c r="AC495" s="4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49"/>
      <c r="L496" s="85"/>
      <c r="M496" s="85"/>
      <c r="N496" s="151"/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57"/>
      <c r="AA496" s="4"/>
      <c r="AB496" s="4"/>
      <c r="AC496" s="4"/>
    </row>
    <row r="497" customFormat="false" ht="15" hidden="false" customHeight="true" outlineLevel="0" collapsed="false">
      <c r="A497" s="85"/>
      <c r="B497" s="85"/>
      <c r="C497" s="85"/>
      <c r="D497" s="85"/>
      <c r="E497" s="85"/>
      <c r="F497" s="85"/>
      <c r="G497" s="85"/>
      <c r="H497" s="85"/>
      <c r="I497" s="138" t="str">
        <f aca="false">IFERROR(VLOOKUP(TEXT(H497,"0"),IPRESS!$A$3:$B$212,2,0),"")</f>
        <v/>
      </c>
      <c r="J497" s="85"/>
      <c r="K497" s="149"/>
      <c r="L497" s="85"/>
      <c r="M497" s="85"/>
      <c r="N497" s="151"/>
      <c r="O497" s="85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85"/>
      <c r="S497" s="85"/>
      <c r="T497" s="85"/>
      <c r="U497" s="85"/>
      <c r="V497" s="85"/>
      <c r="W497" s="85"/>
      <c r="X497" s="85"/>
      <c r="Y497" s="85"/>
      <c r="Z497" s="157"/>
      <c r="AA497" s="4"/>
      <c r="AB497" s="4"/>
      <c r="AC497" s="4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49"/>
      <c r="L498" s="85"/>
      <c r="M498" s="85"/>
      <c r="N498" s="151"/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57"/>
      <c r="AA498" s="4"/>
      <c r="AB498" s="4"/>
      <c r="AC498" s="4"/>
    </row>
    <row r="499" customFormat="false" ht="15" hidden="false" customHeight="true" outlineLevel="0" collapsed="false">
      <c r="A499" s="85"/>
      <c r="B499" s="85"/>
      <c r="C499" s="85"/>
      <c r="D499" s="85"/>
      <c r="E499" s="85"/>
      <c r="F499" s="85"/>
      <c r="G499" s="85"/>
      <c r="H499" s="85"/>
      <c r="I499" s="138" t="str">
        <f aca="false">IFERROR(VLOOKUP(TEXT(H499,"0"),IPRESS!$A$3:$B$212,2,0),"")</f>
        <v/>
      </c>
      <c r="J499" s="85"/>
      <c r="K499" s="149"/>
      <c r="L499" s="85"/>
      <c r="M499" s="85"/>
      <c r="N499" s="151"/>
      <c r="O499" s="85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85"/>
      <c r="S499" s="85"/>
      <c r="T499" s="85"/>
      <c r="U499" s="85"/>
      <c r="V499" s="85"/>
      <c r="W499" s="85"/>
      <c r="X499" s="85"/>
      <c r="Y499" s="85"/>
      <c r="Z499" s="157"/>
      <c r="AA499" s="4"/>
      <c r="AB499" s="4"/>
      <c r="AC499" s="4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49"/>
      <c r="L500" s="85"/>
      <c r="M500" s="85"/>
      <c r="N500" s="151"/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57"/>
      <c r="AA500" s="4"/>
      <c r="AB500" s="4"/>
      <c r="AC500" s="4"/>
    </row>
    <row r="501" customFormat="false" ht="15" hidden="false" customHeight="true" outlineLevel="0" collapsed="false">
      <c r="A501" s="85"/>
      <c r="B501" s="85"/>
      <c r="C501" s="85"/>
      <c r="D501" s="85"/>
      <c r="E501" s="85"/>
      <c r="F501" s="85"/>
      <c r="G501" s="85"/>
      <c r="H501" s="85"/>
      <c r="I501" s="138" t="str">
        <f aca="false">IFERROR(VLOOKUP(TEXT(H501,"0"),IPRESS!$A$3:$B$212,2,0),"")</f>
        <v/>
      </c>
      <c r="J501" s="85"/>
      <c r="K501" s="149"/>
      <c r="L501" s="85"/>
      <c r="M501" s="85"/>
      <c r="N501" s="151"/>
      <c r="O501" s="85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85"/>
      <c r="S501" s="85"/>
      <c r="T501" s="85"/>
      <c r="U501" s="85"/>
      <c r="V501" s="85"/>
      <c r="W501" s="85"/>
      <c r="X501" s="85"/>
      <c r="Y501" s="85"/>
      <c r="Z501" s="157"/>
      <c r="AA501" s="4"/>
      <c r="AB501" s="4"/>
      <c r="AC501" s="4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49"/>
      <c r="L502" s="85"/>
      <c r="M502" s="85"/>
      <c r="N502" s="151"/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57"/>
      <c r="AA502" s="4"/>
      <c r="AB502" s="4"/>
      <c r="AC502" s="4"/>
    </row>
    <row r="503" customFormat="false" ht="15" hidden="false" customHeight="true" outlineLevel="0" collapsed="false">
      <c r="A503" s="85"/>
      <c r="B503" s="85"/>
      <c r="C503" s="85"/>
      <c r="D503" s="85"/>
      <c r="E503" s="85"/>
      <c r="F503" s="85"/>
      <c r="G503" s="85"/>
      <c r="H503" s="85"/>
      <c r="I503" s="138" t="str">
        <f aca="false">IFERROR(VLOOKUP(TEXT(H503,"0"),IPRESS!$A$3:$B$212,2,0),"")</f>
        <v/>
      </c>
      <c r="J503" s="85"/>
      <c r="K503" s="149"/>
      <c r="L503" s="85"/>
      <c r="M503" s="85"/>
      <c r="N503" s="151"/>
      <c r="O503" s="85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85"/>
      <c r="S503" s="85"/>
      <c r="T503" s="85"/>
      <c r="U503" s="85"/>
      <c r="V503" s="85"/>
      <c r="W503" s="85"/>
      <c r="X503" s="85"/>
      <c r="Y503" s="85"/>
      <c r="Z503" s="157"/>
      <c r="AA503" s="4"/>
      <c r="AB503" s="4"/>
      <c r="AC503" s="4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49"/>
      <c r="L504" s="85"/>
      <c r="M504" s="85"/>
      <c r="N504" s="151"/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57"/>
      <c r="AA504" s="4"/>
      <c r="AB504" s="4"/>
      <c r="AC504" s="4"/>
    </row>
    <row r="505" customFormat="false" ht="15" hidden="false" customHeight="true" outlineLevel="0" collapsed="false">
      <c r="A505" s="85"/>
      <c r="B505" s="85"/>
      <c r="C505" s="85"/>
      <c r="D505" s="85"/>
      <c r="E505" s="85"/>
      <c r="F505" s="85"/>
      <c r="G505" s="85"/>
      <c r="H505" s="85"/>
      <c r="I505" s="138" t="str">
        <f aca="false">IFERROR(VLOOKUP(TEXT(H505,"0"),IPRESS!$A$3:$B$212,2,0),"")</f>
        <v/>
      </c>
      <c r="J505" s="85"/>
      <c r="K505" s="149"/>
      <c r="L505" s="85"/>
      <c r="M505" s="85"/>
      <c r="N505" s="151"/>
      <c r="O505" s="85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85"/>
      <c r="S505" s="85"/>
      <c r="T505" s="85"/>
      <c r="U505" s="85"/>
      <c r="V505" s="85"/>
      <c r="W505" s="85"/>
      <c r="X505" s="85"/>
      <c r="Y505" s="85"/>
      <c r="Z505" s="157"/>
      <c r="AA505" s="4"/>
      <c r="AB505" s="4"/>
      <c r="AC505" s="4"/>
    </row>
    <row r="506" customFormat="false" ht="21.75" hidden="false" customHeight="true" outlineLevel="0" collapsed="false">
      <c r="A506" s="167"/>
      <c r="B506" s="167"/>
      <c r="C506" s="167"/>
      <c r="D506" s="167"/>
      <c r="E506" s="167"/>
      <c r="F506" s="167"/>
      <c r="G506" s="167"/>
      <c r="H506" s="4"/>
      <c r="J506" s="4"/>
      <c r="K506" s="4"/>
      <c r="L506" s="4"/>
      <c r="M506" s="168"/>
      <c r="N506" s="168"/>
      <c r="O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  <c r="O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customFormat="false" ht="1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  <c r="O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  <c r="O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customFormat="false" ht="1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  <c r="O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101:J101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Y6:Y110">
    <cfRule type="expression" priority="9" aboveAverage="0" equalAverage="0" bottom="0" percent="0" rank="0" text="" dxfId="9">
      <formula>Y6&lt;&gt;""</formula>
    </cfRule>
  </conditionalFormatting>
  <conditionalFormatting sqref="Z6:Z110">
    <cfRule type="expression" priority="10" aboveAverage="0" equalAverage="0" bottom="0" percent="0" rank="0" text="" dxfId="0">
      <formula>Z6="ENTREGADO"</formula>
    </cfRule>
    <cfRule type="expression" priority="11" aboveAverage="0" equalAverage="0" bottom="0" percent="0" rank="0" text="" dxfId="7">
      <formula>Z6="POR RECOGER"</formula>
    </cfRule>
  </conditionalFormatting>
  <dataValidations count="4"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100 E102:E505" type="list">
      <formula1>"DNI,CE,PASAPORTE"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6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30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71" t="s">
        <v>5153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2"/>
      <c r="AA1" s="89"/>
    </row>
    <row r="2" customFormat="false" ht="21.75" hidden="false" customHeight="true" outlineLevel="0" collapsed="false">
      <c r="A2" s="123" t="s">
        <v>724</v>
      </c>
      <c r="B2" s="123"/>
      <c r="C2" s="123"/>
      <c r="D2" s="173" t="n">
        <f aca="false">IFERROR(SUMPRODUCT((K6:K110="PETROLEO")*ISNUMBER(M6:M110)*M6:M110),0)</f>
        <v>0</v>
      </c>
      <c r="E2" s="173"/>
      <c r="F2" s="173"/>
      <c r="G2" s="123" t="s">
        <v>725</v>
      </c>
      <c r="H2" s="123"/>
      <c r="I2" s="123"/>
      <c r="J2" s="173" t="n">
        <f aca="false">IFERROR(SUMPRODUCT((K6:K110="GASOLINA")*ISNUMBER(M6:M110)*M6:M110),0)</f>
        <v>0</v>
      </c>
      <c r="K2" s="173"/>
      <c r="L2" s="173"/>
      <c r="M2" s="123" t="s">
        <v>726</v>
      </c>
      <c r="N2" s="123"/>
      <c r="O2" s="123"/>
      <c r="P2" s="174" t="n">
        <f aca="false">IFERROR(SUMPRODUCT(ISNUMBER(M6:M110)*L6:L110*M6:M110),0)</f>
        <v>0</v>
      </c>
      <c r="Q2" s="174"/>
      <c r="R2" s="174"/>
      <c r="S2" s="123" t="s">
        <v>727</v>
      </c>
      <c r="T2" s="123"/>
      <c r="U2" s="175" t="n">
        <f aca="false">SUBTOTAL(2,A6:A110)</f>
        <v>0</v>
      </c>
      <c r="V2" s="175"/>
      <c r="W2" s="176"/>
      <c r="X2" s="176"/>
      <c r="Y2" s="176"/>
      <c r="Z2" s="176"/>
      <c r="AA2" s="176"/>
      <c r="AB2" s="176"/>
      <c r="AC2" s="176"/>
    </row>
    <row r="3" customFormat="false" ht="3.75" hidden="false" customHeight="true" outlineLevel="0" collapsed="false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89"/>
    </row>
    <row r="4" customFormat="false" ht="19.5" hidden="false" customHeight="true" outlineLevel="0" collapsed="false">
      <c r="A4" s="177" t="s">
        <v>730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8"/>
      <c r="AA4" s="89"/>
    </row>
    <row r="5" customFormat="false" ht="31.5" hidden="false" customHeight="true" outlineLevel="0" collapsed="false">
      <c r="A5" s="179" t="s">
        <v>97</v>
      </c>
      <c r="B5" s="179" t="s">
        <v>731</v>
      </c>
      <c r="C5" s="179" t="s">
        <v>732</v>
      </c>
      <c r="D5" s="179" t="s">
        <v>319</v>
      </c>
      <c r="E5" s="179" t="s">
        <v>733</v>
      </c>
      <c r="F5" s="179" t="s">
        <v>734</v>
      </c>
      <c r="G5" s="179" t="s">
        <v>735</v>
      </c>
      <c r="H5" s="179" t="s">
        <v>736</v>
      </c>
      <c r="I5" s="180" t="s">
        <v>737</v>
      </c>
      <c r="J5" s="179" t="s">
        <v>738</v>
      </c>
      <c r="K5" s="180" t="s">
        <v>739</v>
      </c>
      <c r="L5" s="179" t="s">
        <v>740</v>
      </c>
      <c r="M5" s="179" t="s">
        <v>4</v>
      </c>
      <c r="N5" s="180" t="s">
        <v>741</v>
      </c>
      <c r="O5" s="179" t="s">
        <v>742</v>
      </c>
      <c r="P5" s="180" t="s">
        <v>4527</v>
      </c>
      <c r="Q5" s="180" t="s">
        <v>104</v>
      </c>
      <c r="R5" s="179" t="s">
        <v>743</v>
      </c>
      <c r="S5" s="179" t="s">
        <v>744</v>
      </c>
      <c r="T5" s="179" t="s">
        <v>745</v>
      </c>
      <c r="U5" s="179" t="s">
        <v>746</v>
      </c>
      <c r="V5" s="179" t="s">
        <v>747</v>
      </c>
      <c r="W5" s="179" t="s">
        <v>748</v>
      </c>
      <c r="X5" s="179" t="s">
        <v>749</v>
      </c>
      <c r="Y5" s="129" t="s">
        <v>729</v>
      </c>
      <c r="Z5" s="181" t="s">
        <v>4528</v>
      </c>
      <c r="AA5" s="89"/>
    </row>
    <row r="6" customFormat="false" ht="15.75" hidden="false" customHeight="true" outlineLevel="0" collapsed="false">
      <c r="A6" s="140"/>
      <c r="B6" s="140"/>
      <c r="C6" s="140"/>
      <c r="D6" s="140"/>
      <c r="E6" s="140"/>
      <c r="F6" s="140"/>
      <c r="G6" s="140"/>
      <c r="H6" s="140"/>
      <c r="I6" s="138" t="str">
        <f aca="false">IFERROR(VLOOKUP(TEXT(H6,"0"),IPRESS!$A$3:$B$212,2,0),"")</f>
        <v/>
      </c>
      <c r="J6" s="140"/>
      <c r="K6" s="138" t="str">
        <f aca="false">IFERROR(VLOOKUP(TEXT(O6,"0"),CONDUCTORES!$A$3:$G$54,7,0),"")</f>
        <v/>
      </c>
      <c r="L6" s="140"/>
      <c r="M6" s="140"/>
      <c r="N6" s="139" t="str">
        <f aca="false">IFERROR(IF(L6*M6=0,"",L6*M6),"")</f>
        <v/>
      </c>
      <c r="O6" s="140"/>
      <c r="P6" s="138" t="str">
        <f aca="false">IFERROR(VLOOKUP(TEXT(O6,"0"),CONDUCTORES!$A$3:$G$54,2,0),"")</f>
        <v/>
      </c>
      <c r="Q6" s="138" t="str">
        <f aca="false">IFERROR(VLOOKUP(TEXT(O6,"0"),CONDUCTORES!$A$3:$H$54,6,0),"")</f>
        <v/>
      </c>
      <c r="R6" s="140"/>
      <c r="S6" s="140"/>
      <c r="T6" s="140"/>
      <c r="U6" s="140"/>
      <c r="V6" s="140"/>
      <c r="W6" s="140"/>
      <c r="X6" s="140"/>
      <c r="Y6" s="140"/>
      <c r="Z6" s="47" t="str">
        <f aca="false">IF(AND(G6&lt;&gt;"",R6&lt;&gt;"",V6&lt;&gt;"",W6&lt;&gt;""),"COMPLETADO","OBSERVADO")</f>
        <v>OBSERVADO</v>
      </c>
      <c r="AA6" s="89"/>
    </row>
    <row r="7" customFormat="false" ht="15.75" hidden="false" customHeight="true" outlineLevel="0" collapsed="false">
      <c r="A7" s="85"/>
      <c r="B7" s="85"/>
      <c r="C7" s="85"/>
      <c r="D7" s="85"/>
      <c r="E7" s="85"/>
      <c r="F7" s="85"/>
      <c r="G7" s="85"/>
      <c r="H7" s="85"/>
      <c r="I7" s="138" t="str">
        <f aca="false">IFERROR(VLOOKUP(TEXT(H7,"0"),IPRESS!$A$3:$B$212,2,0),"")</f>
        <v/>
      </c>
      <c r="J7" s="85"/>
      <c r="K7" s="138" t="str">
        <f aca="false">IFERROR(VLOOKUP(TEXT(O7,"0"),CONDUCTORES!$A$3:$G$54,7,0),"")</f>
        <v/>
      </c>
      <c r="L7" s="85"/>
      <c r="M7" s="85"/>
      <c r="N7" s="139" t="str">
        <f aca="false">IFERROR(IF(L7*M7=0,"",L7*M7),"")</f>
        <v/>
      </c>
      <c r="O7" s="85"/>
      <c r="P7" s="138" t="str">
        <f aca="false">IFERROR(VLOOKUP(TEXT(O7,"0"),CONDUCTORES!$A$3:$G$54,2,0),"")</f>
        <v/>
      </c>
      <c r="Q7" s="138" t="str">
        <f aca="false">IFERROR(VLOOKUP(TEXT(O7,"0"),CONDUCTORES!$A$3:$H$54,6,0),"")</f>
        <v/>
      </c>
      <c r="R7" s="85"/>
      <c r="S7" s="85"/>
      <c r="T7" s="85"/>
      <c r="U7" s="85"/>
      <c r="V7" s="85"/>
      <c r="W7" s="85"/>
      <c r="X7" s="85"/>
      <c r="Y7" s="85"/>
      <c r="Z7" s="41" t="str">
        <f aca="false">IF(AND(G7&lt;&gt;"",R7&lt;&gt;"",V7&lt;&gt;"",W7&lt;&gt;""),"COMPLETADO","OBSERVADO")</f>
        <v>OBSERVADO</v>
      </c>
      <c r="AA7" s="89"/>
    </row>
    <row r="8" customFormat="false" ht="15.75" hidden="false" customHeight="true" outlineLevel="0" collapsed="false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38" t="str">
        <f aca="false">IFERROR(VLOOKUP(TEXT(O8,"0"),CONDUCTORES!$A$3:$G$54,7,0),"")</f>
        <v/>
      </c>
      <c r="L8" s="140"/>
      <c r="M8" s="183"/>
      <c r="N8" s="139" t="str">
        <f aca="false">IFERROR(IF(L8*M8=0,"",L8*M8),"")</f>
        <v/>
      </c>
      <c r="O8" s="140"/>
      <c r="P8" s="138" t="str">
        <f aca="false">IFERROR(VLOOKUP(TEXT(O8,"0"),CONDUCTORES!$A$3:$G$54,2,0),"")</f>
        <v/>
      </c>
      <c r="Q8" s="138" t="str">
        <f aca="false">IFERROR(VLOOKUP(TEXT(O8,"0"),CONDUCTORES!$A$3:$H$54,6,0),"")</f>
        <v/>
      </c>
      <c r="R8" s="140"/>
      <c r="S8" s="140"/>
      <c r="T8" s="140"/>
      <c r="U8" s="140"/>
      <c r="V8" s="140"/>
      <c r="W8" s="140"/>
      <c r="X8" s="140"/>
      <c r="Y8" s="140"/>
      <c r="Z8" s="47" t="str">
        <f aca="false">IF(AND(G8&lt;&gt;"",R8&lt;&gt;"",V8&lt;&gt;"",W8&lt;&gt;""),"COMPLETADO","OBSERVADO")</f>
        <v>OBSERVADO</v>
      </c>
      <c r="AA8" s="89"/>
    </row>
    <row r="9" customFormat="false" ht="15.75" hidden="false" customHeight="true" outlineLevel="0" collapsed="false">
      <c r="A9" s="85"/>
      <c r="B9" s="85"/>
      <c r="C9" s="85"/>
      <c r="D9" s="85"/>
      <c r="E9" s="85"/>
      <c r="F9" s="85"/>
      <c r="G9" s="85"/>
      <c r="H9" s="85"/>
      <c r="I9" s="138" t="str">
        <f aca="false">IFERROR(VLOOKUP(TEXT(H9,"0"),IPRESS!$A$3:$B$212,2,0),"")</f>
        <v/>
      </c>
      <c r="J9" s="85"/>
      <c r="K9" s="138" t="str">
        <f aca="false">IFERROR(VLOOKUP(TEXT(O9,"0"),CONDUCTORES!$A$3:$G$54,7,0),"")</f>
        <v/>
      </c>
      <c r="L9" s="85"/>
      <c r="M9" s="85"/>
      <c r="N9" s="139" t="str">
        <f aca="false">IFERROR(IF(L9*M9=0,"",L9*M9),"")</f>
        <v/>
      </c>
      <c r="O9" s="85"/>
      <c r="P9" s="138" t="str">
        <f aca="false">IFERROR(VLOOKUP(TEXT(O9,"0"),CONDUCTORES!$A$3:$G$54,2,0),"")</f>
        <v/>
      </c>
      <c r="Q9" s="138" t="str">
        <f aca="false">IFERROR(VLOOKUP(TEXT(O9,"0"),CONDUCTORES!$A$3:$H$54,6,0),"")</f>
        <v/>
      </c>
      <c r="R9" s="85"/>
      <c r="S9" s="85"/>
      <c r="T9" s="85"/>
      <c r="U9" s="85"/>
      <c r="V9" s="85"/>
      <c r="W9" s="85"/>
      <c r="X9" s="85"/>
      <c r="Y9" s="85"/>
      <c r="Z9" s="41" t="str">
        <f aca="false">IF(AND(G9&lt;&gt;"",R9&lt;&gt;"",V9&lt;&gt;"",W9&lt;&gt;""),"COMPLETADO","OBSERVADO")</f>
        <v>OBSERVADO</v>
      </c>
      <c r="AA9" s="89"/>
    </row>
    <row r="10" customFormat="false" ht="15.75" hidden="false" customHeight="true" outlineLevel="0" collapsed="false">
      <c r="A10" s="140"/>
      <c r="B10" s="140"/>
      <c r="C10" s="140"/>
      <c r="D10" s="140"/>
      <c r="E10" s="140"/>
      <c r="F10" s="140"/>
      <c r="G10" s="140"/>
      <c r="H10" s="140"/>
      <c r="I10" s="138" t="str">
        <f aca="false">IFERROR(VLOOKUP(TEXT(H10,"0"),IPRESS!$A$3:$B$212,2,0),"")</f>
        <v/>
      </c>
      <c r="J10" s="140"/>
      <c r="K10" s="138" t="str">
        <f aca="false">IFERROR(VLOOKUP(TEXT(O10,"0"),CONDUCTORES!$A$3:$G$54,7,0),"")</f>
        <v/>
      </c>
      <c r="L10" s="140"/>
      <c r="M10" s="140"/>
      <c r="N10" s="139" t="str">
        <f aca="false">IFERROR(IF(L10*M10=0,"",L10*M10),"")</f>
        <v/>
      </c>
      <c r="O10" s="140"/>
      <c r="P10" s="138" t="str">
        <f aca="false">IFERROR(VLOOKUP(TEXT(O10,"0"),CONDUCTORES!$A$3:$G$54,2,0),"")</f>
        <v/>
      </c>
      <c r="Q10" s="138" t="str">
        <f aca="false">IFERROR(VLOOKUP(TEXT(O10,"0"),CONDUCTORES!$A$3:$H$54,6,0),"")</f>
        <v/>
      </c>
      <c r="R10" s="140"/>
      <c r="S10" s="140"/>
      <c r="T10" s="140"/>
      <c r="U10" s="140"/>
      <c r="V10" s="140"/>
      <c r="W10" s="140"/>
      <c r="X10" s="140"/>
      <c r="Y10" s="140"/>
      <c r="Z10" s="47" t="str">
        <f aca="false">IF(AND(G10&lt;&gt;"",R10&lt;&gt;"",V10&lt;&gt;"",W10&lt;&gt;""),"COMPLETADO","OBSERVADO")</f>
        <v>OBSERVADO</v>
      </c>
      <c r="AA10" s="89"/>
    </row>
    <row r="11" customFormat="false" ht="15.75" hidden="false" customHeight="true" outlineLevel="0" collapsed="false">
      <c r="A11" s="85"/>
      <c r="B11" s="85"/>
      <c r="C11" s="85"/>
      <c r="D11" s="85"/>
      <c r="E11" s="85"/>
      <c r="F11" s="85"/>
      <c r="G11" s="85"/>
      <c r="H11" s="85"/>
      <c r="I11" s="138" t="str">
        <f aca="false">IFERROR(VLOOKUP(TEXT(H11,"0"),IPRESS!$A$3:$B$212,2,0),"")</f>
        <v/>
      </c>
      <c r="J11" s="85"/>
      <c r="K11" s="138" t="str">
        <f aca="false">IFERROR(VLOOKUP(TEXT(O11,"0"),CONDUCTORES!$A$3:$G$54,7,0),"")</f>
        <v/>
      </c>
      <c r="L11" s="85"/>
      <c r="M11" s="85"/>
      <c r="N11" s="139" t="str">
        <f aca="false">IFERROR(IF(L11*M11=0,"",L11*M11),"")</f>
        <v/>
      </c>
      <c r="O11" s="85"/>
      <c r="P11" s="138" t="str">
        <f aca="false">IFERROR(VLOOKUP(TEXT(O11,"0"),CONDUCTORES!$A$3:$G$54,2,0),"")</f>
        <v/>
      </c>
      <c r="Q11" s="138" t="str">
        <f aca="false">IFERROR(VLOOKUP(TEXT(O11,"0"),CONDUCTORES!$A$3:$H$54,6,0),"")</f>
        <v/>
      </c>
      <c r="R11" s="85"/>
      <c r="S11" s="85"/>
      <c r="T11" s="85"/>
      <c r="U11" s="85"/>
      <c r="V11" s="85"/>
      <c r="W11" s="85"/>
      <c r="X11" s="85"/>
      <c r="Y11" s="85"/>
      <c r="Z11" s="41" t="str">
        <f aca="false">IF(AND(G11&lt;&gt;"",R11&lt;&gt;"",V11&lt;&gt;"",W11&lt;&gt;""),"COMPLETADO","OBSERVADO")</f>
        <v>OBSERVADO</v>
      </c>
      <c r="AA11" s="89"/>
    </row>
    <row r="12" customFormat="false" ht="15.75" hidden="false" customHeight="true" outlineLevel="0" collapsed="false">
      <c r="A12" s="140"/>
      <c r="B12" s="140"/>
      <c r="C12" s="140"/>
      <c r="D12" s="140"/>
      <c r="E12" s="140"/>
      <c r="F12" s="140"/>
      <c r="G12" s="140"/>
      <c r="H12" s="140"/>
      <c r="I12" s="138" t="str">
        <f aca="false">IFERROR(VLOOKUP(TEXT(H12,"0"),IPRESS!$A$3:$B$212,2,0),"")</f>
        <v/>
      </c>
      <c r="J12" s="140"/>
      <c r="K12" s="138" t="str">
        <f aca="false">IFERROR(VLOOKUP(TEXT(O12,"0"),CONDUCTORES!$A$3:$G$54,7,0),"")</f>
        <v/>
      </c>
      <c r="L12" s="140"/>
      <c r="M12" s="140"/>
      <c r="N12" s="139" t="str">
        <f aca="false">IFERROR(IF(L12*M12=0,"",L12*M12),"")</f>
        <v/>
      </c>
      <c r="O12" s="140"/>
      <c r="P12" s="138" t="str">
        <f aca="false">IFERROR(VLOOKUP(TEXT(O12,"0"),CONDUCTORES!$A$3:$G$54,2,0),"")</f>
        <v/>
      </c>
      <c r="Q12" s="138" t="str">
        <f aca="false">IFERROR(VLOOKUP(TEXT(O12,"0"),CONDUCTORES!$A$3:$H$54,6,0),"")</f>
        <v/>
      </c>
      <c r="R12" s="140"/>
      <c r="S12" s="140"/>
      <c r="T12" s="140"/>
      <c r="U12" s="140"/>
      <c r="V12" s="140"/>
      <c r="W12" s="140"/>
      <c r="X12" s="140"/>
      <c r="Y12" s="140"/>
      <c r="Z12" s="47" t="str">
        <f aca="false">IF(AND(G12&lt;&gt;"",R12&lt;&gt;"",V12&lt;&gt;"",W12&lt;&gt;""),"COMPLETADO","OBSERVADO")</f>
        <v>OBSERVADO</v>
      </c>
      <c r="AA12" s="89"/>
    </row>
    <row r="13" customFormat="false" ht="15.75" hidden="false" customHeight="true" outlineLevel="0" collapsed="false">
      <c r="A13" s="85"/>
      <c r="B13" s="85"/>
      <c r="C13" s="85"/>
      <c r="D13" s="85"/>
      <c r="E13" s="85"/>
      <c r="F13" s="85"/>
      <c r="G13" s="85"/>
      <c r="H13" s="85"/>
      <c r="I13" s="138" t="str">
        <f aca="false">IFERROR(VLOOKUP(TEXT(H13,"0"),IPRESS!$A$3:$B$212,2,0),"")</f>
        <v/>
      </c>
      <c r="J13" s="85"/>
      <c r="K13" s="138" t="str">
        <f aca="false">IFERROR(VLOOKUP(TEXT(O13,"0"),CONDUCTORES!$A$3:$G$54,7,0),"")</f>
        <v/>
      </c>
      <c r="L13" s="85"/>
      <c r="M13" s="85"/>
      <c r="N13" s="139" t="str">
        <f aca="false">IFERROR(IF(L13*M13=0,"",L13*M13),"")</f>
        <v/>
      </c>
      <c r="O13" s="85"/>
      <c r="P13" s="138" t="str">
        <f aca="false">IFERROR(VLOOKUP(TEXT(O13,"0"),CONDUCTORES!$A$3:$G$54,2,0),"")</f>
        <v/>
      </c>
      <c r="Q13" s="138" t="str">
        <f aca="false">IFERROR(VLOOKUP(TEXT(O13,"0"),CONDUCTORES!$A$3:$H$54,6,0),"")</f>
        <v/>
      </c>
      <c r="R13" s="85"/>
      <c r="S13" s="85"/>
      <c r="T13" s="85"/>
      <c r="U13" s="85"/>
      <c r="V13" s="85"/>
      <c r="W13" s="85"/>
      <c r="X13" s="85"/>
      <c r="Y13" s="85"/>
      <c r="Z13" s="41" t="str">
        <f aca="false">IF(AND(G13&lt;&gt;"",R13&lt;&gt;"",V13&lt;&gt;"",W13&lt;&gt;""),"COMPLETADO","OBSERVADO")</f>
        <v>OBSERVADO</v>
      </c>
      <c r="AA13" s="89"/>
    </row>
    <row r="14" customFormat="false" ht="15.75" hidden="false" customHeight="true" outlineLevel="0" collapsed="false">
      <c r="A14" s="140"/>
      <c r="B14" s="140"/>
      <c r="C14" s="140"/>
      <c r="D14" s="140"/>
      <c r="E14" s="140"/>
      <c r="F14" s="140"/>
      <c r="G14" s="140"/>
      <c r="H14" s="140"/>
      <c r="I14" s="138" t="str">
        <f aca="false">IFERROR(VLOOKUP(TEXT(H14,"0"),IPRESS!$A$3:$B$212,2,0),"")</f>
        <v/>
      </c>
      <c r="J14" s="140"/>
      <c r="K14" s="138" t="str">
        <f aca="false">IFERROR(VLOOKUP(TEXT(O14,"0"),CONDUCTORES!$A$3:$G$54,7,0),"")</f>
        <v/>
      </c>
      <c r="L14" s="140"/>
      <c r="M14" s="140"/>
      <c r="N14" s="139" t="str">
        <f aca="false">IFERROR(IF(L14*M14=0,"",L14*M14),"")</f>
        <v/>
      </c>
      <c r="O14" s="140"/>
      <c r="P14" s="138" t="str">
        <f aca="false">IFERROR(VLOOKUP(TEXT(O14,"0"),CONDUCTORES!$A$3:$G$54,2,0),"")</f>
        <v/>
      </c>
      <c r="Q14" s="138" t="str">
        <f aca="false">IFERROR(VLOOKUP(TEXT(O14,"0"),CONDUCTORES!$A$3:$H$54,6,0),"")</f>
        <v/>
      </c>
      <c r="R14" s="140"/>
      <c r="S14" s="140"/>
      <c r="T14" s="140"/>
      <c r="U14" s="140"/>
      <c r="V14" s="140"/>
      <c r="W14" s="140"/>
      <c r="X14" s="140"/>
      <c r="Y14" s="140"/>
      <c r="Z14" s="47" t="str">
        <f aca="false">IF(AND(G14&lt;&gt;"",R14&lt;&gt;"",V14&lt;&gt;"",W14&lt;&gt;""),"COMPLETADO","OBSERVADO")</f>
        <v>OBSERVADO</v>
      </c>
      <c r="AA14" s="89"/>
    </row>
    <row r="15" customFormat="false" ht="15.75" hidden="false" customHeight="true" outlineLevel="0" collapsed="false">
      <c r="A15" s="85"/>
      <c r="B15" s="85"/>
      <c r="C15" s="85"/>
      <c r="D15" s="85"/>
      <c r="E15" s="85"/>
      <c r="F15" s="85"/>
      <c r="G15" s="85"/>
      <c r="H15" s="85"/>
      <c r="I15" s="138" t="str">
        <f aca="false">IFERROR(VLOOKUP(TEXT(H15,"0"),IPRESS!$A$3:$B$212,2,0),"")</f>
        <v/>
      </c>
      <c r="J15" s="85"/>
      <c r="K15" s="138" t="str">
        <f aca="false">IFERROR(VLOOKUP(TEXT(O15,"0"),CONDUCTORES!$A$3:$G$54,7,0),"")</f>
        <v/>
      </c>
      <c r="L15" s="85"/>
      <c r="M15" s="85"/>
      <c r="N15" s="139" t="str">
        <f aca="false">IFERROR(IF(L15*M15=0,"",L15*M15),"")</f>
        <v/>
      </c>
      <c r="O15" s="85"/>
      <c r="P15" s="138" t="str">
        <f aca="false">IFERROR(VLOOKUP(TEXT(O15,"0"),CONDUCTORES!$A$3:$G$54,2,0),"")</f>
        <v/>
      </c>
      <c r="Q15" s="138" t="str">
        <f aca="false">IFERROR(VLOOKUP(TEXT(O15,"0"),CONDUCTORES!$A$3:$H$54,6,0),"")</f>
        <v/>
      </c>
      <c r="R15" s="85"/>
      <c r="S15" s="85"/>
      <c r="T15" s="85"/>
      <c r="U15" s="85"/>
      <c r="V15" s="85"/>
      <c r="W15" s="85"/>
      <c r="X15" s="85"/>
      <c r="Y15" s="85"/>
      <c r="Z15" s="41" t="str">
        <f aca="false">IF(AND(G15&lt;&gt;"",R15&lt;&gt;"",V15&lt;&gt;"",W15&lt;&gt;""),"COMPLETADO","OBSERVADO")</f>
        <v>OBSERVADO</v>
      </c>
      <c r="AA15" s="89"/>
    </row>
    <row r="16" customFormat="false" ht="15.75" hidden="false" customHeight="true" outlineLevel="0" collapsed="false">
      <c r="A16" s="140"/>
      <c r="B16" s="140"/>
      <c r="C16" s="140"/>
      <c r="D16" s="140"/>
      <c r="E16" s="140"/>
      <c r="F16" s="140"/>
      <c r="G16" s="140"/>
      <c r="H16" s="140"/>
      <c r="I16" s="138" t="str">
        <f aca="false">IFERROR(VLOOKUP(TEXT(H16,"0"),IPRESS!$A$3:$B$212,2,0),"")</f>
        <v/>
      </c>
      <c r="J16" s="140"/>
      <c r="K16" s="138" t="str">
        <f aca="false">IFERROR(VLOOKUP(TEXT(O16,"0"),CONDUCTORES!$A$3:$G$54,7,0),"")</f>
        <v/>
      </c>
      <c r="L16" s="140"/>
      <c r="M16" s="140"/>
      <c r="N16" s="139" t="str">
        <f aca="false">IFERROR(IF(L16*M16=0,"",L16*M16),"")</f>
        <v/>
      </c>
      <c r="O16" s="140"/>
      <c r="P16" s="138" t="str">
        <f aca="false">IFERROR(VLOOKUP(TEXT(O16,"0"),CONDUCTORES!$A$3:$G$54,2,0),"")</f>
        <v/>
      </c>
      <c r="Q16" s="138" t="str">
        <f aca="false">IFERROR(VLOOKUP(TEXT(O16,"0"),CONDUCTORES!$A$3:$H$54,6,0),"")</f>
        <v/>
      </c>
      <c r="R16" s="140"/>
      <c r="S16" s="140"/>
      <c r="T16" s="140"/>
      <c r="U16" s="140"/>
      <c r="V16" s="140"/>
      <c r="W16" s="140"/>
      <c r="X16" s="140"/>
      <c r="Y16" s="140"/>
      <c r="Z16" s="47" t="str">
        <f aca="false">IF(AND(G16&lt;&gt;"",R16&lt;&gt;"",V16&lt;&gt;"",W16&lt;&gt;""),"COMPLETADO","OBSERVADO")</f>
        <v>OBSERVADO</v>
      </c>
      <c r="AA16" s="89"/>
    </row>
    <row r="17" customFormat="false" ht="15.75" hidden="false" customHeight="true" outlineLevel="0" collapsed="false">
      <c r="A17" s="85"/>
      <c r="B17" s="85"/>
      <c r="C17" s="85"/>
      <c r="D17" s="85"/>
      <c r="E17" s="85"/>
      <c r="F17" s="85"/>
      <c r="G17" s="85"/>
      <c r="H17" s="85"/>
      <c r="I17" s="138" t="str">
        <f aca="false">IFERROR(VLOOKUP(TEXT(H17,"0"),IPRESS!$A$3:$B$212,2,0),"")</f>
        <v/>
      </c>
      <c r="J17" s="85"/>
      <c r="K17" s="138" t="str">
        <f aca="false">IFERROR(VLOOKUP(TEXT(O17,"0"),CONDUCTORES!$A$3:$G$54,7,0),"")</f>
        <v/>
      </c>
      <c r="L17" s="85"/>
      <c r="M17" s="85"/>
      <c r="N17" s="139" t="str">
        <f aca="false">IFERROR(IF(L17*M17=0,"",L17*M17),"")</f>
        <v/>
      </c>
      <c r="O17" s="85"/>
      <c r="P17" s="138" t="str">
        <f aca="false">IFERROR(VLOOKUP(TEXT(O17,"0"),CONDUCTORES!$A$3:$G$54,2,0),"")</f>
        <v/>
      </c>
      <c r="Q17" s="138" t="str">
        <f aca="false">IFERROR(VLOOKUP(TEXT(O17,"0"),CONDUCTORES!$A$3:$H$54,6,0),"")</f>
        <v/>
      </c>
      <c r="R17" s="85"/>
      <c r="S17" s="85"/>
      <c r="T17" s="85"/>
      <c r="U17" s="85"/>
      <c r="V17" s="85"/>
      <c r="W17" s="85"/>
      <c r="X17" s="85"/>
      <c r="Y17" s="85"/>
      <c r="Z17" s="41" t="str">
        <f aca="false">IF(AND(G17&lt;&gt;"",R17&lt;&gt;"",V17&lt;&gt;"",W17&lt;&gt;""),"COMPLETADO","OBSERVADO")</f>
        <v>OBSERVADO</v>
      </c>
      <c r="AA17" s="89"/>
    </row>
    <row r="18" customFormat="false" ht="15.75" hidden="false" customHeight="true" outlineLevel="0" collapsed="false">
      <c r="A18" s="140"/>
      <c r="B18" s="140"/>
      <c r="C18" s="140"/>
      <c r="D18" s="140"/>
      <c r="E18" s="140"/>
      <c r="F18" s="140"/>
      <c r="G18" s="140"/>
      <c r="H18" s="140"/>
      <c r="I18" s="138" t="str">
        <f aca="false">IFERROR(VLOOKUP(TEXT(H18,"0"),IPRESS!$A$3:$B$212,2,0),"")</f>
        <v/>
      </c>
      <c r="J18" s="140"/>
      <c r="K18" s="138" t="str">
        <f aca="false">IFERROR(VLOOKUP(TEXT(O18,"0"),CONDUCTORES!$A$3:$G$54,7,0),"")</f>
        <v/>
      </c>
      <c r="L18" s="140"/>
      <c r="M18" s="140"/>
      <c r="N18" s="139" t="str">
        <f aca="false">IFERROR(IF(L18*M18=0,"",L18*M18),"")</f>
        <v/>
      </c>
      <c r="O18" s="140"/>
      <c r="P18" s="138" t="str">
        <f aca="false">IFERROR(VLOOKUP(TEXT(O18,"0"),CONDUCTORES!$A$3:$G$54,2,0),"")</f>
        <v/>
      </c>
      <c r="Q18" s="138" t="str">
        <f aca="false">IFERROR(VLOOKUP(TEXT(O18,"0"),CONDUCTORES!$A$3:$H$54,6,0),"")</f>
        <v/>
      </c>
      <c r="R18" s="140"/>
      <c r="S18" s="140"/>
      <c r="T18" s="140"/>
      <c r="U18" s="140"/>
      <c r="V18" s="140"/>
      <c r="W18" s="140"/>
      <c r="X18" s="140"/>
      <c r="Y18" s="140"/>
      <c r="Z18" s="47" t="str">
        <f aca="false">IF(AND(G18&lt;&gt;"",R18&lt;&gt;"",V18&lt;&gt;"",W18&lt;&gt;""),"COMPLETADO","OBSERVADO")</f>
        <v>OBSERVADO</v>
      </c>
      <c r="AA18" s="89"/>
    </row>
    <row r="19" customFormat="false" ht="15.75" hidden="false" customHeight="true" outlineLevel="0" collapsed="false">
      <c r="A19" s="85"/>
      <c r="B19" s="85"/>
      <c r="C19" s="85"/>
      <c r="D19" s="85"/>
      <c r="E19" s="85"/>
      <c r="F19" s="85"/>
      <c r="G19" s="85"/>
      <c r="H19" s="85"/>
      <c r="I19" s="138" t="str">
        <f aca="false">IFERROR(VLOOKUP(TEXT(H19,"0"),IPRESS!$A$3:$B$212,2,0),"")</f>
        <v/>
      </c>
      <c r="J19" s="85"/>
      <c r="K19" s="138" t="str">
        <f aca="false">IFERROR(VLOOKUP(TEXT(O19,"0"),CONDUCTORES!$A$3:$G$54,7,0),"")</f>
        <v/>
      </c>
      <c r="L19" s="85"/>
      <c r="M19" s="85"/>
      <c r="N19" s="139" t="str">
        <f aca="false">IFERROR(IF(L19*M19=0,"",L19*M19),"")</f>
        <v/>
      </c>
      <c r="O19" s="85"/>
      <c r="P19" s="138" t="str">
        <f aca="false">IFERROR(VLOOKUP(TEXT(O19,"0"),CONDUCTORES!$A$3:$G$54,2,0),"")</f>
        <v/>
      </c>
      <c r="Q19" s="138" t="str">
        <f aca="false">IFERROR(VLOOKUP(TEXT(O19,"0"),CONDUCTORES!$A$3:$H$54,6,0),"")</f>
        <v/>
      </c>
      <c r="R19" s="85"/>
      <c r="S19" s="85"/>
      <c r="T19" s="85"/>
      <c r="U19" s="85"/>
      <c r="V19" s="85"/>
      <c r="W19" s="85"/>
      <c r="X19" s="85"/>
      <c r="Y19" s="85"/>
      <c r="Z19" s="41" t="str">
        <f aca="false">IF(AND(G19&lt;&gt;"",R19&lt;&gt;"",V19&lt;&gt;"",W19&lt;&gt;""),"COMPLETADO","OBSERVADO")</f>
        <v>OBSERVADO</v>
      </c>
      <c r="AA19" s="89"/>
    </row>
    <row r="20" customFormat="false" ht="15.75" hidden="false" customHeight="true" outlineLevel="0" collapsed="false">
      <c r="A20" s="140"/>
      <c r="B20" s="140"/>
      <c r="C20" s="140"/>
      <c r="D20" s="140"/>
      <c r="E20" s="140"/>
      <c r="F20" s="140"/>
      <c r="G20" s="140"/>
      <c r="H20" s="140"/>
      <c r="I20" s="138" t="str">
        <f aca="false">IFERROR(VLOOKUP(TEXT(H20,"0"),IPRESS!$A$3:$B$212,2,0),"")</f>
        <v/>
      </c>
      <c r="J20" s="140"/>
      <c r="K20" s="138" t="str">
        <f aca="false">IFERROR(VLOOKUP(TEXT(O20,"0"),CONDUCTORES!$A$3:$G$54,7,0),"")</f>
        <v/>
      </c>
      <c r="L20" s="140"/>
      <c r="M20" s="140"/>
      <c r="N20" s="139" t="str">
        <f aca="false">IFERROR(IF(L20*M20=0,"",L20*M20),"")</f>
        <v/>
      </c>
      <c r="O20" s="140"/>
      <c r="P20" s="138" t="str">
        <f aca="false">IFERROR(VLOOKUP(TEXT(O20,"0"),CONDUCTORES!$A$3:$G$54,2,0),"")</f>
        <v/>
      </c>
      <c r="Q20" s="138" t="str">
        <f aca="false">IFERROR(VLOOKUP(TEXT(O20,"0"),CONDUCTORES!$A$3:$H$54,6,0),"")</f>
        <v/>
      </c>
      <c r="R20" s="140"/>
      <c r="S20" s="140"/>
      <c r="T20" s="140"/>
      <c r="U20" s="140"/>
      <c r="V20" s="140"/>
      <c r="W20" s="140"/>
      <c r="X20" s="140"/>
      <c r="Y20" s="140"/>
      <c r="Z20" s="47" t="str">
        <f aca="false">IF(AND(G20&lt;&gt;"",R20&lt;&gt;"",V20&lt;&gt;"",W20&lt;&gt;""),"COMPLETADO","OBSERVADO")</f>
        <v>OBSERVADO</v>
      </c>
      <c r="AA20" s="89"/>
    </row>
    <row r="21" customFormat="false" ht="15.75" hidden="false" customHeight="true" outlineLevel="0" collapsed="false">
      <c r="A21" s="85"/>
      <c r="B21" s="85"/>
      <c r="C21" s="85"/>
      <c r="D21" s="85"/>
      <c r="E21" s="85"/>
      <c r="F21" s="85"/>
      <c r="G21" s="85"/>
      <c r="H21" s="85"/>
      <c r="I21" s="138" t="str">
        <f aca="false">IFERROR(VLOOKUP(TEXT(H21,"0"),IPRESS!$A$3:$B$212,2,0),"")</f>
        <v/>
      </c>
      <c r="J21" s="85"/>
      <c r="K21" s="138" t="str">
        <f aca="false">IFERROR(VLOOKUP(TEXT(O21,"0"),CONDUCTORES!$A$3:$G$54,7,0),"")</f>
        <v/>
      </c>
      <c r="L21" s="85"/>
      <c r="M21" s="85"/>
      <c r="N21" s="139" t="str">
        <f aca="false">IFERROR(IF(L21*M21=0,"",L21*M21),"")</f>
        <v/>
      </c>
      <c r="O21" s="85"/>
      <c r="P21" s="138" t="str">
        <f aca="false">IFERROR(VLOOKUP(TEXT(O21,"0"),CONDUCTORES!$A$3:$G$54,2,0),"")</f>
        <v/>
      </c>
      <c r="Q21" s="138" t="str">
        <f aca="false">IFERROR(VLOOKUP(TEXT(O21,"0"),CONDUCTORES!$A$3:$H$54,6,0),"")</f>
        <v/>
      </c>
      <c r="R21" s="85"/>
      <c r="S21" s="85"/>
      <c r="T21" s="85"/>
      <c r="U21" s="85"/>
      <c r="V21" s="85"/>
      <c r="W21" s="85"/>
      <c r="X21" s="85"/>
      <c r="Y21" s="85"/>
      <c r="Z21" s="41" t="str">
        <f aca="false">IF(AND(G21&lt;&gt;"",R21&lt;&gt;"",V21&lt;&gt;"",W21&lt;&gt;""),"COMPLETADO","OBSERVADO")</f>
        <v>OBSERVADO</v>
      </c>
      <c r="AA21" s="89"/>
    </row>
    <row r="22" customFormat="false" ht="15.75" hidden="false" customHeight="true" outlineLevel="0" collapsed="false">
      <c r="A22" s="140"/>
      <c r="B22" s="140"/>
      <c r="C22" s="140"/>
      <c r="D22" s="140"/>
      <c r="E22" s="140"/>
      <c r="F22" s="140"/>
      <c r="G22" s="140"/>
      <c r="H22" s="140"/>
      <c r="I22" s="138" t="str">
        <f aca="false">IFERROR(VLOOKUP(TEXT(H22,"0"),IPRESS!$A$3:$B$212,2,0),"")</f>
        <v/>
      </c>
      <c r="J22" s="140"/>
      <c r="K22" s="138" t="str">
        <f aca="false">IFERROR(VLOOKUP(TEXT(O22,"0"),CONDUCTORES!$A$3:$G$54,7,0),"")</f>
        <v/>
      </c>
      <c r="L22" s="140"/>
      <c r="M22" s="140"/>
      <c r="N22" s="139" t="str">
        <f aca="false">IFERROR(IF(L22*M22=0,"",L22*M22),"")</f>
        <v/>
      </c>
      <c r="O22" s="140"/>
      <c r="P22" s="138" t="str">
        <f aca="false">IFERROR(VLOOKUP(TEXT(O22,"0"),CONDUCTORES!$A$3:$G$54,2,0),"")</f>
        <v/>
      </c>
      <c r="Q22" s="138" t="str">
        <f aca="false">IFERROR(VLOOKUP(TEXT(O22,"0"),CONDUCTORES!$A$3:$H$54,6,0),"")</f>
        <v/>
      </c>
      <c r="R22" s="140"/>
      <c r="S22" s="140"/>
      <c r="T22" s="140"/>
      <c r="U22" s="140"/>
      <c r="V22" s="140"/>
      <c r="W22" s="140"/>
      <c r="X22" s="140"/>
      <c r="Y22" s="140"/>
      <c r="Z22" s="47" t="str">
        <f aca="false">IF(AND(G22&lt;&gt;"",R22&lt;&gt;"",V22&lt;&gt;"",W22&lt;&gt;""),"COMPLETADO","OBSERVADO")</f>
        <v>OBSERVADO</v>
      </c>
      <c r="AA22" s="89"/>
    </row>
    <row r="23" customFormat="false" ht="15.75" hidden="false" customHeight="true" outlineLevel="0" collapsed="false">
      <c r="A23" s="85"/>
      <c r="B23" s="85"/>
      <c r="C23" s="85"/>
      <c r="D23" s="85"/>
      <c r="E23" s="85"/>
      <c r="F23" s="85"/>
      <c r="G23" s="85"/>
      <c r="H23" s="85"/>
      <c r="I23" s="138" t="str">
        <f aca="false">IFERROR(VLOOKUP(TEXT(H23,"0"),IPRESS!$A$3:$B$212,2,0),"")</f>
        <v/>
      </c>
      <c r="J23" s="85"/>
      <c r="K23" s="138" t="str">
        <f aca="false">IFERROR(VLOOKUP(TEXT(O23,"0"),CONDUCTORES!$A$3:$G$54,7,0),"")</f>
        <v/>
      </c>
      <c r="L23" s="85"/>
      <c r="M23" s="85"/>
      <c r="N23" s="139" t="str">
        <f aca="false">IFERROR(IF(L23*M23=0,"",L23*M23),"")</f>
        <v/>
      </c>
      <c r="O23" s="85"/>
      <c r="P23" s="138" t="str">
        <f aca="false">IFERROR(VLOOKUP(TEXT(O23,"0"),CONDUCTORES!$A$3:$G$54,2,0),"")</f>
        <v/>
      </c>
      <c r="Q23" s="138" t="str">
        <f aca="false">IFERROR(VLOOKUP(TEXT(O23,"0"),CONDUCTORES!$A$3:$H$54,6,0),"")</f>
        <v/>
      </c>
      <c r="R23" s="85"/>
      <c r="S23" s="85"/>
      <c r="T23" s="85"/>
      <c r="U23" s="85"/>
      <c r="V23" s="85"/>
      <c r="W23" s="85"/>
      <c r="X23" s="85"/>
      <c r="Y23" s="85"/>
      <c r="Z23" s="41" t="str">
        <f aca="false">IF(AND(G23&lt;&gt;"",R23&lt;&gt;"",V23&lt;&gt;"",W23&lt;&gt;""),"COMPLETADO","OBSERVADO")</f>
        <v>OBSERVADO</v>
      </c>
      <c r="AA23" s="89"/>
    </row>
    <row r="24" customFormat="false" ht="15.75" hidden="false" customHeight="true" outlineLevel="0" collapsed="false">
      <c r="A24" s="140"/>
      <c r="B24" s="140"/>
      <c r="C24" s="140"/>
      <c r="D24" s="140"/>
      <c r="E24" s="140"/>
      <c r="F24" s="140"/>
      <c r="G24" s="140"/>
      <c r="H24" s="140"/>
      <c r="I24" s="138" t="str">
        <f aca="false">IFERROR(VLOOKUP(TEXT(H24,"0"),IPRESS!$A$3:$B$212,2,0),"")</f>
        <v/>
      </c>
      <c r="J24" s="140"/>
      <c r="K24" s="138" t="str">
        <f aca="false">IFERROR(VLOOKUP(TEXT(O24,"0"),CONDUCTORES!$A$3:$G$54,7,0),"")</f>
        <v/>
      </c>
      <c r="L24" s="140"/>
      <c r="M24" s="140"/>
      <c r="N24" s="139" t="str">
        <f aca="false">IFERROR(IF(L24*M24=0,"",L24*M24),"")</f>
        <v/>
      </c>
      <c r="O24" s="140"/>
      <c r="P24" s="138" t="str">
        <f aca="false">IFERROR(VLOOKUP(TEXT(O24,"0"),CONDUCTORES!$A$3:$G$54,2,0),"")</f>
        <v/>
      </c>
      <c r="Q24" s="138" t="str">
        <f aca="false">IFERROR(VLOOKUP(TEXT(O24,"0"),CONDUCTORES!$A$3:$H$54,6,0),"")</f>
        <v/>
      </c>
      <c r="R24" s="140"/>
      <c r="S24" s="140"/>
      <c r="T24" s="140"/>
      <c r="U24" s="140"/>
      <c r="V24" s="140"/>
      <c r="W24" s="140"/>
      <c r="X24" s="140"/>
      <c r="Y24" s="140"/>
      <c r="Z24" s="47" t="str">
        <f aca="false">IF(AND(G24&lt;&gt;"",R24&lt;&gt;"",V24&lt;&gt;"",W24&lt;&gt;""),"COMPLETADO","OBSERVADO")</f>
        <v>OBSERVADO</v>
      </c>
      <c r="AA24" s="89"/>
    </row>
    <row r="25" customFormat="false" ht="15.75" hidden="false" customHeight="true" outlineLevel="0" collapsed="false">
      <c r="A25" s="85"/>
      <c r="B25" s="85"/>
      <c r="C25" s="85"/>
      <c r="D25" s="85"/>
      <c r="E25" s="85"/>
      <c r="F25" s="85"/>
      <c r="G25" s="85"/>
      <c r="H25" s="85"/>
      <c r="I25" s="138" t="str">
        <f aca="false">IFERROR(VLOOKUP(TEXT(H25,"0"),IPRESS!$A$3:$B$212,2,0),"")</f>
        <v/>
      </c>
      <c r="J25" s="85"/>
      <c r="K25" s="138" t="str">
        <f aca="false">IFERROR(VLOOKUP(TEXT(O25,"0"),CONDUCTORES!$A$3:$G$54,7,0),"")</f>
        <v/>
      </c>
      <c r="L25" s="85"/>
      <c r="M25" s="85"/>
      <c r="N25" s="139" t="str">
        <f aca="false">IFERROR(IF(L25*M25=0,"",L25*M25),"")</f>
        <v/>
      </c>
      <c r="O25" s="85"/>
      <c r="P25" s="138" t="str">
        <f aca="false">IFERROR(VLOOKUP(TEXT(O25,"0"),CONDUCTORES!$A$3:$G$54,2,0),"")</f>
        <v/>
      </c>
      <c r="Q25" s="138" t="str">
        <f aca="false">IFERROR(VLOOKUP(TEXT(O25,"0"),CONDUCTORES!$A$3:$H$54,6,0),"")</f>
        <v/>
      </c>
      <c r="R25" s="85"/>
      <c r="S25" s="85"/>
      <c r="T25" s="85"/>
      <c r="U25" s="85"/>
      <c r="V25" s="85"/>
      <c r="W25" s="85"/>
      <c r="X25" s="85"/>
      <c r="Y25" s="85"/>
      <c r="Z25" s="41" t="str">
        <f aca="false">IF(AND(G25&lt;&gt;"",R25&lt;&gt;"",V25&lt;&gt;"",W25&lt;&gt;""),"COMPLETADO","OBSERVADO")</f>
        <v>OBSERVADO</v>
      </c>
      <c r="AA25" s="89"/>
    </row>
    <row r="26" customFormat="false" ht="15.75" hidden="false" customHeight="true" outlineLevel="0" collapsed="false">
      <c r="A26" s="140"/>
      <c r="B26" s="140"/>
      <c r="C26" s="140"/>
      <c r="D26" s="140"/>
      <c r="E26" s="140"/>
      <c r="F26" s="140"/>
      <c r="G26" s="140"/>
      <c r="H26" s="140"/>
      <c r="I26" s="138" t="str">
        <f aca="false">IFERROR(VLOOKUP(TEXT(H26,"0"),IPRESS!$A$3:$B$212,2,0),"")</f>
        <v/>
      </c>
      <c r="J26" s="140"/>
      <c r="K26" s="138" t="str">
        <f aca="false">IFERROR(VLOOKUP(TEXT(O26,"0"),CONDUCTORES!$A$3:$G$54,7,0),"")</f>
        <v/>
      </c>
      <c r="L26" s="140"/>
      <c r="M26" s="140"/>
      <c r="N26" s="139" t="str">
        <f aca="false">IFERROR(IF(L26*M26=0,"",L26*M26),"")</f>
        <v/>
      </c>
      <c r="O26" s="140"/>
      <c r="P26" s="138" t="str">
        <f aca="false">IFERROR(VLOOKUP(TEXT(O26,"0"),CONDUCTORES!$A$3:$G$54,2,0),"")</f>
        <v/>
      </c>
      <c r="Q26" s="138" t="str">
        <f aca="false">IFERROR(VLOOKUP(TEXT(O26,"0"),CONDUCTORES!$A$3:$H$54,6,0),"")</f>
        <v/>
      </c>
      <c r="R26" s="140"/>
      <c r="S26" s="140"/>
      <c r="T26" s="140"/>
      <c r="U26" s="140"/>
      <c r="V26" s="140"/>
      <c r="W26" s="140"/>
      <c r="X26" s="140"/>
      <c r="Y26" s="140"/>
      <c r="Z26" s="47" t="str">
        <f aca="false">IF(AND(G26&lt;&gt;"",R26&lt;&gt;"",V26&lt;&gt;"",W26&lt;&gt;""),"COMPLETADO","OBSERVADO")</f>
        <v>OBSERVADO</v>
      </c>
      <c r="AA26" s="89"/>
    </row>
    <row r="27" customFormat="false" ht="15.75" hidden="false" customHeight="true" outlineLevel="0" collapsed="false">
      <c r="A27" s="85"/>
      <c r="B27" s="85"/>
      <c r="C27" s="85"/>
      <c r="D27" s="85"/>
      <c r="E27" s="85"/>
      <c r="F27" s="85"/>
      <c r="G27" s="85"/>
      <c r="H27" s="85"/>
      <c r="I27" s="138" t="str">
        <f aca="false">IFERROR(VLOOKUP(TEXT(H27,"0"),IPRESS!$A$3:$B$212,2,0),"")</f>
        <v/>
      </c>
      <c r="J27" s="85"/>
      <c r="K27" s="138" t="str">
        <f aca="false">IFERROR(VLOOKUP(TEXT(O27,"0"),CONDUCTORES!$A$3:$G$54,7,0),"")</f>
        <v/>
      </c>
      <c r="L27" s="85"/>
      <c r="M27" s="85"/>
      <c r="N27" s="139" t="str">
        <f aca="false">IFERROR(IF(L27*M27=0,"",L27*M27),"")</f>
        <v/>
      </c>
      <c r="O27" s="85"/>
      <c r="P27" s="138" t="str">
        <f aca="false">IFERROR(VLOOKUP(TEXT(O27,"0"),CONDUCTORES!$A$3:$G$54,2,0),"")</f>
        <v/>
      </c>
      <c r="Q27" s="138" t="str">
        <f aca="false">IFERROR(VLOOKUP(TEXT(O27,"0"),CONDUCTORES!$A$3:$H$54,6,0),"")</f>
        <v/>
      </c>
      <c r="R27" s="85"/>
      <c r="S27" s="85"/>
      <c r="T27" s="85"/>
      <c r="U27" s="85"/>
      <c r="V27" s="85"/>
      <c r="W27" s="85"/>
      <c r="X27" s="85"/>
      <c r="Y27" s="85"/>
      <c r="Z27" s="41" t="str">
        <f aca="false">IF(AND(G27&lt;&gt;"",R27&lt;&gt;"",V27&lt;&gt;"",W27&lt;&gt;""),"COMPLETADO","OBSERVADO")</f>
        <v>OBSERVADO</v>
      </c>
      <c r="AA27" s="89"/>
    </row>
    <row r="28" customFormat="false" ht="15.75" hidden="false" customHeight="true" outlineLevel="0" collapsed="false">
      <c r="A28" s="140"/>
      <c r="B28" s="140"/>
      <c r="C28" s="140"/>
      <c r="D28" s="140"/>
      <c r="E28" s="140"/>
      <c r="F28" s="140"/>
      <c r="G28" s="140"/>
      <c r="H28" s="140"/>
      <c r="I28" s="138" t="str">
        <f aca="false">IFERROR(VLOOKUP(TEXT(H28,"0"),IPRESS!$A$3:$B$212,2,0),"")</f>
        <v/>
      </c>
      <c r="J28" s="140"/>
      <c r="K28" s="138" t="str">
        <f aca="false">IFERROR(VLOOKUP(TEXT(O28,"0"),CONDUCTORES!$A$3:$G$54,7,0),"")</f>
        <v/>
      </c>
      <c r="L28" s="140"/>
      <c r="M28" s="140"/>
      <c r="N28" s="139" t="str">
        <f aca="false">IFERROR(IF(L28*M28=0,"",L28*M28),"")</f>
        <v/>
      </c>
      <c r="O28" s="140"/>
      <c r="P28" s="138" t="str">
        <f aca="false">IFERROR(VLOOKUP(TEXT(O28,"0"),CONDUCTORES!$A$3:$G$54,2,0),"")</f>
        <v/>
      </c>
      <c r="Q28" s="138" t="str">
        <f aca="false">IFERROR(VLOOKUP(TEXT(O28,"0"),CONDUCTORES!$A$3:$H$54,6,0),"")</f>
        <v/>
      </c>
      <c r="R28" s="140"/>
      <c r="S28" s="140"/>
      <c r="T28" s="140"/>
      <c r="U28" s="140"/>
      <c r="V28" s="140"/>
      <c r="W28" s="140"/>
      <c r="X28" s="140"/>
      <c r="Y28" s="140"/>
      <c r="Z28" s="47" t="str">
        <f aca="false">IF(AND(G28&lt;&gt;"",R28&lt;&gt;"",V28&lt;&gt;"",W28&lt;&gt;""),"COMPLETADO","OBSERVADO")</f>
        <v>OBSERVADO</v>
      </c>
      <c r="AA28" s="89"/>
    </row>
    <row r="29" customFormat="false" ht="15.75" hidden="false" customHeight="true" outlineLevel="0" collapsed="false">
      <c r="A29" s="85"/>
      <c r="B29" s="85"/>
      <c r="C29" s="85"/>
      <c r="D29" s="85"/>
      <c r="E29" s="85"/>
      <c r="F29" s="85"/>
      <c r="G29" s="85"/>
      <c r="H29" s="85"/>
      <c r="I29" s="138" t="str">
        <f aca="false">IFERROR(VLOOKUP(TEXT(H29,"0"),IPRESS!$A$3:$B$212,2,0),"")</f>
        <v/>
      </c>
      <c r="J29" s="85"/>
      <c r="K29" s="138" t="str">
        <f aca="false">IFERROR(VLOOKUP(TEXT(O29,"0"),CONDUCTORES!$A$3:$G$54,7,0),"")</f>
        <v/>
      </c>
      <c r="L29" s="85"/>
      <c r="M29" s="85"/>
      <c r="N29" s="139" t="str">
        <f aca="false">IFERROR(IF(L29*M29=0,"",L29*M29),"")</f>
        <v/>
      </c>
      <c r="O29" s="85"/>
      <c r="P29" s="138" t="str">
        <f aca="false">IFERROR(VLOOKUP(TEXT(O29,"0"),CONDUCTORES!$A$3:$G$54,2,0),"")</f>
        <v/>
      </c>
      <c r="Q29" s="138" t="str">
        <f aca="false">IFERROR(VLOOKUP(TEXT(O29,"0"),CONDUCTORES!$A$3:$H$54,6,0),"")</f>
        <v/>
      </c>
      <c r="R29" s="85"/>
      <c r="S29" s="85"/>
      <c r="T29" s="85"/>
      <c r="U29" s="85"/>
      <c r="V29" s="85"/>
      <c r="W29" s="85"/>
      <c r="X29" s="85"/>
      <c r="Y29" s="85"/>
      <c r="Z29" s="41" t="str">
        <f aca="false">IF(AND(G29&lt;&gt;"",R29&lt;&gt;"",V29&lt;&gt;"",W29&lt;&gt;""),"COMPLETADO","OBSERVADO")</f>
        <v>OBSERVADO</v>
      </c>
      <c r="AA29" s="89"/>
    </row>
    <row r="30" customFormat="false" ht="15.75" hidden="false" customHeight="true" outlineLevel="0" collapsed="false">
      <c r="A30" s="140"/>
      <c r="B30" s="140"/>
      <c r="C30" s="140"/>
      <c r="D30" s="140"/>
      <c r="E30" s="140"/>
      <c r="F30" s="140"/>
      <c r="G30" s="140"/>
      <c r="H30" s="140"/>
      <c r="I30" s="138" t="str">
        <f aca="false">IFERROR(VLOOKUP(TEXT(H30,"0"),IPRESS!$A$3:$B$212,2,0),"")</f>
        <v/>
      </c>
      <c r="J30" s="140"/>
      <c r="K30" s="138" t="str">
        <f aca="false">IFERROR(VLOOKUP(TEXT(O30,"0"),CONDUCTORES!$A$3:$G$54,7,0),"")</f>
        <v/>
      </c>
      <c r="L30" s="140"/>
      <c r="M30" s="140"/>
      <c r="N30" s="139" t="str">
        <f aca="false">IFERROR(IF(L30*M30=0,"",L30*M30),"")</f>
        <v/>
      </c>
      <c r="O30" s="140"/>
      <c r="P30" s="138" t="str">
        <f aca="false">IFERROR(VLOOKUP(TEXT(O30,"0"),CONDUCTORES!$A$3:$G$54,2,0),"")</f>
        <v/>
      </c>
      <c r="Q30" s="138" t="str">
        <f aca="false">IFERROR(VLOOKUP(TEXT(O30,"0"),CONDUCTORES!$A$3:$H$54,6,0),"")</f>
        <v/>
      </c>
      <c r="R30" s="140"/>
      <c r="S30" s="140"/>
      <c r="T30" s="140"/>
      <c r="U30" s="140"/>
      <c r="V30" s="140"/>
      <c r="W30" s="140"/>
      <c r="X30" s="140"/>
      <c r="Y30" s="140"/>
      <c r="Z30" s="47" t="str">
        <f aca="false">IF(AND(G30&lt;&gt;"",R30&lt;&gt;"",V30&lt;&gt;"",W30&lt;&gt;""),"COMPLETADO","OBSERVADO")</f>
        <v>OBSERVADO</v>
      </c>
      <c r="AA30" s="89"/>
    </row>
    <row r="31" customFormat="false" ht="15.75" hidden="false" customHeight="true" outlineLevel="0" collapsed="false">
      <c r="A31" s="85"/>
      <c r="B31" s="85"/>
      <c r="C31" s="85"/>
      <c r="D31" s="85"/>
      <c r="E31" s="85"/>
      <c r="F31" s="85"/>
      <c r="G31" s="85"/>
      <c r="H31" s="85"/>
      <c r="I31" s="138" t="str">
        <f aca="false">IFERROR(VLOOKUP(TEXT(H31,"0"),IPRESS!$A$3:$B$212,2,0),"")</f>
        <v/>
      </c>
      <c r="J31" s="85"/>
      <c r="K31" s="138" t="str">
        <f aca="false">IFERROR(VLOOKUP(TEXT(O31,"0"),CONDUCTORES!$A$3:$G$54,7,0),"")</f>
        <v/>
      </c>
      <c r="L31" s="85"/>
      <c r="M31" s="85"/>
      <c r="N31" s="139" t="str">
        <f aca="false">IFERROR(IF(L31*M31=0,"",L31*M31),"")</f>
        <v/>
      </c>
      <c r="O31" s="85"/>
      <c r="P31" s="138" t="str">
        <f aca="false">IFERROR(VLOOKUP(TEXT(O31,"0"),CONDUCTORES!$A$3:$G$54,2,0),"")</f>
        <v/>
      </c>
      <c r="Q31" s="138" t="str">
        <f aca="false">IFERROR(VLOOKUP(TEXT(O31,"0"),CONDUCTORES!$A$3:$H$54,6,0),"")</f>
        <v/>
      </c>
      <c r="R31" s="85"/>
      <c r="S31" s="85"/>
      <c r="T31" s="85"/>
      <c r="U31" s="85"/>
      <c r="V31" s="85"/>
      <c r="W31" s="85"/>
      <c r="X31" s="85"/>
      <c r="Y31" s="85"/>
      <c r="Z31" s="41" t="str">
        <f aca="false">IF(AND(G31&lt;&gt;"",R31&lt;&gt;"",V31&lt;&gt;"",W31&lt;&gt;""),"COMPLETADO","OBSERVADO")</f>
        <v>OBSERVADO</v>
      </c>
      <c r="AA31" s="89"/>
    </row>
    <row r="32" customFormat="false" ht="15.75" hidden="false" customHeight="true" outlineLevel="0" collapsed="false">
      <c r="A32" s="140"/>
      <c r="B32" s="140"/>
      <c r="C32" s="140"/>
      <c r="D32" s="140"/>
      <c r="E32" s="140"/>
      <c r="F32" s="140"/>
      <c r="G32" s="140"/>
      <c r="H32" s="140"/>
      <c r="I32" s="138" t="str">
        <f aca="false">IFERROR(VLOOKUP(TEXT(H32,"0"),IPRESS!$A$3:$B$212,2,0),"")</f>
        <v/>
      </c>
      <c r="J32" s="140"/>
      <c r="K32" s="138" t="str">
        <f aca="false">IFERROR(VLOOKUP(TEXT(O32,"0"),CONDUCTORES!$A$3:$G$54,7,0),"")</f>
        <v/>
      </c>
      <c r="L32" s="140"/>
      <c r="M32" s="140"/>
      <c r="N32" s="139" t="str">
        <f aca="false">IFERROR(IF(L32*M32=0,"",L32*M32),"")</f>
        <v/>
      </c>
      <c r="O32" s="140"/>
      <c r="P32" s="138" t="str">
        <f aca="false">IFERROR(VLOOKUP(TEXT(O32,"0"),CONDUCTORES!$A$3:$G$54,2,0),"")</f>
        <v/>
      </c>
      <c r="Q32" s="138" t="str">
        <f aca="false">IFERROR(VLOOKUP(TEXT(O32,"0"),CONDUCTORES!$A$3:$H$54,6,0),"")</f>
        <v/>
      </c>
      <c r="R32" s="140"/>
      <c r="S32" s="140"/>
      <c r="T32" s="140"/>
      <c r="U32" s="140"/>
      <c r="V32" s="140"/>
      <c r="W32" s="140"/>
      <c r="X32" s="140"/>
      <c r="Y32" s="140"/>
      <c r="Z32" s="47" t="str">
        <f aca="false">IF(AND(G32&lt;&gt;"",R32&lt;&gt;"",V32&lt;&gt;"",W32&lt;&gt;""),"COMPLETADO","OBSERVADO")</f>
        <v>OBSERVADO</v>
      </c>
      <c r="AA32" s="89"/>
    </row>
    <row r="33" customFormat="false" ht="15.75" hidden="false" customHeight="true" outlineLevel="0" collapsed="false">
      <c r="A33" s="85"/>
      <c r="B33" s="85"/>
      <c r="C33" s="85"/>
      <c r="D33" s="85"/>
      <c r="E33" s="85"/>
      <c r="F33" s="85"/>
      <c r="G33" s="85"/>
      <c r="H33" s="85"/>
      <c r="I33" s="138" t="str">
        <f aca="false">IFERROR(VLOOKUP(TEXT(H33,"0"),IPRESS!$A$3:$B$212,2,0),"")</f>
        <v/>
      </c>
      <c r="J33" s="85"/>
      <c r="K33" s="138" t="str">
        <f aca="false">IFERROR(VLOOKUP(TEXT(O33,"0"),CONDUCTORES!$A$3:$G$54,7,0),"")</f>
        <v/>
      </c>
      <c r="L33" s="85"/>
      <c r="M33" s="85"/>
      <c r="N33" s="139" t="str">
        <f aca="false">IFERROR(IF(L33*M33=0,"",L33*M33),"")</f>
        <v/>
      </c>
      <c r="O33" s="85"/>
      <c r="P33" s="138" t="str">
        <f aca="false">IFERROR(VLOOKUP(TEXT(O33,"0"),CONDUCTORES!$A$3:$G$54,2,0),"")</f>
        <v/>
      </c>
      <c r="Q33" s="138" t="str">
        <f aca="false">IFERROR(VLOOKUP(TEXT(O33,"0"),CONDUCTORES!$A$3:$H$54,6,0),"")</f>
        <v/>
      </c>
      <c r="R33" s="85"/>
      <c r="S33" s="85"/>
      <c r="T33" s="85"/>
      <c r="U33" s="85"/>
      <c r="V33" s="85"/>
      <c r="W33" s="85"/>
      <c r="X33" s="85"/>
      <c r="Y33" s="85"/>
      <c r="Z33" s="41" t="str">
        <f aca="false">IF(AND(G33&lt;&gt;"",R33&lt;&gt;"",V33&lt;&gt;"",W33&lt;&gt;""),"COMPLETADO","OBSERVADO")</f>
        <v>OBSERVADO</v>
      </c>
      <c r="AA33" s="89"/>
    </row>
    <row r="34" customFormat="false" ht="15.75" hidden="false" customHeight="true" outlineLevel="0" collapsed="false">
      <c r="A34" s="140"/>
      <c r="B34" s="140"/>
      <c r="C34" s="140"/>
      <c r="D34" s="140"/>
      <c r="E34" s="140"/>
      <c r="F34" s="140"/>
      <c r="G34" s="140"/>
      <c r="H34" s="140"/>
      <c r="I34" s="138" t="str">
        <f aca="false">IFERROR(VLOOKUP(TEXT(H34,"0"),IPRESS!$A$3:$B$212,2,0),"")</f>
        <v/>
      </c>
      <c r="J34" s="140"/>
      <c r="K34" s="138" t="str">
        <f aca="false">IFERROR(VLOOKUP(TEXT(O34,"0"),CONDUCTORES!$A$3:$G$54,7,0),"")</f>
        <v/>
      </c>
      <c r="L34" s="140"/>
      <c r="M34" s="140"/>
      <c r="N34" s="139" t="str">
        <f aca="false">IFERROR(IF(L34*M34=0,"",L34*M34),"")</f>
        <v/>
      </c>
      <c r="O34" s="140"/>
      <c r="P34" s="138" t="str">
        <f aca="false">IFERROR(VLOOKUP(TEXT(O34,"0"),CONDUCTORES!$A$3:$G$54,2,0),"")</f>
        <v/>
      </c>
      <c r="Q34" s="138" t="str">
        <f aca="false">IFERROR(VLOOKUP(TEXT(O34,"0"),CONDUCTORES!$A$3:$H$54,6,0),"")</f>
        <v/>
      </c>
      <c r="R34" s="140"/>
      <c r="S34" s="140"/>
      <c r="T34" s="140"/>
      <c r="U34" s="140"/>
      <c r="V34" s="140"/>
      <c r="W34" s="140"/>
      <c r="X34" s="140"/>
      <c r="Y34" s="140"/>
      <c r="Z34" s="47" t="str">
        <f aca="false">IF(AND(G34&lt;&gt;"",R34&lt;&gt;"",V34&lt;&gt;"",W34&lt;&gt;""),"COMPLETADO","OBSERVADO")</f>
        <v>OBSERVADO</v>
      </c>
      <c r="AA34" s="89"/>
    </row>
    <row r="35" customFormat="false" ht="15.75" hidden="false" customHeight="true" outlineLevel="0" collapsed="false">
      <c r="A35" s="85"/>
      <c r="B35" s="85"/>
      <c r="C35" s="85"/>
      <c r="D35" s="85"/>
      <c r="E35" s="85"/>
      <c r="F35" s="85"/>
      <c r="G35" s="85"/>
      <c r="H35" s="85"/>
      <c r="I35" s="138" t="str">
        <f aca="false">IFERROR(VLOOKUP(TEXT(H35,"0"),IPRESS!$A$3:$B$212,2,0),"")</f>
        <v/>
      </c>
      <c r="J35" s="85"/>
      <c r="K35" s="138" t="str">
        <f aca="false">IFERROR(VLOOKUP(TEXT(O35,"0"),CONDUCTORES!$A$3:$G$54,7,0),"")</f>
        <v/>
      </c>
      <c r="L35" s="85"/>
      <c r="M35" s="85"/>
      <c r="N35" s="139" t="str">
        <f aca="false">IFERROR(IF(L35*M35=0,"",L35*M35),"")</f>
        <v/>
      </c>
      <c r="O35" s="85"/>
      <c r="P35" s="138" t="str">
        <f aca="false">IFERROR(VLOOKUP(TEXT(O35,"0"),CONDUCTORES!$A$3:$G$54,2,0),"")</f>
        <v/>
      </c>
      <c r="Q35" s="138" t="str">
        <f aca="false">IFERROR(VLOOKUP(TEXT(O35,"0"),CONDUCTORES!$A$3:$H$54,6,0),"")</f>
        <v/>
      </c>
      <c r="R35" s="85"/>
      <c r="S35" s="85"/>
      <c r="T35" s="85"/>
      <c r="U35" s="85"/>
      <c r="V35" s="85"/>
      <c r="W35" s="85"/>
      <c r="X35" s="85"/>
      <c r="Y35" s="85"/>
      <c r="Z35" s="41" t="str">
        <f aca="false">IF(AND(G35&lt;&gt;"",R35&lt;&gt;"",V35&lt;&gt;"",W35&lt;&gt;""),"COMPLETADO","OBSERVADO")</f>
        <v>OBSERVADO</v>
      </c>
      <c r="AA35" s="89"/>
    </row>
    <row r="36" customFormat="false" ht="15.75" hidden="false" customHeight="true" outlineLevel="0" collapsed="false">
      <c r="A36" s="140"/>
      <c r="B36" s="140"/>
      <c r="C36" s="140"/>
      <c r="D36" s="140"/>
      <c r="E36" s="140"/>
      <c r="F36" s="140"/>
      <c r="G36" s="140"/>
      <c r="H36" s="140"/>
      <c r="I36" s="138" t="str">
        <f aca="false">IFERROR(VLOOKUP(TEXT(H36,"0"),IPRESS!$A$3:$B$212,2,0),"")</f>
        <v/>
      </c>
      <c r="J36" s="140"/>
      <c r="K36" s="138" t="str">
        <f aca="false">IFERROR(VLOOKUP(TEXT(O36,"0"),CONDUCTORES!$A$3:$G$54,7,0),"")</f>
        <v/>
      </c>
      <c r="L36" s="140"/>
      <c r="M36" s="140"/>
      <c r="N36" s="139" t="str">
        <f aca="false">IFERROR(IF(L36*M36=0,"",L36*M36),"")</f>
        <v/>
      </c>
      <c r="O36" s="140"/>
      <c r="P36" s="138" t="str">
        <f aca="false">IFERROR(VLOOKUP(TEXT(O36,"0"),CONDUCTORES!$A$3:$G$54,2,0),"")</f>
        <v/>
      </c>
      <c r="Q36" s="138" t="str">
        <f aca="false">IFERROR(VLOOKUP(TEXT(O36,"0"),CONDUCTORES!$A$3:$H$54,6,0),"")</f>
        <v/>
      </c>
      <c r="R36" s="140"/>
      <c r="S36" s="140"/>
      <c r="T36" s="140"/>
      <c r="U36" s="140"/>
      <c r="V36" s="140"/>
      <c r="W36" s="140"/>
      <c r="X36" s="140"/>
      <c r="Y36" s="140"/>
      <c r="Z36" s="47" t="str">
        <f aca="false">IF(AND(G36&lt;&gt;"",R36&lt;&gt;"",V36&lt;&gt;"",W36&lt;&gt;""),"COMPLETADO","OBSERVADO")</f>
        <v>OBSERVADO</v>
      </c>
      <c r="AA36" s="89"/>
    </row>
    <row r="37" customFormat="false" ht="15.75" hidden="false" customHeight="true" outlineLevel="0" collapsed="false">
      <c r="A37" s="85"/>
      <c r="B37" s="85"/>
      <c r="C37" s="85"/>
      <c r="D37" s="85"/>
      <c r="E37" s="85"/>
      <c r="F37" s="85"/>
      <c r="G37" s="85"/>
      <c r="H37" s="85"/>
      <c r="I37" s="138" t="str">
        <f aca="false">IFERROR(VLOOKUP(TEXT(H37,"0"),IPRESS!$A$3:$B$212,2,0),"")</f>
        <v/>
      </c>
      <c r="J37" s="85"/>
      <c r="K37" s="138" t="str">
        <f aca="false">IFERROR(VLOOKUP(TEXT(O37,"0"),CONDUCTORES!$A$3:$G$54,7,0),"")</f>
        <v/>
      </c>
      <c r="L37" s="85"/>
      <c r="M37" s="85"/>
      <c r="N37" s="139" t="str">
        <f aca="false">IFERROR(IF(L37*M37=0,"",L37*M37),"")</f>
        <v/>
      </c>
      <c r="O37" s="85"/>
      <c r="P37" s="138" t="str">
        <f aca="false">IFERROR(VLOOKUP(TEXT(O37,"0"),CONDUCTORES!$A$3:$G$54,2,0),"")</f>
        <v/>
      </c>
      <c r="Q37" s="138" t="str">
        <f aca="false">IFERROR(VLOOKUP(TEXT(O37,"0"),CONDUCTORES!$A$3:$H$54,6,0),"")</f>
        <v/>
      </c>
      <c r="R37" s="85"/>
      <c r="S37" s="85"/>
      <c r="T37" s="85"/>
      <c r="U37" s="85"/>
      <c r="V37" s="85"/>
      <c r="W37" s="85"/>
      <c r="X37" s="85"/>
      <c r="Y37" s="85"/>
      <c r="Z37" s="41" t="str">
        <f aca="false">IF(AND(G37&lt;&gt;"",R37&lt;&gt;"",V37&lt;&gt;"",W37&lt;&gt;""),"COMPLETADO","OBSERVADO")</f>
        <v>OBSERVADO</v>
      </c>
      <c r="AA37" s="89"/>
    </row>
    <row r="38" customFormat="false" ht="15.75" hidden="false" customHeight="true" outlineLevel="0" collapsed="false">
      <c r="A38" s="140"/>
      <c r="B38" s="140"/>
      <c r="C38" s="140"/>
      <c r="D38" s="140"/>
      <c r="E38" s="140"/>
      <c r="F38" s="140"/>
      <c r="G38" s="140"/>
      <c r="H38" s="140"/>
      <c r="I38" s="138" t="str">
        <f aca="false">IFERROR(VLOOKUP(TEXT(H38,"0"),IPRESS!$A$3:$B$212,2,0),"")</f>
        <v/>
      </c>
      <c r="J38" s="140"/>
      <c r="K38" s="138" t="str">
        <f aca="false">IFERROR(VLOOKUP(TEXT(O38,"0"),CONDUCTORES!$A$3:$G$54,7,0),"")</f>
        <v/>
      </c>
      <c r="L38" s="140"/>
      <c r="M38" s="140"/>
      <c r="N38" s="139" t="str">
        <f aca="false">IFERROR(IF(L38*M38=0,"",L38*M38),"")</f>
        <v/>
      </c>
      <c r="O38" s="140"/>
      <c r="P38" s="138" t="str">
        <f aca="false">IFERROR(VLOOKUP(TEXT(O38,"0"),CONDUCTORES!$A$3:$G$54,2,0),"")</f>
        <v/>
      </c>
      <c r="Q38" s="138" t="str">
        <f aca="false">IFERROR(VLOOKUP(TEXT(O38,"0"),CONDUCTORES!$A$3:$H$54,6,0),"")</f>
        <v/>
      </c>
      <c r="R38" s="140"/>
      <c r="S38" s="140"/>
      <c r="T38" s="140"/>
      <c r="U38" s="140"/>
      <c r="V38" s="140"/>
      <c r="W38" s="140"/>
      <c r="X38" s="140"/>
      <c r="Y38" s="140"/>
      <c r="Z38" s="47" t="str">
        <f aca="false">IF(AND(G38&lt;&gt;"",R38&lt;&gt;"",V38&lt;&gt;"",W38&lt;&gt;""),"COMPLETADO","OBSERVADO")</f>
        <v>OBSERVADO</v>
      </c>
      <c r="AA38" s="89"/>
    </row>
    <row r="39" customFormat="false" ht="15.75" hidden="false" customHeight="true" outlineLevel="0" collapsed="false">
      <c r="A39" s="85"/>
      <c r="B39" s="85"/>
      <c r="C39" s="85"/>
      <c r="D39" s="85"/>
      <c r="E39" s="85"/>
      <c r="F39" s="85"/>
      <c r="G39" s="85"/>
      <c r="H39" s="85"/>
      <c r="I39" s="138" t="str">
        <f aca="false">IFERROR(VLOOKUP(TEXT(H39,"0"),IPRESS!$A$3:$B$212,2,0),"")</f>
        <v/>
      </c>
      <c r="J39" s="85"/>
      <c r="K39" s="138" t="str">
        <f aca="false">IFERROR(VLOOKUP(TEXT(O39,"0"),CONDUCTORES!$A$3:$G$54,7,0),"")</f>
        <v/>
      </c>
      <c r="L39" s="85"/>
      <c r="M39" s="85"/>
      <c r="N39" s="139" t="str">
        <f aca="false">IFERROR(IF(L39*M39=0,"",L39*M39),"")</f>
        <v/>
      </c>
      <c r="O39" s="85"/>
      <c r="P39" s="138" t="str">
        <f aca="false">IFERROR(VLOOKUP(TEXT(O39,"0"),CONDUCTORES!$A$3:$G$54,2,0),"")</f>
        <v/>
      </c>
      <c r="Q39" s="138" t="str">
        <f aca="false">IFERROR(VLOOKUP(TEXT(O39,"0"),CONDUCTORES!$A$3:$H$54,6,0),"")</f>
        <v/>
      </c>
      <c r="R39" s="85"/>
      <c r="S39" s="85"/>
      <c r="T39" s="85"/>
      <c r="U39" s="85"/>
      <c r="V39" s="85"/>
      <c r="W39" s="85"/>
      <c r="X39" s="85"/>
      <c r="Y39" s="85"/>
      <c r="Z39" s="41" t="str">
        <f aca="false">IF(AND(G39&lt;&gt;"",R39&lt;&gt;"",V39&lt;&gt;"",W39&lt;&gt;""),"COMPLETADO","OBSERVADO")</f>
        <v>OBSERVADO</v>
      </c>
      <c r="AA39" s="89"/>
    </row>
    <row r="40" customFormat="false" ht="15.75" hidden="false" customHeight="true" outlineLevel="0" collapsed="false">
      <c r="A40" s="140"/>
      <c r="B40" s="140"/>
      <c r="C40" s="140"/>
      <c r="D40" s="140"/>
      <c r="E40" s="140"/>
      <c r="F40" s="140"/>
      <c r="G40" s="140"/>
      <c r="H40" s="140"/>
      <c r="I40" s="138" t="str">
        <f aca="false">IFERROR(VLOOKUP(TEXT(H40,"0"),IPRESS!$A$3:$B$212,2,0),"")</f>
        <v/>
      </c>
      <c r="J40" s="140"/>
      <c r="K40" s="138" t="str">
        <f aca="false">IFERROR(VLOOKUP(TEXT(O40,"0"),CONDUCTORES!$A$3:$G$54,7,0),"")</f>
        <v/>
      </c>
      <c r="L40" s="140"/>
      <c r="M40" s="140"/>
      <c r="N40" s="139" t="str">
        <f aca="false">IFERROR(IF(L40*M40=0,"",L40*M40),"")</f>
        <v/>
      </c>
      <c r="O40" s="140"/>
      <c r="P40" s="138" t="str">
        <f aca="false">IFERROR(VLOOKUP(TEXT(O40,"0"),CONDUCTORES!$A$3:$G$54,2,0),"")</f>
        <v/>
      </c>
      <c r="Q40" s="138" t="str">
        <f aca="false">IFERROR(VLOOKUP(TEXT(O40,"0"),CONDUCTORES!$A$3:$H$54,6,0),"")</f>
        <v/>
      </c>
      <c r="R40" s="140"/>
      <c r="S40" s="140"/>
      <c r="T40" s="140"/>
      <c r="U40" s="140"/>
      <c r="V40" s="140"/>
      <c r="W40" s="140"/>
      <c r="X40" s="140"/>
      <c r="Y40" s="140"/>
      <c r="Z40" s="47" t="str">
        <f aca="false">IF(AND(G40&lt;&gt;"",R40&lt;&gt;"",V40&lt;&gt;"",W40&lt;&gt;""),"COMPLETADO","OBSERVADO")</f>
        <v>OBSERVADO</v>
      </c>
      <c r="AA40" s="89"/>
    </row>
    <row r="41" customFormat="false" ht="15.75" hidden="false" customHeight="true" outlineLevel="0" collapsed="false">
      <c r="A41" s="85"/>
      <c r="B41" s="85"/>
      <c r="C41" s="85"/>
      <c r="D41" s="85"/>
      <c r="E41" s="85"/>
      <c r="F41" s="85"/>
      <c r="G41" s="85"/>
      <c r="H41" s="85"/>
      <c r="I41" s="138" t="str">
        <f aca="false">IFERROR(VLOOKUP(TEXT(H41,"0"),IPRESS!$A$3:$B$212,2,0),"")</f>
        <v/>
      </c>
      <c r="J41" s="85"/>
      <c r="K41" s="138" t="str">
        <f aca="false">IFERROR(VLOOKUP(TEXT(O41,"0"),CONDUCTORES!$A$3:$G$54,7,0),"")</f>
        <v/>
      </c>
      <c r="L41" s="85"/>
      <c r="M41" s="85"/>
      <c r="N41" s="139" t="str">
        <f aca="false">IFERROR(IF(L41*M41=0,"",L41*M41),"")</f>
        <v/>
      </c>
      <c r="O41" s="85"/>
      <c r="P41" s="138" t="str">
        <f aca="false">IFERROR(VLOOKUP(TEXT(O41,"0"),CONDUCTORES!$A$3:$G$54,2,0),"")</f>
        <v/>
      </c>
      <c r="Q41" s="138" t="str">
        <f aca="false">IFERROR(VLOOKUP(TEXT(O41,"0"),CONDUCTORES!$A$3:$H$54,6,0),"")</f>
        <v/>
      </c>
      <c r="R41" s="85"/>
      <c r="S41" s="85"/>
      <c r="T41" s="85"/>
      <c r="U41" s="85"/>
      <c r="V41" s="85"/>
      <c r="W41" s="85"/>
      <c r="X41" s="85"/>
      <c r="Y41" s="85"/>
      <c r="Z41" s="41" t="str">
        <f aca="false">IF(AND(G41&lt;&gt;"",R41&lt;&gt;"",V41&lt;&gt;"",W41&lt;&gt;""),"COMPLETADO","OBSERVADO")</f>
        <v>OBSERVADO</v>
      </c>
      <c r="AA41" s="89"/>
    </row>
    <row r="42" customFormat="false" ht="15.75" hidden="false" customHeight="true" outlineLevel="0" collapsed="false">
      <c r="A42" s="140"/>
      <c r="B42" s="140"/>
      <c r="C42" s="140"/>
      <c r="D42" s="140"/>
      <c r="E42" s="140"/>
      <c r="F42" s="140"/>
      <c r="G42" s="140"/>
      <c r="H42" s="140"/>
      <c r="I42" s="138" t="str">
        <f aca="false">IFERROR(VLOOKUP(TEXT(H42,"0"),IPRESS!$A$3:$B$212,2,0),"")</f>
        <v/>
      </c>
      <c r="J42" s="140"/>
      <c r="K42" s="138" t="str">
        <f aca="false">IFERROR(VLOOKUP(TEXT(O42,"0"),CONDUCTORES!$A$3:$G$54,7,0),"")</f>
        <v/>
      </c>
      <c r="L42" s="140"/>
      <c r="M42" s="140"/>
      <c r="N42" s="139" t="str">
        <f aca="false">IFERROR(IF(L42*M42=0,"",L42*M42),"")</f>
        <v/>
      </c>
      <c r="O42" s="140"/>
      <c r="P42" s="138" t="str">
        <f aca="false">IFERROR(VLOOKUP(TEXT(O42,"0"),CONDUCTORES!$A$3:$G$54,2,0),"")</f>
        <v/>
      </c>
      <c r="Q42" s="138" t="str">
        <f aca="false">IFERROR(VLOOKUP(TEXT(O42,"0"),CONDUCTORES!$A$3:$H$54,6,0),"")</f>
        <v/>
      </c>
      <c r="R42" s="140"/>
      <c r="S42" s="140"/>
      <c r="T42" s="140"/>
      <c r="U42" s="140"/>
      <c r="V42" s="140"/>
      <c r="W42" s="140"/>
      <c r="X42" s="140"/>
      <c r="Y42" s="140"/>
      <c r="Z42" s="47" t="str">
        <f aca="false">IF(AND(G42&lt;&gt;"",R42&lt;&gt;"",V42&lt;&gt;"",W42&lt;&gt;""),"COMPLETADO","OBSERVADO")</f>
        <v>OBSERVADO</v>
      </c>
      <c r="AA42" s="89"/>
    </row>
    <row r="43" customFormat="false" ht="15.75" hidden="false" customHeight="true" outlineLevel="0" collapsed="false">
      <c r="A43" s="85"/>
      <c r="B43" s="85"/>
      <c r="C43" s="85"/>
      <c r="D43" s="85"/>
      <c r="E43" s="85"/>
      <c r="F43" s="85"/>
      <c r="G43" s="85"/>
      <c r="H43" s="85"/>
      <c r="I43" s="138" t="str">
        <f aca="false">IFERROR(VLOOKUP(TEXT(H43,"0"),IPRESS!$A$3:$B$212,2,0),"")</f>
        <v/>
      </c>
      <c r="J43" s="85"/>
      <c r="K43" s="138" t="str">
        <f aca="false">IFERROR(VLOOKUP(TEXT(O43,"0"),CONDUCTORES!$A$3:$G$54,7,0),"")</f>
        <v/>
      </c>
      <c r="L43" s="85"/>
      <c r="M43" s="85"/>
      <c r="N43" s="139" t="str">
        <f aca="false">IFERROR(IF(L43*M43=0,"",L43*M43),"")</f>
        <v/>
      </c>
      <c r="O43" s="85"/>
      <c r="P43" s="138" t="str">
        <f aca="false">IFERROR(VLOOKUP(TEXT(O43,"0"),CONDUCTORES!$A$3:$G$54,2,0),"")</f>
        <v/>
      </c>
      <c r="Q43" s="138" t="str">
        <f aca="false">IFERROR(VLOOKUP(TEXT(O43,"0"),CONDUCTORES!$A$3:$H$54,6,0),"")</f>
        <v/>
      </c>
      <c r="R43" s="85"/>
      <c r="S43" s="85"/>
      <c r="T43" s="85"/>
      <c r="U43" s="85"/>
      <c r="V43" s="85"/>
      <c r="W43" s="85"/>
      <c r="X43" s="85"/>
      <c r="Y43" s="85"/>
      <c r="Z43" s="41" t="str">
        <f aca="false">IF(AND(G43&lt;&gt;"",R43&lt;&gt;"",V43&lt;&gt;"",W43&lt;&gt;""),"COMPLETADO","OBSERVADO")</f>
        <v>OBSERVADO</v>
      </c>
      <c r="AA43" s="89"/>
    </row>
    <row r="44" customFormat="false" ht="15.75" hidden="false" customHeight="true" outlineLevel="0" collapsed="false">
      <c r="A44" s="140"/>
      <c r="B44" s="140"/>
      <c r="C44" s="140"/>
      <c r="D44" s="140"/>
      <c r="E44" s="140"/>
      <c r="F44" s="140"/>
      <c r="G44" s="140"/>
      <c r="H44" s="140"/>
      <c r="I44" s="138" t="str">
        <f aca="false">IFERROR(VLOOKUP(TEXT(H44,"0"),IPRESS!$A$3:$B$212,2,0),"")</f>
        <v/>
      </c>
      <c r="J44" s="140"/>
      <c r="K44" s="138" t="str">
        <f aca="false">IFERROR(VLOOKUP(TEXT(O44,"0"),CONDUCTORES!$A$3:$G$54,7,0),"")</f>
        <v/>
      </c>
      <c r="L44" s="140"/>
      <c r="M44" s="140"/>
      <c r="N44" s="139" t="str">
        <f aca="false">IFERROR(IF(L44*M44=0,"",L44*M44),"")</f>
        <v/>
      </c>
      <c r="O44" s="140"/>
      <c r="P44" s="138" t="str">
        <f aca="false">IFERROR(VLOOKUP(TEXT(O44,"0"),CONDUCTORES!$A$3:$G$54,2,0),"")</f>
        <v/>
      </c>
      <c r="Q44" s="138" t="str">
        <f aca="false">IFERROR(VLOOKUP(TEXT(O44,"0"),CONDUCTORES!$A$3:$H$54,6,0),"")</f>
        <v/>
      </c>
      <c r="R44" s="140"/>
      <c r="S44" s="140"/>
      <c r="T44" s="140"/>
      <c r="U44" s="140"/>
      <c r="V44" s="140"/>
      <c r="W44" s="140"/>
      <c r="X44" s="140"/>
      <c r="Y44" s="140"/>
      <c r="Z44" s="47" t="str">
        <f aca="false">IF(AND(G44&lt;&gt;"",R44&lt;&gt;"",V44&lt;&gt;"",W44&lt;&gt;""),"COMPLETADO","OBSERVADO")</f>
        <v>OBSERVADO</v>
      </c>
      <c r="AA44" s="89"/>
    </row>
    <row r="45" customFormat="false" ht="15.75" hidden="false" customHeight="true" outlineLevel="0" collapsed="false">
      <c r="A45" s="85"/>
      <c r="B45" s="85"/>
      <c r="C45" s="85"/>
      <c r="D45" s="85"/>
      <c r="E45" s="85"/>
      <c r="F45" s="85"/>
      <c r="G45" s="85"/>
      <c r="H45" s="85"/>
      <c r="I45" s="138" t="str">
        <f aca="false">IFERROR(VLOOKUP(TEXT(H45,"0"),IPRESS!$A$3:$B$212,2,0),"")</f>
        <v/>
      </c>
      <c r="J45" s="85"/>
      <c r="K45" s="138" t="str">
        <f aca="false">IFERROR(VLOOKUP(TEXT(O45,"0"),CONDUCTORES!$A$3:$G$54,7,0),"")</f>
        <v/>
      </c>
      <c r="L45" s="85"/>
      <c r="M45" s="85"/>
      <c r="N45" s="139" t="str">
        <f aca="false">IFERROR(IF(L45*M45=0,"",L45*M45),"")</f>
        <v/>
      </c>
      <c r="O45" s="85"/>
      <c r="P45" s="138" t="str">
        <f aca="false">IFERROR(VLOOKUP(TEXT(O45,"0"),CONDUCTORES!$A$3:$G$54,2,0),"")</f>
        <v/>
      </c>
      <c r="Q45" s="138" t="str">
        <f aca="false">IFERROR(VLOOKUP(TEXT(O45,"0"),CONDUCTORES!$A$3:$H$54,6,0),"")</f>
        <v/>
      </c>
      <c r="R45" s="85"/>
      <c r="S45" s="85"/>
      <c r="T45" s="85"/>
      <c r="U45" s="85"/>
      <c r="V45" s="85"/>
      <c r="W45" s="85"/>
      <c r="X45" s="85"/>
      <c r="Y45" s="85"/>
      <c r="Z45" s="41" t="str">
        <f aca="false">IF(AND(G45&lt;&gt;"",R45&lt;&gt;"",V45&lt;&gt;"",W45&lt;&gt;""),"COMPLETADO","OBSERVADO")</f>
        <v>OBSERVADO</v>
      </c>
      <c r="AA45" s="89"/>
    </row>
    <row r="46" customFormat="false" ht="15.75" hidden="false" customHeight="true" outlineLevel="0" collapsed="false">
      <c r="A46" s="140"/>
      <c r="B46" s="140"/>
      <c r="C46" s="140"/>
      <c r="D46" s="140"/>
      <c r="E46" s="140"/>
      <c r="F46" s="140"/>
      <c r="G46" s="140"/>
      <c r="H46" s="140"/>
      <c r="I46" s="138" t="str">
        <f aca="false">IFERROR(VLOOKUP(TEXT(H46,"0"),IPRESS!$A$3:$B$212,2,0),"")</f>
        <v/>
      </c>
      <c r="J46" s="140"/>
      <c r="K46" s="138" t="str">
        <f aca="false">IFERROR(VLOOKUP(TEXT(O46,"0"),CONDUCTORES!$A$3:$G$54,7,0),"")</f>
        <v/>
      </c>
      <c r="L46" s="140"/>
      <c r="M46" s="140"/>
      <c r="N46" s="139" t="str">
        <f aca="false">IFERROR(IF(L46*M46=0,"",L46*M46),"")</f>
        <v/>
      </c>
      <c r="O46" s="140"/>
      <c r="P46" s="138" t="str">
        <f aca="false">IFERROR(VLOOKUP(TEXT(O46,"0"),CONDUCTORES!$A$3:$G$54,2,0),"")</f>
        <v/>
      </c>
      <c r="Q46" s="138" t="str">
        <f aca="false">IFERROR(VLOOKUP(TEXT(O46,"0"),CONDUCTORES!$A$3:$H$54,6,0),"")</f>
        <v/>
      </c>
      <c r="R46" s="140"/>
      <c r="S46" s="140"/>
      <c r="T46" s="140"/>
      <c r="U46" s="140"/>
      <c r="V46" s="140"/>
      <c r="W46" s="140"/>
      <c r="X46" s="140"/>
      <c r="Y46" s="140"/>
      <c r="Z46" s="47" t="str">
        <f aca="false">IF(AND(G46&lt;&gt;"",R46&lt;&gt;"",V46&lt;&gt;"",W46&lt;&gt;""),"COMPLETADO","OBSERVADO")</f>
        <v>OBSERVADO</v>
      </c>
      <c r="AA46" s="89"/>
    </row>
    <row r="47" customFormat="false" ht="15.75" hidden="false" customHeight="true" outlineLevel="0" collapsed="false">
      <c r="A47" s="85"/>
      <c r="B47" s="85"/>
      <c r="C47" s="85"/>
      <c r="D47" s="85"/>
      <c r="E47" s="85"/>
      <c r="F47" s="85"/>
      <c r="G47" s="85"/>
      <c r="H47" s="85"/>
      <c r="I47" s="138" t="str">
        <f aca="false">IFERROR(VLOOKUP(TEXT(H47,"0"),IPRESS!$A$3:$B$212,2,0),"")</f>
        <v/>
      </c>
      <c r="J47" s="85"/>
      <c r="K47" s="138" t="str">
        <f aca="false">IFERROR(VLOOKUP(TEXT(O47,"0"),CONDUCTORES!$A$3:$G$54,7,0),"")</f>
        <v/>
      </c>
      <c r="L47" s="85"/>
      <c r="M47" s="85"/>
      <c r="N47" s="139" t="str">
        <f aca="false">IFERROR(IF(L47*M47=0,"",L47*M47),"")</f>
        <v/>
      </c>
      <c r="O47" s="85"/>
      <c r="P47" s="138" t="str">
        <f aca="false">IFERROR(VLOOKUP(TEXT(O47,"0"),CONDUCTORES!$A$3:$G$54,2,0),"")</f>
        <v/>
      </c>
      <c r="Q47" s="138" t="str">
        <f aca="false">IFERROR(VLOOKUP(TEXT(O47,"0"),CONDUCTORES!$A$3:$H$54,6,0),"")</f>
        <v/>
      </c>
      <c r="R47" s="85"/>
      <c r="S47" s="85"/>
      <c r="T47" s="85"/>
      <c r="U47" s="85"/>
      <c r="V47" s="85"/>
      <c r="W47" s="85"/>
      <c r="X47" s="85"/>
      <c r="Y47" s="85"/>
      <c r="Z47" s="41" t="str">
        <f aca="false">IF(AND(G47&lt;&gt;"",R47&lt;&gt;"",V47&lt;&gt;"",W47&lt;&gt;""),"COMPLETADO","OBSERVADO")</f>
        <v>OBSERVADO</v>
      </c>
      <c r="AA47" s="89"/>
    </row>
    <row r="48" customFormat="false" ht="15.75" hidden="false" customHeight="true" outlineLevel="0" collapsed="false">
      <c r="A48" s="140"/>
      <c r="B48" s="140"/>
      <c r="C48" s="140"/>
      <c r="D48" s="140"/>
      <c r="E48" s="140"/>
      <c r="F48" s="140"/>
      <c r="G48" s="140"/>
      <c r="H48" s="140"/>
      <c r="I48" s="138" t="str">
        <f aca="false">IFERROR(VLOOKUP(TEXT(H48,"0"),IPRESS!$A$3:$B$212,2,0),"")</f>
        <v/>
      </c>
      <c r="J48" s="140"/>
      <c r="K48" s="138" t="str">
        <f aca="false">IFERROR(VLOOKUP(TEXT(O48,"0"),CONDUCTORES!$A$3:$G$54,7,0),"")</f>
        <v/>
      </c>
      <c r="L48" s="140"/>
      <c r="M48" s="140"/>
      <c r="N48" s="139" t="str">
        <f aca="false">IFERROR(IF(L48*M48=0,"",L48*M48),"")</f>
        <v/>
      </c>
      <c r="O48" s="140"/>
      <c r="P48" s="138" t="str">
        <f aca="false">IFERROR(VLOOKUP(TEXT(O48,"0"),CONDUCTORES!$A$3:$G$54,2,0),"")</f>
        <v/>
      </c>
      <c r="Q48" s="138" t="str">
        <f aca="false">IFERROR(VLOOKUP(TEXT(O48,"0"),CONDUCTORES!$A$3:$H$54,6,0),"")</f>
        <v/>
      </c>
      <c r="R48" s="140"/>
      <c r="S48" s="140"/>
      <c r="T48" s="140"/>
      <c r="U48" s="140"/>
      <c r="V48" s="140"/>
      <c r="W48" s="140"/>
      <c r="X48" s="140"/>
      <c r="Y48" s="140"/>
      <c r="Z48" s="47" t="str">
        <f aca="false">IF(AND(G48&lt;&gt;"",R48&lt;&gt;"",V48&lt;&gt;"",W48&lt;&gt;""),"COMPLETADO","OBSERVADO")</f>
        <v>OBSERVADO</v>
      </c>
      <c r="AA48" s="89"/>
    </row>
    <row r="49" customFormat="false" ht="15.75" hidden="false" customHeight="true" outlineLevel="0" collapsed="false">
      <c r="A49" s="85"/>
      <c r="B49" s="85"/>
      <c r="C49" s="85"/>
      <c r="D49" s="85"/>
      <c r="E49" s="85"/>
      <c r="F49" s="85"/>
      <c r="G49" s="85"/>
      <c r="H49" s="85"/>
      <c r="I49" s="138" t="str">
        <f aca="false">IFERROR(VLOOKUP(TEXT(H49,"0"),IPRESS!$A$3:$B$212,2,0),"")</f>
        <v/>
      </c>
      <c r="J49" s="85"/>
      <c r="K49" s="138" t="str">
        <f aca="false">IFERROR(VLOOKUP(TEXT(O49,"0"),CONDUCTORES!$A$3:$G$54,7,0),"")</f>
        <v/>
      </c>
      <c r="L49" s="85"/>
      <c r="M49" s="85"/>
      <c r="N49" s="139" t="str">
        <f aca="false">IFERROR(IF(L49*M49=0,"",L49*M49),"")</f>
        <v/>
      </c>
      <c r="O49" s="85"/>
      <c r="P49" s="138" t="str">
        <f aca="false">IFERROR(VLOOKUP(TEXT(O49,"0"),CONDUCTORES!$A$3:$G$54,2,0),"")</f>
        <v/>
      </c>
      <c r="Q49" s="138" t="str">
        <f aca="false">IFERROR(VLOOKUP(TEXT(O49,"0"),CONDUCTORES!$A$3:$H$54,6,0),"")</f>
        <v/>
      </c>
      <c r="R49" s="85"/>
      <c r="S49" s="85"/>
      <c r="T49" s="85"/>
      <c r="U49" s="85"/>
      <c r="V49" s="85"/>
      <c r="W49" s="85"/>
      <c r="X49" s="85"/>
      <c r="Y49" s="85"/>
      <c r="Z49" s="41" t="str">
        <f aca="false">IF(AND(G49&lt;&gt;"",R49&lt;&gt;"",V49&lt;&gt;"",W49&lt;&gt;""),"COMPLETADO","OBSERVADO")</f>
        <v>OBSERVADO</v>
      </c>
      <c r="AA49" s="89"/>
    </row>
    <row r="50" customFormat="false" ht="15.75" hidden="false" customHeight="true" outlineLevel="0" collapsed="false">
      <c r="A50" s="140"/>
      <c r="B50" s="140"/>
      <c r="C50" s="140"/>
      <c r="D50" s="140"/>
      <c r="E50" s="140"/>
      <c r="F50" s="140"/>
      <c r="G50" s="140"/>
      <c r="H50" s="140"/>
      <c r="I50" s="138" t="str">
        <f aca="false">IFERROR(VLOOKUP(TEXT(H50,"0"),IPRESS!$A$3:$B$212,2,0),"")</f>
        <v/>
      </c>
      <c r="J50" s="140"/>
      <c r="K50" s="138" t="str">
        <f aca="false">IFERROR(VLOOKUP(TEXT(O50,"0"),CONDUCTORES!$A$3:$G$54,7,0),"")</f>
        <v/>
      </c>
      <c r="L50" s="140"/>
      <c r="M50" s="140"/>
      <c r="N50" s="139" t="str">
        <f aca="false">IFERROR(IF(L50*M50=0,"",L50*M50),"")</f>
        <v/>
      </c>
      <c r="O50" s="140"/>
      <c r="P50" s="138" t="str">
        <f aca="false">IFERROR(VLOOKUP(TEXT(O50,"0"),CONDUCTORES!$A$3:$G$54,2,0),"")</f>
        <v/>
      </c>
      <c r="Q50" s="138" t="str">
        <f aca="false">IFERROR(VLOOKUP(TEXT(O50,"0"),CONDUCTORES!$A$3:$H$54,6,0),"")</f>
        <v/>
      </c>
      <c r="R50" s="140"/>
      <c r="S50" s="140"/>
      <c r="T50" s="140"/>
      <c r="U50" s="140"/>
      <c r="V50" s="140"/>
      <c r="W50" s="140"/>
      <c r="X50" s="140"/>
      <c r="Y50" s="140"/>
      <c r="Z50" s="47" t="str">
        <f aca="false">IF(AND(G50&lt;&gt;"",R50&lt;&gt;"",V50&lt;&gt;"",W50&lt;&gt;""),"COMPLETADO","OBSERVADO")</f>
        <v>OBSERVADO</v>
      </c>
      <c r="AA50" s="89"/>
    </row>
    <row r="51" customFormat="false" ht="15.75" hidden="false" customHeight="true" outlineLevel="0" collapsed="false">
      <c r="A51" s="85"/>
      <c r="B51" s="85"/>
      <c r="C51" s="85"/>
      <c r="D51" s="85"/>
      <c r="E51" s="85"/>
      <c r="F51" s="85"/>
      <c r="G51" s="85"/>
      <c r="H51" s="85"/>
      <c r="I51" s="138" t="str">
        <f aca="false">IFERROR(VLOOKUP(TEXT(H51,"0"),IPRESS!$A$3:$B$212,2,0),"")</f>
        <v/>
      </c>
      <c r="J51" s="85"/>
      <c r="K51" s="138" t="str">
        <f aca="false">IFERROR(VLOOKUP(TEXT(O51,"0"),CONDUCTORES!$A$3:$G$54,7,0),"")</f>
        <v/>
      </c>
      <c r="L51" s="85"/>
      <c r="M51" s="85"/>
      <c r="N51" s="139" t="str">
        <f aca="false">IFERROR(IF(L51*M51=0,"",L51*M51),"")</f>
        <v/>
      </c>
      <c r="O51" s="85"/>
      <c r="P51" s="138" t="str">
        <f aca="false">IFERROR(VLOOKUP(TEXT(O51,"0"),CONDUCTORES!$A$3:$G$54,2,0),"")</f>
        <v/>
      </c>
      <c r="Q51" s="138" t="str">
        <f aca="false">IFERROR(VLOOKUP(TEXT(O51,"0"),CONDUCTORES!$A$3:$H$54,6,0),"")</f>
        <v/>
      </c>
      <c r="R51" s="85"/>
      <c r="S51" s="85"/>
      <c r="T51" s="85"/>
      <c r="U51" s="85"/>
      <c r="V51" s="85"/>
      <c r="W51" s="85"/>
      <c r="X51" s="85"/>
      <c r="Y51" s="85"/>
      <c r="Z51" s="41" t="str">
        <f aca="false">IF(AND(G51&lt;&gt;"",R51&lt;&gt;"",V51&lt;&gt;"",W51&lt;&gt;""),"COMPLETADO","OBSERVADO")</f>
        <v>OBSERVADO</v>
      </c>
      <c r="AA51" s="89"/>
    </row>
    <row r="52" customFormat="false" ht="15.75" hidden="false" customHeight="true" outlineLevel="0" collapsed="false">
      <c r="A52" s="140"/>
      <c r="B52" s="140"/>
      <c r="C52" s="140"/>
      <c r="D52" s="140"/>
      <c r="E52" s="140"/>
      <c r="F52" s="140"/>
      <c r="G52" s="140"/>
      <c r="H52" s="140"/>
      <c r="I52" s="138" t="str">
        <f aca="false">IFERROR(VLOOKUP(TEXT(H52,"0"),IPRESS!$A$3:$B$212,2,0),"")</f>
        <v/>
      </c>
      <c r="J52" s="140"/>
      <c r="K52" s="138" t="str">
        <f aca="false">IFERROR(VLOOKUP(TEXT(O52,"0"),CONDUCTORES!$A$3:$G$54,7,0),"")</f>
        <v/>
      </c>
      <c r="L52" s="140"/>
      <c r="M52" s="140"/>
      <c r="N52" s="139" t="str">
        <f aca="false">IFERROR(IF(L52*M52=0,"",L52*M52),"")</f>
        <v/>
      </c>
      <c r="O52" s="140"/>
      <c r="P52" s="138" t="str">
        <f aca="false">IFERROR(VLOOKUP(TEXT(O52,"0"),CONDUCTORES!$A$3:$G$54,2,0),"")</f>
        <v/>
      </c>
      <c r="Q52" s="138" t="str">
        <f aca="false">IFERROR(VLOOKUP(TEXT(O52,"0"),CONDUCTORES!$A$3:$H$54,6,0),"")</f>
        <v/>
      </c>
      <c r="R52" s="140"/>
      <c r="S52" s="140"/>
      <c r="T52" s="140"/>
      <c r="U52" s="140"/>
      <c r="V52" s="140"/>
      <c r="W52" s="140"/>
      <c r="X52" s="140"/>
      <c r="Y52" s="140"/>
      <c r="Z52" s="47" t="str">
        <f aca="false">IF(AND(G52&lt;&gt;"",R52&lt;&gt;"",V52&lt;&gt;"",W52&lt;&gt;""),"COMPLETADO","OBSERVADO")</f>
        <v>OBSERVADO</v>
      </c>
      <c r="AA52" s="89"/>
    </row>
    <row r="53" customFormat="false" ht="15.75" hidden="false" customHeight="true" outlineLevel="0" collapsed="false">
      <c r="A53" s="85"/>
      <c r="B53" s="85"/>
      <c r="C53" s="85"/>
      <c r="D53" s="85"/>
      <c r="E53" s="85"/>
      <c r="F53" s="85"/>
      <c r="G53" s="85"/>
      <c r="H53" s="85"/>
      <c r="I53" s="138" t="str">
        <f aca="false">IFERROR(VLOOKUP(TEXT(H53,"0"),IPRESS!$A$3:$B$212,2,0),"")</f>
        <v/>
      </c>
      <c r="J53" s="85"/>
      <c r="K53" s="138" t="str">
        <f aca="false">IFERROR(VLOOKUP(TEXT(O53,"0"),CONDUCTORES!$A$3:$G$54,7,0),"")</f>
        <v/>
      </c>
      <c r="L53" s="85"/>
      <c r="M53" s="85"/>
      <c r="N53" s="139" t="str">
        <f aca="false">IFERROR(IF(L53*M53=0,"",L53*M53),"")</f>
        <v/>
      </c>
      <c r="O53" s="85"/>
      <c r="P53" s="138" t="str">
        <f aca="false">IFERROR(VLOOKUP(TEXT(O53,"0"),CONDUCTORES!$A$3:$G$54,2,0),"")</f>
        <v/>
      </c>
      <c r="Q53" s="138" t="str">
        <f aca="false">IFERROR(VLOOKUP(TEXT(O53,"0"),CONDUCTORES!$A$3:$H$54,6,0),"")</f>
        <v/>
      </c>
      <c r="R53" s="85"/>
      <c r="S53" s="85"/>
      <c r="T53" s="85"/>
      <c r="U53" s="85"/>
      <c r="V53" s="85"/>
      <c r="W53" s="85"/>
      <c r="X53" s="85"/>
      <c r="Y53" s="85"/>
      <c r="Z53" s="41" t="str">
        <f aca="false">IF(AND(G53&lt;&gt;"",R53&lt;&gt;"",V53&lt;&gt;"",W53&lt;&gt;""),"COMPLETADO","OBSERVADO")</f>
        <v>OBSERVADO</v>
      </c>
      <c r="AA53" s="89"/>
    </row>
    <row r="54" customFormat="false" ht="15.75" hidden="false" customHeight="true" outlineLevel="0" collapsed="false">
      <c r="A54" s="140"/>
      <c r="B54" s="140"/>
      <c r="C54" s="140"/>
      <c r="D54" s="140"/>
      <c r="E54" s="140"/>
      <c r="F54" s="140"/>
      <c r="G54" s="140"/>
      <c r="H54" s="140"/>
      <c r="I54" s="138" t="str">
        <f aca="false">IFERROR(VLOOKUP(TEXT(H54,"0"),IPRESS!$A$3:$B$212,2,0),"")</f>
        <v/>
      </c>
      <c r="J54" s="140"/>
      <c r="K54" s="138" t="str">
        <f aca="false">IFERROR(VLOOKUP(TEXT(O54,"0"),CONDUCTORES!$A$3:$G$54,7,0),"")</f>
        <v/>
      </c>
      <c r="L54" s="140"/>
      <c r="M54" s="140"/>
      <c r="N54" s="139" t="str">
        <f aca="false">IFERROR(IF(L54*M54=0,"",L54*M54),"")</f>
        <v/>
      </c>
      <c r="O54" s="140"/>
      <c r="P54" s="138" t="str">
        <f aca="false">IFERROR(VLOOKUP(TEXT(O54,"0"),CONDUCTORES!$A$3:$G$54,2,0),"")</f>
        <v/>
      </c>
      <c r="Q54" s="138" t="str">
        <f aca="false">IFERROR(VLOOKUP(TEXT(O54,"0"),CONDUCTORES!$A$3:$H$54,6,0),"")</f>
        <v/>
      </c>
      <c r="R54" s="140"/>
      <c r="S54" s="140"/>
      <c r="T54" s="140"/>
      <c r="U54" s="140"/>
      <c r="V54" s="140"/>
      <c r="W54" s="140"/>
      <c r="X54" s="140"/>
      <c r="Y54" s="140"/>
      <c r="Z54" s="47" t="str">
        <f aca="false">IF(AND(G54&lt;&gt;"",R54&lt;&gt;"",V54&lt;&gt;"",W54&lt;&gt;""),"COMPLETADO","OBSERVADO")</f>
        <v>OBSERVADO</v>
      </c>
      <c r="AA54" s="89"/>
    </row>
    <row r="55" customFormat="false" ht="15.75" hidden="false" customHeight="true" outlineLevel="0" collapsed="false">
      <c r="A55" s="85"/>
      <c r="B55" s="85"/>
      <c r="C55" s="85"/>
      <c r="D55" s="85"/>
      <c r="E55" s="85"/>
      <c r="F55" s="85"/>
      <c r="G55" s="85"/>
      <c r="H55" s="85"/>
      <c r="I55" s="138" t="str">
        <f aca="false">IFERROR(VLOOKUP(TEXT(H55,"0"),IPRESS!$A$3:$B$212,2,0),"")</f>
        <v/>
      </c>
      <c r="J55" s="85"/>
      <c r="K55" s="138" t="str">
        <f aca="false">IFERROR(VLOOKUP(TEXT(O55,"0"),CONDUCTORES!$A$3:$G$54,7,0),"")</f>
        <v/>
      </c>
      <c r="L55" s="85"/>
      <c r="M55" s="85"/>
      <c r="N55" s="139" t="str">
        <f aca="false">IFERROR(IF(L55*M55=0,"",L55*M55),"")</f>
        <v/>
      </c>
      <c r="O55" s="85"/>
      <c r="P55" s="138" t="str">
        <f aca="false">IFERROR(VLOOKUP(TEXT(O55,"0"),CONDUCTORES!$A$3:$G$54,2,0),"")</f>
        <v/>
      </c>
      <c r="Q55" s="138" t="str">
        <f aca="false">IFERROR(VLOOKUP(TEXT(O55,"0"),CONDUCTORES!$A$3:$H$54,6,0),"")</f>
        <v/>
      </c>
      <c r="R55" s="85"/>
      <c r="S55" s="85"/>
      <c r="T55" s="85"/>
      <c r="U55" s="85"/>
      <c r="V55" s="85"/>
      <c r="W55" s="85"/>
      <c r="X55" s="85"/>
      <c r="Y55" s="85"/>
      <c r="Z55" s="41" t="str">
        <f aca="false">IF(AND(G55&lt;&gt;"",R55&lt;&gt;"",V55&lt;&gt;"",W55&lt;&gt;""),"COMPLETADO","OBSERVADO")</f>
        <v>OBSERVADO</v>
      </c>
      <c r="AA55" s="89"/>
    </row>
    <row r="56" customFormat="false" ht="15.75" hidden="false" customHeight="true" outlineLevel="0" collapsed="false">
      <c r="A56" s="140"/>
      <c r="B56" s="140"/>
      <c r="C56" s="140"/>
      <c r="D56" s="140"/>
      <c r="E56" s="140"/>
      <c r="F56" s="140"/>
      <c r="G56" s="140"/>
      <c r="H56" s="140"/>
      <c r="I56" s="138" t="str">
        <f aca="false">IFERROR(VLOOKUP(TEXT(H56,"0"),IPRESS!$A$3:$B$212,2,0),"")</f>
        <v/>
      </c>
      <c r="J56" s="140"/>
      <c r="K56" s="138" t="str">
        <f aca="false">IFERROR(VLOOKUP(TEXT(O56,"0"),CONDUCTORES!$A$3:$G$54,7,0),"")</f>
        <v/>
      </c>
      <c r="L56" s="140"/>
      <c r="M56" s="140"/>
      <c r="N56" s="139" t="str">
        <f aca="false">IFERROR(IF(L56*M56=0,"",L56*M56),"")</f>
        <v/>
      </c>
      <c r="O56" s="140"/>
      <c r="P56" s="138" t="str">
        <f aca="false">IFERROR(VLOOKUP(TEXT(O56,"0"),CONDUCTORES!$A$3:$G$54,2,0),"")</f>
        <v/>
      </c>
      <c r="Q56" s="138" t="str">
        <f aca="false">IFERROR(VLOOKUP(TEXT(O56,"0"),CONDUCTORES!$A$3:$H$54,6,0),"")</f>
        <v/>
      </c>
      <c r="R56" s="140"/>
      <c r="S56" s="140"/>
      <c r="T56" s="140"/>
      <c r="U56" s="140"/>
      <c r="V56" s="140"/>
      <c r="W56" s="140"/>
      <c r="X56" s="140"/>
      <c r="Y56" s="140"/>
      <c r="Z56" s="47" t="str">
        <f aca="false">IF(AND(G56&lt;&gt;"",R56&lt;&gt;"",V56&lt;&gt;"",W56&lt;&gt;""),"COMPLETADO","OBSERVADO")</f>
        <v>OBSERVADO</v>
      </c>
      <c r="AA56" s="89"/>
    </row>
    <row r="57" customFormat="false" ht="15.75" hidden="false" customHeight="true" outlineLevel="0" collapsed="false">
      <c r="A57" s="85"/>
      <c r="B57" s="85"/>
      <c r="C57" s="85"/>
      <c r="D57" s="85"/>
      <c r="E57" s="85"/>
      <c r="F57" s="85"/>
      <c r="G57" s="85"/>
      <c r="H57" s="85"/>
      <c r="I57" s="138" t="str">
        <f aca="false">IFERROR(VLOOKUP(TEXT(H57,"0"),IPRESS!$A$3:$B$212,2,0),"")</f>
        <v/>
      </c>
      <c r="J57" s="85"/>
      <c r="K57" s="138" t="str">
        <f aca="false">IFERROR(VLOOKUP(TEXT(O57,"0"),CONDUCTORES!$A$3:$G$54,7,0),"")</f>
        <v/>
      </c>
      <c r="L57" s="85"/>
      <c r="M57" s="85"/>
      <c r="N57" s="139" t="str">
        <f aca="false">IFERROR(IF(L57*M57=0,"",L57*M57),"")</f>
        <v/>
      </c>
      <c r="O57" s="85"/>
      <c r="P57" s="138" t="str">
        <f aca="false">IFERROR(VLOOKUP(TEXT(O57,"0"),CONDUCTORES!$A$3:$G$54,2,0),"")</f>
        <v/>
      </c>
      <c r="Q57" s="138" t="str">
        <f aca="false">IFERROR(VLOOKUP(TEXT(O57,"0"),CONDUCTORES!$A$3:$H$54,6,0),"")</f>
        <v/>
      </c>
      <c r="R57" s="85"/>
      <c r="S57" s="85"/>
      <c r="T57" s="85"/>
      <c r="U57" s="85"/>
      <c r="V57" s="85"/>
      <c r="W57" s="85"/>
      <c r="X57" s="85"/>
      <c r="Y57" s="85"/>
      <c r="Z57" s="41" t="str">
        <f aca="false">IF(AND(G57&lt;&gt;"",R57&lt;&gt;"",V57&lt;&gt;"",W57&lt;&gt;""),"COMPLETADO","OBSERVADO")</f>
        <v>OBSERVADO</v>
      </c>
      <c r="AA57" s="89"/>
    </row>
    <row r="58" customFormat="false" ht="15.75" hidden="false" customHeight="true" outlineLevel="0" collapsed="false">
      <c r="A58" s="140"/>
      <c r="B58" s="140"/>
      <c r="C58" s="140"/>
      <c r="D58" s="140"/>
      <c r="E58" s="140"/>
      <c r="F58" s="140"/>
      <c r="G58" s="140"/>
      <c r="H58" s="140"/>
      <c r="I58" s="138" t="str">
        <f aca="false">IFERROR(VLOOKUP(TEXT(H58,"0"),IPRESS!$A$3:$B$212,2,0),"")</f>
        <v/>
      </c>
      <c r="J58" s="140"/>
      <c r="K58" s="138" t="str">
        <f aca="false">IFERROR(VLOOKUP(TEXT(O58,"0"),CONDUCTORES!$A$3:$G$54,7,0),"")</f>
        <v/>
      </c>
      <c r="L58" s="140"/>
      <c r="M58" s="140"/>
      <c r="N58" s="139" t="str">
        <f aca="false">IFERROR(IF(L58*M58=0,"",L58*M58),"")</f>
        <v/>
      </c>
      <c r="O58" s="140"/>
      <c r="P58" s="138" t="str">
        <f aca="false">IFERROR(VLOOKUP(TEXT(O58,"0"),CONDUCTORES!$A$3:$G$54,2,0),"")</f>
        <v/>
      </c>
      <c r="Q58" s="138" t="str">
        <f aca="false">IFERROR(VLOOKUP(TEXT(O58,"0"),CONDUCTORES!$A$3:$H$54,6,0),"")</f>
        <v/>
      </c>
      <c r="R58" s="140"/>
      <c r="S58" s="140"/>
      <c r="T58" s="140"/>
      <c r="U58" s="140"/>
      <c r="V58" s="140"/>
      <c r="W58" s="140"/>
      <c r="X58" s="140"/>
      <c r="Y58" s="140"/>
      <c r="Z58" s="47" t="str">
        <f aca="false">IF(AND(G58&lt;&gt;"",R58&lt;&gt;"",V58&lt;&gt;"",W58&lt;&gt;""),"COMPLETADO","OBSERVADO")</f>
        <v>OBSERVADO</v>
      </c>
      <c r="AA58" s="89"/>
    </row>
    <row r="59" customFormat="false" ht="15.75" hidden="false" customHeight="true" outlineLevel="0" collapsed="false">
      <c r="A59" s="85"/>
      <c r="B59" s="85"/>
      <c r="C59" s="85"/>
      <c r="D59" s="85"/>
      <c r="E59" s="85"/>
      <c r="F59" s="85"/>
      <c r="G59" s="85"/>
      <c r="H59" s="85"/>
      <c r="I59" s="138" t="str">
        <f aca="false">IFERROR(VLOOKUP(TEXT(H59,"0"),IPRESS!$A$3:$B$212,2,0),"")</f>
        <v/>
      </c>
      <c r="J59" s="85"/>
      <c r="K59" s="138" t="str">
        <f aca="false">IFERROR(VLOOKUP(TEXT(O59,"0"),CONDUCTORES!$A$3:$G$54,7,0),"")</f>
        <v/>
      </c>
      <c r="L59" s="85"/>
      <c r="M59" s="85"/>
      <c r="N59" s="139" t="str">
        <f aca="false">IFERROR(IF(L59*M59=0,"",L59*M59),"")</f>
        <v/>
      </c>
      <c r="O59" s="85"/>
      <c r="P59" s="138" t="str">
        <f aca="false">IFERROR(VLOOKUP(TEXT(O59,"0"),CONDUCTORES!$A$3:$G$54,2,0),"")</f>
        <v/>
      </c>
      <c r="Q59" s="138" t="str">
        <f aca="false">IFERROR(VLOOKUP(TEXT(O59,"0"),CONDUCTORES!$A$3:$H$54,6,0),"")</f>
        <v/>
      </c>
      <c r="R59" s="85"/>
      <c r="S59" s="85"/>
      <c r="T59" s="85"/>
      <c r="U59" s="85"/>
      <c r="V59" s="85"/>
      <c r="W59" s="85"/>
      <c r="X59" s="85"/>
      <c r="Y59" s="85"/>
      <c r="Z59" s="41" t="str">
        <f aca="false">IF(AND(G59&lt;&gt;"",R59&lt;&gt;"",V59&lt;&gt;"",W59&lt;&gt;""),"COMPLETADO","OBSERVADO")</f>
        <v>OBSERVADO</v>
      </c>
      <c r="AA59" s="89"/>
    </row>
    <row r="60" customFormat="false" ht="15.75" hidden="false" customHeight="true" outlineLevel="0" collapsed="false">
      <c r="A60" s="140"/>
      <c r="B60" s="140"/>
      <c r="C60" s="140"/>
      <c r="D60" s="140"/>
      <c r="E60" s="140"/>
      <c r="F60" s="140"/>
      <c r="G60" s="140"/>
      <c r="H60" s="140"/>
      <c r="I60" s="138" t="str">
        <f aca="false">IFERROR(VLOOKUP(TEXT(H60,"0"),IPRESS!$A$3:$B$212,2,0),"")</f>
        <v/>
      </c>
      <c r="J60" s="140"/>
      <c r="K60" s="138" t="str">
        <f aca="false">IFERROR(VLOOKUP(TEXT(O60,"0"),CONDUCTORES!$A$3:$G$54,7,0),"")</f>
        <v/>
      </c>
      <c r="L60" s="140"/>
      <c r="M60" s="140"/>
      <c r="N60" s="139" t="str">
        <f aca="false">IFERROR(IF(L60*M60=0,"",L60*M60),"")</f>
        <v/>
      </c>
      <c r="O60" s="140"/>
      <c r="P60" s="138" t="str">
        <f aca="false">IFERROR(VLOOKUP(TEXT(O60,"0"),CONDUCTORES!$A$3:$G$54,2,0),"")</f>
        <v/>
      </c>
      <c r="Q60" s="138" t="str">
        <f aca="false">IFERROR(VLOOKUP(TEXT(O60,"0"),CONDUCTORES!$A$3:$H$54,6,0),"")</f>
        <v/>
      </c>
      <c r="R60" s="140"/>
      <c r="S60" s="140"/>
      <c r="T60" s="140"/>
      <c r="U60" s="140"/>
      <c r="V60" s="140"/>
      <c r="W60" s="140"/>
      <c r="X60" s="140"/>
      <c r="Y60" s="140"/>
      <c r="Z60" s="47" t="str">
        <f aca="false">IF(AND(G60&lt;&gt;"",R60&lt;&gt;"",V60&lt;&gt;"",W60&lt;&gt;""),"COMPLETADO","OBSERVADO")</f>
        <v>OBSERVADO</v>
      </c>
      <c r="AA60" s="89"/>
    </row>
    <row r="61" customFormat="false" ht="15.75" hidden="false" customHeight="true" outlineLevel="0" collapsed="false">
      <c r="A61" s="85"/>
      <c r="B61" s="85"/>
      <c r="C61" s="85"/>
      <c r="D61" s="85"/>
      <c r="E61" s="85"/>
      <c r="F61" s="85"/>
      <c r="G61" s="85"/>
      <c r="H61" s="85"/>
      <c r="I61" s="138" t="str">
        <f aca="false">IFERROR(VLOOKUP(TEXT(H61,"0"),IPRESS!$A$3:$B$212,2,0),"")</f>
        <v/>
      </c>
      <c r="J61" s="85"/>
      <c r="K61" s="138" t="str">
        <f aca="false">IFERROR(VLOOKUP(TEXT(O61,"0"),CONDUCTORES!$A$3:$G$54,7,0),"")</f>
        <v/>
      </c>
      <c r="L61" s="85"/>
      <c r="M61" s="85"/>
      <c r="N61" s="139" t="str">
        <f aca="false">IFERROR(IF(L61*M61=0,"",L61*M61),"")</f>
        <v/>
      </c>
      <c r="O61" s="85"/>
      <c r="P61" s="138" t="str">
        <f aca="false">IFERROR(VLOOKUP(TEXT(O61,"0"),CONDUCTORES!$A$3:$G$54,2,0),"")</f>
        <v/>
      </c>
      <c r="Q61" s="138" t="str">
        <f aca="false">IFERROR(VLOOKUP(TEXT(O61,"0"),CONDUCTORES!$A$3:$H$54,6,0),"")</f>
        <v/>
      </c>
      <c r="R61" s="85"/>
      <c r="S61" s="85"/>
      <c r="T61" s="85"/>
      <c r="U61" s="85"/>
      <c r="V61" s="85"/>
      <c r="W61" s="85"/>
      <c r="X61" s="85"/>
      <c r="Y61" s="85"/>
      <c r="Z61" s="41" t="str">
        <f aca="false">IF(AND(G61&lt;&gt;"",R61&lt;&gt;"",V61&lt;&gt;"",W61&lt;&gt;""),"COMPLETADO","OBSERVADO")</f>
        <v>OBSERVADO</v>
      </c>
      <c r="AA61" s="89"/>
    </row>
    <row r="62" customFormat="false" ht="15.75" hidden="false" customHeight="true" outlineLevel="0" collapsed="false">
      <c r="A62" s="140"/>
      <c r="B62" s="140"/>
      <c r="C62" s="140"/>
      <c r="D62" s="140"/>
      <c r="E62" s="140"/>
      <c r="F62" s="140"/>
      <c r="G62" s="140"/>
      <c r="H62" s="140"/>
      <c r="I62" s="138" t="str">
        <f aca="false">IFERROR(VLOOKUP(TEXT(H62,"0"),IPRESS!$A$3:$B$212,2,0),"")</f>
        <v/>
      </c>
      <c r="J62" s="140"/>
      <c r="K62" s="138" t="str">
        <f aca="false">IFERROR(VLOOKUP(TEXT(O62,"0"),CONDUCTORES!$A$3:$G$54,7,0),"")</f>
        <v/>
      </c>
      <c r="L62" s="140"/>
      <c r="M62" s="140"/>
      <c r="N62" s="139" t="str">
        <f aca="false">IFERROR(IF(L62*M62=0,"",L62*M62),"")</f>
        <v/>
      </c>
      <c r="O62" s="140"/>
      <c r="P62" s="138" t="str">
        <f aca="false">IFERROR(VLOOKUP(TEXT(O62,"0"),CONDUCTORES!$A$3:$G$54,2,0),"")</f>
        <v/>
      </c>
      <c r="Q62" s="138" t="str">
        <f aca="false">IFERROR(VLOOKUP(TEXT(O62,"0"),CONDUCTORES!$A$3:$H$54,6,0),"")</f>
        <v/>
      </c>
      <c r="R62" s="140"/>
      <c r="S62" s="140"/>
      <c r="T62" s="140"/>
      <c r="U62" s="140"/>
      <c r="V62" s="140"/>
      <c r="W62" s="140"/>
      <c r="X62" s="140"/>
      <c r="Y62" s="140"/>
      <c r="Z62" s="47" t="str">
        <f aca="false">IF(AND(G62&lt;&gt;"",R62&lt;&gt;"",V62&lt;&gt;"",W62&lt;&gt;""),"COMPLETADO","OBSERVADO")</f>
        <v>OBSERVADO</v>
      </c>
      <c r="AA62" s="89"/>
    </row>
    <row r="63" customFormat="false" ht="15.75" hidden="false" customHeight="true" outlineLevel="0" collapsed="false">
      <c r="A63" s="85"/>
      <c r="B63" s="85"/>
      <c r="C63" s="85"/>
      <c r="D63" s="85"/>
      <c r="E63" s="85"/>
      <c r="F63" s="85"/>
      <c r="G63" s="85"/>
      <c r="H63" s="85"/>
      <c r="I63" s="138" t="str">
        <f aca="false">IFERROR(VLOOKUP(TEXT(H63,"0"),IPRESS!$A$3:$B$212,2,0),"")</f>
        <v/>
      </c>
      <c r="J63" s="85"/>
      <c r="K63" s="138" t="str">
        <f aca="false">IFERROR(VLOOKUP(TEXT(O63,"0"),CONDUCTORES!$A$3:$G$54,7,0),"")</f>
        <v/>
      </c>
      <c r="L63" s="85"/>
      <c r="M63" s="85"/>
      <c r="N63" s="139" t="str">
        <f aca="false">IFERROR(IF(L63*M63=0,"",L63*M63),"")</f>
        <v/>
      </c>
      <c r="O63" s="85"/>
      <c r="P63" s="138" t="str">
        <f aca="false">IFERROR(VLOOKUP(TEXT(O63,"0"),CONDUCTORES!$A$3:$G$54,2,0),"")</f>
        <v/>
      </c>
      <c r="Q63" s="138" t="str">
        <f aca="false">IFERROR(VLOOKUP(TEXT(O63,"0"),CONDUCTORES!$A$3:$H$54,6,0),"")</f>
        <v/>
      </c>
      <c r="R63" s="85"/>
      <c r="S63" s="85"/>
      <c r="T63" s="85"/>
      <c r="U63" s="85"/>
      <c r="V63" s="85"/>
      <c r="W63" s="85"/>
      <c r="X63" s="85"/>
      <c r="Y63" s="85"/>
      <c r="Z63" s="41" t="str">
        <f aca="false">IF(AND(G63&lt;&gt;"",R63&lt;&gt;"",V63&lt;&gt;"",W63&lt;&gt;""),"COMPLETADO","OBSERVADO")</f>
        <v>OBSERVADO</v>
      </c>
      <c r="AA63" s="89"/>
    </row>
    <row r="64" customFormat="false" ht="15.75" hidden="false" customHeight="true" outlineLevel="0" collapsed="false">
      <c r="A64" s="140"/>
      <c r="B64" s="140"/>
      <c r="C64" s="140"/>
      <c r="D64" s="140"/>
      <c r="E64" s="140"/>
      <c r="F64" s="140"/>
      <c r="G64" s="140"/>
      <c r="H64" s="140"/>
      <c r="I64" s="138" t="str">
        <f aca="false">IFERROR(VLOOKUP(TEXT(H64,"0"),IPRESS!$A$3:$B$212,2,0),"")</f>
        <v/>
      </c>
      <c r="J64" s="140"/>
      <c r="K64" s="138" t="str">
        <f aca="false">IFERROR(VLOOKUP(TEXT(O64,"0"),CONDUCTORES!$A$3:$G$54,7,0),"")</f>
        <v/>
      </c>
      <c r="L64" s="140"/>
      <c r="M64" s="140"/>
      <c r="N64" s="139" t="str">
        <f aca="false">IFERROR(IF(L64*M64=0,"",L64*M64),"")</f>
        <v/>
      </c>
      <c r="O64" s="140"/>
      <c r="P64" s="138" t="str">
        <f aca="false">IFERROR(VLOOKUP(TEXT(O64,"0"),CONDUCTORES!$A$3:$G$54,2,0),"")</f>
        <v/>
      </c>
      <c r="Q64" s="138" t="str">
        <f aca="false">IFERROR(VLOOKUP(TEXT(O64,"0"),CONDUCTORES!$A$3:$H$54,6,0),"")</f>
        <v/>
      </c>
      <c r="R64" s="140"/>
      <c r="S64" s="140"/>
      <c r="T64" s="140"/>
      <c r="U64" s="140"/>
      <c r="V64" s="140"/>
      <c r="W64" s="140"/>
      <c r="X64" s="140"/>
      <c r="Y64" s="140"/>
      <c r="Z64" s="47" t="str">
        <f aca="false">IF(AND(G64&lt;&gt;"",R64&lt;&gt;"",V64&lt;&gt;"",W64&lt;&gt;""),"COMPLETADO","OBSERVADO")</f>
        <v>OBSERVADO</v>
      </c>
      <c r="AA64" s="89"/>
    </row>
    <row r="65" customFormat="false" ht="15.75" hidden="false" customHeight="true" outlineLevel="0" collapsed="false">
      <c r="A65" s="85"/>
      <c r="B65" s="85"/>
      <c r="C65" s="85"/>
      <c r="D65" s="85"/>
      <c r="E65" s="85"/>
      <c r="F65" s="85"/>
      <c r="G65" s="85"/>
      <c r="H65" s="85"/>
      <c r="I65" s="138" t="str">
        <f aca="false">IFERROR(VLOOKUP(TEXT(H65,"0"),IPRESS!$A$3:$B$212,2,0),"")</f>
        <v/>
      </c>
      <c r="J65" s="85"/>
      <c r="K65" s="138" t="str">
        <f aca="false">IFERROR(VLOOKUP(TEXT(O65,"0"),CONDUCTORES!$A$3:$G$54,7,0),"")</f>
        <v/>
      </c>
      <c r="L65" s="85"/>
      <c r="M65" s="85"/>
      <c r="N65" s="139" t="str">
        <f aca="false">IFERROR(IF(L65*M65=0,"",L65*M65),"")</f>
        <v/>
      </c>
      <c r="O65" s="85"/>
      <c r="P65" s="138" t="str">
        <f aca="false">IFERROR(VLOOKUP(TEXT(O65,"0"),CONDUCTORES!$A$3:$G$54,2,0),"")</f>
        <v/>
      </c>
      <c r="Q65" s="138" t="str">
        <f aca="false">IFERROR(VLOOKUP(TEXT(O65,"0"),CONDUCTORES!$A$3:$H$54,6,0),"")</f>
        <v/>
      </c>
      <c r="R65" s="85"/>
      <c r="S65" s="85"/>
      <c r="T65" s="85"/>
      <c r="U65" s="85"/>
      <c r="V65" s="85"/>
      <c r="W65" s="85"/>
      <c r="X65" s="85"/>
      <c r="Y65" s="85"/>
      <c r="Z65" s="41" t="str">
        <f aca="false">IF(AND(G65&lt;&gt;"",R65&lt;&gt;"",V65&lt;&gt;"",W65&lt;&gt;""),"COMPLETADO","OBSERVADO")</f>
        <v>OBSERVADO</v>
      </c>
      <c r="AA65" s="89"/>
    </row>
    <row r="66" customFormat="false" ht="15.75" hidden="false" customHeight="true" outlineLevel="0" collapsed="false">
      <c r="A66" s="140"/>
      <c r="B66" s="140"/>
      <c r="C66" s="140"/>
      <c r="D66" s="140"/>
      <c r="E66" s="140"/>
      <c r="F66" s="140"/>
      <c r="G66" s="140"/>
      <c r="H66" s="140"/>
      <c r="I66" s="138" t="str">
        <f aca="false">IFERROR(VLOOKUP(TEXT(H66,"0"),IPRESS!$A$3:$B$212,2,0),"")</f>
        <v/>
      </c>
      <c r="J66" s="140"/>
      <c r="K66" s="138" t="str">
        <f aca="false">IFERROR(VLOOKUP(TEXT(O66,"0"),CONDUCTORES!$A$3:$G$54,7,0),"")</f>
        <v/>
      </c>
      <c r="L66" s="140"/>
      <c r="M66" s="140"/>
      <c r="N66" s="139" t="str">
        <f aca="false">IFERROR(IF(L66*M66=0,"",L66*M66),"")</f>
        <v/>
      </c>
      <c r="O66" s="140"/>
      <c r="P66" s="138" t="str">
        <f aca="false">IFERROR(VLOOKUP(TEXT(O66,"0"),CONDUCTORES!$A$3:$G$54,2,0),"")</f>
        <v/>
      </c>
      <c r="Q66" s="138" t="str">
        <f aca="false">IFERROR(VLOOKUP(TEXT(O66,"0"),CONDUCTORES!$A$3:$H$54,6,0),"")</f>
        <v/>
      </c>
      <c r="R66" s="140"/>
      <c r="S66" s="140"/>
      <c r="T66" s="140"/>
      <c r="U66" s="140"/>
      <c r="V66" s="140"/>
      <c r="W66" s="140"/>
      <c r="X66" s="140"/>
      <c r="Y66" s="140"/>
      <c r="Z66" s="47" t="str">
        <f aca="false">IF(AND(G66&lt;&gt;"",R66&lt;&gt;"",V66&lt;&gt;"",W66&lt;&gt;""),"COMPLETADO","OBSERVADO")</f>
        <v>OBSERVADO</v>
      </c>
      <c r="AA66" s="89"/>
    </row>
    <row r="67" customFormat="false" ht="15.75" hidden="false" customHeight="true" outlineLevel="0" collapsed="false">
      <c r="A67" s="85"/>
      <c r="B67" s="85"/>
      <c r="C67" s="85"/>
      <c r="D67" s="85"/>
      <c r="E67" s="85"/>
      <c r="F67" s="85"/>
      <c r="G67" s="85"/>
      <c r="H67" s="85"/>
      <c r="I67" s="138" t="str">
        <f aca="false">IFERROR(VLOOKUP(TEXT(H67,"0"),IPRESS!$A$3:$B$212,2,0),"")</f>
        <v/>
      </c>
      <c r="J67" s="85"/>
      <c r="K67" s="138" t="str">
        <f aca="false">IFERROR(VLOOKUP(TEXT(O67,"0"),CONDUCTORES!$A$3:$G$54,7,0),"")</f>
        <v/>
      </c>
      <c r="L67" s="85"/>
      <c r="M67" s="85"/>
      <c r="N67" s="139" t="str">
        <f aca="false">IFERROR(IF(L67*M67=0,"",L67*M67),"")</f>
        <v/>
      </c>
      <c r="O67" s="85"/>
      <c r="P67" s="138" t="str">
        <f aca="false">IFERROR(VLOOKUP(TEXT(O67,"0"),CONDUCTORES!$A$3:$G$54,2,0),"")</f>
        <v/>
      </c>
      <c r="Q67" s="138" t="str">
        <f aca="false">IFERROR(VLOOKUP(TEXT(O67,"0"),CONDUCTORES!$A$3:$H$54,6,0),"")</f>
        <v/>
      </c>
      <c r="R67" s="85"/>
      <c r="S67" s="85"/>
      <c r="T67" s="85"/>
      <c r="U67" s="85"/>
      <c r="V67" s="85"/>
      <c r="W67" s="85"/>
      <c r="X67" s="85"/>
      <c r="Y67" s="85"/>
      <c r="Z67" s="41" t="str">
        <f aca="false">IF(AND(G67&lt;&gt;"",R67&lt;&gt;"",V67&lt;&gt;"",W67&lt;&gt;""),"COMPLETADO","OBSERVADO")</f>
        <v>OBSERVADO</v>
      </c>
      <c r="AA67" s="89"/>
    </row>
    <row r="68" customFormat="false" ht="15.75" hidden="false" customHeight="true" outlineLevel="0" collapsed="false">
      <c r="A68" s="140"/>
      <c r="B68" s="140"/>
      <c r="C68" s="140"/>
      <c r="D68" s="140"/>
      <c r="E68" s="140"/>
      <c r="F68" s="140"/>
      <c r="G68" s="140"/>
      <c r="H68" s="140"/>
      <c r="I68" s="138" t="str">
        <f aca="false">IFERROR(VLOOKUP(TEXT(H68,"0"),IPRESS!$A$3:$B$212,2,0),"")</f>
        <v/>
      </c>
      <c r="J68" s="140"/>
      <c r="K68" s="138" t="str">
        <f aca="false">IFERROR(VLOOKUP(TEXT(O68,"0"),CONDUCTORES!$A$3:$G$54,7,0),"")</f>
        <v/>
      </c>
      <c r="L68" s="140"/>
      <c r="M68" s="140"/>
      <c r="N68" s="139" t="str">
        <f aca="false">IFERROR(IF(L68*M68=0,"",L68*M68),"")</f>
        <v/>
      </c>
      <c r="O68" s="140"/>
      <c r="P68" s="138" t="str">
        <f aca="false">IFERROR(VLOOKUP(TEXT(O68,"0"),CONDUCTORES!$A$3:$G$54,2,0),"")</f>
        <v/>
      </c>
      <c r="Q68" s="138" t="str">
        <f aca="false">IFERROR(VLOOKUP(TEXT(O68,"0"),CONDUCTORES!$A$3:$H$54,6,0),"")</f>
        <v/>
      </c>
      <c r="R68" s="140"/>
      <c r="S68" s="140"/>
      <c r="T68" s="140"/>
      <c r="U68" s="140"/>
      <c r="V68" s="140"/>
      <c r="W68" s="140"/>
      <c r="X68" s="140"/>
      <c r="Y68" s="140"/>
      <c r="Z68" s="47" t="str">
        <f aca="false">IF(AND(G68&lt;&gt;"",R68&lt;&gt;"",V68&lt;&gt;"",W68&lt;&gt;""),"COMPLETADO","OBSERVADO")</f>
        <v>OBSERVADO</v>
      </c>
      <c r="AA68" s="89"/>
    </row>
    <row r="69" customFormat="false" ht="15.75" hidden="false" customHeight="true" outlineLevel="0" collapsed="false">
      <c r="A69" s="85"/>
      <c r="B69" s="85"/>
      <c r="C69" s="85"/>
      <c r="D69" s="85"/>
      <c r="E69" s="85"/>
      <c r="F69" s="85"/>
      <c r="G69" s="85"/>
      <c r="H69" s="85"/>
      <c r="I69" s="138" t="str">
        <f aca="false">IFERROR(VLOOKUP(TEXT(H69,"0"),IPRESS!$A$3:$B$212,2,0),"")</f>
        <v/>
      </c>
      <c r="J69" s="85"/>
      <c r="K69" s="138" t="str">
        <f aca="false">IFERROR(VLOOKUP(TEXT(O69,"0"),CONDUCTORES!$A$3:$G$54,7,0),"")</f>
        <v/>
      </c>
      <c r="L69" s="85"/>
      <c r="M69" s="85"/>
      <c r="N69" s="139" t="str">
        <f aca="false">IFERROR(IF(L69*M69=0,"",L69*M69),"")</f>
        <v/>
      </c>
      <c r="O69" s="85"/>
      <c r="P69" s="138" t="str">
        <f aca="false">IFERROR(VLOOKUP(TEXT(O69,"0"),CONDUCTORES!$A$3:$G$54,2,0),"")</f>
        <v/>
      </c>
      <c r="Q69" s="138" t="str">
        <f aca="false">IFERROR(VLOOKUP(TEXT(O69,"0"),CONDUCTORES!$A$3:$H$54,6,0),"")</f>
        <v/>
      </c>
      <c r="R69" s="85"/>
      <c r="S69" s="85"/>
      <c r="T69" s="85"/>
      <c r="U69" s="85"/>
      <c r="V69" s="85"/>
      <c r="W69" s="85"/>
      <c r="X69" s="85"/>
      <c r="Y69" s="85"/>
      <c r="Z69" s="41" t="str">
        <f aca="false">IF(AND(G69&lt;&gt;"",R69&lt;&gt;"",V69&lt;&gt;"",W69&lt;&gt;""),"COMPLETADO","OBSERVADO")</f>
        <v>OBSERVADO</v>
      </c>
      <c r="AA69" s="89"/>
    </row>
    <row r="70" customFormat="false" ht="15.75" hidden="false" customHeight="true" outlineLevel="0" collapsed="false">
      <c r="A70" s="140"/>
      <c r="B70" s="140"/>
      <c r="C70" s="140"/>
      <c r="D70" s="140"/>
      <c r="E70" s="140"/>
      <c r="F70" s="140"/>
      <c r="G70" s="140"/>
      <c r="H70" s="140"/>
      <c r="I70" s="138" t="str">
        <f aca="false">IFERROR(VLOOKUP(TEXT(H70,"0"),IPRESS!$A$3:$B$212,2,0),"")</f>
        <v/>
      </c>
      <c r="J70" s="140"/>
      <c r="K70" s="138" t="str">
        <f aca="false">IFERROR(VLOOKUP(TEXT(O70,"0"),CONDUCTORES!$A$3:$G$54,7,0),"")</f>
        <v/>
      </c>
      <c r="L70" s="140"/>
      <c r="M70" s="140"/>
      <c r="N70" s="139" t="str">
        <f aca="false">IFERROR(IF(L70*M70=0,"",L70*M70),"")</f>
        <v/>
      </c>
      <c r="O70" s="140"/>
      <c r="P70" s="138" t="str">
        <f aca="false">IFERROR(VLOOKUP(TEXT(O70,"0"),CONDUCTORES!$A$3:$G$54,2,0),"")</f>
        <v/>
      </c>
      <c r="Q70" s="138" t="str">
        <f aca="false">IFERROR(VLOOKUP(TEXT(O70,"0"),CONDUCTORES!$A$3:$H$54,6,0),"")</f>
        <v/>
      </c>
      <c r="R70" s="140"/>
      <c r="S70" s="140"/>
      <c r="T70" s="140"/>
      <c r="U70" s="140"/>
      <c r="V70" s="140"/>
      <c r="W70" s="140"/>
      <c r="X70" s="140"/>
      <c r="Y70" s="140"/>
      <c r="Z70" s="47" t="str">
        <f aca="false">IF(AND(G70&lt;&gt;"",R70&lt;&gt;"",V70&lt;&gt;"",W70&lt;&gt;""),"COMPLETADO","OBSERVADO")</f>
        <v>OBSERVADO</v>
      </c>
      <c r="AA70" s="89"/>
    </row>
    <row r="71" customFormat="false" ht="15.75" hidden="false" customHeight="true" outlineLevel="0" collapsed="false">
      <c r="A71" s="85"/>
      <c r="B71" s="85"/>
      <c r="C71" s="85"/>
      <c r="D71" s="85"/>
      <c r="E71" s="85"/>
      <c r="F71" s="85"/>
      <c r="G71" s="85"/>
      <c r="H71" s="85"/>
      <c r="I71" s="138" t="str">
        <f aca="false">IFERROR(VLOOKUP(TEXT(H71,"0"),IPRESS!$A$3:$B$212,2,0),"")</f>
        <v/>
      </c>
      <c r="J71" s="85"/>
      <c r="K71" s="138" t="str">
        <f aca="false">IFERROR(VLOOKUP(TEXT(O71,"0"),CONDUCTORES!$A$3:$G$54,7,0),"")</f>
        <v/>
      </c>
      <c r="L71" s="85"/>
      <c r="M71" s="85"/>
      <c r="N71" s="139" t="str">
        <f aca="false">IFERROR(IF(L71*M71=0,"",L71*M71),"")</f>
        <v/>
      </c>
      <c r="O71" s="85"/>
      <c r="P71" s="138" t="str">
        <f aca="false">IFERROR(VLOOKUP(TEXT(O71,"0"),CONDUCTORES!$A$3:$G$54,2,0),"")</f>
        <v/>
      </c>
      <c r="Q71" s="138" t="str">
        <f aca="false">IFERROR(VLOOKUP(TEXT(O71,"0"),CONDUCTORES!$A$3:$H$54,6,0),"")</f>
        <v/>
      </c>
      <c r="R71" s="85"/>
      <c r="S71" s="85"/>
      <c r="T71" s="85"/>
      <c r="U71" s="85"/>
      <c r="V71" s="85"/>
      <c r="W71" s="85"/>
      <c r="X71" s="85"/>
      <c r="Y71" s="85"/>
      <c r="Z71" s="41" t="str">
        <f aca="false">IF(AND(G71&lt;&gt;"",R71&lt;&gt;"",V71&lt;&gt;"",W71&lt;&gt;""),"COMPLETADO","OBSERVADO")</f>
        <v>OBSERVADO</v>
      </c>
      <c r="AA71" s="89"/>
    </row>
    <row r="72" customFormat="false" ht="15.75" hidden="false" customHeight="true" outlineLevel="0" collapsed="false">
      <c r="A72" s="140"/>
      <c r="B72" s="140"/>
      <c r="C72" s="140"/>
      <c r="D72" s="140"/>
      <c r="E72" s="140"/>
      <c r="F72" s="140"/>
      <c r="G72" s="140"/>
      <c r="H72" s="140"/>
      <c r="I72" s="138" t="str">
        <f aca="false">IFERROR(VLOOKUP(TEXT(H72,"0"),IPRESS!$A$3:$B$212,2,0),"")</f>
        <v/>
      </c>
      <c r="J72" s="140"/>
      <c r="K72" s="138" t="str">
        <f aca="false">IFERROR(VLOOKUP(TEXT(O72,"0"),CONDUCTORES!$A$3:$G$54,7,0),"")</f>
        <v/>
      </c>
      <c r="L72" s="140"/>
      <c r="M72" s="140"/>
      <c r="N72" s="139" t="str">
        <f aca="false">IFERROR(IF(L72*M72=0,"",L72*M72),"")</f>
        <v/>
      </c>
      <c r="O72" s="140"/>
      <c r="P72" s="138" t="str">
        <f aca="false">IFERROR(VLOOKUP(TEXT(O72,"0"),CONDUCTORES!$A$3:$G$54,2,0),"")</f>
        <v/>
      </c>
      <c r="Q72" s="138" t="str">
        <f aca="false">IFERROR(VLOOKUP(TEXT(O72,"0"),CONDUCTORES!$A$3:$H$54,6,0),"")</f>
        <v/>
      </c>
      <c r="R72" s="140"/>
      <c r="S72" s="140"/>
      <c r="T72" s="140"/>
      <c r="U72" s="140"/>
      <c r="V72" s="140"/>
      <c r="W72" s="140"/>
      <c r="X72" s="140"/>
      <c r="Y72" s="140"/>
      <c r="Z72" s="47" t="str">
        <f aca="false">IF(AND(G72&lt;&gt;"",R72&lt;&gt;"",V72&lt;&gt;"",W72&lt;&gt;""),"COMPLETADO","OBSERVADO")</f>
        <v>OBSERVADO</v>
      </c>
      <c r="AA72" s="89"/>
    </row>
    <row r="73" customFormat="false" ht="15.75" hidden="false" customHeight="true" outlineLevel="0" collapsed="false">
      <c r="A73" s="85"/>
      <c r="B73" s="85"/>
      <c r="C73" s="85"/>
      <c r="D73" s="85"/>
      <c r="E73" s="85"/>
      <c r="F73" s="85"/>
      <c r="G73" s="85"/>
      <c r="H73" s="85"/>
      <c r="I73" s="138" t="str">
        <f aca="false">IFERROR(VLOOKUP(TEXT(H73,"0"),IPRESS!$A$3:$B$212,2,0),"")</f>
        <v/>
      </c>
      <c r="J73" s="85"/>
      <c r="K73" s="138" t="str">
        <f aca="false">IFERROR(VLOOKUP(TEXT(O73,"0"),CONDUCTORES!$A$3:$G$54,7,0),"")</f>
        <v/>
      </c>
      <c r="L73" s="85"/>
      <c r="M73" s="85"/>
      <c r="N73" s="139" t="str">
        <f aca="false">IFERROR(IF(L73*M73=0,"",L73*M73),"")</f>
        <v/>
      </c>
      <c r="O73" s="85"/>
      <c r="P73" s="138" t="str">
        <f aca="false">IFERROR(VLOOKUP(TEXT(O73,"0"),CONDUCTORES!$A$3:$G$54,2,0),"")</f>
        <v/>
      </c>
      <c r="Q73" s="138" t="str">
        <f aca="false">IFERROR(VLOOKUP(TEXT(O73,"0"),CONDUCTORES!$A$3:$H$54,6,0),"")</f>
        <v/>
      </c>
      <c r="R73" s="85"/>
      <c r="S73" s="85"/>
      <c r="T73" s="85"/>
      <c r="U73" s="85"/>
      <c r="V73" s="85"/>
      <c r="W73" s="85"/>
      <c r="X73" s="85"/>
      <c r="Y73" s="85"/>
      <c r="Z73" s="41" t="str">
        <f aca="false">IF(AND(G73&lt;&gt;"",R73&lt;&gt;"",V73&lt;&gt;"",W73&lt;&gt;""),"COMPLETADO","OBSERVADO")</f>
        <v>OBSERVADO</v>
      </c>
      <c r="AA73" s="89"/>
    </row>
    <row r="74" customFormat="false" ht="15.75" hidden="false" customHeight="true" outlineLevel="0" collapsed="false">
      <c r="A74" s="140"/>
      <c r="B74" s="140"/>
      <c r="C74" s="140"/>
      <c r="D74" s="140"/>
      <c r="E74" s="140"/>
      <c r="F74" s="140"/>
      <c r="G74" s="140"/>
      <c r="H74" s="140"/>
      <c r="I74" s="138" t="str">
        <f aca="false">IFERROR(VLOOKUP(TEXT(H74,"0"),IPRESS!$A$3:$B$212,2,0),"")</f>
        <v/>
      </c>
      <c r="J74" s="140"/>
      <c r="K74" s="138" t="str">
        <f aca="false">IFERROR(VLOOKUP(TEXT(O74,"0"),CONDUCTORES!$A$3:$G$54,7,0),"")</f>
        <v/>
      </c>
      <c r="L74" s="140"/>
      <c r="M74" s="140"/>
      <c r="N74" s="139" t="str">
        <f aca="false">IFERROR(IF(L74*M74=0,"",L74*M74),"")</f>
        <v/>
      </c>
      <c r="O74" s="140"/>
      <c r="P74" s="138" t="str">
        <f aca="false">IFERROR(VLOOKUP(TEXT(O74,"0"),CONDUCTORES!$A$3:$G$54,2,0),"")</f>
        <v/>
      </c>
      <c r="Q74" s="138" t="str">
        <f aca="false">IFERROR(VLOOKUP(TEXT(O74,"0"),CONDUCTORES!$A$3:$H$54,6,0),"")</f>
        <v/>
      </c>
      <c r="R74" s="140"/>
      <c r="S74" s="140"/>
      <c r="T74" s="140"/>
      <c r="U74" s="140"/>
      <c r="V74" s="140"/>
      <c r="W74" s="140"/>
      <c r="X74" s="140"/>
      <c r="Y74" s="140"/>
      <c r="Z74" s="47" t="str">
        <f aca="false">IF(AND(G74&lt;&gt;"",R74&lt;&gt;"",V74&lt;&gt;"",W74&lt;&gt;""),"COMPLETADO","OBSERVADO")</f>
        <v>OBSERVADO</v>
      </c>
      <c r="AA74" s="89"/>
    </row>
    <row r="75" customFormat="false" ht="15.75" hidden="false" customHeight="true" outlineLevel="0" collapsed="false">
      <c r="A75" s="85"/>
      <c r="B75" s="85"/>
      <c r="C75" s="85"/>
      <c r="D75" s="85"/>
      <c r="E75" s="85"/>
      <c r="F75" s="85"/>
      <c r="G75" s="85"/>
      <c r="H75" s="85"/>
      <c r="I75" s="138" t="str">
        <f aca="false">IFERROR(VLOOKUP(TEXT(H75,"0"),IPRESS!$A$3:$B$212,2,0),"")</f>
        <v/>
      </c>
      <c r="J75" s="85"/>
      <c r="K75" s="138" t="str">
        <f aca="false">IFERROR(VLOOKUP(TEXT(O75,"0"),CONDUCTORES!$A$3:$G$54,7,0),"")</f>
        <v/>
      </c>
      <c r="L75" s="85"/>
      <c r="M75" s="85"/>
      <c r="N75" s="139" t="str">
        <f aca="false">IFERROR(IF(L75*M75=0,"",L75*M75),"")</f>
        <v/>
      </c>
      <c r="O75" s="85"/>
      <c r="P75" s="138" t="str">
        <f aca="false">IFERROR(VLOOKUP(TEXT(O75,"0"),CONDUCTORES!$A$3:$G$54,2,0),"")</f>
        <v/>
      </c>
      <c r="Q75" s="138" t="str">
        <f aca="false">IFERROR(VLOOKUP(TEXT(O75,"0"),CONDUCTORES!$A$3:$H$54,6,0),"")</f>
        <v/>
      </c>
      <c r="R75" s="85"/>
      <c r="S75" s="85"/>
      <c r="T75" s="85"/>
      <c r="U75" s="85"/>
      <c r="V75" s="85"/>
      <c r="W75" s="85"/>
      <c r="X75" s="85"/>
      <c r="Y75" s="85"/>
      <c r="Z75" s="41" t="str">
        <f aca="false">IF(AND(G75&lt;&gt;"",R75&lt;&gt;"",V75&lt;&gt;"",W75&lt;&gt;""),"COMPLETADO","OBSERVADO")</f>
        <v>OBSERVADO</v>
      </c>
      <c r="AA75" s="89"/>
    </row>
    <row r="76" customFormat="false" ht="15.75" hidden="false" customHeight="true" outlineLevel="0" collapsed="false">
      <c r="A76" s="140"/>
      <c r="B76" s="140"/>
      <c r="C76" s="140"/>
      <c r="D76" s="140"/>
      <c r="E76" s="140"/>
      <c r="F76" s="140"/>
      <c r="G76" s="140"/>
      <c r="H76" s="140"/>
      <c r="I76" s="138" t="str">
        <f aca="false">IFERROR(VLOOKUP(TEXT(H76,"0"),IPRESS!$A$3:$B$212,2,0),"")</f>
        <v/>
      </c>
      <c r="J76" s="140"/>
      <c r="K76" s="138" t="str">
        <f aca="false">IFERROR(VLOOKUP(TEXT(O76,"0"),CONDUCTORES!$A$3:$G$54,7,0),"")</f>
        <v/>
      </c>
      <c r="L76" s="140"/>
      <c r="M76" s="140"/>
      <c r="N76" s="139" t="str">
        <f aca="false">IFERROR(IF(L76*M76=0,"",L76*M76),"")</f>
        <v/>
      </c>
      <c r="O76" s="140"/>
      <c r="P76" s="138" t="str">
        <f aca="false">IFERROR(VLOOKUP(TEXT(O76,"0"),CONDUCTORES!$A$3:$G$54,2,0),"")</f>
        <v/>
      </c>
      <c r="Q76" s="138" t="str">
        <f aca="false">IFERROR(VLOOKUP(TEXT(O76,"0"),CONDUCTORES!$A$3:$H$54,6,0),"")</f>
        <v/>
      </c>
      <c r="R76" s="140"/>
      <c r="S76" s="140"/>
      <c r="T76" s="140"/>
      <c r="U76" s="140"/>
      <c r="V76" s="140"/>
      <c r="W76" s="140"/>
      <c r="X76" s="140"/>
      <c r="Y76" s="140"/>
      <c r="Z76" s="47" t="str">
        <f aca="false">IF(AND(G76&lt;&gt;"",R76&lt;&gt;"",V76&lt;&gt;"",W76&lt;&gt;""),"COMPLETADO","OBSERVADO")</f>
        <v>OBSERVADO</v>
      </c>
      <c r="AA76" s="89"/>
    </row>
    <row r="77" customFormat="false" ht="15.75" hidden="false" customHeight="true" outlineLevel="0" collapsed="false">
      <c r="A77" s="85"/>
      <c r="B77" s="85"/>
      <c r="C77" s="85"/>
      <c r="D77" s="85"/>
      <c r="E77" s="85"/>
      <c r="F77" s="85"/>
      <c r="G77" s="85"/>
      <c r="H77" s="85"/>
      <c r="I77" s="138" t="str">
        <f aca="false">IFERROR(VLOOKUP(TEXT(H77,"0"),IPRESS!$A$3:$B$212,2,0),"")</f>
        <v/>
      </c>
      <c r="J77" s="85"/>
      <c r="K77" s="138" t="str">
        <f aca="false">IFERROR(VLOOKUP(TEXT(O77,"0"),CONDUCTORES!$A$3:$G$54,7,0),"")</f>
        <v/>
      </c>
      <c r="L77" s="85"/>
      <c r="M77" s="85"/>
      <c r="N77" s="139" t="str">
        <f aca="false">IFERROR(IF(L77*M77=0,"",L77*M77),"")</f>
        <v/>
      </c>
      <c r="O77" s="85"/>
      <c r="P77" s="138" t="str">
        <f aca="false">IFERROR(VLOOKUP(TEXT(O77,"0"),CONDUCTORES!$A$3:$G$54,2,0),"")</f>
        <v/>
      </c>
      <c r="Q77" s="138" t="str">
        <f aca="false">IFERROR(VLOOKUP(TEXT(O77,"0"),CONDUCTORES!$A$3:$H$54,6,0),"")</f>
        <v/>
      </c>
      <c r="R77" s="85"/>
      <c r="S77" s="85"/>
      <c r="T77" s="85"/>
      <c r="U77" s="85"/>
      <c r="V77" s="85"/>
      <c r="W77" s="85"/>
      <c r="X77" s="85"/>
      <c r="Y77" s="85"/>
      <c r="Z77" s="41" t="str">
        <f aca="false">IF(AND(G77&lt;&gt;"",R77&lt;&gt;"",V77&lt;&gt;"",W77&lt;&gt;""),"COMPLETADO","OBSERVADO")</f>
        <v>OBSERVADO</v>
      </c>
      <c r="AA77" s="89"/>
    </row>
    <row r="78" customFormat="false" ht="15.75" hidden="false" customHeight="true" outlineLevel="0" collapsed="false">
      <c r="A78" s="140"/>
      <c r="B78" s="140"/>
      <c r="C78" s="140"/>
      <c r="D78" s="140"/>
      <c r="E78" s="140"/>
      <c r="F78" s="140"/>
      <c r="G78" s="140"/>
      <c r="H78" s="140"/>
      <c r="I78" s="138" t="str">
        <f aca="false">IFERROR(VLOOKUP(TEXT(H78,"0"),IPRESS!$A$3:$B$212,2,0),"")</f>
        <v/>
      </c>
      <c r="J78" s="140"/>
      <c r="K78" s="138" t="str">
        <f aca="false">IFERROR(VLOOKUP(TEXT(O78,"0"),CONDUCTORES!$A$3:$G$54,7,0),"")</f>
        <v/>
      </c>
      <c r="L78" s="140"/>
      <c r="M78" s="140"/>
      <c r="N78" s="139" t="str">
        <f aca="false">IFERROR(IF(L78*M78=0,"",L78*M78),"")</f>
        <v/>
      </c>
      <c r="O78" s="140"/>
      <c r="P78" s="138" t="str">
        <f aca="false">IFERROR(VLOOKUP(TEXT(O78,"0"),CONDUCTORES!$A$3:$G$54,2,0),"")</f>
        <v/>
      </c>
      <c r="Q78" s="138" t="str">
        <f aca="false">IFERROR(VLOOKUP(TEXT(O78,"0"),CONDUCTORES!$A$3:$H$54,6,0),"")</f>
        <v/>
      </c>
      <c r="R78" s="140"/>
      <c r="S78" s="140"/>
      <c r="T78" s="140"/>
      <c r="U78" s="140"/>
      <c r="V78" s="140"/>
      <c r="W78" s="140"/>
      <c r="X78" s="140"/>
      <c r="Y78" s="140"/>
      <c r="Z78" s="47" t="str">
        <f aca="false">IF(AND(G78&lt;&gt;"",R78&lt;&gt;"",V78&lt;&gt;"",W78&lt;&gt;""),"COMPLETADO","OBSERVADO")</f>
        <v>OBSERVADO</v>
      </c>
      <c r="AA78" s="89"/>
    </row>
    <row r="79" customFormat="false" ht="15.75" hidden="false" customHeight="true" outlineLevel="0" collapsed="false">
      <c r="A79" s="85"/>
      <c r="B79" s="85"/>
      <c r="C79" s="85"/>
      <c r="D79" s="85"/>
      <c r="E79" s="85"/>
      <c r="F79" s="85"/>
      <c r="G79" s="85"/>
      <c r="H79" s="85"/>
      <c r="I79" s="138" t="str">
        <f aca="false">IFERROR(VLOOKUP(TEXT(H79,"0"),IPRESS!$A$3:$B$212,2,0),"")</f>
        <v/>
      </c>
      <c r="J79" s="85"/>
      <c r="K79" s="138" t="str">
        <f aca="false">IFERROR(VLOOKUP(TEXT(O79,"0"),CONDUCTORES!$A$3:$G$54,7,0),"")</f>
        <v/>
      </c>
      <c r="L79" s="85"/>
      <c r="M79" s="85"/>
      <c r="N79" s="139" t="str">
        <f aca="false">IFERROR(IF(L79*M79=0,"",L79*M79),"")</f>
        <v/>
      </c>
      <c r="O79" s="85"/>
      <c r="P79" s="138" t="str">
        <f aca="false">IFERROR(VLOOKUP(TEXT(O79,"0"),CONDUCTORES!$A$3:$G$54,2,0),"")</f>
        <v/>
      </c>
      <c r="Q79" s="138" t="str">
        <f aca="false">IFERROR(VLOOKUP(TEXT(O79,"0"),CONDUCTORES!$A$3:$H$54,6,0),"")</f>
        <v/>
      </c>
      <c r="R79" s="85"/>
      <c r="S79" s="85"/>
      <c r="T79" s="85"/>
      <c r="U79" s="85"/>
      <c r="V79" s="85"/>
      <c r="W79" s="85"/>
      <c r="X79" s="85"/>
      <c r="Y79" s="85"/>
      <c r="Z79" s="41" t="str">
        <f aca="false">IF(AND(G79&lt;&gt;"",R79&lt;&gt;"",V79&lt;&gt;"",W79&lt;&gt;""),"COMPLETADO","OBSERVADO")</f>
        <v>OBSERVADO</v>
      </c>
      <c r="AA79" s="89"/>
    </row>
    <row r="80" customFormat="false" ht="15.75" hidden="false" customHeight="true" outlineLevel="0" collapsed="false">
      <c r="A80" s="140"/>
      <c r="B80" s="140"/>
      <c r="C80" s="140"/>
      <c r="D80" s="140"/>
      <c r="E80" s="140"/>
      <c r="F80" s="140"/>
      <c r="G80" s="140"/>
      <c r="H80" s="140"/>
      <c r="I80" s="138" t="str">
        <f aca="false">IFERROR(VLOOKUP(TEXT(H80,"0"),IPRESS!$A$3:$B$212,2,0),"")</f>
        <v/>
      </c>
      <c r="J80" s="140"/>
      <c r="K80" s="138" t="str">
        <f aca="false">IFERROR(VLOOKUP(TEXT(O80,"0"),CONDUCTORES!$A$3:$G$54,7,0),"")</f>
        <v/>
      </c>
      <c r="L80" s="140"/>
      <c r="M80" s="140"/>
      <c r="N80" s="139" t="str">
        <f aca="false">IFERROR(IF(L80*M80=0,"",L80*M80),"")</f>
        <v/>
      </c>
      <c r="O80" s="140"/>
      <c r="P80" s="138" t="str">
        <f aca="false">IFERROR(VLOOKUP(TEXT(O80,"0"),CONDUCTORES!$A$3:$G$54,2,0),"")</f>
        <v/>
      </c>
      <c r="Q80" s="138" t="str">
        <f aca="false">IFERROR(VLOOKUP(TEXT(O80,"0"),CONDUCTORES!$A$3:$H$54,6,0),"")</f>
        <v/>
      </c>
      <c r="R80" s="140"/>
      <c r="S80" s="140"/>
      <c r="T80" s="140"/>
      <c r="U80" s="140"/>
      <c r="V80" s="140"/>
      <c r="W80" s="140"/>
      <c r="X80" s="140"/>
      <c r="Y80" s="140"/>
      <c r="Z80" s="47" t="str">
        <f aca="false">IF(AND(G80&lt;&gt;"",R80&lt;&gt;"",V80&lt;&gt;"",W80&lt;&gt;""),"COMPLETADO","OBSERVADO")</f>
        <v>OBSERVADO</v>
      </c>
      <c r="AA80" s="89"/>
    </row>
    <row r="81" customFormat="false" ht="15.75" hidden="false" customHeight="true" outlineLevel="0" collapsed="false">
      <c r="A81" s="85"/>
      <c r="B81" s="85"/>
      <c r="C81" s="85"/>
      <c r="D81" s="85"/>
      <c r="E81" s="85"/>
      <c r="F81" s="85"/>
      <c r="G81" s="85"/>
      <c r="H81" s="85"/>
      <c r="I81" s="138" t="str">
        <f aca="false">IFERROR(VLOOKUP(TEXT(H81,"0"),IPRESS!$A$3:$B$212,2,0),"")</f>
        <v/>
      </c>
      <c r="J81" s="85"/>
      <c r="K81" s="138" t="str">
        <f aca="false">IFERROR(VLOOKUP(TEXT(O81,"0"),CONDUCTORES!$A$3:$G$54,7,0),"")</f>
        <v/>
      </c>
      <c r="L81" s="85"/>
      <c r="M81" s="85"/>
      <c r="N81" s="139" t="str">
        <f aca="false">IFERROR(IF(L81*M81=0,"",L81*M81),"")</f>
        <v/>
      </c>
      <c r="O81" s="85"/>
      <c r="P81" s="138" t="str">
        <f aca="false">IFERROR(VLOOKUP(TEXT(O81,"0"),CONDUCTORES!$A$3:$G$54,2,0),"")</f>
        <v/>
      </c>
      <c r="Q81" s="138" t="str">
        <f aca="false">IFERROR(VLOOKUP(TEXT(O81,"0"),CONDUCTORES!$A$3:$H$54,6,0),"")</f>
        <v/>
      </c>
      <c r="R81" s="85"/>
      <c r="S81" s="85"/>
      <c r="T81" s="85"/>
      <c r="U81" s="85"/>
      <c r="V81" s="85"/>
      <c r="W81" s="85"/>
      <c r="X81" s="85"/>
      <c r="Y81" s="85"/>
      <c r="Z81" s="41" t="str">
        <f aca="false">IF(AND(G81&lt;&gt;"",R81&lt;&gt;"",V81&lt;&gt;"",W81&lt;&gt;""),"COMPLETADO","OBSERVADO")</f>
        <v>OBSERVADO</v>
      </c>
      <c r="AA81" s="89"/>
    </row>
    <row r="82" customFormat="false" ht="15.75" hidden="false" customHeight="true" outlineLevel="0" collapsed="false">
      <c r="A82" s="140"/>
      <c r="B82" s="140"/>
      <c r="C82" s="140"/>
      <c r="D82" s="140"/>
      <c r="E82" s="140"/>
      <c r="F82" s="140"/>
      <c r="G82" s="140"/>
      <c r="H82" s="140"/>
      <c r="I82" s="138" t="str">
        <f aca="false">IFERROR(VLOOKUP(TEXT(H82,"0"),IPRESS!$A$3:$B$212,2,0),"")</f>
        <v/>
      </c>
      <c r="J82" s="140"/>
      <c r="K82" s="138" t="str">
        <f aca="false">IFERROR(VLOOKUP(TEXT(O82,"0"),CONDUCTORES!$A$3:$G$54,7,0),"")</f>
        <v/>
      </c>
      <c r="L82" s="140"/>
      <c r="M82" s="140"/>
      <c r="N82" s="139" t="str">
        <f aca="false">IFERROR(IF(L82*M82=0,"",L82*M82),"")</f>
        <v/>
      </c>
      <c r="O82" s="140"/>
      <c r="P82" s="138" t="str">
        <f aca="false">IFERROR(VLOOKUP(TEXT(O82,"0"),CONDUCTORES!$A$3:$G$54,2,0),"")</f>
        <v/>
      </c>
      <c r="Q82" s="138" t="str">
        <f aca="false">IFERROR(VLOOKUP(TEXT(O82,"0"),CONDUCTORES!$A$3:$H$54,6,0),"")</f>
        <v/>
      </c>
      <c r="R82" s="140"/>
      <c r="S82" s="140"/>
      <c r="T82" s="140"/>
      <c r="U82" s="140"/>
      <c r="V82" s="140"/>
      <c r="W82" s="140"/>
      <c r="X82" s="140"/>
      <c r="Y82" s="140"/>
      <c r="Z82" s="47" t="str">
        <f aca="false">IF(AND(G82&lt;&gt;"",R82&lt;&gt;"",V82&lt;&gt;"",W82&lt;&gt;""),"COMPLETADO","OBSERVADO")</f>
        <v>OBSERVADO</v>
      </c>
      <c r="AA82" s="89"/>
    </row>
    <row r="83" customFormat="false" ht="15.75" hidden="false" customHeight="true" outlineLevel="0" collapsed="false">
      <c r="A83" s="85"/>
      <c r="B83" s="85"/>
      <c r="C83" s="85"/>
      <c r="D83" s="85"/>
      <c r="E83" s="85"/>
      <c r="F83" s="85"/>
      <c r="G83" s="85"/>
      <c r="H83" s="85"/>
      <c r="I83" s="138" t="str">
        <f aca="false">IFERROR(VLOOKUP(TEXT(H83,"0"),IPRESS!$A$3:$B$212,2,0),"")</f>
        <v/>
      </c>
      <c r="J83" s="85"/>
      <c r="K83" s="138" t="str">
        <f aca="false">IFERROR(VLOOKUP(TEXT(O83,"0"),CONDUCTORES!$A$3:$G$54,7,0),"")</f>
        <v/>
      </c>
      <c r="L83" s="85"/>
      <c r="M83" s="85"/>
      <c r="N83" s="139" t="str">
        <f aca="false">IFERROR(IF(L83*M83=0,"",L83*M83),"")</f>
        <v/>
      </c>
      <c r="O83" s="85"/>
      <c r="P83" s="138" t="str">
        <f aca="false">IFERROR(VLOOKUP(TEXT(O83,"0"),CONDUCTORES!$A$3:$G$54,2,0),"")</f>
        <v/>
      </c>
      <c r="Q83" s="138" t="str">
        <f aca="false">IFERROR(VLOOKUP(TEXT(O83,"0"),CONDUCTORES!$A$3:$H$54,6,0),"")</f>
        <v/>
      </c>
      <c r="R83" s="85"/>
      <c r="S83" s="85"/>
      <c r="T83" s="85"/>
      <c r="U83" s="85"/>
      <c r="V83" s="85"/>
      <c r="W83" s="85"/>
      <c r="X83" s="85"/>
      <c r="Y83" s="85"/>
      <c r="Z83" s="41" t="str">
        <f aca="false">IF(AND(G83&lt;&gt;"",R83&lt;&gt;"",V83&lt;&gt;"",W83&lt;&gt;""),"COMPLETADO","OBSERVADO")</f>
        <v>OBSERVADO</v>
      </c>
      <c r="AA83" s="89"/>
    </row>
    <row r="84" customFormat="false" ht="15.75" hidden="false" customHeight="true" outlineLevel="0" collapsed="false">
      <c r="A84" s="140"/>
      <c r="B84" s="140"/>
      <c r="C84" s="140"/>
      <c r="D84" s="140"/>
      <c r="E84" s="140"/>
      <c r="F84" s="140"/>
      <c r="G84" s="140"/>
      <c r="H84" s="140"/>
      <c r="I84" s="138" t="str">
        <f aca="false">IFERROR(VLOOKUP(TEXT(H84,"0"),IPRESS!$A$3:$B$212,2,0),"")</f>
        <v/>
      </c>
      <c r="J84" s="140"/>
      <c r="K84" s="138" t="str">
        <f aca="false">IFERROR(VLOOKUP(TEXT(O84,"0"),CONDUCTORES!$A$3:$G$54,7,0),"")</f>
        <v/>
      </c>
      <c r="L84" s="140"/>
      <c r="M84" s="140"/>
      <c r="N84" s="139" t="str">
        <f aca="false">IFERROR(IF(L84*M84=0,"",L84*M84),"")</f>
        <v/>
      </c>
      <c r="O84" s="140"/>
      <c r="P84" s="138" t="str">
        <f aca="false">IFERROR(VLOOKUP(TEXT(O84,"0"),CONDUCTORES!$A$3:$G$54,2,0),"")</f>
        <v/>
      </c>
      <c r="Q84" s="138" t="str">
        <f aca="false">IFERROR(VLOOKUP(TEXT(O84,"0"),CONDUCTORES!$A$3:$H$54,6,0),"")</f>
        <v/>
      </c>
      <c r="R84" s="140"/>
      <c r="S84" s="140"/>
      <c r="T84" s="140"/>
      <c r="U84" s="140"/>
      <c r="V84" s="140"/>
      <c r="W84" s="140"/>
      <c r="X84" s="140"/>
      <c r="Y84" s="140"/>
      <c r="Z84" s="47" t="str">
        <f aca="false">IF(AND(G84&lt;&gt;"",R84&lt;&gt;"",V84&lt;&gt;"",W84&lt;&gt;""),"COMPLETADO","OBSERVADO")</f>
        <v>OBSERVADO</v>
      </c>
      <c r="AA84" s="89"/>
    </row>
    <row r="85" customFormat="false" ht="15.75" hidden="false" customHeight="true" outlineLevel="0" collapsed="false">
      <c r="A85" s="85"/>
      <c r="B85" s="85"/>
      <c r="C85" s="85"/>
      <c r="D85" s="85"/>
      <c r="E85" s="85"/>
      <c r="F85" s="85"/>
      <c r="G85" s="85"/>
      <c r="H85" s="85"/>
      <c r="I85" s="138" t="str">
        <f aca="false">IFERROR(VLOOKUP(TEXT(H85,"0"),IPRESS!$A$3:$B$212,2,0),"")</f>
        <v/>
      </c>
      <c r="J85" s="85"/>
      <c r="K85" s="138" t="str">
        <f aca="false">IFERROR(VLOOKUP(TEXT(O85,"0"),CONDUCTORES!$A$3:$G$54,7,0),"")</f>
        <v/>
      </c>
      <c r="L85" s="85"/>
      <c r="M85" s="85"/>
      <c r="N85" s="139" t="str">
        <f aca="false">IFERROR(IF(L85*M85=0,"",L85*M85),"")</f>
        <v/>
      </c>
      <c r="O85" s="85"/>
      <c r="P85" s="138" t="str">
        <f aca="false">IFERROR(VLOOKUP(TEXT(O85,"0"),CONDUCTORES!$A$3:$G$54,2,0),"")</f>
        <v/>
      </c>
      <c r="Q85" s="138" t="str">
        <f aca="false">IFERROR(VLOOKUP(TEXT(O85,"0"),CONDUCTORES!$A$3:$H$54,6,0),"")</f>
        <v/>
      </c>
      <c r="R85" s="85"/>
      <c r="S85" s="85"/>
      <c r="T85" s="85"/>
      <c r="U85" s="85"/>
      <c r="V85" s="85"/>
      <c r="W85" s="85"/>
      <c r="X85" s="85"/>
      <c r="Y85" s="85"/>
      <c r="Z85" s="41" t="str">
        <f aca="false">IF(AND(G85&lt;&gt;"",R85&lt;&gt;"",V85&lt;&gt;"",W85&lt;&gt;""),"COMPLETADO","OBSERVADO")</f>
        <v>OBSERVADO</v>
      </c>
      <c r="AA85" s="89"/>
    </row>
    <row r="86" customFormat="false" ht="15.75" hidden="false" customHeight="true" outlineLevel="0" collapsed="false">
      <c r="A86" s="140"/>
      <c r="B86" s="140"/>
      <c r="C86" s="140"/>
      <c r="D86" s="140"/>
      <c r="E86" s="140"/>
      <c r="F86" s="140"/>
      <c r="G86" s="140"/>
      <c r="H86" s="140"/>
      <c r="I86" s="138" t="str">
        <f aca="false">IFERROR(VLOOKUP(TEXT(H86,"0"),IPRESS!$A$3:$B$212,2,0),"")</f>
        <v/>
      </c>
      <c r="J86" s="140"/>
      <c r="K86" s="138" t="str">
        <f aca="false">IFERROR(VLOOKUP(TEXT(O86,"0"),CONDUCTORES!$A$3:$G$54,7,0),"")</f>
        <v/>
      </c>
      <c r="L86" s="140"/>
      <c r="M86" s="140"/>
      <c r="N86" s="139" t="str">
        <f aca="false">IFERROR(IF(L86*M86=0,"",L86*M86),"")</f>
        <v/>
      </c>
      <c r="O86" s="140"/>
      <c r="P86" s="138" t="str">
        <f aca="false">IFERROR(VLOOKUP(TEXT(O86,"0"),CONDUCTORES!$A$3:$G$54,2,0),"")</f>
        <v/>
      </c>
      <c r="Q86" s="138" t="str">
        <f aca="false">IFERROR(VLOOKUP(TEXT(O86,"0"),CONDUCTORES!$A$3:$H$54,6,0),"")</f>
        <v/>
      </c>
      <c r="R86" s="140"/>
      <c r="S86" s="140"/>
      <c r="T86" s="140"/>
      <c r="U86" s="140"/>
      <c r="V86" s="140"/>
      <c r="W86" s="140"/>
      <c r="X86" s="140"/>
      <c r="Y86" s="140"/>
      <c r="Z86" s="47" t="str">
        <f aca="false">IF(AND(G86&lt;&gt;"",R86&lt;&gt;"",V86&lt;&gt;"",W86&lt;&gt;""),"COMPLETADO","OBSERVADO")</f>
        <v>OBSERVADO</v>
      </c>
      <c r="AA86" s="89"/>
    </row>
    <row r="87" customFormat="false" ht="15.75" hidden="false" customHeight="true" outlineLevel="0" collapsed="false">
      <c r="A87" s="85"/>
      <c r="B87" s="85"/>
      <c r="C87" s="85"/>
      <c r="D87" s="85"/>
      <c r="E87" s="85"/>
      <c r="F87" s="85"/>
      <c r="G87" s="85"/>
      <c r="H87" s="85"/>
      <c r="I87" s="138" t="str">
        <f aca="false">IFERROR(VLOOKUP(TEXT(H87,"0"),IPRESS!$A$3:$B$212,2,0),"")</f>
        <v/>
      </c>
      <c r="J87" s="85"/>
      <c r="K87" s="138" t="str">
        <f aca="false">IFERROR(VLOOKUP(TEXT(O87,"0"),CONDUCTORES!$A$3:$G$54,7,0),"")</f>
        <v/>
      </c>
      <c r="L87" s="85"/>
      <c r="M87" s="85"/>
      <c r="N87" s="139" t="str">
        <f aca="false">IFERROR(IF(L87*M87=0,"",L87*M87),"")</f>
        <v/>
      </c>
      <c r="O87" s="85"/>
      <c r="P87" s="138" t="str">
        <f aca="false">IFERROR(VLOOKUP(TEXT(O87,"0"),CONDUCTORES!$A$3:$G$54,2,0),"")</f>
        <v/>
      </c>
      <c r="Q87" s="138" t="str">
        <f aca="false">IFERROR(VLOOKUP(TEXT(O87,"0"),CONDUCTORES!$A$3:$H$54,6,0),"")</f>
        <v/>
      </c>
      <c r="R87" s="85"/>
      <c r="S87" s="85"/>
      <c r="T87" s="85"/>
      <c r="U87" s="85"/>
      <c r="V87" s="85"/>
      <c r="W87" s="85"/>
      <c r="X87" s="85"/>
      <c r="Y87" s="85"/>
      <c r="Z87" s="41" t="str">
        <f aca="false">IF(AND(G87&lt;&gt;"",R87&lt;&gt;"",V87&lt;&gt;"",W87&lt;&gt;""),"COMPLETADO","OBSERVADO")</f>
        <v>OBSERVADO</v>
      </c>
      <c r="AA87" s="89"/>
    </row>
    <row r="88" customFormat="false" ht="15.75" hidden="false" customHeight="true" outlineLevel="0" collapsed="false">
      <c r="A88" s="140"/>
      <c r="B88" s="140"/>
      <c r="C88" s="140"/>
      <c r="D88" s="140"/>
      <c r="E88" s="140"/>
      <c r="F88" s="140"/>
      <c r="G88" s="140"/>
      <c r="H88" s="140"/>
      <c r="I88" s="138" t="str">
        <f aca="false">IFERROR(VLOOKUP(TEXT(H88,"0"),IPRESS!$A$3:$B$212,2,0),"")</f>
        <v/>
      </c>
      <c r="J88" s="140"/>
      <c r="K88" s="138" t="str">
        <f aca="false">IFERROR(VLOOKUP(TEXT(O88,"0"),CONDUCTORES!$A$3:$G$54,7,0),"")</f>
        <v/>
      </c>
      <c r="L88" s="140"/>
      <c r="M88" s="140"/>
      <c r="N88" s="139" t="str">
        <f aca="false">IFERROR(IF(L88*M88=0,"",L88*M88),"")</f>
        <v/>
      </c>
      <c r="O88" s="140"/>
      <c r="P88" s="138" t="str">
        <f aca="false">IFERROR(VLOOKUP(TEXT(O88,"0"),CONDUCTORES!$A$3:$G$54,2,0),"")</f>
        <v/>
      </c>
      <c r="Q88" s="138" t="str">
        <f aca="false">IFERROR(VLOOKUP(TEXT(O88,"0"),CONDUCTORES!$A$3:$H$54,6,0),"")</f>
        <v/>
      </c>
      <c r="R88" s="140"/>
      <c r="S88" s="140"/>
      <c r="T88" s="140"/>
      <c r="U88" s="140"/>
      <c r="V88" s="140"/>
      <c r="W88" s="140"/>
      <c r="X88" s="140"/>
      <c r="Y88" s="140"/>
      <c r="Z88" s="47" t="str">
        <f aca="false">IF(AND(G88&lt;&gt;"",R88&lt;&gt;"",V88&lt;&gt;"",W88&lt;&gt;""),"COMPLETADO","OBSERVADO")</f>
        <v>OBSERVADO</v>
      </c>
      <c r="AA88" s="89"/>
    </row>
    <row r="89" customFormat="false" ht="15.75" hidden="false" customHeight="true" outlineLevel="0" collapsed="false">
      <c r="A89" s="85"/>
      <c r="B89" s="85"/>
      <c r="C89" s="85"/>
      <c r="D89" s="85"/>
      <c r="E89" s="85"/>
      <c r="F89" s="85"/>
      <c r="G89" s="85"/>
      <c r="H89" s="85"/>
      <c r="I89" s="138" t="str">
        <f aca="false">IFERROR(VLOOKUP(TEXT(H89,"0"),IPRESS!$A$3:$B$212,2,0),"")</f>
        <v/>
      </c>
      <c r="J89" s="85"/>
      <c r="K89" s="138" t="str">
        <f aca="false">IFERROR(VLOOKUP(TEXT(O89,"0"),CONDUCTORES!$A$3:$G$54,7,0),"")</f>
        <v/>
      </c>
      <c r="L89" s="85"/>
      <c r="M89" s="85"/>
      <c r="N89" s="139" t="str">
        <f aca="false">IFERROR(IF(L89*M89=0,"",L89*M89),"")</f>
        <v/>
      </c>
      <c r="O89" s="85"/>
      <c r="P89" s="138" t="str">
        <f aca="false">IFERROR(VLOOKUP(TEXT(O89,"0"),CONDUCTORES!$A$3:$G$54,2,0),"")</f>
        <v/>
      </c>
      <c r="Q89" s="138" t="str">
        <f aca="false">IFERROR(VLOOKUP(TEXT(O89,"0"),CONDUCTORES!$A$3:$H$54,6,0),"")</f>
        <v/>
      </c>
      <c r="R89" s="85"/>
      <c r="S89" s="85"/>
      <c r="T89" s="85"/>
      <c r="U89" s="85"/>
      <c r="V89" s="85"/>
      <c r="W89" s="85"/>
      <c r="X89" s="85"/>
      <c r="Y89" s="85"/>
      <c r="Z89" s="41" t="str">
        <f aca="false">IF(AND(G89&lt;&gt;"",R89&lt;&gt;"",V89&lt;&gt;"",W89&lt;&gt;""),"COMPLETADO","OBSERVADO")</f>
        <v>OBSERVADO</v>
      </c>
      <c r="AA89" s="89"/>
    </row>
    <row r="90" customFormat="false" ht="15.75" hidden="false" customHeight="true" outlineLevel="0" collapsed="false">
      <c r="A90" s="140"/>
      <c r="B90" s="140"/>
      <c r="C90" s="140"/>
      <c r="D90" s="140"/>
      <c r="E90" s="140"/>
      <c r="F90" s="140"/>
      <c r="G90" s="140"/>
      <c r="H90" s="140"/>
      <c r="I90" s="138" t="str">
        <f aca="false">IFERROR(VLOOKUP(TEXT(H90,"0"),IPRESS!$A$3:$B$212,2,0),"")</f>
        <v/>
      </c>
      <c r="J90" s="140"/>
      <c r="K90" s="138" t="str">
        <f aca="false">IFERROR(VLOOKUP(TEXT(O90,"0"),CONDUCTORES!$A$3:$G$54,7,0),"")</f>
        <v/>
      </c>
      <c r="L90" s="140"/>
      <c r="M90" s="140"/>
      <c r="N90" s="139" t="str">
        <f aca="false">IFERROR(IF(L90*M90=0,"",L90*M90),"")</f>
        <v/>
      </c>
      <c r="O90" s="140"/>
      <c r="P90" s="138" t="str">
        <f aca="false">IFERROR(VLOOKUP(TEXT(O90,"0"),CONDUCTORES!$A$3:$G$54,2,0),"")</f>
        <v/>
      </c>
      <c r="Q90" s="138" t="str">
        <f aca="false">IFERROR(VLOOKUP(TEXT(O90,"0"),CONDUCTORES!$A$3:$H$54,6,0),"")</f>
        <v/>
      </c>
      <c r="R90" s="140"/>
      <c r="S90" s="140"/>
      <c r="T90" s="140"/>
      <c r="U90" s="140"/>
      <c r="V90" s="140"/>
      <c r="W90" s="140"/>
      <c r="X90" s="140"/>
      <c r="Y90" s="140"/>
      <c r="Z90" s="47" t="str">
        <f aca="false">IF(AND(G90&lt;&gt;"",R90&lt;&gt;"",V90&lt;&gt;"",W90&lt;&gt;""),"COMPLETADO","OBSERVADO")</f>
        <v>OBSERVADO</v>
      </c>
      <c r="AA90" s="89"/>
    </row>
    <row r="91" customFormat="false" ht="15.75" hidden="false" customHeight="true" outlineLevel="0" collapsed="false">
      <c r="A91" s="85"/>
      <c r="B91" s="85"/>
      <c r="C91" s="85"/>
      <c r="D91" s="85"/>
      <c r="E91" s="85"/>
      <c r="F91" s="85"/>
      <c r="G91" s="85"/>
      <c r="H91" s="85"/>
      <c r="I91" s="138" t="str">
        <f aca="false">IFERROR(VLOOKUP(TEXT(H91,"0"),IPRESS!$A$3:$B$212,2,0),"")</f>
        <v/>
      </c>
      <c r="J91" s="85"/>
      <c r="K91" s="138" t="str">
        <f aca="false">IFERROR(VLOOKUP(TEXT(O91,"0"),CONDUCTORES!$A$3:$G$54,7,0),"")</f>
        <v/>
      </c>
      <c r="L91" s="85"/>
      <c r="M91" s="85"/>
      <c r="N91" s="139" t="str">
        <f aca="false">IFERROR(IF(L91*M91=0,"",L91*M91),"")</f>
        <v/>
      </c>
      <c r="O91" s="85"/>
      <c r="P91" s="138" t="str">
        <f aca="false">IFERROR(VLOOKUP(TEXT(O91,"0"),CONDUCTORES!$A$3:$G$54,2,0),"")</f>
        <v/>
      </c>
      <c r="Q91" s="138" t="str">
        <f aca="false">IFERROR(VLOOKUP(TEXT(O91,"0"),CONDUCTORES!$A$3:$H$54,6,0),"")</f>
        <v/>
      </c>
      <c r="R91" s="85"/>
      <c r="S91" s="85"/>
      <c r="T91" s="85"/>
      <c r="U91" s="85"/>
      <c r="V91" s="85"/>
      <c r="W91" s="85"/>
      <c r="X91" s="85"/>
      <c r="Y91" s="85"/>
      <c r="Z91" s="41" t="str">
        <f aca="false">IF(AND(G91&lt;&gt;"",R91&lt;&gt;"",V91&lt;&gt;"",W91&lt;&gt;""),"COMPLETADO","OBSERVADO")</f>
        <v>OBSERVADO</v>
      </c>
      <c r="AA91" s="89"/>
    </row>
    <row r="92" customFormat="false" ht="15.75" hidden="false" customHeight="true" outlineLevel="0" collapsed="false">
      <c r="A92" s="140"/>
      <c r="B92" s="140"/>
      <c r="C92" s="140"/>
      <c r="D92" s="140"/>
      <c r="E92" s="140"/>
      <c r="F92" s="140"/>
      <c r="G92" s="140"/>
      <c r="H92" s="140"/>
      <c r="I92" s="138" t="str">
        <f aca="false">IFERROR(VLOOKUP(TEXT(H92,"0"),IPRESS!$A$3:$B$212,2,0),"")</f>
        <v/>
      </c>
      <c r="J92" s="140"/>
      <c r="K92" s="138" t="str">
        <f aca="false">IFERROR(VLOOKUP(TEXT(O92,"0"),CONDUCTORES!$A$3:$G$54,7,0),"")</f>
        <v/>
      </c>
      <c r="L92" s="140"/>
      <c r="M92" s="140"/>
      <c r="N92" s="139" t="str">
        <f aca="false">IFERROR(IF(L92*M92=0,"",L92*M92),"")</f>
        <v/>
      </c>
      <c r="O92" s="140"/>
      <c r="P92" s="138" t="str">
        <f aca="false">IFERROR(VLOOKUP(TEXT(O92,"0"),CONDUCTORES!$A$3:$G$54,2,0),"")</f>
        <v/>
      </c>
      <c r="Q92" s="138" t="str">
        <f aca="false">IFERROR(VLOOKUP(TEXT(O92,"0"),CONDUCTORES!$A$3:$H$54,6,0),"")</f>
        <v/>
      </c>
      <c r="R92" s="140"/>
      <c r="S92" s="140"/>
      <c r="T92" s="140"/>
      <c r="U92" s="140"/>
      <c r="V92" s="140"/>
      <c r="W92" s="140"/>
      <c r="X92" s="140"/>
      <c r="Y92" s="140"/>
      <c r="Z92" s="47" t="str">
        <f aca="false">IF(AND(G92&lt;&gt;"",R92&lt;&gt;"",V92&lt;&gt;"",W92&lt;&gt;""),"COMPLETADO","OBSERVADO")</f>
        <v>OBSERVADO</v>
      </c>
      <c r="AA92" s="89"/>
    </row>
    <row r="93" customFormat="false" ht="15.75" hidden="false" customHeight="true" outlineLevel="0" collapsed="false">
      <c r="A93" s="85"/>
      <c r="B93" s="85"/>
      <c r="C93" s="85"/>
      <c r="D93" s="85"/>
      <c r="E93" s="85"/>
      <c r="F93" s="85"/>
      <c r="G93" s="85"/>
      <c r="H93" s="85"/>
      <c r="I93" s="138" t="str">
        <f aca="false">IFERROR(VLOOKUP(TEXT(H93,"0"),IPRESS!$A$3:$B$212,2,0),"")</f>
        <v/>
      </c>
      <c r="J93" s="85"/>
      <c r="K93" s="138" t="str">
        <f aca="false">IFERROR(VLOOKUP(TEXT(O93,"0"),CONDUCTORES!$A$3:$G$54,7,0),"")</f>
        <v/>
      </c>
      <c r="L93" s="85"/>
      <c r="M93" s="85"/>
      <c r="N93" s="139" t="str">
        <f aca="false">IFERROR(IF(L93*M93=0,"",L93*M93),"")</f>
        <v/>
      </c>
      <c r="O93" s="85"/>
      <c r="P93" s="138" t="str">
        <f aca="false">IFERROR(VLOOKUP(TEXT(O93,"0"),CONDUCTORES!$A$3:$G$54,2,0),"")</f>
        <v/>
      </c>
      <c r="Q93" s="138" t="str">
        <f aca="false">IFERROR(VLOOKUP(TEXT(O93,"0"),CONDUCTORES!$A$3:$H$54,6,0),"")</f>
        <v/>
      </c>
      <c r="R93" s="85"/>
      <c r="S93" s="85"/>
      <c r="T93" s="85"/>
      <c r="U93" s="85"/>
      <c r="V93" s="85"/>
      <c r="W93" s="85"/>
      <c r="X93" s="85"/>
      <c r="Y93" s="85"/>
      <c r="Z93" s="41" t="str">
        <f aca="false">IF(AND(G93&lt;&gt;"",R93&lt;&gt;"",V93&lt;&gt;"",W93&lt;&gt;""),"COMPLETADO","OBSERVADO")</f>
        <v>OBSERVADO</v>
      </c>
      <c r="AA93" s="89"/>
    </row>
    <row r="94" customFormat="false" ht="15.75" hidden="false" customHeight="true" outlineLevel="0" collapsed="false">
      <c r="A94" s="140"/>
      <c r="B94" s="140"/>
      <c r="C94" s="140"/>
      <c r="D94" s="140"/>
      <c r="E94" s="140"/>
      <c r="F94" s="140"/>
      <c r="G94" s="140"/>
      <c r="H94" s="140"/>
      <c r="I94" s="138" t="str">
        <f aca="false">IFERROR(VLOOKUP(TEXT(H94,"0"),IPRESS!$A$3:$B$212,2,0),"")</f>
        <v/>
      </c>
      <c r="J94" s="140"/>
      <c r="K94" s="138" t="str">
        <f aca="false">IFERROR(VLOOKUP(TEXT(O94,"0"),CONDUCTORES!$A$3:$G$54,7,0),"")</f>
        <v/>
      </c>
      <c r="L94" s="140"/>
      <c r="M94" s="140"/>
      <c r="N94" s="139" t="str">
        <f aca="false">IFERROR(IF(L94*M94=0,"",L94*M94),"")</f>
        <v/>
      </c>
      <c r="O94" s="140"/>
      <c r="P94" s="138" t="str">
        <f aca="false">IFERROR(VLOOKUP(TEXT(O94,"0"),CONDUCTORES!$A$3:$G$54,2,0),"")</f>
        <v/>
      </c>
      <c r="Q94" s="138" t="str">
        <f aca="false">IFERROR(VLOOKUP(TEXT(O94,"0"),CONDUCTORES!$A$3:$H$54,6,0),"")</f>
        <v/>
      </c>
      <c r="R94" s="140"/>
      <c r="S94" s="140"/>
      <c r="T94" s="140"/>
      <c r="U94" s="140"/>
      <c r="V94" s="140"/>
      <c r="W94" s="140"/>
      <c r="X94" s="140"/>
      <c r="Y94" s="140"/>
      <c r="Z94" s="47" t="str">
        <f aca="false">IF(AND(G94&lt;&gt;"",R94&lt;&gt;"",V94&lt;&gt;"",W94&lt;&gt;""),"COMPLETADO","OBSERVADO")</f>
        <v>OBSERVADO</v>
      </c>
      <c r="AA94" s="89"/>
    </row>
    <row r="95" customFormat="false" ht="15.75" hidden="false" customHeight="true" outlineLevel="0" collapsed="false">
      <c r="A95" s="85"/>
      <c r="B95" s="85"/>
      <c r="C95" s="85"/>
      <c r="D95" s="85"/>
      <c r="E95" s="85"/>
      <c r="F95" s="85"/>
      <c r="G95" s="85"/>
      <c r="H95" s="85"/>
      <c r="I95" s="138" t="str">
        <f aca="false">IFERROR(VLOOKUP(TEXT(H95,"0"),IPRESS!$A$3:$B$212,2,0),"")</f>
        <v/>
      </c>
      <c r="J95" s="85"/>
      <c r="K95" s="138" t="str">
        <f aca="false">IFERROR(VLOOKUP(TEXT(O95,"0"),CONDUCTORES!$A$3:$G$54,7,0),"")</f>
        <v/>
      </c>
      <c r="L95" s="85"/>
      <c r="M95" s="85"/>
      <c r="N95" s="139" t="str">
        <f aca="false">IFERROR(IF(L95*M95=0,"",L95*M95),"")</f>
        <v/>
      </c>
      <c r="O95" s="85"/>
      <c r="P95" s="138" t="str">
        <f aca="false">IFERROR(VLOOKUP(TEXT(O95,"0"),CONDUCTORES!$A$3:$G$54,2,0),"")</f>
        <v/>
      </c>
      <c r="Q95" s="138" t="str">
        <f aca="false">IFERROR(VLOOKUP(TEXT(O95,"0"),CONDUCTORES!$A$3:$H$54,6,0),"")</f>
        <v/>
      </c>
      <c r="R95" s="85"/>
      <c r="S95" s="85"/>
      <c r="T95" s="85"/>
      <c r="U95" s="85"/>
      <c r="V95" s="85"/>
      <c r="W95" s="85"/>
      <c r="X95" s="85"/>
      <c r="Y95" s="85"/>
      <c r="Z95" s="41" t="str">
        <f aca="false">IF(AND(G95&lt;&gt;"",R95&lt;&gt;"",V95&lt;&gt;"",W95&lt;&gt;""),"COMPLETADO","OBSERVADO")</f>
        <v>OBSERVADO</v>
      </c>
      <c r="AA95" s="89"/>
    </row>
    <row r="96" customFormat="false" ht="15.75" hidden="false" customHeight="true" outlineLevel="0" collapsed="false">
      <c r="A96" s="140"/>
      <c r="B96" s="140"/>
      <c r="C96" s="140"/>
      <c r="D96" s="140"/>
      <c r="E96" s="140"/>
      <c r="F96" s="140"/>
      <c r="G96" s="140"/>
      <c r="H96" s="140"/>
      <c r="I96" s="138" t="str">
        <f aca="false">IFERROR(VLOOKUP(TEXT(H96,"0"),IPRESS!$A$3:$B$212,2,0),"")</f>
        <v/>
      </c>
      <c r="J96" s="140"/>
      <c r="K96" s="138" t="str">
        <f aca="false">IFERROR(VLOOKUP(TEXT(O96,"0"),CONDUCTORES!$A$3:$G$54,7,0),"")</f>
        <v/>
      </c>
      <c r="L96" s="140"/>
      <c r="M96" s="140"/>
      <c r="N96" s="139" t="str">
        <f aca="false">IFERROR(IF(L96*M96=0,"",L96*M96),"")</f>
        <v/>
      </c>
      <c r="O96" s="140"/>
      <c r="P96" s="138" t="str">
        <f aca="false">IFERROR(VLOOKUP(TEXT(O96,"0"),CONDUCTORES!$A$3:$G$54,2,0),"")</f>
        <v/>
      </c>
      <c r="Q96" s="138" t="str">
        <f aca="false">IFERROR(VLOOKUP(TEXT(O96,"0"),CONDUCTORES!$A$3:$H$54,6,0),"")</f>
        <v/>
      </c>
      <c r="R96" s="140"/>
      <c r="S96" s="140"/>
      <c r="T96" s="140"/>
      <c r="U96" s="140"/>
      <c r="V96" s="140"/>
      <c r="W96" s="140"/>
      <c r="X96" s="140"/>
      <c r="Y96" s="140"/>
      <c r="Z96" s="47" t="str">
        <f aca="false">IF(AND(G96&lt;&gt;"",R96&lt;&gt;"",V96&lt;&gt;"",W96&lt;&gt;""),"COMPLETADO","OBSERVADO")</f>
        <v>OBSERVADO</v>
      </c>
      <c r="AA96" s="89"/>
    </row>
    <row r="97" customFormat="false" ht="15.75" hidden="false" customHeight="true" outlineLevel="0" collapsed="false">
      <c r="A97" s="85"/>
      <c r="B97" s="85"/>
      <c r="C97" s="85"/>
      <c r="D97" s="85"/>
      <c r="E97" s="85"/>
      <c r="F97" s="85"/>
      <c r="G97" s="85"/>
      <c r="H97" s="85"/>
      <c r="I97" s="138" t="str">
        <f aca="false">IFERROR(VLOOKUP(TEXT(H97,"0"),IPRESS!$A$3:$B$212,2,0),"")</f>
        <v/>
      </c>
      <c r="J97" s="85"/>
      <c r="K97" s="138" t="str">
        <f aca="false">IFERROR(VLOOKUP(TEXT(O97,"0"),CONDUCTORES!$A$3:$G$54,7,0),"")</f>
        <v/>
      </c>
      <c r="L97" s="85"/>
      <c r="M97" s="85"/>
      <c r="N97" s="139" t="str">
        <f aca="false">IFERROR(IF(L97*M97=0,"",L97*M97),"")</f>
        <v/>
      </c>
      <c r="O97" s="85"/>
      <c r="P97" s="138" t="str">
        <f aca="false">IFERROR(VLOOKUP(TEXT(O97,"0"),CONDUCTORES!$A$3:$G$54,2,0),"")</f>
        <v/>
      </c>
      <c r="Q97" s="138" t="str">
        <f aca="false">IFERROR(VLOOKUP(TEXT(O97,"0"),CONDUCTORES!$A$3:$H$54,6,0),"")</f>
        <v/>
      </c>
      <c r="R97" s="85"/>
      <c r="S97" s="85"/>
      <c r="T97" s="85"/>
      <c r="U97" s="85"/>
      <c r="V97" s="85"/>
      <c r="W97" s="85"/>
      <c r="X97" s="85"/>
      <c r="Y97" s="85"/>
      <c r="Z97" s="41" t="str">
        <f aca="false">IF(AND(G97&lt;&gt;"",R97&lt;&gt;"",V97&lt;&gt;"",W97&lt;&gt;""),"COMPLETADO","OBSERVADO")</f>
        <v>OBSERVADO</v>
      </c>
      <c r="AA97" s="89"/>
    </row>
    <row r="98" customFormat="false" ht="15.75" hidden="false" customHeight="true" outlineLevel="0" collapsed="false">
      <c r="A98" s="140"/>
      <c r="B98" s="140"/>
      <c r="C98" s="140"/>
      <c r="D98" s="140"/>
      <c r="E98" s="140"/>
      <c r="F98" s="140"/>
      <c r="G98" s="140"/>
      <c r="H98" s="140"/>
      <c r="I98" s="138" t="str">
        <f aca="false">IFERROR(VLOOKUP(TEXT(H98,"0"),IPRESS!$A$3:$B$212,2,0),"")</f>
        <v/>
      </c>
      <c r="J98" s="140"/>
      <c r="K98" s="138" t="str">
        <f aca="false">IFERROR(VLOOKUP(TEXT(O98,"0"),CONDUCTORES!$A$3:$G$54,7,0),"")</f>
        <v/>
      </c>
      <c r="L98" s="140"/>
      <c r="M98" s="140"/>
      <c r="N98" s="139" t="str">
        <f aca="false">IFERROR(IF(L98*M98=0,"",L98*M98),"")</f>
        <v/>
      </c>
      <c r="O98" s="140"/>
      <c r="P98" s="138" t="str">
        <f aca="false">IFERROR(VLOOKUP(TEXT(O98,"0"),CONDUCTORES!$A$3:$G$54,2,0),"")</f>
        <v/>
      </c>
      <c r="Q98" s="138" t="str">
        <f aca="false">IFERROR(VLOOKUP(TEXT(O98,"0"),CONDUCTORES!$A$3:$H$54,6,0),"")</f>
        <v/>
      </c>
      <c r="R98" s="140"/>
      <c r="S98" s="140"/>
      <c r="T98" s="140"/>
      <c r="U98" s="140"/>
      <c r="V98" s="140"/>
      <c r="W98" s="140"/>
      <c r="X98" s="140"/>
      <c r="Y98" s="140"/>
      <c r="Z98" s="47" t="str">
        <f aca="false">IF(AND(G98&lt;&gt;"",R98&lt;&gt;"",V98&lt;&gt;"",W98&lt;&gt;""),"COMPLETADO","OBSERVADO")</f>
        <v>OBSERVADO</v>
      </c>
      <c r="AA98" s="89"/>
    </row>
    <row r="99" customFormat="false" ht="15.75" hidden="false" customHeight="true" outlineLevel="0" collapsed="false">
      <c r="A99" s="85"/>
      <c r="B99" s="85"/>
      <c r="C99" s="85"/>
      <c r="D99" s="85"/>
      <c r="E99" s="85"/>
      <c r="F99" s="85"/>
      <c r="G99" s="85"/>
      <c r="H99" s="85"/>
      <c r="I99" s="138" t="str">
        <f aca="false">IFERROR(VLOOKUP(TEXT(H99,"0"),IPRESS!$A$3:$B$212,2,0),"")</f>
        <v/>
      </c>
      <c r="J99" s="85"/>
      <c r="K99" s="138" t="str">
        <f aca="false">IFERROR(VLOOKUP(TEXT(O99,"0"),CONDUCTORES!$A$3:$G$54,7,0),"")</f>
        <v/>
      </c>
      <c r="L99" s="85"/>
      <c r="M99" s="85"/>
      <c r="N99" s="139" t="str">
        <f aca="false">IFERROR(IF(L99*M99=0,"",L99*M99),"")</f>
        <v/>
      </c>
      <c r="O99" s="85"/>
      <c r="P99" s="138" t="str">
        <f aca="false">IFERROR(VLOOKUP(TEXT(O99,"0"),CONDUCTORES!$A$3:$G$54,2,0),"")</f>
        <v/>
      </c>
      <c r="Q99" s="138" t="str">
        <f aca="false">IFERROR(VLOOKUP(TEXT(O99,"0"),CONDUCTORES!$A$3:$H$54,6,0),"")</f>
        <v/>
      </c>
      <c r="R99" s="85"/>
      <c r="S99" s="85"/>
      <c r="T99" s="85"/>
      <c r="U99" s="85"/>
      <c r="V99" s="85"/>
      <c r="W99" s="85"/>
      <c r="X99" s="85"/>
      <c r="Y99" s="85"/>
      <c r="Z99" s="41" t="str">
        <f aca="false">IF(AND(G99&lt;&gt;"",R99&lt;&gt;"",V99&lt;&gt;"",W99&lt;&gt;""),"COMPLETADO","OBSERVADO")</f>
        <v>OBSERVADO</v>
      </c>
      <c r="AA99" s="89"/>
    </row>
    <row r="100" customFormat="false" ht="15.75" hidden="false" customHeight="true" outlineLevel="0" collapsed="false">
      <c r="A100" s="140"/>
      <c r="B100" s="140"/>
      <c r="C100" s="140"/>
      <c r="D100" s="140"/>
      <c r="E100" s="140"/>
      <c r="F100" s="140"/>
      <c r="G100" s="140"/>
      <c r="H100" s="140"/>
      <c r="I100" s="138" t="str">
        <f aca="false">IFERROR(VLOOKUP(TEXT(H100,"0"),IPRESS!$A$3:$B$212,2,0),"")</f>
        <v/>
      </c>
      <c r="J100" s="140"/>
      <c r="K100" s="138" t="str">
        <f aca="false">IFERROR(VLOOKUP(TEXT(O100,"0"),CONDUCTORES!$A$3:$G$54,7,0),"")</f>
        <v/>
      </c>
      <c r="L100" s="140"/>
      <c r="M100" s="140"/>
      <c r="N100" s="139" t="str">
        <f aca="false">IFERROR(IF(L100*M100=0,"",L100*M100),"")</f>
        <v/>
      </c>
      <c r="O100" s="140"/>
      <c r="P100" s="138" t="str">
        <f aca="false">IFERROR(VLOOKUP(TEXT(O100,"0"),CONDUCTORES!$A$3:$G$54,2,0),"")</f>
        <v/>
      </c>
      <c r="Q100" s="138" t="str">
        <f aca="false">IFERROR(VLOOKUP(TEXT(O100,"0"),CONDUCTORES!$A$3:$H$54,6,0),"")</f>
        <v/>
      </c>
      <c r="R100" s="140"/>
      <c r="S100" s="140"/>
      <c r="T100" s="140"/>
      <c r="U100" s="140"/>
      <c r="V100" s="140"/>
      <c r="W100" s="140"/>
      <c r="X100" s="140"/>
      <c r="Y100" s="140"/>
      <c r="Z100" s="47" t="str">
        <f aca="false">IF(AND(G100&lt;&gt;"",R100&lt;&gt;"",V100&lt;&gt;"",W100&lt;&gt;""),"COMPLETADO","OBSERVADO")</f>
        <v>OBSERVADO</v>
      </c>
      <c r="AA100" s="89"/>
    </row>
    <row r="101" customFormat="false" ht="15.75" hidden="false" customHeight="true" outlineLevel="0" collapsed="false">
      <c r="A101" s="85"/>
      <c r="B101" s="85"/>
      <c r="C101" s="85"/>
      <c r="D101" s="85"/>
      <c r="E101" s="85"/>
      <c r="F101" s="85"/>
      <c r="G101" s="85"/>
      <c r="H101" s="85"/>
      <c r="I101" s="138" t="str">
        <f aca="false">IFERROR(VLOOKUP(TEXT(H101,"0"),IPRESS!$A$3:$B$212,2,0),"")</f>
        <v/>
      </c>
      <c r="J101" s="85"/>
      <c r="K101" s="138" t="str">
        <f aca="false">IFERROR(VLOOKUP(TEXT(O101,"0"),CONDUCTORES!$A$3:$G$54,7,0),"")</f>
        <v/>
      </c>
      <c r="L101" s="85"/>
      <c r="M101" s="85"/>
      <c r="N101" s="139" t="str">
        <f aca="false">IFERROR(IF(L101*M101=0,"",L101*M101),"")</f>
        <v/>
      </c>
      <c r="O101" s="85"/>
      <c r="P101" s="138" t="str">
        <f aca="false">IFERROR(VLOOKUP(TEXT(O101,"0"),CONDUCTORES!$A$3:$G$54,2,0),"")</f>
        <v/>
      </c>
      <c r="Q101" s="138" t="str">
        <f aca="false">IFERROR(VLOOKUP(TEXT(O101,"0"),CONDUCTORES!$A$3:$H$54,6,0),"")</f>
        <v/>
      </c>
      <c r="R101" s="85"/>
      <c r="S101" s="85"/>
      <c r="T101" s="85"/>
      <c r="U101" s="85"/>
      <c r="V101" s="85"/>
      <c r="W101" s="85"/>
      <c r="X101" s="85"/>
      <c r="Y101" s="85"/>
      <c r="Z101" s="41" t="str">
        <f aca="false">IF(AND(G101&lt;&gt;"",R101&lt;&gt;"",V101&lt;&gt;"",W101&lt;&gt;""),"COMPLETADO","OBSERVADO")</f>
        <v>OBSERVADO</v>
      </c>
      <c r="AA101" s="89"/>
    </row>
    <row r="102" customFormat="false" ht="15.75" hidden="false" customHeight="true" outlineLevel="0" collapsed="false">
      <c r="A102" s="140"/>
      <c r="B102" s="140"/>
      <c r="C102" s="140"/>
      <c r="D102" s="140"/>
      <c r="E102" s="140"/>
      <c r="F102" s="140"/>
      <c r="G102" s="140"/>
      <c r="H102" s="140"/>
      <c r="I102" s="138" t="str">
        <f aca="false">IFERROR(VLOOKUP(TEXT(H102,"0"),IPRESS!$A$3:$B$212,2,0),"")</f>
        <v/>
      </c>
      <c r="J102" s="140"/>
      <c r="K102" s="138" t="str">
        <f aca="false">IFERROR(VLOOKUP(TEXT(O102,"0"),CONDUCTORES!$A$3:$G$54,7,0),"")</f>
        <v/>
      </c>
      <c r="L102" s="140"/>
      <c r="M102" s="140"/>
      <c r="N102" s="139" t="str">
        <f aca="false">IFERROR(IF(L102*M102=0,"",L102*M102),"")</f>
        <v/>
      </c>
      <c r="O102" s="140"/>
      <c r="P102" s="138" t="str">
        <f aca="false">IFERROR(VLOOKUP(TEXT(O102,"0"),CONDUCTORES!$A$3:$G$54,2,0),"")</f>
        <v/>
      </c>
      <c r="Q102" s="138" t="str">
        <f aca="false">IFERROR(VLOOKUP(TEXT(O102,"0"),CONDUCTORES!$A$3:$H$54,6,0),"")</f>
        <v/>
      </c>
      <c r="R102" s="140"/>
      <c r="S102" s="140"/>
      <c r="T102" s="140"/>
      <c r="U102" s="140"/>
      <c r="V102" s="140"/>
      <c r="W102" s="140"/>
      <c r="X102" s="140"/>
      <c r="Y102" s="140"/>
      <c r="Z102" s="47" t="str">
        <f aca="false">IF(AND(G102&lt;&gt;"",R102&lt;&gt;"",V102&lt;&gt;"",W102&lt;&gt;""),"COMPLETADO","OBSERVADO")</f>
        <v>OBSERVADO</v>
      </c>
      <c r="AA102" s="89"/>
    </row>
    <row r="103" customFormat="false" ht="15.7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138" t="str">
        <f aca="false">IFERROR(VLOOKUP(TEXT(H103,"0"),IPRESS!$A$3:$B$212,2,0),"")</f>
        <v/>
      </c>
      <c r="J103" s="85"/>
      <c r="K103" s="138" t="str">
        <f aca="false">IFERROR(VLOOKUP(TEXT(O103,"0"),CONDUCTORES!$A$3:$G$54,7,0),"")</f>
        <v/>
      </c>
      <c r="L103" s="85"/>
      <c r="M103" s="85"/>
      <c r="N103" s="139" t="str">
        <f aca="false">IFERROR(IF(L103*M103=0,"",L103*M103),"")</f>
        <v/>
      </c>
      <c r="O103" s="85"/>
      <c r="P103" s="138" t="str">
        <f aca="false">IFERROR(VLOOKUP(TEXT(O103,"0"),CONDUCTORES!$A$3:$G$54,2,0),"")</f>
        <v/>
      </c>
      <c r="Q103" s="138" t="str">
        <f aca="false">IFERROR(VLOOKUP(TEXT(O103,"0"),CONDUCTORES!$A$3:$H$54,6,0),"")</f>
        <v/>
      </c>
      <c r="R103" s="85"/>
      <c r="S103" s="85"/>
      <c r="T103" s="85"/>
      <c r="U103" s="85"/>
      <c r="V103" s="85"/>
      <c r="W103" s="85"/>
      <c r="X103" s="85"/>
      <c r="Y103" s="85"/>
      <c r="Z103" s="41" t="str">
        <f aca="false">IF(AND(G103&lt;&gt;"",R103&lt;&gt;"",V103&lt;&gt;"",W103&lt;&gt;""),"COMPLETADO","OBSERVADO")</f>
        <v>OBSERVADO</v>
      </c>
      <c r="AA103" s="89"/>
    </row>
    <row r="104" customFormat="false" ht="15.75" hidden="false" customHeight="true" outlineLevel="0" collapsed="false">
      <c r="A104" s="140"/>
      <c r="B104" s="140"/>
      <c r="C104" s="140"/>
      <c r="D104" s="140"/>
      <c r="E104" s="140"/>
      <c r="F104" s="140"/>
      <c r="G104" s="140"/>
      <c r="H104" s="140"/>
      <c r="I104" s="138" t="str">
        <f aca="false">IFERROR(VLOOKUP(TEXT(H104,"0"),IPRESS!$A$3:$B$212,2,0),"")</f>
        <v/>
      </c>
      <c r="J104" s="140"/>
      <c r="K104" s="138" t="str">
        <f aca="false">IFERROR(VLOOKUP(TEXT(O104,"0"),CONDUCTORES!$A$3:$G$54,7,0),"")</f>
        <v/>
      </c>
      <c r="L104" s="140"/>
      <c r="M104" s="140"/>
      <c r="N104" s="139" t="str">
        <f aca="false">IFERROR(IF(L104*M104=0,"",L104*M104),"")</f>
        <v/>
      </c>
      <c r="O104" s="140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140"/>
      <c r="S104" s="140"/>
      <c r="T104" s="140"/>
      <c r="U104" s="140"/>
      <c r="V104" s="140"/>
      <c r="W104" s="140"/>
      <c r="X104" s="140"/>
      <c r="Y104" s="140"/>
      <c r="Z104" s="47" t="str">
        <f aca="false">IF(AND(G104&lt;&gt;"",R104&lt;&gt;"",V104&lt;&gt;"",W104&lt;&gt;""),"COMPLETADO","OBSERVADO")</f>
        <v>OBSERVADO</v>
      </c>
      <c r="AA104" s="89"/>
    </row>
    <row r="105" customFormat="false" ht="15.7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38" t="str">
        <f aca="false">IFERROR(VLOOKUP(TEXT(H105,"0"),IPRESS!$A$3:$B$212,2,0),"")</f>
        <v/>
      </c>
      <c r="J105" s="85"/>
      <c r="K105" s="138" t="str">
        <f aca="false">IFERROR(VLOOKUP(TEXT(O105,"0"),CONDUCTORES!$A$3:$G$54,7,0),"")</f>
        <v/>
      </c>
      <c r="L105" s="85"/>
      <c r="M105" s="85"/>
      <c r="N105" s="139" t="str">
        <f aca="false">IFERROR(IF(L105*M105=0,"",L105*M105),"")</f>
        <v/>
      </c>
      <c r="O105" s="85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85"/>
      <c r="S105" s="85"/>
      <c r="T105" s="85"/>
      <c r="U105" s="85"/>
      <c r="V105" s="85"/>
      <c r="W105" s="85"/>
      <c r="X105" s="85"/>
      <c r="Y105" s="85"/>
      <c r="Z105" s="41" t="str">
        <f aca="false">IF(AND(G105&lt;&gt;"",R105&lt;&gt;"",V105&lt;&gt;"",W105&lt;&gt;""),"COMPLETADO","OBSERVADO")</f>
        <v>OBSERVADO</v>
      </c>
      <c r="AA105" s="89"/>
    </row>
    <row r="106" customFormat="false" ht="15.75" hidden="false" customHeight="true" outlineLevel="0" collapsed="false">
      <c r="A106" s="140"/>
      <c r="B106" s="140"/>
      <c r="C106" s="140"/>
      <c r="D106" s="140"/>
      <c r="E106" s="140"/>
      <c r="F106" s="140"/>
      <c r="G106" s="140"/>
      <c r="H106" s="140"/>
      <c r="I106" s="138" t="str">
        <f aca="false">IFERROR(VLOOKUP(TEXT(H106,"0"),IPRESS!$A$3:$B$212,2,0),"")</f>
        <v/>
      </c>
      <c r="J106" s="140"/>
      <c r="K106" s="138" t="str">
        <f aca="false">IFERROR(VLOOKUP(TEXT(O106,"0"),CONDUCTORES!$A$3:$G$54,7,0),"")</f>
        <v/>
      </c>
      <c r="L106" s="140"/>
      <c r="M106" s="140"/>
      <c r="N106" s="139" t="str">
        <f aca="false">IFERROR(IF(L106*M106=0,"",L106*M106),"")</f>
        <v/>
      </c>
      <c r="O106" s="140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140"/>
      <c r="S106" s="140"/>
      <c r="T106" s="140"/>
      <c r="U106" s="140"/>
      <c r="V106" s="140"/>
      <c r="W106" s="140"/>
      <c r="X106" s="140"/>
      <c r="Y106" s="140"/>
      <c r="Z106" s="47" t="str">
        <f aca="false">IF(AND(G106&lt;&gt;"",R106&lt;&gt;"",V106&lt;&gt;"",W106&lt;&gt;""),"COMPLETADO","OBSERVADO")</f>
        <v>OBSERVADO</v>
      </c>
      <c r="AA106" s="89"/>
    </row>
    <row r="107" customFormat="false" ht="15.7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38" t="str">
        <f aca="false">IFERROR(VLOOKUP(TEXT(H107,"0"),IPRESS!$A$3:$B$212,2,0),"")</f>
        <v/>
      </c>
      <c r="J107" s="85"/>
      <c r="K107" s="138" t="str">
        <f aca="false">IFERROR(VLOOKUP(TEXT(O107,"0"),CONDUCTORES!$A$3:$G$54,7,0),"")</f>
        <v/>
      </c>
      <c r="L107" s="85"/>
      <c r="M107" s="85"/>
      <c r="N107" s="139" t="str">
        <f aca="false">IFERROR(IF(L107*M107=0,"",L107*M107),"")</f>
        <v/>
      </c>
      <c r="O107" s="85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85"/>
      <c r="S107" s="85"/>
      <c r="T107" s="85"/>
      <c r="U107" s="85"/>
      <c r="V107" s="85"/>
      <c r="W107" s="85"/>
      <c r="X107" s="85"/>
      <c r="Y107" s="85"/>
      <c r="Z107" s="41" t="str">
        <f aca="false">IF(AND(G107&lt;&gt;"",R107&lt;&gt;"",V107&lt;&gt;"",W107&lt;&gt;""),"COMPLETADO","OBSERVADO")</f>
        <v>OBSERVADO</v>
      </c>
      <c r="AA107" s="89"/>
    </row>
    <row r="108" customFormat="false" ht="15.75" hidden="false" customHeight="true" outlineLevel="0" collapsed="false">
      <c r="A108" s="140"/>
      <c r="B108" s="140"/>
      <c r="C108" s="140"/>
      <c r="D108" s="140"/>
      <c r="E108" s="140"/>
      <c r="F108" s="140"/>
      <c r="G108" s="140"/>
      <c r="H108" s="140"/>
      <c r="I108" s="138" t="str">
        <f aca="false">IFERROR(VLOOKUP(TEXT(H108,"0"),IPRESS!$A$3:$B$212,2,0),"")</f>
        <v/>
      </c>
      <c r="J108" s="140"/>
      <c r="K108" s="138" t="str">
        <f aca="false">IFERROR(VLOOKUP(TEXT(O108,"0"),CONDUCTORES!$A$3:$G$54,7,0),"")</f>
        <v/>
      </c>
      <c r="L108" s="140"/>
      <c r="M108" s="140"/>
      <c r="N108" s="139" t="str">
        <f aca="false">IFERROR(IF(L108*M108=0,"",L108*M108),"")</f>
        <v/>
      </c>
      <c r="O108" s="140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140"/>
      <c r="S108" s="140"/>
      <c r="T108" s="140"/>
      <c r="U108" s="140"/>
      <c r="V108" s="140"/>
      <c r="W108" s="140"/>
      <c r="X108" s="140"/>
      <c r="Y108" s="140"/>
      <c r="Z108" s="47" t="str">
        <f aca="false">IF(AND(G108&lt;&gt;"",R108&lt;&gt;"",V108&lt;&gt;"",W108&lt;&gt;""),"COMPLETADO","OBSERVADO")</f>
        <v>OBSERVADO</v>
      </c>
      <c r="AA108" s="89"/>
    </row>
    <row r="109" customFormat="false" ht="15.7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38" t="str">
        <f aca="false">IFERROR(VLOOKUP(TEXT(O109,"0"),CONDUCTORES!$A$3:$G$54,7,0),"")</f>
        <v/>
      </c>
      <c r="L109" s="85"/>
      <c r="M109" s="85"/>
      <c r="N109" s="139" t="str">
        <f aca="false">IFERROR(IF(L109*M109=0,"",L109*M109),"")</f>
        <v/>
      </c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41" t="str">
        <f aca="false">IF(AND(G109&lt;&gt;"",R109&lt;&gt;"",V109&lt;&gt;"",W109&lt;&gt;""),"COMPLETADO","OBSERVADO")</f>
        <v>OBSERVADO</v>
      </c>
      <c r="AA109" s="89"/>
    </row>
    <row r="110" customFormat="false" ht="15.75" hidden="false" customHeight="true" outlineLevel="0" collapsed="false">
      <c r="A110" s="140"/>
      <c r="B110" s="140"/>
      <c r="C110" s="140"/>
      <c r="D110" s="140"/>
      <c r="E110" s="140"/>
      <c r="F110" s="140"/>
      <c r="G110" s="140"/>
      <c r="H110" s="140"/>
      <c r="I110" s="138" t="str">
        <f aca="false">IFERROR(VLOOKUP(TEXT(H110,"0"),IPRESS!$A$3:$B$212,2,0),"")</f>
        <v/>
      </c>
      <c r="J110" s="140"/>
      <c r="K110" s="138" t="str">
        <f aca="false">IFERROR(VLOOKUP(TEXT(O110,"0"),CONDUCTORES!$A$3:$G$54,7,0),"")</f>
        <v/>
      </c>
      <c r="L110" s="140"/>
      <c r="M110" s="140"/>
      <c r="N110" s="139" t="str">
        <f aca="false">IFERROR(IF(L110*M110=0,"",L110*M110),"")</f>
        <v/>
      </c>
      <c r="O110" s="140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140"/>
      <c r="S110" s="140"/>
      <c r="T110" s="140"/>
      <c r="U110" s="140"/>
      <c r="V110" s="140"/>
      <c r="W110" s="140"/>
      <c r="X110" s="140"/>
      <c r="Y110" s="140"/>
      <c r="Z110" s="47" t="str">
        <f aca="false">IF(AND(G110&lt;&gt;"",R110&lt;&gt;"",V110&lt;&gt;"",W110&lt;&gt;""),"COMPLETADO","OBSERVADO")</f>
        <v>OBSERVADO</v>
      </c>
      <c r="AA110" s="89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184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9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184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9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184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9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184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9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184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9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184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9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184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9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184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9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184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9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85" t="str">
        <f aca="false">IF(AND(G120&lt;&gt;"",R120&lt;&gt;"",V120&lt;&gt;"",W120&lt;&gt;""),"COMPLETADO","OBSERVADO")</f>
        <v>OBSERVADO</v>
      </c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  <c r="Z121" s="185" t="str">
        <f aca="false">IF(AND(G121&lt;&gt;"",R121&lt;&gt;"",V121&lt;&gt;"",W121&lt;&gt;""),"COMPLETADO","OBSERVADO")</f>
        <v>OBSERVADO</v>
      </c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85" t="str">
        <f aca="false">IF(AND(G122&lt;&gt;"",R122&lt;&gt;"",V122&lt;&gt;"",W122&lt;&gt;""),"COMPLETADO","OBSERVADO")</f>
        <v>OBSERVADO</v>
      </c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  <c r="Z123" s="185" t="str">
        <f aca="false">IF(AND(G123&lt;&gt;"",R123&lt;&gt;"",V123&lt;&gt;"",W123&lt;&gt;""),"COMPLETADO","OBSERVADO")</f>
        <v>OBSERVADO</v>
      </c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85" t="str">
        <f aca="false">IF(AND(G124&lt;&gt;"",R124&lt;&gt;"",V124&lt;&gt;"",W124&lt;&gt;""),"COMPLETADO","OBSERVADO")</f>
        <v>OBSERVADO</v>
      </c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  <c r="Z125" s="185" t="str">
        <f aca="false">IF(AND(G125&lt;&gt;"",R125&lt;&gt;"",V125&lt;&gt;"",W125&lt;&gt;""),"COMPLETADO","OBSERVADO")</f>
        <v>OBSERVADO</v>
      </c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85" t="str">
        <f aca="false">IF(AND(G126&lt;&gt;"",R126&lt;&gt;"",V126&lt;&gt;"",W126&lt;&gt;""),"COMPLETADO","OBSERVADO")</f>
        <v>OBSERVADO</v>
      </c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  <c r="Z127" s="185" t="str">
        <f aca="false">IF(AND(G127&lt;&gt;"",R127&lt;&gt;"",V127&lt;&gt;"",W127&lt;&gt;""),"COMPLETADO","OBSERVADO")</f>
        <v>OBSERVADO</v>
      </c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85" t="str">
        <f aca="false">IF(AND(G128&lt;&gt;"",R128&lt;&gt;"",V128&lt;&gt;"",W128&lt;&gt;""),"COMPLETADO","OBSERVADO")</f>
        <v>OBSERVADO</v>
      </c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  <c r="Z129" s="185" t="str">
        <f aca="false">IF(AND(G129&lt;&gt;"",R129&lt;&gt;"",V129&lt;&gt;"",W129&lt;&gt;""),"COMPLETADO","OBSERVADO")</f>
        <v>OBSERVADO</v>
      </c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85" t="str">
        <f aca="false">IF(AND(G130&lt;&gt;"",R130&lt;&gt;"",V130&lt;&gt;"",W130&lt;&gt;""),"COMPLETADO","OBSERVADO")</f>
        <v>OBSERVADO</v>
      </c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  <c r="Z131" s="185" t="str">
        <f aca="false">IF(AND(G131&lt;&gt;"",R131&lt;&gt;"",V131&lt;&gt;"",W131&lt;&gt;""),"COMPLETADO","OBSERVADO")</f>
        <v>OBSERVADO</v>
      </c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85" t="str">
        <f aca="false">IF(AND(G132&lt;&gt;"",R132&lt;&gt;"",V132&lt;&gt;"",W132&lt;&gt;""),"COMPLETADO","OBSERVADO")</f>
        <v>OBSERVADO</v>
      </c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  <c r="Z133" s="185" t="str">
        <f aca="false">IF(AND(G133&lt;&gt;"",R133&lt;&gt;"",V133&lt;&gt;"",W133&lt;&gt;""),"COMPLETADO","OBSERVADO")</f>
        <v>OBSERVADO</v>
      </c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85" t="str">
        <f aca="false">IF(AND(G134&lt;&gt;"",R134&lt;&gt;"",V134&lt;&gt;"",W134&lt;&gt;""),"COMPLETADO","OBSERVADO")</f>
        <v>OBSERVADO</v>
      </c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  <c r="Z135" s="185" t="str">
        <f aca="false">IF(AND(G135&lt;&gt;"",R135&lt;&gt;"",V135&lt;&gt;"",W135&lt;&gt;""),"COMPLETADO","OBSERVADO")</f>
        <v>OBSERVADO</v>
      </c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85" t="str">
        <f aca="false">IF(AND(G136&lt;&gt;"",R136&lt;&gt;"",V136&lt;&gt;"",W136&lt;&gt;""),"COMPLETADO","OBSERVADO")</f>
        <v>OBSERVADO</v>
      </c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  <c r="Z137" s="185" t="str">
        <f aca="false">IF(AND(G137&lt;&gt;"",R137&lt;&gt;"",V137&lt;&gt;"",W137&lt;&gt;""),"COMPLETADO","OBSERVADO")</f>
        <v>OBSERVADO</v>
      </c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85" t="str">
        <f aca="false">IF(AND(G138&lt;&gt;"",R138&lt;&gt;"",V138&lt;&gt;"",W138&lt;&gt;""),"COMPLETADO","OBSERVADO")</f>
        <v>OBSERVADO</v>
      </c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  <c r="Z139" s="185" t="str">
        <f aca="false">IF(AND(G139&lt;&gt;"",R139&lt;&gt;"",V139&lt;&gt;"",W139&lt;&gt;""),"COMPLETADO","OBSERVADO")</f>
        <v>OBSERVADO</v>
      </c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85" t="str">
        <f aca="false">IF(AND(G140&lt;&gt;"",R140&lt;&gt;"",V140&lt;&gt;"",W140&lt;&gt;""),"COMPLETADO","OBSERVADO")</f>
        <v>OBSERVADO</v>
      </c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  <c r="Z141" s="185" t="str">
        <f aca="false">IF(AND(G141&lt;&gt;"",R141&lt;&gt;"",V141&lt;&gt;"",W141&lt;&gt;""),"COMPLETADO","OBSERVADO")</f>
        <v>OBSERVADO</v>
      </c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85" t="str">
        <f aca="false">IF(AND(G142&lt;&gt;"",R142&lt;&gt;"",V142&lt;&gt;"",W142&lt;&gt;""),"COMPLETADO","OBSERVADO")</f>
        <v>OBSERVADO</v>
      </c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  <c r="Z143" s="185" t="str">
        <f aca="false">IF(AND(G143&lt;&gt;"",R143&lt;&gt;"",V143&lt;&gt;"",W143&lt;&gt;""),"COMPLETADO","OBSERVADO")</f>
        <v>OBSERVADO</v>
      </c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85" t="str">
        <f aca="false">IF(AND(G144&lt;&gt;"",R144&lt;&gt;"",V144&lt;&gt;"",W144&lt;&gt;""),"COMPLETADO","OBSERVADO")</f>
        <v>OBSERVADO</v>
      </c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  <c r="Z145" s="185" t="str">
        <f aca="false">IF(AND(G145&lt;&gt;"",R145&lt;&gt;"",V145&lt;&gt;"",W145&lt;&gt;""),"COMPLETADO","OBSERVADO")</f>
        <v>OBSERVADO</v>
      </c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85" t="str">
        <f aca="false">IF(AND(G146&lt;&gt;"",R146&lt;&gt;"",V146&lt;&gt;"",W146&lt;&gt;""),"COMPLETADO","OBSERVADO")</f>
        <v>OBSERVADO</v>
      </c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  <c r="Z147" s="185" t="str">
        <f aca="false">IF(AND(G147&lt;&gt;"",R147&lt;&gt;"",V147&lt;&gt;"",W147&lt;&gt;""),"COMPLETADO","OBSERVADO")</f>
        <v>OBSERVADO</v>
      </c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85" t="str">
        <f aca="false">IF(AND(G148&lt;&gt;"",R148&lt;&gt;"",V148&lt;&gt;"",W148&lt;&gt;""),"COMPLETADO","OBSERVADO")</f>
        <v>OBSERVADO</v>
      </c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  <c r="Z149" s="185" t="str">
        <f aca="false">IF(AND(G149&lt;&gt;"",R149&lt;&gt;"",V149&lt;&gt;"",W149&lt;&gt;""),"COMPLETADO","OBSERVADO")</f>
        <v>OBSERVADO</v>
      </c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85" t="str">
        <f aca="false">IF(AND(G150&lt;&gt;"",R150&lt;&gt;"",V150&lt;&gt;"",W150&lt;&gt;""),"COMPLETADO","OBSERVADO")</f>
        <v>OBSERVADO</v>
      </c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  <c r="Z151" s="185" t="str">
        <f aca="false">IF(AND(G151&lt;&gt;"",R151&lt;&gt;"",V151&lt;&gt;"",W151&lt;&gt;""),"COMPLETADO","OBSERVADO")</f>
        <v>OBSERVADO</v>
      </c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85" t="str">
        <f aca="false">IF(AND(G152&lt;&gt;"",R152&lt;&gt;"",V152&lt;&gt;"",W152&lt;&gt;""),"COMPLETADO","OBSERVADO")</f>
        <v>OBSERVADO</v>
      </c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  <c r="Z153" s="185" t="str">
        <f aca="false">IF(AND(G153&lt;&gt;"",R153&lt;&gt;"",V153&lt;&gt;"",W153&lt;&gt;""),"COMPLETADO","OBSERVADO")</f>
        <v>OBSERVADO</v>
      </c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85" t="str">
        <f aca="false">IF(AND(G154&lt;&gt;"",R154&lt;&gt;"",V154&lt;&gt;"",W154&lt;&gt;""),"COMPLETADO","OBSERVADO")</f>
        <v>OBSERVADO</v>
      </c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  <c r="Z155" s="185" t="str">
        <f aca="false">IF(AND(G155&lt;&gt;"",R155&lt;&gt;"",V155&lt;&gt;"",W155&lt;&gt;""),"COMPLETADO","OBSERVADO")</f>
        <v>OBSERVADO</v>
      </c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85" t="str">
        <f aca="false">IF(AND(G156&lt;&gt;"",R156&lt;&gt;"",V156&lt;&gt;"",W156&lt;&gt;""),"COMPLETADO","OBSERVADO")</f>
        <v>OBSERVADO</v>
      </c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  <c r="Z157" s="185" t="str">
        <f aca="false">IF(AND(G157&lt;&gt;"",R157&lt;&gt;"",V157&lt;&gt;"",W157&lt;&gt;""),"COMPLETADO","OBSERVADO")</f>
        <v>OBSERVADO</v>
      </c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85" t="str">
        <f aca="false">IF(AND(G158&lt;&gt;"",R158&lt;&gt;"",V158&lt;&gt;"",W158&lt;&gt;""),"COMPLETADO","OBSERVADO")</f>
        <v>OBSERVADO</v>
      </c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  <c r="Z159" s="185" t="str">
        <f aca="false">IF(AND(G159&lt;&gt;"",R159&lt;&gt;"",V159&lt;&gt;"",W159&lt;&gt;""),"COMPLETADO","OBSERVADO")</f>
        <v>OBSERVADO</v>
      </c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85" t="str">
        <f aca="false">IF(AND(G160&lt;&gt;"",R160&lt;&gt;"",V160&lt;&gt;"",W160&lt;&gt;""),"COMPLETADO","OBSERVADO")</f>
        <v>OBSERVADO</v>
      </c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  <c r="Z161" s="185" t="str">
        <f aca="false">IF(AND(G161&lt;&gt;"",R161&lt;&gt;"",V161&lt;&gt;"",W161&lt;&gt;""),"COMPLETADO","OBSERVADO")</f>
        <v>OBSERVADO</v>
      </c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85" t="str">
        <f aca="false">IF(AND(G162&lt;&gt;"",R162&lt;&gt;"",V162&lt;&gt;"",W162&lt;&gt;""),"COMPLETADO","OBSERVADO")</f>
        <v>OBSERVADO</v>
      </c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  <c r="Z163" s="185" t="str">
        <f aca="false">IF(AND(G163&lt;&gt;"",R163&lt;&gt;"",V163&lt;&gt;"",W163&lt;&gt;""),"COMPLETADO","OBSERVADO")</f>
        <v>OBSERVADO</v>
      </c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85" t="str">
        <f aca="false">IF(AND(G164&lt;&gt;"",R164&lt;&gt;"",V164&lt;&gt;"",W164&lt;&gt;""),"COMPLETADO","OBSERVADO")</f>
        <v>OBSERVADO</v>
      </c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  <c r="Z165" s="185" t="str">
        <f aca="false">IF(AND(G165&lt;&gt;"",R165&lt;&gt;"",V165&lt;&gt;"",W165&lt;&gt;""),"COMPLETADO","OBSERVADO")</f>
        <v>OBSERVADO</v>
      </c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85" t="str">
        <f aca="false">IF(AND(G166&lt;&gt;"",R166&lt;&gt;"",V166&lt;&gt;"",W166&lt;&gt;""),"COMPLETADO","OBSERVADO")</f>
        <v>OBSERVADO</v>
      </c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  <c r="Z167" s="185" t="str">
        <f aca="false">IF(AND(G167&lt;&gt;"",R167&lt;&gt;"",V167&lt;&gt;"",W167&lt;&gt;""),"COMPLETADO","OBSERVADO")</f>
        <v>OBSERVADO</v>
      </c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85" t="str">
        <f aca="false">IF(AND(G168&lt;&gt;"",R168&lt;&gt;"",V168&lt;&gt;"",W168&lt;&gt;""),"COMPLETADO","OBSERVADO")</f>
        <v>OBSERVADO</v>
      </c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  <c r="Z169" s="185" t="str">
        <f aca="false">IF(AND(G169&lt;&gt;"",R169&lt;&gt;"",V169&lt;&gt;"",W169&lt;&gt;""),"COMPLETADO","OBSERVADO")</f>
        <v>OBSERVADO</v>
      </c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85" t="str">
        <f aca="false">IF(AND(G170&lt;&gt;"",R170&lt;&gt;"",V170&lt;&gt;"",W170&lt;&gt;""),"COMPLETADO","OBSERVADO")</f>
        <v>OBSERVADO</v>
      </c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  <c r="Z171" s="185" t="str">
        <f aca="false">IF(AND(G171&lt;&gt;"",R171&lt;&gt;"",V171&lt;&gt;"",W171&lt;&gt;""),"COMPLETADO","OBSERVADO")</f>
        <v>OBSERVADO</v>
      </c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85" t="str">
        <f aca="false">IF(AND(G172&lt;&gt;"",R172&lt;&gt;"",V172&lt;&gt;"",W172&lt;&gt;""),"COMPLETADO","OBSERVADO")</f>
        <v>OBSERVADO</v>
      </c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  <c r="Z173" s="185" t="str">
        <f aca="false">IF(AND(G173&lt;&gt;"",R173&lt;&gt;"",V173&lt;&gt;"",W173&lt;&gt;""),"COMPLETADO","OBSERVADO")</f>
        <v>OBSERVADO</v>
      </c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85" t="str">
        <f aca="false">IF(AND(G174&lt;&gt;"",R174&lt;&gt;"",V174&lt;&gt;"",W174&lt;&gt;""),"COMPLETADO","OBSERVADO")</f>
        <v>OBSERVADO</v>
      </c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  <c r="Z175" s="185" t="str">
        <f aca="false">IF(AND(G175&lt;&gt;"",R175&lt;&gt;"",V175&lt;&gt;"",W175&lt;&gt;""),"COMPLETADO","OBSERVADO")</f>
        <v>OBSERVADO</v>
      </c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85" t="str">
        <f aca="false">IF(AND(G176&lt;&gt;"",R176&lt;&gt;"",V176&lt;&gt;"",W176&lt;&gt;""),"COMPLETADO","OBSERVADO")</f>
        <v>OBSERVADO</v>
      </c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  <c r="Z177" s="185" t="str">
        <f aca="false">IF(AND(G177&lt;&gt;"",R177&lt;&gt;"",V177&lt;&gt;"",W177&lt;&gt;""),"COMPLETADO","OBSERVADO")</f>
        <v>OBSERVADO</v>
      </c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85" t="str">
        <f aca="false">IF(AND(G178&lt;&gt;"",R178&lt;&gt;"",V178&lt;&gt;"",W178&lt;&gt;""),"COMPLETADO","OBSERVADO")</f>
        <v>OBSERVADO</v>
      </c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  <c r="Z179" s="185" t="str">
        <f aca="false">IF(AND(G179&lt;&gt;"",R179&lt;&gt;"",V179&lt;&gt;"",W179&lt;&gt;""),"COMPLETADO","OBSERVADO")</f>
        <v>OBSERVADO</v>
      </c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85" t="str">
        <f aca="false">IF(AND(G180&lt;&gt;"",R180&lt;&gt;"",V180&lt;&gt;"",W180&lt;&gt;""),"COMPLETADO","OBSERVADO")</f>
        <v>OBSERVADO</v>
      </c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  <c r="Z181" s="185" t="str">
        <f aca="false">IF(AND(G181&lt;&gt;"",R181&lt;&gt;"",V181&lt;&gt;"",W181&lt;&gt;""),"COMPLETADO","OBSERVADO")</f>
        <v>OBSERVADO</v>
      </c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85" t="str">
        <f aca="false">IF(AND(G182&lt;&gt;"",R182&lt;&gt;"",V182&lt;&gt;"",W182&lt;&gt;""),"COMPLETADO","OBSERVADO")</f>
        <v>OBSERVADO</v>
      </c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  <c r="Z183" s="185" t="str">
        <f aca="false">IF(AND(G183&lt;&gt;"",R183&lt;&gt;"",V183&lt;&gt;"",W183&lt;&gt;""),"COMPLETADO","OBSERVADO")</f>
        <v>OBSERVADO</v>
      </c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85" t="str">
        <f aca="false">IF(AND(G184&lt;&gt;"",R184&lt;&gt;"",V184&lt;&gt;"",W184&lt;&gt;""),"COMPLETADO","OBSERVADO")</f>
        <v>OBSERVADO</v>
      </c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  <c r="Z185" s="185" t="str">
        <f aca="false">IF(AND(G185&lt;&gt;"",R185&lt;&gt;"",V185&lt;&gt;"",W185&lt;&gt;""),"COMPLETADO","OBSERVADO")</f>
        <v>OBSERVADO</v>
      </c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85" t="str">
        <f aca="false">IF(AND(G186&lt;&gt;"",R186&lt;&gt;"",V186&lt;&gt;"",W186&lt;&gt;""),"COMPLETADO","OBSERVADO")</f>
        <v>OBSERVADO</v>
      </c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  <c r="Z187" s="185" t="str">
        <f aca="false">IF(AND(G187&lt;&gt;"",R187&lt;&gt;"",V187&lt;&gt;"",W187&lt;&gt;""),"COMPLETADO","OBSERVADO")</f>
        <v>OBSERVADO</v>
      </c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85" t="str">
        <f aca="false">IF(AND(G188&lt;&gt;"",R188&lt;&gt;"",V188&lt;&gt;"",W188&lt;&gt;""),"COMPLETADO","OBSERVADO")</f>
        <v>OBSERVADO</v>
      </c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  <c r="Z189" s="185" t="str">
        <f aca="false">IF(AND(G189&lt;&gt;"",R189&lt;&gt;"",V189&lt;&gt;"",W189&lt;&gt;""),"COMPLETADO","OBSERVADO")</f>
        <v>OBSERVADO</v>
      </c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85" t="str">
        <f aca="false">IF(AND(G190&lt;&gt;"",R190&lt;&gt;"",V190&lt;&gt;"",W190&lt;&gt;""),"COMPLETADO","OBSERVADO")</f>
        <v>OBSERVADO</v>
      </c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  <c r="Z191" s="185" t="str">
        <f aca="false">IF(AND(G191&lt;&gt;"",R191&lt;&gt;"",V191&lt;&gt;"",W191&lt;&gt;""),"COMPLETADO","OBSERVADO")</f>
        <v>OBSERVADO</v>
      </c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85" t="str">
        <f aca="false">IF(AND(G192&lt;&gt;"",R192&lt;&gt;"",V192&lt;&gt;"",W192&lt;&gt;""),"COMPLETADO","OBSERVADO")</f>
        <v>OBSERVADO</v>
      </c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  <c r="Z193" s="185" t="str">
        <f aca="false">IF(AND(G193&lt;&gt;"",R193&lt;&gt;"",V193&lt;&gt;"",W193&lt;&gt;""),"COMPLETADO","OBSERVADO")</f>
        <v>OBSERVADO</v>
      </c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85" t="str">
        <f aca="false">IF(AND(G194&lt;&gt;"",R194&lt;&gt;"",V194&lt;&gt;"",W194&lt;&gt;""),"COMPLETADO","OBSERVADO")</f>
        <v>OBSERVADO</v>
      </c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  <c r="Z195" s="185" t="str">
        <f aca="false">IF(AND(G195&lt;&gt;"",R195&lt;&gt;"",V195&lt;&gt;"",W195&lt;&gt;""),"COMPLETADO","OBSERVADO")</f>
        <v>OBSERVADO</v>
      </c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85" t="str">
        <f aca="false">IF(AND(G196&lt;&gt;"",R196&lt;&gt;"",V196&lt;&gt;"",W196&lt;&gt;""),"COMPLETADO","OBSERVADO")</f>
        <v>OBSERVADO</v>
      </c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  <c r="Z197" s="185" t="str">
        <f aca="false">IF(AND(G197&lt;&gt;"",R197&lt;&gt;"",V197&lt;&gt;"",W197&lt;&gt;""),"COMPLETADO","OBSERVADO")</f>
        <v>OBSERVADO</v>
      </c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85" t="str">
        <f aca="false">IF(AND(G198&lt;&gt;"",R198&lt;&gt;"",V198&lt;&gt;"",W198&lt;&gt;""),"COMPLETADO","OBSERVADO")</f>
        <v>OBSERVADO</v>
      </c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  <c r="Z199" s="185" t="str">
        <f aca="false">IF(AND(G199&lt;&gt;"",R199&lt;&gt;"",V199&lt;&gt;"",W199&lt;&gt;""),"COMPLETADO","OBSERVADO")</f>
        <v>OBSERVADO</v>
      </c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85" t="str">
        <f aca="false">IF(AND(G200&lt;&gt;"",R200&lt;&gt;"",V200&lt;&gt;"",W200&lt;&gt;""),"COMPLETADO","OBSERVADO")</f>
        <v>OBSERVADO</v>
      </c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  <c r="Z201" s="185" t="str">
        <f aca="false">IF(AND(G201&lt;&gt;"",R201&lt;&gt;"",V201&lt;&gt;"",W201&lt;&gt;""),"COMPLETADO","OBSERVADO")</f>
        <v>OBSERVADO</v>
      </c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85" t="str">
        <f aca="false">IF(AND(G202&lt;&gt;"",R202&lt;&gt;"",V202&lt;&gt;"",W202&lt;&gt;""),"COMPLETADO","OBSERVADO")</f>
        <v>OBSERVADO</v>
      </c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  <c r="Z203" s="185" t="str">
        <f aca="false">IF(AND(G203&lt;&gt;"",R203&lt;&gt;"",V203&lt;&gt;"",W203&lt;&gt;""),"COMPLETADO","OBSERVADO")</f>
        <v>OBSERVADO</v>
      </c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85" t="str">
        <f aca="false">IF(AND(G204&lt;&gt;"",R204&lt;&gt;"",V204&lt;&gt;"",W204&lt;&gt;""),"COMPLETADO","OBSERVADO")</f>
        <v>OBSERVADO</v>
      </c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  <c r="Z205" s="185" t="str">
        <f aca="false">IF(AND(G205&lt;&gt;"",R205&lt;&gt;"",V205&lt;&gt;"",W205&lt;&gt;""),"COMPLETADO","OBSERVADO")</f>
        <v>OBSERVADO</v>
      </c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85" t="str">
        <f aca="false">IF(AND(G206&lt;&gt;"",R206&lt;&gt;"",V206&lt;&gt;"",W206&lt;&gt;""),"COMPLETADO","OBSERVADO")</f>
        <v>OBSERVADO</v>
      </c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  <c r="Z207" s="185" t="str">
        <f aca="false">IF(AND(G207&lt;&gt;"",R207&lt;&gt;"",V207&lt;&gt;"",W207&lt;&gt;""),"COMPLETADO","OBSERVADO")</f>
        <v>OBSERVADO</v>
      </c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85" t="str">
        <f aca="false">IF(AND(G208&lt;&gt;"",R208&lt;&gt;"",V208&lt;&gt;"",W208&lt;&gt;""),"COMPLETADO","OBSERVADO")</f>
        <v>OBSERVADO</v>
      </c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  <c r="Z209" s="185" t="str">
        <f aca="false">IF(AND(G209&lt;&gt;"",R209&lt;&gt;"",V209&lt;&gt;"",W209&lt;&gt;""),"COMPLETADO","OBSERVADO")</f>
        <v>OBSERVADO</v>
      </c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85" t="str">
        <f aca="false">IF(AND(G210&lt;&gt;"",R210&lt;&gt;"",V210&lt;&gt;"",W210&lt;&gt;""),"COMPLETADO","OBSERVADO")</f>
        <v>OBSERVADO</v>
      </c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  <c r="Z211" s="185" t="str">
        <f aca="false">IF(AND(G211&lt;&gt;"",R211&lt;&gt;"",V211&lt;&gt;"",W211&lt;&gt;""),"COMPLETADO","OBSERVADO")</f>
        <v>OBSERVADO</v>
      </c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85" t="str">
        <f aca="false">IF(AND(G212&lt;&gt;"",R212&lt;&gt;"",V212&lt;&gt;"",W212&lt;&gt;""),"COMPLETADO","OBSERVADO")</f>
        <v>OBSERVADO</v>
      </c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  <c r="Z213" s="185" t="str">
        <f aca="false">IF(AND(G213&lt;&gt;"",R213&lt;&gt;"",V213&lt;&gt;"",W213&lt;&gt;""),"COMPLETADO","OBSERVADO")</f>
        <v>OBSERVADO</v>
      </c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85" t="str">
        <f aca="false">IF(AND(G214&lt;&gt;"",R214&lt;&gt;"",V214&lt;&gt;"",W214&lt;&gt;""),"COMPLETADO","OBSERVADO")</f>
        <v>OBSERVADO</v>
      </c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  <c r="Z215" s="185" t="str">
        <f aca="false">IF(AND(G215&lt;&gt;"",R215&lt;&gt;"",V215&lt;&gt;"",W215&lt;&gt;""),"COMPLETADO","OBSERVADO")</f>
        <v>OBSERVADO</v>
      </c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85" t="str">
        <f aca="false">IF(AND(G216&lt;&gt;"",R216&lt;&gt;"",V216&lt;&gt;"",W216&lt;&gt;""),"COMPLETADO","OBSERVADO")</f>
        <v>OBSERVADO</v>
      </c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  <c r="Z217" s="185" t="str">
        <f aca="false">IF(AND(G217&lt;&gt;"",R217&lt;&gt;"",V217&lt;&gt;"",W217&lt;&gt;""),"COMPLETADO","OBSERVADO")</f>
        <v>OBSERVADO</v>
      </c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85" t="str">
        <f aca="false">IF(AND(G218&lt;&gt;"",R218&lt;&gt;"",V218&lt;&gt;"",W218&lt;&gt;""),"COMPLETADO","OBSERVADO")</f>
        <v>OBSERVADO</v>
      </c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  <c r="Z219" s="185" t="str">
        <f aca="false">IF(AND(G219&lt;&gt;"",R219&lt;&gt;"",V219&lt;&gt;"",W219&lt;&gt;""),"COMPLETADO","OBSERVADO")</f>
        <v>OBSERVADO</v>
      </c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85" t="str">
        <f aca="false">IF(AND(G220&lt;&gt;"",R220&lt;&gt;"",V220&lt;&gt;"",W220&lt;&gt;""),"COMPLETADO","OBSERVADO")</f>
        <v>OBSERVADO</v>
      </c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  <c r="Z221" s="185" t="str">
        <f aca="false">IF(AND(G221&lt;&gt;"",R221&lt;&gt;"",V221&lt;&gt;"",W221&lt;&gt;""),"COMPLETADO","OBSERVADO")</f>
        <v>OBSERVADO</v>
      </c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85" t="str">
        <f aca="false">IF(AND(G222&lt;&gt;"",R222&lt;&gt;"",V222&lt;&gt;"",W222&lt;&gt;""),"COMPLETADO","OBSERVADO")</f>
        <v>OBSERVADO</v>
      </c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  <c r="Z223" s="185" t="str">
        <f aca="false">IF(AND(G223&lt;&gt;"",R223&lt;&gt;"",V223&lt;&gt;"",W223&lt;&gt;""),"COMPLETADO","OBSERVADO")</f>
        <v>OBSERVADO</v>
      </c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85" t="str">
        <f aca="false">IF(AND(G224&lt;&gt;"",R224&lt;&gt;"",V224&lt;&gt;"",W224&lt;&gt;""),"COMPLETADO","OBSERVADO")</f>
        <v>OBSERVADO</v>
      </c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  <c r="Z225" s="185" t="str">
        <f aca="false">IF(AND(G225&lt;&gt;"",R225&lt;&gt;"",V225&lt;&gt;"",W225&lt;&gt;""),"COMPLETADO","OBSERVADO")</f>
        <v>OBSERVADO</v>
      </c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85" t="str">
        <f aca="false">IF(AND(G226&lt;&gt;"",R226&lt;&gt;"",V226&lt;&gt;"",W226&lt;&gt;""),"COMPLETADO","OBSERVADO")</f>
        <v>OBSERVADO</v>
      </c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  <c r="Z227" s="185" t="str">
        <f aca="false">IF(AND(G227&lt;&gt;"",R227&lt;&gt;"",V227&lt;&gt;"",W227&lt;&gt;""),"COMPLETADO","OBSERVADO")</f>
        <v>OBSERVADO</v>
      </c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85" t="str">
        <f aca="false">IF(AND(G228&lt;&gt;"",R228&lt;&gt;"",V228&lt;&gt;"",W228&lt;&gt;""),"COMPLETADO","OBSERVADO")</f>
        <v>OBSERVADO</v>
      </c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  <c r="Z229" s="185" t="str">
        <f aca="false">IF(AND(G229&lt;&gt;"",R229&lt;&gt;"",V229&lt;&gt;"",W229&lt;&gt;""),"COMPLETADO","OBSERVADO")</f>
        <v>OBSERVADO</v>
      </c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85" t="str">
        <f aca="false">IF(AND(G230&lt;&gt;"",R230&lt;&gt;"",V230&lt;&gt;"",W230&lt;&gt;""),"COMPLETADO","OBSERVADO")</f>
        <v>OBSERVADO</v>
      </c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  <c r="Z231" s="185" t="str">
        <f aca="false">IF(AND(G231&lt;&gt;"",R231&lt;&gt;"",V231&lt;&gt;"",W231&lt;&gt;""),"COMPLETADO","OBSERVADO")</f>
        <v>OBSERVADO</v>
      </c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85" t="str">
        <f aca="false">IF(AND(G232&lt;&gt;"",R232&lt;&gt;"",V232&lt;&gt;"",W232&lt;&gt;""),"COMPLETADO","OBSERVADO")</f>
        <v>OBSERVADO</v>
      </c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  <c r="Z233" s="185" t="str">
        <f aca="false">IF(AND(G233&lt;&gt;"",R233&lt;&gt;"",V233&lt;&gt;"",W233&lt;&gt;""),"COMPLETADO","OBSERVADO")</f>
        <v>OBSERVADO</v>
      </c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85" t="str">
        <f aca="false">IF(AND(G234&lt;&gt;"",R234&lt;&gt;"",V234&lt;&gt;"",W234&lt;&gt;""),"COMPLETADO","OBSERVADO")</f>
        <v>OBSERVADO</v>
      </c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  <c r="Z235" s="185" t="str">
        <f aca="false">IF(AND(G235&lt;&gt;"",R235&lt;&gt;"",V235&lt;&gt;"",W235&lt;&gt;""),"COMPLETADO","OBSERVADO")</f>
        <v>OBSERVADO</v>
      </c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85" t="str">
        <f aca="false">IF(AND(G236&lt;&gt;"",R236&lt;&gt;"",V236&lt;&gt;"",W236&lt;&gt;""),"COMPLETADO","OBSERVADO")</f>
        <v>OBSERVADO</v>
      </c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  <c r="Z237" s="185" t="str">
        <f aca="false">IF(AND(G237&lt;&gt;"",R237&lt;&gt;"",V237&lt;&gt;"",W237&lt;&gt;""),"COMPLETADO","OBSERVADO")</f>
        <v>OBSERVADO</v>
      </c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85" t="str">
        <f aca="false">IF(AND(G238&lt;&gt;"",R238&lt;&gt;"",V238&lt;&gt;"",W238&lt;&gt;""),"COMPLETADO","OBSERVADO")</f>
        <v>OBSERVADO</v>
      </c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  <c r="Z239" s="185" t="str">
        <f aca="false">IF(AND(G239&lt;&gt;"",R239&lt;&gt;"",V239&lt;&gt;"",W239&lt;&gt;""),"COMPLETADO","OBSERVADO")</f>
        <v>OBSERVADO</v>
      </c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85" t="str">
        <f aca="false">IF(AND(G240&lt;&gt;"",R240&lt;&gt;"",V240&lt;&gt;"",W240&lt;&gt;""),"COMPLETADO","OBSERVADO")</f>
        <v>OBSERVADO</v>
      </c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  <c r="Z241" s="185" t="str">
        <f aca="false">IF(AND(G241&lt;&gt;"",R241&lt;&gt;"",V241&lt;&gt;"",W241&lt;&gt;""),"COMPLETADO","OBSERVADO")</f>
        <v>OBSERVADO</v>
      </c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85" t="str">
        <f aca="false">IF(AND(G242&lt;&gt;"",R242&lt;&gt;"",V242&lt;&gt;"",W242&lt;&gt;""),"COMPLETADO","OBSERVADO")</f>
        <v>OBSERVADO</v>
      </c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  <c r="Z243" s="185" t="str">
        <f aca="false">IF(AND(G243&lt;&gt;"",R243&lt;&gt;"",V243&lt;&gt;"",W243&lt;&gt;""),"COMPLETADO","OBSERVADO")</f>
        <v>OBSERVADO</v>
      </c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85" t="str">
        <f aca="false">IF(AND(G244&lt;&gt;"",R244&lt;&gt;"",V244&lt;&gt;"",W244&lt;&gt;""),"COMPLETADO","OBSERVADO")</f>
        <v>OBSERVADO</v>
      </c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  <c r="Z245" s="185" t="str">
        <f aca="false">IF(AND(G245&lt;&gt;"",R245&lt;&gt;"",V245&lt;&gt;"",W245&lt;&gt;""),"COMPLETADO","OBSERVADO")</f>
        <v>OBSERVADO</v>
      </c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85" t="str">
        <f aca="false">IF(AND(G246&lt;&gt;"",R246&lt;&gt;"",V246&lt;&gt;"",W246&lt;&gt;""),"COMPLETADO","OBSERVADO")</f>
        <v>OBSERVADO</v>
      </c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  <c r="Z247" s="185" t="str">
        <f aca="false">IF(AND(G247&lt;&gt;"",R247&lt;&gt;"",V247&lt;&gt;"",W247&lt;&gt;""),"COMPLETADO","OBSERVADO")</f>
        <v>OBSERVADO</v>
      </c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85" t="str">
        <f aca="false">IF(AND(G248&lt;&gt;"",R248&lt;&gt;"",V248&lt;&gt;"",W248&lt;&gt;""),"COMPLETADO","OBSERVADO")</f>
        <v>OBSERVADO</v>
      </c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  <c r="Z249" s="185" t="str">
        <f aca="false">IF(AND(G249&lt;&gt;"",R249&lt;&gt;"",V249&lt;&gt;"",W249&lt;&gt;""),"COMPLETADO","OBSERVADO")</f>
        <v>OBSERVADO</v>
      </c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85" t="str">
        <f aca="false">IF(AND(G250&lt;&gt;"",R250&lt;&gt;"",V250&lt;&gt;"",W250&lt;&gt;""),"COMPLETADO","OBSERVADO")</f>
        <v>OBSERVADO</v>
      </c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  <c r="Z251" s="185" t="str">
        <f aca="false">IF(AND(G251&lt;&gt;"",R251&lt;&gt;"",V251&lt;&gt;"",W251&lt;&gt;""),"COMPLETADO","OBSERVADO")</f>
        <v>OBSERVADO</v>
      </c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85" t="str">
        <f aca="false">IF(AND(G252&lt;&gt;"",R252&lt;&gt;"",V252&lt;&gt;"",W252&lt;&gt;""),"COMPLETADO","OBSERVADO")</f>
        <v>OBSERVADO</v>
      </c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  <c r="Z253" s="185" t="str">
        <f aca="false">IF(AND(G253&lt;&gt;"",R253&lt;&gt;"",V253&lt;&gt;"",W253&lt;&gt;""),"COMPLETADO","OBSERVADO")</f>
        <v>OBSERVADO</v>
      </c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85" t="str">
        <f aca="false">IF(AND(G254&lt;&gt;"",R254&lt;&gt;"",V254&lt;&gt;"",W254&lt;&gt;""),"COMPLETADO","OBSERVADO")</f>
        <v>OBSERVADO</v>
      </c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  <c r="Z255" s="185" t="str">
        <f aca="false">IF(AND(G255&lt;&gt;"",R255&lt;&gt;"",V255&lt;&gt;"",W255&lt;&gt;""),"COMPLETADO","OBSERVADO")</f>
        <v>OBSERVADO</v>
      </c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85" t="str">
        <f aca="false">IF(AND(G256&lt;&gt;"",R256&lt;&gt;"",V256&lt;&gt;"",W256&lt;&gt;""),"COMPLETADO","OBSERVADO")</f>
        <v>OBSERVADO</v>
      </c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  <c r="Z257" s="185" t="str">
        <f aca="false">IF(AND(G257&lt;&gt;"",R257&lt;&gt;"",V257&lt;&gt;"",W257&lt;&gt;""),"COMPLETADO","OBSERVADO")</f>
        <v>OBSERVADO</v>
      </c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85" t="str">
        <f aca="false">IF(AND(G258&lt;&gt;"",R258&lt;&gt;"",V258&lt;&gt;"",W258&lt;&gt;""),"COMPLETADO","OBSERVADO")</f>
        <v>OBSERVADO</v>
      </c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  <c r="Z259" s="185" t="str">
        <f aca="false">IF(AND(G259&lt;&gt;"",R259&lt;&gt;"",V259&lt;&gt;"",W259&lt;&gt;""),"COMPLETADO","OBSERVADO")</f>
        <v>OBSERVADO</v>
      </c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85" t="str">
        <f aca="false">IF(AND(G260&lt;&gt;"",R260&lt;&gt;"",V260&lt;&gt;"",W260&lt;&gt;""),"COMPLETADO","OBSERVADO")</f>
        <v>OBSERVADO</v>
      </c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  <c r="Z261" s="185" t="str">
        <f aca="false">IF(AND(G261&lt;&gt;"",R261&lt;&gt;"",V261&lt;&gt;"",W261&lt;&gt;""),"COMPLETADO","OBSERVADO")</f>
        <v>OBSERVADO</v>
      </c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85" t="str">
        <f aca="false">IF(AND(G262&lt;&gt;"",R262&lt;&gt;"",V262&lt;&gt;"",W262&lt;&gt;""),"COMPLETADO","OBSERVADO")</f>
        <v>OBSERVADO</v>
      </c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  <c r="Z263" s="185" t="str">
        <f aca="false">IF(AND(G263&lt;&gt;"",R263&lt;&gt;"",V263&lt;&gt;"",W263&lt;&gt;""),"COMPLETADO","OBSERVADO")</f>
        <v>OBSERVADO</v>
      </c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85" t="str">
        <f aca="false">IF(AND(G264&lt;&gt;"",R264&lt;&gt;"",V264&lt;&gt;"",W264&lt;&gt;""),"COMPLETADO","OBSERVADO")</f>
        <v>OBSERVADO</v>
      </c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  <c r="Z265" s="185" t="str">
        <f aca="false">IF(AND(G265&lt;&gt;"",R265&lt;&gt;"",V265&lt;&gt;"",W265&lt;&gt;""),"COMPLETADO","OBSERVADO")</f>
        <v>OBSERVADO</v>
      </c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85" t="str">
        <f aca="false">IF(AND(G266&lt;&gt;"",R266&lt;&gt;"",V266&lt;&gt;"",W266&lt;&gt;""),"COMPLETADO","OBSERVADO")</f>
        <v>OBSERVADO</v>
      </c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  <c r="Z267" s="185" t="str">
        <f aca="false">IF(AND(G267&lt;&gt;"",R267&lt;&gt;"",V267&lt;&gt;"",W267&lt;&gt;""),"COMPLETADO","OBSERVADO")</f>
        <v>OBSERVADO</v>
      </c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85" t="str">
        <f aca="false">IF(AND(G268&lt;&gt;"",R268&lt;&gt;"",V268&lt;&gt;"",W268&lt;&gt;""),"COMPLETADO","OBSERVADO")</f>
        <v>OBSERVADO</v>
      </c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  <c r="Z269" s="185" t="str">
        <f aca="false">IF(AND(G269&lt;&gt;"",R269&lt;&gt;"",V269&lt;&gt;"",W269&lt;&gt;""),"COMPLETADO","OBSERVADO")</f>
        <v>OBSERVADO</v>
      </c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85" t="str">
        <f aca="false">IF(AND(G270&lt;&gt;"",R270&lt;&gt;"",V270&lt;&gt;"",W270&lt;&gt;""),"COMPLETADO","OBSERVADO")</f>
        <v>OBSERVADO</v>
      </c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  <c r="Z271" s="185" t="str">
        <f aca="false">IF(AND(G271&lt;&gt;"",R271&lt;&gt;"",V271&lt;&gt;"",W271&lt;&gt;""),"COMPLETADO","OBSERVADO")</f>
        <v>OBSERVADO</v>
      </c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85" t="str">
        <f aca="false">IF(AND(G272&lt;&gt;"",R272&lt;&gt;"",V272&lt;&gt;"",W272&lt;&gt;""),"COMPLETADO","OBSERVADO")</f>
        <v>OBSERVADO</v>
      </c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  <c r="Z273" s="185" t="str">
        <f aca="false">IF(AND(G273&lt;&gt;"",R273&lt;&gt;"",V273&lt;&gt;"",W273&lt;&gt;""),"COMPLETADO","OBSERVADO")</f>
        <v>OBSERVADO</v>
      </c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85" t="str">
        <f aca="false">IF(AND(G274&lt;&gt;"",R274&lt;&gt;"",V274&lt;&gt;"",W274&lt;&gt;""),"COMPLETADO","OBSERVADO")</f>
        <v>OBSERVADO</v>
      </c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  <c r="Z275" s="185" t="str">
        <f aca="false">IF(AND(G275&lt;&gt;"",R275&lt;&gt;"",V275&lt;&gt;"",W275&lt;&gt;""),"COMPLETADO","OBSERVADO")</f>
        <v>OBSERVADO</v>
      </c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85" t="str">
        <f aca="false">IF(AND(G276&lt;&gt;"",R276&lt;&gt;"",V276&lt;&gt;"",W276&lt;&gt;""),"COMPLETADO","OBSERVADO")</f>
        <v>OBSERVADO</v>
      </c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  <c r="Z277" s="185" t="str">
        <f aca="false">IF(AND(G277&lt;&gt;"",R277&lt;&gt;"",V277&lt;&gt;"",W277&lt;&gt;""),"COMPLETADO","OBSERVADO")</f>
        <v>OBSERVADO</v>
      </c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85" t="str">
        <f aca="false">IF(AND(G278&lt;&gt;"",R278&lt;&gt;"",V278&lt;&gt;"",W278&lt;&gt;""),"COMPLETADO","OBSERVADO")</f>
        <v>OBSERVADO</v>
      </c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  <c r="Z279" s="185" t="str">
        <f aca="false">IF(AND(G279&lt;&gt;"",R279&lt;&gt;"",V279&lt;&gt;"",W279&lt;&gt;""),"COMPLETADO","OBSERVADO")</f>
        <v>OBSERVADO</v>
      </c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85" t="str">
        <f aca="false">IF(AND(G280&lt;&gt;"",R280&lt;&gt;"",V280&lt;&gt;"",W280&lt;&gt;""),"COMPLETADO","OBSERVADO")</f>
        <v>OBSERVADO</v>
      </c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  <c r="Z281" s="185" t="str">
        <f aca="false">IF(AND(G281&lt;&gt;"",R281&lt;&gt;"",V281&lt;&gt;"",W281&lt;&gt;""),"COMPLETADO","OBSERVADO")</f>
        <v>OBSERVADO</v>
      </c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85" t="str">
        <f aca="false">IF(AND(G282&lt;&gt;"",R282&lt;&gt;"",V282&lt;&gt;"",W282&lt;&gt;""),"COMPLETADO","OBSERVADO")</f>
        <v>OBSERVADO</v>
      </c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  <c r="Z283" s="185" t="str">
        <f aca="false">IF(AND(G283&lt;&gt;"",R283&lt;&gt;"",V283&lt;&gt;"",W283&lt;&gt;""),"COMPLETADO","OBSERVADO")</f>
        <v>OBSERVADO</v>
      </c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85" t="str">
        <f aca="false">IF(AND(G284&lt;&gt;"",R284&lt;&gt;"",V284&lt;&gt;"",W284&lt;&gt;""),"COMPLETADO","OBSERVADO")</f>
        <v>OBSERVADO</v>
      </c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  <c r="Z285" s="185" t="str">
        <f aca="false">IF(AND(G285&lt;&gt;"",R285&lt;&gt;"",V285&lt;&gt;"",W285&lt;&gt;""),"COMPLETADO","OBSERVADO")</f>
        <v>OBSERVADO</v>
      </c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85" t="str">
        <f aca="false">IF(AND(G286&lt;&gt;"",R286&lt;&gt;"",V286&lt;&gt;"",W286&lt;&gt;""),"COMPLETADO","OBSERVADO")</f>
        <v>OBSERVADO</v>
      </c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  <c r="Z287" s="185" t="str">
        <f aca="false">IF(AND(G287&lt;&gt;"",R287&lt;&gt;"",V287&lt;&gt;"",W287&lt;&gt;""),"COMPLETADO","OBSERVADO")</f>
        <v>OBSERVADO</v>
      </c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85" t="str">
        <f aca="false">IF(AND(G288&lt;&gt;"",R288&lt;&gt;"",V288&lt;&gt;"",W288&lt;&gt;""),"COMPLETADO","OBSERVADO")</f>
        <v>OBSERVADO</v>
      </c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  <c r="Z289" s="185" t="str">
        <f aca="false">IF(AND(G289&lt;&gt;"",R289&lt;&gt;"",V289&lt;&gt;"",W289&lt;&gt;""),"COMPLETADO","OBSERVADO")</f>
        <v>OBSERVADO</v>
      </c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85" t="str">
        <f aca="false">IF(AND(G290&lt;&gt;"",R290&lt;&gt;"",V290&lt;&gt;"",W290&lt;&gt;""),"COMPLETADO","OBSERVADO")</f>
        <v>OBSERVADO</v>
      </c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  <c r="Z291" s="185" t="str">
        <f aca="false">IF(AND(G291&lt;&gt;"",R291&lt;&gt;"",V291&lt;&gt;"",W291&lt;&gt;""),"COMPLETADO","OBSERVADO")</f>
        <v>OBSERVADO</v>
      </c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85" t="str">
        <f aca="false">IF(AND(G292&lt;&gt;"",R292&lt;&gt;"",V292&lt;&gt;"",W292&lt;&gt;""),"COMPLETADO","OBSERVADO")</f>
        <v>OBSERVADO</v>
      </c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  <c r="Z293" s="185" t="str">
        <f aca="false">IF(AND(G293&lt;&gt;"",R293&lt;&gt;"",V293&lt;&gt;"",W293&lt;&gt;""),"COMPLETADO","OBSERVADO")</f>
        <v>OBSERVADO</v>
      </c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85" t="str">
        <f aca="false">IF(AND(G294&lt;&gt;"",R294&lt;&gt;"",V294&lt;&gt;"",W294&lt;&gt;""),"COMPLETADO","OBSERVADO")</f>
        <v>OBSERVADO</v>
      </c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  <c r="Z295" s="185" t="str">
        <f aca="false">IF(AND(G295&lt;&gt;"",R295&lt;&gt;"",V295&lt;&gt;"",W295&lt;&gt;""),"COMPLETADO","OBSERVADO")</f>
        <v>OBSERVADO</v>
      </c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85" t="str">
        <f aca="false">IF(AND(G296&lt;&gt;"",R296&lt;&gt;"",V296&lt;&gt;"",W296&lt;&gt;""),"COMPLETADO","OBSERVADO")</f>
        <v>OBSERVADO</v>
      </c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  <c r="Z297" s="185" t="str">
        <f aca="false">IF(AND(G297&lt;&gt;"",R297&lt;&gt;"",V297&lt;&gt;"",W297&lt;&gt;""),"COMPLETADO","OBSERVADO")</f>
        <v>OBSERVADO</v>
      </c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85" t="str">
        <f aca="false">IF(AND(G298&lt;&gt;"",R298&lt;&gt;"",V298&lt;&gt;"",W298&lt;&gt;""),"COMPLETADO","OBSERVADO")</f>
        <v>OBSERVADO</v>
      </c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  <c r="Z299" s="185" t="str">
        <f aca="false">IF(AND(G299&lt;&gt;"",R299&lt;&gt;"",V299&lt;&gt;"",W299&lt;&gt;""),"COMPLETADO","OBSERVADO")</f>
        <v>OBSERVADO</v>
      </c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85" t="str">
        <f aca="false">IF(AND(G300&lt;&gt;"",R300&lt;&gt;"",V300&lt;&gt;"",W300&lt;&gt;""),"COMPLETADO","OBSERVADO")</f>
        <v>OBSERVADO</v>
      </c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  <c r="Z301" s="185" t="str">
        <f aca="false">IF(AND(G301&lt;&gt;"",R301&lt;&gt;"",V301&lt;&gt;"",W301&lt;&gt;""),"COMPLETADO","OBSERVADO")</f>
        <v>OBSERVADO</v>
      </c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85" t="str">
        <f aca="false">IF(AND(G302&lt;&gt;"",R302&lt;&gt;"",V302&lt;&gt;"",W302&lt;&gt;""),"COMPLETADO","OBSERVADO")</f>
        <v>OBSERVADO</v>
      </c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  <c r="Z303" s="185" t="str">
        <f aca="false">IF(AND(G303&lt;&gt;"",R303&lt;&gt;"",V303&lt;&gt;"",W303&lt;&gt;""),"COMPLETADO","OBSERVADO")</f>
        <v>OBSERVADO</v>
      </c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85" t="str">
        <f aca="false">IF(AND(G304&lt;&gt;"",R304&lt;&gt;"",V304&lt;&gt;"",W304&lt;&gt;""),"COMPLETADO","OBSERVADO")</f>
        <v>OBSERVADO</v>
      </c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  <c r="Z305" s="185" t="str">
        <f aca="false">IF(AND(G305&lt;&gt;"",R305&lt;&gt;"",V305&lt;&gt;"",W305&lt;&gt;""),"COMPLETADO","OBSERVADO")</f>
        <v>OBSERVADO</v>
      </c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85" t="str">
        <f aca="false">IF(AND(G306&lt;&gt;"",R306&lt;&gt;"",V306&lt;&gt;"",W306&lt;&gt;""),"COMPLETADO","OBSERVADO")</f>
        <v>OBSERVADO</v>
      </c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  <c r="Z307" s="185" t="str">
        <f aca="false">IF(AND(G307&lt;&gt;"",R307&lt;&gt;"",V307&lt;&gt;"",W307&lt;&gt;""),"COMPLETADO","OBSERVADO")</f>
        <v>OBSERVADO</v>
      </c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85" t="str">
        <f aca="false">IF(AND(G308&lt;&gt;"",R308&lt;&gt;"",V308&lt;&gt;"",W308&lt;&gt;""),"COMPLETADO","OBSERVADO")</f>
        <v>OBSERVADO</v>
      </c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  <c r="Z309" s="185" t="str">
        <f aca="false">IF(AND(G309&lt;&gt;"",R309&lt;&gt;"",V309&lt;&gt;"",W309&lt;&gt;""),"COMPLETADO","OBSERVADO")</f>
        <v>OBSERVADO</v>
      </c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85" t="str">
        <f aca="false">IF(AND(G310&lt;&gt;"",R310&lt;&gt;"",V310&lt;&gt;"",W310&lt;&gt;""),"COMPLETADO","OBSERVADO")</f>
        <v>OBSERVADO</v>
      </c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  <c r="Z311" s="185" t="str">
        <f aca="false">IF(AND(G311&lt;&gt;"",R311&lt;&gt;"",V311&lt;&gt;"",W311&lt;&gt;""),"COMPLETADO","OBSERVADO")</f>
        <v>OBSERVADO</v>
      </c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85" t="str">
        <f aca="false">IF(AND(G312&lt;&gt;"",R312&lt;&gt;"",V312&lt;&gt;"",W312&lt;&gt;""),"COMPLETADO","OBSERVADO")</f>
        <v>OBSERVADO</v>
      </c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  <c r="Z313" s="185" t="str">
        <f aca="false">IF(AND(G313&lt;&gt;"",R313&lt;&gt;"",V313&lt;&gt;"",W313&lt;&gt;""),"COMPLETADO","OBSERVADO")</f>
        <v>OBSERVADO</v>
      </c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85" t="str">
        <f aca="false">IF(AND(G314&lt;&gt;"",R314&lt;&gt;"",V314&lt;&gt;"",W314&lt;&gt;""),"COMPLETADO","OBSERVADO")</f>
        <v>OBSERVADO</v>
      </c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  <c r="Z315" s="185" t="str">
        <f aca="false">IF(AND(G315&lt;&gt;"",R315&lt;&gt;"",V315&lt;&gt;"",W315&lt;&gt;""),"COMPLETADO","OBSERVADO")</f>
        <v>OBSERVADO</v>
      </c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85" t="str">
        <f aca="false">IF(AND(G316&lt;&gt;"",R316&lt;&gt;"",V316&lt;&gt;"",W316&lt;&gt;""),"COMPLETADO","OBSERVADO")</f>
        <v>OBSERVADO</v>
      </c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  <c r="Z317" s="185" t="str">
        <f aca="false">IF(AND(G317&lt;&gt;"",R317&lt;&gt;"",V317&lt;&gt;"",W317&lt;&gt;""),"COMPLETADO","OBSERVADO")</f>
        <v>OBSERVADO</v>
      </c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85" t="str">
        <f aca="false">IF(AND(G318&lt;&gt;"",R318&lt;&gt;"",V318&lt;&gt;"",W318&lt;&gt;""),"COMPLETADO","OBSERVADO")</f>
        <v>OBSERVADO</v>
      </c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  <c r="Z319" s="185" t="str">
        <f aca="false">IF(AND(G319&lt;&gt;"",R319&lt;&gt;"",V319&lt;&gt;"",W319&lt;&gt;""),"COMPLETADO","OBSERVADO")</f>
        <v>OBSERVADO</v>
      </c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85" t="str">
        <f aca="false">IF(AND(G320&lt;&gt;"",R320&lt;&gt;"",V320&lt;&gt;"",W320&lt;&gt;""),"COMPLETADO","OBSERVADO")</f>
        <v>OBSERVADO</v>
      </c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  <c r="Z321" s="185" t="str">
        <f aca="false">IF(AND(G321&lt;&gt;"",R321&lt;&gt;"",V321&lt;&gt;"",W321&lt;&gt;""),"COMPLETADO","OBSERVADO")</f>
        <v>OBSERVADO</v>
      </c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85" t="str">
        <f aca="false">IF(AND(G322&lt;&gt;"",R322&lt;&gt;"",V322&lt;&gt;"",W322&lt;&gt;""),"COMPLETADO","OBSERVADO")</f>
        <v>OBSERVADO</v>
      </c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  <c r="Z323" s="185" t="str">
        <f aca="false">IF(AND(G323&lt;&gt;"",R323&lt;&gt;"",V323&lt;&gt;"",W323&lt;&gt;""),"COMPLETADO","OBSERVADO")</f>
        <v>OBSERVADO</v>
      </c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85" t="str">
        <f aca="false">IF(AND(G324&lt;&gt;"",R324&lt;&gt;"",V324&lt;&gt;"",W324&lt;&gt;""),"COMPLETADO","OBSERVADO")</f>
        <v>OBSERVADO</v>
      </c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  <c r="Z325" s="185" t="str">
        <f aca="false">IF(AND(G325&lt;&gt;"",R325&lt;&gt;"",V325&lt;&gt;"",W325&lt;&gt;""),"COMPLETADO","OBSERVADO")</f>
        <v>OBSERVADO</v>
      </c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85" t="str">
        <f aca="false">IF(AND(G326&lt;&gt;"",R326&lt;&gt;"",V326&lt;&gt;"",W326&lt;&gt;""),"COMPLETADO","OBSERVADO")</f>
        <v>OBSERVADO</v>
      </c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  <c r="Z327" s="185" t="str">
        <f aca="false">IF(AND(G327&lt;&gt;"",R327&lt;&gt;"",V327&lt;&gt;"",W327&lt;&gt;""),"COMPLETADO","OBSERVADO")</f>
        <v>OBSERVADO</v>
      </c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85" t="str">
        <f aca="false">IF(AND(G328&lt;&gt;"",R328&lt;&gt;"",V328&lt;&gt;"",W328&lt;&gt;""),"COMPLETADO","OBSERVADO")</f>
        <v>OBSERVADO</v>
      </c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  <c r="Z329" s="185" t="str">
        <f aca="false">IF(AND(G329&lt;&gt;"",R329&lt;&gt;"",V329&lt;&gt;"",W329&lt;&gt;""),"COMPLETADO","OBSERVADO")</f>
        <v>OBSERVADO</v>
      </c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85" t="str">
        <f aca="false">IF(AND(G330&lt;&gt;"",R330&lt;&gt;"",V330&lt;&gt;"",W330&lt;&gt;""),"COMPLETADO","OBSERVADO")</f>
        <v>OBSERVADO</v>
      </c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  <c r="Z331" s="185" t="str">
        <f aca="false">IF(AND(G331&lt;&gt;"",R331&lt;&gt;"",V331&lt;&gt;"",W331&lt;&gt;""),"COMPLETADO","OBSERVADO")</f>
        <v>OBSERVADO</v>
      </c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85" t="str">
        <f aca="false">IF(AND(G332&lt;&gt;"",R332&lt;&gt;"",V332&lt;&gt;"",W332&lt;&gt;""),"COMPLETADO","OBSERVADO")</f>
        <v>OBSERVADO</v>
      </c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  <c r="Z333" s="185" t="str">
        <f aca="false">IF(AND(G333&lt;&gt;"",R333&lt;&gt;"",V333&lt;&gt;"",W333&lt;&gt;""),"COMPLETADO","OBSERVADO")</f>
        <v>OBSERVADO</v>
      </c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85" t="str">
        <f aca="false">IF(AND(G334&lt;&gt;"",R334&lt;&gt;"",V334&lt;&gt;"",W334&lt;&gt;""),"COMPLETADO","OBSERVADO")</f>
        <v>OBSERVADO</v>
      </c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  <c r="Z335" s="185" t="str">
        <f aca="false">IF(AND(G335&lt;&gt;"",R335&lt;&gt;"",V335&lt;&gt;"",W335&lt;&gt;""),"COMPLETADO","OBSERVADO")</f>
        <v>OBSERVADO</v>
      </c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85" t="str">
        <f aca="false">IF(AND(G336&lt;&gt;"",R336&lt;&gt;"",V336&lt;&gt;"",W336&lt;&gt;""),"COMPLETADO","OBSERVADO")</f>
        <v>OBSERVADO</v>
      </c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  <c r="Z337" s="185" t="str">
        <f aca="false">IF(AND(G337&lt;&gt;"",R337&lt;&gt;"",V337&lt;&gt;"",W337&lt;&gt;""),"COMPLETADO","OBSERVADO")</f>
        <v>OBSERVADO</v>
      </c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85" t="str">
        <f aca="false">IF(AND(G338&lt;&gt;"",R338&lt;&gt;"",V338&lt;&gt;"",W338&lt;&gt;""),"COMPLETADO","OBSERVADO")</f>
        <v>OBSERVADO</v>
      </c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  <c r="Z339" s="185" t="str">
        <f aca="false">IF(AND(G339&lt;&gt;"",R339&lt;&gt;"",V339&lt;&gt;"",W339&lt;&gt;""),"COMPLETADO","OBSERVADO")</f>
        <v>OBSERVADO</v>
      </c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85" t="str">
        <f aca="false">IF(AND(G340&lt;&gt;"",R340&lt;&gt;"",V340&lt;&gt;"",W340&lt;&gt;""),"COMPLETADO","OBSERVADO")</f>
        <v>OBSERVADO</v>
      </c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  <c r="Z341" s="185" t="str">
        <f aca="false">IF(AND(G341&lt;&gt;"",R341&lt;&gt;"",V341&lt;&gt;"",W341&lt;&gt;""),"COMPLETADO","OBSERVADO")</f>
        <v>OBSERVADO</v>
      </c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85" t="str">
        <f aca="false">IF(AND(G342&lt;&gt;"",R342&lt;&gt;"",V342&lt;&gt;"",W342&lt;&gt;""),"COMPLETADO","OBSERVADO")</f>
        <v>OBSERVADO</v>
      </c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  <c r="Z343" s="185" t="str">
        <f aca="false">IF(AND(G343&lt;&gt;"",R343&lt;&gt;"",V343&lt;&gt;"",W343&lt;&gt;""),"COMPLETADO","OBSERVADO")</f>
        <v>OBSERVADO</v>
      </c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85" t="str">
        <f aca="false">IF(AND(G344&lt;&gt;"",R344&lt;&gt;"",V344&lt;&gt;"",W344&lt;&gt;""),"COMPLETADO","OBSERVADO")</f>
        <v>OBSERVADO</v>
      </c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  <c r="Z345" s="185" t="str">
        <f aca="false">IF(AND(G345&lt;&gt;"",R345&lt;&gt;"",V345&lt;&gt;"",W345&lt;&gt;""),"COMPLETADO","OBSERVADO")</f>
        <v>OBSERVADO</v>
      </c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85" t="str">
        <f aca="false">IF(AND(G346&lt;&gt;"",R346&lt;&gt;"",V346&lt;&gt;"",W346&lt;&gt;""),"COMPLETADO","OBSERVADO")</f>
        <v>OBSERVADO</v>
      </c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  <c r="Z347" s="185" t="str">
        <f aca="false">IF(AND(G347&lt;&gt;"",R347&lt;&gt;"",V347&lt;&gt;"",W347&lt;&gt;""),"COMPLETADO","OBSERVADO")</f>
        <v>OBSERVADO</v>
      </c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85" t="str">
        <f aca="false">IF(AND(G348&lt;&gt;"",R348&lt;&gt;"",V348&lt;&gt;"",W348&lt;&gt;""),"COMPLETADO","OBSERVADO")</f>
        <v>OBSERVADO</v>
      </c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  <c r="Z349" s="185" t="str">
        <f aca="false">IF(AND(G349&lt;&gt;"",R349&lt;&gt;"",V349&lt;&gt;"",W349&lt;&gt;""),"COMPLETADO","OBSERVADO")</f>
        <v>OBSERVADO</v>
      </c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85" t="str">
        <f aca="false">IF(AND(G350&lt;&gt;"",R350&lt;&gt;"",V350&lt;&gt;"",W350&lt;&gt;""),"COMPLETADO","OBSERVADO")</f>
        <v>OBSERVADO</v>
      </c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  <c r="Z351" s="185" t="str">
        <f aca="false">IF(AND(G351&lt;&gt;"",R351&lt;&gt;"",V351&lt;&gt;"",W351&lt;&gt;""),"COMPLETADO","OBSERVADO")</f>
        <v>OBSERVADO</v>
      </c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85" t="str">
        <f aca="false">IF(AND(G352&lt;&gt;"",R352&lt;&gt;"",V352&lt;&gt;"",W352&lt;&gt;""),"COMPLETADO","OBSERVADO")</f>
        <v>OBSERVADO</v>
      </c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  <c r="Z353" s="185" t="str">
        <f aca="false">IF(AND(G353&lt;&gt;"",R353&lt;&gt;"",V353&lt;&gt;"",W353&lt;&gt;""),"COMPLETADO","OBSERVADO")</f>
        <v>OBSERVADO</v>
      </c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85" t="str">
        <f aca="false">IF(AND(G354&lt;&gt;"",R354&lt;&gt;"",V354&lt;&gt;"",W354&lt;&gt;""),"COMPLETADO","OBSERVADO")</f>
        <v>OBSERVADO</v>
      </c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  <c r="Z355" s="185" t="str">
        <f aca="false">IF(AND(G355&lt;&gt;"",R355&lt;&gt;"",V355&lt;&gt;"",W355&lt;&gt;""),"COMPLETADO","OBSERVADO")</f>
        <v>OBSERVADO</v>
      </c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85" t="str">
        <f aca="false">IF(AND(G356&lt;&gt;"",R356&lt;&gt;"",V356&lt;&gt;"",W356&lt;&gt;""),"COMPLETADO","OBSERVADO")</f>
        <v>OBSERVADO</v>
      </c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  <c r="Z357" s="185" t="str">
        <f aca="false">IF(AND(G357&lt;&gt;"",R357&lt;&gt;"",V357&lt;&gt;"",W357&lt;&gt;""),"COMPLETADO","OBSERVADO")</f>
        <v>OBSERVADO</v>
      </c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85" t="str">
        <f aca="false">IF(AND(G358&lt;&gt;"",R358&lt;&gt;"",V358&lt;&gt;"",W358&lt;&gt;""),"COMPLETADO","OBSERVADO")</f>
        <v>OBSERVADO</v>
      </c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  <c r="Z359" s="185" t="str">
        <f aca="false">IF(AND(G359&lt;&gt;"",R359&lt;&gt;"",V359&lt;&gt;"",W359&lt;&gt;""),"COMPLETADO","OBSERVADO")</f>
        <v>OBSERVADO</v>
      </c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85" t="str">
        <f aca="false">IF(AND(G360&lt;&gt;"",R360&lt;&gt;"",V360&lt;&gt;"",W360&lt;&gt;""),"COMPLETADO","OBSERVADO")</f>
        <v>OBSERVADO</v>
      </c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  <c r="Z361" s="185" t="str">
        <f aca="false">IF(AND(G361&lt;&gt;"",R361&lt;&gt;"",V361&lt;&gt;"",W361&lt;&gt;""),"COMPLETADO","OBSERVADO")</f>
        <v>OBSERVADO</v>
      </c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85" t="str">
        <f aca="false">IF(AND(G362&lt;&gt;"",R362&lt;&gt;"",V362&lt;&gt;"",W362&lt;&gt;""),"COMPLETADO","OBSERVADO")</f>
        <v>OBSERVADO</v>
      </c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  <c r="Z363" s="185" t="str">
        <f aca="false">IF(AND(G363&lt;&gt;"",R363&lt;&gt;"",V363&lt;&gt;"",W363&lt;&gt;""),"COMPLETADO","OBSERVADO")</f>
        <v>OBSERVADO</v>
      </c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85" t="str">
        <f aca="false">IF(AND(G364&lt;&gt;"",R364&lt;&gt;"",V364&lt;&gt;"",W364&lt;&gt;""),"COMPLETADO","OBSERVADO")</f>
        <v>OBSERVADO</v>
      </c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  <c r="Z365" s="185" t="str">
        <f aca="false">IF(AND(G365&lt;&gt;"",R365&lt;&gt;"",V365&lt;&gt;"",W365&lt;&gt;""),"COMPLETADO","OBSERVADO")</f>
        <v>OBSERVADO</v>
      </c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85" t="str">
        <f aca="false">IF(AND(G366&lt;&gt;"",R366&lt;&gt;"",V366&lt;&gt;"",W366&lt;&gt;""),"COMPLETADO","OBSERVADO")</f>
        <v>OBSERVADO</v>
      </c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  <c r="Z367" s="185" t="str">
        <f aca="false">IF(AND(G367&lt;&gt;"",R367&lt;&gt;"",V367&lt;&gt;"",W367&lt;&gt;""),"COMPLETADO","OBSERVADO")</f>
        <v>OBSERVADO</v>
      </c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85" t="str">
        <f aca="false">IF(AND(G368&lt;&gt;"",R368&lt;&gt;"",V368&lt;&gt;"",W368&lt;&gt;""),"COMPLETADO","OBSERVADO")</f>
        <v>OBSERVADO</v>
      </c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  <c r="Z369" s="185" t="str">
        <f aca="false">IF(AND(G369&lt;&gt;"",R369&lt;&gt;"",V369&lt;&gt;"",W369&lt;&gt;""),"COMPLETADO","OBSERVADO")</f>
        <v>OBSERVADO</v>
      </c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85" t="str">
        <f aca="false">IF(AND(G370&lt;&gt;"",R370&lt;&gt;"",V370&lt;&gt;"",W370&lt;&gt;""),"COMPLETADO","OBSERVADO")</f>
        <v>OBSERVADO</v>
      </c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  <c r="Z371" s="185" t="str">
        <f aca="false">IF(AND(G371&lt;&gt;"",R371&lt;&gt;"",V371&lt;&gt;"",W371&lt;&gt;""),"COMPLETADO","OBSERVADO")</f>
        <v>OBSERVADO</v>
      </c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85" t="str">
        <f aca="false">IF(AND(G372&lt;&gt;"",R372&lt;&gt;"",V372&lt;&gt;"",W372&lt;&gt;""),"COMPLETADO","OBSERVADO")</f>
        <v>OBSERVADO</v>
      </c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  <c r="Z373" s="185" t="str">
        <f aca="false">IF(AND(G373&lt;&gt;"",R373&lt;&gt;"",V373&lt;&gt;"",W373&lt;&gt;""),"COMPLETADO","OBSERVADO")</f>
        <v>OBSERVADO</v>
      </c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85" t="str">
        <f aca="false">IF(AND(G374&lt;&gt;"",R374&lt;&gt;"",V374&lt;&gt;"",W374&lt;&gt;""),"COMPLETADO","OBSERVADO")</f>
        <v>OBSERVADO</v>
      </c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  <c r="Z375" s="185" t="str">
        <f aca="false">IF(AND(G375&lt;&gt;"",R375&lt;&gt;"",V375&lt;&gt;"",W375&lt;&gt;""),"COMPLETADO","OBSERVADO")</f>
        <v>OBSERVADO</v>
      </c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85" t="str">
        <f aca="false">IF(AND(G376&lt;&gt;"",R376&lt;&gt;"",V376&lt;&gt;"",W376&lt;&gt;""),"COMPLETADO","OBSERVADO")</f>
        <v>OBSERVADO</v>
      </c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  <c r="Z377" s="185" t="str">
        <f aca="false">IF(AND(G377&lt;&gt;"",R377&lt;&gt;"",V377&lt;&gt;"",W377&lt;&gt;""),"COMPLETADO","OBSERVADO")</f>
        <v>OBSERVADO</v>
      </c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85" t="str">
        <f aca="false">IF(AND(G378&lt;&gt;"",R378&lt;&gt;"",V378&lt;&gt;"",W378&lt;&gt;""),"COMPLETADO","OBSERVADO")</f>
        <v>OBSERVADO</v>
      </c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  <c r="Z379" s="185" t="str">
        <f aca="false">IF(AND(G379&lt;&gt;"",R379&lt;&gt;"",V379&lt;&gt;"",W379&lt;&gt;""),"COMPLETADO","OBSERVADO")</f>
        <v>OBSERVADO</v>
      </c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85" t="str">
        <f aca="false">IF(AND(G380&lt;&gt;"",R380&lt;&gt;"",V380&lt;&gt;"",W380&lt;&gt;""),"COMPLETADO","OBSERVADO")</f>
        <v>OBSERVADO</v>
      </c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  <c r="Z381" s="185" t="str">
        <f aca="false">IF(AND(G381&lt;&gt;"",R381&lt;&gt;"",V381&lt;&gt;"",W381&lt;&gt;""),"COMPLETADO","OBSERVADO")</f>
        <v>OBSERVADO</v>
      </c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85" t="str">
        <f aca="false">IF(AND(G382&lt;&gt;"",R382&lt;&gt;"",V382&lt;&gt;"",W382&lt;&gt;""),"COMPLETADO","OBSERVADO")</f>
        <v>OBSERVADO</v>
      </c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  <c r="Z383" s="185" t="str">
        <f aca="false">IF(AND(G383&lt;&gt;"",R383&lt;&gt;"",V383&lt;&gt;"",W383&lt;&gt;""),"COMPLETADO","OBSERVADO")</f>
        <v>OBSERVADO</v>
      </c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85" t="str">
        <f aca="false">IF(AND(G384&lt;&gt;"",R384&lt;&gt;"",V384&lt;&gt;"",W384&lt;&gt;""),"COMPLETADO","OBSERVADO")</f>
        <v>OBSERVADO</v>
      </c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  <c r="Z385" s="185" t="str">
        <f aca="false">IF(AND(G385&lt;&gt;"",R385&lt;&gt;"",V385&lt;&gt;"",W385&lt;&gt;""),"COMPLETADO","OBSERVADO")</f>
        <v>OBSERVADO</v>
      </c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85" t="str">
        <f aca="false">IF(AND(G386&lt;&gt;"",R386&lt;&gt;"",V386&lt;&gt;"",W386&lt;&gt;""),"COMPLETADO","OBSERVADO")</f>
        <v>OBSERVADO</v>
      </c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  <c r="Z387" s="185" t="str">
        <f aca="false">IF(AND(G387&lt;&gt;"",R387&lt;&gt;"",V387&lt;&gt;"",W387&lt;&gt;""),"COMPLETADO","OBSERVADO")</f>
        <v>OBSERVADO</v>
      </c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85" t="str">
        <f aca="false">IF(AND(G388&lt;&gt;"",R388&lt;&gt;"",V388&lt;&gt;"",W388&lt;&gt;""),"COMPLETADO","OBSERVADO")</f>
        <v>OBSERVADO</v>
      </c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  <c r="Z389" s="185" t="str">
        <f aca="false">IF(AND(G389&lt;&gt;"",R389&lt;&gt;"",V389&lt;&gt;"",W389&lt;&gt;""),"COMPLETADO","OBSERVADO")</f>
        <v>OBSERVADO</v>
      </c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85" t="str">
        <f aca="false">IF(AND(G390&lt;&gt;"",R390&lt;&gt;"",V390&lt;&gt;"",W390&lt;&gt;""),"COMPLETADO","OBSERVADO")</f>
        <v>OBSERVADO</v>
      </c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  <c r="Z391" s="185" t="str">
        <f aca="false">IF(AND(G391&lt;&gt;"",R391&lt;&gt;"",V391&lt;&gt;"",W391&lt;&gt;""),"COMPLETADO","OBSERVADO")</f>
        <v>OBSERVADO</v>
      </c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85" t="str">
        <f aca="false">IF(AND(G392&lt;&gt;"",R392&lt;&gt;"",V392&lt;&gt;"",W392&lt;&gt;""),"COMPLETADO","OBSERVADO")</f>
        <v>OBSERVADO</v>
      </c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  <c r="Z393" s="185" t="str">
        <f aca="false">IF(AND(G393&lt;&gt;"",R393&lt;&gt;"",V393&lt;&gt;"",W393&lt;&gt;""),"COMPLETADO","OBSERVADO")</f>
        <v>OBSERVADO</v>
      </c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85" t="str">
        <f aca="false">IF(AND(G394&lt;&gt;"",R394&lt;&gt;"",V394&lt;&gt;"",W394&lt;&gt;""),"COMPLETADO","OBSERVADO")</f>
        <v>OBSERVADO</v>
      </c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  <c r="Z395" s="185" t="str">
        <f aca="false">IF(AND(G395&lt;&gt;"",R395&lt;&gt;"",V395&lt;&gt;"",W395&lt;&gt;""),"COMPLETADO","OBSERVADO")</f>
        <v>OBSERVADO</v>
      </c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85" t="str">
        <f aca="false">IF(AND(G396&lt;&gt;"",R396&lt;&gt;"",V396&lt;&gt;"",W396&lt;&gt;""),"COMPLETADO","OBSERVADO")</f>
        <v>OBSERVADO</v>
      </c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  <c r="Z397" s="185" t="str">
        <f aca="false">IF(AND(G397&lt;&gt;"",R397&lt;&gt;"",V397&lt;&gt;"",W397&lt;&gt;""),"COMPLETADO","OBSERVADO")</f>
        <v>OBSERVADO</v>
      </c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85" t="str">
        <f aca="false">IF(AND(G398&lt;&gt;"",R398&lt;&gt;"",V398&lt;&gt;"",W398&lt;&gt;""),"COMPLETADO","OBSERVADO")</f>
        <v>OBSERVADO</v>
      </c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  <c r="Z399" s="185" t="str">
        <f aca="false">IF(AND(G399&lt;&gt;"",R399&lt;&gt;"",V399&lt;&gt;"",W399&lt;&gt;""),"COMPLETADO","OBSERVADO")</f>
        <v>OBSERVADO</v>
      </c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85" t="str">
        <f aca="false">IF(AND(G400&lt;&gt;"",R400&lt;&gt;"",V400&lt;&gt;"",W400&lt;&gt;""),"COMPLETADO","OBSERVADO")</f>
        <v>OBSERVADO</v>
      </c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  <c r="Z401" s="185" t="str">
        <f aca="false">IF(AND(G401&lt;&gt;"",R401&lt;&gt;"",V401&lt;&gt;"",W401&lt;&gt;""),"COMPLETADO","OBSERVADO")</f>
        <v>OBSERVADO</v>
      </c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85" t="str">
        <f aca="false">IF(AND(G402&lt;&gt;"",R402&lt;&gt;"",V402&lt;&gt;"",W402&lt;&gt;""),"COMPLETADO","OBSERVADO")</f>
        <v>OBSERVADO</v>
      </c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  <c r="Z403" s="185" t="str">
        <f aca="false">IF(AND(G403&lt;&gt;"",R403&lt;&gt;"",V403&lt;&gt;"",W403&lt;&gt;""),"COMPLETADO","OBSERVADO")</f>
        <v>OBSERVADO</v>
      </c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85" t="str">
        <f aca="false">IF(AND(G404&lt;&gt;"",R404&lt;&gt;"",V404&lt;&gt;"",W404&lt;&gt;""),"COMPLETADO","OBSERVADO")</f>
        <v>OBSERVADO</v>
      </c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  <c r="Z405" s="185" t="str">
        <f aca="false">IF(AND(G405&lt;&gt;"",R405&lt;&gt;"",V405&lt;&gt;"",W405&lt;&gt;""),"COMPLETADO","OBSERVADO")</f>
        <v>OBSERVADO</v>
      </c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85" t="str">
        <f aca="false">IF(AND(G406&lt;&gt;"",R406&lt;&gt;"",V406&lt;&gt;"",W406&lt;&gt;""),"COMPLETADO","OBSERVADO")</f>
        <v>OBSERVADO</v>
      </c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  <c r="Z407" s="185" t="str">
        <f aca="false">IF(AND(G407&lt;&gt;"",R407&lt;&gt;"",V407&lt;&gt;"",W407&lt;&gt;""),"COMPLETADO","OBSERVADO")</f>
        <v>OBSERVADO</v>
      </c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85" t="str">
        <f aca="false">IF(AND(G408&lt;&gt;"",R408&lt;&gt;"",V408&lt;&gt;"",W408&lt;&gt;""),"COMPLETADO","OBSERVADO")</f>
        <v>OBSERVADO</v>
      </c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  <c r="Z409" s="185" t="str">
        <f aca="false">IF(AND(G409&lt;&gt;"",R409&lt;&gt;"",V409&lt;&gt;"",W409&lt;&gt;""),"COMPLETADO","OBSERVADO")</f>
        <v>OBSERVADO</v>
      </c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85" t="str">
        <f aca="false">IF(AND(G410&lt;&gt;"",R410&lt;&gt;"",V410&lt;&gt;"",W410&lt;&gt;""),"COMPLETADO","OBSERVADO")</f>
        <v>OBSERVADO</v>
      </c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  <c r="Z411" s="185" t="str">
        <f aca="false">IF(AND(G411&lt;&gt;"",R411&lt;&gt;"",V411&lt;&gt;"",W411&lt;&gt;""),"COMPLETADO","OBSERVADO")</f>
        <v>OBSERVADO</v>
      </c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85" t="str">
        <f aca="false">IF(AND(G412&lt;&gt;"",R412&lt;&gt;"",V412&lt;&gt;"",W412&lt;&gt;""),"COMPLETADO","OBSERVADO")</f>
        <v>OBSERVADO</v>
      </c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  <c r="Z413" s="185" t="str">
        <f aca="false">IF(AND(G413&lt;&gt;"",R413&lt;&gt;"",V413&lt;&gt;"",W413&lt;&gt;""),"COMPLETADO","OBSERVADO")</f>
        <v>OBSERVADO</v>
      </c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85" t="str">
        <f aca="false">IF(AND(G414&lt;&gt;"",R414&lt;&gt;"",V414&lt;&gt;"",W414&lt;&gt;""),"COMPLETADO","OBSERVADO")</f>
        <v>OBSERVADO</v>
      </c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  <c r="Z415" s="185" t="str">
        <f aca="false">IF(AND(G415&lt;&gt;"",R415&lt;&gt;"",V415&lt;&gt;"",W415&lt;&gt;""),"COMPLETADO","OBSERVADO")</f>
        <v>OBSERVADO</v>
      </c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85" t="str">
        <f aca="false">IF(AND(G416&lt;&gt;"",R416&lt;&gt;"",V416&lt;&gt;"",W416&lt;&gt;""),"COMPLETADO","OBSERVADO")</f>
        <v>OBSERVADO</v>
      </c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  <c r="Z417" s="185" t="str">
        <f aca="false">IF(AND(G417&lt;&gt;"",R417&lt;&gt;"",V417&lt;&gt;"",W417&lt;&gt;""),"COMPLETADO","OBSERVADO")</f>
        <v>OBSERVADO</v>
      </c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85" t="str">
        <f aca="false">IF(AND(G418&lt;&gt;"",R418&lt;&gt;"",V418&lt;&gt;"",W418&lt;&gt;""),"COMPLETADO","OBSERVADO")</f>
        <v>OBSERVADO</v>
      </c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  <c r="Z419" s="185" t="str">
        <f aca="false">IF(AND(G419&lt;&gt;"",R419&lt;&gt;"",V419&lt;&gt;"",W419&lt;&gt;""),"COMPLETADO","OBSERVADO")</f>
        <v>OBSERVADO</v>
      </c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85" t="str">
        <f aca="false">IF(AND(G420&lt;&gt;"",R420&lt;&gt;"",V420&lt;&gt;"",W420&lt;&gt;""),"COMPLETADO","OBSERVADO")</f>
        <v>OBSERVADO</v>
      </c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  <c r="Z421" s="185" t="str">
        <f aca="false">IF(AND(G421&lt;&gt;"",R421&lt;&gt;"",V421&lt;&gt;"",W421&lt;&gt;""),"COMPLETADO","OBSERVADO")</f>
        <v>OBSERVADO</v>
      </c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85" t="str">
        <f aca="false">IF(AND(G422&lt;&gt;"",R422&lt;&gt;"",V422&lt;&gt;"",W422&lt;&gt;""),"COMPLETADO","OBSERVADO")</f>
        <v>OBSERVADO</v>
      </c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  <c r="Z423" s="185" t="str">
        <f aca="false">IF(AND(G423&lt;&gt;"",R423&lt;&gt;"",V423&lt;&gt;"",W423&lt;&gt;""),"COMPLETADO","OBSERVADO")</f>
        <v>OBSERVADO</v>
      </c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85" t="str">
        <f aca="false">IF(AND(G424&lt;&gt;"",R424&lt;&gt;"",V424&lt;&gt;"",W424&lt;&gt;""),"COMPLETADO","OBSERVADO")</f>
        <v>OBSERVADO</v>
      </c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  <c r="Z425" s="185" t="str">
        <f aca="false">IF(AND(G425&lt;&gt;"",R425&lt;&gt;"",V425&lt;&gt;"",W425&lt;&gt;""),"COMPLETADO","OBSERVADO")</f>
        <v>OBSERVADO</v>
      </c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85" t="str">
        <f aca="false">IF(AND(G426&lt;&gt;"",R426&lt;&gt;"",V426&lt;&gt;"",W426&lt;&gt;""),"COMPLETADO","OBSERVADO")</f>
        <v>OBSERVADO</v>
      </c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  <c r="Z427" s="185" t="str">
        <f aca="false">IF(AND(G427&lt;&gt;"",R427&lt;&gt;"",V427&lt;&gt;"",W427&lt;&gt;""),"COMPLETADO","OBSERVADO")</f>
        <v>OBSERVADO</v>
      </c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85" t="str">
        <f aca="false">IF(AND(G428&lt;&gt;"",R428&lt;&gt;"",V428&lt;&gt;"",W428&lt;&gt;""),"COMPLETADO","OBSERVADO")</f>
        <v>OBSERVADO</v>
      </c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  <c r="Z429" s="185" t="str">
        <f aca="false">IF(AND(G429&lt;&gt;"",R429&lt;&gt;"",V429&lt;&gt;"",W429&lt;&gt;""),"COMPLETADO","OBSERVADO")</f>
        <v>OBSERVADO</v>
      </c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85" t="str">
        <f aca="false">IF(AND(G430&lt;&gt;"",R430&lt;&gt;"",V430&lt;&gt;"",W430&lt;&gt;""),"COMPLETADO","OBSERVADO")</f>
        <v>OBSERVADO</v>
      </c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  <c r="Z431" s="185" t="str">
        <f aca="false">IF(AND(G431&lt;&gt;"",R431&lt;&gt;"",V431&lt;&gt;"",W431&lt;&gt;""),"COMPLETADO","OBSERVADO")</f>
        <v>OBSERVADO</v>
      </c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85" t="str">
        <f aca="false">IF(AND(G432&lt;&gt;"",R432&lt;&gt;"",V432&lt;&gt;"",W432&lt;&gt;""),"COMPLETADO","OBSERVADO")</f>
        <v>OBSERVADO</v>
      </c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  <c r="Z433" s="185" t="str">
        <f aca="false">IF(AND(G433&lt;&gt;"",R433&lt;&gt;"",V433&lt;&gt;"",W433&lt;&gt;""),"COMPLETADO","OBSERVADO")</f>
        <v>OBSERVADO</v>
      </c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85" t="str">
        <f aca="false">IF(AND(G434&lt;&gt;"",R434&lt;&gt;"",V434&lt;&gt;"",W434&lt;&gt;""),"COMPLETADO","OBSERVADO")</f>
        <v>OBSERVADO</v>
      </c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  <c r="Z435" s="185" t="str">
        <f aca="false">IF(AND(G435&lt;&gt;"",R435&lt;&gt;"",V435&lt;&gt;"",W435&lt;&gt;""),"COMPLETADO","OBSERVADO")</f>
        <v>OBSERVADO</v>
      </c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85" t="str">
        <f aca="false">IF(AND(G436&lt;&gt;"",R436&lt;&gt;"",V436&lt;&gt;"",W436&lt;&gt;""),"COMPLETADO","OBSERVADO")</f>
        <v>OBSERVADO</v>
      </c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  <c r="Z437" s="185" t="str">
        <f aca="false">IF(AND(G437&lt;&gt;"",R437&lt;&gt;"",V437&lt;&gt;"",W437&lt;&gt;""),"COMPLETADO","OBSERVADO")</f>
        <v>OBSERVADO</v>
      </c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85" t="str">
        <f aca="false">IF(AND(G438&lt;&gt;"",R438&lt;&gt;"",V438&lt;&gt;"",W438&lt;&gt;""),"COMPLETADO","OBSERVADO")</f>
        <v>OBSERVADO</v>
      </c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  <c r="Z439" s="185" t="str">
        <f aca="false">IF(AND(G439&lt;&gt;"",R439&lt;&gt;"",V439&lt;&gt;"",W439&lt;&gt;""),"COMPLETADO","OBSERVADO")</f>
        <v>OBSERVADO</v>
      </c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85" t="str">
        <f aca="false">IF(AND(G440&lt;&gt;"",R440&lt;&gt;"",V440&lt;&gt;"",W440&lt;&gt;""),"COMPLETADO","OBSERVADO")</f>
        <v>OBSERVADO</v>
      </c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  <c r="Z441" s="185" t="str">
        <f aca="false">IF(AND(G441&lt;&gt;"",R441&lt;&gt;"",V441&lt;&gt;"",W441&lt;&gt;""),"COMPLETADO","OBSERVADO")</f>
        <v>OBSERVADO</v>
      </c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85" t="str">
        <f aca="false">IF(AND(G442&lt;&gt;"",R442&lt;&gt;"",V442&lt;&gt;"",W442&lt;&gt;""),"COMPLETADO","OBSERVADO")</f>
        <v>OBSERVADO</v>
      </c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  <c r="Z443" s="185" t="str">
        <f aca="false">IF(AND(G443&lt;&gt;"",R443&lt;&gt;"",V443&lt;&gt;"",W443&lt;&gt;""),"COMPLETADO","OBSERVADO")</f>
        <v>OBSERVADO</v>
      </c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85" t="str">
        <f aca="false">IF(AND(G444&lt;&gt;"",R444&lt;&gt;"",V444&lt;&gt;"",W444&lt;&gt;""),"COMPLETADO","OBSERVADO")</f>
        <v>OBSERVADO</v>
      </c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  <c r="Z445" s="185" t="str">
        <f aca="false">IF(AND(G445&lt;&gt;"",R445&lt;&gt;"",V445&lt;&gt;"",W445&lt;&gt;""),"COMPLETADO","OBSERVADO")</f>
        <v>OBSERVADO</v>
      </c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85" t="str">
        <f aca="false">IF(AND(G446&lt;&gt;"",R446&lt;&gt;"",V446&lt;&gt;"",W446&lt;&gt;""),"COMPLETADO","OBSERVADO")</f>
        <v>OBSERVADO</v>
      </c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  <c r="Z447" s="185" t="str">
        <f aca="false">IF(AND(G447&lt;&gt;"",R447&lt;&gt;"",V447&lt;&gt;"",W447&lt;&gt;""),"COMPLETADO","OBSERVADO")</f>
        <v>OBSERVADO</v>
      </c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85" t="str">
        <f aca="false">IF(AND(G448&lt;&gt;"",R448&lt;&gt;"",V448&lt;&gt;"",W448&lt;&gt;""),"COMPLETADO","OBSERVADO")</f>
        <v>OBSERVADO</v>
      </c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  <c r="Z449" s="185" t="str">
        <f aca="false">IF(AND(G449&lt;&gt;"",R449&lt;&gt;"",V449&lt;&gt;"",W449&lt;&gt;""),"COMPLETADO","OBSERVADO")</f>
        <v>OBSERVADO</v>
      </c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85" t="str">
        <f aca="false">IF(AND(G450&lt;&gt;"",R450&lt;&gt;"",V450&lt;&gt;"",W450&lt;&gt;""),"COMPLETADO","OBSERVADO")</f>
        <v>OBSERVADO</v>
      </c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  <c r="Z451" s="185" t="str">
        <f aca="false">IF(AND(G451&lt;&gt;"",R451&lt;&gt;"",V451&lt;&gt;"",W451&lt;&gt;""),"COMPLETADO","OBSERVADO")</f>
        <v>OBSERVADO</v>
      </c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85" t="str">
        <f aca="false">IF(AND(G452&lt;&gt;"",R452&lt;&gt;"",V452&lt;&gt;"",W452&lt;&gt;""),"COMPLETADO","OBSERVADO")</f>
        <v>OBSERVADO</v>
      </c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  <c r="Z453" s="185" t="str">
        <f aca="false">IF(AND(G453&lt;&gt;"",R453&lt;&gt;"",V453&lt;&gt;"",W453&lt;&gt;""),"COMPLETADO","OBSERVADO")</f>
        <v>OBSERVADO</v>
      </c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85" t="str">
        <f aca="false">IF(AND(G454&lt;&gt;"",R454&lt;&gt;"",V454&lt;&gt;"",W454&lt;&gt;""),"COMPLETADO","OBSERVADO")</f>
        <v>OBSERVADO</v>
      </c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  <c r="Z455" s="185" t="str">
        <f aca="false">IF(AND(G455&lt;&gt;"",R455&lt;&gt;"",V455&lt;&gt;"",W455&lt;&gt;""),"COMPLETADO","OBSERVADO")</f>
        <v>OBSERVADO</v>
      </c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85" t="str">
        <f aca="false">IF(AND(G456&lt;&gt;"",R456&lt;&gt;"",V456&lt;&gt;"",W456&lt;&gt;""),"COMPLETADO","OBSERVADO")</f>
        <v>OBSERVADO</v>
      </c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  <c r="Z457" s="185" t="str">
        <f aca="false">IF(AND(G457&lt;&gt;"",R457&lt;&gt;"",V457&lt;&gt;"",W457&lt;&gt;""),"COMPLETADO","OBSERVADO")</f>
        <v>OBSERVADO</v>
      </c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85" t="str">
        <f aca="false">IF(AND(G458&lt;&gt;"",R458&lt;&gt;"",V458&lt;&gt;"",W458&lt;&gt;""),"COMPLETADO","OBSERVADO")</f>
        <v>OBSERVADO</v>
      </c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  <c r="Z459" s="185" t="str">
        <f aca="false">IF(AND(G459&lt;&gt;"",R459&lt;&gt;"",V459&lt;&gt;"",W459&lt;&gt;""),"COMPLETADO","OBSERVADO")</f>
        <v>OBSERVADO</v>
      </c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85" t="str">
        <f aca="false">IF(AND(G460&lt;&gt;"",R460&lt;&gt;"",V460&lt;&gt;"",W460&lt;&gt;""),"COMPLETADO","OBSERVADO")</f>
        <v>OBSERVADO</v>
      </c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  <c r="Z461" s="185" t="str">
        <f aca="false">IF(AND(G461&lt;&gt;"",R461&lt;&gt;"",V461&lt;&gt;"",W461&lt;&gt;""),"COMPLETADO","OBSERVADO")</f>
        <v>OBSERVADO</v>
      </c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85" t="str">
        <f aca="false">IF(AND(G462&lt;&gt;"",R462&lt;&gt;"",V462&lt;&gt;"",W462&lt;&gt;""),"COMPLETADO","OBSERVADO")</f>
        <v>OBSERVADO</v>
      </c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  <c r="Z463" s="185" t="str">
        <f aca="false">IF(AND(G463&lt;&gt;"",R463&lt;&gt;"",V463&lt;&gt;"",W463&lt;&gt;""),"COMPLETADO","OBSERVADO")</f>
        <v>OBSERVADO</v>
      </c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85" t="str">
        <f aca="false">IF(AND(G464&lt;&gt;"",R464&lt;&gt;"",V464&lt;&gt;"",W464&lt;&gt;""),"COMPLETADO","OBSERVADO")</f>
        <v>OBSERVADO</v>
      </c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  <c r="Z465" s="185" t="str">
        <f aca="false">IF(AND(G465&lt;&gt;"",R465&lt;&gt;"",V465&lt;&gt;"",W465&lt;&gt;""),"COMPLETADO","OBSERVADO")</f>
        <v>OBSERVADO</v>
      </c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85" t="str">
        <f aca="false">IF(AND(G466&lt;&gt;"",R466&lt;&gt;"",V466&lt;&gt;"",W466&lt;&gt;""),"COMPLETADO","OBSERVADO")</f>
        <v>OBSERVADO</v>
      </c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  <c r="Z467" s="185" t="str">
        <f aca="false">IF(AND(G467&lt;&gt;"",R467&lt;&gt;"",V467&lt;&gt;"",W467&lt;&gt;""),"COMPLETADO","OBSERVADO")</f>
        <v>OBSERVADO</v>
      </c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85" t="str">
        <f aca="false">IF(AND(G468&lt;&gt;"",R468&lt;&gt;"",V468&lt;&gt;"",W468&lt;&gt;""),"COMPLETADO","OBSERVADO")</f>
        <v>OBSERVADO</v>
      </c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  <c r="Z469" s="185" t="str">
        <f aca="false">IF(AND(G469&lt;&gt;"",R469&lt;&gt;"",V469&lt;&gt;"",W469&lt;&gt;""),"COMPLETADO","OBSERVADO")</f>
        <v>OBSERVADO</v>
      </c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85" t="str">
        <f aca="false">IF(AND(G470&lt;&gt;"",R470&lt;&gt;"",V470&lt;&gt;"",W470&lt;&gt;""),"COMPLETADO","OBSERVADO")</f>
        <v>OBSERVADO</v>
      </c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  <c r="Z471" s="185" t="str">
        <f aca="false">IF(AND(G471&lt;&gt;"",R471&lt;&gt;"",V471&lt;&gt;"",W471&lt;&gt;""),"COMPLETADO","OBSERVADO")</f>
        <v>OBSERVADO</v>
      </c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85" t="str">
        <f aca="false">IF(AND(G472&lt;&gt;"",R472&lt;&gt;"",V472&lt;&gt;"",W472&lt;&gt;""),"COMPLETADO","OBSERVADO")</f>
        <v>OBSERVADO</v>
      </c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  <c r="Z473" s="185" t="str">
        <f aca="false">IF(AND(G473&lt;&gt;"",R473&lt;&gt;"",V473&lt;&gt;"",W473&lt;&gt;""),"COMPLETADO","OBSERVADO")</f>
        <v>OBSERVADO</v>
      </c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85" t="str">
        <f aca="false">IF(AND(G474&lt;&gt;"",R474&lt;&gt;"",V474&lt;&gt;"",W474&lt;&gt;""),"COMPLETADO","OBSERVADO")</f>
        <v>OBSERVADO</v>
      </c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  <c r="Z475" s="185" t="str">
        <f aca="false">IF(AND(G475&lt;&gt;"",R475&lt;&gt;"",V475&lt;&gt;"",W475&lt;&gt;""),"COMPLETADO","OBSERVADO")</f>
        <v>OBSERVADO</v>
      </c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85" t="str">
        <f aca="false">IF(AND(G476&lt;&gt;"",R476&lt;&gt;"",V476&lt;&gt;"",W476&lt;&gt;""),"COMPLETADO","OBSERVADO")</f>
        <v>OBSERVADO</v>
      </c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  <c r="Z477" s="185" t="str">
        <f aca="false">IF(AND(G477&lt;&gt;"",R477&lt;&gt;"",V477&lt;&gt;"",W477&lt;&gt;""),"COMPLETADO","OBSERVADO")</f>
        <v>OBSERVADO</v>
      </c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85" t="str">
        <f aca="false">IF(AND(G478&lt;&gt;"",R478&lt;&gt;"",V478&lt;&gt;"",W478&lt;&gt;""),"COMPLETADO","OBSERVADO")</f>
        <v>OBSERVADO</v>
      </c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  <c r="Z479" s="185" t="str">
        <f aca="false">IF(AND(G479&lt;&gt;"",R479&lt;&gt;"",V479&lt;&gt;"",W479&lt;&gt;""),"COMPLETADO","OBSERVADO")</f>
        <v>OBSERVADO</v>
      </c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85" t="str">
        <f aca="false">IF(AND(G480&lt;&gt;"",R480&lt;&gt;"",V480&lt;&gt;"",W480&lt;&gt;""),"COMPLETADO","OBSERVADO")</f>
        <v>OBSERVADO</v>
      </c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  <c r="Z481" s="185" t="str">
        <f aca="false">IF(AND(G481&lt;&gt;"",R481&lt;&gt;"",V481&lt;&gt;"",W481&lt;&gt;""),"COMPLETADO","OBSERVADO")</f>
        <v>OBSERVADO</v>
      </c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85" t="str">
        <f aca="false">IF(AND(G482&lt;&gt;"",R482&lt;&gt;"",V482&lt;&gt;"",W482&lt;&gt;""),"COMPLETADO","OBSERVADO")</f>
        <v>OBSERVADO</v>
      </c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  <c r="Z483" s="185" t="str">
        <f aca="false">IF(AND(G483&lt;&gt;"",R483&lt;&gt;"",V483&lt;&gt;"",W483&lt;&gt;""),"COMPLETADO","OBSERVADO")</f>
        <v>OBSERVADO</v>
      </c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85" t="str">
        <f aca="false">IF(AND(G484&lt;&gt;"",R484&lt;&gt;"",V484&lt;&gt;"",W484&lt;&gt;""),"COMPLETADO","OBSERVADO")</f>
        <v>OBSERVADO</v>
      </c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  <c r="Z485" s="185" t="str">
        <f aca="false">IF(AND(G485&lt;&gt;"",R485&lt;&gt;"",V485&lt;&gt;"",W485&lt;&gt;""),"COMPLETADO","OBSERVADO")</f>
        <v>OBSERVADO</v>
      </c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85" t="str">
        <f aca="false">IF(AND(G486&lt;&gt;"",R486&lt;&gt;"",V486&lt;&gt;"",W486&lt;&gt;""),"COMPLETADO","OBSERVADO")</f>
        <v>OBSERVADO</v>
      </c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  <c r="Z487" s="185" t="str">
        <f aca="false">IF(AND(G487&lt;&gt;"",R487&lt;&gt;"",V487&lt;&gt;"",W487&lt;&gt;""),"COMPLETADO","OBSERVADO")</f>
        <v>OBSERVADO</v>
      </c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85" t="str">
        <f aca="false">IF(AND(G488&lt;&gt;"",R488&lt;&gt;"",V488&lt;&gt;"",W488&lt;&gt;""),"COMPLETADO","OBSERVADO")</f>
        <v>OBSERVADO</v>
      </c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  <c r="Z489" s="185" t="str">
        <f aca="false">IF(AND(G489&lt;&gt;"",R489&lt;&gt;"",V489&lt;&gt;"",W489&lt;&gt;""),"COMPLETADO","OBSERVADO")</f>
        <v>OBSERVADO</v>
      </c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85" t="str">
        <f aca="false">IF(AND(G490&lt;&gt;"",R490&lt;&gt;"",V490&lt;&gt;"",W490&lt;&gt;""),"COMPLETADO","OBSERVADO")</f>
        <v>OBSERVADO</v>
      </c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  <c r="Z491" s="185" t="str">
        <f aca="false">IF(AND(G491&lt;&gt;"",R491&lt;&gt;"",V491&lt;&gt;"",W491&lt;&gt;""),"COMPLETADO","OBSERVADO")</f>
        <v>OBSERVADO</v>
      </c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85" t="str">
        <f aca="false">IF(AND(G492&lt;&gt;"",R492&lt;&gt;"",V492&lt;&gt;"",W492&lt;&gt;""),"COMPLETADO","OBSERVADO")</f>
        <v>OBSERVADO</v>
      </c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  <c r="Z493" s="185" t="str">
        <f aca="false">IF(AND(G493&lt;&gt;"",R493&lt;&gt;"",V493&lt;&gt;"",W493&lt;&gt;""),"COMPLETADO","OBSERVADO")</f>
        <v>OBSERVADO</v>
      </c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85" t="str">
        <f aca="false">IF(AND(G494&lt;&gt;"",R494&lt;&gt;"",V494&lt;&gt;"",W494&lt;&gt;""),"COMPLETADO","OBSERVADO")</f>
        <v>OBSERVADO</v>
      </c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  <c r="Z495" s="185" t="str">
        <f aca="false">IF(AND(G495&lt;&gt;"",R495&lt;&gt;"",V495&lt;&gt;"",W495&lt;&gt;""),"COMPLETADO","OBSERVADO")</f>
        <v>OBSERVADO</v>
      </c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85" t="str">
        <f aca="false">IF(AND(G496&lt;&gt;"",R496&lt;&gt;"",V496&lt;&gt;"",W496&lt;&gt;""),"COMPLETADO","OBSERVADO")</f>
        <v>OBSERVADO</v>
      </c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  <c r="Z497" s="185" t="str">
        <f aca="false">IF(AND(G497&lt;&gt;"",R497&lt;&gt;"",V497&lt;&gt;"",W497&lt;&gt;""),"COMPLETADO","OBSERVADO")</f>
        <v>OBSERVADO</v>
      </c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85" t="str">
        <f aca="false">IF(AND(G498&lt;&gt;"",R498&lt;&gt;"",V498&lt;&gt;"",W498&lt;&gt;""),"COMPLETADO","OBSERVADO")</f>
        <v>OBSERVADO</v>
      </c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  <c r="Z499" s="185" t="str">
        <f aca="false">IF(AND(G499&lt;&gt;"",R499&lt;&gt;"",V499&lt;&gt;"",W499&lt;&gt;""),"COMPLETADO","OBSERVADO")</f>
        <v>OBSERVADO</v>
      </c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85" t="str">
        <f aca="false">IF(AND(G500&lt;&gt;"",R500&lt;&gt;"",V500&lt;&gt;"",W500&lt;&gt;""),"COMPLETADO","OBSERVADO")</f>
        <v>OBSERVADO</v>
      </c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  <c r="Z501" s="185" t="str">
        <f aca="false">IF(AND(G501&lt;&gt;"",R501&lt;&gt;"",V501&lt;&gt;"",W501&lt;&gt;""),"COMPLETADO","OBSERVADO")</f>
        <v>OBSERVADO</v>
      </c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85" t="str">
        <f aca="false">IF(AND(G502&lt;&gt;"",R502&lt;&gt;"",V502&lt;&gt;"",W502&lt;&gt;""),"COMPLETADO","OBSERVADO")</f>
        <v>OBSERVADO</v>
      </c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  <c r="Z503" s="185" t="str">
        <f aca="false">IF(AND(G503&lt;&gt;"",R503&lt;&gt;"",V503&lt;&gt;"",W503&lt;&gt;""),"COMPLETADO","OBSERVADO")</f>
        <v>OBSERVADO</v>
      </c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85" t="str">
        <f aca="false">IF(AND(G504&lt;&gt;"",R504&lt;&gt;"",V504&lt;&gt;"",W504&lt;&gt;""),"COMPLETADO","OBSERVADO")</f>
        <v>OBSERVADO</v>
      </c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  <c r="Z505" s="185" t="str">
        <f aca="false">IF(AND(G505&lt;&gt;"",R505&lt;&gt;"",V505&lt;&gt;"",W505&lt;&gt;""),"COMPLETADO","OBSERVADO")</f>
        <v>OBSERVADO</v>
      </c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0</v>
      </c>
      <c r="N506" s="153" t="n">
        <f aca="false">SUM(N6:N505)</f>
        <v>0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8:J8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T6:T110">
    <cfRule type="expression" priority="9" aboveAverage="0" equalAverage="0" bottom="0" percent="0" rank="0" text="" dxfId="0">
      <formula>EXACT(T6,"APROBADO")</formula>
    </cfRule>
    <cfRule type="expression" priority="10" aboveAverage="0" equalAverage="0" bottom="0" percent="0" rank="0" text="" dxfId="7">
      <formula>EXACT(T6,"OBSERVADO")</formula>
    </cfRule>
  </conditionalFormatting>
  <conditionalFormatting sqref="Z6:Z110">
    <cfRule type="expression" priority="11" aboveAverage="0" equalAverage="0" bottom="0" percent="0" rank="0" text="" dxfId="0">
      <formula>EXACT(Z6,"COMPLETADO")</formula>
    </cfRule>
    <cfRule type="expression" priority="12" aboveAverage="0" equalAverage="0" bottom="0" percent="0" rank="0" text="" dxfId="7">
      <formula>EXACT(Z6,"OBSERVADO")</formula>
    </cfRule>
    <cfRule type="expression" priority="13" aboveAverage="0" equalAverage="0" bottom="0" percent="0" rank="0" text="" dxfId="0">
      <formula>Z6="ENTREGADO"</formula>
    </cfRule>
    <cfRule type="expression" priority="14" aboveAverage="0" equalAverage="0" bottom="0" percent="0" rank="0" text="" dxfId="7">
      <formula>Z6="POR RECOGER"</formula>
    </cfRule>
  </conditionalFormatting>
  <conditionalFormatting sqref="Y6:Y110">
    <cfRule type="expression" priority="15" aboveAverage="0" equalAverage="0" bottom="0" percent="0" rank="0" text="" dxfId="9">
      <formula>Y6&lt;&gt;""</formula>
    </cfRule>
  </conditionalFormatting>
  <dataValidations count="5"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7 E9:E505" type="list">
      <formula1>"DNI,CE,PASAPORTE"</formula1>
      <formula2>0</formula2>
    </dataValidation>
    <dataValidation allowBlank="true" errorStyle="stop" operator="between" showDropDown="false" showErrorMessage="false" showInputMessage="false" sqref="T6:T110" type="list">
      <formula1>"APROBADO,OBSERVADO"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111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30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71" t="s">
        <v>5154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2"/>
      <c r="AA1" s="89"/>
    </row>
    <row r="2" customFormat="false" ht="21.75" hidden="false" customHeight="true" outlineLevel="0" collapsed="false">
      <c r="A2" s="123" t="s">
        <v>724</v>
      </c>
      <c r="B2" s="123"/>
      <c r="C2" s="123"/>
      <c r="D2" s="173" t="n">
        <f aca="false">IFERROR(SUMPRODUCT((K6:K110="PETROLEO")*ISNUMBER(M6:M110)*M6:M110),0)</f>
        <v>0</v>
      </c>
      <c r="E2" s="173"/>
      <c r="F2" s="173"/>
      <c r="G2" s="123" t="s">
        <v>725</v>
      </c>
      <c r="H2" s="123"/>
      <c r="I2" s="123"/>
      <c r="J2" s="173" t="n">
        <f aca="false">IFERROR(SUMPRODUCT((K6:K110="GASOLINA")*ISNUMBER(M6:M110)*M6:M110),0)</f>
        <v>0</v>
      </c>
      <c r="K2" s="173"/>
      <c r="L2" s="173"/>
      <c r="M2" s="123" t="s">
        <v>726</v>
      </c>
      <c r="N2" s="123"/>
      <c r="O2" s="123"/>
      <c r="P2" s="174" t="n">
        <f aca="false">IFERROR(SUMPRODUCT(ISNUMBER(M6:M110)*L6:L110*M6:M110),0)</f>
        <v>0</v>
      </c>
      <c r="Q2" s="174"/>
      <c r="R2" s="174"/>
      <c r="S2" s="123" t="s">
        <v>727</v>
      </c>
      <c r="T2" s="123"/>
      <c r="U2" s="175" t="n">
        <f aca="false">SUBTOTAL(2,A6:A110)</f>
        <v>0</v>
      </c>
      <c r="V2" s="175"/>
      <c r="W2" s="176"/>
      <c r="X2" s="176"/>
      <c r="Y2" s="176"/>
      <c r="Z2" s="176"/>
      <c r="AA2" s="176"/>
      <c r="AB2" s="176"/>
      <c r="AC2" s="176"/>
    </row>
    <row r="3" customFormat="false" ht="3.75" hidden="false" customHeight="true" outlineLevel="0" collapsed="false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89"/>
    </row>
    <row r="4" customFormat="false" ht="19.5" hidden="false" customHeight="true" outlineLevel="0" collapsed="false">
      <c r="A4" s="177" t="s">
        <v>730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8"/>
      <c r="AA4" s="89"/>
    </row>
    <row r="5" customFormat="false" ht="31.5" hidden="false" customHeight="true" outlineLevel="0" collapsed="false">
      <c r="A5" s="179" t="s">
        <v>97</v>
      </c>
      <c r="B5" s="179" t="s">
        <v>731</v>
      </c>
      <c r="C5" s="179" t="s">
        <v>732</v>
      </c>
      <c r="D5" s="179" t="s">
        <v>319</v>
      </c>
      <c r="E5" s="179" t="s">
        <v>733</v>
      </c>
      <c r="F5" s="179" t="s">
        <v>734</v>
      </c>
      <c r="G5" s="179" t="s">
        <v>735</v>
      </c>
      <c r="H5" s="179" t="s">
        <v>736</v>
      </c>
      <c r="I5" s="180" t="s">
        <v>737</v>
      </c>
      <c r="J5" s="179" t="s">
        <v>738</v>
      </c>
      <c r="K5" s="180" t="s">
        <v>739</v>
      </c>
      <c r="L5" s="179" t="s">
        <v>740</v>
      </c>
      <c r="M5" s="179" t="s">
        <v>4</v>
      </c>
      <c r="N5" s="180" t="s">
        <v>741</v>
      </c>
      <c r="O5" s="179" t="s">
        <v>742</v>
      </c>
      <c r="P5" s="180" t="s">
        <v>4527</v>
      </c>
      <c r="Q5" s="180" t="s">
        <v>104</v>
      </c>
      <c r="R5" s="179" t="s">
        <v>743</v>
      </c>
      <c r="S5" s="179" t="s">
        <v>744</v>
      </c>
      <c r="T5" s="179" t="s">
        <v>745</v>
      </c>
      <c r="U5" s="179" t="s">
        <v>746</v>
      </c>
      <c r="V5" s="179" t="s">
        <v>747</v>
      </c>
      <c r="W5" s="179" t="s">
        <v>748</v>
      </c>
      <c r="X5" s="179" t="s">
        <v>749</v>
      </c>
      <c r="Y5" s="129" t="s">
        <v>729</v>
      </c>
      <c r="Z5" s="181" t="s">
        <v>4528</v>
      </c>
      <c r="AA5" s="89"/>
    </row>
    <row r="6" customFormat="false" ht="15.75" hidden="false" customHeight="true" outlineLevel="0" collapsed="false">
      <c r="A6" s="140"/>
      <c r="B6" s="140"/>
      <c r="C6" s="140"/>
      <c r="D6" s="140"/>
      <c r="E6" s="140"/>
      <c r="F6" s="140"/>
      <c r="G6" s="140"/>
      <c r="H6" s="140"/>
      <c r="I6" s="138" t="str">
        <f aca="false">IFERROR(VLOOKUP(TEXT(H6,"0"),IPRESS!$A$3:$B$212,2,0),"")</f>
        <v/>
      </c>
      <c r="J6" s="140"/>
      <c r="K6" s="138" t="str">
        <f aca="false">IFERROR(VLOOKUP(TEXT(O6,"0"),CONDUCTORES!$A$3:$G$54,7,0),"")</f>
        <v/>
      </c>
      <c r="L6" s="140"/>
      <c r="M6" s="140"/>
      <c r="N6" s="139" t="str">
        <f aca="false">IFERROR(IF(L6*M6=0,"",L6*M6),"")</f>
        <v/>
      </c>
      <c r="O6" s="140"/>
      <c r="P6" s="138" t="str">
        <f aca="false">IFERROR(VLOOKUP(TEXT(O6,"0"),CONDUCTORES!$A$3:$G$54,2,0),"")</f>
        <v/>
      </c>
      <c r="Q6" s="138" t="str">
        <f aca="false">IFERROR(VLOOKUP(TEXT(O6,"0"),CONDUCTORES!$A$3:$H$54,6,0),"")</f>
        <v/>
      </c>
      <c r="R6" s="140"/>
      <c r="S6" s="140"/>
      <c r="T6" s="140"/>
      <c r="U6" s="140"/>
      <c r="V6" s="140"/>
      <c r="W6" s="140"/>
      <c r="X6" s="140"/>
      <c r="Y6" s="140"/>
      <c r="Z6" s="47" t="str">
        <f aca="false">IF(AND(G6&lt;&gt;"",R6&lt;&gt;"",V6&lt;&gt;"",W6&lt;&gt;""),"COMPLETADO","OBSERVADO")</f>
        <v>OBSERVADO</v>
      </c>
      <c r="AA6" s="89"/>
    </row>
    <row r="7" customFormat="false" ht="15.75" hidden="false" customHeight="true" outlineLevel="0" collapsed="false">
      <c r="A7" s="85"/>
      <c r="B7" s="85"/>
      <c r="C7" s="85"/>
      <c r="D7" s="85"/>
      <c r="E7" s="85"/>
      <c r="F7" s="85"/>
      <c r="G7" s="85"/>
      <c r="H7" s="85"/>
      <c r="I7" s="138" t="str">
        <f aca="false">IFERROR(VLOOKUP(TEXT(H7,"0"),IPRESS!$A$3:$B$212,2,0),"")</f>
        <v/>
      </c>
      <c r="J7" s="85"/>
      <c r="K7" s="138" t="str">
        <f aca="false">IFERROR(VLOOKUP(TEXT(O7,"0"),CONDUCTORES!$A$3:$G$54,7,0),"")</f>
        <v/>
      </c>
      <c r="L7" s="85"/>
      <c r="M7" s="85"/>
      <c r="N7" s="139" t="str">
        <f aca="false">IFERROR(IF(L7*M7=0,"",L7*M7),"")</f>
        <v/>
      </c>
      <c r="O7" s="85"/>
      <c r="P7" s="138" t="str">
        <f aca="false">IFERROR(VLOOKUP(TEXT(O7,"0"),CONDUCTORES!$A$3:$G$54,2,0),"")</f>
        <v/>
      </c>
      <c r="Q7" s="138" t="str">
        <f aca="false">IFERROR(VLOOKUP(TEXT(O7,"0"),CONDUCTORES!$A$3:$H$54,6,0),"")</f>
        <v/>
      </c>
      <c r="R7" s="85"/>
      <c r="S7" s="85"/>
      <c r="T7" s="85"/>
      <c r="U7" s="85"/>
      <c r="V7" s="85"/>
      <c r="W7" s="85"/>
      <c r="X7" s="85"/>
      <c r="Y7" s="85"/>
      <c r="Z7" s="41" t="str">
        <f aca="false">IF(AND(G7&lt;&gt;"",R7&lt;&gt;"",V7&lt;&gt;"",W7&lt;&gt;""),"COMPLETADO","OBSERVADO")</f>
        <v>OBSERVADO</v>
      </c>
      <c r="AA7" s="89"/>
    </row>
    <row r="8" customFormat="false" ht="15.75" hidden="false" customHeight="true" outlineLevel="0" collapsed="false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38" t="str">
        <f aca="false">IFERROR(VLOOKUP(TEXT(O8,"0"),CONDUCTORES!$A$3:$G$54,7,0),"")</f>
        <v/>
      </c>
      <c r="L8" s="140"/>
      <c r="M8" s="183"/>
      <c r="N8" s="139" t="str">
        <f aca="false">IFERROR(IF(L8*M8=0,"",L8*M8),"")</f>
        <v/>
      </c>
      <c r="O8" s="140"/>
      <c r="P8" s="138" t="str">
        <f aca="false">IFERROR(VLOOKUP(TEXT(O8,"0"),CONDUCTORES!$A$3:$G$54,2,0),"")</f>
        <v/>
      </c>
      <c r="Q8" s="138" t="str">
        <f aca="false">IFERROR(VLOOKUP(TEXT(O8,"0"),CONDUCTORES!$A$3:$H$54,6,0),"")</f>
        <v/>
      </c>
      <c r="R8" s="140"/>
      <c r="S8" s="140"/>
      <c r="T8" s="140"/>
      <c r="U8" s="140"/>
      <c r="V8" s="140"/>
      <c r="W8" s="140"/>
      <c r="X8" s="140"/>
      <c r="Y8" s="140"/>
      <c r="Z8" s="47" t="str">
        <f aca="false">IF(AND(G8&lt;&gt;"",R8&lt;&gt;"",V8&lt;&gt;"",W8&lt;&gt;""),"COMPLETADO","OBSERVADO")</f>
        <v>OBSERVADO</v>
      </c>
      <c r="AA8" s="89"/>
    </row>
    <row r="9" customFormat="false" ht="15.75" hidden="false" customHeight="true" outlineLevel="0" collapsed="false">
      <c r="A9" s="85"/>
      <c r="B9" s="85"/>
      <c r="C9" s="85"/>
      <c r="D9" s="85"/>
      <c r="E9" s="85"/>
      <c r="F9" s="85"/>
      <c r="G9" s="85"/>
      <c r="H9" s="85"/>
      <c r="I9" s="138" t="str">
        <f aca="false">IFERROR(VLOOKUP(TEXT(H9,"0"),IPRESS!$A$3:$B$212,2,0),"")</f>
        <v/>
      </c>
      <c r="J9" s="85"/>
      <c r="K9" s="138" t="str">
        <f aca="false">IFERROR(VLOOKUP(TEXT(O9,"0"),CONDUCTORES!$A$3:$G$54,7,0),"")</f>
        <v/>
      </c>
      <c r="L9" s="85"/>
      <c r="M9" s="85"/>
      <c r="N9" s="139" t="str">
        <f aca="false">IFERROR(IF(L9*M9=0,"",L9*M9),"")</f>
        <v/>
      </c>
      <c r="O9" s="85"/>
      <c r="P9" s="138" t="str">
        <f aca="false">IFERROR(VLOOKUP(TEXT(O9,"0"),CONDUCTORES!$A$3:$G$54,2,0),"")</f>
        <v/>
      </c>
      <c r="Q9" s="138" t="str">
        <f aca="false">IFERROR(VLOOKUP(TEXT(O9,"0"),CONDUCTORES!$A$3:$H$54,6,0),"")</f>
        <v/>
      </c>
      <c r="R9" s="85"/>
      <c r="S9" s="85"/>
      <c r="T9" s="85"/>
      <c r="U9" s="85"/>
      <c r="V9" s="85"/>
      <c r="W9" s="85"/>
      <c r="X9" s="85"/>
      <c r="Y9" s="85"/>
      <c r="Z9" s="41" t="str">
        <f aca="false">IF(AND(G9&lt;&gt;"",R9&lt;&gt;"",V9&lt;&gt;"",W9&lt;&gt;""),"COMPLETADO","OBSERVADO")</f>
        <v>OBSERVADO</v>
      </c>
      <c r="AA9" s="89"/>
    </row>
    <row r="10" customFormat="false" ht="15.75" hidden="false" customHeight="true" outlineLevel="0" collapsed="false">
      <c r="A10" s="140"/>
      <c r="B10" s="140"/>
      <c r="C10" s="140"/>
      <c r="D10" s="140"/>
      <c r="E10" s="140"/>
      <c r="F10" s="140"/>
      <c r="G10" s="140"/>
      <c r="H10" s="140"/>
      <c r="I10" s="138" t="str">
        <f aca="false">IFERROR(VLOOKUP(TEXT(H10,"0"),IPRESS!$A$3:$B$212,2,0),"")</f>
        <v/>
      </c>
      <c r="J10" s="140"/>
      <c r="K10" s="138" t="str">
        <f aca="false">IFERROR(VLOOKUP(TEXT(O10,"0"),CONDUCTORES!$A$3:$G$54,7,0),"")</f>
        <v/>
      </c>
      <c r="L10" s="140"/>
      <c r="M10" s="140"/>
      <c r="N10" s="139" t="str">
        <f aca="false">IFERROR(IF(L10*M10=0,"",L10*M10),"")</f>
        <v/>
      </c>
      <c r="O10" s="140"/>
      <c r="P10" s="138" t="str">
        <f aca="false">IFERROR(VLOOKUP(TEXT(O10,"0"),CONDUCTORES!$A$3:$G$54,2,0),"")</f>
        <v/>
      </c>
      <c r="Q10" s="138" t="str">
        <f aca="false">IFERROR(VLOOKUP(TEXT(O10,"0"),CONDUCTORES!$A$3:$H$54,6,0),"")</f>
        <v/>
      </c>
      <c r="R10" s="140"/>
      <c r="S10" s="140"/>
      <c r="T10" s="140"/>
      <c r="U10" s="140"/>
      <c r="V10" s="140"/>
      <c r="W10" s="140"/>
      <c r="X10" s="140"/>
      <c r="Y10" s="140"/>
      <c r="Z10" s="47" t="str">
        <f aca="false">IF(AND(G10&lt;&gt;"",R10&lt;&gt;"",V10&lt;&gt;"",W10&lt;&gt;""),"COMPLETADO","OBSERVADO")</f>
        <v>OBSERVADO</v>
      </c>
      <c r="AA10" s="89"/>
    </row>
    <row r="11" customFormat="false" ht="15.75" hidden="false" customHeight="true" outlineLevel="0" collapsed="false">
      <c r="A11" s="85"/>
      <c r="B11" s="85"/>
      <c r="C11" s="85"/>
      <c r="D11" s="85"/>
      <c r="E11" s="85"/>
      <c r="F11" s="85"/>
      <c r="G11" s="85"/>
      <c r="H11" s="85"/>
      <c r="I11" s="138" t="str">
        <f aca="false">IFERROR(VLOOKUP(TEXT(H11,"0"),IPRESS!$A$3:$B$212,2,0),"")</f>
        <v/>
      </c>
      <c r="J11" s="85"/>
      <c r="K11" s="138" t="str">
        <f aca="false">IFERROR(VLOOKUP(TEXT(O11,"0"),CONDUCTORES!$A$3:$G$54,7,0),"")</f>
        <v/>
      </c>
      <c r="L11" s="85"/>
      <c r="M11" s="85"/>
      <c r="N11" s="139" t="str">
        <f aca="false">IFERROR(IF(L11*M11=0,"",L11*M11),"")</f>
        <v/>
      </c>
      <c r="O11" s="85"/>
      <c r="P11" s="138" t="str">
        <f aca="false">IFERROR(VLOOKUP(TEXT(O11,"0"),CONDUCTORES!$A$3:$G$54,2,0),"")</f>
        <v/>
      </c>
      <c r="Q11" s="138" t="str">
        <f aca="false">IFERROR(VLOOKUP(TEXT(O11,"0"),CONDUCTORES!$A$3:$H$54,6,0),"")</f>
        <v/>
      </c>
      <c r="R11" s="85"/>
      <c r="S11" s="85"/>
      <c r="T11" s="85"/>
      <c r="U11" s="85"/>
      <c r="V11" s="85"/>
      <c r="W11" s="85"/>
      <c r="X11" s="85"/>
      <c r="Y11" s="85"/>
      <c r="Z11" s="41" t="str">
        <f aca="false">IF(AND(G11&lt;&gt;"",R11&lt;&gt;"",V11&lt;&gt;"",W11&lt;&gt;""),"COMPLETADO","OBSERVADO")</f>
        <v>OBSERVADO</v>
      </c>
      <c r="AA11" s="89"/>
    </row>
    <row r="12" customFormat="false" ht="15.75" hidden="false" customHeight="true" outlineLevel="0" collapsed="false">
      <c r="A12" s="140"/>
      <c r="B12" s="140"/>
      <c r="C12" s="140"/>
      <c r="D12" s="140"/>
      <c r="E12" s="140"/>
      <c r="F12" s="140"/>
      <c r="G12" s="140"/>
      <c r="H12" s="140"/>
      <c r="I12" s="138" t="str">
        <f aca="false">IFERROR(VLOOKUP(TEXT(H12,"0"),IPRESS!$A$3:$B$212,2,0),"")</f>
        <v/>
      </c>
      <c r="J12" s="140"/>
      <c r="K12" s="138" t="str">
        <f aca="false">IFERROR(VLOOKUP(TEXT(O12,"0"),CONDUCTORES!$A$3:$G$54,7,0),"")</f>
        <v/>
      </c>
      <c r="L12" s="140"/>
      <c r="M12" s="140"/>
      <c r="N12" s="139" t="str">
        <f aca="false">IFERROR(IF(L12*M12=0,"",L12*M12),"")</f>
        <v/>
      </c>
      <c r="O12" s="140"/>
      <c r="P12" s="138" t="str">
        <f aca="false">IFERROR(VLOOKUP(TEXT(O12,"0"),CONDUCTORES!$A$3:$G$54,2,0),"")</f>
        <v/>
      </c>
      <c r="Q12" s="138" t="str">
        <f aca="false">IFERROR(VLOOKUP(TEXT(O12,"0"),CONDUCTORES!$A$3:$H$54,6,0),"")</f>
        <v/>
      </c>
      <c r="R12" s="140"/>
      <c r="S12" s="140"/>
      <c r="T12" s="140"/>
      <c r="U12" s="140"/>
      <c r="V12" s="140"/>
      <c r="W12" s="140"/>
      <c r="X12" s="140"/>
      <c r="Y12" s="140"/>
      <c r="Z12" s="47" t="str">
        <f aca="false">IF(AND(G12&lt;&gt;"",R12&lt;&gt;"",V12&lt;&gt;"",W12&lt;&gt;""),"COMPLETADO","OBSERVADO")</f>
        <v>OBSERVADO</v>
      </c>
      <c r="AA12" s="89"/>
    </row>
    <row r="13" customFormat="false" ht="15.75" hidden="false" customHeight="true" outlineLevel="0" collapsed="false">
      <c r="A13" s="85"/>
      <c r="B13" s="85"/>
      <c r="C13" s="85"/>
      <c r="D13" s="85"/>
      <c r="E13" s="85"/>
      <c r="F13" s="85"/>
      <c r="G13" s="85"/>
      <c r="H13" s="85"/>
      <c r="I13" s="138" t="str">
        <f aca="false">IFERROR(VLOOKUP(TEXT(H13,"0"),IPRESS!$A$3:$B$212,2,0),"")</f>
        <v/>
      </c>
      <c r="J13" s="85"/>
      <c r="K13" s="138" t="str">
        <f aca="false">IFERROR(VLOOKUP(TEXT(O13,"0"),CONDUCTORES!$A$3:$G$54,7,0),"")</f>
        <v/>
      </c>
      <c r="L13" s="85"/>
      <c r="M13" s="85"/>
      <c r="N13" s="139" t="str">
        <f aca="false">IFERROR(IF(L13*M13=0,"",L13*M13),"")</f>
        <v/>
      </c>
      <c r="O13" s="85"/>
      <c r="P13" s="138" t="str">
        <f aca="false">IFERROR(VLOOKUP(TEXT(O13,"0"),CONDUCTORES!$A$3:$G$54,2,0),"")</f>
        <v/>
      </c>
      <c r="Q13" s="138" t="str">
        <f aca="false">IFERROR(VLOOKUP(TEXT(O13,"0"),CONDUCTORES!$A$3:$H$54,6,0),"")</f>
        <v/>
      </c>
      <c r="R13" s="85"/>
      <c r="S13" s="85"/>
      <c r="T13" s="85"/>
      <c r="U13" s="85"/>
      <c r="V13" s="85"/>
      <c r="W13" s="85"/>
      <c r="X13" s="85"/>
      <c r="Y13" s="85"/>
      <c r="Z13" s="41" t="str">
        <f aca="false">IF(AND(G13&lt;&gt;"",R13&lt;&gt;"",V13&lt;&gt;"",W13&lt;&gt;""),"COMPLETADO","OBSERVADO")</f>
        <v>OBSERVADO</v>
      </c>
      <c r="AA13" s="89"/>
    </row>
    <row r="14" customFormat="false" ht="15.75" hidden="false" customHeight="true" outlineLevel="0" collapsed="false">
      <c r="A14" s="140"/>
      <c r="B14" s="140"/>
      <c r="C14" s="140"/>
      <c r="D14" s="140"/>
      <c r="E14" s="140"/>
      <c r="F14" s="140"/>
      <c r="G14" s="140"/>
      <c r="H14" s="140"/>
      <c r="I14" s="138" t="str">
        <f aca="false">IFERROR(VLOOKUP(TEXT(H14,"0"),IPRESS!$A$3:$B$212,2,0),"")</f>
        <v/>
      </c>
      <c r="J14" s="140"/>
      <c r="K14" s="138" t="str">
        <f aca="false">IFERROR(VLOOKUP(TEXT(O14,"0"),CONDUCTORES!$A$3:$G$54,7,0),"")</f>
        <v/>
      </c>
      <c r="L14" s="140"/>
      <c r="M14" s="140"/>
      <c r="N14" s="139" t="str">
        <f aca="false">IFERROR(IF(L14*M14=0,"",L14*M14),"")</f>
        <v/>
      </c>
      <c r="O14" s="140"/>
      <c r="P14" s="138" t="str">
        <f aca="false">IFERROR(VLOOKUP(TEXT(O14,"0"),CONDUCTORES!$A$3:$G$54,2,0),"")</f>
        <v/>
      </c>
      <c r="Q14" s="138" t="str">
        <f aca="false">IFERROR(VLOOKUP(TEXT(O14,"0"),CONDUCTORES!$A$3:$H$54,6,0),"")</f>
        <v/>
      </c>
      <c r="R14" s="140"/>
      <c r="S14" s="140"/>
      <c r="T14" s="140"/>
      <c r="U14" s="140"/>
      <c r="V14" s="140"/>
      <c r="W14" s="140"/>
      <c r="X14" s="140"/>
      <c r="Y14" s="140"/>
      <c r="Z14" s="47" t="str">
        <f aca="false">IF(AND(G14&lt;&gt;"",R14&lt;&gt;"",V14&lt;&gt;"",W14&lt;&gt;""),"COMPLETADO","OBSERVADO")</f>
        <v>OBSERVADO</v>
      </c>
      <c r="AA14" s="89"/>
    </row>
    <row r="15" customFormat="false" ht="15.75" hidden="false" customHeight="true" outlineLevel="0" collapsed="false">
      <c r="A15" s="85"/>
      <c r="B15" s="85"/>
      <c r="C15" s="85"/>
      <c r="D15" s="85"/>
      <c r="E15" s="85"/>
      <c r="F15" s="85"/>
      <c r="G15" s="85"/>
      <c r="H15" s="85"/>
      <c r="I15" s="138" t="str">
        <f aca="false">IFERROR(VLOOKUP(TEXT(H15,"0"),IPRESS!$A$3:$B$212,2,0),"")</f>
        <v/>
      </c>
      <c r="J15" s="85"/>
      <c r="K15" s="138" t="str">
        <f aca="false">IFERROR(VLOOKUP(TEXT(O15,"0"),CONDUCTORES!$A$3:$G$54,7,0),"")</f>
        <v/>
      </c>
      <c r="L15" s="85"/>
      <c r="M15" s="85"/>
      <c r="N15" s="139" t="str">
        <f aca="false">IFERROR(IF(L15*M15=0,"",L15*M15),"")</f>
        <v/>
      </c>
      <c r="O15" s="85"/>
      <c r="P15" s="138" t="str">
        <f aca="false">IFERROR(VLOOKUP(TEXT(O15,"0"),CONDUCTORES!$A$3:$G$54,2,0),"")</f>
        <v/>
      </c>
      <c r="Q15" s="138" t="str">
        <f aca="false">IFERROR(VLOOKUP(TEXT(O15,"0"),CONDUCTORES!$A$3:$H$54,6,0),"")</f>
        <v/>
      </c>
      <c r="R15" s="85"/>
      <c r="S15" s="85"/>
      <c r="T15" s="85"/>
      <c r="U15" s="85"/>
      <c r="V15" s="85"/>
      <c r="W15" s="85"/>
      <c r="X15" s="85"/>
      <c r="Y15" s="85"/>
      <c r="Z15" s="41" t="str">
        <f aca="false">IF(AND(G15&lt;&gt;"",R15&lt;&gt;"",V15&lt;&gt;"",W15&lt;&gt;""),"COMPLETADO","OBSERVADO")</f>
        <v>OBSERVADO</v>
      </c>
      <c r="AA15" s="89"/>
    </row>
    <row r="16" customFormat="false" ht="15.75" hidden="false" customHeight="true" outlineLevel="0" collapsed="false">
      <c r="A16" s="140"/>
      <c r="B16" s="140"/>
      <c r="C16" s="140"/>
      <c r="D16" s="140"/>
      <c r="E16" s="140"/>
      <c r="F16" s="140"/>
      <c r="G16" s="140"/>
      <c r="H16" s="140"/>
      <c r="I16" s="138" t="str">
        <f aca="false">IFERROR(VLOOKUP(TEXT(H16,"0"),IPRESS!$A$3:$B$212,2,0),"")</f>
        <v/>
      </c>
      <c r="J16" s="140"/>
      <c r="K16" s="138" t="str">
        <f aca="false">IFERROR(VLOOKUP(TEXT(O16,"0"),CONDUCTORES!$A$3:$G$54,7,0),"")</f>
        <v/>
      </c>
      <c r="L16" s="140"/>
      <c r="M16" s="140"/>
      <c r="N16" s="139" t="str">
        <f aca="false">IFERROR(IF(L16*M16=0,"",L16*M16),"")</f>
        <v/>
      </c>
      <c r="O16" s="140"/>
      <c r="P16" s="138" t="str">
        <f aca="false">IFERROR(VLOOKUP(TEXT(O16,"0"),CONDUCTORES!$A$3:$G$54,2,0),"")</f>
        <v/>
      </c>
      <c r="Q16" s="138" t="str">
        <f aca="false">IFERROR(VLOOKUP(TEXT(O16,"0"),CONDUCTORES!$A$3:$H$54,6,0),"")</f>
        <v/>
      </c>
      <c r="R16" s="140"/>
      <c r="S16" s="140"/>
      <c r="T16" s="140"/>
      <c r="U16" s="140"/>
      <c r="V16" s="140"/>
      <c r="W16" s="140"/>
      <c r="X16" s="140"/>
      <c r="Y16" s="140"/>
      <c r="Z16" s="47" t="str">
        <f aca="false">IF(AND(G16&lt;&gt;"",R16&lt;&gt;"",V16&lt;&gt;"",W16&lt;&gt;""),"COMPLETADO","OBSERVADO")</f>
        <v>OBSERVADO</v>
      </c>
      <c r="AA16" s="89"/>
    </row>
    <row r="17" customFormat="false" ht="15.75" hidden="false" customHeight="true" outlineLevel="0" collapsed="false">
      <c r="A17" s="85"/>
      <c r="B17" s="85"/>
      <c r="C17" s="85"/>
      <c r="D17" s="85"/>
      <c r="E17" s="85"/>
      <c r="F17" s="85"/>
      <c r="G17" s="85"/>
      <c r="H17" s="85"/>
      <c r="I17" s="138" t="str">
        <f aca="false">IFERROR(VLOOKUP(TEXT(H17,"0"),IPRESS!$A$3:$B$212,2,0),"")</f>
        <v/>
      </c>
      <c r="J17" s="85"/>
      <c r="K17" s="138" t="str">
        <f aca="false">IFERROR(VLOOKUP(TEXT(O17,"0"),CONDUCTORES!$A$3:$G$54,7,0),"")</f>
        <v/>
      </c>
      <c r="L17" s="85"/>
      <c r="M17" s="85"/>
      <c r="N17" s="139" t="str">
        <f aca="false">IFERROR(IF(L17*M17=0,"",L17*M17),"")</f>
        <v/>
      </c>
      <c r="O17" s="85"/>
      <c r="P17" s="138" t="str">
        <f aca="false">IFERROR(VLOOKUP(TEXT(O17,"0"),CONDUCTORES!$A$3:$G$54,2,0),"")</f>
        <v/>
      </c>
      <c r="Q17" s="138" t="str">
        <f aca="false">IFERROR(VLOOKUP(TEXT(O17,"0"),CONDUCTORES!$A$3:$H$54,6,0),"")</f>
        <v/>
      </c>
      <c r="R17" s="85"/>
      <c r="S17" s="85"/>
      <c r="T17" s="85"/>
      <c r="U17" s="85"/>
      <c r="V17" s="85"/>
      <c r="W17" s="85"/>
      <c r="X17" s="85"/>
      <c r="Y17" s="85"/>
      <c r="Z17" s="41" t="str">
        <f aca="false">IF(AND(G17&lt;&gt;"",R17&lt;&gt;"",V17&lt;&gt;"",W17&lt;&gt;""),"COMPLETADO","OBSERVADO")</f>
        <v>OBSERVADO</v>
      </c>
      <c r="AA17" s="89"/>
    </row>
    <row r="18" customFormat="false" ht="15.75" hidden="false" customHeight="true" outlineLevel="0" collapsed="false">
      <c r="A18" s="140"/>
      <c r="B18" s="140"/>
      <c r="C18" s="140"/>
      <c r="D18" s="140"/>
      <c r="E18" s="140"/>
      <c r="F18" s="140"/>
      <c r="G18" s="140"/>
      <c r="H18" s="140"/>
      <c r="I18" s="138" t="str">
        <f aca="false">IFERROR(VLOOKUP(TEXT(H18,"0"),IPRESS!$A$3:$B$212,2,0),"")</f>
        <v/>
      </c>
      <c r="J18" s="140"/>
      <c r="K18" s="138" t="str">
        <f aca="false">IFERROR(VLOOKUP(TEXT(O18,"0"),CONDUCTORES!$A$3:$G$54,7,0),"")</f>
        <v/>
      </c>
      <c r="L18" s="140"/>
      <c r="M18" s="140"/>
      <c r="N18" s="139" t="str">
        <f aca="false">IFERROR(IF(L18*M18=0,"",L18*M18),"")</f>
        <v/>
      </c>
      <c r="O18" s="140"/>
      <c r="P18" s="138" t="str">
        <f aca="false">IFERROR(VLOOKUP(TEXT(O18,"0"),CONDUCTORES!$A$3:$G$54,2,0),"")</f>
        <v/>
      </c>
      <c r="Q18" s="138" t="str">
        <f aca="false">IFERROR(VLOOKUP(TEXT(O18,"0"),CONDUCTORES!$A$3:$H$54,6,0),"")</f>
        <v/>
      </c>
      <c r="R18" s="140"/>
      <c r="S18" s="140"/>
      <c r="T18" s="140"/>
      <c r="U18" s="140"/>
      <c r="V18" s="140"/>
      <c r="W18" s="140"/>
      <c r="X18" s="140"/>
      <c r="Y18" s="140"/>
      <c r="Z18" s="47" t="str">
        <f aca="false">IF(AND(G18&lt;&gt;"",R18&lt;&gt;"",V18&lt;&gt;"",W18&lt;&gt;""),"COMPLETADO","OBSERVADO")</f>
        <v>OBSERVADO</v>
      </c>
      <c r="AA18" s="89"/>
    </row>
    <row r="19" customFormat="false" ht="15.75" hidden="false" customHeight="true" outlineLevel="0" collapsed="false">
      <c r="A19" s="85"/>
      <c r="B19" s="85"/>
      <c r="C19" s="85"/>
      <c r="D19" s="85"/>
      <c r="E19" s="85"/>
      <c r="F19" s="85"/>
      <c r="G19" s="85"/>
      <c r="H19" s="85"/>
      <c r="I19" s="138" t="str">
        <f aca="false">IFERROR(VLOOKUP(TEXT(H19,"0"),IPRESS!$A$3:$B$212,2,0),"")</f>
        <v/>
      </c>
      <c r="J19" s="85"/>
      <c r="K19" s="138" t="str">
        <f aca="false">IFERROR(VLOOKUP(TEXT(O19,"0"),CONDUCTORES!$A$3:$G$54,7,0),"")</f>
        <v/>
      </c>
      <c r="L19" s="85"/>
      <c r="M19" s="85"/>
      <c r="N19" s="139" t="str">
        <f aca="false">IFERROR(IF(L19*M19=0,"",L19*M19),"")</f>
        <v/>
      </c>
      <c r="O19" s="85"/>
      <c r="P19" s="138" t="str">
        <f aca="false">IFERROR(VLOOKUP(TEXT(O19,"0"),CONDUCTORES!$A$3:$G$54,2,0),"")</f>
        <v/>
      </c>
      <c r="Q19" s="138" t="str">
        <f aca="false">IFERROR(VLOOKUP(TEXT(O19,"0"),CONDUCTORES!$A$3:$H$54,6,0),"")</f>
        <v/>
      </c>
      <c r="R19" s="85"/>
      <c r="S19" s="85"/>
      <c r="T19" s="85"/>
      <c r="U19" s="85"/>
      <c r="V19" s="85"/>
      <c r="W19" s="85"/>
      <c r="X19" s="85"/>
      <c r="Y19" s="85"/>
      <c r="Z19" s="41" t="str">
        <f aca="false">IF(AND(G19&lt;&gt;"",R19&lt;&gt;"",V19&lt;&gt;"",W19&lt;&gt;""),"COMPLETADO","OBSERVADO")</f>
        <v>OBSERVADO</v>
      </c>
      <c r="AA19" s="89"/>
    </row>
    <row r="20" customFormat="false" ht="15.75" hidden="false" customHeight="true" outlineLevel="0" collapsed="false">
      <c r="A20" s="140"/>
      <c r="B20" s="140"/>
      <c r="C20" s="140"/>
      <c r="D20" s="140"/>
      <c r="E20" s="140"/>
      <c r="F20" s="140"/>
      <c r="G20" s="140"/>
      <c r="H20" s="140"/>
      <c r="I20" s="138" t="str">
        <f aca="false">IFERROR(VLOOKUP(TEXT(H20,"0"),IPRESS!$A$3:$B$212,2,0),"")</f>
        <v/>
      </c>
      <c r="J20" s="140"/>
      <c r="K20" s="138" t="str">
        <f aca="false">IFERROR(VLOOKUP(TEXT(O20,"0"),CONDUCTORES!$A$3:$G$54,7,0),"")</f>
        <v/>
      </c>
      <c r="L20" s="140"/>
      <c r="M20" s="140"/>
      <c r="N20" s="139" t="str">
        <f aca="false">IFERROR(IF(L20*M20=0,"",L20*M20),"")</f>
        <v/>
      </c>
      <c r="O20" s="140"/>
      <c r="P20" s="138" t="str">
        <f aca="false">IFERROR(VLOOKUP(TEXT(O20,"0"),CONDUCTORES!$A$3:$G$54,2,0),"")</f>
        <v/>
      </c>
      <c r="Q20" s="138" t="str">
        <f aca="false">IFERROR(VLOOKUP(TEXT(O20,"0"),CONDUCTORES!$A$3:$H$54,6,0),"")</f>
        <v/>
      </c>
      <c r="R20" s="140"/>
      <c r="S20" s="140"/>
      <c r="T20" s="140"/>
      <c r="U20" s="140"/>
      <c r="V20" s="140"/>
      <c r="W20" s="140"/>
      <c r="X20" s="140"/>
      <c r="Y20" s="140"/>
      <c r="Z20" s="47" t="str">
        <f aca="false">IF(AND(G20&lt;&gt;"",R20&lt;&gt;"",V20&lt;&gt;"",W20&lt;&gt;""),"COMPLETADO","OBSERVADO")</f>
        <v>OBSERVADO</v>
      </c>
      <c r="AA20" s="89"/>
    </row>
    <row r="21" customFormat="false" ht="15.75" hidden="false" customHeight="true" outlineLevel="0" collapsed="false">
      <c r="A21" s="85"/>
      <c r="B21" s="85"/>
      <c r="C21" s="85"/>
      <c r="D21" s="85"/>
      <c r="E21" s="85"/>
      <c r="F21" s="85"/>
      <c r="G21" s="85"/>
      <c r="H21" s="85"/>
      <c r="I21" s="138" t="str">
        <f aca="false">IFERROR(VLOOKUP(TEXT(H21,"0"),IPRESS!$A$3:$B$212,2,0),"")</f>
        <v/>
      </c>
      <c r="J21" s="85"/>
      <c r="K21" s="138" t="str">
        <f aca="false">IFERROR(VLOOKUP(TEXT(O21,"0"),CONDUCTORES!$A$3:$G$54,7,0),"")</f>
        <v/>
      </c>
      <c r="L21" s="85"/>
      <c r="M21" s="85"/>
      <c r="N21" s="139" t="str">
        <f aca="false">IFERROR(IF(L21*M21=0,"",L21*M21),"")</f>
        <v/>
      </c>
      <c r="O21" s="85"/>
      <c r="P21" s="138" t="str">
        <f aca="false">IFERROR(VLOOKUP(TEXT(O21,"0"),CONDUCTORES!$A$3:$G$54,2,0),"")</f>
        <v/>
      </c>
      <c r="Q21" s="138" t="str">
        <f aca="false">IFERROR(VLOOKUP(TEXT(O21,"0"),CONDUCTORES!$A$3:$H$54,6,0),"")</f>
        <v/>
      </c>
      <c r="R21" s="85"/>
      <c r="S21" s="85"/>
      <c r="T21" s="85"/>
      <c r="U21" s="85"/>
      <c r="V21" s="85"/>
      <c r="W21" s="85"/>
      <c r="X21" s="85"/>
      <c r="Y21" s="85"/>
      <c r="Z21" s="41" t="str">
        <f aca="false">IF(AND(G21&lt;&gt;"",R21&lt;&gt;"",V21&lt;&gt;"",W21&lt;&gt;""),"COMPLETADO","OBSERVADO")</f>
        <v>OBSERVADO</v>
      </c>
      <c r="AA21" s="89"/>
    </row>
    <row r="22" customFormat="false" ht="15.75" hidden="false" customHeight="true" outlineLevel="0" collapsed="false">
      <c r="A22" s="140"/>
      <c r="B22" s="140"/>
      <c r="C22" s="140"/>
      <c r="D22" s="140"/>
      <c r="E22" s="140"/>
      <c r="F22" s="140"/>
      <c r="G22" s="140"/>
      <c r="H22" s="140"/>
      <c r="I22" s="138" t="str">
        <f aca="false">IFERROR(VLOOKUP(TEXT(H22,"0"),IPRESS!$A$3:$B$212,2,0),"")</f>
        <v/>
      </c>
      <c r="J22" s="140"/>
      <c r="K22" s="138" t="str">
        <f aca="false">IFERROR(VLOOKUP(TEXT(O22,"0"),CONDUCTORES!$A$3:$G$54,7,0),"")</f>
        <v/>
      </c>
      <c r="L22" s="140"/>
      <c r="M22" s="140"/>
      <c r="N22" s="139" t="str">
        <f aca="false">IFERROR(IF(L22*M22=0,"",L22*M22),"")</f>
        <v/>
      </c>
      <c r="O22" s="140"/>
      <c r="P22" s="138" t="str">
        <f aca="false">IFERROR(VLOOKUP(TEXT(O22,"0"),CONDUCTORES!$A$3:$G$54,2,0),"")</f>
        <v/>
      </c>
      <c r="Q22" s="138" t="str">
        <f aca="false">IFERROR(VLOOKUP(TEXT(O22,"0"),CONDUCTORES!$A$3:$H$54,6,0),"")</f>
        <v/>
      </c>
      <c r="R22" s="140"/>
      <c r="S22" s="140"/>
      <c r="T22" s="140"/>
      <c r="U22" s="140"/>
      <c r="V22" s="140"/>
      <c r="W22" s="140"/>
      <c r="X22" s="140"/>
      <c r="Y22" s="140"/>
      <c r="Z22" s="47" t="str">
        <f aca="false">IF(AND(G22&lt;&gt;"",R22&lt;&gt;"",V22&lt;&gt;"",W22&lt;&gt;""),"COMPLETADO","OBSERVADO")</f>
        <v>OBSERVADO</v>
      </c>
      <c r="AA22" s="89"/>
    </row>
    <row r="23" customFormat="false" ht="15.75" hidden="false" customHeight="true" outlineLevel="0" collapsed="false">
      <c r="A23" s="85"/>
      <c r="B23" s="85"/>
      <c r="C23" s="85"/>
      <c r="D23" s="85"/>
      <c r="E23" s="85"/>
      <c r="F23" s="85"/>
      <c r="G23" s="85"/>
      <c r="H23" s="85"/>
      <c r="I23" s="138" t="str">
        <f aca="false">IFERROR(VLOOKUP(TEXT(H23,"0"),IPRESS!$A$3:$B$212,2,0),"")</f>
        <v/>
      </c>
      <c r="J23" s="85"/>
      <c r="K23" s="138" t="str">
        <f aca="false">IFERROR(VLOOKUP(TEXT(O23,"0"),CONDUCTORES!$A$3:$G$54,7,0),"")</f>
        <v/>
      </c>
      <c r="L23" s="85"/>
      <c r="M23" s="85"/>
      <c r="N23" s="139" t="str">
        <f aca="false">IFERROR(IF(L23*M23=0,"",L23*M23),"")</f>
        <v/>
      </c>
      <c r="O23" s="85"/>
      <c r="P23" s="138" t="str">
        <f aca="false">IFERROR(VLOOKUP(TEXT(O23,"0"),CONDUCTORES!$A$3:$G$54,2,0),"")</f>
        <v/>
      </c>
      <c r="Q23" s="138" t="str">
        <f aca="false">IFERROR(VLOOKUP(TEXT(O23,"0"),CONDUCTORES!$A$3:$H$54,6,0),"")</f>
        <v/>
      </c>
      <c r="R23" s="85"/>
      <c r="S23" s="85"/>
      <c r="T23" s="85"/>
      <c r="U23" s="85"/>
      <c r="V23" s="85"/>
      <c r="W23" s="85"/>
      <c r="X23" s="85"/>
      <c r="Y23" s="85"/>
      <c r="Z23" s="41" t="str">
        <f aca="false">IF(AND(G23&lt;&gt;"",R23&lt;&gt;"",V23&lt;&gt;"",W23&lt;&gt;""),"COMPLETADO","OBSERVADO")</f>
        <v>OBSERVADO</v>
      </c>
      <c r="AA23" s="89"/>
    </row>
    <row r="24" customFormat="false" ht="15.75" hidden="false" customHeight="true" outlineLevel="0" collapsed="false">
      <c r="A24" s="140"/>
      <c r="B24" s="140"/>
      <c r="C24" s="140"/>
      <c r="D24" s="140"/>
      <c r="E24" s="140"/>
      <c r="F24" s="140"/>
      <c r="G24" s="140"/>
      <c r="H24" s="140"/>
      <c r="I24" s="138" t="str">
        <f aca="false">IFERROR(VLOOKUP(TEXT(H24,"0"),IPRESS!$A$3:$B$212,2,0),"")</f>
        <v/>
      </c>
      <c r="J24" s="140"/>
      <c r="K24" s="138" t="str">
        <f aca="false">IFERROR(VLOOKUP(TEXT(O24,"0"),CONDUCTORES!$A$3:$G$54,7,0),"")</f>
        <v/>
      </c>
      <c r="L24" s="140"/>
      <c r="M24" s="140"/>
      <c r="N24" s="139" t="str">
        <f aca="false">IFERROR(IF(L24*M24=0,"",L24*M24),"")</f>
        <v/>
      </c>
      <c r="O24" s="140"/>
      <c r="P24" s="138" t="str">
        <f aca="false">IFERROR(VLOOKUP(TEXT(O24,"0"),CONDUCTORES!$A$3:$G$54,2,0),"")</f>
        <v/>
      </c>
      <c r="Q24" s="138" t="str">
        <f aca="false">IFERROR(VLOOKUP(TEXT(O24,"0"),CONDUCTORES!$A$3:$H$54,6,0),"")</f>
        <v/>
      </c>
      <c r="R24" s="140"/>
      <c r="S24" s="140"/>
      <c r="T24" s="140"/>
      <c r="U24" s="140"/>
      <c r="V24" s="140"/>
      <c r="W24" s="140"/>
      <c r="X24" s="140"/>
      <c r="Y24" s="140"/>
      <c r="Z24" s="47" t="str">
        <f aca="false">IF(AND(G24&lt;&gt;"",R24&lt;&gt;"",V24&lt;&gt;"",W24&lt;&gt;""),"COMPLETADO","OBSERVADO")</f>
        <v>OBSERVADO</v>
      </c>
      <c r="AA24" s="89"/>
    </row>
    <row r="25" customFormat="false" ht="15.75" hidden="false" customHeight="true" outlineLevel="0" collapsed="false">
      <c r="A25" s="85"/>
      <c r="B25" s="85"/>
      <c r="C25" s="85"/>
      <c r="D25" s="85"/>
      <c r="E25" s="85"/>
      <c r="F25" s="85"/>
      <c r="G25" s="85"/>
      <c r="H25" s="85"/>
      <c r="I25" s="138" t="str">
        <f aca="false">IFERROR(VLOOKUP(TEXT(H25,"0"),IPRESS!$A$3:$B$212,2,0),"")</f>
        <v/>
      </c>
      <c r="J25" s="85"/>
      <c r="K25" s="138" t="str">
        <f aca="false">IFERROR(VLOOKUP(TEXT(O25,"0"),CONDUCTORES!$A$3:$G$54,7,0),"")</f>
        <v/>
      </c>
      <c r="L25" s="85"/>
      <c r="M25" s="85"/>
      <c r="N25" s="139" t="str">
        <f aca="false">IFERROR(IF(L25*M25=0,"",L25*M25),"")</f>
        <v/>
      </c>
      <c r="O25" s="85"/>
      <c r="P25" s="138" t="str">
        <f aca="false">IFERROR(VLOOKUP(TEXT(O25,"0"),CONDUCTORES!$A$3:$G$54,2,0),"")</f>
        <v/>
      </c>
      <c r="Q25" s="138" t="str">
        <f aca="false">IFERROR(VLOOKUP(TEXT(O25,"0"),CONDUCTORES!$A$3:$H$54,6,0),"")</f>
        <v/>
      </c>
      <c r="R25" s="85"/>
      <c r="S25" s="85"/>
      <c r="T25" s="85"/>
      <c r="U25" s="85"/>
      <c r="V25" s="85"/>
      <c r="W25" s="85"/>
      <c r="X25" s="85"/>
      <c r="Y25" s="85"/>
      <c r="Z25" s="41" t="str">
        <f aca="false">IF(AND(G25&lt;&gt;"",R25&lt;&gt;"",V25&lt;&gt;"",W25&lt;&gt;""),"COMPLETADO","OBSERVADO")</f>
        <v>OBSERVADO</v>
      </c>
      <c r="AA25" s="89"/>
    </row>
    <row r="26" customFormat="false" ht="15.75" hidden="false" customHeight="true" outlineLevel="0" collapsed="false">
      <c r="A26" s="140"/>
      <c r="B26" s="140"/>
      <c r="C26" s="140"/>
      <c r="D26" s="140"/>
      <c r="E26" s="140"/>
      <c r="F26" s="140"/>
      <c r="G26" s="140"/>
      <c r="H26" s="140"/>
      <c r="I26" s="138" t="str">
        <f aca="false">IFERROR(VLOOKUP(TEXT(H26,"0"),IPRESS!$A$3:$B$212,2,0),"")</f>
        <v/>
      </c>
      <c r="J26" s="140"/>
      <c r="K26" s="138" t="str">
        <f aca="false">IFERROR(VLOOKUP(TEXT(O26,"0"),CONDUCTORES!$A$3:$G$54,7,0),"")</f>
        <v/>
      </c>
      <c r="L26" s="140"/>
      <c r="M26" s="140"/>
      <c r="N26" s="139" t="str">
        <f aca="false">IFERROR(IF(L26*M26=0,"",L26*M26),"")</f>
        <v/>
      </c>
      <c r="O26" s="140"/>
      <c r="P26" s="138" t="str">
        <f aca="false">IFERROR(VLOOKUP(TEXT(O26,"0"),CONDUCTORES!$A$3:$G$54,2,0),"")</f>
        <v/>
      </c>
      <c r="Q26" s="138" t="str">
        <f aca="false">IFERROR(VLOOKUP(TEXT(O26,"0"),CONDUCTORES!$A$3:$H$54,6,0),"")</f>
        <v/>
      </c>
      <c r="R26" s="140"/>
      <c r="S26" s="140"/>
      <c r="T26" s="140"/>
      <c r="U26" s="140"/>
      <c r="V26" s="140"/>
      <c r="W26" s="140"/>
      <c r="X26" s="140"/>
      <c r="Y26" s="140"/>
      <c r="Z26" s="47" t="str">
        <f aca="false">IF(AND(G26&lt;&gt;"",R26&lt;&gt;"",V26&lt;&gt;"",W26&lt;&gt;""),"COMPLETADO","OBSERVADO")</f>
        <v>OBSERVADO</v>
      </c>
      <c r="AA26" s="89"/>
    </row>
    <row r="27" customFormat="false" ht="15.75" hidden="false" customHeight="true" outlineLevel="0" collapsed="false">
      <c r="A27" s="85"/>
      <c r="B27" s="85"/>
      <c r="C27" s="85"/>
      <c r="D27" s="85"/>
      <c r="E27" s="85"/>
      <c r="F27" s="85"/>
      <c r="G27" s="85"/>
      <c r="H27" s="85"/>
      <c r="I27" s="138" t="str">
        <f aca="false">IFERROR(VLOOKUP(TEXT(H27,"0"),IPRESS!$A$3:$B$212,2,0),"")</f>
        <v/>
      </c>
      <c r="J27" s="85"/>
      <c r="K27" s="138" t="str">
        <f aca="false">IFERROR(VLOOKUP(TEXT(O27,"0"),CONDUCTORES!$A$3:$G$54,7,0),"")</f>
        <v/>
      </c>
      <c r="L27" s="85"/>
      <c r="M27" s="85"/>
      <c r="N27" s="139" t="str">
        <f aca="false">IFERROR(IF(L27*M27=0,"",L27*M27),"")</f>
        <v/>
      </c>
      <c r="O27" s="85"/>
      <c r="P27" s="138" t="str">
        <f aca="false">IFERROR(VLOOKUP(TEXT(O27,"0"),CONDUCTORES!$A$3:$G$54,2,0),"")</f>
        <v/>
      </c>
      <c r="Q27" s="138" t="str">
        <f aca="false">IFERROR(VLOOKUP(TEXT(O27,"0"),CONDUCTORES!$A$3:$H$54,6,0),"")</f>
        <v/>
      </c>
      <c r="R27" s="85"/>
      <c r="S27" s="85"/>
      <c r="T27" s="85"/>
      <c r="U27" s="85"/>
      <c r="V27" s="85"/>
      <c r="W27" s="85"/>
      <c r="X27" s="85"/>
      <c r="Y27" s="85"/>
      <c r="Z27" s="41" t="str">
        <f aca="false">IF(AND(G27&lt;&gt;"",R27&lt;&gt;"",V27&lt;&gt;"",W27&lt;&gt;""),"COMPLETADO","OBSERVADO")</f>
        <v>OBSERVADO</v>
      </c>
      <c r="AA27" s="89"/>
    </row>
    <row r="28" customFormat="false" ht="15.75" hidden="false" customHeight="true" outlineLevel="0" collapsed="false">
      <c r="A28" s="140"/>
      <c r="B28" s="140"/>
      <c r="C28" s="140"/>
      <c r="D28" s="140"/>
      <c r="E28" s="140"/>
      <c r="F28" s="140"/>
      <c r="G28" s="140"/>
      <c r="H28" s="140"/>
      <c r="I28" s="138" t="str">
        <f aca="false">IFERROR(VLOOKUP(TEXT(H28,"0"),IPRESS!$A$3:$B$212,2,0),"")</f>
        <v/>
      </c>
      <c r="J28" s="140"/>
      <c r="K28" s="138" t="str">
        <f aca="false">IFERROR(VLOOKUP(TEXT(O28,"0"),CONDUCTORES!$A$3:$G$54,7,0),"")</f>
        <v/>
      </c>
      <c r="L28" s="140"/>
      <c r="M28" s="140"/>
      <c r="N28" s="139" t="str">
        <f aca="false">IFERROR(IF(L28*M28=0,"",L28*M28),"")</f>
        <v/>
      </c>
      <c r="O28" s="140"/>
      <c r="P28" s="138" t="str">
        <f aca="false">IFERROR(VLOOKUP(TEXT(O28,"0"),CONDUCTORES!$A$3:$G$54,2,0),"")</f>
        <v/>
      </c>
      <c r="Q28" s="138" t="str">
        <f aca="false">IFERROR(VLOOKUP(TEXT(O28,"0"),CONDUCTORES!$A$3:$H$54,6,0),"")</f>
        <v/>
      </c>
      <c r="R28" s="140"/>
      <c r="S28" s="140"/>
      <c r="T28" s="140"/>
      <c r="U28" s="140"/>
      <c r="V28" s="140"/>
      <c r="W28" s="140"/>
      <c r="X28" s="140"/>
      <c r="Y28" s="140"/>
      <c r="Z28" s="47" t="str">
        <f aca="false">IF(AND(G28&lt;&gt;"",R28&lt;&gt;"",V28&lt;&gt;"",W28&lt;&gt;""),"COMPLETADO","OBSERVADO")</f>
        <v>OBSERVADO</v>
      </c>
      <c r="AA28" s="89"/>
    </row>
    <row r="29" customFormat="false" ht="15.75" hidden="false" customHeight="true" outlineLevel="0" collapsed="false">
      <c r="A29" s="85"/>
      <c r="B29" s="85"/>
      <c r="C29" s="85"/>
      <c r="D29" s="85"/>
      <c r="E29" s="85"/>
      <c r="F29" s="85"/>
      <c r="G29" s="85"/>
      <c r="H29" s="85"/>
      <c r="I29" s="138" t="str">
        <f aca="false">IFERROR(VLOOKUP(TEXT(H29,"0"),IPRESS!$A$3:$B$212,2,0),"")</f>
        <v/>
      </c>
      <c r="J29" s="85"/>
      <c r="K29" s="138" t="str">
        <f aca="false">IFERROR(VLOOKUP(TEXT(O29,"0"),CONDUCTORES!$A$3:$G$54,7,0),"")</f>
        <v/>
      </c>
      <c r="L29" s="85"/>
      <c r="M29" s="85"/>
      <c r="N29" s="139" t="str">
        <f aca="false">IFERROR(IF(L29*M29=0,"",L29*M29),"")</f>
        <v/>
      </c>
      <c r="O29" s="85"/>
      <c r="P29" s="138" t="str">
        <f aca="false">IFERROR(VLOOKUP(TEXT(O29,"0"),CONDUCTORES!$A$3:$G$54,2,0),"")</f>
        <v/>
      </c>
      <c r="Q29" s="138" t="str">
        <f aca="false">IFERROR(VLOOKUP(TEXT(O29,"0"),CONDUCTORES!$A$3:$H$54,6,0),"")</f>
        <v/>
      </c>
      <c r="R29" s="85"/>
      <c r="S29" s="85"/>
      <c r="T29" s="85"/>
      <c r="U29" s="85"/>
      <c r="V29" s="85"/>
      <c r="W29" s="85"/>
      <c r="X29" s="85"/>
      <c r="Y29" s="85"/>
      <c r="Z29" s="41" t="str">
        <f aca="false">IF(AND(G29&lt;&gt;"",R29&lt;&gt;"",V29&lt;&gt;"",W29&lt;&gt;""),"COMPLETADO","OBSERVADO")</f>
        <v>OBSERVADO</v>
      </c>
      <c r="AA29" s="89"/>
    </row>
    <row r="30" customFormat="false" ht="15.75" hidden="false" customHeight="true" outlineLevel="0" collapsed="false">
      <c r="A30" s="140"/>
      <c r="B30" s="140"/>
      <c r="C30" s="140"/>
      <c r="D30" s="140"/>
      <c r="E30" s="140"/>
      <c r="F30" s="140"/>
      <c r="G30" s="140"/>
      <c r="H30" s="140"/>
      <c r="I30" s="138" t="str">
        <f aca="false">IFERROR(VLOOKUP(TEXT(H30,"0"),IPRESS!$A$3:$B$212,2,0),"")</f>
        <v/>
      </c>
      <c r="J30" s="140"/>
      <c r="K30" s="138" t="str">
        <f aca="false">IFERROR(VLOOKUP(TEXT(O30,"0"),CONDUCTORES!$A$3:$G$54,7,0),"")</f>
        <v/>
      </c>
      <c r="L30" s="140"/>
      <c r="M30" s="140"/>
      <c r="N30" s="139" t="str">
        <f aca="false">IFERROR(IF(L30*M30=0,"",L30*M30),"")</f>
        <v/>
      </c>
      <c r="O30" s="140"/>
      <c r="P30" s="138" t="str">
        <f aca="false">IFERROR(VLOOKUP(TEXT(O30,"0"),CONDUCTORES!$A$3:$G$54,2,0),"")</f>
        <v/>
      </c>
      <c r="Q30" s="138" t="str">
        <f aca="false">IFERROR(VLOOKUP(TEXT(O30,"0"),CONDUCTORES!$A$3:$H$54,6,0),"")</f>
        <v/>
      </c>
      <c r="R30" s="140"/>
      <c r="S30" s="140"/>
      <c r="T30" s="140"/>
      <c r="U30" s="140"/>
      <c r="V30" s="140"/>
      <c r="W30" s="140"/>
      <c r="X30" s="140"/>
      <c r="Y30" s="140"/>
      <c r="Z30" s="47" t="str">
        <f aca="false">IF(AND(G30&lt;&gt;"",R30&lt;&gt;"",V30&lt;&gt;"",W30&lt;&gt;""),"COMPLETADO","OBSERVADO")</f>
        <v>OBSERVADO</v>
      </c>
      <c r="AA30" s="89"/>
    </row>
    <row r="31" customFormat="false" ht="15.75" hidden="false" customHeight="true" outlineLevel="0" collapsed="false">
      <c r="A31" s="85"/>
      <c r="B31" s="85"/>
      <c r="C31" s="85"/>
      <c r="D31" s="85"/>
      <c r="E31" s="85"/>
      <c r="F31" s="85"/>
      <c r="G31" s="85"/>
      <c r="H31" s="85"/>
      <c r="I31" s="138" t="str">
        <f aca="false">IFERROR(VLOOKUP(TEXT(H31,"0"),IPRESS!$A$3:$B$212,2,0),"")</f>
        <v/>
      </c>
      <c r="J31" s="85"/>
      <c r="K31" s="138" t="str">
        <f aca="false">IFERROR(VLOOKUP(TEXT(O31,"0"),CONDUCTORES!$A$3:$G$54,7,0),"")</f>
        <v/>
      </c>
      <c r="L31" s="85"/>
      <c r="M31" s="85"/>
      <c r="N31" s="139" t="str">
        <f aca="false">IFERROR(IF(L31*M31=0,"",L31*M31),"")</f>
        <v/>
      </c>
      <c r="O31" s="85"/>
      <c r="P31" s="138" t="str">
        <f aca="false">IFERROR(VLOOKUP(TEXT(O31,"0"),CONDUCTORES!$A$3:$G$54,2,0),"")</f>
        <v/>
      </c>
      <c r="Q31" s="138" t="str">
        <f aca="false">IFERROR(VLOOKUP(TEXT(O31,"0"),CONDUCTORES!$A$3:$H$54,6,0),"")</f>
        <v/>
      </c>
      <c r="R31" s="85"/>
      <c r="S31" s="85"/>
      <c r="T31" s="85"/>
      <c r="U31" s="85"/>
      <c r="V31" s="85"/>
      <c r="W31" s="85"/>
      <c r="X31" s="85"/>
      <c r="Y31" s="85"/>
      <c r="Z31" s="41" t="str">
        <f aca="false">IF(AND(G31&lt;&gt;"",R31&lt;&gt;"",V31&lt;&gt;"",W31&lt;&gt;""),"COMPLETADO","OBSERVADO")</f>
        <v>OBSERVADO</v>
      </c>
      <c r="AA31" s="89"/>
    </row>
    <row r="32" customFormat="false" ht="15.75" hidden="false" customHeight="true" outlineLevel="0" collapsed="false">
      <c r="A32" s="140"/>
      <c r="B32" s="140"/>
      <c r="C32" s="140"/>
      <c r="D32" s="140"/>
      <c r="E32" s="140"/>
      <c r="F32" s="140"/>
      <c r="G32" s="140"/>
      <c r="H32" s="140"/>
      <c r="I32" s="138" t="str">
        <f aca="false">IFERROR(VLOOKUP(TEXT(H32,"0"),IPRESS!$A$3:$B$212,2,0),"")</f>
        <v/>
      </c>
      <c r="J32" s="140"/>
      <c r="K32" s="138" t="str">
        <f aca="false">IFERROR(VLOOKUP(TEXT(O32,"0"),CONDUCTORES!$A$3:$G$54,7,0),"")</f>
        <v/>
      </c>
      <c r="L32" s="140"/>
      <c r="M32" s="140"/>
      <c r="N32" s="139" t="str">
        <f aca="false">IFERROR(IF(L32*M32=0,"",L32*M32),"")</f>
        <v/>
      </c>
      <c r="O32" s="140"/>
      <c r="P32" s="138" t="str">
        <f aca="false">IFERROR(VLOOKUP(TEXT(O32,"0"),CONDUCTORES!$A$3:$G$54,2,0),"")</f>
        <v/>
      </c>
      <c r="Q32" s="138" t="str">
        <f aca="false">IFERROR(VLOOKUP(TEXT(O32,"0"),CONDUCTORES!$A$3:$H$54,6,0),"")</f>
        <v/>
      </c>
      <c r="R32" s="140"/>
      <c r="S32" s="140"/>
      <c r="T32" s="140"/>
      <c r="U32" s="140"/>
      <c r="V32" s="140"/>
      <c r="W32" s="140"/>
      <c r="X32" s="140"/>
      <c r="Y32" s="140"/>
      <c r="Z32" s="47" t="str">
        <f aca="false">IF(AND(G32&lt;&gt;"",R32&lt;&gt;"",V32&lt;&gt;"",W32&lt;&gt;""),"COMPLETADO","OBSERVADO")</f>
        <v>OBSERVADO</v>
      </c>
      <c r="AA32" s="89"/>
    </row>
    <row r="33" customFormat="false" ht="15.75" hidden="false" customHeight="true" outlineLevel="0" collapsed="false">
      <c r="A33" s="85"/>
      <c r="B33" s="85"/>
      <c r="C33" s="85"/>
      <c r="D33" s="85"/>
      <c r="E33" s="85"/>
      <c r="F33" s="85"/>
      <c r="G33" s="85"/>
      <c r="H33" s="85"/>
      <c r="I33" s="138" t="str">
        <f aca="false">IFERROR(VLOOKUP(TEXT(H33,"0"),IPRESS!$A$3:$B$212,2,0),"")</f>
        <v/>
      </c>
      <c r="J33" s="85"/>
      <c r="K33" s="138" t="str">
        <f aca="false">IFERROR(VLOOKUP(TEXT(O33,"0"),CONDUCTORES!$A$3:$G$54,7,0),"")</f>
        <v/>
      </c>
      <c r="L33" s="85"/>
      <c r="M33" s="85"/>
      <c r="N33" s="139" t="str">
        <f aca="false">IFERROR(IF(L33*M33=0,"",L33*M33),"")</f>
        <v/>
      </c>
      <c r="O33" s="85"/>
      <c r="P33" s="138" t="str">
        <f aca="false">IFERROR(VLOOKUP(TEXT(O33,"0"),CONDUCTORES!$A$3:$G$54,2,0),"")</f>
        <v/>
      </c>
      <c r="Q33" s="138" t="str">
        <f aca="false">IFERROR(VLOOKUP(TEXT(O33,"0"),CONDUCTORES!$A$3:$H$54,6,0),"")</f>
        <v/>
      </c>
      <c r="R33" s="85"/>
      <c r="S33" s="85"/>
      <c r="T33" s="85"/>
      <c r="U33" s="85"/>
      <c r="V33" s="85"/>
      <c r="W33" s="85"/>
      <c r="X33" s="85"/>
      <c r="Y33" s="85"/>
      <c r="Z33" s="41" t="str">
        <f aca="false">IF(AND(G33&lt;&gt;"",R33&lt;&gt;"",V33&lt;&gt;"",W33&lt;&gt;""),"COMPLETADO","OBSERVADO")</f>
        <v>OBSERVADO</v>
      </c>
      <c r="AA33" s="89"/>
    </row>
    <row r="34" customFormat="false" ht="15.75" hidden="false" customHeight="true" outlineLevel="0" collapsed="false">
      <c r="A34" s="140"/>
      <c r="B34" s="140"/>
      <c r="C34" s="140"/>
      <c r="D34" s="140"/>
      <c r="E34" s="140"/>
      <c r="F34" s="140"/>
      <c r="G34" s="140"/>
      <c r="H34" s="140"/>
      <c r="I34" s="138" t="str">
        <f aca="false">IFERROR(VLOOKUP(TEXT(H34,"0"),IPRESS!$A$3:$B$212,2,0),"")</f>
        <v/>
      </c>
      <c r="J34" s="140"/>
      <c r="K34" s="138" t="str">
        <f aca="false">IFERROR(VLOOKUP(TEXT(O34,"0"),CONDUCTORES!$A$3:$G$54,7,0),"")</f>
        <v/>
      </c>
      <c r="L34" s="140"/>
      <c r="M34" s="140"/>
      <c r="N34" s="139" t="str">
        <f aca="false">IFERROR(IF(L34*M34=0,"",L34*M34),"")</f>
        <v/>
      </c>
      <c r="O34" s="140"/>
      <c r="P34" s="138" t="str">
        <f aca="false">IFERROR(VLOOKUP(TEXT(O34,"0"),CONDUCTORES!$A$3:$G$54,2,0),"")</f>
        <v/>
      </c>
      <c r="Q34" s="138" t="str">
        <f aca="false">IFERROR(VLOOKUP(TEXT(O34,"0"),CONDUCTORES!$A$3:$H$54,6,0),"")</f>
        <v/>
      </c>
      <c r="R34" s="140"/>
      <c r="S34" s="140"/>
      <c r="T34" s="140"/>
      <c r="U34" s="140"/>
      <c r="V34" s="140"/>
      <c r="W34" s="140"/>
      <c r="X34" s="140"/>
      <c r="Y34" s="140"/>
      <c r="Z34" s="47" t="str">
        <f aca="false">IF(AND(G34&lt;&gt;"",R34&lt;&gt;"",V34&lt;&gt;"",W34&lt;&gt;""),"COMPLETADO","OBSERVADO")</f>
        <v>OBSERVADO</v>
      </c>
      <c r="AA34" s="89"/>
    </row>
    <row r="35" customFormat="false" ht="15.75" hidden="false" customHeight="true" outlineLevel="0" collapsed="false">
      <c r="A35" s="85"/>
      <c r="B35" s="85"/>
      <c r="C35" s="85"/>
      <c r="D35" s="85"/>
      <c r="E35" s="85"/>
      <c r="F35" s="85"/>
      <c r="G35" s="85"/>
      <c r="H35" s="85"/>
      <c r="I35" s="138" t="str">
        <f aca="false">IFERROR(VLOOKUP(TEXT(H35,"0"),IPRESS!$A$3:$B$212,2,0),"")</f>
        <v/>
      </c>
      <c r="J35" s="85"/>
      <c r="K35" s="138" t="str">
        <f aca="false">IFERROR(VLOOKUP(TEXT(O35,"0"),CONDUCTORES!$A$3:$G$54,7,0),"")</f>
        <v/>
      </c>
      <c r="L35" s="85"/>
      <c r="M35" s="85"/>
      <c r="N35" s="139" t="str">
        <f aca="false">IFERROR(IF(L35*M35=0,"",L35*M35),"")</f>
        <v/>
      </c>
      <c r="O35" s="85"/>
      <c r="P35" s="138" t="str">
        <f aca="false">IFERROR(VLOOKUP(TEXT(O35,"0"),CONDUCTORES!$A$3:$G$54,2,0),"")</f>
        <v/>
      </c>
      <c r="Q35" s="138" t="str">
        <f aca="false">IFERROR(VLOOKUP(TEXT(O35,"0"),CONDUCTORES!$A$3:$H$54,6,0),"")</f>
        <v/>
      </c>
      <c r="R35" s="85"/>
      <c r="S35" s="85"/>
      <c r="T35" s="85"/>
      <c r="U35" s="85"/>
      <c r="V35" s="85"/>
      <c r="W35" s="85"/>
      <c r="X35" s="85"/>
      <c r="Y35" s="85"/>
      <c r="Z35" s="41" t="str">
        <f aca="false">IF(AND(G35&lt;&gt;"",R35&lt;&gt;"",V35&lt;&gt;"",W35&lt;&gt;""),"COMPLETADO","OBSERVADO")</f>
        <v>OBSERVADO</v>
      </c>
      <c r="AA35" s="89"/>
    </row>
    <row r="36" customFormat="false" ht="15.75" hidden="false" customHeight="true" outlineLevel="0" collapsed="false">
      <c r="A36" s="140"/>
      <c r="B36" s="140"/>
      <c r="C36" s="140"/>
      <c r="D36" s="140"/>
      <c r="E36" s="140"/>
      <c r="F36" s="140"/>
      <c r="G36" s="140"/>
      <c r="H36" s="140"/>
      <c r="I36" s="138" t="str">
        <f aca="false">IFERROR(VLOOKUP(TEXT(H36,"0"),IPRESS!$A$3:$B$212,2,0),"")</f>
        <v/>
      </c>
      <c r="J36" s="140"/>
      <c r="K36" s="138" t="str">
        <f aca="false">IFERROR(VLOOKUP(TEXT(O36,"0"),CONDUCTORES!$A$3:$G$54,7,0),"")</f>
        <v/>
      </c>
      <c r="L36" s="140"/>
      <c r="M36" s="140"/>
      <c r="N36" s="139" t="str">
        <f aca="false">IFERROR(IF(L36*M36=0,"",L36*M36),"")</f>
        <v/>
      </c>
      <c r="O36" s="140"/>
      <c r="P36" s="138" t="str">
        <f aca="false">IFERROR(VLOOKUP(TEXT(O36,"0"),CONDUCTORES!$A$3:$G$54,2,0),"")</f>
        <v/>
      </c>
      <c r="Q36" s="138" t="str">
        <f aca="false">IFERROR(VLOOKUP(TEXT(O36,"0"),CONDUCTORES!$A$3:$H$54,6,0),"")</f>
        <v/>
      </c>
      <c r="R36" s="140"/>
      <c r="S36" s="140"/>
      <c r="T36" s="140"/>
      <c r="U36" s="140"/>
      <c r="V36" s="140"/>
      <c r="W36" s="140"/>
      <c r="X36" s="140"/>
      <c r="Y36" s="140"/>
      <c r="Z36" s="47" t="str">
        <f aca="false">IF(AND(G36&lt;&gt;"",R36&lt;&gt;"",V36&lt;&gt;"",W36&lt;&gt;""),"COMPLETADO","OBSERVADO")</f>
        <v>OBSERVADO</v>
      </c>
      <c r="AA36" s="89"/>
    </row>
    <row r="37" customFormat="false" ht="15.75" hidden="false" customHeight="true" outlineLevel="0" collapsed="false">
      <c r="A37" s="85"/>
      <c r="B37" s="85"/>
      <c r="C37" s="85"/>
      <c r="D37" s="85"/>
      <c r="E37" s="85"/>
      <c r="F37" s="85"/>
      <c r="G37" s="85"/>
      <c r="H37" s="85"/>
      <c r="I37" s="138" t="str">
        <f aca="false">IFERROR(VLOOKUP(TEXT(H37,"0"),IPRESS!$A$3:$B$212,2,0),"")</f>
        <v/>
      </c>
      <c r="J37" s="85"/>
      <c r="K37" s="138" t="str">
        <f aca="false">IFERROR(VLOOKUP(TEXT(O37,"0"),CONDUCTORES!$A$3:$G$54,7,0),"")</f>
        <v/>
      </c>
      <c r="L37" s="85"/>
      <c r="M37" s="85"/>
      <c r="N37" s="139" t="str">
        <f aca="false">IFERROR(IF(L37*M37=0,"",L37*M37),"")</f>
        <v/>
      </c>
      <c r="O37" s="85"/>
      <c r="P37" s="138" t="str">
        <f aca="false">IFERROR(VLOOKUP(TEXT(O37,"0"),CONDUCTORES!$A$3:$G$54,2,0),"")</f>
        <v/>
      </c>
      <c r="Q37" s="138" t="str">
        <f aca="false">IFERROR(VLOOKUP(TEXT(O37,"0"),CONDUCTORES!$A$3:$H$54,6,0),"")</f>
        <v/>
      </c>
      <c r="R37" s="85"/>
      <c r="S37" s="85"/>
      <c r="T37" s="85"/>
      <c r="U37" s="85"/>
      <c r="V37" s="85"/>
      <c r="W37" s="85"/>
      <c r="X37" s="85"/>
      <c r="Y37" s="85"/>
      <c r="Z37" s="41" t="str">
        <f aca="false">IF(AND(G37&lt;&gt;"",R37&lt;&gt;"",V37&lt;&gt;"",W37&lt;&gt;""),"COMPLETADO","OBSERVADO")</f>
        <v>OBSERVADO</v>
      </c>
      <c r="AA37" s="89"/>
    </row>
    <row r="38" customFormat="false" ht="15.75" hidden="false" customHeight="true" outlineLevel="0" collapsed="false">
      <c r="A38" s="140"/>
      <c r="B38" s="140"/>
      <c r="C38" s="140"/>
      <c r="D38" s="140"/>
      <c r="E38" s="140"/>
      <c r="F38" s="140"/>
      <c r="G38" s="140"/>
      <c r="H38" s="140"/>
      <c r="I38" s="138" t="str">
        <f aca="false">IFERROR(VLOOKUP(TEXT(H38,"0"),IPRESS!$A$3:$B$212,2,0),"")</f>
        <v/>
      </c>
      <c r="J38" s="140"/>
      <c r="K38" s="138" t="str">
        <f aca="false">IFERROR(VLOOKUP(TEXT(O38,"0"),CONDUCTORES!$A$3:$G$54,7,0),"")</f>
        <v/>
      </c>
      <c r="L38" s="140"/>
      <c r="M38" s="140"/>
      <c r="N38" s="139" t="str">
        <f aca="false">IFERROR(IF(L38*M38=0,"",L38*M38),"")</f>
        <v/>
      </c>
      <c r="O38" s="140"/>
      <c r="P38" s="138" t="str">
        <f aca="false">IFERROR(VLOOKUP(TEXT(O38,"0"),CONDUCTORES!$A$3:$G$54,2,0),"")</f>
        <v/>
      </c>
      <c r="Q38" s="138" t="str">
        <f aca="false">IFERROR(VLOOKUP(TEXT(O38,"0"),CONDUCTORES!$A$3:$H$54,6,0),"")</f>
        <v/>
      </c>
      <c r="R38" s="140"/>
      <c r="S38" s="140"/>
      <c r="T38" s="140"/>
      <c r="U38" s="140"/>
      <c r="V38" s="140"/>
      <c r="W38" s="140"/>
      <c r="X38" s="140"/>
      <c r="Y38" s="140"/>
      <c r="Z38" s="47" t="str">
        <f aca="false">IF(AND(G38&lt;&gt;"",R38&lt;&gt;"",V38&lt;&gt;"",W38&lt;&gt;""),"COMPLETADO","OBSERVADO")</f>
        <v>OBSERVADO</v>
      </c>
      <c r="AA38" s="89"/>
    </row>
    <row r="39" customFormat="false" ht="15.75" hidden="false" customHeight="true" outlineLevel="0" collapsed="false">
      <c r="A39" s="85"/>
      <c r="B39" s="85"/>
      <c r="C39" s="85"/>
      <c r="D39" s="85"/>
      <c r="E39" s="85"/>
      <c r="F39" s="85"/>
      <c r="G39" s="85"/>
      <c r="H39" s="85"/>
      <c r="I39" s="138" t="str">
        <f aca="false">IFERROR(VLOOKUP(TEXT(H39,"0"),IPRESS!$A$3:$B$212,2,0),"")</f>
        <v/>
      </c>
      <c r="J39" s="85"/>
      <c r="K39" s="138" t="str">
        <f aca="false">IFERROR(VLOOKUP(TEXT(O39,"0"),CONDUCTORES!$A$3:$G$54,7,0),"")</f>
        <v/>
      </c>
      <c r="L39" s="85"/>
      <c r="M39" s="85"/>
      <c r="N39" s="139" t="str">
        <f aca="false">IFERROR(IF(L39*M39=0,"",L39*M39),"")</f>
        <v/>
      </c>
      <c r="O39" s="85"/>
      <c r="P39" s="138" t="str">
        <f aca="false">IFERROR(VLOOKUP(TEXT(O39,"0"),CONDUCTORES!$A$3:$G$54,2,0),"")</f>
        <v/>
      </c>
      <c r="Q39" s="138" t="str">
        <f aca="false">IFERROR(VLOOKUP(TEXT(O39,"0"),CONDUCTORES!$A$3:$H$54,6,0),"")</f>
        <v/>
      </c>
      <c r="R39" s="85"/>
      <c r="S39" s="85"/>
      <c r="T39" s="85"/>
      <c r="U39" s="85"/>
      <c r="V39" s="85"/>
      <c r="W39" s="85"/>
      <c r="X39" s="85"/>
      <c r="Y39" s="85"/>
      <c r="Z39" s="41" t="str">
        <f aca="false">IF(AND(G39&lt;&gt;"",R39&lt;&gt;"",V39&lt;&gt;"",W39&lt;&gt;""),"COMPLETADO","OBSERVADO")</f>
        <v>OBSERVADO</v>
      </c>
      <c r="AA39" s="89"/>
    </row>
    <row r="40" customFormat="false" ht="15.75" hidden="false" customHeight="true" outlineLevel="0" collapsed="false">
      <c r="A40" s="140"/>
      <c r="B40" s="140"/>
      <c r="C40" s="140"/>
      <c r="D40" s="140"/>
      <c r="E40" s="140"/>
      <c r="F40" s="140"/>
      <c r="G40" s="140"/>
      <c r="H40" s="140"/>
      <c r="I40" s="138" t="str">
        <f aca="false">IFERROR(VLOOKUP(TEXT(H40,"0"),IPRESS!$A$3:$B$212,2,0),"")</f>
        <v/>
      </c>
      <c r="J40" s="140"/>
      <c r="K40" s="138" t="str">
        <f aca="false">IFERROR(VLOOKUP(TEXT(O40,"0"),CONDUCTORES!$A$3:$G$54,7,0),"")</f>
        <v/>
      </c>
      <c r="L40" s="140"/>
      <c r="M40" s="140"/>
      <c r="N40" s="139" t="str">
        <f aca="false">IFERROR(IF(L40*M40=0,"",L40*M40),"")</f>
        <v/>
      </c>
      <c r="O40" s="140"/>
      <c r="P40" s="138" t="str">
        <f aca="false">IFERROR(VLOOKUP(TEXT(O40,"0"),CONDUCTORES!$A$3:$G$54,2,0),"")</f>
        <v/>
      </c>
      <c r="Q40" s="138" t="str">
        <f aca="false">IFERROR(VLOOKUP(TEXT(O40,"0"),CONDUCTORES!$A$3:$H$54,6,0),"")</f>
        <v/>
      </c>
      <c r="R40" s="140"/>
      <c r="S40" s="140"/>
      <c r="T40" s="140"/>
      <c r="U40" s="140"/>
      <c r="V40" s="140"/>
      <c r="W40" s="140"/>
      <c r="X40" s="140"/>
      <c r="Y40" s="140"/>
      <c r="Z40" s="47" t="str">
        <f aca="false">IF(AND(G40&lt;&gt;"",R40&lt;&gt;"",V40&lt;&gt;"",W40&lt;&gt;""),"COMPLETADO","OBSERVADO")</f>
        <v>OBSERVADO</v>
      </c>
      <c r="AA40" s="89"/>
    </row>
    <row r="41" customFormat="false" ht="15.75" hidden="false" customHeight="true" outlineLevel="0" collapsed="false">
      <c r="A41" s="85"/>
      <c r="B41" s="85"/>
      <c r="C41" s="85"/>
      <c r="D41" s="85"/>
      <c r="E41" s="85"/>
      <c r="F41" s="85"/>
      <c r="G41" s="85"/>
      <c r="H41" s="85"/>
      <c r="I41" s="138" t="str">
        <f aca="false">IFERROR(VLOOKUP(TEXT(H41,"0"),IPRESS!$A$3:$B$212,2,0),"")</f>
        <v/>
      </c>
      <c r="J41" s="85"/>
      <c r="K41" s="138" t="str">
        <f aca="false">IFERROR(VLOOKUP(TEXT(O41,"0"),CONDUCTORES!$A$3:$G$54,7,0),"")</f>
        <v/>
      </c>
      <c r="L41" s="85"/>
      <c r="M41" s="85"/>
      <c r="N41" s="139" t="str">
        <f aca="false">IFERROR(IF(L41*M41=0,"",L41*M41),"")</f>
        <v/>
      </c>
      <c r="O41" s="85"/>
      <c r="P41" s="138" t="str">
        <f aca="false">IFERROR(VLOOKUP(TEXT(O41,"0"),CONDUCTORES!$A$3:$G$54,2,0),"")</f>
        <v/>
      </c>
      <c r="Q41" s="138" t="str">
        <f aca="false">IFERROR(VLOOKUP(TEXT(O41,"0"),CONDUCTORES!$A$3:$H$54,6,0),"")</f>
        <v/>
      </c>
      <c r="R41" s="85"/>
      <c r="S41" s="85"/>
      <c r="T41" s="85"/>
      <c r="U41" s="85"/>
      <c r="V41" s="85"/>
      <c r="W41" s="85"/>
      <c r="X41" s="85"/>
      <c r="Y41" s="85"/>
      <c r="Z41" s="41" t="str">
        <f aca="false">IF(AND(G41&lt;&gt;"",R41&lt;&gt;"",V41&lt;&gt;"",W41&lt;&gt;""),"COMPLETADO","OBSERVADO")</f>
        <v>OBSERVADO</v>
      </c>
      <c r="AA41" s="89"/>
    </row>
    <row r="42" customFormat="false" ht="15.75" hidden="false" customHeight="true" outlineLevel="0" collapsed="false">
      <c r="A42" s="140"/>
      <c r="B42" s="140"/>
      <c r="C42" s="140"/>
      <c r="D42" s="140"/>
      <c r="E42" s="140"/>
      <c r="F42" s="140"/>
      <c r="G42" s="140"/>
      <c r="H42" s="140"/>
      <c r="I42" s="138" t="str">
        <f aca="false">IFERROR(VLOOKUP(TEXT(H42,"0"),IPRESS!$A$3:$B$212,2,0),"")</f>
        <v/>
      </c>
      <c r="J42" s="140"/>
      <c r="K42" s="138" t="str">
        <f aca="false">IFERROR(VLOOKUP(TEXT(O42,"0"),CONDUCTORES!$A$3:$G$54,7,0),"")</f>
        <v/>
      </c>
      <c r="L42" s="140"/>
      <c r="M42" s="140"/>
      <c r="N42" s="139" t="str">
        <f aca="false">IFERROR(IF(L42*M42=0,"",L42*M42),"")</f>
        <v/>
      </c>
      <c r="O42" s="140"/>
      <c r="P42" s="138" t="str">
        <f aca="false">IFERROR(VLOOKUP(TEXT(O42,"0"),CONDUCTORES!$A$3:$G$54,2,0),"")</f>
        <v/>
      </c>
      <c r="Q42" s="138" t="str">
        <f aca="false">IFERROR(VLOOKUP(TEXT(O42,"0"),CONDUCTORES!$A$3:$H$54,6,0),"")</f>
        <v/>
      </c>
      <c r="R42" s="140"/>
      <c r="S42" s="140"/>
      <c r="T42" s="140"/>
      <c r="U42" s="140"/>
      <c r="V42" s="140"/>
      <c r="W42" s="140"/>
      <c r="X42" s="140"/>
      <c r="Y42" s="140"/>
      <c r="Z42" s="47" t="str">
        <f aca="false">IF(AND(G42&lt;&gt;"",R42&lt;&gt;"",V42&lt;&gt;"",W42&lt;&gt;""),"COMPLETADO","OBSERVADO")</f>
        <v>OBSERVADO</v>
      </c>
      <c r="AA42" s="89"/>
    </row>
    <row r="43" customFormat="false" ht="15.75" hidden="false" customHeight="true" outlineLevel="0" collapsed="false">
      <c r="A43" s="85"/>
      <c r="B43" s="85"/>
      <c r="C43" s="85"/>
      <c r="D43" s="85"/>
      <c r="E43" s="85"/>
      <c r="F43" s="85"/>
      <c r="G43" s="85"/>
      <c r="H43" s="85"/>
      <c r="I43" s="138" t="str">
        <f aca="false">IFERROR(VLOOKUP(TEXT(H43,"0"),IPRESS!$A$3:$B$212,2,0),"")</f>
        <v/>
      </c>
      <c r="J43" s="85"/>
      <c r="K43" s="138" t="str">
        <f aca="false">IFERROR(VLOOKUP(TEXT(O43,"0"),CONDUCTORES!$A$3:$G$54,7,0),"")</f>
        <v/>
      </c>
      <c r="L43" s="85"/>
      <c r="M43" s="85"/>
      <c r="N43" s="139" t="str">
        <f aca="false">IFERROR(IF(L43*M43=0,"",L43*M43),"")</f>
        <v/>
      </c>
      <c r="O43" s="85"/>
      <c r="P43" s="138" t="str">
        <f aca="false">IFERROR(VLOOKUP(TEXT(O43,"0"),CONDUCTORES!$A$3:$G$54,2,0),"")</f>
        <v/>
      </c>
      <c r="Q43" s="138" t="str">
        <f aca="false">IFERROR(VLOOKUP(TEXT(O43,"0"),CONDUCTORES!$A$3:$H$54,6,0),"")</f>
        <v/>
      </c>
      <c r="R43" s="85"/>
      <c r="S43" s="85"/>
      <c r="T43" s="85"/>
      <c r="U43" s="85"/>
      <c r="V43" s="85"/>
      <c r="W43" s="85"/>
      <c r="X43" s="85"/>
      <c r="Y43" s="85"/>
      <c r="Z43" s="41" t="str">
        <f aca="false">IF(AND(G43&lt;&gt;"",R43&lt;&gt;"",V43&lt;&gt;"",W43&lt;&gt;""),"COMPLETADO","OBSERVADO")</f>
        <v>OBSERVADO</v>
      </c>
      <c r="AA43" s="89"/>
    </row>
    <row r="44" customFormat="false" ht="15.75" hidden="false" customHeight="true" outlineLevel="0" collapsed="false">
      <c r="A44" s="140"/>
      <c r="B44" s="140"/>
      <c r="C44" s="140"/>
      <c r="D44" s="140"/>
      <c r="E44" s="140"/>
      <c r="F44" s="140"/>
      <c r="G44" s="140"/>
      <c r="H44" s="140"/>
      <c r="I44" s="138" t="str">
        <f aca="false">IFERROR(VLOOKUP(TEXT(H44,"0"),IPRESS!$A$3:$B$212,2,0),"")</f>
        <v/>
      </c>
      <c r="J44" s="140"/>
      <c r="K44" s="138" t="str">
        <f aca="false">IFERROR(VLOOKUP(TEXT(O44,"0"),CONDUCTORES!$A$3:$G$54,7,0),"")</f>
        <v/>
      </c>
      <c r="L44" s="140"/>
      <c r="M44" s="140"/>
      <c r="N44" s="139" t="str">
        <f aca="false">IFERROR(IF(L44*M44=0,"",L44*M44),"")</f>
        <v/>
      </c>
      <c r="O44" s="140"/>
      <c r="P44" s="138" t="str">
        <f aca="false">IFERROR(VLOOKUP(TEXT(O44,"0"),CONDUCTORES!$A$3:$G$54,2,0),"")</f>
        <v/>
      </c>
      <c r="Q44" s="138" t="str">
        <f aca="false">IFERROR(VLOOKUP(TEXT(O44,"0"),CONDUCTORES!$A$3:$H$54,6,0),"")</f>
        <v/>
      </c>
      <c r="R44" s="140"/>
      <c r="S44" s="140"/>
      <c r="T44" s="140"/>
      <c r="U44" s="140"/>
      <c r="V44" s="140"/>
      <c r="W44" s="140"/>
      <c r="X44" s="140"/>
      <c r="Y44" s="140"/>
      <c r="Z44" s="47" t="str">
        <f aca="false">IF(AND(G44&lt;&gt;"",R44&lt;&gt;"",V44&lt;&gt;"",W44&lt;&gt;""),"COMPLETADO","OBSERVADO")</f>
        <v>OBSERVADO</v>
      </c>
      <c r="AA44" s="89"/>
    </row>
    <row r="45" customFormat="false" ht="15.75" hidden="false" customHeight="true" outlineLevel="0" collapsed="false">
      <c r="A45" s="85"/>
      <c r="B45" s="85"/>
      <c r="C45" s="85"/>
      <c r="D45" s="85"/>
      <c r="E45" s="85"/>
      <c r="F45" s="85"/>
      <c r="G45" s="85"/>
      <c r="H45" s="85"/>
      <c r="I45" s="138" t="str">
        <f aca="false">IFERROR(VLOOKUP(TEXT(H45,"0"),IPRESS!$A$3:$B$212,2,0),"")</f>
        <v/>
      </c>
      <c r="J45" s="85"/>
      <c r="K45" s="138" t="str">
        <f aca="false">IFERROR(VLOOKUP(TEXT(O45,"0"),CONDUCTORES!$A$3:$G$54,7,0),"")</f>
        <v/>
      </c>
      <c r="L45" s="85"/>
      <c r="M45" s="85"/>
      <c r="N45" s="139" t="str">
        <f aca="false">IFERROR(IF(L45*M45=0,"",L45*M45),"")</f>
        <v/>
      </c>
      <c r="O45" s="85"/>
      <c r="P45" s="138" t="str">
        <f aca="false">IFERROR(VLOOKUP(TEXT(O45,"0"),CONDUCTORES!$A$3:$G$54,2,0),"")</f>
        <v/>
      </c>
      <c r="Q45" s="138" t="str">
        <f aca="false">IFERROR(VLOOKUP(TEXT(O45,"0"),CONDUCTORES!$A$3:$H$54,6,0),"")</f>
        <v/>
      </c>
      <c r="R45" s="85"/>
      <c r="S45" s="85"/>
      <c r="T45" s="85"/>
      <c r="U45" s="85"/>
      <c r="V45" s="85"/>
      <c r="W45" s="85"/>
      <c r="X45" s="85"/>
      <c r="Y45" s="85"/>
      <c r="Z45" s="41" t="str">
        <f aca="false">IF(AND(G45&lt;&gt;"",R45&lt;&gt;"",V45&lt;&gt;"",W45&lt;&gt;""),"COMPLETADO","OBSERVADO")</f>
        <v>OBSERVADO</v>
      </c>
      <c r="AA45" s="89"/>
    </row>
    <row r="46" customFormat="false" ht="15.75" hidden="false" customHeight="true" outlineLevel="0" collapsed="false">
      <c r="A46" s="140"/>
      <c r="B46" s="140"/>
      <c r="C46" s="140"/>
      <c r="D46" s="140"/>
      <c r="E46" s="140"/>
      <c r="F46" s="140"/>
      <c r="G46" s="140"/>
      <c r="H46" s="140"/>
      <c r="I46" s="138" t="str">
        <f aca="false">IFERROR(VLOOKUP(TEXT(H46,"0"),IPRESS!$A$3:$B$212,2,0),"")</f>
        <v/>
      </c>
      <c r="J46" s="140"/>
      <c r="K46" s="138" t="str">
        <f aca="false">IFERROR(VLOOKUP(TEXT(O46,"0"),CONDUCTORES!$A$3:$G$54,7,0),"")</f>
        <v/>
      </c>
      <c r="L46" s="140"/>
      <c r="M46" s="140"/>
      <c r="N46" s="139" t="str">
        <f aca="false">IFERROR(IF(L46*M46=0,"",L46*M46),"")</f>
        <v/>
      </c>
      <c r="O46" s="140"/>
      <c r="P46" s="138" t="str">
        <f aca="false">IFERROR(VLOOKUP(TEXT(O46,"0"),CONDUCTORES!$A$3:$G$54,2,0),"")</f>
        <v/>
      </c>
      <c r="Q46" s="138" t="str">
        <f aca="false">IFERROR(VLOOKUP(TEXT(O46,"0"),CONDUCTORES!$A$3:$H$54,6,0),"")</f>
        <v/>
      </c>
      <c r="R46" s="140"/>
      <c r="S46" s="140"/>
      <c r="T46" s="140"/>
      <c r="U46" s="140"/>
      <c r="V46" s="140"/>
      <c r="W46" s="140"/>
      <c r="X46" s="140"/>
      <c r="Y46" s="140"/>
      <c r="Z46" s="47" t="str">
        <f aca="false">IF(AND(G46&lt;&gt;"",R46&lt;&gt;"",V46&lt;&gt;"",W46&lt;&gt;""),"COMPLETADO","OBSERVADO")</f>
        <v>OBSERVADO</v>
      </c>
      <c r="AA46" s="89"/>
    </row>
    <row r="47" customFormat="false" ht="15.75" hidden="false" customHeight="true" outlineLevel="0" collapsed="false">
      <c r="A47" s="85"/>
      <c r="B47" s="85"/>
      <c r="C47" s="85"/>
      <c r="D47" s="85"/>
      <c r="E47" s="85"/>
      <c r="F47" s="85"/>
      <c r="G47" s="85"/>
      <c r="H47" s="85"/>
      <c r="I47" s="138" t="str">
        <f aca="false">IFERROR(VLOOKUP(TEXT(H47,"0"),IPRESS!$A$3:$B$212,2,0),"")</f>
        <v/>
      </c>
      <c r="J47" s="85"/>
      <c r="K47" s="138" t="str">
        <f aca="false">IFERROR(VLOOKUP(TEXT(O47,"0"),CONDUCTORES!$A$3:$G$54,7,0),"")</f>
        <v/>
      </c>
      <c r="L47" s="85"/>
      <c r="M47" s="85"/>
      <c r="N47" s="139" t="str">
        <f aca="false">IFERROR(IF(L47*M47=0,"",L47*M47),"")</f>
        <v/>
      </c>
      <c r="O47" s="85"/>
      <c r="P47" s="138" t="str">
        <f aca="false">IFERROR(VLOOKUP(TEXT(O47,"0"),CONDUCTORES!$A$3:$G$54,2,0),"")</f>
        <v/>
      </c>
      <c r="Q47" s="138" t="str">
        <f aca="false">IFERROR(VLOOKUP(TEXT(O47,"0"),CONDUCTORES!$A$3:$H$54,6,0),"")</f>
        <v/>
      </c>
      <c r="R47" s="85"/>
      <c r="S47" s="85"/>
      <c r="T47" s="85"/>
      <c r="U47" s="85"/>
      <c r="V47" s="85"/>
      <c r="W47" s="85"/>
      <c r="X47" s="85"/>
      <c r="Y47" s="85"/>
      <c r="Z47" s="41" t="str">
        <f aca="false">IF(AND(G47&lt;&gt;"",R47&lt;&gt;"",V47&lt;&gt;"",W47&lt;&gt;""),"COMPLETADO","OBSERVADO")</f>
        <v>OBSERVADO</v>
      </c>
      <c r="AA47" s="89"/>
    </row>
    <row r="48" customFormat="false" ht="15.75" hidden="false" customHeight="true" outlineLevel="0" collapsed="false">
      <c r="A48" s="140"/>
      <c r="B48" s="140"/>
      <c r="C48" s="140"/>
      <c r="D48" s="140"/>
      <c r="E48" s="140"/>
      <c r="F48" s="140"/>
      <c r="G48" s="140"/>
      <c r="H48" s="140"/>
      <c r="I48" s="138" t="str">
        <f aca="false">IFERROR(VLOOKUP(TEXT(H48,"0"),IPRESS!$A$3:$B$212,2,0),"")</f>
        <v/>
      </c>
      <c r="J48" s="140"/>
      <c r="K48" s="138" t="str">
        <f aca="false">IFERROR(VLOOKUP(TEXT(O48,"0"),CONDUCTORES!$A$3:$G$54,7,0),"")</f>
        <v/>
      </c>
      <c r="L48" s="140"/>
      <c r="M48" s="140"/>
      <c r="N48" s="139" t="str">
        <f aca="false">IFERROR(IF(L48*M48=0,"",L48*M48),"")</f>
        <v/>
      </c>
      <c r="O48" s="140"/>
      <c r="P48" s="138" t="str">
        <f aca="false">IFERROR(VLOOKUP(TEXT(O48,"0"),CONDUCTORES!$A$3:$G$54,2,0),"")</f>
        <v/>
      </c>
      <c r="Q48" s="138" t="str">
        <f aca="false">IFERROR(VLOOKUP(TEXT(O48,"0"),CONDUCTORES!$A$3:$H$54,6,0),"")</f>
        <v/>
      </c>
      <c r="R48" s="140"/>
      <c r="S48" s="140"/>
      <c r="T48" s="140"/>
      <c r="U48" s="140"/>
      <c r="V48" s="140"/>
      <c r="W48" s="140"/>
      <c r="X48" s="140"/>
      <c r="Y48" s="140"/>
      <c r="Z48" s="47" t="str">
        <f aca="false">IF(AND(G48&lt;&gt;"",R48&lt;&gt;"",V48&lt;&gt;"",W48&lt;&gt;""),"COMPLETADO","OBSERVADO")</f>
        <v>OBSERVADO</v>
      </c>
      <c r="AA48" s="89"/>
    </row>
    <row r="49" customFormat="false" ht="15.75" hidden="false" customHeight="true" outlineLevel="0" collapsed="false">
      <c r="A49" s="85"/>
      <c r="B49" s="85"/>
      <c r="C49" s="85"/>
      <c r="D49" s="85"/>
      <c r="E49" s="85"/>
      <c r="F49" s="85"/>
      <c r="G49" s="85"/>
      <c r="H49" s="85"/>
      <c r="I49" s="138" t="str">
        <f aca="false">IFERROR(VLOOKUP(TEXT(H49,"0"),IPRESS!$A$3:$B$212,2,0),"")</f>
        <v/>
      </c>
      <c r="J49" s="85"/>
      <c r="K49" s="138" t="str">
        <f aca="false">IFERROR(VLOOKUP(TEXT(O49,"0"),CONDUCTORES!$A$3:$G$54,7,0),"")</f>
        <v/>
      </c>
      <c r="L49" s="85"/>
      <c r="M49" s="85"/>
      <c r="N49" s="139" t="str">
        <f aca="false">IFERROR(IF(L49*M49=0,"",L49*M49),"")</f>
        <v/>
      </c>
      <c r="O49" s="85"/>
      <c r="P49" s="138" t="str">
        <f aca="false">IFERROR(VLOOKUP(TEXT(O49,"0"),CONDUCTORES!$A$3:$G$54,2,0),"")</f>
        <v/>
      </c>
      <c r="Q49" s="138" t="str">
        <f aca="false">IFERROR(VLOOKUP(TEXT(O49,"0"),CONDUCTORES!$A$3:$H$54,6,0),"")</f>
        <v/>
      </c>
      <c r="R49" s="85"/>
      <c r="S49" s="85"/>
      <c r="T49" s="85"/>
      <c r="U49" s="85"/>
      <c r="V49" s="85"/>
      <c r="W49" s="85"/>
      <c r="X49" s="85"/>
      <c r="Y49" s="85"/>
      <c r="Z49" s="41" t="str">
        <f aca="false">IF(AND(G49&lt;&gt;"",R49&lt;&gt;"",V49&lt;&gt;"",W49&lt;&gt;""),"COMPLETADO","OBSERVADO")</f>
        <v>OBSERVADO</v>
      </c>
      <c r="AA49" s="89"/>
    </row>
    <row r="50" customFormat="false" ht="15.75" hidden="false" customHeight="true" outlineLevel="0" collapsed="false">
      <c r="A50" s="140"/>
      <c r="B50" s="140"/>
      <c r="C50" s="140"/>
      <c r="D50" s="140"/>
      <c r="E50" s="140"/>
      <c r="F50" s="140"/>
      <c r="G50" s="140"/>
      <c r="H50" s="140"/>
      <c r="I50" s="138" t="str">
        <f aca="false">IFERROR(VLOOKUP(TEXT(H50,"0"),IPRESS!$A$3:$B$212,2,0),"")</f>
        <v/>
      </c>
      <c r="J50" s="140"/>
      <c r="K50" s="138" t="str">
        <f aca="false">IFERROR(VLOOKUP(TEXT(O50,"0"),CONDUCTORES!$A$3:$G$54,7,0),"")</f>
        <v/>
      </c>
      <c r="L50" s="140"/>
      <c r="M50" s="140"/>
      <c r="N50" s="139" t="str">
        <f aca="false">IFERROR(IF(L50*M50=0,"",L50*M50),"")</f>
        <v/>
      </c>
      <c r="O50" s="140"/>
      <c r="P50" s="138" t="str">
        <f aca="false">IFERROR(VLOOKUP(TEXT(O50,"0"),CONDUCTORES!$A$3:$G$54,2,0),"")</f>
        <v/>
      </c>
      <c r="Q50" s="138" t="str">
        <f aca="false">IFERROR(VLOOKUP(TEXT(O50,"0"),CONDUCTORES!$A$3:$H$54,6,0),"")</f>
        <v/>
      </c>
      <c r="R50" s="140"/>
      <c r="S50" s="140"/>
      <c r="T50" s="140"/>
      <c r="U50" s="140"/>
      <c r="V50" s="140"/>
      <c r="W50" s="140"/>
      <c r="X50" s="140"/>
      <c r="Y50" s="140"/>
      <c r="Z50" s="47" t="str">
        <f aca="false">IF(AND(G50&lt;&gt;"",R50&lt;&gt;"",V50&lt;&gt;"",W50&lt;&gt;""),"COMPLETADO","OBSERVADO")</f>
        <v>OBSERVADO</v>
      </c>
      <c r="AA50" s="89"/>
    </row>
    <row r="51" customFormat="false" ht="15.75" hidden="false" customHeight="true" outlineLevel="0" collapsed="false">
      <c r="A51" s="85"/>
      <c r="B51" s="85"/>
      <c r="C51" s="85"/>
      <c r="D51" s="85"/>
      <c r="E51" s="85"/>
      <c r="F51" s="85"/>
      <c r="G51" s="85"/>
      <c r="H51" s="85"/>
      <c r="I51" s="138" t="str">
        <f aca="false">IFERROR(VLOOKUP(TEXT(H51,"0"),IPRESS!$A$3:$B$212,2,0),"")</f>
        <v/>
      </c>
      <c r="J51" s="85"/>
      <c r="K51" s="138" t="str">
        <f aca="false">IFERROR(VLOOKUP(TEXT(O51,"0"),CONDUCTORES!$A$3:$G$54,7,0),"")</f>
        <v/>
      </c>
      <c r="L51" s="85"/>
      <c r="M51" s="85"/>
      <c r="N51" s="139" t="str">
        <f aca="false">IFERROR(IF(L51*M51=0,"",L51*M51),"")</f>
        <v/>
      </c>
      <c r="O51" s="85"/>
      <c r="P51" s="138" t="str">
        <f aca="false">IFERROR(VLOOKUP(TEXT(O51,"0"),CONDUCTORES!$A$3:$G$54,2,0),"")</f>
        <v/>
      </c>
      <c r="Q51" s="138" t="str">
        <f aca="false">IFERROR(VLOOKUP(TEXT(O51,"0"),CONDUCTORES!$A$3:$H$54,6,0),"")</f>
        <v/>
      </c>
      <c r="R51" s="85"/>
      <c r="S51" s="85"/>
      <c r="T51" s="85"/>
      <c r="U51" s="85"/>
      <c r="V51" s="85"/>
      <c r="W51" s="85"/>
      <c r="X51" s="85"/>
      <c r="Y51" s="85"/>
      <c r="Z51" s="41" t="str">
        <f aca="false">IF(AND(G51&lt;&gt;"",R51&lt;&gt;"",V51&lt;&gt;"",W51&lt;&gt;""),"COMPLETADO","OBSERVADO")</f>
        <v>OBSERVADO</v>
      </c>
      <c r="AA51" s="89"/>
    </row>
    <row r="52" customFormat="false" ht="15.75" hidden="false" customHeight="true" outlineLevel="0" collapsed="false">
      <c r="A52" s="140"/>
      <c r="B52" s="140"/>
      <c r="C52" s="140"/>
      <c r="D52" s="140"/>
      <c r="E52" s="140"/>
      <c r="F52" s="140"/>
      <c r="G52" s="140"/>
      <c r="H52" s="140"/>
      <c r="I52" s="138" t="str">
        <f aca="false">IFERROR(VLOOKUP(TEXT(H52,"0"),IPRESS!$A$3:$B$212,2,0),"")</f>
        <v/>
      </c>
      <c r="J52" s="140"/>
      <c r="K52" s="138" t="str">
        <f aca="false">IFERROR(VLOOKUP(TEXT(O52,"0"),CONDUCTORES!$A$3:$G$54,7,0),"")</f>
        <v/>
      </c>
      <c r="L52" s="140"/>
      <c r="M52" s="140"/>
      <c r="N52" s="139" t="str">
        <f aca="false">IFERROR(IF(L52*M52=0,"",L52*M52),"")</f>
        <v/>
      </c>
      <c r="O52" s="140"/>
      <c r="P52" s="138" t="str">
        <f aca="false">IFERROR(VLOOKUP(TEXT(O52,"0"),CONDUCTORES!$A$3:$G$54,2,0),"")</f>
        <v/>
      </c>
      <c r="Q52" s="138" t="str">
        <f aca="false">IFERROR(VLOOKUP(TEXT(O52,"0"),CONDUCTORES!$A$3:$H$54,6,0),"")</f>
        <v/>
      </c>
      <c r="R52" s="140"/>
      <c r="S52" s="140"/>
      <c r="T52" s="140"/>
      <c r="U52" s="140"/>
      <c r="V52" s="140"/>
      <c r="W52" s="140"/>
      <c r="X52" s="140"/>
      <c r="Y52" s="140"/>
      <c r="Z52" s="47" t="str">
        <f aca="false">IF(AND(G52&lt;&gt;"",R52&lt;&gt;"",V52&lt;&gt;"",W52&lt;&gt;""),"COMPLETADO","OBSERVADO")</f>
        <v>OBSERVADO</v>
      </c>
      <c r="AA52" s="89"/>
    </row>
    <row r="53" customFormat="false" ht="15.75" hidden="false" customHeight="true" outlineLevel="0" collapsed="false">
      <c r="A53" s="85"/>
      <c r="B53" s="85"/>
      <c r="C53" s="85"/>
      <c r="D53" s="85"/>
      <c r="E53" s="85"/>
      <c r="F53" s="85"/>
      <c r="G53" s="85"/>
      <c r="H53" s="85"/>
      <c r="I53" s="138" t="str">
        <f aca="false">IFERROR(VLOOKUP(TEXT(H53,"0"),IPRESS!$A$3:$B$212,2,0),"")</f>
        <v/>
      </c>
      <c r="J53" s="85"/>
      <c r="K53" s="138" t="str">
        <f aca="false">IFERROR(VLOOKUP(TEXT(O53,"0"),CONDUCTORES!$A$3:$G$54,7,0),"")</f>
        <v/>
      </c>
      <c r="L53" s="85"/>
      <c r="M53" s="85"/>
      <c r="N53" s="139" t="str">
        <f aca="false">IFERROR(IF(L53*M53=0,"",L53*M53),"")</f>
        <v/>
      </c>
      <c r="O53" s="85"/>
      <c r="P53" s="138" t="str">
        <f aca="false">IFERROR(VLOOKUP(TEXT(O53,"0"),CONDUCTORES!$A$3:$G$54,2,0),"")</f>
        <v/>
      </c>
      <c r="Q53" s="138" t="str">
        <f aca="false">IFERROR(VLOOKUP(TEXT(O53,"0"),CONDUCTORES!$A$3:$H$54,6,0),"")</f>
        <v/>
      </c>
      <c r="R53" s="85"/>
      <c r="S53" s="85"/>
      <c r="T53" s="85"/>
      <c r="U53" s="85"/>
      <c r="V53" s="85"/>
      <c r="W53" s="85"/>
      <c r="X53" s="85"/>
      <c r="Y53" s="85"/>
      <c r="Z53" s="41" t="str">
        <f aca="false">IF(AND(G53&lt;&gt;"",R53&lt;&gt;"",V53&lt;&gt;"",W53&lt;&gt;""),"COMPLETADO","OBSERVADO")</f>
        <v>OBSERVADO</v>
      </c>
      <c r="AA53" s="89"/>
    </row>
    <row r="54" customFormat="false" ht="15.75" hidden="false" customHeight="true" outlineLevel="0" collapsed="false">
      <c r="A54" s="140"/>
      <c r="B54" s="140"/>
      <c r="C54" s="140"/>
      <c r="D54" s="140"/>
      <c r="E54" s="140"/>
      <c r="F54" s="140"/>
      <c r="G54" s="140"/>
      <c r="H54" s="140"/>
      <c r="I54" s="138" t="str">
        <f aca="false">IFERROR(VLOOKUP(TEXT(H54,"0"),IPRESS!$A$3:$B$212,2,0),"")</f>
        <v/>
      </c>
      <c r="J54" s="140"/>
      <c r="K54" s="138" t="str">
        <f aca="false">IFERROR(VLOOKUP(TEXT(O54,"0"),CONDUCTORES!$A$3:$G$54,7,0),"")</f>
        <v/>
      </c>
      <c r="L54" s="140"/>
      <c r="M54" s="140"/>
      <c r="N54" s="139" t="str">
        <f aca="false">IFERROR(IF(L54*M54=0,"",L54*M54),"")</f>
        <v/>
      </c>
      <c r="O54" s="140"/>
      <c r="P54" s="138" t="str">
        <f aca="false">IFERROR(VLOOKUP(TEXT(O54,"0"),CONDUCTORES!$A$3:$G$54,2,0),"")</f>
        <v/>
      </c>
      <c r="Q54" s="138" t="str">
        <f aca="false">IFERROR(VLOOKUP(TEXT(O54,"0"),CONDUCTORES!$A$3:$H$54,6,0),"")</f>
        <v/>
      </c>
      <c r="R54" s="140"/>
      <c r="S54" s="140"/>
      <c r="T54" s="140"/>
      <c r="U54" s="140"/>
      <c r="V54" s="140"/>
      <c r="W54" s="140"/>
      <c r="X54" s="140"/>
      <c r="Y54" s="140"/>
      <c r="Z54" s="47" t="str">
        <f aca="false">IF(AND(G54&lt;&gt;"",R54&lt;&gt;"",V54&lt;&gt;"",W54&lt;&gt;""),"COMPLETADO","OBSERVADO")</f>
        <v>OBSERVADO</v>
      </c>
      <c r="AA54" s="89"/>
    </row>
    <row r="55" customFormat="false" ht="15.75" hidden="false" customHeight="true" outlineLevel="0" collapsed="false">
      <c r="A55" s="85"/>
      <c r="B55" s="85"/>
      <c r="C55" s="85"/>
      <c r="D55" s="85"/>
      <c r="E55" s="85"/>
      <c r="F55" s="85"/>
      <c r="G55" s="85"/>
      <c r="H55" s="85"/>
      <c r="I55" s="138" t="str">
        <f aca="false">IFERROR(VLOOKUP(TEXT(H55,"0"),IPRESS!$A$3:$B$212,2,0),"")</f>
        <v/>
      </c>
      <c r="J55" s="85"/>
      <c r="K55" s="138" t="str">
        <f aca="false">IFERROR(VLOOKUP(TEXT(O55,"0"),CONDUCTORES!$A$3:$G$54,7,0),"")</f>
        <v/>
      </c>
      <c r="L55" s="85"/>
      <c r="M55" s="85"/>
      <c r="N55" s="139" t="str">
        <f aca="false">IFERROR(IF(L55*M55=0,"",L55*M55),"")</f>
        <v/>
      </c>
      <c r="O55" s="85"/>
      <c r="P55" s="138" t="str">
        <f aca="false">IFERROR(VLOOKUP(TEXT(O55,"0"),CONDUCTORES!$A$3:$G$54,2,0),"")</f>
        <v/>
      </c>
      <c r="Q55" s="138" t="str">
        <f aca="false">IFERROR(VLOOKUP(TEXT(O55,"0"),CONDUCTORES!$A$3:$H$54,6,0),"")</f>
        <v/>
      </c>
      <c r="R55" s="85"/>
      <c r="S55" s="85"/>
      <c r="T55" s="85"/>
      <c r="U55" s="85"/>
      <c r="V55" s="85"/>
      <c r="W55" s="85"/>
      <c r="X55" s="85"/>
      <c r="Y55" s="85"/>
      <c r="Z55" s="41" t="str">
        <f aca="false">IF(AND(G55&lt;&gt;"",R55&lt;&gt;"",V55&lt;&gt;"",W55&lt;&gt;""),"COMPLETADO","OBSERVADO")</f>
        <v>OBSERVADO</v>
      </c>
      <c r="AA55" s="89"/>
    </row>
    <row r="56" customFormat="false" ht="15.75" hidden="false" customHeight="true" outlineLevel="0" collapsed="false">
      <c r="A56" s="140"/>
      <c r="B56" s="140"/>
      <c r="C56" s="140"/>
      <c r="D56" s="140"/>
      <c r="E56" s="140"/>
      <c r="F56" s="140"/>
      <c r="G56" s="140"/>
      <c r="H56" s="140"/>
      <c r="I56" s="138" t="str">
        <f aca="false">IFERROR(VLOOKUP(TEXT(H56,"0"),IPRESS!$A$3:$B$212,2,0),"")</f>
        <v/>
      </c>
      <c r="J56" s="140"/>
      <c r="K56" s="138" t="str">
        <f aca="false">IFERROR(VLOOKUP(TEXT(O56,"0"),CONDUCTORES!$A$3:$G$54,7,0),"")</f>
        <v/>
      </c>
      <c r="L56" s="140"/>
      <c r="M56" s="140"/>
      <c r="N56" s="139" t="str">
        <f aca="false">IFERROR(IF(L56*M56=0,"",L56*M56),"")</f>
        <v/>
      </c>
      <c r="O56" s="140"/>
      <c r="P56" s="138" t="str">
        <f aca="false">IFERROR(VLOOKUP(TEXT(O56,"0"),CONDUCTORES!$A$3:$G$54,2,0),"")</f>
        <v/>
      </c>
      <c r="Q56" s="138" t="str">
        <f aca="false">IFERROR(VLOOKUP(TEXT(O56,"0"),CONDUCTORES!$A$3:$H$54,6,0),"")</f>
        <v/>
      </c>
      <c r="R56" s="140"/>
      <c r="S56" s="140"/>
      <c r="T56" s="140"/>
      <c r="U56" s="140"/>
      <c r="V56" s="140"/>
      <c r="W56" s="140"/>
      <c r="X56" s="140"/>
      <c r="Y56" s="140"/>
      <c r="Z56" s="47" t="str">
        <f aca="false">IF(AND(G56&lt;&gt;"",R56&lt;&gt;"",V56&lt;&gt;"",W56&lt;&gt;""),"COMPLETADO","OBSERVADO")</f>
        <v>OBSERVADO</v>
      </c>
      <c r="AA56" s="89"/>
    </row>
    <row r="57" customFormat="false" ht="15.75" hidden="false" customHeight="true" outlineLevel="0" collapsed="false">
      <c r="A57" s="85"/>
      <c r="B57" s="85"/>
      <c r="C57" s="85"/>
      <c r="D57" s="85"/>
      <c r="E57" s="85"/>
      <c r="F57" s="85"/>
      <c r="G57" s="85"/>
      <c r="H57" s="85"/>
      <c r="I57" s="138" t="str">
        <f aca="false">IFERROR(VLOOKUP(TEXT(H57,"0"),IPRESS!$A$3:$B$212,2,0),"")</f>
        <v/>
      </c>
      <c r="J57" s="85"/>
      <c r="K57" s="138" t="str">
        <f aca="false">IFERROR(VLOOKUP(TEXT(O57,"0"),CONDUCTORES!$A$3:$G$54,7,0),"")</f>
        <v/>
      </c>
      <c r="L57" s="85"/>
      <c r="M57" s="85"/>
      <c r="N57" s="139" t="str">
        <f aca="false">IFERROR(IF(L57*M57=0,"",L57*M57),"")</f>
        <v/>
      </c>
      <c r="O57" s="85"/>
      <c r="P57" s="138" t="str">
        <f aca="false">IFERROR(VLOOKUP(TEXT(O57,"0"),CONDUCTORES!$A$3:$G$54,2,0),"")</f>
        <v/>
      </c>
      <c r="Q57" s="138" t="str">
        <f aca="false">IFERROR(VLOOKUP(TEXT(O57,"0"),CONDUCTORES!$A$3:$H$54,6,0),"")</f>
        <v/>
      </c>
      <c r="R57" s="85"/>
      <c r="S57" s="85"/>
      <c r="T57" s="85"/>
      <c r="U57" s="85"/>
      <c r="V57" s="85"/>
      <c r="W57" s="85"/>
      <c r="X57" s="85"/>
      <c r="Y57" s="85"/>
      <c r="Z57" s="41" t="str">
        <f aca="false">IF(AND(G57&lt;&gt;"",R57&lt;&gt;"",V57&lt;&gt;"",W57&lt;&gt;""),"COMPLETADO","OBSERVADO")</f>
        <v>OBSERVADO</v>
      </c>
      <c r="AA57" s="89"/>
    </row>
    <row r="58" customFormat="false" ht="15.75" hidden="false" customHeight="true" outlineLevel="0" collapsed="false">
      <c r="A58" s="140"/>
      <c r="B58" s="140"/>
      <c r="C58" s="140"/>
      <c r="D58" s="140"/>
      <c r="E58" s="140"/>
      <c r="F58" s="140"/>
      <c r="G58" s="140"/>
      <c r="H58" s="140"/>
      <c r="I58" s="138" t="str">
        <f aca="false">IFERROR(VLOOKUP(TEXT(H58,"0"),IPRESS!$A$3:$B$212,2,0),"")</f>
        <v/>
      </c>
      <c r="J58" s="140"/>
      <c r="K58" s="138" t="str">
        <f aca="false">IFERROR(VLOOKUP(TEXT(O58,"0"),CONDUCTORES!$A$3:$G$54,7,0),"")</f>
        <v/>
      </c>
      <c r="L58" s="140"/>
      <c r="M58" s="140"/>
      <c r="N58" s="139" t="str">
        <f aca="false">IFERROR(IF(L58*M58=0,"",L58*M58),"")</f>
        <v/>
      </c>
      <c r="O58" s="140"/>
      <c r="P58" s="138" t="str">
        <f aca="false">IFERROR(VLOOKUP(TEXT(O58,"0"),CONDUCTORES!$A$3:$G$54,2,0),"")</f>
        <v/>
      </c>
      <c r="Q58" s="138" t="str">
        <f aca="false">IFERROR(VLOOKUP(TEXT(O58,"0"),CONDUCTORES!$A$3:$H$54,6,0),"")</f>
        <v/>
      </c>
      <c r="R58" s="140"/>
      <c r="S58" s="140"/>
      <c r="T58" s="140"/>
      <c r="U58" s="140"/>
      <c r="V58" s="140"/>
      <c r="W58" s="140"/>
      <c r="X58" s="140"/>
      <c r="Y58" s="140"/>
      <c r="Z58" s="47" t="str">
        <f aca="false">IF(AND(G58&lt;&gt;"",R58&lt;&gt;"",V58&lt;&gt;"",W58&lt;&gt;""),"COMPLETADO","OBSERVADO")</f>
        <v>OBSERVADO</v>
      </c>
      <c r="AA58" s="89"/>
    </row>
    <row r="59" customFormat="false" ht="15.75" hidden="false" customHeight="true" outlineLevel="0" collapsed="false">
      <c r="A59" s="85"/>
      <c r="B59" s="85"/>
      <c r="C59" s="85"/>
      <c r="D59" s="85"/>
      <c r="E59" s="85"/>
      <c r="F59" s="85"/>
      <c r="G59" s="85"/>
      <c r="H59" s="85"/>
      <c r="I59" s="138" t="str">
        <f aca="false">IFERROR(VLOOKUP(TEXT(H59,"0"),IPRESS!$A$3:$B$212,2,0),"")</f>
        <v/>
      </c>
      <c r="J59" s="85"/>
      <c r="K59" s="138" t="str">
        <f aca="false">IFERROR(VLOOKUP(TEXT(O59,"0"),CONDUCTORES!$A$3:$G$54,7,0),"")</f>
        <v/>
      </c>
      <c r="L59" s="85"/>
      <c r="M59" s="85"/>
      <c r="N59" s="139" t="str">
        <f aca="false">IFERROR(IF(L59*M59=0,"",L59*M59),"")</f>
        <v/>
      </c>
      <c r="O59" s="85"/>
      <c r="P59" s="138" t="str">
        <f aca="false">IFERROR(VLOOKUP(TEXT(O59,"0"),CONDUCTORES!$A$3:$G$54,2,0),"")</f>
        <v/>
      </c>
      <c r="Q59" s="138" t="str">
        <f aca="false">IFERROR(VLOOKUP(TEXT(O59,"0"),CONDUCTORES!$A$3:$H$54,6,0),"")</f>
        <v/>
      </c>
      <c r="R59" s="85"/>
      <c r="S59" s="85"/>
      <c r="T59" s="85"/>
      <c r="U59" s="85"/>
      <c r="V59" s="85"/>
      <c r="W59" s="85"/>
      <c r="X59" s="85"/>
      <c r="Y59" s="85"/>
      <c r="Z59" s="41" t="str">
        <f aca="false">IF(AND(G59&lt;&gt;"",R59&lt;&gt;"",V59&lt;&gt;"",W59&lt;&gt;""),"COMPLETADO","OBSERVADO")</f>
        <v>OBSERVADO</v>
      </c>
      <c r="AA59" s="89"/>
    </row>
    <row r="60" customFormat="false" ht="15.75" hidden="false" customHeight="true" outlineLevel="0" collapsed="false">
      <c r="A60" s="140"/>
      <c r="B60" s="140"/>
      <c r="C60" s="140"/>
      <c r="D60" s="140"/>
      <c r="E60" s="140"/>
      <c r="F60" s="140"/>
      <c r="G60" s="140"/>
      <c r="H60" s="140"/>
      <c r="I60" s="138" t="str">
        <f aca="false">IFERROR(VLOOKUP(TEXT(H60,"0"),IPRESS!$A$3:$B$212,2,0),"")</f>
        <v/>
      </c>
      <c r="J60" s="140"/>
      <c r="K60" s="138" t="str">
        <f aca="false">IFERROR(VLOOKUP(TEXT(O60,"0"),CONDUCTORES!$A$3:$G$54,7,0),"")</f>
        <v/>
      </c>
      <c r="L60" s="140"/>
      <c r="M60" s="140"/>
      <c r="N60" s="139" t="str">
        <f aca="false">IFERROR(IF(L60*M60=0,"",L60*M60),"")</f>
        <v/>
      </c>
      <c r="O60" s="140"/>
      <c r="P60" s="138" t="str">
        <f aca="false">IFERROR(VLOOKUP(TEXT(O60,"0"),CONDUCTORES!$A$3:$G$54,2,0),"")</f>
        <v/>
      </c>
      <c r="Q60" s="138" t="str">
        <f aca="false">IFERROR(VLOOKUP(TEXT(O60,"0"),CONDUCTORES!$A$3:$H$54,6,0),"")</f>
        <v/>
      </c>
      <c r="R60" s="140"/>
      <c r="S60" s="140"/>
      <c r="T60" s="140"/>
      <c r="U60" s="140"/>
      <c r="V60" s="140"/>
      <c r="W60" s="140"/>
      <c r="X60" s="140"/>
      <c r="Y60" s="140"/>
      <c r="Z60" s="47" t="str">
        <f aca="false">IF(AND(G60&lt;&gt;"",R60&lt;&gt;"",V60&lt;&gt;"",W60&lt;&gt;""),"COMPLETADO","OBSERVADO")</f>
        <v>OBSERVADO</v>
      </c>
      <c r="AA60" s="89"/>
    </row>
    <row r="61" customFormat="false" ht="15.75" hidden="false" customHeight="true" outlineLevel="0" collapsed="false">
      <c r="A61" s="85"/>
      <c r="B61" s="85"/>
      <c r="C61" s="85"/>
      <c r="D61" s="85"/>
      <c r="E61" s="85"/>
      <c r="F61" s="85"/>
      <c r="G61" s="85"/>
      <c r="H61" s="85"/>
      <c r="I61" s="138" t="str">
        <f aca="false">IFERROR(VLOOKUP(TEXT(H61,"0"),IPRESS!$A$3:$B$212,2,0),"")</f>
        <v/>
      </c>
      <c r="J61" s="85"/>
      <c r="K61" s="138" t="str">
        <f aca="false">IFERROR(VLOOKUP(TEXT(O61,"0"),CONDUCTORES!$A$3:$G$54,7,0),"")</f>
        <v/>
      </c>
      <c r="L61" s="85"/>
      <c r="M61" s="85"/>
      <c r="N61" s="139" t="str">
        <f aca="false">IFERROR(IF(L61*M61=0,"",L61*M61),"")</f>
        <v/>
      </c>
      <c r="O61" s="85"/>
      <c r="P61" s="138" t="str">
        <f aca="false">IFERROR(VLOOKUP(TEXT(O61,"0"),CONDUCTORES!$A$3:$G$54,2,0),"")</f>
        <v/>
      </c>
      <c r="Q61" s="138" t="str">
        <f aca="false">IFERROR(VLOOKUP(TEXT(O61,"0"),CONDUCTORES!$A$3:$H$54,6,0),"")</f>
        <v/>
      </c>
      <c r="R61" s="85"/>
      <c r="S61" s="85"/>
      <c r="T61" s="85"/>
      <c r="U61" s="85"/>
      <c r="V61" s="85"/>
      <c r="W61" s="85"/>
      <c r="X61" s="85"/>
      <c r="Y61" s="85"/>
      <c r="Z61" s="41" t="str">
        <f aca="false">IF(AND(G61&lt;&gt;"",R61&lt;&gt;"",V61&lt;&gt;"",W61&lt;&gt;""),"COMPLETADO","OBSERVADO")</f>
        <v>OBSERVADO</v>
      </c>
      <c r="AA61" s="89"/>
    </row>
    <row r="62" customFormat="false" ht="15.75" hidden="false" customHeight="true" outlineLevel="0" collapsed="false">
      <c r="A62" s="140"/>
      <c r="B62" s="140"/>
      <c r="C62" s="140"/>
      <c r="D62" s="140"/>
      <c r="E62" s="140"/>
      <c r="F62" s="140"/>
      <c r="G62" s="140"/>
      <c r="H62" s="140"/>
      <c r="I62" s="138" t="str">
        <f aca="false">IFERROR(VLOOKUP(TEXT(H62,"0"),IPRESS!$A$3:$B$212,2,0),"")</f>
        <v/>
      </c>
      <c r="J62" s="140"/>
      <c r="K62" s="138" t="str">
        <f aca="false">IFERROR(VLOOKUP(TEXT(O62,"0"),CONDUCTORES!$A$3:$G$54,7,0),"")</f>
        <v/>
      </c>
      <c r="L62" s="140"/>
      <c r="M62" s="140"/>
      <c r="N62" s="139" t="str">
        <f aca="false">IFERROR(IF(L62*M62=0,"",L62*M62),"")</f>
        <v/>
      </c>
      <c r="O62" s="140"/>
      <c r="P62" s="138" t="str">
        <f aca="false">IFERROR(VLOOKUP(TEXT(O62,"0"),CONDUCTORES!$A$3:$G$54,2,0),"")</f>
        <v/>
      </c>
      <c r="Q62" s="138" t="str">
        <f aca="false">IFERROR(VLOOKUP(TEXT(O62,"0"),CONDUCTORES!$A$3:$H$54,6,0),"")</f>
        <v/>
      </c>
      <c r="R62" s="140"/>
      <c r="S62" s="140"/>
      <c r="T62" s="140"/>
      <c r="U62" s="140"/>
      <c r="V62" s="140"/>
      <c r="W62" s="140"/>
      <c r="X62" s="140"/>
      <c r="Y62" s="140"/>
      <c r="Z62" s="47" t="str">
        <f aca="false">IF(AND(G62&lt;&gt;"",R62&lt;&gt;"",V62&lt;&gt;"",W62&lt;&gt;""),"COMPLETADO","OBSERVADO")</f>
        <v>OBSERVADO</v>
      </c>
      <c r="AA62" s="89"/>
    </row>
    <row r="63" customFormat="false" ht="15.75" hidden="false" customHeight="true" outlineLevel="0" collapsed="false">
      <c r="A63" s="85"/>
      <c r="B63" s="85"/>
      <c r="C63" s="85"/>
      <c r="D63" s="85"/>
      <c r="E63" s="85"/>
      <c r="F63" s="85"/>
      <c r="G63" s="85"/>
      <c r="H63" s="85"/>
      <c r="I63" s="138" t="str">
        <f aca="false">IFERROR(VLOOKUP(TEXT(H63,"0"),IPRESS!$A$3:$B$212,2,0),"")</f>
        <v/>
      </c>
      <c r="J63" s="85"/>
      <c r="K63" s="138" t="str">
        <f aca="false">IFERROR(VLOOKUP(TEXT(O63,"0"),CONDUCTORES!$A$3:$G$54,7,0),"")</f>
        <v/>
      </c>
      <c r="L63" s="85"/>
      <c r="M63" s="85"/>
      <c r="N63" s="139" t="str">
        <f aca="false">IFERROR(IF(L63*M63=0,"",L63*M63),"")</f>
        <v/>
      </c>
      <c r="O63" s="85"/>
      <c r="P63" s="138" t="str">
        <f aca="false">IFERROR(VLOOKUP(TEXT(O63,"0"),CONDUCTORES!$A$3:$G$54,2,0),"")</f>
        <v/>
      </c>
      <c r="Q63" s="138" t="str">
        <f aca="false">IFERROR(VLOOKUP(TEXT(O63,"0"),CONDUCTORES!$A$3:$H$54,6,0),"")</f>
        <v/>
      </c>
      <c r="R63" s="85"/>
      <c r="S63" s="85"/>
      <c r="T63" s="85"/>
      <c r="U63" s="85"/>
      <c r="V63" s="85"/>
      <c r="W63" s="85"/>
      <c r="X63" s="85"/>
      <c r="Y63" s="85"/>
      <c r="Z63" s="41" t="str">
        <f aca="false">IF(AND(G63&lt;&gt;"",R63&lt;&gt;"",V63&lt;&gt;"",W63&lt;&gt;""),"COMPLETADO","OBSERVADO")</f>
        <v>OBSERVADO</v>
      </c>
      <c r="AA63" s="89"/>
    </row>
    <row r="64" customFormat="false" ht="15.75" hidden="false" customHeight="true" outlineLevel="0" collapsed="false">
      <c r="A64" s="140"/>
      <c r="B64" s="140"/>
      <c r="C64" s="140"/>
      <c r="D64" s="140"/>
      <c r="E64" s="140"/>
      <c r="F64" s="140"/>
      <c r="G64" s="140"/>
      <c r="H64" s="140"/>
      <c r="I64" s="138" t="str">
        <f aca="false">IFERROR(VLOOKUP(TEXT(H64,"0"),IPRESS!$A$3:$B$212,2,0),"")</f>
        <v/>
      </c>
      <c r="J64" s="140"/>
      <c r="K64" s="138" t="str">
        <f aca="false">IFERROR(VLOOKUP(TEXT(O64,"0"),CONDUCTORES!$A$3:$G$54,7,0),"")</f>
        <v/>
      </c>
      <c r="L64" s="140"/>
      <c r="M64" s="140"/>
      <c r="N64" s="139" t="str">
        <f aca="false">IFERROR(IF(L64*M64=0,"",L64*M64),"")</f>
        <v/>
      </c>
      <c r="O64" s="140"/>
      <c r="P64" s="138" t="str">
        <f aca="false">IFERROR(VLOOKUP(TEXT(O64,"0"),CONDUCTORES!$A$3:$G$54,2,0),"")</f>
        <v/>
      </c>
      <c r="Q64" s="138" t="str">
        <f aca="false">IFERROR(VLOOKUP(TEXT(O64,"0"),CONDUCTORES!$A$3:$H$54,6,0),"")</f>
        <v/>
      </c>
      <c r="R64" s="140"/>
      <c r="S64" s="140"/>
      <c r="T64" s="140"/>
      <c r="U64" s="140"/>
      <c r="V64" s="140"/>
      <c r="W64" s="140"/>
      <c r="X64" s="140"/>
      <c r="Y64" s="140"/>
      <c r="Z64" s="47" t="str">
        <f aca="false">IF(AND(G64&lt;&gt;"",R64&lt;&gt;"",V64&lt;&gt;"",W64&lt;&gt;""),"COMPLETADO","OBSERVADO")</f>
        <v>OBSERVADO</v>
      </c>
      <c r="AA64" s="89"/>
    </row>
    <row r="65" customFormat="false" ht="15.75" hidden="false" customHeight="true" outlineLevel="0" collapsed="false">
      <c r="A65" s="85"/>
      <c r="B65" s="85"/>
      <c r="C65" s="85"/>
      <c r="D65" s="85"/>
      <c r="E65" s="85"/>
      <c r="F65" s="85"/>
      <c r="G65" s="85"/>
      <c r="H65" s="85"/>
      <c r="I65" s="138" t="str">
        <f aca="false">IFERROR(VLOOKUP(TEXT(H65,"0"),IPRESS!$A$3:$B$212,2,0),"")</f>
        <v/>
      </c>
      <c r="J65" s="85"/>
      <c r="K65" s="138" t="str">
        <f aca="false">IFERROR(VLOOKUP(TEXT(O65,"0"),CONDUCTORES!$A$3:$G$54,7,0),"")</f>
        <v/>
      </c>
      <c r="L65" s="85"/>
      <c r="M65" s="85"/>
      <c r="N65" s="139" t="str">
        <f aca="false">IFERROR(IF(L65*M65=0,"",L65*M65),"")</f>
        <v/>
      </c>
      <c r="O65" s="85"/>
      <c r="P65" s="138" t="str">
        <f aca="false">IFERROR(VLOOKUP(TEXT(O65,"0"),CONDUCTORES!$A$3:$G$54,2,0),"")</f>
        <v/>
      </c>
      <c r="Q65" s="138" t="str">
        <f aca="false">IFERROR(VLOOKUP(TEXT(O65,"0"),CONDUCTORES!$A$3:$H$54,6,0),"")</f>
        <v/>
      </c>
      <c r="R65" s="85"/>
      <c r="S65" s="85"/>
      <c r="T65" s="85"/>
      <c r="U65" s="85"/>
      <c r="V65" s="85"/>
      <c r="W65" s="85"/>
      <c r="X65" s="85"/>
      <c r="Y65" s="85"/>
      <c r="Z65" s="41" t="str">
        <f aca="false">IF(AND(G65&lt;&gt;"",R65&lt;&gt;"",V65&lt;&gt;"",W65&lt;&gt;""),"COMPLETADO","OBSERVADO")</f>
        <v>OBSERVADO</v>
      </c>
      <c r="AA65" s="89"/>
    </row>
    <row r="66" customFormat="false" ht="15.75" hidden="false" customHeight="true" outlineLevel="0" collapsed="false">
      <c r="A66" s="140"/>
      <c r="B66" s="140"/>
      <c r="C66" s="140"/>
      <c r="D66" s="140"/>
      <c r="E66" s="140"/>
      <c r="F66" s="140"/>
      <c r="G66" s="140"/>
      <c r="H66" s="140"/>
      <c r="I66" s="138" t="str">
        <f aca="false">IFERROR(VLOOKUP(TEXT(H66,"0"),IPRESS!$A$3:$B$212,2,0),"")</f>
        <v/>
      </c>
      <c r="J66" s="140"/>
      <c r="K66" s="138" t="str">
        <f aca="false">IFERROR(VLOOKUP(TEXT(O66,"0"),CONDUCTORES!$A$3:$G$54,7,0),"")</f>
        <v/>
      </c>
      <c r="L66" s="140"/>
      <c r="M66" s="140"/>
      <c r="N66" s="139" t="str">
        <f aca="false">IFERROR(IF(L66*M66=0,"",L66*M66),"")</f>
        <v/>
      </c>
      <c r="O66" s="140"/>
      <c r="P66" s="138" t="str">
        <f aca="false">IFERROR(VLOOKUP(TEXT(O66,"0"),CONDUCTORES!$A$3:$G$54,2,0),"")</f>
        <v/>
      </c>
      <c r="Q66" s="138" t="str">
        <f aca="false">IFERROR(VLOOKUP(TEXT(O66,"0"),CONDUCTORES!$A$3:$H$54,6,0),"")</f>
        <v/>
      </c>
      <c r="R66" s="140"/>
      <c r="S66" s="140"/>
      <c r="T66" s="140"/>
      <c r="U66" s="140"/>
      <c r="V66" s="140"/>
      <c r="W66" s="140"/>
      <c r="X66" s="140"/>
      <c r="Y66" s="140"/>
      <c r="Z66" s="47" t="str">
        <f aca="false">IF(AND(G66&lt;&gt;"",R66&lt;&gt;"",V66&lt;&gt;"",W66&lt;&gt;""),"COMPLETADO","OBSERVADO")</f>
        <v>OBSERVADO</v>
      </c>
      <c r="AA66" s="89"/>
    </row>
    <row r="67" customFormat="false" ht="15.75" hidden="false" customHeight="true" outlineLevel="0" collapsed="false">
      <c r="A67" s="85"/>
      <c r="B67" s="85"/>
      <c r="C67" s="85"/>
      <c r="D67" s="85"/>
      <c r="E67" s="85"/>
      <c r="F67" s="85"/>
      <c r="G67" s="85"/>
      <c r="H67" s="85"/>
      <c r="I67" s="138" t="str">
        <f aca="false">IFERROR(VLOOKUP(TEXT(H67,"0"),IPRESS!$A$3:$B$212,2,0),"")</f>
        <v/>
      </c>
      <c r="J67" s="85"/>
      <c r="K67" s="138" t="str">
        <f aca="false">IFERROR(VLOOKUP(TEXT(O67,"0"),CONDUCTORES!$A$3:$G$54,7,0),"")</f>
        <v/>
      </c>
      <c r="L67" s="85"/>
      <c r="M67" s="85"/>
      <c r="N67" s="139" t="str">
        <f aca="false">IFERROR(IF(L67*M67=0,"",L67*M67),"")</f>
        <v/>
      </c>
      <c r="O67" s="85"/>
      <c r="P67" s="138" t="str">
        <f aca="false">IFERROR(VLOOKUP(TEXT(O67,"0"),CONDUCTORES!$A$3:$G$54,2,0),"")</f>
        <v/>
      </c>
      <c r="Q67" s="138" t="str">
        <f aca="false">IFERROR(VLOOKUP(TEXT(O67,"0"),CONDUCTORES!$A$3:$H$54,6,0),"")</f>
        <v/>
      </c>
      <c r="R67" s="85"/>
      <c r="S67" s="85"/>
      <c r="T67" s="85"/>
      <c r="U67" s="85"/>
      <c r="V67" s="85"/>
      <c r="W67" s="85"/>
      <c r="X67" s="85"/>
      <c r="Y67" s="85"/>
      <c r="Z67" s="41" t="str">
        <f aca="false">IF(AND(G67&lt;&gt;"",R67&lt;&gt;"",V67&lt;&gt;"",W67&lt;&gt;""),"COMPLETADO","OBSERVADO")</f>
        <v>OBSERVADO</v>
      </c>
      <c r="AA67" s="89"/>
    </row>
    <row r="68" customFormat="false" ht="15.75" hidden="false" customHeight="true" outlineLevel="0" collapsed="false">
      <c r="A68" s="140"/>
      <c r="B68" s="140"/>
      <c r="C68" s="140"/>
      <c r="D68" s="140"/>
      <c r="E68" s="140"/>
      <c r="F68" s="140"/>
      <c r="G68" s="140"/>
      <c r="H68" s="140"/>
      <c r="I68" s="138" t="str">
        <f aca="false">IFERROR(VLOOKUP(TEXT(H68,"0"),IPRESS!$A$3:$B$212,2,0),"")</f>
        <v/>
      </c>
      <c r="J68" s="140"/>
      <c r="K68" s="138" t="str">
        <f aca="false">IFERROR(VLOOKUP(TEXT(O68,"0"),CONDUCTORES!$A$3:$G$54,7,0),"")</f>
        <v/>
      </c>
      <c r="L68" s="140"/>
      <c r="M68" s="140"/>
      <c r="N68" s="139" t="str">
        <f aca="false">IFERROR(IF(L68*M68=0,"",L68*M68),"")</f>
        <v/>
      </c>
      <c r="O68" s="140"/>
      <c r="P68" s="138" t="str">
        <f aca="false">IFERROR(VLOOKUP(TEXT(O68,"0"),CONDUCTORES!$A$3:$G$54,2,0),"")</f>
        <v/>
      </c>
      <c r="Q68" s="138" t="str">
        <f aca="false">IFERROR(VLOOKUP(TEXT(O68,"0"),CONDUCTORES!$A$3:$H$54,6,0),"")</f>
        <v/>
      </c>
      <c r="R68" s="140"/>
      <c r="S68" s="140"/>
      <c r="T68" s="140"/>
      <c r="U68" s="140"/>
      <c r="V68" s="140"/>
      <c r="W68" s="140"/>
      <c r="X68" s="140"/>
      <c r="Y68" s="140"/>
      <c r="Z68" s="47" t="str">
        <f aca="false">IF(AND(G68&lt;&gt;"",R68&lt;&gt;"",V68&lt;&gt;"",W68&lt;&gt;""),"COMPLETADO","OBSERVADO")</f>
        <v>OBSERVADO</v>
      </c>
      <c r="AA68" s="89"/>
    </row>
    <row r="69" customFormat="false" ht="15.75" hidden="false" customHeight="true" outlineLevel="0" collapsed="false">
      <c r="A69" s="85"/>
      <c r="B69" s="85"/>
      <c r="C69" s="85"/>
      <c r="D69" s="85"/>
      <c r="E69" s="85"/>
      <c r="F69" s="85"/>
      <c r="G69" s="85"/>
      <c r="H69" s="85"/>
      <c r="I69" s="138" t="str">
        <f aca="false">IFERROR(VLOOKUP(TEXT(H69,"0"),IPRESS!$A$3:$B$212,2,0),"")</f>
        <v/>
      </c>
      <c r="J69" s="85"/>
      <c r="K69" s="138" t="str">
        <f aca="false">IFERROR(VLOOKUP(TEXT(O69,"0"),CONDUCTORES!$A$3:$G$54,7,0),"")</f>
        <v/>
      </c>
      <c r="L69" s="85"/>
      <c r="M69" s="85"/>
      <c r="N69" s="139" t="str">
        <f aca="false">IFERROR(IF(L69*M69=0,"",L69*M69),"")</f>
        <v/>
      </c>
      <c r="O69" s="85"/>
      <c r="P69" s="138" t="str">
        <f aca="false">IFERROR(VLOOKUP(TEXT(O69,"0"),CONDUCTORES!$A$3:$G$54,2,0),"")</f>
        <v/>
      </c>
      <c r="Q69" s="138" t="str">
        <f aca="false">IFERROR(VLOOKUP(TEXT(O69,"0"),CONDUCTORES!$A$3:$H$54,6,0),"")</f>
        <v/>
      </c>
      <c r="R69" s="85"/>
      <c r="S69" s="85"/>
      <c r="T69" s="85"/>
      <c r="U69" s="85"/>
      <c r="V69" s="85"/>
      <c r="W69" s="85"/>
      <c r="X69" s="85"/>
      <c r="Y69" s="85"/>
      <c r="Z69" s="41" t="str">
        <f aca="false">IF(AND(G69&lt;&gt;"",R69&lt;&gt;"",V69&lt;&gt;"",W69&lt;&gt;""),"COMPLETADO","OBSERVADO")</f>
        <v>OBSERVADO</v>
      </c>
      <c r="AA69" s="89"/>
    </row>
    <row r="70" customFormat="false" ht="15.75" hidden="false" customHeight="true" outlineLevel="0" collapsed="false">
      <c r="A70" s="140"/>
      <c r="B70" s="140"/>
      <c r="C70" s="140"/>
      <c r="D70" s="140"/>
      <c r="E70" s="140"/>
      <c r="F70" s="140"/>
      <c r="G70" s="140"/>
      <c r="H70" s="140"/>
      <c r="I70" s="138" t="str">
        <f aca="false">IFERROR(VLOOKUP(TEXT(H70,"0"),IPRESS!$A$3:$B$212,2,0),"")</f>
        <v/>
      </c>
      <c r="J70" s="140"/>
      <c r="K70" s="138" t="str">
        <f aca="false">IFERROR(VLOOKUP(TEXT(O70,"0"),CONDUCTORES!$A$3:$G$54,7,0),"")</f>
        <v/>
      </c>
      <c r="L70" s="140"/>
      <c r="M70" s="140"/>
      <c r="N70" s="139" t="str">
        <f aca="false">IFERROR(IF(L70*M70=0,"",L70*M70),"")</f>
        <v/>
      </c>
      <c r="O70" s="140"/>
      <c r="P70" s="138" t="str">
        <f aca="false">IFERROR(VLOOKUP(TEXT(O70,"0"),CONDUCTORES!$A$3:$G$54,2,0),"")</f>
        <v/>
      </c>
      <c r="Q70" s="138" t="str">
        <f aca="false">IFERROR(VLOOKUP(TEXT(O70,"0"),CONDUCTORES!$A$3:$H$54,6,0),"")</f>
        <v/>
      </c>
      <c r="R70" s="140"/>
      <c r="S70" s="140"/>
      <c r="T70" s="140"/>
      <c r="U70" s="140"/>
      <c r="V70" s="140"/>
      <c r="W70" s="140"/>
      <c r="X70" s="140"/>
      <c r="Y70" s="140"/>
      <c r="Z70" s="47" t="str">
        <f aca="false">IF(AND(G70&lt;&gt;"",R70&lt;&gt;"",V70&lt;&gt;"",W70&lt;&gt;""),"COMPLETADO","OBSERVADO")</f>
        <v>OBSERVADO</v>
      </c>
      <c r="AA70" s="89"/>
    </row>
    <row r="71" customFormat="false" ht="15.75" hidden="false" customHeight="true" outlineLevel="0" collapsed="false">
      <c r="A71" s="85"/>
      <c r="B71" s="85"/>
      <c r="C71" s="85"/>
      <c r="D71" s="85"/>
      <c r="E71" s="85"/>
      <c r="F71" s="85"/>
      <c r="G71" s="85"/>
      <c r="H71" s="85"/>
      <c r="I71" s="138" t="str">
        <f aca="false">IFERROR(VLOOKUP(TEXT(H71,"0"),IPRESS!$A$3:$B$212,2,0),"")</f>
        <v/>
      </c>
      <c r="J71" s="85"/>
      <c r="K71" s="138" t="str">
        <f aca="false">IFERROR(VLOOKUP(TEXT(O71,"0"),CONDUCTORES!$A$3:$G$54,7,0),"")</f>
        <v/>
      </c>
      <c r="L71" s="85"/>
      <c r="M71" s="85"/>
      <c r="N71" s="139" t="str">
        <f aca="false">IFERROR(IF(L71*M71=0,"",L71*M71),"")</f>
        <v/>
      </c>
      <c r="O71" s="85"/>
      <c r="P71" s="138" t="str">
        <f aca="false">IFERROR(VLOOKUP(TEXT(O71,"0"),CONDUCTORES!$A$3:$G$54,2,0),"")</f>
        <v/>
      </c>
      <c r="Q71" s="138" t="str">
        <f aca="false">IFERROR(VLOOKUP(TEXT(O71,"0"),CONDUCTORES!$A$3:$H$54,6,0),"")</f>
        <v/>
      </c>
      <c r="R71" s="85"/>
      <c r="S71" s="85"/>
      <c r="T71" s="85"/>
      <c r="U71" s="85"/>
      <c r="V71" s="85"/>
      <c r="W71" s="85"/>
      <c r="X71" s="85"/>
      <c r="Y71" s="85"/>
      <c r="Z71" s="41" t="str">
        <f aca="false">IF(AND(G71&lt;&gt;"",R71&lt;&gt;"",V71&lt;&gt;"",W71&lt;&gt;""),"COMPLETADO","OBSERVADO")</f>
        <v>OBSERVADO</v>
      </c>
      <c r="AA71" s="89"/>
    </row>
    <row r="72" customFormat="false" ht="15.75" hidden="false" customHeight="true" outlineLevel="0" collapsed="false">
      <c r="A72" s="140"/>
      <c r="B72" s="140"/>
      <c r="C72" s="140"/>
      <c r="D72" s="140"/>
      <c r="E72" s="140"/>
      <c r="F72" s="140"/>
      <c r="G72" s="140"/>
      <c r="H72" s="140"/>
      <c r="I72" s="138" t="str">
        <f aca="false">IFERROR(VLOOKUP(TEXT(H72,"0"),IPRESS!$A$3:$B$212,2,0),"")</f>
        <v/>
      </c>
      <c r="J72" s="140"/>
      <c r="K72" s="138" t="str">
        <f aca="false">IFERROR(VLOOKUP(TEXT(O72,"0"),CONDUCTORES!$A$3:$G$54,7,0),"")</f>
        <v/>
      </c>
      <c r="L72" s="140"/>
      <c r="M72" s="140"/>
      <c r="N72" s="139" t="str">
        <f aca="false">IFERROR(IF(L72*M72=0,"",L72*M72),"")</f>
        <v/>
      </c>
      <c r="O72" s="140"/>
      <c r="P72" s="138" t="str">
        <f aca="false">IFERROR(VLOOKUP(TEXT(O72,"0"),CONDUCTORES!$A$3:$G$54,2,0),"")</f>
        <v/>
      </c>
      <c r="Q72" s="138" t="str">
        <f aca="false">IFERROR(VLOOKUP(TEXT(O72,"0"),CONDUCTORES!$A$3:$H$54,6,0),"")</f>
        <v/>
      </c>
      <c r="R72" s="140"/>
      <c r="S72" s="140"/>
      <c r="T72" s="140"/>
      <c r="U72" s="140"/>
      <c r="V72" s="140"/>
      <c r="W72" s="140"/>
      <c r="X72" s="140"/>
      <c r="Y72" s="140"/>
      <c r="Z72" s="47" t="str">
        <f aca="false">IF(AND(G72&lt;&gt;"",R72&lt;&gt;"",V72&lt;&gt;"",W72&lt;&gt;""),"COMPLETADO","OBSERVADO")</f>
        <v>OBSERVADO</v>
      </c>
      <c r="AA72" s="89"/>
    </row>
    <row r="73" customFormat="false" ht="15.75" hidden="false" customHeight="true" outlineLevel="0" collapsed="false">
      <c r="A73" s="85"/>
      <c r="B73" s="85"/>
      <c r="C73" s="85"/>
      <c r="D73" s="85"/>
      <c r="E73" s="85"/>
      <c r="F73" s="85"/>
      <c r="G73" s="85"/>
      <c r="H73" s="85"/>
      <c r="I73" s="138" t="str">
        <f aca="false">IFERROR(VLOOKUP(TEXT(H73,"0"),IPRESS!$A$3:$B$212,2,0),"")</f>
        <v/>
      </c>
      <c r="J73" s="85"/>
      <c r="K73" s="138" t="str">
        <f aca="false">IFERROR(VLOOKUP(TEXT(O73,"0"),CONDUCTORES!$A$3:$G$54,7,0),"")</f>
        <v/>
      </c>
      <c r="L73" s="85"/>
      <c r="M73" s="85"/>
      <c r="N73" s="139" t="str">
        <f aca="false">IFERROR(IF(L73*M73=0,"",L73*M73),"")</f>
        <v/>
      </c>
      <c r="O73" s="85"/>
      <c r="P73" s="138" t="str">
        <f aca="false">IFERROR(VLOOKUP(TEXT(O73,"0"),CONDUCTORES!$A$3:$G$54,2,0),"")</f>
        <v/>
      </c>
      <c r="Q73" s="138" t="str">
        <f aca="false">IFERROR(VLOOKUP(TEXT(O73,"0"),CONDUCTORES!$A$3:$H$54,6,0),"")</f>
        <v/>
      </c>
      <c r="R73" s="85"/>
      <c r="S73" s="85"/>
      <c r="T73" s="85"/>
      <c r="U73" s="85"/>
      <c r="V73" s="85"/>
      <c r="W73" s="85"/>
      <c r="X73" s="85"/>
      <c r="Y73" s="85"/>
      <c r="Z73" s="41" t="str">
        <f aca="false">IF(AND(G73&lt;&gt;"",R73&lt;&gt;"",V73&lt;&gt;"",W73&lt;&gt;""),"COMPLETADO","OBSERVADO")</f>
        <v>OBSERVADO</v>
      </c>
      <c r="AA73" s="89"/>
    </row>
    <row r="74" customFormat="false" ht="15.75" hidden="false" customHeight="true" outlineLevel="0" collapsed="false">
      <c r="A74" s="140"/>
      <c r="B74" s="140"/>
      <c r="C74" s="140"/>
      <c r="D74" s="140"/>
      <c r="E74" s="140"/>
      <c r="F74" s="140"/>
      <c r="G74" s="140"/>
      <c r="H74" s="140"/>
      <c r="I74" s="138" t="str">
        <f aca="false">IFERROR(VLOOKUP(TEXT(H74,"0"),IPRESS!$A$3:$B$212,2,0),"")</f>
        <v/>
      </c>
      <c r="J74" s="140"/>
      <c r="K74" s="138" t="str">
        <f aca="false">IFERROR(VLOOKUP(TEXT(O74,"0"),CONDUCTORES!$A$3:$G$54,7,0),"")</f>
        <v/>
      </c>
      <c r="L74" s="140"/>
      <c r="M74" s="140"/>
      <c r="N74" s="139" t="str">
        <f aca="false">IFERROR(IF(L74*M74=0,"",L74*M74),"")</f>
        <v/>
      </c>
      <c r="O74" s="140"/>
      <c r="P74" s="138" t="str">
        <f aca="false">IFERROR(VLOOKUP(TEXT(O74,"0"),CONDUCTORES!$A$3:$G$54,2,0),"")</f>
        <v/>
      </c>
      <c r="Q74" s="138" t="str">
        <f aca="false">IFERROR(VLOOKUP(TEXT(O74,"0"),CONDUCTORES!$A$3:$H$54,6,0),"")</f>
        <v/>
      </c>
      <c r="R74" s="140"/>
      <c r="S74" s="140"/>
      <c r="T74" s="140"/>
      <c r="U74" s="140"/>
      <c r="V74" s="140"/>
      <c r="W74" s="140"/>
      <c r="X74" s="140"/>
      <c r="Y74" s="140"/>
      <c r="Z74" s="47" t="str">
        <f aca="false">IF(AND(G74&lt;&gt;"",R74&lt;&gt;"",V74&lt;&gt;"",W74&lt;&gt;""),"COMPLETADO","OBSERVADO")</f>
        <v>OBSERVADO</v>
      </c>
      <c r="AA74" s="89"/>
    </row>
    <row r="75" customFormat="false" ht="15.75" hidden="false" customHeight="true" outlineLevel="0" collapsed="false">
      <c r="A75" s="85"/>
      <c r="B75" s="85"/>
      <c r="C75" s="85"/>
      <c r="D75" s="85"/>
      <c r="E75" s="85"/>
      <c r="F75" s="85"/>
      <c r="G75" s="85"/>
      <c r="H75" s="85"/>
      <c r="I75" s="138" t="str">
        <f aca="false">IFERROR(VLOOKUP(TEXT(H75,"0"),IPRESS!$A$3:$B$212,2,0),"")</f>
        <v/>
      </c>
      <c r="J75" s="85"/>
      <c r="K75" s="138" t="str">
        <f aca="false">IFERROR(VLOOKUP(TEXT(O75,"0"),CONDUCTORES!$A$3:$G$54,7,0),"")</f>
        <v/>
      </c>
      <c r="L75" s="85"/>
      <c r="M75" s="85"/>
      <c r="N75" s="139" t="str">
        <f aca="false">IFERROR(IF(L75*M75=0,"",L75*M75),"")</f>
        <v/>
      </c>
      <c r="O75" s="85"/>
      <c r="P75" s="138" t="str">
        <f aca="false">IFERROR(VLOOKUP(TEXT(O75,"0"),CONDUCTORES!$A$3:$G$54,2,0),"")</f>
        <v/>
      </c>
      <c r="Q75" s="138" t="str">
        <f aca="false">IFERROR(VLOOKUP(TEXT(O75,"0"),CONDUCTORES!$A$3:$H$54,6,0),"")</f>
        <v/>
      </c>
      <c r="R75" s="85"/>
      <c r="S75" s="85"/>
      <c r="T75" s="85"/>
      <c r="U75" s="85"/>
      <c r="V75" s="85"/>
      <c r="W75" s="85"/>
      <c r="X75" s="85"/>
      <c r="Y75" s="85"/>
      <c r="Z75" s="41" t="str">
        <f aca="false">IF(AND(G75&lt;&gt;"",R75&lt;&gt;"",V75&lt;&gt;"",W75&lt;&gt;""),"COMPLETADO","OBSERVADO")</f>
        <v>OBSERVADO</v>
      </c>
      <c r="AA75" s="89"/>
    </row>
    <row r="76" customFormat="false" ht="15.75" hidden="false" customHeight="true" outlineLevel="0" collapsed="false">
      <c r="A76" s="140"/>
      <c r="B76" s="140"/>
      <c r="C76" s="140"/>
      <c r="D76" s="140"/>
      <c r="E76" s="140"/>
      <c r="F76" s="140"/>
      <c r="G76" s="140"/>
      <c r="H76" s="140"/>
      <c r="I76" s="138" t="str">
        <f aca="false">IFERROR(VLOOKUP(TEXT(H76,"0"),IPRESS!$A$3:$B$212,2,0),"")</f>
        <v/>
      </c>
      <c r="J76" s="140"/>
      <c r="K76" s="138" t="str">
        <f aca="false">IFERROR(VLOOKUP(TEXT(O76,"0"),CONDUCTORES!$A$3:$G$54,7,0),"")</f>
        <v/>
      </c>
      <c r="L76" s="140"/>
      <c r="M76" s="140"/>
      <c r="N76" s="139" t="str">
        <f aca="false">IFERROR(IF(L76*M76=0,"",L76*M76),"")</f>
        <v/>
      </c>
      <c r="O76" s="140"/>
      <c r="P76" s="138" t="str">
        <f aca="false">IFERROR(VLOOKUP(TEXT(O76,"0"),CONDUCTORES!$A$3:$G$54,2,0),"")</f>
        <v/>
      </c>
      <c r="Q76" s="138" t="str">
        <f aca="false">IFERROR(VLOOKUP(TEXT(O76,"0"),CONDUCTORES!$A$3:$H$54,6,0),"")</f>
        <v/>
      </c>
      <c r="R76" s="140"/>
      <c r="S76" s="140"/>
      <c r="T76" s="140"/>
      <c r="U76" s="140"/>
      <c r="V76" s="140"/>
      <c r="W76" s="140"/>
      <c r="X76" s="140"/>
      <c r="Y76" s="140"/>
      <c r="Z76" s="47" t="str">
        <f aca="false">IF(AND(G76&lt;&gt;"",R76&lt;&gt;"",V76&lt;&gt;"",W76&lt;&gt;""),"COMPLETADO","OBSERVADO")</f>
        <v>OBSERVADO</v>
      </c>
      <c r="AA76" s="89"/>
    </row>
    <row r="77" customFormat="false" ht="15.75" hidden="false" customHeight="true" outlineLevel="0" collapsed="false">
      <c r="A77" s="85"/>
      <c r="B77" s="85"/>
      <c r="C77" s="85"/>
      <c r="D77" s="85"/>
      <c r="E77" s="85"/>
      <c r="F77" s="85"/>
      <c r="G77" s="85"/>
      <c r="H77" s="85"/>
      <c r="I77" s="138" t="str">
        <f aca="false">IFERROR(VLOOKUP(TEXT(H77,"0"),IPRESS!$A$3:$B$212,2,0),"")</f>
        <v/>
      </c>
      <c r="J77" s="85"/>
      <c r="K77" s="138" t="str">
        <f aca="false">IFERROR(VLOOKUP(TEXT(O77,"0"),CONDUCTORES!$A$3:$G$54,7,0),"")</f>
        <v/>
      </c>
      <c r="L77" s="85"/>
      <c r="M77" s="85"/>
      <c r="N77" s="139" t="str">
        <f aca="false">IFERROR(IF(L77*M77=0,"",L77*M77),"")</f>
        <v/>
      </c>
      <c r="O77" s="85"/>
      <c r="P77" s="138" t="str">
        <f aca="false">IFERROR(VLOOKUP(TEXT(O77,"0"),CONDUCTORES!$A$3:$G$54,2,0),"")</f>
        <v/>
      </c>
      <c r="Q77" s="138" t="str">
        <f aca="false">IFERROR(VLOOKUP(TEXT(O77,"0"),CONDUCTORES!$A$3:$H$54,6,0),"")</f>
        <v/>
      </c>
      <c r="R77" s="85"/>
      <c r="S77" s="85"/>
      <c r="T77" s="85"/>
      <c r="U77" s="85"/>
      <c r="V77" s="85"/>
      <c r="W77" s="85"/>
      <c r="X77" s="85"/>
      <c r="Y77" s="85"/>
      <c r="Z77" s="41" t="str">
        <f aca="false">IF(AND(G77&lt;&gt;"",R77&lt;&gt;"",V77&lt;&gt;"",W77&lt;&gt;""),"COMPLETADO","OBSERVADO")</f>
        <v>OBSERVADO</v>
      </c>
      <c r="AA77" s="89"/>
    </row>
    <row r="78" customFormat="false" ht="15.75" hidden="false" customHeight="true" outlineLevel="0" collapsed="false">
      <c r="A78" s="140"/>
      <c r="B78" s="140"/>
      <c r="C78" s="140"/>
      <c r="D78" s="140"/>
      <c r="E78" s="140"/>
      <c r="F78" s="140"/>
      <c r="G78" s="140"/>
      <c r="H78" s="140"/>
      <c r="I78" s="138" t="str">
        <f aca="false">IFERROR(VLOOKUP(TEXT(H78,"0"),IPRESS!$A$3:$B$212,2,0),"")</f>
        <v/>
      </c>
      <c r="J78" s="140"/>
      <c r="K78" s="138" t="str">
        <f aca="false">IFERROR(VLOOKUP(TEXT(O78,"0"),CONDUCTORES!$A$3:$G$54,7,0),"")</f>
        <v/>
      </c>
      <c r="L78" s="140"/>
      <c r="M78" s="140"/>
      <c r="N78" s="139" t="str">
        <f aca="false">IFERROR(IF(L78*M78=0,"",L78*M78),"")</f>
        <v/>
      </c>
      <c r="O78" s="140"/>
      <c r="P78" s="138" t="str">
        <f aca="false">IFERROR(VLOOKUP(TEXT(O78,"0"),CONDUCTORES!$A$3:$G$54,2,0),"")</f>
        <v/>
      </c>
      <c r="Q78" s="138" t="str">
        <f aca="false">IFERROR(VLOOKUP(TEXT(O78,"0"),CONDUCTORES!$A$3:$H$54,6,0),"")</f>
        <v/>
      </c>
      <c r="R78" s="140"/>
      <c r="S78" s="140"/>
      <c r="T78" s="140"/>
      <c r="U78" s="140"/>
      <c r="V78" s="140"/>
      <c r="W78" s="140"/>
      <c r="X78" s="140"/>
      <c r="Y78" s="140"/>
      <c r="Z78" s="47" t="str">
        <f aca="false">IF(AND(G78&lt;&gt;"",R78&lt;&gt;"",V78&lt;&gt;"",W78&lt;&gt;""),"COMPLETADO","OBSERVADO")</f>
        <v>OBSERVADO</v>
      </c>
      <c r="AA78" s="89"/>
    </row>
    <row r="79" customFormat="false" ht="15.75" hidden="false" customHeight="true" outlineLevel="0" collapsed="false">
      <c r="A79" s="85"/>
      <c r="B79" s="85"/>
      <c r="C79" s="85"/>
      <c r="D79" s="85"/>
      <c r="E79" s="85"/>
      <c r="F79" s="85"/>
      <c r="G79" s="85"/>
      <c r="H79" s="85"/>
      <c r="I79" s="138" t="str">
        <f aca="false">IFERROR(VLOOKUP(TEXT(H79,"0"),IPRESS!$A$3:$B$212,2,0),"")</f>
        <v/>
      </c>
      <c r="J79" s="85"/>
      <c r="K79" s="138" t="str">
        <f aca="false">IFERROR(VLOOKUP(TEXT(O79,"0"),CONDUCTORES!$A$3:$G$54,7,0),"")</f>
        <v/>
      </c>
      <c r="L79" s="85"/>
      <c r="M79" s="85"/>
      <c r="N79" s="139" t="str">
        <f aca="false">IFERROR(IF(L79*M79=0,"",L79*M79),"")</f>
        <v/>
      </c>
      <c r="O79" s="85"/>
      <c r="P79" s="138" t="str">
        <f aca="false">IFERROR(VLOOKUP(TEXT(O79,"0"),CONDUCTORES!$A$3:$G$54,2,0),"")</f>
        <v/>
      </c>
      <c r="Q79" s="138" t="str">
        <f aca="false">IFERROR(VLOOKUP(TEXT(O79,"0"),CONDUCTORES!$A$3:$H$54,6,0),"")</f>
        <v/>
      </c>
      <c r="R79" s="85"/>
      <c r="S79" s="85"/>
      <c r="T79" s="85"/>
      <c r="U79" s="85"/>
      <c r="V79" s="85"/>
      <c r="W79" s="85"/>
      <c r="X79" s="85"/>
      <c r="Y79" s="85"/>
      <c r="Z79" s="41" t="str">
        <f aca="false">IF(AND(G79&lt;&gt;"",R79&lt;&gt;"",V79&lt;&gt;"",W79&lt;&gt;""),"COMPLETADO","OBSERVADO")</f>
        <v>OBSERVADO</v>
      </c>
      <c r="AA79" s="89"/>
    </row>
    <row r="80" customFormat="false" ht="15.75" hidden="false" customHeight="true" outlineLevel="0" collapsed="false">
      <c r="A80" s="140"/>
      <c r="B80" s="140"/>
      <c r="C80" s="140"/>
      <c r="D80" s="140"/>
      <c r="E80" s="140"/>
      <c r="F80" s="140"/>
      <c r="G80" s="140"/>
      <c r="H80" s="140"/>
      <c r="I80" s="138" t="str">
        <f aca="false">IFERROR(VLOOKUP(TEXT(H80,"0"),IPRESS!$A$3:$B$212,2,0),"")</f>
        <v/>
      </c>
      <c r="J80" s="140"/>
      <c r="K80" s="138" t="str">
        <f aca="false">IFERROR(VLOOKUP(TEXT(O80,"0"),CONDUCTORES!$A$3:$G$54,7,0),"")</f>
        <v/>
      </c>
      <c r="L80" s="140"/>
      <c r="M80" s="140"/>
      <c r="N80" s="139" t="str">
        <f aca="false">IFERROR(IF(L80*M80=0,"",L80*M80),"")</f>
        <v/>
      </c>
      <c r="O80" s="140"/>
      <c r="P80" s="138" t="str">
        <f aca="false">IFERROR(VLOOKUP(TEXT(O80,"0"),CONDUCTORES!$A$3:$G$54,2,0),"")</f>
        <v/>
      </c>
      <c r="Q80" s="138" t="str">
        <f aca="false">IFERROR(VLOOKUP(TEXT(O80,"0"),CONDUCTORES!$A$3:$H$54,6,0),"")</f>
        <v/>
      </c>
      <c r="R80" s="140"/>
      <c r="S80" s="140"/>
      <c r="T80" s="140"/>
      <c r="U80" s="140"/>
      <c r="V80" s="140"/>
      <c r="W80" s="140"/>
      <c r="X80" s="140"/>
      <c r="Y80" s="140"/>
      <c r="Z80" s="47" t="str">
        <f aca="false">IF(AND(G80&lt;&gt;"",R80&lt;&gt;"",V80&lt;&gt;"",W80&lt;&gt;""),"COMPLETADO","OBSERVADO")</f>
        <v>OBSERVADO</v>
      </c>
      <c r="AA80" s="89"/>
    </row>
    <row r="81" customFormat="false" ht="15.75" hidden="false" customHeight="true" outlineLevel="0" collapsed="false">
      <c r="A81" s="85"/>
      <c r="B81" s="85"/>
      <c r="C81" s="85"/>
      <c r="D81" s="85"/>
      <c r="E81" s="85"/>
      <c r="F81" s="85"/>
      <c r="G81" s="85"/>
      <c r="H81" s="85"/>
      <c r="I81" s="138" t="str">
        <f aca="false">IFERROR(VLOOKUP(TEXT(H81,"0"),IPRESS!$A$3:$B$212,2,0),"")</f>
        <v/>
      </c>
      <c r="J81" s="85"/>
      <c r="K81" s="138" t="str">
        <f aca="false">IFERROR(VLOOKUP(TEXT(O81,"0"),CONDUCTORES!$A$3:$G$54,7,0),"")</f>
        <v/>
      </c>
      <c r="L81" s="85"/>
      <c r="M81" s="85"/>
      <c r="N81" s="139" t="str">
        <f aca="false">IFERROR(IF(L81*M81=0,"",L81*M81),"")</f>
        <v/>
      </c>
      <c r="O81" s="85"/>
      <c r="P81" s="138" t="str">
        <f aca="false">IFERROR(VLOOKUP(TEXT(O81,"0"),CONDUCTORES!$A$3:$G$54,2,0),"")</f>
        <v/>
      </c>
      <c r="Q81" s="138" t="str">
        <f aca="false">IFERROR(VLOOKUP(TEXT(O81,"0"),CONDUCTORES!$A$3:$H$54,6,0),"")</f>
        <v/>
      </c>
      <c r="R81" s="85"/>
      <c r="S81" s="85"/>
      <c r="T81" s="85"/>
      <c r="U81" s="85"/>
      <c r="V81" s="85"/>
      <c r="W81" s="85"/>
      <c r="X81" s="85"/>
      <c r="Y81" s="85"/>
      <c r="Z81" s="41" t="str">
        <f aca="false">IF(AND(G81&lt;&gt;"",R81&lt;&gt;"",V81&lt;&gt;"",W81&lt;&gt;""),"COMPLETADO","OBSERVADO")</f>
        <v>OBSERVADO</v>
      </c>
      <c r="AA81" s="89"/>
    </row>
    <row r="82" customFormat="false" ht="15.75" hidden="false" customHeight="true" outlineLevel="0" collapsed="false">
      <c r="A82" s="140"/>
      <c r="B82" s="140"/>
      <c r="C82" s="140"/>
      <c r="D82" s="140"/>
      <c r="E82" s="140"/>
      <c r="F82" s="140"/>
      <c r="G82" s="140"/>
      <c r="H82" s="140"/>
      <c r="I82" s="138" t="str">
        <f aca="false">IFERROR(VLOOKUP(TEXT(H82,"0"),IPRESS!$A$3:$B$212,2,0),"")</f>
        <v/>
      </c>
      <c r="J82" s="140"/>
      <c r="K82" s="138" t="str">
        <f aca="false">IFERROR(VLOOKUP(TEXT(O82,"0"),CONDUCTORES!$A$3:$G$54,7,0),"")</f>
        <v/>
      </c>
      <c r="L82" s="140"/>
      <c r="M82" s="140"/>
      <c r="N82" s="139" t="str">
        <f aca="false">IFERROR(IF(L82*M82=0,"",L82*M82),"")</f>
        <v/>
      </c>
      <c r="O82" s="140"/>
      <c r="P82" s="138" t="str">
        <f aca="false">IFERROR(VLOOKUP(TEXT(O82,"0"),CONDUCTORES!$A$3:$G$54,2,0),"")</f>
        <v/>
      </c>
      <c r="Q82" s="138" t="str">
        <f aca="false">IFERROR(VLOOKUP(TEXT(O82,"0"),CONDUCTORES!$A$3:$H$54,6,0),"")</f>
        <v/>
      </c>
      <c r="R82" s="140"/>
      <c r="S82" s="140"/>
      <c r="T82" s="140"/>
      <c r="U82" s="140"/>
      <c r="V82" s="140"/>
      <c r="W82" s="140"/>
      <c r="X82" s="140"/>
      <c r="Y82" s="140"/>
      <c r="Z82" s="47" t="str">
        <f aca="false">IF(AND(G82&lt;&gt;"",R82&lt;&gt;"",V82&lt;&gt;"",W82&lt;&gt;""),"COMPLETADO","OBSERVADO")</f>
        <v>OBSERVADO</v>
      </c>
      <c r="AA82" s="89"/>
    </row>
    <row r="83" customFormat="false" ht="15.75" hidden="false" customHeight="true" outlineLevel="0" collapsed="false">
      <c r="A83" s="85"/>
      <c r="B83" s="85"/>
      <c r="C83" s="85"/>
      <c r="D83" s="85"/>
      <c r="E83" s="85"/>
      <c r="F83" s="85"/>
      <c r="G83" s="85"/>
      <c r="H83" s="85"/>
      <c r="I83" s="138" t="str">
        <f aca="false">IFERROR(VLOOKUP(TEXT(H83,"0"),IPRESS!$A$3:$B$212,2,0),"")</f>
        <v/>
      </c>
      <c r="J83" s="85"/>
      <c r="K83" s="138" t="str">
        <f aca="false">IFERROR(VLOOKUP(TEXT(O83,"0"),CONDUCTORES!$A$3:$G$54,7,0),"")</f>
        <v/>
      </c>
      <c r="L83" s="85"/>
      <c r="M83" s="85"/>
      <c r="N83" s="139" t="str">
        <f aca="false">IFERROR(IF(L83*M83=0,"",L83*M83),"")</f>
        <v/>
      </c>
      <c r="O83" s="85"/>
      <c r="P83" s="138" t="str">
        <f aca="false">IFERROR(VLOOKUP(TEXT(O83,"0"),CONDUCTORES!$A$3:$G$54,2,0),"")</f>
        <v/>
      </c>
      <c r="Q83" s="138" t="str">
        <f aca="false">IFERROR(VLOOKUP(TEXT(O83,"0"),CONDUCTORES!$A$3:$H$54,6,0),"")</f>
        <v/>
      </c>
      <c r="R83" s="85"/>
      <c r="S83" s="85"/>
      <c r="T83" s="85"/>
      <c r="U83" s="85"/>
      <c r="V83" s="85"/>
      <c r="W83" s="85"/>
      <c r="X83" s="85"/>
      <c r="Y83" s="85"/>
      <c r="Z83" s="41" t="str">
        <f aca="false">IF(AND(G83&lt;&gt;"",R83&lt;&gt;"",V83&lt;&gt;"",W83&lt;&gt;""),"COMPLETADO","OBSERVADO")</f>
        <v>OBSERVADO</v>
      </c>
      <c r="AA83" s="89"/>
    </row>
    <row r="84" customFormat="false" ht="15.75" hidden="false" customHeight="true" outlineLevel="0" collapsed="false">
      <c r="A84" s="140"/>
      <c r="B84" s="140"/>
      <c r="C84" s="140"/>
      <c r="D84" s="140"/>
      <c r="E84" s="140"/>
      <c r="F84" s="140"/>
      <c r="G84" s="140"/>
      <c r="H84" s="140"/>
      <c r="I84" s="138" t="str">
        <f aca="false">IFERROR(VLOOKUP(TEXT(H84,"0"),IPRESS!$A$3:$B$212,2,0),"")</f>
        <v/>
      </c>
      <c r="J84" s="140"/>
      <c r="K84" s="138" t="str">
        <f aca="false">IFERROR(VLOOKUP(TEXT(O84,"0"),CONDUCTORES!$A$3:$G$54,7,0),"")</f>
        <v/>
      </c>
      <c r="L84" s="140"/>
      <c r="M84" s="140"/>
      <c r="N84" s="139" t="str">
        <f aca="false">IFERROR(IF(L84*M84=0,"",L84*M84),"")</f>
        <v/>
      </c>
      <c r="O84" s="140"/>
      <c r="P84" s="138" t="str">
        <f aca="false">IFERROR(VLOOKUP(TEXT(O84,"0"),CONDUCTORES!$A$3:$G$54,2,0),"")</f>
        <v/>
      </c>
      <c r="Q84" s="138" t="str">
        <f aca="false">IFERROR(VLOOKUP(TEXT(O84,"0"),CONDUCTORES!$A$3:$H$54,6,0),"")</f>
        <v/>
      </c>
      <c r="R84" s="140"/>
      <c r="S84" s="140"/>
      <c r="T84" s="140"/>
      <c r="U84" s="140"/>
      <c r="V84" s="140"/>
      <c r="W84" s="140"/>
      <c r="X84" s="140"/>
      <c r="Y84" s="140"/>
      <c r="Z84" s="47" t="str">
        <f aca="false">IF(AND(G84&lt;&gt;"",R84&lt;&gt;"",V84&lt;&gt;"",W84&lt;&gt;""),"COMPLETADO","OBSERVADO")</f>
        <v>OBSERVADO</v>
      </c>
      <c r="AA84" s="89"/>
    </row>
    <row r="85" customFormat="false" ht="15.75" hidden="false" customHeight="true" outlineLevel="0" collapsed="false">
      <c r="A85" s="85"/>
      <c r="B85" s="85"/>
      <c r="C85" s="85"/>
      <c r="D85" s="85"/>
      <c r="E85" s="85"/>
      <c r="F85" s="85"/>
      <c r="G85" s="85"/>
      <c r="H85" s="85"/>
      <c r="I85" s="138" t="str">
        <f aca="false">IFERROR(VLOOKUP(TEXT(H85,"0"),IPRESS!$A$3:$B$212,2,0),"")</f>
        <v/>
      </c>
      <c r="J85" s="85"/>
      <c r="K85" s="138" t="str">
        <f aca="false">IFERROR(VLOOKUP(TEXT(O85,"0"),CONDUCTORES!$A$3:$G$54,7,0),"")</f>
        <v/>
      </c>
      <c r="L85" s="85"/>
      <c r="M85" s="85"/>
      <c r="N85" s="139" t="str">
        <f aca="false">IFERROR(IF(L85*M85=0,"",L85*M85),"")</f>
        <v/>
      </c>
      <c r="O85" s="85"/>
      <c r="P85" s="138" t="str">
        <f aca="false">IFERROR(VLOOKUP(TEXT(O85,"0"),CONDUCTORES!$A$3:$G$54,2,0),"")</f>
        <v/>
      </c>
      <c r="Q85" s="138" t="str">
        <f aca="false">IFERROR(VLOOKUP(TEXT(O85,"0"),CONDUCTORES!$A$3:$H$54,6,0),"")</f>
        <v/>
      </c>
      <c r="R85" s="85"/>
      <c r="S85" s="85"/>
      <c r="T85" s="85"/>
      <c r="U85" s="85"/>
      <c r="V85" s="85"/>
      <c r="W85" s="85"/>
      <c r="X85" s="85"/>
      <c r="Y85" s="85"/>
      <c r="Z85" s="41" t="str">
        <f aca="false">IF(AND(G85&lt;&gt;"",R85&lt;&gt;"",V85&lt;&gt;"",W85&lt;&gt;""),"COMPLETADO","OBSERVADO")</f>
        <v>OBSERVADO</v>
      </c>
      <c r="AA85" s="89"/>
    </row>
    <row r="86" customFormat="false" ht="15.75" hidden="false" customHeight="true" outlineLevel="0" collapsed="false">
      <c r="A86" s="140"/>
      <c r="B86" s="140"/>
      <c r="C86" s="140"/>
      <c r="D86" s="140"/>
      <c r="E86" s="140"/>
      <c r="F86" s="140"/>
      <c r="G86" s="140"/>
      <c r="H86" s="140"/>
      <c r="I86" s="138" t="str">
        <f aca="false">IFERROR(VLOOKUP(TEXT(H86,"0"),IPRESS!$A$3:$B$212,2,0),"")</f>
        <v/>
      </c>
      <c r="J86" s="140"/>
      <c r="K86" s="138" t="str">
        <f aca="false">IFERROR(VLOOKUP(TEXT(O86,"0"),CONDUCTORES!$A$3:$G$54,7,0),"")</f>
        <v/>
      </c>
      <c r="L86" s="140"/>
      <c r="M86" s="140"/>
      <c r="N86" s="139" t="str">
        <f aca="false">IFERROR(IF(L86*M86=0,"",L86*M86),"")</f>
        <v/>
      </c>
      <c r="O86" s="140"/>
      <c r="P86" s="138" t="str">
        <f aca="false">IFERROR(VLOOKUP(TEXT(O86,"0"),CONDUCTORES!$A$3:$G$54,2,0),"")</f>
        <v/>
      </c>
      <c r="Q86" s="138" t="str">
        <f aca="false">IFERROR(VLOOKUP(TEXT(O86,"0"),CONDUCTORES!$A$3:$H$54,6,0),"")</f>
        <v/>
      </c>
      <c r="R86" s="140"/>
      <c r="S86" s="140"/>
      <c r="T86" s="140"/>
      <c r="U86" s="140"/>
      <c r="V86" s="140"/>
      <c r="W86" s="140"/>
      <c r="X86" s="140"/>
      <c r="Y86" s="140"/>
      <c r="Z86" s="47" t="str">
        <f aca="false">IF(AND(G86&lt;&gt;"",R86&lt;&gt;"",V86&lt;&gt;"",W86&lt;&gt;""),"COMPLETADO","OBSERVADO")</f>
        <v>OBSERVADO</v>
      </c>
      <c r="AA86" s="89"/>
    </row>
    <row r="87" customFormat="false" ht="15.75" hidden="false" customHeight="true" outlineLevel="0" collapsed="false">
      <c r="A87" s="85"/>
      <c r="B87" s="85"/>
      <c r="C87" s="85"/>
      <c r="D87" s="85"/>
      <c r="E87" s="85"/>
      <c r="F87" s="85"/>
      <c r="G87" s="85"/>
      <c r="H87" s="85"/>
      <c r="I87" s="138" t="str">
        <f aca="false">IFERROR(VLOOKUP(TEXT(H87,"0"),IPRESS!$A$3:$B$212,2,0),"")</f>
        <v/>
      </c>
      <c r="J87" s="85"/>
      <c r="K87" s="138" t="str">
        <f aca="false">IFERROR(VLOOKUP(TEXT(O87,"0"),CONDUCTORES!$A$3:$G$54,7,0),"")</f>
        <v/>
      </c>
      <c r="L87" s="85"/>
      <c r="M87" s="85"/>
      <c r="N87" s="139" t="str">
        <f aca="false">IFERROR(IF(L87*M87=0,"",L87*M87),"")</f>
        <v/>
      </c>
      <c r="O87" s="85"/>
      <c r="P87" s="138" t="str">
        <f aca="false">IFERROR(VLOOKUP(TEXT(O87,"0"),CONDUCTORES!$A$3:$G$54,2,0),"")</f>
        <v/>
      </c>
      <c r="Q87" s="138" t="str">
        <f aca="false">IFERROR(VLOOKUP(TEXT(O87,"0"),CONDUCTORES!$A$3:$H$54,6,0),"")</f>
        <v/>
      </c>
      <c r="R87" s="85"/>
      <c r="S87" s="85"/>
      <c r="T87" s="85"/>
      <c r="U87" s="85"/>
      <c r="V87" s="85"/>
      <c r="W87" s="85"/>
      <c r="X87" s="85"/>
      <c r="Y87" s="85"/>
      <c r="Z87" s="41" t="str">
        <f aca="false">IF(AND(G87&lt;&gt;"",R87&lt;&gt;"",V87&lt;&gt;"",W87&lt;&gt;""),"COMPLETADO","OBSERVADO")</f>
        <v>OBSERVADO</v>
      </c>
      <c r="AA87" s="89"/>
    </row>
    <row r="88" customFormat="false" ht="15.75" hidden="false" customHeight="true" outlineLevel="0" collapsed="false">
      <c r="A88" s="140"/>
      <c r="B88" s="140"/>
      <c r="C88" s="140"/>
      <c r="D88" s="140"/>
      <c r="E88" s="140"/>
      <c r="F88" s="140"/>
      <c r="G88" s="140"/>
      <c r="H88" s="140"/>
      <c r="I88" s="138" t="str">
        <f aca="false">IFERROR(VLOOKUP(TEXT(H88,"0"),IPRESS!$A$3:$B$212,2,0),"")</f>
        <v/>
      </c>
      <c r="J88" s="140"/>
      <c r="K88" s="138" t="str">
        <f aca="false">IFERROR(VLOOKUP(TEXT(O88,"0"),CONDUCTORES!$A$3:$G$54,7,0),"")</f>
        <v/>
      </c>
      <c r="L88" s="140"/>
      <c r="M88" s="140"/>
      <c r="N88" s="139" t="str">
        <f aca="false">IFERROR(IF(L88*M88=0,"",L88*M88),"")</f>
        <v/>
      </c>
      <c r="O88" s="140"/>
      <c r="P88" s="138" t="str">
        <f aca="false">IFERROR(VLOOKUP(TEXT(O88,"0"),CONDUCTORES!$A$3:$G$54,2,0),"")</f>
        <v/>
      </c>
      <c r="Q88" s="138" t="str">
        <f aca="false">IFERROR(VLOOKUP(TEXT(O88,"0"),CONDUCTORES!$A$3:$H$54,6,0),"")</f>
        <v/>
      </c>
      <c r="R88" s="140"/>
      <c r="S88" s="140"/>
      <c r="T88" s="140"/>
      <c r="U88" s="140"/>
      <c r="V88" s="140"/>
      <c r="W88" s="140"/>
      <c r="X88" s="140"/>
      <c r="Y88" s="140"/>
      <c r="Z88" s="47" t="str">
        <f aca="false">IF(AND(G88&lt;&gt;"",R88&lt;&gt;"",V88&lt;&gt;"",W88&lt;&gt;""),"COMPLETADO","OBSERVADO")</f>
        <v>OBSERVADO</v>
      </c>
      <c r="AA88" s="89"/>
    </row>
    <row r="89" customFormat="false" ht="15.75" hidden="false" customHeight="true" outlineLevel="0" collapsed="false">
      <c r="A89" s="85"/>
      <c r="B89" s="85"/>
      <c r="C89" s="85"/>
      <c r="D89" s="85"/>
      <c r="E89" s="85"/>
      <c r="F89" s="85"/>
      <c r="G89" s="85"/>
      <c r="H89" s="85"/>
      <c r="I89" s="138" t="str">
        <f aca="false">IFERROR(VLOOKUP(TEXT(H89,"0"),IPRESS!$A$3:$B$212,2,0),"")</f>
        <v/>
      </c>
      <c r="J89" s="85"/>
      <c r="K89" s="138" t="str">
        <f aca="false">IFERROR(VLOOKUP(TEXT(O89,"0"),CONDUCTORES!$A$3:$G$54,7,0),"")</f>
        <v/>
      </c>
      <c r="L89" s="85"/>
      <c r="M89" s="85"/>
      <c r="N89" s="139" t="str">
        <f aca="false">IFERROR(IF(L89*M89=0,"",L89*M89),"")</f>
        <v/>
      </c>
      <c r="O89" s="85"/>
      <c r="P89" s="138" t="str">
        <f aca="false">IFERROR(VLOOKUP(TEXT(O89,"0"),CONDUCTORES!$A$3:$G$54,2,0),"")</f>
        <v/>
      </c>
      <c r="Q89" s="138" t="str">
        <f aca="false">IFERROR(VLOOKUP(TEXT(O89,"0"),CONDUCTORES!$A$3:$H$54,6,0),"")</f>
        <v/>
      </c>
      <c r="R89" s="85"/>
      <c r="S89" s="85"/>
      <c r="T89" s="85"/>
      <c r="U89" s="85"/>
      <c r="V89" s="85"/>
      <c r="W89" s="85"/>
      <c r="X89" s="85"/>
      <c r="Y89" s="85"/>
      <c r="Z89" s="41" t="str">
        <f aca="false">IF(AND(G89&lt;&gt;"",R89&lt;&gt;"",V89&lt;&gt;"",W89&lt;&gt;""),"COMPLETADO","OBSERVADO")</f>
        <v>OBSERVADO</v>
      </c>
      <c r="AA89" s="89"/>
    </row>
    <row r="90" customFormat="false" ht="15.75" hidden="false" customHeight="true" outlineLevel="0" collapsed="false">
      <c r="A90" s="140"/>
      <c r="B90" s="140"/>
      <c r="C90" s="140"/>
      <c r="D90" s="140"/>
      <c r="E90" s="140"/>
      <c r="F90" s="140"/>
      <c r="G90" s="140"/>
      <c r="H90" s="140"/>
      <c r="I90" s="138" t="str">
        <f aca="false">IFERROR(VLOOKUP(TEXT(H90,"0"),IPRESS!$A$3:$B$212,2,0),"")</f>
        <v/>
      </c>
      <c r="J90" s="140"/>
      <c r="K90" s="138" t="str">
        <f aca="false">IFERROR(VLOOKUP(TEXT(O90,"0"),CONDUCTORES!$A$3:$G$54,7,0),"")</f>
        <v/>
      </c>
      <c r="L90" s="140"/>
      <c r="M90" s="140"/>
      <c r="N90" s="139" t="str">
        <f aca="false">IFERROR(IF(L90*M90=0,"",L90*M90),"")</f>
        <v/>
      </c>
      <c r="O90" s="140"/>
      <c r="P90" s="138" t="str">
        <f aca="false">IFERROR(VLOOKUP(TEXT(O90,"0"),CONDUCTORES!$A$3:$G$54,2,0),"")</f>
        <v/>
      </c>
      <c r="Q90" s="138" t="str">
        <f aca="false">IFERROR(VLOOKUP(TEXT(O90,"0"),CONDUCTORES!$A$3:$H$54,6,0),"")</f>
        <v/>
      </c>
      <c r="R90" s="140"/>
      <c r="S90" s="140"/>
      <c r="T90" s="140"/>
      <c r="U90" s="140"/>
      <c r="V90" s="140"/>
      <c r="W90" s="140"/>
      <c r="X90" s="140"/>
      <c r="Y90" s="140"/>
      <c r="Z90" s="47" t="str">
        <f aca="false">IF(AND(G90&lt;&gt;"",R90&lt;&gt;"",V90&lt;&gt;"",W90&lt;&gt;""),"COMPLETADO","OBSERVADO")</f>
        <v>OBSERVADO</v>
      </c>
      <c r="AA90" s="89"/>
    </row>
    <row r="91" customFormat="false" ht="15.75" hidden="false" customHeight="true" outlineLevel="0" collapsed="false">
      <c r="A91" s="85"/>
      <c r="B91" s="85"/>
      <c r="C91" s="85"/>
      <c r="D91" s="85"/>
      <c r="E91" s="85"/>
      <c r="F91" s="85"/>
      <c r="G91" s="85"/>
      <c r="H91" s="85"/>
      <c r="I91" s="138" t="str">
        <f aca="false">IFERROR(VLOOKUP(TEXT(H91,"0"),IPRESS!$A$3:$B$212,2,0),"")</f>
        <v/>
      </c>
      <c r="J91" s="85"/>
      <c r="K91" s="138" t="str">
        <f aca="false">IFERROR(VLOOKUP(TEXT(O91,"0"),CONDUCTORES!$A$3:$G$54,7,0),"")</f>
        <v/>
      </c>
      <c r="L91" s="85"/>
      <c r="M91" s="85"/>
      <c r="N91" s="139" t="str">
        <f aca="false">IFERROR(IF(L91*M91=0,"",L91*M91),"")</f>
        <v/>
      </c>
      <c r="O91" s="85"/>
      <c r="P91" s="138" t="str">
        <f aca="false">IFERROR(VLOOKUP(TEXT(O91,"0"),CONDUCTORES!$A$3:$G$54,2,0),"")</f>
        <v/>
      </c>
      <c r="Q91" s="138" t="str">
        <f aca="false">IFERROR(VLOOKUP(TEXT(O91,"0"),CONDUCTORES!$A$3:$H$54,6,0),"")</f>
        <v/>
      </c>
      <c r="R91" s="85"/>
      <c r="S91" s="85"/>
      <c r="T91" s="85"/>
      <c r="U91" s="85"/>
      <c r="V91" s="85"/>
      <c r="W91" s="85"/>
      <c r="X91" s="85"/>
      <c r="Y91" s="85"/>
      <c r="Z91" s="41" t="str">
        <f aca="false">IF(AND(G91&lt;&gt;"",R91&lt;&gt;"",V91&lt;&gt;"",W91&lt;&gt;""),"COMPLETADO","OBSERVADO")</f>
        <v>OBSERVADO</v>
      </c>
      <c r="AA91" s="89"/>
    </row>
    <row r="92" customFormat="false" ht="15.75" hidden="false" customHeight="true" outlineLevel="0" collapsed="false">
      <c r="A92" s="140"/>
      <c r="B92" s="140"/>
      <c r="C92" s="140"/>
      <c r="D92" s="140"/>
      <c r="E92" s="140"/>
      <c r="F92" s="140"/>
      <c r="G92" s="140"/>
      <c r="H92" s="140"/>
      <c r="I92" s="138" t="str">
        <f aca="false">IFERROR(VLOOKUP(TEXT(H92,"0"),IPRESS!$A$3:$B$212,2,0),"")</f>
        <v/>
      </c>
      <c r="J92" s="140"/>
      <c r="K92" s="138" t="str">
        <f aca="false">IFERROR(VLOOKUP(TEXT(O92,"0"),CONDUCTORES!$A$3:$G$54,7,0),"")</f>
        <v/>
      </c>
      <c r="L92" s="140"/>
      <c r="M92" s="140"/>
      <c r="N92" s="139" t="str">
        <f aca="false">IFERROR(IF(L92*M92=0,"",L92*M92),"")</f>
        <v/>
      </c>
      <c r="O92" s="140"/>
      <c r="P92" s="138" t="str">
        <f aca="false">IFERROR(VLOOKUP(TEXT(O92,"0"),CONDUCTORES!$A$3:$G$54,2,0),"")</f>
        <v/>
      </c>
      <c r="Q92" s="138" t="str">
        <f aca="false">IFERROR(VLOOKUP(TEXT(O92,"0"),CONDUCTORES!$A$3:$H$54,6,0),"")</f>
        <v/>
      </c>
      <c r="R92" s="140"/>
      <c r="S92" s="140"/>
      <c r="T92" s="140"/>
      <c r="U92" s="140"/>
      <c r="V92" s="140"/>
      <c r="W92" s="140"/>
      <c r="X92" s="140"/>
      <c r="Y92" s="140"/>
      <c r="Z92" s="47" t="str">
        <f aca="false">IF(AND(G92&lt;&gt;"",R92&lt;&gt;"",V92&lt;&gt;"",W92&lt;&gt;""),"COMPLETADO","OBSERVADO")</f>
        <v>OBSERVADO</v>
      </c>
      <c r="AA92" s="89"/>
    </row>
    <row r="93" customFormat="false" ht="15.75" hidden="false" customHeight="true" outlineLevel="0" collapsed="false">
      <c r="A93" s="85"/>
      <c r="B93" s="85"/>
      <c r="C93" s="85"/>
      <c r="D93" s="85"/>
      <c r="E93" s="85"/>
      <c r="F93" s="85"/>
      <c r="G93" s="85"/>
      <c r="H93" s="85"/>
      <c r="I93" s="138" t="str">
        <f aca="false">IFERROR(VLOOKUP(TEXT(H93,"0"),IPRESS!$A$3:$B$212,2,0),"")</f>
        <v/>
      </c>
      <c r="J93" s="85"/>
      <c r="K93" s="138" t="str">
        <f aca="false">IFERROR(VLOOKUP(TEXT(O93,"0"),CONDUCTORES!$A$3:$G$54,7,0),"")</f>
        <v/>
      </c>
      <c r="L93" s="85"/>
      <c r="M93" s="85"/>
      <c r="N93" s="139" t="str">
        <f aca="false">IFERROR(IF(L93*M93=0,"",L93*M93),"")</f>
        <v/>
      </c>
      <c r="O93" s="85"/>
      <c r="P93" s="138" t="str">
        <f aca="false">IFERROR(VLOOKUP(TEXT(O93,"0"),CONDUCTORES!$A$3:$G$54,2,0),"")</f>
        <v/>
      </c>
      <c r="Q93" s="138" t="str">
        <f aca="false">IFERROR(VLOOKUP(TEXT(O93,"0"),CONDUCTORES!$A$3:$H$54,6,0),"")</f>
        <v/>
      </c>
      <c r="R93" s="85"/>
      <c r="S93" s="85"/>
      <c r="T93" s="85"/>
      <c r="U93" s="85"/>
      <c r="V93" s="85"/>
      <c r="W93" s="85"/>
      <c r="X93" s="85"/>
      <c r="Y93" s="85"/>
      <c r="Z93" s="41" t="str">
        <f aca="false">IF(AND(G93&lt;&gt;"",R93&lt;&gt;"",V93&lt;&gt;"",W93&lt;&gt;""),"COMPLETADO","OBSERVADO")</f>
        <v>OBSERVADO</v>
      </c>
      <c r="AA93" s="89"/>
    </row>
    <row r="94" customFormat="false" ht="15.75" hidden="false" customHeight="true" outlineLevel="0" collapsed="false">
      <c r="A94" s="140"/>
      <c r="B94" s="140"/>
      <c r="C94" s="140"/>
      <c r="D94" s="140"/>
      <c r="E94" s="140"/>
      <c r="F94" s="140"/>
      <c r="G94" s="140"/>
      <c r="H94" s="140"/>
      <c r="I94" s="138" t="str">
        <f aca="false">IFERROR(VLOOKUP(TEXT(H94,"0"),IPRESS!$A$3:$B$212,2,0),"")</f>
        <v/>
      </c>
      <c r="J94" s="140"/>
      <c r="K94" s="138" t="str">
        <f aca="false">IFERROR(VLOOKUP(TEXT(O94,"0"),CONDUCTORES!$A$3:$G$54,7,0),"")</f>
        <v/>
      </c>
      <c r="L94" s="140"/>
      <c r="M94" s="140"/>
      <c r="N94" s="139" t="str">
        <f aca="false">IFERROR(IF(L94*M94=0,"",L94*M94),"")</f>
        <v/>
      </c>
      <c r="O94" s="140"/>
      <c r="P94" s="138" t="str">
        <f aca="false">IFERROR(VLOOKUP(TEXT(O94,"0"),CONDUCTORES!$A$3:$G$54,2,0),"")</f>
        <v/>
      </c>
      <c r="Q94" s="138" t="str">
        <f aca="false">IFERROR(VLOOKUP(TEXT(O94,"0"),CONDUCTORES!$A$3:$H$54,6,0),"")</f>
        <v/>
      </c>
      <c r="R94" s="140"/>
      <c r="S94" s="140"/>
      <c r="T94" s="140"/>
      <c r="U94" s="140"/>
      <c r="V94" s="140"/>
      <c r="W94" s="140"/>
      <c r="X94" s="140"/>
      <c r="Y94" s="140"/>
      <c r="Z94" s="47" t="str">
        <f aca="false">IF(AND(G94&lt;&gt;"",R94&lt;&gt;"",V94&lt;&gt;"",W94&lt;&gt;""),"COMPLETADO","OBSERVADO")</f>
        <v>OBSERVADO</v>
      </c>
      <c r="AA94" s="89"/>
    </row>
    <row r="95" customFormat="false" ht="15.75" hidden="false" customHeight="true" outlineLevel="0" collapsed="false">
      <c r="A95" s="85"/>
      <c r="B95" s="85"/>
      <c r="C95" s="85"/>
      <c r="D95" s="85"/>
      <c r="E95" s="85"/>
      <c r="F95" s="85"/>
      <c r="G95" s="85"/>
      <c r="H95" s="85"/>
      <c r="I95" s="138" t="str">
        <f aca="false">IFERROR(VLOOKUP(TEXT(H95,"0"),IPRESS!$A$3:$B$212,2,0),"")</f>
        <v/>
      </c>
      <c r="J95" s="85"/>
      <c r="K95" s="138" t="str">
        <f aca="false">IFERROR(VLOOKUP(TEXT(O95,"0"),CONDUCTORES!$A$3:$G$54,7,0),"")</f>
        <v/>
      </c>
      <c r="L95" s="85"/>
      <c r="M95" s="85"/>
      <c r="N95" s="139" t="str">
        <f aca="false">IFERROR(IF(L95*M95=0,"",L95*M95),"")</f>
        <v/>
      </c>
      <c r="O95" s="85"/>
      <c r="P95" s="138" t="str">
        <f aca="false">IFERROR(VLOOKUP(TEXT(O95,"0"),CONDUCTORES!$A$3:$G$54,2,0),"")</f>
        <v/>
      </c>
      <c r="Q95" s="138" t="str">
        <f aca="false">IFERROR(VLOOKUP(TEXT(O95,"0"),CONDUCTORES!$A$3:$H$54,6,0),"")</f>
        <v/>
      </c>
      <c r="R95" s="85"/>
      <c r="S95" s="85"/>
      <c r="T95" s="85"/>
      <c r="U95" s="85"/>
      <c r="V95" s="85"/>
      <c r="W95" s="85"/>
      <c r="X95" s="85"/>
      <c r="Y95" s="85"/>
      <c r="Z95" s="41" t="str">
        <f aca="false">IF(AND(G95&lt;&gt;"",R95&lt;&gt;"",V95&lt;&gt;"",W95&lt;&gt;""),"COMPLETADO","OBSERVADO")</f>
        <v>OBSERVADO</v>
      </c>
      <c r="AA95" s="89"/>
    </row>
    <row r="96" customFormat="false" ht="15.75" hidden="false" customHeight="true" outlineLevel="0" collapsed="false">
      <c r="A96" s="140"/>
      <c r="B96" s="140"/>
      <c r="C96" s="140"/>
      <c r="D96" s="140"/>
      <c r="E96" s="140"/>
      <c r="F96" s="140"/>
      <c r="G96" s="140"/>
      <c r="H96" s="140"/>
      <c r="I96" s="138" t="str">
        <f aca="false">IFERROR(VLOOKUP(TEXT(H96,"0"),IPRESS!$A$3:$B$212,2,0),"")</f>
        <v/>
      </c>
      <c r="J96" s="140"/>
      <c r="K96" s="138" t="str">
        <f aca="false">IFERROR(VLOOKUP(TEXT(O96,"0"),CONDUCTORES!$A$3:$G$54,7,0),"")</f>
        <v/>
      </c>
      <c r="L96" s="140"/>
      <c r="M96" s="140"/>
      <c r="N96" s="139" t="str">
        <f aca="false">IFERROR(IF(L96*M96=0,"",L96*M96),"")</f>
        <v/>
      </c>
      <c r="O96" s="140"/>
      <c r="P96" s="138" t="str">
        <f aca="false">IFERROR(VLOOKUP(TEXT(O96,"0"),CONDUCTORES!$A$3:$G$54,2,0),"")</f>
        <v/>
      </c>
      <c r="Q96" s="138" t="str">
        <f aca="false">IFERROR(VLOOKUP(TEXT(O96,"0"),CONDUCTORES!$A$3:$H$54,6,0),"")</f>
        <v/>
      </c>
      <c r="R96" s="140"/>
      <c r="S96" s="140"/>
      <c r="T96" s="140"/>
      <c r="U96" s="140"/>
      <c r="V96" s="140"/>
      <c r="W96" s="140"/>
      <c r="X96" s="140"/>
      <c r="Y96" s="140"/>
      <c r="Z96" s="47" t="str">
        <f aca="false">IF(AND(G96&lt;&gt;"",R96&lt;&gt;"",V96&lt;&gt;"",W96&lt;&gt;""),"COMPLETADO","OBSERVADO")</f>
        <v>OBSERVADO</v>
      </c>
      <c r="AA96" s="89"/>
    </row>
    <row r="97" customFormat="false" ht="15.75" hidden="false" customHeight="true" outlineLevel="0" collapsed="false">
      <c r="A97" s="85"/>
      <c r="B97" s="85"/>
      <c r="C97" s="85"/>
      <c r="D97" s="85"/>
      <c r="E97" s="85"/>
      <c r="F97" s="85"/>
      <c r="G97" s="85"/>
      <c r="H97" s="85"/>
      <c r="I97" s="138" t="str">
        <f aca="false">IFERROR(VLOOKUP(TEXT(H97,"0"),IPRESS!$A$3:$B$212,2,0),"")</f>
        <v/>
      </c>
      <c r="J97" s="85"/>
      <c r="K97" s="138" t="str">
        <f aca="false">IFERROR(VLOOKUP(TEXT(O97,"0"),CONDUCTORES!$A$3:$G$54,7,0),"")</f>
        <v/>
      </c>
      <c r="L97" s="85"/>
      <c r="M97" s="85"/>
      <c r="N97" s="139" t="str">
        <f aca="false">IFERROR(IF(L97*M97=0,"",L97*M97),"")</f>
        <v/>
      </c>
      <c r="O97" s="85"/>
      <c r="P97" s="138" t="str">
        <f aca="false">IFERROR(VLOOKUP(TEXT(O97,"0"),CONDUCTORES!$A$3:$G$54,2,0),"")</f>
        <v/>
      </c>
      <c r="Q97" s="138" t="str">
        <f aca="false">IFERROR(VLOOKUP(TEXT(O97,"0"),CONDUCTORES!$A$3:$H$54,6,0),"")</f>
        <v/>
      </c>
      <c r="R97" s="85"/>
      <c r="S97" s="85"/>
      <c r="T97" s="85"/>
      <c r="U97" s="85"/>
      <c r="V97" s="85"/>
      <c r="W97" s="85"/>
      <c r="X97" s="85"/>
      <c r="Y97" s="85"/>
      <c r="Z97" s="41" t="str">
        <f aca="false">IF(AND(G97&lt;&gt;"",R97&lt;&gt;"",V97&lt;&gt;"",W97&lt;&gt;""),"COMPLETADO","OBSERVADO")</f>
        <v>OBSERVADO</v>
      </c>
      <c r="AA97" s="89"/>
    </row>
    <row r="98" customFormat="false" ht="15.75" hidden="false" customHeight="true" outlineLevel="0" collapsed="false">
      <c r="A98" s="140"/>
      <c r="B98" s="140"/>
      <c r="C98" s="140"/>
      <c r="D98" s="140"/>
      <c r="E98" s="140"/>
      <c r="F98" s="140"/>
      <c r="G98" s="140"/>
      <c r="H98" s="140"/>
      <c r="I98" s="138" t="str">
        <f aca="false">IFERROR(VLOOKUP(TEXT(H98,"0"),IPRESS!$A$3:$B$212,2,0),"")</f>
        <v/>
      </c>
      <c r="J98" s="140"/>
      <c r="K98" s="138" t="str">
        <f aca="false">IFERROR(VLOOKUP(TEXT(O98,"0"),CONDUCTORES!$A$3:$G$54,7,0),"")</f>
        <v/>
      </c>
      <c r="L98" s="140"/>
      <c r="M98" s="140"/>
      <c r="N98" s="139" t="str">
        <f aca="false">IFERROR(IF(L98*M98=0,"",L98*M98),"")</f>
        <v/>
      </c>
      <c r="O98" s="140"/>
      <c r="P98" s="138" t="str">
        <f aca="false">IFERROR(VLOOKUP(TEXT(O98,"0"),CONDUCTORES!$A$3:$G$54,2,0),"")</f>
        <v/>
      </c>
      <c r="Q98" s="138" t="str">
        <f aca="false">IFERROR(VLOOKUP(TEXT(O98,"0"),CONDUCTORES!$A$3:$H$54,6,0),"")</f>
        <v/>
      </c>
      <c r="R98" s="140"/>
      <c r="S98" s="140"/>
      <c r="T98" s="140"/>
      <c r="U98" s="140"/>
      <c r="V98" s="140"/>
      <c r="W98" s="140"/>
      <c r="X98" s="140"/>
      <c r="Y98" s="140"/>
      <c r="Z98" s="47" t="str">
        <f aca="false">IF(AND(G98&lt;&gt;"",R98&lt;&gt;"",V98&lt;&gt;"",W98&lt;&gt;""),"COMPLETADO","OBSERVADO")</f>
        <v>OBSERVADO</v>
      </c>
      <c r="AA98" s="89"/>
    </row>
    <row r="99" customFormat="false" ht="15.75" hidden="false" customHeight="true" outlineLevel="0" collapsed="false">
      <c r="A99" s="85"/>
      <c r="B99" s="85"/>
      <c r="C99" s="85"/>
      <c r="D99" s="85"/>
      <c r="E99" s="85"/>
      <c r="F99" s="85"/>
      <c r="G99" s="85"/>
      <c r="H99" s="85"/>
      <c r="I99" s="138" t="str">
        <f aca="false">IFERROR(VLOOKUP(TEXT(H99,"0"),IPRESS!$A$3:$B$212,2,0),"")</f>
        <v/>
      </c>
      <c r="J99" s="85"/>
      <c r="K99" s="138" t="str">
        <f aca="false">IFERROR(VLOOKUP(TEXT(O99,"0"),CONDUCTORES!$A$3:$G$54,7,0),"")</f>
        <v/>
      </c>
      <c r="L99" s="85"/>
      <c r="M99" s="85"/>
      <c r="N99" s="139" t="str">
        <f aca="false">IFERROR(IF(L99*M99=0,"",L99*M99),"")</f>
        <v/>
      </c>
      <c r="O99" s="85"/>
      <c r="P99" s="138" t="str">
        <f aca="false">IFERROR(VLOOKUP(TEXT(O99,"0"),CONDUCTORES!$A$3:$G$54,2,0),"")</f>
        <v/>
      </c>
      <c r="Q99" s="138" t="str">
        <f aca="false">IFERROR(VLOOKUP(TEXT(O99,"0"),CONDUCTORES!$A$3:$H$54,6,0),"")</f>
        <v/>
      </c>
      <c r="R99" s="85"/>
      <c r="S99" s="85"/>
      <c r="T99" s="85"/>
      <c r="U99" s="85"/>
      <c r="V99" s="85"/>
      <c r="W99" s="85"/>
      <c r="X99" s="85"/>
      <c r="Y99" s="85"/>
      <c r="Z99" s="41" t="str">
        <f aca="false">IF(AND(G99&lt;&gt;"",R99&lt;&gt;"",V99&lt;&gt;"",W99&lt;&gt;""),"COMPLETADO","OBSERVADO")</f>
        <v>OBSERVADO</v>
      </c>
      <c r="AA99" s="89"/>
    </row>
    <row r="100" customFormat="false" ht="15.75" hidden="false" customHeight="true" outlineLevel="0" collapsed="false">
      <c r="A100" s="140"/>
      <c r="B100" s="140"/>
      <c r="C100" s="140"/>
      <c r="D100" s="140"/>
      <c r="E100" s="140"/>
      <c r="F100" s="140"/>
      <c r="G100" s="140"/>
      <c r="H100" s="140"/>
      <c r="I100" s="138" t="str">
        <f aca="false">IFERROR(VLOOKUP(TEXT(H100,"0"),IPRESS!$A$3:$B$212,2,0),"")</f>
        <v/>
      </c>
      <c r="J100" s="140"/>
      <c r="K100" s="138" t="str">
        <f aca="false">IFERROR(VLOOKUP(TEXT(O100,"0"),CONDUCTORES!$A$3:$G$54,7,0),"")</f>
        <v/>
      </c>
      <c r="L100" s="140"/>
      <c r="M100" s="140"/>
      <c r="N100" s="139" t="str">
        <f aca="false">IFERROR(IF(L100*M100=0,"",L100*M100),"")</f>
        <v/>
      </c>
      <c r="O100" s="140"/>
      <c r="P100" s="138" t="str">
        <f aca="false">IFERROR(VLOOKUP(TEXT(O100,"0"),CONDUCTORES!$A$3:$G$54,2,0),"")</f>
        <v/>
      </c>
      <c r="Q100" s="138" t="str">
        <f aca="false">IFERROR(VLOOKUP(TEXT(O100,"0"),CONDUCTORES!$A$3:$H$54,6,0),"")</f>
        <v/>
      </c>
      <c r="R100" s="140"/>
      <c r="S100" s="140"/>
      <c r="T100" s="140"/>
      <c r="U100" s="140"/>
      <c r="V100" s="140"/>
      <c r="W100" s="140"/>
      <c r="X100" s="140"/>
      <c r="Y100" s="140"/>
      <c r="Z100" s="47" t="str">
        <f aca="false">IF(AND(G100&lt;&gt;"",R100&lt;&gt;"",V100&lt;&gt;"",W100&lt;&gt;""),"COMPLETADO","OBSERVADO")</f>
        <v>OBSERVADO</v>
      </c>
      <c r="AA100" s="89"/>
    </row>
    <row r="101" customFormat="false" ht="15.75" hidden="false" customHeight="true" outlineLevel="0" collapsed="false">
      <c r="A101" s="85"/>
      <c r="B101" s="85"/>
      <c r="C101" s="85"/>
      <c r="D101" s="85"/>
      <c r="E101" s="85"/>
      <c r="F101" s="85"/>
      <c r="G101" s="85"/>
      <c r="H101" s="85"/>
      <c r="I101" s="138" t="str">
        <f aca="false">IFERROR(VLOOKUP(TEXT(H101,"0"),IPRESS!$A$3:$B$212,2,0),"")</f>
        <v/>
      </c>
      <c r="J101" s="85"/>
      <c r="K101" s="138" t="str">
        <f aca="false">IFERROR(VLOOKUP(TEXT(O101,"0"),CONDUCTORES!$A$3:$G$54,7,0),"")</f>
        <v/>
      </c>
      <c r="L101" s="85"/>
      <c r="M101" s="85"/>
      <c r="N101" s="139" t="str">
        <f aca="false">IFERROR(IF(L101*M101=0,"",L101*M101),"")</f>
        <v/>
      </c>
      <c r="O101" s="85"/>
      <c r="P101" s="138" t="str">
        <f aca="false">IFERROR(VLOOKUP(TEXT(O101,"0"),CONDUCTORES!$A$3:$G$54,2,0),"")</f>
        <v/>
      </c>
      <c r="Q101" s="138" t="str">
        <f aca="false">IFERROR(VLOOKUP(TEXT(O101,"0"),CONDUCTORES!$A$3:$H$54,6,0),"")</f>
        <v/>
      </c>
      <c r="R101" s="85"/>
      <c r="S101" s="85"/>
      <c r="T101" s="85"/>
      <c r="U101" s="85"/>
      <c r="V101" s="85"/>
      <c r="W101" s="85"/>
      <c r="X101" s="85"/>
      <c r="Y101" s="85"/>
      <c r="Z101" s="41" t="str">
        <f aca="false">IF(AND(G101&lt;&gt;"",R101&lt;&gt;"",V101&lt;&gt;"",W101&lt;&gt;""),"COMPLETADO","OBSERVADO")</f>
        <v>OBSERVADO</v>
      </c>
      <c r="AA101" s="89"/>
    </row>
    <row r="102" customFormat="false" ht="15.75" hidden="false" customHeight="true" outlineLevel="0" collapsed="false">
      <c r="A102" s="140"/>
      <c r="B102" s="140"/>
      <c r="C102" s="140"/>
      <c r="D102" s="140"/>
      <c r="E102" s="140"/>
      <c r="F102" s="140"/>
      <c r="G102" s="140"/>
      <c r="H102" s="140"/>
      <c r="I102" s="138" t="str">
        <f aca="false">IFERROR(VLOOKUP(TEXT(H102,"0"),IPRESS!$A$3:$B$212,2,0),"")</f>
        <v/>
      </c>
      <c r="J102" s="140"/>
      <c r="K102" s="138" t="str">
        <f aca="false">IFERROR(VLOOKUP(TEXT(O102,"0"),CONDUCTORES!$A$3:$G$54,7,0),"")</f>
        <v/>
      </c>
      <c r="L102" s="140"/>
      <c r="M102" s="140"/>
      <c r="N102" s="139" t="str">
        <f aca="false">IFERROR(IF(L102*M102=0,"",L102*M102),"")</f>
        <v/>
      </c>
      <c r="O102" s="140"/>
      <c r="P102" s="138" t="str">
        <f aca="false">IFERROR(VLOOKUP(TEXT(O102,"0"),CONDUCTORES!$A$3:$G$54,2,0),"")</f>
        <v/>
      </c>
      <c r="Q102" s="138" t="str">
        <f aca="false">IFERROR(VLOOKUP(TEXT(O102,"0"),CONDUCTORES!$A$3:$H$54,6,0),"")</f>
        <v/>
      </c>
      <c r="R102" s="140"/>
      <c r="S102" s="140"/>
      <c r="T102" s="140"/>
      <c r="U102" s="140"/>
      <c r="V102" s="140"/>
      <c r="W102" s="140"/>
      <c r="X102" s="140"/>
      <c r="Y102" s="140"/>
      <c r="Z102" s="47" t="str">
        <f aca="false">IF(AND(G102&lt;&gt;"",R102&lt;&gt;"",V102&lt;&gt;"",W102&lt;&gt;""),"COMPLETADO","OBSERVADO")</f>
        <v>OBSERVADO</v>
      </c>
      <c r="AA102" s="89"/>
    </row>
    <row r="103" customFormat="false" ht="15.7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138" t="str">
        <f aca="false">IFERROR(VLOOKUP(TEXT(H103,"0"),IPRESS!$A$3:$B$212,2,0),"")</f>
        <v/>
      </c>
      <c r="J103" s="85"/>
      <c r="K103" s="138" t="str">
        <f aca="false">IFERROR(VLOOKUP(TEXT(O103,"0"),CONDUCTORES!$A$3:$G$54,7,0),"")</f>
        <v/>
      </c>
      <c r="L103" s="85"/>
      <c r="M103" s="85"/>
      <c r="N103" s="139" t="str">
        <f aca="false">IFERROR(IF(L103*M103=0,"",L103*M103),"")</f>
        <v/>
      </c>
      <c r="O103" s="85"/>
      <c r="P103" s="138" t="str">
        <f aca="false">IFERROR(VLOOKUP(TEXT(O103,"0"),CONDUCTORES!$A$3:$G$54,2,0),"")</f>
        <v/>
      </c>
      <c r="Q103" s="138" t="str">
        <f aca="false">IFERROR(VLOOKUP(TEXT(O103,"0"),CONDUCTORES!$A$3:$H$54,6,0),"")</f>
        <v/>
      </c>
      <c r="R103" s="85"/>
      <c r="S103" s="85"/>
      <c r="T103" s="85"/>
      <c r="U103" s="85"/>
      <c r="V103" s="85"/>
      <c r="W103" s="85"/>
      <c r="X103" s="85"/>
      <c r="Y103" s="85"/>
      <c r="Z103" s="41" t="str">
        <f aca="false">IF(AND(G103&lt;&gt;"",R103&lt;&gt;"",V103&lt;&gt;"",W103&lt;&gt;""),"COMPLETADO","OBSERVADO")</f>
        <v>OBSERVADO</v>
      </c>
      <c r="AA103" s="89"/>
    </row>
    <row r="104" customFormat="false" ht="15.75" hidden="false" customHeight="true" outlineLevel="0" collapsed="false">
      <c r="A104" s="140"/>
      <c r="B104" s="140"/>
      <c r="C104" s="140"/>
      <c r="D104" s="140"/>
      <c r="E104" s="140"/>
      <c r="F104" s="140"/>
      <c r="G104" s="140"/>
      <c r="H104" s="140"/>
      <c r="I104" s="138" t="str">
        <f aca="false">IFERROR(VLOOKUP(TEXT(H104,"0"),IPRESS!$A$3:$B$212,2,0),"")</f>
        <v/>
      </c>
      <c r="J104" s="140"/>
      <c r="K104" s="138" t="str">
        <f aca="false">IFERROR(VLOOKUP(TEXT(O104,"0"),CONDUCTORES!$A$3:$G$54,7,0),"")</f>
        <v/>
      </c>
      <c r="L104" s="140"/>
      <c r="M104" s="140"/>
      <c r="N104" s="139" t="str">
        <f aca="false">IFERROR(IF(L104*M104=0,"",L104*M104),"")</f>
        <v/>
      </c>
      <c r="O104" s="140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140"/>
      <c r="S104" s="140"/>
      <c r="T104" s="140"/>
      <c r="U104" s="140"/>
      <c r="V104" s="140"/>
      <c r="W104" s="140"/>
      <c r="X104" s="140"/>
      <c r="Y104" s="140"/>
      <c r="Z104" s="47" t="str">
        <f aca="false">IF(AND(G104&lt;&gt;"",R104&lt;&gt;"",V104&lt;&gt;"",W104&lt;&gt;""),"COMPLETADO","OBSERVADO")</f>
        <v>OBSERVADO</v>
      </c>
      <c r="AA104" s="89"/>
    </row>
    <row r="105" customFormat="false" ht="15.7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38" t="str">
        <f aca="false">IFERROR(VLOOKUP(TEXT(H105,"0"),IPRESS!$A$3:$B$212,2,0),"")</f>
        <v/>
      </c>
      <c r="J105" s="85"/>
      <c r="K105" s="138" t="str">
        <f aca="false">IFERROR(VLOOKUP(TEXT(O105,"0"),CONDUCTORES!$A$3:$G$54,7,0),"")</f>
        <v/>
      </c>
      <c r="L105" s="85"/>
      <c r="M105" s="85"/>
      <c r="N105" s="139" t="str">
        <f aca="false">IFERROR(IF(L105*M105=0,"",L105*M105),"")</f>
        <v/>
      </c>
      <c r="O105" s="85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85"/>
      <c r="S105" s="85"/>
      <c r="T105" s="85"/>
      <c r="U105" s="85"/>
      <c r="V105" s="85"/>
      <c r="W105" s="85"/>
      <c r="X105" s="85"/>
      <c r="Y105" s="85"/>
      <c r="Z105" s="41" t="str">
        <f aca="false">IF(AND(G105&lt;&gt;"",R105&lt;&gt;"",V105&lt;&gt;"",W105&lt;&gt;""),"COMPLETADO","OBSERVADO")</f>
        <v>OBSERVADO</v>
      </c>
      <c r="AA105" s="89"/>
    </row>
    <row r="106" customFormat="false" ht="15.75" hidden="false" customHeight="true" outlineLevel="0" collapsed="false">
      <c r="A106" s="140"/>
      <c r="B106" s="140"/>
      <c r="C106" s="140"/>
      <c r="D106" s="140"/>
      <c r="E106" s="140"/>
      <c r="F106" s="140"/>
      <c r="G106" s="140"/>
      <c r="H106" s="140"/>
      <c r="I106" s="138" t="str">
        <f aca="false">IFERROR(VLOOKUP(TEXT(H106,"0"),IPRESS!$A$3:$B$212,2,0),"")</f>
        <v/>
      </c>
      <c r="J106" s="140"/>
      <c r="K106" s="138" t="str">
        <f aca="false">IFERROR(VLOOKUP(TEXT(O106,"0"),CONDUCTORES!$A$3:$G$54,7,0),"")</f>
        <v/>
      </c>
      <c r="L106" s="140"/>
      <c r="M106" s="140"/>
      <c r="N106" s="139" t="str">
        <f aca="false">IFERROR(IF(L106*M106=0,"",L106*M106),"")</f>
        <v/>
      </c>
      <c r="O106" s="140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140"/>
      <c r="S106" s="140"/>
      <c r="T106" s="140"/>
      <c r="U106" s="140"/>
      <c r="V106" s="140"/>
      <c r="W106" s="140"/>
      <c r="X106" s="140"/>
      <c r="Y106" s="140"/>
      <c r="Z106" s="47" t="str">
        <f aca="false">IF(AND(G106&lt;&gt;"",R106&lt;&gt;"",V106&lt;&gt;"",W106&lt;&gt;""),"COMPLETADO","OBSERVADO")</f>
        <v>OBSERVADO</v>
      </c>
      <c r="AA106" s="89"/>
    </row>
    <row r="107" customFormat="false" ht="15.7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38" t="str">
        <f aca="false">IFERROR(VLOOKUP(TEXT(H107,"0"),IPRESS!$A$3:$B$212,2,0),"")</f>
        <v/>
      </c>
      <c r="J107" s="85"/>
      <c r="K107" s="138" t="str">
        <f aca="false">IFERROR(VLOOKUP(TEXT(O107,"0"),CONDUCTORES!$A$3:$G$54,7,0),"")</f>
        <v/>
      </c>
      <c r="L107" s="85"/>
      <c r="M107" s="85"/>
      <c r="N107" s="139" t="str">
        <f aca="false">IFERROR(IF(L107*M107=0,"",L107*M107),"")</f>
        <v/>
      </c>
      <c r="O107" s="85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85"/>
      <c r="S107" s="85"/>
      <c r="T107" s="85"/>
      <c r="U107" s="85"/>
      <c r="V107" s="85"/>
      <c r="W107" s="85"/>
      <c r="X107" s="85"/>
      <c r="Y107" s="85"/>
      <c r="Z107" s="41" t="str">
        <f aca="false">IF(AND(G107&lt;&gt;"",R107&lt;&gt;"",V107&lt;&gt;"",W107&lt;&gt;""),"COMPLETADO","OBSERVADO")</f>
        <v>OBSERVADO</v>
      </c>
      <c r="AA107" s="89"/>
    </row>
    <row r="108" customFormat="false" ht="15.75" hidden="false" customHeight="true" outlineLevel="0" collapsed="false">
      <c r="A108" s="140"/>
      <c r="B108" s="140"/>
      <c r="C108" s="140"/>
      <c r="D108" s="140"/>
      <c r="E108" s="140"/>
      <c r="F108" s="140"/>
      <c r="G108" s="140"/>
      <c r="H108" s="140"/>
      <c r="I108" s="138" t="str">
        <f aca="false">IFERROR(VLOOKUP(TEXT(H108,"0"),IPRESS!$A$3:$B$212,2,0),"")</f>
        <v/>
      </c>
      <c r="J108" s="140"/>
      <c r="K108" s="138" t="str">
        <f aca="false">IFERROR(VLOOKUP(TEXT(O108,"0"),CONDUCTORES!$A$3:$G$54,7,0),"")</f>
        <v/>
      </c>
      <c r="L108" s="140"/>
      <c r="M108" s="140"/>
      <c r="N108" s="139" t="str">
        <f aca="false">IFERROR(IF(L108*M108=0,"",L108*M108),"")</f>
        <v/>
      </c>
      <c r="O108" s="140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140"/>
      <c r="S108" s="140"/>
      <c r="T108" s="140"/>
      <c r="U108" s="140"/>
      <c r="V108" s="140"/>
      <c r="W108" s="140"/>
      <c r="X108" s="140"/>
      <c r="Y108" s="140"/>
      <c r="Z108" s="47" t="str">
        <f aca="false">IF(AND(G108&lt;&gt;"",R108&lt;&gt;"",V108&lt;&gt;"",W108&lt;&gt;""),"COMPLETADO","OBSERVADO")</f>
        <v>OBSERVADO</v>
      </c>
      <c r="AA108" s="89"/>
    </row>
    <row r="109" customFormat="false" ht="15.7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38" t="str">
        <f aca="false">IFERROR(VLOOKUP(TEXT(O109,"0"),CONDUCTORES!$A$3:$G$54,7,0),"")</f>
        <v/>
      </c>
      <c r="L109" s="85"/>
      <c r="M109" s="85"/>
      <c r="N109" s="139" t="str">
        <f aca="false">IFERROR(IF(L109*M109=0,"",L109*M109),"")</f>
        <v/>
      </c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41" t="str">
        <f aca="false">IF(AND(G109&lt;&gt;"",R109&lt;&gt;"",V109&lt;&gt;"",W109&lt;&gt;""),"COMPLETADO","OBSERVADO")</f>
        <v>OBSERVADO</v>
      </c>
      <c r="AA109" s="89"/>
    </row>
    <row r="110" customFormat="false" ht="15.75" hidden="false" customHeight="true" outlineLevel="0" collapsed="false">
      <c r="A110" s="140"/>
      <c r="B110" s="140"/>
      <c r="C110" s="140"/>
      <c r="D110" s="140"/>
      <c r="E110" s="140"/>
      <c r="F110" s="140"/>
      <c r="G110" s="140"/>
      <c r="H110" s="140"/>
      <c r="I110" s="138" t="str">
        <f aca="false">IFERROR(VLOOKUP(TEXT(H110,"0"),IPRESS!$A$3:$B$212,2,0),"")</f>
        <v/>
      </c>
      <c r="J110" s="140"/>
      <c r="K110" s="138" t="str">
        <f aca="false">IFERROR(VLOOKUP(TEXT(O110,"0"),CONDUCTORES!$A$3:$G$54,7,0),"")</f>
        <v/>
      </c>
      <c r="L110" s="140"/>
      <c r="M110" s="140"/>
      <c r="N110" s="139" t="str">
        <f aca="false">IFERROR(IF(L110*M110=0,"",L110*M110),"")</f>
        <v/>
      </c>
      <c r="O110" s="140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140"/>
      <c r="S110" s="140"/>
      <c r="T110" s="140"/>
      <c r="U110" s="140"/>
      <c r="V110" s="140"/>
      <c r="W110" s="140"/>
      <c r="X110" s="140"/>
      <c r="Y110" s="140"/>
      <c r="Z110" s="47" t="str">
        <f aca="false">IF(AND(G110&lt;&gt;"",R110&lt;&gt;"",V110&lt;&gt;"",W110&lt;&gt;""),"COMPLETADO","OBSERVADO")</f>
        <v>OBSERVADO</v>
      </c>
      <c r="AA110" s="89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184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9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184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9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184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9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184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9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184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9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184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9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184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9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184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9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184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9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85" t="str">
        <f aca="false">IF(AND(G120&lt;&gt;"",R120&lt;&gt;"",V120&lt;&gt;"",W120&lt;&gt;""),"COMPLETADO","OBSERVADO")</f>
        <v>OBSERVADO</v>
      </c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  <c r="Z121" s="185" t="str">
        <f aca="false">IF(AND(G121&lt;&gt;"",R121&lt;&gt;"",V121&lt;&gt;"",W121&lt;&gt;""),"COMPLETADO","OBSERVADO")</f>
        <v>OBSERVADO</v>
      </c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85" t="str">
        <f aca="false">IF(AND(G122&lt;&gt;"",R122&lt;&gt;"",V122&lt;&gt;"",W122&lt;&gt;""),"COMPLETADO","OBSERVADO")</f>
        <v>OBSERVADO</v>
      </c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  <c r="Z123" s="185" t="str">
        <f aca="false">IF(AND(G123&lt;&gt;"",R123&lt;&gt;"",V123&lt;&gt;"",W123&lt;&gt;""),"COMPLETADO","OBSERVADO")</f>
        <v>OBSERVADO</v>
      </c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85" t="str">
        <f aca="false">IF(AND(G124&lt;&gt;"",R124&lt;&gt;"",V124&lt;&gt;"",W124&lt;&gt;""),"COMPLETADO","OBSERVADO")</f>
        <v>OBSERVADO</v>
      </c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  <c r="Z125" s="185" t="str">
        <f aca="false">IF(AND(G125&lt;&gt;"",R125&lt;&gt;"",V125&lt;&gt;"",W125&lt;&gt;""),"COMPLETADO","OBSERVADO")</f>
        <v>OBSERVADO</v>
      </c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85" t="str">
        <f aca="false">IF(AND(G126&lt;&gt;"",R126&lt;&gt;"",V126&lt;&gt;"",W126&lt;&gt;""),"COMPLETADO","OBSERVADO")</f>
        <v>OBSERVADO</v>
      </c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  <c r="Z127" s="185" t="str">
        <f aca="false">IF(AND(G127&lt;&gt;"",R127&lt;&gt;"",V127&lt;&gt;"",W127&lt;&gt;""),"COMPLETADO","OBSERVADO")</f>
        <v>OBSERVADO</v>
      </c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85" t="str">
        <f aca="false">IF(AND(G128&lt;&gt;"",R128&lt;&gt;"",V128&lt;&gt;"",W128&lt;&gt;""),"COMPLETADO","OBSERVADO")</f>
        <v>OBSERVADO</v>
      </c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  <c r="Z129" s="185" t="str">
        <f aca="false">IF(AND(G129&lt;&gt;"",R129&lt;&gt;"",V129&lt;&gt;"",W129&lt;&gt;""),"COMPLETADO","OBSERVADO")</f>
        <v>OBSERVADO</v>
      </c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85" t="str">
        <f aca="false">IF(AND(G130&lt;&gt;"",R130&lt;&gt;"",V130&lt;&gt;"",W130&lt;&gt;""),"COMPLETADO","OBSERVADO")</f>
        <v>OBSERVADO</v>
      </c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  <c r="Z131" s="185" t="str">
        <f aca="false">IF(AND(G131&lt;&gt;"",R131&lt;&gt;"",V131&lt;&gt;"",W131&lt;&gt;""),"COMPLETADO","OBSERVADO")</f>
        <v>OBSERVADO</v>
      </c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85" t="str">
        <f aca="false">IF(AND(G132&lt;&gt;"",R132&lt;&gt;"",V132&lt;&gt;"",W132&lt;&gt;""),"COMPLETADO","OBSERVADO")</f>
        <v>OBSERVADO</v>
      </c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  <c r="Z133" s="185" t="str">
        <f aca="false">IF(AND(G133&lt;&gt;"",R133&lt;&gt;"",V133&lt;&gt;"",W133&lt;&gt;""),"COMPLETADO","OBSERVADO")</f>
        <v>OBSERVADO</v>
      </c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85" t="str">
        <f aca="false">IF(AND(G134&lt;&gt;"",R134&lt;&gt;"",V134&lt;&gt;"",W134&lt;&gt;""),"COMPLETADO","OBSERVADO")</f>
        <v>OBSERVADO</v>
      </c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  <c r="Z135" s="185" t="str">
        <f aca="false">IF(AND(G135&lt;&gt;"",R135&lt;&gt;"",V135&lt;&gt;"",W135&lt;&gt;""),"COMPLETADO","OBSERVADO")</f>
        <v>OBSERVADO</v>
      </c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85" t="str">
        <f aca="false">IF(AND(G136&lt;&gt;"",R136&lt;&gt;"",V136&lt;&gt;"",W136&lt;&gt;""),"COMPLETADO","OBSERVADO")</f>
        <v>OBSERVADO</v>
      </c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  <c r="Z137" s="185" t="str">
        <f aca="false">IF(AND(G137&lt;&gt;"",R137&lt;&gt;"",V137&lt;&gt;"",W137&lt;&gt;""),"COMPLETADO","OBSERVADO")</f>
        <v>OBSERVADO</v>
      </c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85" t="str">
        <f aca="false">IF(AND(G138&lt;&gt;"",R138&lt;&gt;"",V138&lt;&gt;"",W138&lt;&gt;""),"COMPLETADO","OBSERVADO")</f>
        <v>OBSERVADO</v>
      </c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  <c r="Z139" s="185" t="str">
        <f aca="false">IF(AND(G139&lt;&gt;"",R139&lt;&gt;"",V139&lt;&gt;"",W139&lt;&gt;""),"COMPLETADO","OBSERVADO")</f>
        <v>OBSERVADO</v>
      </c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85" t="str">
        <f aca="false">IF(AND(G140&lt;&gt;"",R140&lt;&gt;"",V140&lt;&gt;"",W140&lt;&gt;""),"COMPLETADO","OBSERVADO")</f>
        <v>OBSERVADO</v>
      </c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  <c r="Z141" s="185" t="str">
        <f aca="false">IF(AND(G141&lt;&gt;"",R141&lt;&gt;"",V141&lt;&gt;"",W141&lt;&gt;""),"COMPLETADO","OBSERVADO")</f>
        <v>OBSERVADO</v>
      </c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85" t="str">
        <f aca="false">IF(AND(G142&lt;&gt;"",R142&lt;&gt;"",V142&lt;&gt;"",W142&lt;&gt;""),"COMPLETADO","OBSERVADO")</f>
        <v>OBSERVADO</v>
      </c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  <c r="Z143" s="185" t="str">
        <f aca="false">IF(AND(G143&lt;&gt;"",R143&lt;&gt;"",V143&lt;&gt;"",W143&lt;&gt;""),"COMPLETADO","OBSERVADO")</f>
        <v>OBSERVADO</v>
      </c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85" t="str">
        <f aca="false">IF(AND(G144&lt;&gt;"",R144&lt;&gt;"",V144&lt;&gt;"",W144&lt;&gt;""),"COMPLETADO","OBSERVADO")</f>
        <v>OBSERVADO</v>
      </c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  <c r="Z145" s="185" t="str">
        <f aca="false">IF(AND(G145&lt;&gt;"",R145&lt;&gt;"",V145&lt;&gt;"",W145&lt;&gt;""),"COMPLETADO","OBSERVADO")</f>
        <v>OBSERVADO</v>
      </c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85" t="str">
        <f aca="false">IF(AND(G146&lt;&gt;"",R146&lt;&gt;"",V146&lt;&gt;"",W146&lt;&gt;""),"COMPLETADO","OBSERVADO")</f>
        <v>OBSERVADO</v>
      </c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  <c r="Z147" s="185" t="str">
        <f aca="false">IF(AND(G147&lt;&gt;"",R147&lt;&gt;"",V147&lt;&gt;"",W147&lt;&gt;""),"COMPLETADO","OBSERVADO")</f>
        <v>OBSERVADO</v>
      </c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85" t="str">
        <f aca="false">IF(AND(G148&lt;&gt;"",R148&lt;&gt;"",V148&lt;&gt;"",W148&lt;&gt;""),"COMPLETADO","OBSERVADO")</f>
        <v>OBSERVADO</v>
      </c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  <c r="Z149" s="185" t="str">
        <f aca="false">IF(AND(G149&lt;&gt;"",R149&lt;&gt;"",V149&lt;&gt;"",W149&lt;&gt;""),"COMPLETADO","OBSERVADO")</f>
        <v>OBSERVADO</v>
      </c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85" t="str">
        <f aca="false">IF(AND(G150&lt;&gt;"",R150&lt;&gt;"",V150&lt;&gt;"",W150&lt;&gt;""),"COMPLETADO","OBSERVADO")</f>
        <v>OBSERVADO</v>
      </c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  <c r="Z151" s="185" t="str">
        <f aca="false">IF(AND(G151&lt;&gt;"",R151&lt;&gt;"",V151&lt;&gt;"",W151&lt;&gt;""),"COMPLETADO","OBSERVADO")</f>
        <v>OBSERVADO</v>
      </c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85" t="str">
        <f aca="false">IF(AND(G152&lt;&gt;"",R152&lt;&gt;"",V152&lt;&gt;"",W152&lt;&gt;""),"COMPLETADO","OBSERVADO")</f>
        <v>OBSERVADO</v>
      </c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  <c r="Z153" s="185" t="str">
        <f aca="false">IF(AND(G153&lt;&gt;"",R153&lt;&gt;"",V153&lt;&gt;"",W153&lt;&gt;""),"COMPLETADO","OBSERVADO")</f>
        <v>OBSERVADO</v>
      </c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85" t="str">
        <f aca="false">IF(AND(G154&lt;&gt;"",R154&lt;&gt;"",V154&lt;&gt;"",W154&lt;&gt;""),"COMPLETADO","OBSERVADO")</f>
        <v>OBSERVADO</v>
      </c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  <c r="Z155" s="185" t="str">
        <f aca="false">IF(AND(G155&lt;&gt;"",R155&lt;&gt;"",V155&lt;&gt;"",W155&lt;&gt;""),"COMPLETADO","OBSERVADO")</f>
        <v>OBSERVADO</v>
      </c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85" t="str">
        <f aca="false">IF(AND(G156&lt;&gt;"",R156&lt;&gt;"",V156&lt;&gt;"",W156&lt;&gt;""),"COMPLETADO","OBSERVADO")</f>
        <v>OBSERVADO</v>
      </c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  <c r="Z157" s="185" t="str">
        <f aca="false">IF(AND(G157&lt;&gt;"",R157&lt;&gt;"",V157&lt;&gt;"",W157&lt;&gt;""),"COMPLETADO","OBSERVADO")</f>
        <v>OBSERVADO</v>
      </c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85" t="str">
        <f aca="false">IF(AND(G158&lt;&gt;"",R158&lt;&gt;"",V158&lt;&gt;"",W158&lt;&gt;""),"COMPLETADO","OBSERVADO")</f>
        <v>OBSERVADO</v>
      </c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  <c r="Z159" s="185" t="str">
        <f aca="false">IF(AND(G159&lt;&gt;"",R159&lt;&gt;"",V159&lt;&gt;"",W159&lt;&gt;""),"COMPLETADO","OBSERVADO")</f>
        <v>OBSERVADO</v>
      </c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85" t="str">
        <f aca="false">IF(AND(G160&lt;&gt;"",R160&lt;&gt;"",V160&lt;&gt;"",W160&lt;&gt;""),"COMPLETADO","OBSERVADO")</f>
        <v>OBSERVADO</v>
      </c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  <c r="Z161" s="185" t="str">
        <f aca="false">IF(AND(G161&lt;&gt;"",R161&lt;&gt;"",V161&lt;&gt;"",W161&lt;&gt;""),"COMPLETADO","OBSERVADO")</f>
        <v>OBSERVADO</v>
      </c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85" t="str">
        <f aca="false">IF(AND(G162&lt;&gt;"",R162&lt;&gt;"",V162&lt;&gt;"",W162&lt;&gt;""),"COMPLETADO","OBSERVADO")</f>
        <v>OBSERVADO</v>
      </c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  <c r="Z163" s="185" t="str">
        <f aca="false">IF(AND(G163&lt;&gt;"",R163&lt;&gt;"",V163&lt;&gt;"",W163&lt;&gt;""),"COMPLETADO","OBSERVADO")</f>
        <v>OBSERVADO</v>
      </c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85" t="str">
        <f aca="false">IF(AND(G164&lt;&gt;"",R164&lt;&gt;"",V164&lt;&gt;"",W164&lt;&gt;""),"COMPLETADO","OBSERVADO")</f>
        <v>OBSERVADO</v>
      </c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  <c r="Z165" s="185" t="str">
        <f aca="false">IF(AND(G165&lt;&gt;"",R165&lt;&gt;"",V165&lt;&gt;"",W165&lt;&gt;""),"COMPLETADO","OBSERVADO")</f>
        <v>OBSERVADO</v>
      </c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85" t="str">
        <f aca="false">IF(AND(G166&lt;&gt;"",R166&lt;&gt;"",V166&lt;&gt;"",W166&lt;&gt;""),"COMPLETADO","OBSERVADO")</f>
        <v>OBSERVADO</v>
      </c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  <c r="Z167" s="185" t="str">
        <f aca="false">IF(AND(G167&lt;&gt;"",R167&lt;&gt;"",V167&lt;&gt;"",W167&lt;&gt;""),"COMPLETADO","OBSERVADO")</f>
        <v>OBSERVADO</v>
      </c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85" t="str">
        <f aca="false">IF(AND(G168&lt;&gt;"",R168&lt;&gt;"",V168&lt;&gt;"",W168&lt;&gt;""),"COMPLETADO","OBSERVADO")</f>
        <v>OBSERVADO</v>
      </c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  <c r="Z169" s="185" t="str">
        <f aca="false">IF(AND(G169&lt;&gt;"",R169&lt;&gt;"",V169&lt;&gt;"",W169&lt;&gt;""),"COMPLETADO","OBSERVADO")</f>
        <v>OBSERVADO</v>
      </c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85" t="str">
        <f aca="false">IF(AND(G170&lt;&gt;"",R170&lt;&gt;"",V170&lt;&gt;"",W170&lt;&gt;""),"COMPLETADO","OBSERVADO")</f>
        <v>OBSERVADO</v>
      </c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  <c r="Z171" s="185" t="str">
        <f aca="false">IF(AND(G171&lt;&gt;"",R171&lt;&gt;"",V171&lt;&gt;"",W171&lt;&gt;""),"COMPLETADO","OBSERVADO")</f>
        <v>OBSERVADO</v>
      </c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85" t="str">
        <f aca="false">IF(AND(G172&lt;&gt;"",R172&lt;&gt;"",V172&lt;&gt;"",W172&lt;&gt;""),"COMPLETADO","OBSERVADO")</f>
        <v>OBSERVADO</v>
      </c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  <c r="Z173" s="185" t="str">
        <f aca="false">IF(AND(G173&lt;&gt;"",R173&lt;&gt;"",V173&lt;&gt;"",W173&lt;&gt;""),"COMPLETADO","OBSERVADO")</f>
        <v>OBSERVADO</v>
      </c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85" t="str">
        <f aca="false">IF(AND(G174&lt;&gt;"",R174&lt;&gt;"",V174&lt;&gt;"",W174&lt;&gt;""),"COMPLETADO","OBSERVADO")</f>
        <v>OBSERVADO</v>
      </c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  <c r="Z175" s="185" t="str">
        <f aca="false">IF(AND(G175&lt;&gt;"",R175&lt;&gt;"",V175&lt;&gt;"",W175&lt;&gt;""),"COMPLETADO","OBSERVADO")</f>
        <v>OBSERVADO</v>
      </c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85" t="str">
        <f aca="false">IF(AND(G176&lt;&gt;"",R176&lt;&gt;"",V176&lt;&gt;"",W176&lt;&gt;""),"COMPLETADO","OBSERVADO")</f>
        <v>OBSERVADO</v>
      </c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  <c r="Z177" s="185" t="str">
        <f aca="false">IF(AND(G177&lt;&gt;"",R177&lt;&gt;"",V177&lt;&gt;"",W177&lt;&gt;""),"COMPLETADO","OBSERVADO")</f>
        <v>OBSERVADO</v>
      </c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85" t="str">
        <f aca="false">IF(AND(G178&lt;&gt;"",R178&lt;&gt;"",V178&lt;&gt;"",W178&lt;&gt;""),"COMPLETADO","OBSERVADO")</f>
        <v>OBSERVADO</v>
      </c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  <c r="Z179" s="185" t="str">
        <f aca="false">IF(AND(G179&lt;&gt;"",R179&lt;&gt;"",V179&lt;&gt;"",W179&lt;&gt;""),"COMPLETADO","OBSERVADO")</f>
        <v>OBSERVADO</v>
      </c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85" t="str">
        <f aca="false">IF(AND(G180&lt;&gt;"",R180&lt;&gt;"",V180&lt;&gt;"",W180&lt;&gt;""),"COMPLETADO","OBSERVADO")</f>
        <v>OBSERVADO</v>
      </c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  <c r="Z181" s="185" t="str">
        <f aca="false">IF(AND(G181&lt;&gt;"",R181&lt;&gt;"",V181&lt;&gt;"",W181&lt;&gt;""),"COMPLETADO","OBSERVADO")</f>
        <v>OBSERVADO</v>
      </c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85" t="str">
        <f aca="false">IF(AND(G182&lt;&gt;"",R182&lt;&gt;"",V182&lt;&gt;"",W182&lt;&gt;""),"COMPLETADO","OBSERVADO")</f>
        <v>OBSERVADO</v>
      </c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  <c r="Z183" s="185" t="str">
        <f aca="false">IF(AND(G183&lt;&gt;"",R183&lt;&gt;"",V183&lt;&gt;"",W183&lt;&gt;""),"COMPLETADO","OBSERVADO")</f>
        <v>OBSERVADO</v>
      </c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85" t="str">
        <f aca="false">IF(AND(G184&lt;&gt;"",R184&lt;&gt;"",V184&lt;&gt;"",W184&lt;&gt;""),"COMPLETADO","OBSERVADO")</f>
        <v>OBSERVADO</v>
      </c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  <c r="Z185" s="185" t="str">
        <f aca="false">IF(AND(G185&lt;&gt;"",R185&lt;&gt;"",V185&lt;&gt;"",W185&lt;&gt;""),"COMPLETADO","OBSERVADO")</f>
        <v>OBSERVADO</v>
      </c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85" t="str">
        <f aca="false">IF(AND(G186&lt;&gt;"",R186&lt;&gt;"",V186&lt;&gt;"",W186&lt;&gt;""),"COMPLETADO","OBSERVADO")</f>
        <v>OBSERVADO</v>
      </c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  <c r="Z187" s="185" t="str">
        <f aca="false">IF(AND(G187&lt;&gt;"",R187&lt;&gt;"",V187&lt;&gt;"",W187&lt;&gt;""),"COMPLETADO","OBSERVADO")</f>
        <v>OBSERVADO</v>
      </c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85" t="str">
        <f aca="false">IF(AND(G188&lt;&gt;"",R188&lt;&gt;"",V188&lt;&gt;"",W188&lt;&gt;""),"COMPLETADO","OBSERVADO")</f>
        <v>OBSERVADO</v>
      </c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  <c r="Z189" s="185" t="str">
        <f aca="false">IF(AND(G189&lt;&gt;"",R189&lt;&gt;"",V189&lt;&gt;"",W189&lt;&gt;""),"COMPLETADO","OBSERVADO")</f>
        <v>OBSERVADO</v>
      </c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85" t="str">
        <f aca="false">IF(AND(G190&lt;&gt;"",R190&lt;&gt;"",V190&lt;&gt;"",W190&lt;&gt;""),"COMPLETADO","OBSERVADO")</f>
        <v>OBSERVADO</v>
      </c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  <c r="Z191" s="185" t="str">
        <f aca="false">IF(AND(G191&lt;&gt;"",R191&lt;&gt;"",V191&lt;&gt;"",W191&lt;&gt;""),"COMPLETADO","OBSERVADO")</f>
        <v>OBSERVADO</v>
      </c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85" t="str">
        <f aca="false">IF(AND(G192&lt;&gt;"",R192&lt;&gt;"",V192&lt;&gt;"",W192&lt;&gt;""),"COMPLETADO","OBSERVADO")</f>
        <v>OBSERVADO</v>
      </c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  <c r="Z193" s="185" t="str">
        <f aca="false">IF(AND(G193&lt;&gt;"",R193&lt;&gt;"",V193&lt;&gt;"",W193&lt;&gt;""),"COMPLETADO","OBSERVADO")</f>
        <v>OBSERVADO</v>
      </c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85" t="str">
        <f aca="false">IF(AND(G194&lt;&gt;"",R194&lt;&gt;"",V194&lt;&gt;"",W194&lt;&gt;""),"COMPLETADO","OBSERVADO")</f>
        <v>OBSERVADO</v>
      </c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  <c r="Z195" s="185" t="str">
        <f aca="false">IF(AND(G195&lt;&gt;"",R195&lt;&gt;"",V195&lt;&gt;"",W195&lt;&gt;""),"COMPLETADO","OBSERVADO")</f>
        <v>OBSERVADO</v>
      </c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85" t="str">
        <f aca="false">IF(AND(G196&lt;&gt;"",R196&lt;&gt;"",V196&lt;&gt;"",W196&lt;&gt;""),"COMPLETADO","OBSERVADO")</f>
        <v>OBSERVADO</v>
      </c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  <c r="Z197" s="185" t="str">
        <f aca="false">IF(AND(G197&lt;&gt;"",R197&lt;&gt;"",V197&lt;&gt;"",W197&lt;&gt;""),"COMPLETADO","OBSERVADO")</f>
        <v>OBSERVADO</v>
      </c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85" t="str">
        <f aca="false">IF(AND(G198&lt;&gt;"",R198&lt;&gt;"",V198&lt;&gt;"",W198&lt;&gt;""),"COMPLETADO","OBSERVADO")</f>
        <v>OBSERVADO</v>
      </c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  <c r="Z199" s="185" t="str">
        <f aca="false">IF(AND(G199&lt;&gt;"",R199&lt;&gt;"",V199&lt;&gt;"",W199&lt;&gt;""),"COMPLETADO","OBSERVADO")</f>
        <v>OBSERVADO</v>
      </c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85" t="str">
        <f aca="false">IF(AND(G200&lt;&gt;"",R200&lt;&gt;"",V200&lt;&gt;"",W200&lt;&gt;""),"COMPLETADO","OBSERVADO")</f>
        <v>OBSERVADO</v>
      </c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  <c r="Z201" s="185" t="str">
        <f aca="false">IF(AND(G201&lt;&gt;"",R201&lt;&gt;"",V201&lt;&gt;"",W201&lt;&gt;""),"COMPLETADO","OBSERVADO")</f>
        <v>OBSERVADO</v>
      </c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85" t="str">
        <f aca="false">IF(AND(G202&lt;&gt;"",R202&lt;&gt;"",V202&lt;&gt;"",W202&lt;&gt;""),"COMPLETADO","OBSERVADO")</f>
        <v>OBSERVADO</v>
      </c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  <c r="Z203" s="185" t="str">
        <f aca="false">IF(AND(G203&lt;&gt;"",R203&lt;&gt;"",V203&lt;&gt;"",W203&lt;&gt;""),"COMPLETADO","OBSERVADO")</f>
        <v>OBSERVADO</v>
      </c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85" t="str">
        <f aca="false">IF(AND(G204&lt;&gt;"",R204&lt;&gt;"",V204&lt;&gt;"",W204&lt;&gt;""),"COMPLETADO","OBSERVADO")</f>
        <v>OBSERVADO</v>
      </c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  <c r="Z205" s="185" t="str">
        <f aca="false">IF(AND(G205&lt;&gt;"",R205&lt;&gt;"",V205&lt;&gt;"",W205&lt;&gt;""),"COMPLETADO","OBSERVADO")</f>
        <v>OBSERVADO</v>
      </c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85" t="str">
        <f aca="false">IF(AND(G206&lt;&gt;"",R206&lt;&gt;"",V206&lt;&gt;"",W206&lt;&gt;""),"COMPLETADO","OBSERVADO")</f>
        <v>OBSERVADO</v>
      </c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  <c r="Z207" s="185" t="str">
        <f aca="false">IF(AND(G207&lt;&gt;"",R207&lt;&gt;"",V207&lt;&gt;"",W207&lt;&gt;""),"COMPLETADO","OBSERVADO")</f>
        <v>OBSERVADO</v>
      </c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85" t="str">
        <f aca="false">IF(AND(G208&lt;&gt;"",R208&lt;&gt;"",V208&lt;&gt;"",W208&lt;&gt;""),"COMPLETADO","OBSERVADO")</f>
        <v>OBSERVADO</v>
      </c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  <c r="Z209" s="185" t="str">
        <f aca="false">IF(AND(G209&lt;&gt;"",R209&lt;&gt;"",V209&lt;&gt;"",W209&lt;&gt;""),"COMPLETADO","OBSERVADO")</f>
        <v>OBSERVADO</v>
      </c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85" t="str">
        <f aca="false">IF(AND(G210&lt;&gt;"",R210&lt;&gt;"",V210&lt;&gt;"",W210&lt;&gt;""),"COMPLETADO","OBSERVADO")</f>
        <v>OBSERVADO</v>
      </c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  <c r="Z211" s="185" t="str">
        <f aca="false">IF(AND(G211&lt;&gt;"",R211&lt;&gt;"",V211&lt;&gt;"",W211&lt;&gt;""),"COMPLETADO","OBSERVADO")</f>
        <v>OBSERVADO</v>
      </c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85" t="str">
        <f aca="false">IF(AND(G212&lt;&gt;"",R212&lt;&gt;"",V212&lt;&gt;"",W212&lt;&gt;""),"COMPLETADO","OBSERVADO")</f>
        <v>OBSERVADO</v>
      </c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  <c r="Z213" s="185" t="str">
        <f aca="false">IF(AND(G213&lt;&gt;"",R213&lt;&gt;"",V213&lt;&gt;"",W213&lt;&gt;""),"COMPLETADO","OBSERVADO")</f>
        <v>OBSERVADO</v>
      </c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85" t="str">
        <f aca="false">IF(AND(G214&lt;&gt;"",R214&lt;&gt;"",V214&lt;&gt;"",W214&lt;&gt;""),"COMPLETADO","OBSERVADO")</f>
        <v>OBSERVADO</v>
      </c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  <c r="Z215" s="185" t="str">
        <f aca="false">IF(AND(G215&lt;&gt;"",R215&lt;&gt;"",V215&lt;&gt;"",W215&lt;&gt;""),"COMPLETADO","OBSERVADO")</f>
        <v>OBSERVADO</v>
      </c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85" t="str">
        <f aca="false">IF(AND(G216&lt;&gt;"",R216&lt;&gt;"",V216&lt;&gt;"",W216&lt;&gt;""),"COMPLETADO","OBSERVADO")</f>
        <v>OBSERVADO</v>
      </c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  <c r="Z217" s="185" t="str">
        <f aca="false">IF(AND(G217&lt;&gt;"",R217&lt;&gt;"",V217&lt;&gt;"",W217&lt;&gt;""),"COMPLETADO","OBSERVADO")</f>
        <v>OBSERVADO</v>
      </c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85" t="str">
        <f aca="false">IF(AND(G218&lt;&gt;"",R218&lt;&gt;"",V218&lt;&gt;"",W218&lt;&gt;""),"COMPLETADO","OBSERVADO")</f>
        <v>OBSERVADO</v>
      </c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  <c r="Z219" s="185" t="str">
        <f aca="false">IF(AND(G219&lt;&gt;"",R219&lt;&gt;"",V219&lt;&gt;"",W219&lt;&gt;""),"COMPLETADO","OBSERVADO")</f>
        <v>OBSERVADO</v>
      </c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85" t="str">
        <f aca="false">IF(AND(G220&lt;&gt;"",R220&lt;&gt;"",V220&lt;&gt;"",W220&lt;&gt;""),"COMPLETADO","OBSERVADO")</f>
        <v>OBSERVADO</v>
      </c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  <c r="Z221" s="185" t="str">
        <f aca="false">IF(AND(G221&lt;&gt;"",R221&lt;&gt;"",V221&lt;&gt;"",W221&lt;&gt;""),"COMPLETADO","OBSERVADO")</f>
        <v>OBSERVADO</v>
      </c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85" t="str">
        <f aca="false">IF(AND(G222&lt;&gt;"",R222&lt;&gt;"",V222&lt;&gt;"",W222&lt;&gt;""),"COMPLETADO","OBSERVADO")</f>
        <v>OBSERVADO</v>
      </c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  <c r="Z223" s="185" t="str">
        <f aca="false">IF(AND(G223&lt;&gt;"",R223&lt;&gt;"",V223&lt;&gt;"",W223&lt;&gt;""),"COMPLETADO","OBSERVADO")</f>
        <v>OBSERVADO</v>
      </c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85" t="str">
        <f aca="false">IF(AND(G224&lt;&gt;"",R224&lt;&gt;"",V224&lt;&gt;"",W224&lt;&gt;""),"COMPLETADO","OBSERVADO")</f>
        <v>OBSERVADO</v>
      </c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  <c r="Z225" s="185" t="str">
        <f aca="false">IF(AND(G225&lt;&gt;"",R225&lt;&gt;"",V225&lt;&gt;"",W225&lt;&gt;""),"COMPLETADO","OBSERVADO")</f>
        <v>OBSERVADO</v>
      </c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85" t="str">
        <f aca="false">IF(AND(G226&lt;&gt;"",R226&lt;&gt;"",V226&lt;&gt;"",W226&lt;&gt;""),"COMPLETADO","OBSERVADO")</f>
        <v>OBSERVADO</v>
      </c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  <c r="Z227" s="185" t="str">
        <f aca="false">IF(AND(G227&lt;&gt;"",R227&lt;&gt;"",V227&lt;&gt;"",W227&lt;&gt;""),"COMPLETADO","OBSERVADO")</f>
        <v>OBSERVADO</v>
      </c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85" t="str">
        <f aca="false">IF(AND(G228&lt;&gt;"",R228&lt;&gt;"",V228&lt;&gt;"",W228&lt;&gt;""),"COMPLETADO","OBSERVADO")</f>
        <v>OBSERVADO</v>
      </c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  <c r="Z229" s="185" t="str">
        <f aca="false">IF(AND(G229&lt;&gt;"",R229&lt;&gt;"",V229&lt;&gt;"",W229&lt;&gt;""),"COMPLETADO","OBSERVADO")</f>
        <v>OBSERVADO</v>
      </c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85" t="str">
        <f aca="false">IF(AND(G230&lt;&gt;"",R230&lt;&gt;"",V230&lt;&gt;"",W230&lt;&gt;""),"COMPLETADO","OBSERVADO")</f>
        <v>OBSERVADO</v>
      </c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  <c r="Z231" s="185" t="str">
        <f aca="false">IF(AND(G231&lt;&gt;"",R231&lt;&gt;"",V231&lt;&gt;"",W231&lt;&gt;""),"COMPLETADO","OBSERVADO")</f>
        <v>OBSERVADO</v>
      </c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85" t="str">
        <f aca="false">IF(AND(G232&lt;&gt;"",R232&lt;&gt;"",V232&lt;&gt;"",W232&lt;&gt;""),"COMPLETADO","OBSERVADO")</f>
        <v>OBSERVADO</v>
      </c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  <c r="Z233" s="185" t="str">
        <f aca="false">IF(AND(G233&lt;&gt;"",R233&lt;&gt;"",V233&lt;&gt;"",W233&lt;&gt;""),"COMPLETADO","OBSERVADO")</f>
        <v>OBSERVADO</v>
      </c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85" t="str">
        <f aca="false">IF(AND(G234&lt;&gt;"",R234&lt;&gt;"",V234&lt;&gt;"",W234&lt;&gt;""),"COMPLETADO","OBSERVADO")</f>
        <v>OBSERVADO</v>
      </c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  <c r="Z235" s="185" t="str">
        <f aca="false">IF(AND(G235&lt;&gt;"",R235&lt;&gt;"",V235&lt;&gt;"",W235&lt;&gt;""),"COMPLETADO","OBSERVADO")</f>
        <v>OBSERVADO</v>
      </c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85" t="str">
        <f aca="false">IF(AND(G236&lt;&gt;"",R236&lt;&gt;"",V236&lt;&gt;"",W236&lt;&gt;""),"COMPLETADO","OBSERVADO")</f>
        <v>OBSERVADO</v>
      </c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  <c r="Z237" s="185" t="str">
        <f aca="false">IF(AND(G237&lt;&gt;"",R237&lt;&gt;"",V237&lt;&gt;"",W237&lt;&gt;""),"COMPLETADO","OBSERVADO")</f>
        <v>OBSERVADO</v>
      </c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85" t="str">
        <f aca="false">IF(AND(G238&lt;&gt;"",R238&lt;&gt;"",V238&lt;&gt;"",W238&lt;&gt;""),"COMPLETADO","OBSERVADO")</f>
        <v>OBSERVADO</v>
      </c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  <c r="Z239" s="185" t="str">
        <f aca="false">IF(AND(G239&lt;&gt;"",R239&lt;&gt;"",V239&lt;&gt;"",W239&lt;&gt;""),"COMPLETADO","OBSERVADO")</f>
        <v>OBSERVADO</v>
      </c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85" t="str">
        <f aca="false">IF(AND(G240&lt;&gt;"",R240&lt;&gt;"",V240&lt;&gt;"",W240&lt;&gt;""),"COMPLETADO","OBSERVADO")</f>
        <v>OBSERVADO</v>
      </c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  <c r="Z241" s="185" t="str">
        <f aca="false">IF(AND(G241&lt;&gt;"",R241&lt;&gt;"",V241&lt;&gt;"",W241&lt;&gt;""),"COMPLETADO","OBSERVADO")</f>
        <v>OBSERVADO</v>
      </c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85" t="str">
        <f aca="false">IF(AND(G242&lt;&gt;"",R242&lt;&gt;"",V242&lt;&gt;"",W242&lt;&gt;""),"COMPLETADO","OBSERVADO")</f>
        <v>OBSERVADO</v>
      </c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  <c r="Z243" s="185" t="str">
        <f aca="false">IF(AND(G243&lt;&gt;"",R243&lt;&gt;"",V243&lt;&gt;"",W243&lt;&gt;""),"COMPLETADO","OBSERVADO")</f>
        <v>OBSERVADO</v>
      </c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85" t="str">
        <f aca="false">IF(AND(G244&lt;&gt;"",R244&lt;&gt;"",V244&lt;&gt;"",W244&lt;&gt;""),"COMPLETADO","OBSERVADO")</f>
        <v>OBSERVADO</v>
      </c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  <c r="Z245" s="185" t="str">
        <f aca="false">IF(AND(G245&lt;&gt;"",R245&lt;&gt;"",V245&lt;&gt;"",W245&lt;&gt;""),"COMPLETADO","OBSERVADO")</f>
        <v>OBSERVADO</v>
      </c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85" t="str">
        <f aca="false">IF(AND(G246&lt;&gt;"",R246&lt;&gt;"",V246&lt;&gt;"",W246&lt;&gt;""),"COMPLETADO","OBSERVADO")</f>
        <v>OBSERVADO</v>
      </c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  <c r="Z247" s="185" t="str">
        <f aca="false">IF(AND(G247&lt;&gt;"",R247&lt;&gt;"",V247&lt;&gt;"",W247&lt;&gt;""),"COMPLETADO","OBSERVADO")</f>
        <v>OBSERVADO</v>
      </c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85" t="str">
        <f aca="false">IF(AND(G248&lt;&gt;"",R248&lt;&gt;"",V248&lt;&gt;"",W248&lt;&gt;""),"COMPLETADO","OBSERVADO")</f>
        <v>OBSERVADO</v>
      </c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  <c r="Z249" s="185" t="str">
        <f aca="false">IF(AND(G249&lt;&gt;"",R249&lt;&gt;"",V249&lt;&gt;"",W249&lt;&gt;""),"COMPLETADO","OBSERVADO")</f>
        <v>OBSERVADO</v>
      </c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85" t="str">
        <f aca="false">IF(AND(G250&lt;&gt;"",R250&lt;&gt;"",V250&lt;&gt;"",W250&lt;&gt;""),"COMPLETADO","OBSERVADO")</f>
        <v>OBSERVADO</v>
      </c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  <c r="Z251" s="185" t="str">
        <f aca="false">IF(AND(G251&lt;&gt;"",R251&lt;&gt;"",V251&lt;&gt;"",W251&lt;&gt;""),"COMPLETADO","OBSERVADO")</f>
        <v>OBSERVADO</v>
      </c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85" t="str">
        <f aca="false">IF(AND(G252&lt;&gt;"",R252&lt;&gt;"",V252&lt;&gt;"",W252&lt;&gt;""),"COMPLETADO","OBSERVADO")</f>
        <v>OBSERVADO</v>
      </c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  <c r="Z253" s="185" t="str">
        <f aca="false">IF(AND(G253&lt;&gt;"",R253&lt;&gt;"",V253&lt;&gt;"",W253&lt;&gt;""),"COMPLETADO","OBSERVADO")</f>
        <v>OBSERVADO</v>
      </c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85" t="str">
        <f aca="false">IF(AND(G254&lt;&gt;"",R254&lt;&gt;"",V254&lt;&gt;"",W254&lt;&gt;""),"COMPLETADO","OBSERVADO")</f>
        <v>OBSERVADO</v>
      </c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  <c r="Z255" s="185" t="str">
        <f aca="false">IF(AND(G255&lt;&gt;"",R255&lt;&gt;"",V255&lt;&gt;"",W255&lt;&gt;""),"COMPLETADO","OBSERVADO")</f>
        <v>OBSERVADO</v>
      </c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85" t="str">
        <f aca="false">IF(AND(G256&lt;&gt;"",R256&lt;&gt;"",V256&lt;&gt;"",W256&lt;&gt;""),"COMPLETADO","OBSERVADO")</f>
        <v>OBSERVADO</v>
      </c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  <c r="Z257" s="185" t="str">
        <f aca="false">IF(AND(G257&lt;&gt;"",R257&lt;&gt;"",V257&lt;&gt;"",W257&lt;&gt;""),"COMPLETADO","OBSERVADO")</f>
        <v>OBSERVADO</v>
      </c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85" t="str">
        <f aca="false">IF(AND(G258&lt;&gt;"",R258&lt;&gt;"",V258&lt;&gt;"",W258&lt;&gt;""),"COMPLETADO","OBSERVADO")</f>
        <v>OBSERVADO</v>
      </c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  <c r="Z259" s="185" t="str">
        <f aca="false">IF(AND(G259&lt;&gt;"",R259&lt;&gt;"",V259&lt;&gt;"",W259&lt;&gt;""),"COMPLETADO","OBSERVADO")</f>
        <v>OBSERVADO</v>
      </c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85" t="str">
        <f aca="false">IF(AND(G260&lt;&gt;"",R260&lt;&gt;"",V260&lt;&gt;"",W260&lt;&gt;""),"COMPLETADO","OBSERVADO")</f>
        <v>OBSERVADO</v>
      </c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  <c r="Z261" s="185" t="str">
        <f aca="false">IF(AND(G261&lt;&gt;"",R261&lt;&gt;"",V261&lt;&gt;"",W261&lt;&gt;""),"COMPLETADO","OBSERVADO")</f>
        <v>OBSERVADO</v>
      </c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85" t="str">
        <f aca="false">IF(AND(G262&lt;&gt;"",R262&lt;&gt;"",V262&lt;&gt;"",W262&lt;&gt;""),"COMPLETADO","OBSERVADO")</f>
        <v>OBSERVADO</v>
      </c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  <c r="Z263" s="185" t="str">
        <f aca="false">IF(AND(G263&lt;&gt;"",R263&lt;&gt;"",V263&lt;&gt;"",W263&lt;&gt;""),"COMPLETADO","OBSERVADO")</f>
        <v>OBSERVADO</v>
      </c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85" t="str">
        <f aca="false">IF(AND(G264&lt;&gt;"",R264&lt;&gt;"",V264&lt;&gt;"",W264&lt;&gt;""),"COMPLETADO","OBSERVADO")</f>
        <v>OBSERVADO</v>
      </c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  <c r="Z265" s="185" t="str">
        <f aca="false">IF(AND(G265&lt;&gt;"",R265&lt;&gt;"",V265&lt;&gt;"",W265&lt;&gt;""),"COMPLETADO","OBSERVADO")</f>
        <v>OBSERVADO</v>
      </c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85" t="str">
        <f aca="false">IF(AND(G266&lt;&gt;"",R266&lt;&gt;"",V266&lt;&gt;"",W266&lt;&gt;""),"COMPLETADO","OBSERVADO")</f>
        <v>OBSERVADO</v>
      </c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  <c r="Z267" s="185" t="str">
        <f aca="false">IF(AND(G267&lt;&gt;"",R267&lt;&gt;"",V267&lt;&gt;"",W267&lt;&gt;""),"COMPLETADO","OBSERVADO")</f>
        <v>OBSERVADO</v>
      </c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85" t="str">
        <f aca="false">IF(AND(G268&lt;&gt;"",R268&lt;&gt;"",V268&lt;&gt;"",W268&lt;&gt;""),"COMPLETADO","OBSERVADO")</f>
        <v>OBSERVADO</v>
      </c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  <c r="Z269" s="185" t="str">
        <f aca="false">IF(AND(G269&lt;&gt;"",R269&lt;&gt;"",V269&lt;&gt;"",W269&lt;&gt;""),"COMPLETADO","OBSERVADO")</f>
        <v>OBSERVADO</v>
      </c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85" t="str">
        <f aca="false">IF(AND(G270&lt;&gt;"",R270&lt;&gt;"",V270&lt;&gt;"",W270&lt;&gt;""),"COMPLETADO","OBSERVADO")</f>
        <v>OBSERVADO</v>
      </c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  <c r="Z271" s="185" t="str">
        <f aca="false">IF(AND(G271&lt;&gt;"",R271&lt;&gt;"",V271&lt;&gt;"",W271&lt;&gt;""),"COMPLETADO","OBSERVADO")</f>
        <v>OBSERVADO</v>
      </c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85" t="str">
        <f aca="false">IF(AND(G272&lt;&gt;"",R272&lt;&gt;"",V272&lt;&gt;"",W272&lt;&gt;""),"COMPLETADO","OBSERVADO")</f>
        <v>OBSERVADO</v>
      </c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  <c r="Z273" s="185" t="str">
        <f aca="false">IF(AND(G273&lt;&gt;"",R273&lt;&gt;"",V273&lt;&gt;"",W273&lt;&gt;""),"COMPLETADO","OBSERVADO")</f>
        <v>OBSERVADO</v>
      </c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85" t="str">
        <f aca="false">IF(AND(G274&lt;&gt;"",R274&lt;&gt;"",V274&lt;&gt;"",W274&lt;&gt;""),"COMPLETADO","OBSERVADO")</f>
        <v>OBSERVADO</v>
      </c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  <c r="Z275" s="185" t="str">
        <f aca="false">IF(AND(G275&lt;&gt;"",R275&lt;&gt;"",V275&lt;&gt;"",W275&lt;&gt;""),"COMPLETADO","OBSERVADO")</f>
        <v>OBSERVADO</v>
      </c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85" t="str">
        <f aca="false">IF(AND(G276&lt;&gt;"",R276&lt;&gt;"",V276&lt;&gt;"",W276&lt;&gt;""),"COMPLETADO","OBSERVADO")</f>
        <v>OBSERVADO</v>
      </c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  <c r="Z277" s="185" t="str">
        <f aca="false">IF(AND(G277&lt;&gt;"",R277&lt;&gt;"",V277&lt;&gt;"",W277&lt;&gt;""),"COMPLETADO","OBSERVADO")</f>
        <v>OBSERVADO</v>
      </c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85" t="str">
        <f aca="false">IF(AND(G278&lt;&gt;"",R278&lt;&gt;"",V278&lt;&gt;"",W278&lt;&gt;""),"COMPLETADO","OBSERVADO")</f>
        <v>OBSERVADO</v>
      </c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  <c r="Z279" s="185" t="str">
        <f aca="false">IF(AND(G279&lt;&gt;"",R279&lt;&gt;"",V279&lt;&gt;"",W279&lt;&gt;""),"COMPLETADO","OBSERVADO")</f>
        <v>OBSERVADO</v>
      </c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85" t="str">
        <f aca="false">IF(AND(G280&lt;&gt;"",R280&lt;&gt;"",V280&lt;&gt;"",W280&lt;&gt;""),"COMPLETADO","OBSERVADO")</f>
        <v>OBSERVADO</v>
      </c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  <c r="Z281" s="185" t="str">
        <f aca="false">IF(AND(G281&lt;&gt;"",R281&lt;&gt;"",V281&lt;&gt;"",W281&lt;&gt;""),"COMPLETADO","OBSERVADO")</f>
        <v>OBSERVADO</v>
      </c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85" t="str">
        <f aca="false">IF(AND(G282&lt;&gt;"",R282&lt;&gt;"",V282&lt;&gt;"",W282&lt;&gt;""),"COMPLETADO","OBSERVADO")</f>
        <v>OBSERVADO</v>
      </c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  <c r="Z283" s="185" t="str">
        <f aca="false">IF(AND(G283&lt;&gt;"",R283&lt;&gt;"",V283&lt;&gt;"",W283&lt;&gt;""),"COMPLETADO","OBSERVADO")</f>
        <v>OBSERVADO</v>
      </c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85" t="str">
        <f aca="false">IF(AND(G284&lt;&gt;"",R284&lt;&gt;"",V284&lt;&gt;"",W284&lt;&gt;""),"COMPLETADO","OBSERVADO")</f>
        <v>OBSERVADO</v>
      </c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  <c r="Z285" s="185" t="str">
        <f aca="false">IF(AND(G285&lt;&gt;"",R285&lt;&gt;"",V285&lt;&gt;"",W285&lt;&gt;""),"COMPLETADO","OBSERVADO")</f>
        <v>OBSERVADO</v>
      </c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85" t="str">
        <f aca="false">IF(AND(G286&lt;&gt;"",R286&lt;&gt;"",V286&lt;&gt;"",W286&lt;&gt;""),"COMPLETADO","OBSERVADO")</f>
        <v>OBSERVADO</v>
      </c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  <c r="Z287" s="185" t="str">
        <f aca="false">IF(AND(G287&lt;&gt;"",R287&lt;&gt;"",V287&lt;&gt;"",W287&lt;&gt;""),"COMPLETADO","OBSERVADO")</f>
        <v>OBSERVADO</v>
      </c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85" t="str">
        <f aca="false">IF(AND(G288&lt;&gt;"",R288&lt;&gt;"",V288&lt;&gt;"",W288&lt;&gt;""),"COMPLETADO","OBSERVADO")</f>
        <v>OBSERVADO</v>
      </c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  <c r="Z289" s="185" t="str">
        <f aca="false">IF(AND(G289&lt;&gt;"",R289&lt;&gt;"",V289&lt;&gt;"",W289&lt;&gt;""),"COMPLETADO","OBSERVADO")</f>
        <v>OBSERVADO</v>
      </c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85" t="str">
        <f aca="false">IF(AND(G290&lt;&gt;"",R290&lt;&gt;"",V290&lt;&gt;"",W290&lt;&gt;""),"COMPLETADO","OBSERVADO")</f>
        <v>OBSERVADO</v>
      </c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  <c r="Z291" s="185" t="str">
        <f aca="false">IF(AND(G291&lt;&gt;"",R291&lt;&gt;"",V291&lt;&gt;"",W291&lt;&gt;""),"COMPLETADO","OBSERVADO")</f>
        <v>OBSERVADO</v>
      </c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85" t="str">
        <f aca="false">IF(AND(G292&lt;&gt;"",R292&lt;&gt;"",V292&lt;&gt;"",W292&lt;&gt;""),"COMPLETADO","OBSERVADO")</f>
        <v>OBSERVADO</v>
      </c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  <c r="Z293" s="185" t="str">
        <f aca="false">IF(AND(G293&lt;&gt;"",R293&lt;&gt;"",V293&lt;&gt;"",W293&lt;&gt;""),"COMPLETADO","OBSERVADO")</f>
        <v>OBSERVADO</v>
      </c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85" t="str">
        <f aca="false">IF(AND(G294&lt;&gt;"",R294&lt;&gt;"",V294&lt;&gt;"",W294&lt;&gt;""),"COMPLETADO","OBSERVADO")</f>
        <v>OBSERVADO</v>
      </c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  <c r="Z295" s="185" t="str">
        <f aca="false">IF(AND(G295&lt;&gt;"",R295&lt;&gt;"",V295&lt;&gt;"",W295&lt;&gt;""),"COMPLETADO","OBSERVADO")</f>
        <v>OBSERVADO</v>
      </c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85" t="str">
        <f aca="false">IF(AND(G296&lt;&gt;"",R296&lt;&gt;"",V296&lt;&gt;"",W296&lt;&gt;""),"COMPLETADO","OBSERVADO")</f>
        <v>OBSERVADO</v>
      </c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  <c r="Z297" s="185" t="str">
        <f aca="false">IF(AND(G297&lt;&gt;"",R297&lt;&gt;"",V297&lt;&gt;"",W297&lt;&gt;""),"COMPLETADO","OBSERVADO")</f>
        <v>OBSERVADO</v>
      </c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85" t="str">
        <f aca="false">IF(AND(G298&lt;&gt;"",R298&lt;&gt;"",V298&lt;&gt;"",W298&lt;&gt;""),"COMPLETADO","OBSERVADO")</f>
        <v>OBSERVADO</v>
      </c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  <c r="Z299" s="185" t="str">
        <f aca="false">IF(AND(G299&lt;&gt;"",R299&lt;&gt;"",V299&lt;&gt;"",W299&lt;&gt;""),"COMPLETADO","OBSERVADO")</f>
        <v>OBSERVADO</v>
      </c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85" t="str">
        <f aca="false">IF(AND(G300&lt;&gt;"",R300&lt;&gt;"",V300&lt;&gt;"",W300&lt;&gt;""),"COMPLETADO","OBSERVADO")</f>
        <v>OBSERVADO</v>
      </c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  <c r="Z301" s="185" t="str">
        <f aca="false">IF(AND(G301&lt;&gt;"",R301&lt;&gt;"",V301&lt;&gt;"",W301&lt;&gt;""),"COMPLETADO","OBSERVADO")</f>
        <v>OBSERVADO</v>
      </c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85" t="str">
        <f aca="false">IF(AND(G302&lt;&gt;"",R302&lt;&gt;"",V302&lt;&gt;"",W302&lt;&gt;""),"COMPLETADO","OBSERVADO")</f>
        <v>OBSERVADO</v>
      </c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  <c r="Z303" s="185" t="str">
        <f aca="false">IF(AND(G303&lt;&gt;"",R303&lt;&gt;"",V303&lt;&gt;"",W303&lt;&gt;""),"COMPLETADO","OBSERVADO")</f>
        <v>OBSERVADO</v>
      </c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85" t="str">
        <f aca="false">IF(AND(G304&lt;&gt;"",R304&lt;&gt;"",V304&lt;&gt;"",W304&lt;&gt;""),"COMPLETADO","OBSERVADO")</f>
        <v>OBSERVADO</v>
      </c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  <c r="Z305" s="185" t="str">
        <f aca="false">IF(AND(G305&lt;&gt;"",R305&lt;&gt;"",V305&lt;&gt;"",W305&lt;&gt;""),"COMPLETADO","OBSERVADO")</f>
        <v>OBSERVADO</v>
      </c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85" t="str">
        <f aca="false">IF(AND(G306&lt;&gt;"",R306&lt;&gt;"",V306&lt;&gt;"",W306&lt;&gt;""),"COMPLETADO","OBSERVADO")</f>
        <v>OBSERVADO</v>
      </c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  <c r="Z307" s="185" t="str">
        <f aca="false">IF(AND(G307&lt;&gt;"",R307&lt;&gt;"",V307&lt;&gt;"",W307&lt;&gt;""),"COMPLETADO","OBSERVADO")</f>
        <v>OBSERVADO</v>
      </c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85" t="str">
        <f aca="false">IF(AND(G308&lt;&gt;"",R308&lt;&gt;"",V308&lt;&gt;"",W308&lt;&gt;""),"COMPLETADO","OBSERVADO")</f>
        <v>OBSERVADO</v>
      </c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  <c r="Z309" s="185" t="str">
        <f aca="false">IF(AND(G309&lt;&gt;"",R309&lt;&gt;"",V309&lt;&gt;"",W309&lt;&gt;""),"COMPLETADO","OBSERVADO")</f>
        <v>OBSERVADO</v>
      </c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85" t="str">
        <f aca="false">IF(AND(G310&lt;&gt;"",R310&lt;&gt;"",V310&lt;&gt;"",W310&lt;&gt;""),"COMPLETADO","OBSERVADO")</f>
        <v>OBSERVADO</v>
      </c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  <c r="Z311" s="185" t="str">
        <f aca="false">IF(AND(G311&lt;&gt;"",R311&lt;&gt;"",V311&lt;&gt;"",W311&lt;&gt;""),"COMPLETADO","OBSERVADO")</f>
        <v>OBSERVADO</v>
      </c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85" t="str">
        <f aca="false">IF(AND(G312&lt;&gt;"",R312&lt;&gt;"",V312&lt;&gt;"",W312&lt;&gt;""),"COMPLETADO","OBSERVADO")</f>
        <v>OBSERVADO</v>
      </c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  <c r="Z313" s="185" t="str">
        <f aca="false">IF(AND(G313&lt;&gt;"",R313&lt;&gt;"",V313&lt;&gt;"",W313&lt;&gt;""),"COMPLETADO","OBSERVADO")</f>
        <v>OBSERVADO</v>
      </c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85" t="str">
        <f aca="false">IF(AND(G314&lt;&gt;"",R314&lt;&gt;"",V314&lt;&gt;"",W314&lt;&gt;""),"COMPLETADO","OBSERVADO")</f>
        <v>OBSERVADO</v>
      </c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  <c r="Z315" s="185" t="str">
        <f aca="false">IF(AND(G315&lt;&gt;"",R315&lt;&gt;"",V315&lt;&gt;"",W315&lt;&gt;""),"COMPLETADO","OBSERVADO")</f>
        <v>OBSERVADO</v>
      </c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85" t="str">
        <f aca="false">IF(AND(G316&lt;&gt;"",R316&lt;&gt;"",V316&lt;&gt;"",W316&lt;&gt;""),"COMPLETADO","OBSERVADO")</f>
        <v>OBSERVADO</v>
      </c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  <c r="Z317" s="185" t="str">
        <f aca="false">IF(AND(G317&lt;&gt;"",R317&lt;&gt;"",V317&lt;&gt;"",W317&lt;&gt;""),"COMPLETADO","OBSERVADO")</f>
        <v>OBSERVADO</v>
      </c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85" t="str">
        <f aca="false">IF(AND(G318&lt;&gt;"",R318&lt;&gt;"",V318&lt;&gt;"",W318&lt;&gt;""),"COMPLETADO","OBSERVADO")</f>
        <v>OBSERVADO</v>
      </c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  <c r="Z319" s="185" t="str">
        <f aca="false">IF(AND(G319&lt;&gt;"",R319&lt;&gt;"",V319&lt;&gt;"",W319&lt;&gt;""),"COMPLETADO","OBSERVADO")</f>
        <v>OBSERVADO</v>
      </c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85" t="str">
        <f aca="false">IF(AND(G320&lt;&gt;"",R320&lt;&gt;"",V320&lt;&gt;"",W320&lt;&gt;""),"COMPLETADO","OBSERVADO")</f>
        <v>OBSERVADO</v>
      </c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  <c r="Z321" s="185" t="str">
        <f aca="false">IF(AND(G321&lt;&gt;"",R321&lt;&gt;"",V321&lt;&gt;"",W321&lt;&gt;""),"COMPLETADO","OBSERVADO")</f>
        <v>OBSERVADO</v>
      </c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85" t="str">
        <f aca="false">IF(AND(G322&lt;&gt;"",R322&lt;&gt;"",V322&lt;&gt;"",W322&lt;&gt;""),"COMPLETADO","OBSERVADO")</f>
        <v>OBSERVADO</v>
      </c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  <c r="Z323" s="185" t="str">
        <f aca="false">IF(AND(G323&lt;&gt;"",R323&lt;&gt;"",V323&lt;&gt;"",W323&lt;&gt;""),"COMPLETADO","OBSERVADO")</f>
        <v>OBSERVADO</v>
      </c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85" t="str">
        <f aca="false">IF(AND(G324&lt;&gt;"",R324&lt;&gt;"",V324&lt;&gt;"",W324&lt;&gt;""),"COMPLETADO","OBSERVADO")</f>
        <v>OBSERVADO</v>
      </c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  <c r="Z325" s="185" t="str">
        <f aca="false">IF(AND(G325&lt;&gt;"",R325&lt;&gt;"",V325&lt;&gt;"",W325&lt;&gt;""),"COMPLETADO","OBSERVADO")</f>
        <v>OBSERVADO</v>
      </c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85" t="str">
        <f aca="false">IF(AND(G326&lt;&gt;"",R326&lt;&gt;"",V326&lt;&gt;"",W326&lt;&gt;""),"COMPLETADO","OBSERVADO")</f>
        <v>OBSERVADO</v>
      </c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  <c r="Z327" s="185" t="str">
        <f aca="false">IF(AND(G327&lt;&gt;"",R327&lt;&gt;"",V327&lt;&gt;"",W327&lt;&gt;""),"COMPLETADO","OBSERVADO")</f>
        <v>OBSERVADO</v>
      </c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85" t="str">
        <f aca="false">IF(AND(G328&lt;&gt;"",R328&lt;&gt;"",V328&lt;&gt;"",W328&lt;&gt;""),"COMPLETADO","OBSERVADO")</f>
        <v>OBSERVADO</v>
      </c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  <c r="Z329" s="185" t="str">
        <f aca="false">IF(AND(G329&lt;&gt;"",R329&lt;&gt;"",V329&lt;&gt;"",W329&lt;&gt;""),"COMPLETADO","OBSERVADO")</f>
        <v>OBSERVADO</v>
      </c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85" t="str">
        <f aca="false">IF(AND(G330&lt;&gt;"",R330&lt;&gt;"",V330&lt;&gt;"",W330&lt;&gt;""),"COMPLETADO","OBSERVADO")</f>
        <v>OBSERVADO</v>
      </c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  <c r="Z331" s="185" t="str">
        <f aca="false">IF(AND(G331&lt;&gt;"",R331&lt;&gt;"",V331&lt;&gt;"",W331&lt;&gt;""),"COMPLETADO","OBSERVADO")</f>
        <v>OBSERVADO</v>
      </c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85" t="str">
        <f aca="false">IF(AND(G332&lt;&gt;"",R332&lt;&gt;"",V332&lt;&gt;"",W332&lt;&gt;""),"COMPLETADO","OBSERVADO")</f>
        <v>OBSERVADO</v>
      </c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  <c r="Z333" s="185" t="str">
        <f aca="false">IF(AND(G333&lt;&gt;"",R333&lt;&gt;"",V333&lt;&gt;"",W333&lt;&gt;""),"COMPLETADO","OBSERVADO")</f>
        <v>OBSERVADO</v>
      </c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85" t="str">
        <f aca="false">IF(AND(G334&lt;&gt;"",R334&lt;&gt;"",V334&lt;&gt;"",W334&lt;&gt;""),"COMPLETADO","OBSERVADO")</f>
        <v>OBSERVADO</v>
      </c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  <c r="Z335" s="185" t="str">
        <f aca="false">IF(AND(G335&lt;&gt;"",R335&lt;&gt;"",V335&lt;&gt;"",W335&lt;&gt;""),"COMPLETADO","OBSERVADO")</f>
        <v>OBSERVADO</v>
      </c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85" t="str">
        <f aca="false">IF(AND(G336&lt;&gt;"",R336&lt;&gt;"",V336&lt;&gt;"",W336&lt;&gt;""),"COMPLETADO","OBSERVADO")</f>
        <v>OBSERVADO</v>
      </c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  <c r="Z337" s="185" t="str">
        <f aca="false">IF(AND(G337&lt;&gt;"",R337&lt;&gt;"",V337&lt;&gt;"",W337&lt;&gt;""),"COMPLETADO","OBSERVADO")</f>
        <v>OBSERVADO</v>
      </c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85" t="str">
        <f aca="false">IF(AND(G338&lt;&gt;"",R338&lt;&gt;"",V338&lt;&gt;"",W338&lt;&gt;""),"COMPLETADO","OBSERVADO")</f>
        <v>OBSERVADO</v>
      </c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  <c r="Z339" s="185" t="str">
        <f aca="false">IF(AND(G339&lt;&gt;"",R339&lt;&gt;"",V339&lt;&gt;"",W339&lt;&gt;""),"COMPLETADO","OBSERVADO")</f>
        <v>OBSERVADO</v>
      </c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85" t="str">
        <f aca="false">IF(AND(G340&lt;&gt;"",R340&lt;&gt;"",V340&lt;&gt;"",W340&lt;&gt;""),"COMPLETADO","OBSERVADO")</f>
        <v>OBSERVADO</v>
      </c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  <c r="Z341" s="185" t="str">
        <f aca="false">IF(AND(G341&lt;&gt;"",R341&lt;&gt;"",V341&lt;&gt;"",W341&lt;&gt;""),"COMPLETADO","OBSERVADO")</f>
        <v>OBSERVADO</v>
      </c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85" t="str">
        <f aca="false">IF(AND(G342&lt;&gt;"",R342&lt;&gt;"",V342&lt;&gt;"",W342&lt;&gt;""),"COMPLETADO","OBSERVADO")</f>
        <v>OBSERVADO</v>
      </c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  <c r="Z343" s="185" t="str">
        <f aca="false">IF(AND(G343&lt;&gt;"",R343&lt;&gt;"",V343&lt;&gt;"",W343&lt;&gt;""),"COMPLETADO","OBSERVADO")</f>
        <v>OBSERVADO</v>
      </c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85" t="str">
        <f aca="false">IF(AND(G344&lt;&gt;"",R344&lt;&gt;"",V344&lt;&gt;"",W344&lt;&gt;""),"COMPLETADO","OBSERVADO")</f>
        <v>OBSERVADO</v>
      </c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  <c r="Z345" s="185" t="str">
        <f aca="false">IF(AND(G345&lt;&gt;"",R345&lt;&gt;"",V345&lt;&gt;"",W345&lt;&gt;""),"COMPLETADO","OBSERVADO")</f>
        <v>OBSERVADO</v>
      </c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85" t="str">
        <f aca="false">IF(AND(G346&lt;&gt;"",R346&lt;&gt;"",V346&lt;&gt;"",W346&lt;&gt;""),"COMPLETADO","OBSERVADO")</f>
        <v>OBSERVADO</v>
      </c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  <c r="Z347" s="185" t="str">
        <f aca="false">IF(AND(G347&lt;&gt;"",R347&lt;&gt;"",V347&lt;&gt;"",W347&lt;&gt;""),"COMPLETADO","OBSERVADO")</f>
        <v>OBSERVADO</v>
      </c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85" t="str">
        <f aca="false">IF(AND(G348&lt;&gt;"",R348&lt;&gt;"",V348&lt;&gt;"",W348&lt;&gt;""),"COMPLETADO","OBSERVADO")</f>
        <v>OBSERVADO</v>
      </c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  <c r="Z349" s="185" t="str">
        <f aca="false">IF(AND(G349&lt;&gt;"",R349&lt;&gt;"",V349&lt;&gt;"",W349&lt;&gt;""),"COMPLETADO","OBSERVADO")</f>
        <v>OBSERVADO</v>
      </c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85" t="str">
        <f aca="false">IF(AND(G350&lt;&gt;"",R350&lt;&gt;"",V350&lt;&gt;"",W350&lt;&gt;""),"COMPLETADO","OBSERVADO")</f>
        <v>OBSERVADO</v>
      </c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  <c r="Z351" s="185" t="str">
        <f aca="false">IF(AND(G351&lt;&gt;"",R351&lt;&gt;"",V351&lt;&gt;"",W351&lt;&gt;""),"COMPLETADO","OBSERVADO")</f>
        <v>OBSERVADO</v>
      </c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85" t="str">
        <f aca="false">IF(AND(G352&lt;&gt;"",R352&lt;&gt;"",V352&lt;&gt;"",W352&lt;&gt;""),"COMPLETADO","OBSERVADO")</f>
        <v>OBSERVADO</v>
      </c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  <c r="Z353" s="185" t="str">
        <f aca="false">IF(AND(G353&lt;&gt;"",R353&lt;&gt;"",V353&lt;&gt;"",W353&lt;&gt;""),"COMPLETADO","OBSERVADO")</f>
        <v>OBSERVADO</v>
      </c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85" t="str">
        <f aca="false">IF(AND(G354&lt;&gt;"",R354&lt;&gt;"",V354&lt;&gt;"",W354&lt;&gt;""),"COMPLETADO","OBSERVADO")</f>
        <v>OBSERVADO</v>
      </c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  <c r="Z355" s="185" t="str">
        <f aca="false">IF(AND(G355&lt;&gt;"",R355&lt;&gt;"",V355&lt;&gt;"",W355&lt;&gt;""),"COMPLETADO","OBSERVADO")</f>
        <v>OBSERVADO</v>
      </c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85" t="str">
        <f aca="false">IF(AND(G356&lt;&gt;"",R356&lt;&gt;"",V356&lt;&gt;"",W356&lt;&gt;""),"COMPLETADO","OBSERVADO")</f>
        <v>OBSERVADO</v>
      </c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  <c r="Z357" s="185" t="str">
        <f aca="false">IF(AND(G357&lt;&gt;"",R357&lt;&gt;"",V357&lt;&gt;"",W357&lt;&gt;""),"COMPLETADO","OBSERVADO")</f>
        <v>OBSERVADO</v>
      </c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85" t="str">
        <f aca="false">IF(AND(G358&lt;&gt;"",R358&lt;&gt;"",V358&lt;&gt;"",W358&lt;&gt;""),"COMPLETADO","OBSERVADO")</f>
        <v>OBSERVADO</v>
      </c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  <c r="Z359" s="185" t="str">
        <f aca="false">IF(AND(G359&lt;&gt;"",R359&lt;&gt;"",V359&lt;&gt;"",W359&lt;&gt;""),"COMPLETADO","OBSERVADO")</f>
        <v>OBSERVADO</v>
      </c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85" t="str">
        <f aca="false">IF(AND(G360&lt;&gt;"",R360&lt;&gt;"",V360&lt;&gt;"",W360&lt;&gt;""),"COMPLETADO","OBSERVADO")</f>
        <v>OBSERVADO</v>
      </c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  <c r="Z361" s="185" t="str">
        <f aca="false">IF(AND(G361&lt;&gt;"",R361&lt;&gt;"",V361&lt;&gt;"",W361&lt;&gt;""),"COMPLETADO","OBSERVADO")</f>
        <v>OBSERVADO</v>
      </c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85" t="str">
        <f aca="false">IF(AND(G362&lt;&gt;"",R362&lt;&gt;"",V362&lt;&gt;"",W362&lt;&gt;""),"COMPLETADO","OBSERVADO")</f>
        <v>OBSERVADO</v>
      </c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  <c r="Z363" s="185" t="str">
        <f aca="false">IF(AND(G363&lt;&gt;"",R363&lt;&gt;"",V363&lt;&gt;"",W363&lt;&gt;""),"COMPLETADO","OBSERVADO")</f>
        <v>OBSERVADO</v>
      </c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85" t="str">
        <f aca="false">IF(AND(G364&lt;&gt;"",R364&lt;&gt;"",V364&lt;&gt;"",W364&lt;&gt;""),"COMPLETADO","OBSERVADO")</f>
        <v>OBSERVADO</v>
      </c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  <c r="Z365" s="185" t="str">
        <f aca="false">IF(AND(G365&lt;&gt;"",R365&lt;&gt;"",V365&lt;&gt;"",W365&lt;&gt;""),"COMPLETADO","OBSERVADO")</f>
        <v>OBSERVADO</v>
      </c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85" t="str">
        <f aca="false">IF(AND(G366&lt;&gt;"",R366&lt;&gt;"",V366&lt;&gt;"",W366&lt;&gt;""),"COMPLETADO","OBSERVADO")</f>
        <v>OBSERVADO</v>
      </c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  <c r="Z367" s="185" t="str">
        <f aca="false">IF(AND(G367&lt;&gt;"",R367&lt;&gt;"",V367&lt;&gt;"",W367&lt;&gt;""),"COMPLETADO","OBSERVADO")</f>
        <v>OBSERVADO</v>
      </c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85" t="str">
        <f aca="false">IF(AND(G368&lt;&gt;"",R368&lt;&gt;"",V368&lt;&gt;"",W368&lt;&gt;""),"COMPLETADO","OBSERVADO")</f>
        <v>OBSERVADO</v>
      </c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  <c r="Z369" s="185" t="str">
        <f aca="false">IF(AND(G369&lt;&gt;"",R369&lt;&gt;"",V369&lt;&gt;"",W369&lt;&gt;""),"COMPLETADO","OBSERVADO")</f>
        <v>OBSERVADO</v>
      </c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85" t="str">
        <f aca="false">IF(AND(G370&lt;&gt;"",R370&lt;&gt;"",V370&lt;&gt;"",W370&lt;&gt;""),"COMPLETADO","OBSERVADO")</f>
        <v>OBSERVADO</v>
      </c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  <c r="Z371" s="185" t="str">
        <f aca="false">IF(AND(G371&lt;&gt;"",R371&lt;&gt;"",V371&lt;&gt;"",W371&lt;&gt;""),"COMPLETADO","OBSERVADO")</f>
        <v>OBSERVADO</v>
      </c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85" t="str">
        <f aca="false">IF(AND(G372&lt;&gt;"",R372&lt;&gt;"",V372&lt;&gt;"",W372&lt;&gt;""),"COMPLETADO","OBSERVADO")</f>
        <v>OBSERVADO</v>
      </c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  <c r="Z373" s="185" t="str">
        <f aca="false">IF(AND(G373&lt;&gt;"",R373&lt;&gt;"",V373&lt;&gt;"",W373&lt;&gt;""),"COMPLETADO","OBSERVADO")</f>
        <v>OBSERVADO</v>
      </c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85" t="str">
        <f aca="false">IF(AND(G374&lt;&gt;"",R374&lt;&gt;"",V374&lt;&gt;"",W374&lt;&gt;""),"COMPLETADO","OBSERVADO")</f>
        <v>OBSERVADO</v>
      </c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  <c r="Z375" s="185" t="str">
        <f aca="false">IF(AND(G375&lt;&gt;"",R375&lt;&gt;"",V375&lt;&gt;"",W375&lt;&gt;""),"COMPLETADO","OBSERVADO")</f>
        <v>OBSERVADO</v>
      </c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85" t="str">
        <f aca="false">IF(AND(G376&lt;&gt;"",R376&lt;&gt;"",V376&lt;&gt;"",W376&lt;&gt;""),"COMPLETADO","OBSERVADO")</f>
        <v>OBSERVADO</v>
      </c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  <c r="Z377" s="185" t="str">
        <f aca="false">IF(AND(G377&lt;&gt;"",R377&lt;&gt;"",V377&lt;&gt;"",W377&lt;&gt;""),"COMPLETADO","OBSERVADO")</f>
        <v>OBSERVADO</v>
      </c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85" t="str">
        <f aca="false">IF(AND(G378&lt;&gt;"",R378&lt;&gt;"",V378&lt;&gt;"",W378&lt;&gt;""),"COMPLETADO","OBSERVADO")</f>
        <v>OBSERVADO</v>
      </c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  <c r="Z379" s="185" t="str">
        <f aca="false">IF(AND(G379&lt;&gt;"",R379&lt;&gt;"",V379&lt;&gt;"",W379&lt;&gt;""),"COMPLETADO","OBSERVADO")</f>
        <v>OBSERVADO</v>
      </c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85" t="str">
        <f aca="false">IF(AND(G380&lt;&gt;"",R380&lt;&gt;"",V380&lt;&gt;"",W380&lt;&gt;""),"COMPLETADO","OBSERVADO")</f>
        <v>OBSERVADO</v>
      </c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  <c r="Z381" s="185" t="str">
        <f aca="false">IF(AND(G381&lt;&gt;"",R381&lt;&gt;"",V381&lt;&gt;"",W381&lt;&gt;""),"COMPLETADO","OBSERVADO")</f>
        <v>OBSERVADO</v>
      </c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85" t="str">
        <f aca="false">IF(AND(G382&lt;&gt;"",R382&lt;&gt;"",V382&lt;&gt;"",W382&lt;&gt;""),"COMPLETADO","OBSERVADO")</f>
        <v>OBSERVADO</v>
      </c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  <c r="Z383" s="185" t="str">
        <f aca="false">IF(AND(G383&lt;&gt;"",R383&lt;&gt;"",V383&lt;&gt;"",W383&lt;&gt;""),"COMPLETADO","OBSERVADO")</f>
        <v>OBSERVADO</v>
      </c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85" t="str">
        <f aca="false">IF(AND(G384&lt;&gt;"",R384&lt;&gt;"",V384&lt;&gt;"",W384&lt;&gt;""),"COMPLETADO","OBSERVADO")</f>
        <v>OBSERVADO</v>
      </c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  <c r="Z385" s="185" t="str">
        <f aca="false">IF(AND(G385&lt;&gt;"",R385&lt;&gt;"",V385&lt;&gt;"",W385&lt;&gt;""),"COMPLETADO","OBSERVADO")</f>
        <v>OBSERVADO</v>
      </c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85" t="str">
        <f aca="false">IF(AND(G386&lt;&gt;"",R386&lt;&gt;"",V386&lt;&gt;"",W386&lt;&gt;""),"COMPLETADO","OBSERVADO")</f>
        <v>OBSERVADO</v>
      </c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  <c r="Z387" s="185" t="str">
        <f aca="false">IF(AND(G387&lt;&gt;"",R387&lt;&gt;"",V387&lt;&gt;"",W387&lt;&gt;""),"COMPLETADO","OBSERVADO")</f>
        <v>OBSERVADO</v>
      </c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85" t="str">
        <f aca="false">IF(AND(G388&lt;&gt;"",R388&lt;&gt;"",V388&lt;&gt;"",W388&lt;&gt;""),"COMPLETADO","OBSERVADO")</f>
        <v>OBSERVADO</v>
      </c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  <c r="Z389" s="185" t="str">
        <f aca="false">IF(AND(G389&lt;&gt;"",R389&lt;&gt;"",V389&lt;&gt;"",W389&lt;&gt;""),"COMPLETADO","OBSERVADO")</f>
        <v>OBSERVADO</v>
      </c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85" t="str">
        <f aca="false">IF(AND(G390&lt;&gt;"",R390&lt;&gt;"",V390&lt;&gt;"",W390&lt;&gt;""),"COMPLETADO","OBSERVADO")</f>
        <v>OBSERVADO</v>
      </c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  <c r="Z391" s="185" t="str">
        <f aca="false">IF(AND(G391&lt;&gt;"",R391&lt;&gt;"",V391&lt;&gt;"",W391&lt;&gt;""),"COMPLETADO","OBSERVADO")</f>
        <v>OBSERVADO</v>
      </c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85" t="str">
        <f aca="false">IF(AND(G392&lt;&gt;"",R392&lt;&gt;"",V392&lt;&gt;"",W392&lt;&gt;""),"COMPLETADO","OBSERVADO")</f>
        <v>OBSERVADO</v>
      </c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  <c r="Z393" s="185" t="str">
        <f aca="false">IF(AND(G393&lt;&gt;"",R393&lt;&gt;"",V393&lt;&gt;"",W393&lt;&gt;""),"COMPLETADO","OBSERVADO")</f>
        <v>OBSERVADO</v>
      </c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85" t="str">
        <f aca="false">IF(AND(G394&lt;&gt;"",R394&lt;&gt;"",V394&lt;&gt;"",W394&lt;&gt;""),"COMPLETADO","OBSERVADO")</f>
        <v>OBSERVADO</v>
      </c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  <c r="Z395" s="185" t="str">
        <f aca="false">IF(AND(G395&lt;&gt;"",R395&lt;&gt;"",V395&lt;&gt;"",W395&lt;&gt;""),"COMPLETADO","OBSERVADO")</f>
        <v>OBSERVADO</v>
      </c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85" t="str">
        <f aca="false">IF(AND(G396&lt;&gt;"",R396&lt;&gt;"",V396&lt;&gt;"",W396&lt;&gt;""),"COMPLETADO","OBSERVADO")</f>
        <v>OBSERVADO</v>
      </c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  <c r="Z397" s="185" t="str">
        <f aca="false">IF(AND(G397&lt;&gt;"",R397&lt;&gt;"",V397&lt;&gt;"",W397&lt;&gt;""),"COMPLETADO","OBSERVADO")</f>
        <v>OBSERVADO</v>
      </c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85" t="str">
        <f aca="false">IF(AND(G398&lt;&gt;"",R398&lt;&gt;"",V398&lt;&gt;"",W398&lt;&gt;""),"COMPLETADO","OBSERVADO")</f>
        <v>OBSERVADO</v>
      </c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  <c r="Z399" s="185" t="str">
        <f aca="false">IF(AND(G399&lt;&gt;"",R399&lt;&gt;"",V399&lt;&gt;"",W399&lt;&gt;""),"COMPLETADO","OBSERVADO")</f>
        <v>OBSERVADO</v>
      </c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85" t="str">
        <f aca="false">IF(AND(G400&lt;&gt;"",R400&lt;&gt;"",V400&lt;&gt;"",W400&lt;&gt;""),"COMPLETADO","OBSERVADO")</f>
        <v>OBSERVADO</v>
      </c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  <c r="Z401" s="185" t="str">
        <f aca="false">IF(AND(G401&lt;&gt;"",R401&lt;&gt;"",V401&lt;&gt;"",W401&lt;&gt;""),"COMPLETADO","OBSERVADO")</f>
        <v>OBSERVADO</v>
      </c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85" t="str">
        <f aca="false">IF(AND(G402&lt;&gt;"",R402&lt;&gt;"",V402&lt;&gt;"",W402&lt;&gt;""),"COMPLETADO","OBSERVADO")</f>
        <v>OBSERVADO</v>
      </c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  <c r="Z403" s="185" t="str">
        <f aca="false">IF(AND(G403&lt;&gt;"",R403&lt;&gt;"",V403&lt;&gt;"",W403&lt;&gt;""),"COMPLETADO","OBSERVADO")</f>
        <v>OBSERVADO</v>
      </c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85" t="str">
        <f aca="false">IF(AND(G404&lt;&gt;"",R404&lt;&gt;"",V404&lt;&gt;"",W404&lt;&gt;""),"COMPLETADO","OBSERVADO")</f>
        <v>OBSERVADO</v>
      </c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  <c r="Z405" s="185" t="str">
        <f aca="false">IF(AND(G405&lt;&gt;"",R405&lt;&gt;"",V405&lt;&gt;"",W405&lt;&gt;""),"COMPLETADO","OBSERVADO")</f>
        <v>OBSERVADO</v>
      </c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85" t="str">
        <f aca="false">IF(AND(G406&lt;&gt;"",R406&lt;&gt;"",V406&lt;&gt;"",W406&lt;&gt;""),"COMPLETADO","OBSERVADO")</f>
        <v>OBSERVADO</v>
      </c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  <c r="Z407" s="185" t="str">
        <f aca="false">IF(AND(G407&lt;&gt;"",R407&lt;&gt;"",V407&lt;&gt;"",W407&lt;&gt;""),"COMPLETADO","OBSERVADO")</f>
        <v>OBSERVADO</v>
      </c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85" t="str">
        <f aca="false">IF(AND(G408&lt;&gt;"",R408&lt;&gt;"",V408&lt;&gt;"",W408&lt;&gt;""),"COMPLETADO","OBSERVADO")</f>
        <v>OBSERVADO</v>
      </c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  <c r="Z409" s="185" t="str">
        <f aca="false">IF(AND(G409&lt;&gt;"",R409&lt;&gt;"",V409&lt;&gt;"",W409&lt;&gt;""),"COMPLETADO","OBSERVADO")</f>
        <v>OBSERVADO</v>
      </c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85" t="str">
        <f aca="false">IF(AND(G410&lt;&gt;"",R410&lt;&gt;"",V410&lt;&gt;"",W410&lt;&gt;""),"COMPLETADO","OBSERVADO")</f>
        <v>OBSERVADO</v>
      </c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  <c r="Z411" s="185" t="str">
        <f aca="false">IF(AND(G411&lt;&gt;"",R411&lt;&gt;"",V411&lt;&gt;"",W411&lt;&gt;""),"COMPLETADO","OBSERVADO")</f>
        <v>OBSERVADO</v>
      </c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85" t="str">
        <f aca="false">IF(AND(G412&lt;&gt;"",R412&lt;&gt;"",V412&lt;&gt;"",W412&lt;&gt;""),"COMPLETADO","OBSERVADO")</f>
        <v>OBSERVADO</v>
      </c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  <c r="Z413" s="185" t="str">
        <f aca="false">IF(AND(G413&lt;&gt;"",R413&lt;&gt;"",V413&lt;&gt;"",W413&lt;&gt;""),"COMPLETADO","OBSERVADO")</f>
        <v>OBSERVADO</v>
      </c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85" t="str">
        <f aca="false">IF(AND(G414&lt;&gt;"",R414&lt;&gt;"",V414&lt;&gt;"",W414&lt;&gt;""),"COMPLETADO","OBSERVADO")</f>
        <v>OBSERVADO</v>
      </c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  <c r="Z415" s="185" t="str">
        <f aca="false">IF(AND(G415&lt;&gt;"",R415&lt;&gt;"",V415&lt;&gt;"",W415&lt;&gt;""),"COMPLETADO","OBSERVADO")</f>
        <v>OBSERVADO</v>
      </c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85" t="str">
        <f aca="false">IF(AND(G416&lt;&gt;"",R416&lt;&gt;"",V416&lt;&gt;"",W416&lt;&gt;""),"COMPLETADO","OBSERVADO")</f>
        <v>OBSERVADO</v>
      </c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  <c r="Z417" s="185" t="str">
        <f aca="false">IF(AND(G417&lt;&gt;"",R417&lt;&gt;"",V417&lt;&gt;"",W417&lt;&gt;""),"COMPLETADO","OBSERVADO")</f>
        <v>OBSERVADO</v>
      </c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85" t="str">
        <f aca="false">IF(AND(G418&lt;&gt;"",R418&lt;&gt;"",V418&lt;&gt;"",W418&lt;&gt;""),"COMPLETADO","OBSERVADO")</f>
        <v>OBSERVADO</v>
      </c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  <c r="Z419" s="185" t="str">
        <f aca="false">IF(AND(G419&lt;&gt;"",R419&lt;&gt;"",V419&lt;&gt;"",W419&lt;&gt;""),"COMPLETADO","OBSERVADO")</f>
        <v>OBSERVADO</v>
      </c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85" t="str">
        <f aca="false">IF(AND(G420&lt;&gt;"",R420&lt;&gt;"",V420&lt;&gt;"",W420&lt;&gt;""),"COMPLETADO","OBSERVADO")</f>
        <v>OBSERVADO</v>
      </c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  <c r="Z421" s="185" t="str">
        <f aca="false">IF(AND(G421&lt;&gt;"",R421&lt;&gt;"",V421&lt;&gt;"",W421&lt;&gt;""),"COMPLETADO","OBSERVADO")</f>
        <v>OBSERVADO</v>
      </c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85" t="str">
        <f aca="false">IF(AND(G422&lt;&gt;"",R422&lt;&gt;"",V422&lt;&gt;"",W422&lt;&gt;""),"COMPLETADO","OBSERVADO")</f>
        <v>OBSERVADO</v>
      </c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  <c r="Z423" s="185" t="str">
        <f aca="false">IF(AND(G423&lt;&gt;"",R423&lt;&gt;"",V423&lt;&gt;"",W423&lt;&gt;""),"COMPLETADO","OBSERVADO")</f>
        <v>OBSERVADO</v>
      </c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85" t="str">
        <f aca="false">IF(AND(G424&lt;&gt;"",R424&lt;&gt;"",V424&lt;&gt;"",W424&lt;&gt;""),"COMPLETADO","OBSERVADO")</f>
        <v>OBSERVADO</v>
      </c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  <c r="Z425" s="185" t="str">
        <f aca="false">IF(AND(G425&lt;&gt;"",R425&lt;&gt;"",V425&lt;&gt;"",W425&lt;&gt;""),"COMPLETADO","OBSERVADO")</f>
        <v>OBSERVADO</v>
      </c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85" t="str">
        <f aca="false">IF(AND(G426&lt;&gt;"",R426&lt;&gt;"",V426&lt;&gt;"",W426&lt;&gt;""),"COMPLETADO","OBSERVADO")</f>
        <v>OBSERVADO</v>
      </c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  <c r="Z427" s="185" t="str">
        <f aca="false">IF(AND(G427&lt;&gt;"",R427&lt;&gt;"",V427&lt;&gt;"",W427&lt;&gt;""),"COMPLETADO","OBSERVADO")</f>
        <v>OBSERVADO</v>
      </c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85" t="str">
        <f aca="false">IF(AND(G428&lt;&gt;"",R428&lt;&gt;"",V428&lt;&gt;"",W428&lt;&gt;""),"COMPLETADO","OBSERVADO")</f>
        <v>OBSERVADO</v>
      </c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  <c r="Z429" s="185" t="str">
        <f aca="false">IF(AND(G429&lt;&gt;"",R429&lt;&gt;"",V429&lt;&gt;"",W429&lt;&gt;""),"COMPLETADO","OBSERVADO")</f>
        <v>OBSERVADO</v>
      </c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85" t="str">
        <f aca="false">IF(AND(G430&lt;&gt;"",R430&lt;&gt;"",V430&lt;&gt;"",W430&lt;&gt;""),"COMPLETADO","OBSERVADO")</f>
        <v>OBSERVADO</v>
      </c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  <c r="Z431" s="185" t="str">
        <f aca="false">IF(AND(G431&lt;&gt;"",R431&lt;&gt;"",V431&lt;&gt;"",W431&lt;&gt;""),"COMPLETADO","OBSERVADO")</f>
        <v>OBSERVADO</v>
      </c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85" t="str">
        <f aca="false">IF(AND(G432&lt;&gt;"",R432&lt;&gt;"",V432&lt;&gt;"",W432&lt;&gt;""),"COMPLETADO","OBSERVADO")</f>
        <v>OBSERVADO</v>
      </c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  <c r="Z433" s="185" t="str">
        <f aca="false">IF(AND(G433&lt;&gt;"",R433&lt;&gt;"",V433&lt;&gt;"",W433&lt;&gt;""),"COMPLETADO","OBSERVADO")</f>
        <v>OBSERVADO</v>
      </c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85" t="str">
        <f aca="false">IF(AND(G434&lt;&gt;"",R434&lt;&gt;"",V434&lt;&gt;"",W434&lt;&gt;""),"COMPLETADO","OBSERVADO")</f>
        <v>OBSERVADO</v>
      </c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  <c r="Z435" s="185" t="str">
        <f aca="false">IF(AND(G435&lt;&gt;"",R435&lt;&gt;"",V435&lt;&gt;"",W435&lt;&gt;""),"COMPLETADO","OBSERVADO")</f>
        <v>OBSERVADO</v>
      </c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85" t="str">
        <f aca="false">IF(AND(G436&lt;&gt;"",R436&lt;&gt;"",V436&lt;&gt;"",W436&lt;&gt;""),"COMPLETADO","OBSERVADO")</f>
        <v>OBSERVADO</v>
      </c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  <c r="Z437" s="185" t="str">
        <f aca="false">IF(AND(G437&lt;&gt;"",R437&lt;&gt;"",V437&lt;&gt;"",W437&lt;&gt;""),"COMPLETADO","OBSERVADO")</f>
        <v>OBSERVADO</v>
      </c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85" t="str">
        <f aca="false">IF(AND(G438&lt;&gt;"",R438&lt;&gt;"",V438&lt;&gt;"",W438&lt;&gt;""),"COMPLETADO","OBSERVADO")</f>
        <v>OBSERVADO</v>
      </c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  <c r="Z439" s="185" t="str">
        <f aca="false">IF(AND(G439&lt;&gt;"",R439&lt;&gt;"",V439&lt;&gt;"",W439&lt;&gt;""),"COMPLETADO","OBSERVADO")</f>
        <v>OBSERVADO</v>
      </c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85" t="str">
        <f aca="false">IF(AND(G440&lt;&gt;"",R440&lt;&gt;"",V440&lt;&gt;"",W440&lt;&gt;""),"COMPLETADO","OBSERVADO")</f>
        <v>OBSERVADO</v>
      </c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  <c r="Z441" s="185" t="str">
        <f aca="false">IF(AND(G441&lt;&gt;"",R441&lt;&gt;"",V441&lt;&gt;"",W441&lt;&gt;""),"COMPLETADO","OBSERVADO")</f>
        <v>OBSERVADO</v>
      </c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85" t="str">
        <f aca="false">IF(AND(G442&lt;&gt;"",R442&lt;&gt;"",V442&lt;&gt;"",W442&lt;&gt;""),"COMPLETADO","OBSERVADO")</f>
        <v>OBSERVADO</v>
      </c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  <c r="Z443" s="185" t="str">
        <f aca="false">IF(AND(G443&lt;&gt;"",R443&lt;&gt;"",V443&lt;&gt;"",W443&lt;&gt;""),"COMPLETADO","OBSERVADO")</f>
        <v>OBSERVADO</v>
      </c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85" t="str">
        <f aca="false">IF(AND(G444&lt;&gt;"",R444&lt;&gt;"",V444&lt;&gt;"",W444&lt;&gt;""),"COMPLETADO","OBSERVADO")</f>
        <v>OBSERVADO</v>
      </c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  <c r="Z445" s="185" t="str">
        <f aca="false">IF(AND(G445&lt;&gt;"",R445&lt;&gt;"",V445&lt;&gt;"",W445&lt;&gt;""),"COMPLETADO","OBSERVADO")</f>
        <v>OBSERVADO</v>
      </c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85" t="str">
        <f aca="false">IF(AND(G446&lt;&gt;"",R446&lt;&gt;"",V446&lt;&gt;"",W446&lt;&gt;""),"COMPLETADO","OBSERVADO")</f>
        <v>OBSERVADO</v>
      </c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  <c r="Z447" s="185" t="str">
        <f aca="false">IF(AND(G447&lt;&gt;"",R447&lt;&gt;"",V447&lt;&gt;"",W447&lt;&gt;""),"COMPLETADO","OBSERVADO")</f>
        <v>OBSERVADO</v>
      </c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85" t="str">
        <f aca="false">IF(AND(G448&lt;&gt;"",R448&lt;&gt;"",V448&lt;&gt;"",W448&lt;&gt;""),"COMPLETADO","OBSERVADO")</f>
        <v>OBSERVADO</v>
      </c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  <c r="Z449" s="185" t="str">
        <f aca="false">IF(AND(G449&lt;&gt;"",R449&lt;&gt;"",V449&lt;&gt;"",W449&lt;&gt;""),"COMPLETADO","OBSERVADO")</f>
        <v>OBSERVADO</v>
      </c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85" t="str">
        <f aca="false">IF(AND(G450&lt;&gt;"",R450&lt;&gt;"",V450&lt;&gt;"",W450&lt;&gt;""),"COMPLETADO","OBSERVADO")</f>
        <v>OBSERVADO</v>
      </c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  <c r="Z451" s="185" t="str">
        <f aca="false">IF(AND(G451&lt;&gt;"",R451&lt;&gt;"",V451&lt;&gt;"",W451&lt;&gt;""),"COMPLETADO","OBSERVADO")</f>
        <v>OBSERVADO</v>
      </c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85" t="str">
        <f aca="false">IF(AND(G452&lt;&gt;"",R452&lt;&gt;"",V452&lt;&gt;"",W452&lt;&gt;""),"COMPLETADO","OBSERVADO")</f>
        <v>OBSERVADO</v>
      </c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  <c r="Z453" s="185" t="str">
        <f aca="false">IF(AND(G453&lt;&gt;"",R453&lt;&gt;"",V453&lt;&gt;"",W453&lt;&gt;""),"COMPLETADO","OBSERVADO")</f>
        <v>OBSERVADO</v>
      </c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85" t="str">
        <f aca="false">IF(AND(G454&lt;&gt;"",R454&lt;&gt;"",V454&lt;&gt;"",W454&lt;&gt;""),"COMPLETADO","OBSERVADO")</f>
        <v>OBSERVADO</v>
      </c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  <c r="Z455" s="185" t="str">
        <f aca="false">IF(AND(G455&lt;&gt;"",R455&lt;&gt;"",V455&lt;&gt;"",W455&lt;&gt;""),"COMPLETADO","OBSERVADO")</f>
        <v>OBSERVADO</v>
      </c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85" t="str">
        <f aca="false">IF(AND(G456&lt;&gt;"",R456&lt;&gt;"",V456&lt;&gt;"",W456&lt;&gt;""),"COMPLETADO","OBSERVADO")</f>
        <v>OBSERVADO</v>
      </c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  <c r="Z457" s="185" t="str">
        <f aca="false">IF(AND(G457&lt;&gt;"",R457&lt;&gt;"",V457&lt;&gt;"",W457&lt;&gt;""),"COMPLETADO","OBSERVADO")</f>
        <v>OBSERVADO</v>
      </c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85" t="str">
        <f aca="false">IF(AND(G458&lt;&gt;"",R458&lt;&gt;"",V458&lt;&gt;"",W458&lt;&gt;""),"COMPLETADO","OBSERVADO")</f>
        <v>OBSERVADO</v>
      </c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  <c r="Z459" s="185" t="str">
        <f aca="false">IF(AND(G459&lt;&gt;"",R459&lt;&gt;"",V459&lt;&gt;"",W459&lt;&gt;""),"COMPLETADO","OBSERVADO")</f>
        <v>OBSERVADO</v>
      </c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85" t="str">
        <f aca="false">IF(AND(G460&lt;&gt;"",R460&lt;&gt;"",V460&lt;&gt;"",W460&lt;&gt;""),"COMPLETADO","OBSERVADO")</f>
        <v>OBSERVADO</v>
      </c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  <c r="Z461" s="185" t="str">
        <f aca="false">IF(AND(G461&lt;&gt;"",R461&lt;&gt;"",V461&lt;&gt;"",W461&lt;&gt;""),"COMPLETADO","OBSERVADO")</f>
        <v>OBSERVADO</v>
      </c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85" t="str">
        <f aca="false">IF(AND(G462&lt;&gt;"",R462&lt;&gt;"",V462&lt;&gt;"",W462&lt;&gt;""),"COMPLETADO","OBSERVADO")</f>
        <v>OBSERVADO</v>
      </c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  <c r="Z463" s="185" t="str">
        <f aca="false">IF(AND(G463&lt;&gt;"",R463&lt;&gt;"",V463&lt;&gt;"",W463&lt;&gt;""),"COMPLETADO","OBSERVADO")</f>
        <v>OBSERVADO</v>
      </c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85" t="str">
        <f aca="false">IF(AND(G464&lt;&gt;"",R464&lt;&gt;"",V464&lt;&gt;"",W464&lt;&gt;""),"COMPLETADO","OBSERVADO")</f>
        <v>OBSERVADO</v>
      </c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  <c r="Z465" s="185" t="str">
        <f aca="false">IF(AND(G465&lt;&gt;"",R465&lt;&gt;"",V465&lt;&gt;"",W465&lt;&gt;""),"COMPLETADO","OBSERVADO")</f>
        <v>OBSERVADO</v>
      </c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85" t="str">
        <f aca="false">IF(AND(G466&lt;&gt;"",R466&lt;&gt;"",V466&lt;&gt;"",W466&lt;&gt;""),"COMPLETADO","OBSERVADO")</f>
        <v>OBSERVADO</v>
      </c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  <c r="Z467" s="185" t="str">
        <f aca="false">IF(AND(G467&lt;&gt;"",R467&lt;&gt;"",V467&lt;&gt;"",W467&lt;&gt;""),"COMPLETADO","OBSERVADO")</f>
        <v>OBSERVADO</v>
      </c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85" t="str">
        <f aca="false">IF(AND(G468&lt;&gt;"",R468&lt;&gt;"",V468&lt;&gt;"",W468&lt;&gt;""),"COMPLETADO","OBSERVADO")</f>
        <v>OBSERVADO</v>
      </c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  <c r="Z469" s="185" t="str">
        <f aca="false">IF(AND(G469&lt;&gt;"",R469&lt;&gt;"",V469&lt;&gt;"",W469&lt;&gt;""),"COMPLETADO","OBSERVADO")</f>
        <v>OBSERVADO</v>
      </c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85" t="str">
        <f aca="false">IF(AND(G470&lt;&gt;"",R470&lt;&gt;"",V470&lt;&gt;"",W470&lt;&gt;""),"COMPLETADO","OBSERVADO")</f>
        <v>OBSERVADO</v>
      </c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  <c r="Z471" s="185" t="str">
        <f aca="false">IF(AND(G471&lt;&gt;"",R471&lt;&gt;"",V471&lt;&gt;"",W471&lt;&gt;""),"COMPLETADO","OBSERVADO")</f>
        <v>OBSERVADO</v>
      </c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85" t="str">
        <f aca="false">IF(AND(G472&lt;&gt;"",R472&lt;&gt;"",V472&lt;&gt;"",W472&lt;&gt;""),"COMPLETADO","OBSERVADO")</f>
        <v>OBSERVADO</v>
      </c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  <c r="Z473" s="185" t="str">
        <f aca="false">IF(AND(G473&lt;&gt;"",R473&lt;&gt;"",V473&lt;&gt;"",W473&lt;&gt;""),"COMPLETADO","OBSERVADO")</f>
        <v>OBSERVADO</v>
      </c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85" t="str">
        <f aca="false">IF(AND(G474&lt;&gt;"",R474&lt;&gt;"",V474&lt;&gt;"",W474&lt;&gt;""),"COMPLETADO","OBSERVADO")</f>
        <v>OBSERVADO</v>
      </c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  <c r="Z475" s="185" t="str">
        <f aca="false">IF(AND(G475&lt;&gt;"",R475&lt;&gt;"",V475&lt;&gt;"",W475&lt;&gt;""),"COMPLETADO","OBSERVADO")</f>
        <v>OBSERVADO</v>
      </c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85" t="str">
        <f aca="false">IF(AND(G476&lt;&gt;"",R476&lt;&gt;"",V476&lt;&gt;"",W476&lt;&gt;""),"COMPLETADO","OBSERVADO")</f>
        <v>OBSERVADO</v>
      </c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  <c r="Z477" s="185" t="str">
        <f aca="false">IF(AND(G477&lt;&gt;"",R477&lt;&gt;"",V477&lt;&gt;"",W477&lt;&gt;""),"COMPLETADO","OBSERVADO")</f>
        <v>OBSERVADO</v>
      </c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85" t="str">
        <f aca="false">IF(AND(G478&lt;&gt;"",R478&lt;&gt;"",V478&lt;&gt;"",W478&lt;&gt;""),"COMPLETADO","OBSERVADO")</f>
        <v>OBSERVADO</v>
      </c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  <c r="Z479" s="185" t="str">
        <f aca="false">IF(AND(G479&lt;&gt;"",R479&lt;&gt;"",V479&lt;&gt;"",W479&lt;&gt;""),"COMPLETADO","OBSERVADO")</f>
        <v>OBSERVADO</v>
      </c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85" t="str">
        <f aca="false">IF(AND(G480&lt;&gt;"",R480&lt;&gt;"",V480&lt;&gt;"",W480&lt;&gt;""),"COMPLETADO","OBSERVADO")</f>
        <v>OBSERVADO</v>
      </c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  <c r="Z481" s="185" t="str">
        <f aca="false">IF(AND(G481&lt;&gt;"",R481&lt;&gt;"",V481&lt;&gt;"",W481&lt;&gt;""),"COMPLETADO","OBSERVADO")</f>
        <v>OBSERVADO</v>
      </c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85" t="str">
        <f aca="false">IF(AND(G482&lt;&gt;"",R482&lt;&gt;"",V482&lt;&gt;"",W482&lt;&gt;""),"COMPLETADO","OBSERVADO")</f>
        <v>OBSERVADO</v>
      </c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  <c r="Z483" s="185" t="str">
        <f aca="false">IF(AND(G483&lt;&gt;"",R483&lt;&gt;"",V483&lt;&gt;"",W483&lt;&gt;""),"COMPLETADO","OBSERVADO")</f>
        <v>OBSERVADO</v>
      </c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85" t="str">
        <f aca="false">IF(AND(G484&lt;&gt;"",R484&lt;&gt;"",V484&lt;&gt;"",W484&lt;&gt;""),"COMPLETADO","OBSERVADO")</f>
        <v>OBSERVADO</v>
      </c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  <c r="Z485" s="185" t="str">
        <f aca="false">IF(AND(G485&lt;&gt;"",R485&lt;&gt;"",V485&lt;&gt;"",W485&lt;&gt;""),"COMPLETADO","OBSERVADO")</f>
        <v>OBSERVADO</v>
      </c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85" t="str">
        <f aca="false">IF(AND(G486&lt;&gt;"",R486&lt;&gt;"",V486&lt;&gt;"",W486&lt;&gt;""),"COMPLETADO","OBSERVADO")</f>
        <v>OBSERVADO</v>
      </c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  <c r="Z487" s="185" t="str">
        <f aca="false">IF(AND(G487&lt;&gt;"",R487&lt;&gt;"",V487&lt;&gt;"",W487&lt;&gt;""),"COMPLETADO","OBSERVADO")</f>
        <v>OBSERVADO</v>
      </c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85" t="str">
        <f aca="false">IF(AND(G488&lt;&gt;"",R488&lt;&gt;"",V488&lt;&gt;"",W488&lt;&gt;""),"COMPLETADO","OBSERVADO")</f>
        <v>OBSERVADO</v>
      </c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  <c r="Z489" s="185" t="str">
        <f aca="false">IF(AND(G489&lt;&gt;"",R489&lt;&gt;"",V489&lt;&gt;"",W489&lt;&gt;""),"COMPLETADO","OBSERVADO")</f>
        <v>OBSERVADO</v>
      </c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85" t="str">
        <f aca="false">IF(AND(G490&lt;&gt;"",R490&lt;&gt;"",V490&lt;&gt;"",W490&lt;&gt;""),"COMPLETADO","OBSERVADO")</f>
        <v>OBSERVADO</v>
      </c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  <c r="Z491" s="185" t="str">
        <f aca="false">IF(AND(G491&lt;&gt;"",R491&lt;&gt;"",V491&lt;&gt;"",W491&lt;&gt;""),"COMPLETADO","OBSERVADO")</f>
        <v>OBSERVADO</v>
      </c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85" t="str">
        <f aca="false">IF(AND(G492&lt;&gt;"",R492&lt;&gt;"",V492&lt;&gt;"",W492&lt;&gt;""),"COMPLETADO","OBSERVADO")</f>
        <v>OBSERVADO</v>
      </c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  <c r="Z493" s="185" t="str">
        <f aca="false">IF(AND(G493&lt;&gt;"",R493&lt;&gt;"",V493&lt;&gt;"",W493&lt;&gt;""),"COMPLETADO","OBSERVADO")</f>
        <v>OBSERVADO</v>
      </c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85" t="str">
        <f aca="false">IF(AND(G494&lt;&gt;"",R494&lt;&gt;"",V494&lt;&gt;"",W494&lt;&gt;""),"COMPLETADO","OBSERVADO")</f>
        <v>OBSERVADO</v>
      </c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  <c r="Z495" s="185" t="str">
        <f aca="false">IF(AND(G495&lt;&gt;"",R495&lt;&gt;"",V495&lt;&gt;"",W495&lt;&gt;""),"COMPLETADO","OBSERVADO")</f>
        <v>OBSERVADO</v>
      </c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85" t="str">
        <f aca="false">IF(AND(G496&lt;&gt;"",R496&lt;&gt;"",V496&lt;&gt;"",W496&lt;&gt;""),"COMPLETADO","OBSERVADO")</f>
        <v>OBSERVADO</v>
      </c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  <c r="Z497" s="185" t="str">
        <f aca="false">IF(AND(G497&lt;&gt;"",R497&lt;&gt;"",V497&lt;&gt;"",W497&lt;&gt;""),"COMPLETADO","OBSERVADO")</f>
        <v>OBSERVADO</v>
      </c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85" t="str">
        <f aca="false">IF(AND(G498&lt;&gt;"",R498&lt;&gt;"",V498&lt;&gt;"",W498&lt;&gt;""),"COMPLETADO","OBSERVADO")</f>
        <v>OBSERVADO</v>
      </c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  <c r="Z499" s="185" t="str">
        <f aca="false">IF(AND(G499&lt;&gt;"",R499&lt;&gt;"",V499&lt;&gt;"",W499&lt;&gt;""),"COMPLETADO","OBSERVADO")</f>
        <v>OBSERVADO</v>
      </c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85" t="str">
        <f aca="false">IF(AND(G500&lt;&gt;"",R500&lt;&gt;"",V500&lt;&gt;"",W500&lt;&gt;""),"COMPLETADO","OBSERVADO")</f>
        <v>OBSERVADO</v>
      </c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  <c r="Z501" s="185" t="str">
        <f aca="false">IF(AND(G501&lt;&gt;"",R501&lt;&gt;"",V501&lt;&gt;"",W501&lt;&gt;""),"COMPLETADO","OBSERVADO")</f>
        <v>OBSERVADO</v>
      </c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85" t="str">
        <f aca="false">IF(AND(G502&lt;&gt;"",R502&lt;&gt;"",V502&lt;&gt;"",W502&lt;&gt;""),"COMPLETADO","OBSERVADO")</f>
        <v>OBSERVADO</v>
      </c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  <c r="Z503" s="185" t="str">
        <f aca="false">IF(AND(G503&lt;&gt;"",R503&lt;&gt;"",V503&lt;&gt;"",W503&lt;&gt;""),"COMPLETADO","OBSERVADO")</f>
        <v>OBSERVADO</v>
      </c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85" t="str">
        <f aca="false">IF(AND(G504&lt;&gt;"",R504&lt;&gt;"",V504&lt;&gt;"",W504&lt;&gt;""),"COMPLETADO","OBSERVADO")</f>
        <v>OBSERVADO</v>
      </c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  <c r="Z505" s="185" t="str">
        <f aca="false">IF(AND(G505&lt;&gt;"",R505&lt;&gt;"",V505&lt;&gt;"",W505&lt;&gt;""),"COMPLETADO","OBSERVADO")</f>
        <v>OBSERVADO</v>
      </c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0</v>
      </c>
      <c r="N506" s="153" t="n">
        <f aca="false">SUM(N6:N505)</f>
        <v>0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8:J8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T6:T110">
    <cfRule type="expression" priority="9" aboveAverage="0" equalAverage="0" bottom="0" percent="0" rank="0" text="" dxfId="0">
      <formula>EXACT(T6,"APROBADO")</formula>
    </cfRule>
    <cfRule type="expression" priority="10" aboveAverage="0" equalAverage="0" bottom="0" percent="0" rank="0" text="" dxfId="7">
      <formula>EXACT(T6,"OBSERVADO")</formula>
    </cfRule>
  </conditionalFormatting>
  <conditionalFormatting sqref="Z6:Z110">
    <cfRule type="expression" priority="11" aboveAverage="0" equalAverage="0" bottom="0" percent="0" rank="0" text="" dxfId="0">
      <formula>EXACT(Z6,"COMPLETADO")</formula>
    </cfRule>
    <cfRule type="expression" priority="12" aboveAverage="0" equalAverage="0" bottom="0" percent="0" rank="0" text="" dxfId="7">
      <formula>EXACT(Z6,"OBSERVADO")</formula>
    </cfRule>
    <cfRule type="expression" priority="13" aboveAverage="0" equalAverage="0" bottom="0" percent="0" rank="0" text="" dxfId="0">
      <formula>Z6="ENTREGADO"</formula>
    </cfRule>
    <cfRule type="expression" priority="14" aboveAverage="0" equalAverage="0" bottom="0" percent="0" rank="0" text="" dxfId="7">
      <formula>Z6="POR RECOGER"</formula>
    </cfRule>
  </conditionalFormatting>
  <conditionalFormatting sqref="Y6:Y110">
    <cfRule type="expression" priority="15" aboveAverage="0" equalAverage="0" bottom="0" percent="0" rank="0" text="" dxfId="9">
      <formula>Y6&lt;&gt;""</formula>
    </cfRule>
  </conditionalFormatting>
  <dataValidations count="5"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7 E9:E505" type="list">
      <formula1>"DNI,CE,PASAPORTE"</formula1>
      <formula2>0</formula2>
    </dataValidation>
    <dataValidation allowBlank="true" errorStyle="stop" operator="between" showDropDown="false" showErrorMessage="false" showInputMessage="false" sqref="T6:T110" type="list">
      <formula1>"APROBADO,OBSERVADO"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111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30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71" t="s">
        <v>5155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2"/>
      <c r="AA1" s="89"/>
    </row>
    <row r="2" customFormat="false" ht="21.75" hidden="false" customHeight="true" outlineLevel="0" collapsed="false">
      <c r="A2" s="123" t="s">
        <v>724</v>
      </c>
      <c r="B2" s="123"/>
      <c r="C2" s="123"/>
      <c r="D2" s="173" t="n">
        <f aca="false">IFERROR(SUMPRODUCT((K6:K110="PETROLEO")*ISNUMBER(M6:M110)*M6:M110),0)</f>
        <v>0</v>
      </c>
      <c r="E2" s="173"/>
      <c r="F2" s="173"/>
      <c r="G2" s="123" t="s">
        <v>725</v>
      </c>
      <c r="H2" s="123"/>
      <c r="I2" s="123"/>
      <c r="J2" s="173" t="n">
        <f aca="false">IFERROR(SUMPRODUCT((K6:K110="GASOLINA")*ISNUMBER(M6:M110)*M6:M110),0)</f>
        <v>0</v>
      </c>
      <c r="K2" s="173"/>
      <c r="L2" s="173"/>
      <c r="M2" s="123" t="s">
        <v>726</v>
      </c>
      <c r="N2" s="123"/>
      <c r="O2" s="123"/>
      <c r="P2" s="174" t="n">
        <f aca="false">IFERROR(SUMPRODUCT(ISNUMBER(M6:M110)*L6:L110*M6:M110),0)</f>
        <v>0</v>
      </c>
      <c r="Q2" s="174"/>
      <c r="R2" s="174"/>
      <c r="S2" s="123" t="s">
        <v>727</v>
      </c>
      <c r="T2" s="123"/>
      <c r="U2" s="175" t="n">
        <f aca="false">SUBTOTAL(2,A6:A110)</f>
        <v>0</v>
      </c>
      <c r="V2" s="175"/>
      <c r="W2" s="176"/>
      <c r="X2" s="176"/>
      <c r="Y2" s="176"/>
      <c r="Z2" s="176"/>
      <c r="AA2" s="176"/>
      <c r="AB2" s="176"/>
      <c r="AC2" s="176"/>
    </row>
    <row r="3" customFormat="false" ht="3.75" hidden="false" customHeight="true" outlineLevel="0" collapsed="false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89"/>
    </row>
    <row r="4" customFormat="false" ht="19.5" hidden="false" customHeight="true" outlineLevel="0" collapsed="false">
      <c r="A4" s="177" t="s">
        <v>730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8"/>
      <c r="AA4" s="89"/>
    </row>
    <row r="5" customFormat="false" ht="31.5" hidden="false" customHeight="true" outlineLevel="0" collapsed="false">
      <c r="A5" s="179" t="s">
        <v>97</v>
      </c>
      <c r="B5" s="179" t="s">
        <v>731</v>
      </c>
      <c r="C5" s="179" t="s">
        <v>732</v>
      </c>
      <c r="D5" s="179" t="s">
        <v>319</v>
      </c>
      <c r="E5" s="179" t="s">
        <v>733</v>
      </c>
      <c r="F5" s="179" t="s">
        <v>734</v>
      </c>
      <c r="G5" s="179" t="s">
        <v>735</v>
      </c>
      <c r="H5" s="179" t="s">
        <v>736</v>
      </c>
      <c r="I5" s="180" t="s">
        <v>737</v>
      </c>
      <c r="J5" s="179" t="s">
        <v>738</v>
      </c>
      <c r="K5" s="180" t="s">
        <v>739</v>
      </c>
      <c r="L5" s="179" t="s">
        <v>740</v>
      </c>
      <c r="M5" s="179" t="s">
        <v>4</v>
      </c>
      <c r="N5" s="180" t="s">
        <v>741</v>
      </c>
      <c r="O5" s="179" t="s">
        <v>742</v>
      </c>
      <c r="P5" s="180" t="s">
        <v>4527</v>
      </c>
      <c r="Q5" s="180" t="s">
        <v>104</v>
      </c>
      <c r="R5" s="179" t="s">
        <v>743</v>
      </c>
      <c r="S5" s="179" t="s">
        <v>744</v>
      </c>
      <c r="T5" s="179" t="s">
        <v>745</v>
      </c>
      <c r="U5" s="179" t="s">
        <v>746</v>
      </c>
      <c r="V5" s="179" t="s">
        <v>747</v>
      </c>
      <c r="W5" s="179" t="s">
        <v>748</v>
      </c>
      <c r="X5" s="179" t="s">
        <v>749</v>
      </c>
      <c r="Y5" s="129" t="s">
        <v>729</v>
      </c>
      <c r="Z5" s="181" t="s">
        <v>4528</v>
      </c>
      <c r="AA5" s="89"/>
    </row>
    <row r="6" customFormat="false" ht="15.75" hidden="false" customHeight="true" outlineLevel="0" collapsed="false">
      <c r="A6" s="140"/>
      <c r="B6" s="140"/>
      <c r="C6" s="140"/>
      <c r="D6" s="140"/>
      <c r="E6" s="140"/>
      <c r="F6" s="140"/>
      <c r="G6" s="140"/>
      <c r="H6" s="140"/>
      <c r="I6" s="138" t="str">
        <f aca="false">IFERROR(VLOOKUP(TEXT(H6,"0"),IPRESS!$A$3:$B$212,2,0),"")</f>
        <v/>
      </c>
      <c r="J6" s="140"/>
      <c r="K6" s="138" t="str">
        <f aca="false">IFERROR(VLOOKUP(TEXT(O6,"0"),CONDUCTORES!$A$3:$G$54,7,0),"")</f>
        <v/>
      </c>
      <c r="L6" s="140"/>
      <c r="M6" s="140"/>
      <c r="N6" s="139" t="str">
        <f aca="false">IFERROR(IF(L6*M6=0,"",L6*M6),"")</f>
        <v/>
      </c>
      <c r="O6" s="140"/>
      <c r="P6" s="138" t="str">
        <f aca="false">IFERROR(VLOOKUP(TEXT(O6,"0"),CONDUCTORES!$A$3:$G$54,2,0),"")</f>
        <v/>
      </c>
      <c r="Q6" s="138" t="str">
        <f aca="false">IFERROR(VLOOKUP(TEXT(O6,"0"),CONDUCTORES!$A$3:$H$54,6,0),"")</f>
        <v/>
      </c>
      <c r="R6" s="140"/>
      <c r="S6" s="140"/>
      <c r="T6" s="140"/>
      <c r="U6" s="140"/>
      <c r="V6" s="140"/>
      <c r="W6" s="140"/>
      <c r="X6" s="140"/>
      <c r="Y6" s="140"/>
      <c r="Z6" s="47" t="str">
        <f aca="false">IF(AND(G6&lt;&gt;"",R6&lt;&gt;"",V6&lt;&gt;"",W6&lt;&gt;""),"COMPLETADO","OBSERVADO")</f>
        <v>OBSERVADO</v>
      </c>
      <c r="AA6" s="89"/>
    </row>
    <row r="7" customFormat="false" ht="15.75" hidden="false" customHeight="true" outlineLevel="0" collapsed="false">
      <c r="A7" s="85"/>
      <c r="B7" s="85"/>
      <c r="C7" s="85"/>
      <c r="D7" s="85"/>
      <c r="E7" s="85"/>
      <c r="F7" s="85"/>
      <c r="G7" s="85"/>
      <c r="H7" s="85"/>
      <c r="I7" s="138" t="str">
        <f aca="false">IFERROR(VLOOKUP(TEXT(H7,"0"),IPRESS!$A$3:$B$212,2,0),"")</f>
        <v/>
      </c>
      <c r="J7" s="85"/>
      <c r="K7" s="138" t="str">
        <f aca="false">IFERROR(VLOOKUP(TEXT(O7,"0"),CONDUCTORES!$A$3:$G$54,7,0),"")</f>
        <v/>
      </c>
      <c r="L7" s="85"/>
      <c r="M7" s="85"/>
      <c r="N7" s="139" t="str">
        <f aca="false">IFERROR(IF(L7*M7=0,"",L7*M7),"")</f>
        <v/>
      </c>
      <c r="O7" s="85"/>
      <c r="P7" s="138" t="str">
        <f aca="false">IFERROR(VLOOKUP(TEXT(O7,"0"),CONDUCTORES!$A$3:$G$54,2,0),"")</f>
        <v/>
      </c>
      <c r="Q7" s="138" t="str">
        <f aca="false">IFERROR(VLOOKUP(TEXT(O7,"0"),CONDUCTORES!$A$3:$H$54,6,0),"")</f>
        <v/>
      </c>
      <c r="R7" s="85"/>
      <c r="S7" s="85"/>
      <c r="T7" s="85"/>
      <c r="U7" s="85"/>
      <c r="V7" s="85"/>
      <c r="W7" s="85"/>
      <c r="X7" s="85"/>
      <c r="Y7" s="85"/>
      <c r="Z7" s="41" t="str">
        <f aca="false">IF(AND(G7&lt;&gt;"",R7&lt;&gt;"",V7&lt;&gt;"",W7&lt;&gt;""),"COMPLETADO","OBSERVADO")</f>
        <v>OBSERVADO</v>
      </c>
      <c r="AA7" s="89"/>
    </row>
    <row r="8" customFormat="false" ht="15.75" hidden="false" customHeight="true" outlineLevel="0" collapsed="false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38" t="str">
        <f aca="false">IFERROR(VLOOKUP(TEXT(O8,"0"),CONDUCTORES!$A$3:$G$54,7,0),"")</f>
        <v/>
      </c>
      <c r="L8" s="140"/>
      <c r="M8" s="183"/>
      <c r="N8" s="139" t="str">
        <f aca="false">IFERROR(IF(L8*M8=0,"",L8*M8),"")</f>
        <v/>
      </c>
      <c r="O8" s="140"/>
      <c r="P8" s="138" t="str">
        <f aca="false">IFERROR(VLOOKUP(TEXT(O8,"0"),CONDUCTORES!$A$3:$G$54,2,0),"")</f>
        <v/>
      </c>
      <c r="Q8" s="138" t="str">
        <f aca="false">IFERROR(VLOOKUP(TEXT(O8,"0"),CONDUCTORES!$A$3:$H$54,6,0),"")</f>
        <v/>
      </c>
      <c r="R8" s="140"/>
      <c r="S8" s="140"/>
      <c r="T8" s="140"/>
      <c r="U8" s="140"/>
      <c r="V8" s="140"/>
      <c r="W8" s="140"/>
      <c r="X8" s="140"/>
      <c r="Y8" s="140"/>
      <c r="Z8" s="47" t="str">
        <f aca="false">IF(AND(G8&lt;&gt;"",R8&lt;&gt;"",V8&lt;&gt;"",W8&lt;&gt;""),"COMPLETADO","OBSERVADO")</f>
        <v>OBSERVADO</v>
      </c>
      <c r="AA8" s="89"/>
    </row>
    <row r="9" customFormat="false" ht="15.75" hidden="false" customHeight="true" outlineLevel="0" collapsed="false">
      <c r="A9" s="85"/>
      <c r="B9" s="85"/>
      <c r="C9" s="85"/>
      <c r="D9" s="85"/>
      <c r="E9" s="85"/>
      <c r="F9" s="85"/>
      <c r="G9" s="85"/>
      <c r="H9" s="85"/>
      <c r="I9" s="138" t="str">
        <f aca="false">IFERROR(VLOOKUP(TEXT(H9,"0"),IPRESS!$A$3:$B$212,2,0),"")</f>
        <v/>
      </c>
      <c r="J9" s="85"/>
      <c r="K9" s="138" t="str">
        <f aca="false">IFERROR(VLOOKUP(TEXT(O9,"0"),CONDUCTORES!$A$3:$G$54,7,0),"")</f>
        <v/>
      </c>
      <c r="L9" s="85"/>
      <c r="M9" s="85"/>
      <c r="N9" s="139" t="str">
        <f aca="false">IFERROR(IF(L9*M9=0,"",L9*M9),"")</f>
        <v/>
      </c>
      <c r="O9" s="85"/>
      <c r="P9" s="138" t="str">
        <f aca="false">IFERROR(VLOOKUP(TEXT(O9,"0"),CONDUCTORES!$A$3:$G$54,2,0),"")</f>
        <v/>
      </c>
      <c r="Q9" s="138" t="str">
        <f aca="false">IFERROR(VLOOKUP(TEXT(O9,"0"),CONDUCTORES!$A$3:$H$54,6,0),"")</f>
        <v/>
      </c>
      <c r="R9" s="85"/>
      <c r="S9" s="85"/>
      <c r="T9" s="85"/>
      <c r="U9" s="85"/>
      <c r="V9" s="85"/>
      <c r="W9" s="85"/>
      <c r="X9" s="85"/>
      <c r="Y9" s="85"/>
      <c r="Z9" s="41" t="str">
        <f aca="false">IF(AND(G9&lt;&gt;"",R9&lt;&gt;"",V9&lt;&gt;"",W9&lt;&gt;""),"COMPLETADO","OBSERVADO")</f>
        <v>OBSERVADO</v>
      </c>
      <c r="AA9" s="89"/>
    </row>
    <row r="10" customFormat="false" ht="15.75" hidden="false" customHeight="true" outlineLevel="0" collapsed="false">
      <c r="A10" s="140"/>
      <c r="B10" s="140"/>
      <c r="C10" s="140"/>
      <c r="D10" s="140"/>
      <c r="E10" s="140"/>
      <c r="F10" s="140"/>
      <c r="G10" s="140"/>
      <c r="H10" s="140"/>
      <c r="I10" s="138" t="str">
        <f aca="false">IFERROR(VLOOKUP(TEXT(H10,"0"),IPRESS!$A$3:$B$212,2,0),"")</f>
        <v/>
      </c>
      <c r="J10" s="140"/>
      <c r="K10" s="138" t="str">
        <f aca="false">IFERROR(VLOOKUP(TEXT(O10,"0"),CONDUCTORES!$A$3:$G$54,7,0),"")</f>
        <v/>
      </c>
      <c r="L10" s="140"/>
      <c r="M10" s="140"/>
      <c r="N10" s="139" t="str">
        <f aca="false">IFERROR(IF(L10*M10=0,"",L10*M10),"")</f>
        <v/>
      </c>
      <c r="O10" s="140"/>
      <c r="P10" s="138" t="str">
        <f aca="false">IFERROR(VLOOKUP(TEXT(O10,"0"),CONDUCTORES!$A$3:$G$54,2,0),"")</f>
        <v/>
      </c>
      <c r="Q10" s="138" t="str">
        <f aca="false">IFERROR(VLOOKUP(TEXT(O10,"0"),CONDUCTORES!$A$3:$H$54,6,0),"")</f>
        <v/>
      </c>
      <c r="R10" s="140"/>
      <c r="S10" s="140"/>
      <c r="T10" s="140"/>
      <c r="U10" s="140"/>
      <c r="V10" s="140"/>
      <c r="W10" s="140"/>
      <c r="X10" s="140"/>
      <c r="Y10" s="140"/>
      <c r="Z10" s="47" t="str">
        <f aca="false">IF(AND(G10&lt;&gt;"",R10&lt;&gt;"",V10&lt;&gt;"",W10&lt;&gt;""),"COMPLETADO","OBSERVADO")</f>
        <v>OBSERVADO</v>
      </c>
      <c r="AA10" s="89"/>
    </row>
    <row r="11" customFormat="false" ht="15.75" hidden="false" customHeight="true" outlineLevel="0" collapsed="false">
      <c r="A11" s="85"/>
      <c r="B11" s="85"/>
      <c r="C11" s="85"/>
      <c r="D11" s="85"/>
      <c r="E11" s="85"/>
      <c r="F11" s="85"/>
      <c r="G11" s="85"/>
      <c r="H11" s="85"/>
      <c r="I11" s="138" t="str">
        <f aca="false">IFERROR(VLOOKUP(TEXT(H11,"0"),IPRESS!$A$3:$B$212,2,0),"")</f>
        <v/>
      </c>
      <c r="J11" s="85"/>
      <c r="K11" s="138" t="str">
        <f aca="false">IFERROR(VLOOKUP(TEXT(O11,"0"),CONDUCTORES!$A$3:$G$54,7,0),"")</f>
        <v/>
      </c>
      <c r="L11" s="85"/>
      <c r="M11" s="85"/>
      <c r="N11" s="139" t="str">
        <f aca="false">IFERROR(IF(L11*M11=0,"",L11*M11),"")</f>
        <v/>
      </c>
      <c r="O11" s="85"/>
      <c r="P11" s="138" t="str">
        <f aca="false">IFERROR(VLOOKUP(TEXT(O11,"0"),CONDUCTORES!$A$3:$G$54,2,0),"")</f>
        <v/>
      </c>
      <c r="Q11" s="138" t="str">
        <f aca="false">IFERROR(VLOOKUP(TEXT(O11,"0"),CONDUCTORES!$A$3:$H$54,6,0),"")</f>
        <v/>
      </c>
      <c r="R11" s="85"/>
      <c r="S11" s="85"/>
      <c r="T11" s="85"/>
      <c r="U11" s="85"/>
      <c r="V11" s="85"/>
      <c r="W11" s="85"/>
      <c r="X11" s="85"/>
      <c r="Y11" s="85"/>
      <c r="Z11" s="41" t="str">
        <f aca="false">IF(AND(G11&lt;&gt;"",R11&lt;&gt;"",V11&lt;&gt;"",W11&lt;&gt;""),"COMPLETADO","OBSERVADO")</f>
        <v>OBSERVADO</v>
      </c>
      <c r="AA11" s="89"/>
    </row>
    <row r="12" customFormat="false" ht="15.75" hidden="false" customHeight="true" outlineLevel="0" collapsed="false">
      <c r="A12" s="140"/>
      <c r="B12" s="140"/>
      <c r="C12" s="140"/>
      <c r="D12" s="140"/>
      <c r="E12" s="140"/>
      <c r="F12" s="140"/>
      <c r="G12" s="140"/>
      <c r="H12" s="140"/>
      <c r="I12" s="138" t="str">
        <f aca="false">IFERROR(VLOOKUP(TEXT(H12,"0"),IPRESS!$A$3:$B$212,2,0),"")</f>
        <v/>
      </c>
      <c r="J12" s="140"/>
      <c r="K12" s="138" t="str">
        <f aca="false">IFERROR(VLOOKUP(TEXT(O12,"0"),CONDUCTORES!$A$3:$G$54,7,0),"")</f>
        <v/>
      </c>
      <c r="L12" s="140"/>
      <c r="M12" s="140"/>
      <c r="N12" s="139" t="str">
        <f aca="false">IFERROR(IF(L12*M12=0,"",L12*M12),"")</f>
        <v/>
      </c>
      <c r="O12" s="140"/>
      <c r="P12" s="138" t="str">
        <f aca="false">IFERROR(VLOOKUP(TEXT(O12,"0"),CONDUCTORES!$A$3:$G$54,2,0),"")</f>
        <v/>
      </c>
      <c r="Q12" s="138" t="str">
        <f aca="false">IFERROR(VLOOKUP(TEXT(O12,"0"),CONDUCTORES!$A$3:$H$54,6,0),"")</f>
        <v/>
      </c>
      <c r="R12" s="140"/>
      <c r="S12" s="140"/>
      <c r="T12" s="140"/>
      <c r="U12" s="140"/>
      <c r="V12" s="140"/>
      <c r="W12" s="140"/>
      <c r="X12" s="140"/>
      <c r="Y12" s="140"/>
      <c r="Z12" s="47" t="str">
        <f aca="false">IF(AND(G12&lt;&gt;"",R12&lt;&gt;"",V12&lt;&gt;"",W12&lt;&gt;""),"COMPLETADO","OBSERVADO")</f>
        <v>OBSERVADO</v>
      </c>
      <c r="AA12" s="89"/>
    </row>
    <row r="13" customFormat="false" ht="15.75" hidden="false" customHeight="true" outlineLevel="0" collapsed="false">
      <c r="A13" s="85"/>
      <c r="B13" s="85"/>
      <c r="C13" s="85"/>
      <c r="D13" s="85"/>
      <c r="E13" s="85"/>
      <c r="F13" s="85"/>
      <c r="G13" s="85"/>
      <c r="H13" s="85"/>
      <c r="I13" s="138" t="str">
        <f aca="false">IFERROR(VLOOKUP(TEXT(H13,"0"),IPRESS!$A$3:$B$212,2,0),"")</f>
        <v/>
      </c>
      <c r="J13" s="85"/>
      <c r="K13" s="138" t="str">
        <f aca="false">IFERROR(VLOOKUP(TEXT(O13,"0"),CONDUCTORES!$A$3:$G$54,7,0),"")</f>
        <v/>
      </c>
      <c r="L13" s="85"/>
      <c r="M13" s="85"/>
      <c r="N13" s="139" t="str">
        <f aca="false">IFERROR(IF(L13*M13=0,"",L13*M13),"")</f>
        <v/>
      </c>
      <c r="O13" s="85"/>
      <c r="P13" s="138" t="str">
        <f aca="false">IFERROR(VLOOKUP(TEXT(O13,"0"),CONDUCTORES!$A$3:$G$54,2,0),"")</f>
        <v/>
      </c>
      <c r="Q13" s="138" t="str">
        <f aca="false">IFERROR(VLOOKUP(TEXT(O13,"0"),CONDUCTORES!$A$3:$H$54,6,0),"")</f>
        <v/>
      </c>
      <c r="R13" s="85"/>
      <c r="S13" s="85"/>
      <c r="T13" s="85"/>
      <c r="U13" s="85"/>
      <c r="V13" s="85"/>
      <c r="W13" s="85"/>
      <c r="X13" s="85"/>
      <c r="Y13" s="85"/>
      <c r="Z13" s="41" t="str">
        <f aca="false">IF(AND(G13&lt;&gt;"",R13&lt;&gt;"",V13&lt;&gt;"",W13&lt;&gt;""),"COMPLETADO","OBSERVADO")</f>
        <v>OBSERVADO</v>
      </c>
      <c r="AA13" s="89"/>
    </row>
    <row r="14" customFormat="false" ht="15.75" hidden="false" customHeight="true" outlineLevel="0" collapsed="false">
      <c r="A14" s="140"/>
      <c r="B14" s="140"/>
      <c r="C14" s="140"/>
      <c r="D14" s="140"/>
      <c r="E14" s="140"/>
      <c r="F14" s="140"/>
      <c r="G14" s="140"/>
      <c r="H14" s="140"/>
      <c r="I14" s="138" t="str">
        <f aca="false">IFERROR(VLOOKUP(TEXT(H14,"0"),IPRESS!$A$3:$B$212,2,0),"")</f>
        <v/>
      </c>
      <c r="J14" s="140"/>
      <c r="K14" s="138" t="str">
        <f aca="false">IFERROR(VLOOKUP(TEXT(O14,"0"),CONDUCTORES!$A$3:$G$54,7,0),"")</f>
        <v/>
      </c>
      <c r="L14" s="140"/>
      <c r="M14" s="140"/>
      <c r="N14" s="139" t="str">
        <f aca="false">IFERROR(IF(L14*M14=0,"",L14*M14),"")</f>
        <v/>
      </c>
      <c r="O14" s="140"/>
      <c r="P14" s="138" t="str">
        <f aca="false">IFERROR(VLOOKUP(TEXT(O14,"0"),CONDUCTORES!$A$3:$G$54,2,0),"")</f>
        <v/>
      </c>
      <c r="Q14" s="138" t="str">
        <f aca="false">IFERROR(VLOOKUP(TEXT(O14,"0"),CONDUCTORES!$A$3:$H$54,6,0),"")</f>
        <v/>
      </c>
      <c r="R14" s="140"/>
      <c r="S14" s="140"/>
      <c r="T14" s="140"/>
      <c r="U14" s="140"/>
      <c r="V14" s="140"/>
      <c r="W14" s="140"/>
      <c r="X14" s="140"/>
      <c r="Y14" s="140"/>
      <c r="Z14" s="47" t="str">
        <f aca="false">IF(AND(G14&lt;&gt;"",R14&lt;&gt;"",V14&lt;&gt;"",W14&lt;&gt;""),"COMPLETADO","OBSERVADO")</f>
        <v>OBSERVADO</v>
      </c>
      <c r="AA14" s="89"/>
    </row>
    <row r="15" customFormat="false" ht="15.75" hidden="false" customHeight="true" outlineLevel="0" collapsed="false">
      <c r="A15" s="85"/>
      <c r="B15" s="85"/>
      <c r="C15" s="85"/>
      <c r="D15" s="85"/>
      <c r="E15" s="85"/>
      <c r="F15" s="85"/>
      <c r="G15" s="85"/>
      <c r="H15" s="85"/>
      <c r="I15" s="138" t="str">
        <f aca="false">IFERROR(VLOOKUP(TEXT(H15,"0"),IPRESS!$A$3:$B$212,2,0),"")</f>
        <v/>
      </c>
      <c r="J15" s="85"/>
      <c r="K15" s="138" t="str">
        <f aca="false">IFERROR(VLOOKUP(TEXT(O15,"0"),CONDUCTORES!$A$3:$G$54,7,0),"")</f>
        <v/>
      </c>
      <c r="L15" s="85"/>
      <c r="M15" s="85"/>
      <c r="N15" s="139" t="str">
        <f aca="false">IFERROR(IF(L15*M15=0,"",L15*M15),"")</f>
        <v/>
      </c>
      <c r="O15" s="85"/>
      <c r="P15" s="138" t="str">
        <f aca="false">IFERROR(VLOOKUP(TEXT(O15,"0"),CONDUCTORES!$A$3:$G$54,2,0),"")</f>
        <v/>
      </c>
      <c r="Q15" s="138" t="str">
        <f aca="false">IFERROR(VLOOKUP(TEXT(O15,"0"),CONDUCTORES!$A$3:$H$54,6,0),"")</f>
        <v/>
      </c>
      <c r="R15" s="85"/>
      <c r="S15" s="85"/>
      <c r="T15" s="85"/>
      <c r="U15" s="85"/>
      <c r="V15" s="85"/>
      <c r="W15" s="85"/>
      <c r="X15" s="85"/>
      <c r="Y15" s="85"/>
      <c r="Z15" s="41" t="str">
        <f aca="false">IF(AND(G15&lt;&gt;"",R15&lt;&gt;"",V15&lt;&gt;"",W15&lt;&gt;""),"COMPLETADO","OBSERVADO")</f>
        <v>OBSERVADO</v>
      </c>
      <c r="AA15" s="89"/>
    </row>
    <row r="16" customFormat="false" ht="15.75" hidden="false" customHeight="true" outlineLevel="0" collapsed="false">
      <c r="A16" s="140"/>
      <c r="B16" s="140"/>
      <c r="C16" s="140"/>
      <c r="D16" s="140"/>
      <c r="E16" s="140"/>
      <c r="F16" s="140"/>
      <c r="G16" s="140"/>
      <c r="H16" s="140"/>
      <c r="I16" s="138" t="str">
        <f aca="false">IFERROR(VLOOKUP(TEXT(H16,"0"),IPRESS!$A$3:$B$212,2,0),"")</f>
        <v/>
      </c>
      <c r="J16" s="140"/>
      <c r="K16" s="138" t="str">
        <f aca="false">IFERROR(VLOOKUP(TEXT(O16,"0"),CONDUCTORES!$A$3:$G$54,7,0),"")</f>
        <v/>
      </c>
      <c r="L16" s="140"/>
      <c r="M16" s="140"/>
      <c r="N16" s="139" t="str">
        <f aca="false">IFERROR(IF(L16*M16=0,"",L16*M16),"")</f>
        <v/>
      </c>
      <c r="O16" s="140"/>
      <c r="P16" s="138" t="str">
        <f aca="false">IFERROR(VLOOKUP(TEXT(O16,"0"),CONDUCTORES!$A$3:$G$54,2,0),"")</f>
        <v/>
      </c>
      <c r="Q16" s="138" t="str">
        <f aca="false">IFERROR(VLOOKUP(TEXT(O16,"0"),CONDUCTORES!$A$3:$H$54,6,0),"")</f>
        <v/>
      </c>
      <c r="R16" s="140"/>
      <c r="S16" s="140"/>
      <c r="T16" s="140"/>
      <c r="U16" s="140"/>
      <c r="V16" s="140"/>
      <c r="W16" s="140"/>
      <c r="X16" s="140"/>
      <c r="Y16" s="140"/>
      <c r="Z16" s="47" t="str">
        <f aca="false">IF(AND(G16&lt;&gt;"",R16&lt;&gt;"",V16&lt;&gt;"",W16&lt;&gt;""),"COMPLETADO","OBSERVADO")</f>
        <v>OBSERVADO</v>
      </c>
      <c r="AA16" s="89"/>
    </row>
    <row r="17" customFormat="false" ht="15.75" hidden="false" customHeight="true" outlineLevel="0" collapsed="false">
      <c r="A17" s="85"/>
      <c r="B17" s="85"/>
      <c r="C17" s="85"/>
      <c r="D17" s="85"/>
      <c r="E17" s="85"/>
      <c r="F17" s="85"/>
      <c r="G17" s="85"/>
      <c r="H17" s="85"/>
      <c r="I17" s="138" t="str">
        <f aca="false">IFERROR(VLOOKUP(TEXT(H17,"0"),IPRESS!$A$3:$B$212,2,0),"")</f>
        <v/>
      </c>
      <c r="J17" s="85"/>
      <c r="K17" s="138" t="str">
        <f aca="false">IFERROR(VLOOKUP(TEXT(O17,"0"),CONDUCTORES!$A$3:$G$54,7,0),"")</f>
        <v/>
      </c>
      <c r="L17" s="85"/>
      <c r="M17" s="85"/>
      <c r="N17" s="139" t="str">
        <f aca="false">IFERROR(IF(L17*M17=0,"",L17*M17),"")</f>
        <v/>
      </c>
      <c r="O17" s="85"/>
      <c r="P17" s="138" t="str">
        <f aca="false">IFERROR(VLOOKUP(TEXT(O17,"0"),CONDUCTORES!$A$3:$G$54,2,0),"")</f>
        <v/>
      </c>
      <c r="Q17" s="138" t="str">
        <f aca="false">IFERROR(VLOOKUP(TEXT(O17,"0"),CONDUCTORES!$A$3:$H$54,6,0),"")</f>
        <v/>
      </c>
      <c r="R17" s="85"/>
      <c r="S17" s="85"/>
      <c r="T17" s="85"/>
      <c r="U17" s="85"/>
      <c r="V17" s="85"/>
      <c r="W17" s="85"/>
      <c r="X17" s="85"/>
      <c r="Y17" s="85"/>
      <c r="Z17" s="41" t="str">
        <f aca="false">IF(AND(G17&lt;&gt;"",R17&lt;&gt;"",V17&lt;&gt;"",W17&lt;&gt;""),"COMPLETADO","OBSERVADO")</f>
        <v>OBSERVADO</v>
      </c>
      <c r="AA17" s="89"/>
    </row>
    <row r="18" customFormat="false" ht="15.75" hidden="false" customHeight="true" outlineLevel="0" collapsed="false">
      <c r="A18" s="140"/>
      <c r="B18" s="140"/>
      <c r="C18" s="140"/>
      <c r="D18" s="140"/>
      <c r="E18" s="140"/>
      <c r="F18" s="140"/>
      <c r="G18" s="140"/>
      <c r="H18" s="140"/>
      <c r="I18" s="138" t="str">
        <f aca="false">IFERROR(VLOOKUP(TEXT(H18,"0"),IPRESS!$A$3:$B$212,2,0),"")</f>
        <v/>
      </c>
      <c r="J18" s="140"/>
      <c r="K18" s="138" t="str">
        <f aca="false">IFERROR(VLOOKUP(TEXT(O18,"0"),CONDUCTORES!$A$3:$G$54,7,0),"")</f>
        <v/>
      </c>
      <c r="L18" s="140"/>
      <c r="M18" s="140"/>
      <c r="N18" s="139" t="str">
        <f aca="false">IFERROR(IF(L18*M18=0,"",L18*M18),"")</f>
        <v/>
      </c>
      <c r="O18" s="140"/>
      <c r="P18" s="138" t="str">
        <f aca="false">IFERROR(VLOOKUP(TEXT(O18,"0"),CONDUCTORES!$A$3:$G$54,2,0),"")</f>
        <v/>
      </c>
      <c r="Q18" s="138" t="str">
        <f aca="false">IFERROR(VLOOKUP(TEXT(O18,"0"),CONDUCTORES!$A$3:$H$54,6,0),"")</f>
        <v/>
      </c>
      <c r="R18" s="140"/>
      <c r="S18" s="140"/>
      <c r="T18" s="140"/>
      <c r="U18" s="140"/>
      <c r="V18" s="140"/>
      <c r="W18" s="140"/>
      <c r="X18" s="140"/>
      <c r="Y18" s="140"/>
      <c r="Z18" s="47" t="str">
        <f aca="false">IF(AND(G18&lt;&gt;"",R18&lt;&gt;"",V18&lt;&gt;"",W18&lt;&gt;""),"COMPLETADO","OBSERVADO")</f>
        <v>OBSERVADO</v>
      </c>
      <c r="AA18" s="89"/>
    </row>
    <row r="19" customFormat="false" ht="15.75" hidden="false" customHeight="true" outlineLevel="0" collapsed="false">
      <c r="A19" s="85"/>
      <c r="B19" s="85"/>
      <c r="C19" s="85"/>
      <c r="D19" s="85"/>
      <c r="E19" s="85"/>
      <c r="F19" s="85"/>
      <c r="G19" s="85"/>
      <c r="H19" s="85"/>
      <c r="I19" s="138" t="str">
        <f aca="false">IFERROR(VLOOKUP(TEXT(H19,"0"),IPRESS!$A$3:$B$212,2,0),"")</f>
        <v/>
      </c>
      <c r="J19" s="85"/>
      <c r="K19" s="138" t="str">
        <f aca="false">IFERROR(VLOOKUP(TEXT(O19,"0"),CONDUCTORES!$A$3:$G$54,7,0),"")</f>
        <v/>
      </c>
      <c r="L19" s="85"/>
      <c r="M19" s="85"/>
      <c r="N19" s="139" t="str">
        <f aca="false">IFERROR(IF(L19*M19=0,"",L19*M19),"")</f>
        <v/>
      </c>
      <c r="O19" s="85"/>
      <c r="P19" s="138" t="str">
        <f aca="false">IFERROR(VLOOKUP(TEXT(O19,"0"),CONDUCTORES!$A$3:$G$54,2,0),"")</f>
        <v/>
      </c>
      <c r="Q19" s="138" t="str">
        <f aca="false">IFERROR(VLOOKUP(TEXT(O19,"0"),CONDUCTORES!$A$3:$H$54,6,0),"")</f>
        <v/>
      </c>
      <c r="R19" s="85"/>
      <c r="S19" s="85"/>
      <c r="T19" s="85"/>
      <c r="U19" s="85"/>
      <c r="V19" s="85"/>
      <c r="W19" s="85"/>
      <c r="X19" s="85"/>
      <c r="Y19" s="85"/>
      <c r="Z19" s="41" t="str">
        <f aca="false">IF(AND(G19&lt;&gt;"",R19&lt;&gt;"",V19&lt;&gt;"",W19&lt;&gt;""),"COMPLETADO","OBSERVADO")</f>
        <v>OBSERVADO</v>
      </c>
      <c r="AA19" s="89"/>
    </row>
    <row r="20" customFormat="false" ht="15.75" hidden="false" customHeight="true" outlineLevel="0" collapsed="false">
      <c r="A20" s="140"/>
      <c r="B20" s="140"/>
      <c r="C20" s="140"/>
      <c r="D20" s="140"/>
      <c r="E20" s="140"/>
      <c r="F20" s="140"/>
      <c r="G20" s="140"/>
      <c r="H20" s="140"/>
      <c r="I20" s="138" t="str">
        <f aca="false">IFERROR(VLOOKUP(TEXT(H20,"0"),IPRESS!$A$3:$B$212,2,0),"")</f>
        <v/>
      </c>
      <c r="J20" s="140"/>
      <c r="K20" s="138" t="str">
        <f aca="false">IFERROR(VLOOKUP(TEXT(O20,"0"),CONDUCTORES!$A$3:$G$54,7,0),"")</f>
        <v/>
      </c>
      <c r="L20" s="140"/>
      <c r="M20" s="140"/>
      <c r="N20" s="139" t="str">
        <f aca="false">IFERROR(IF(L20*M20=0,"",L20*M20),"")</f>
        <v/>
      </c>
      <c r="O20" s="140"/>
      <c r="P20" s="138" t="str">
        <f aca="false">IFERROR(VLOOKUP(TEXT(O20,"0"),CONDUCTORES!$A$3:$G$54,2,0),"")</f>
        <v/>
      </c>
      <c r="Q20" s="138" t="str">
        <f aca="false">IFERROR(VLOOKUP(TEXT(O20,"0"),CONDUCTORES!$A$3:$H$54,6,0),"")</f>
        <v/>
      </c>
      <c r="R20" s="140"/>
      <c r="S20" s="140"/>
      <c r="T20" s="140"/>
      <c r="U20" s="140"/>
      <c r="V20" s="140"/>
      <c r="W20" s="140"/>
      <c r="X20" s="140"/>
      <c r="Y20" s="140"/>
      <c r="Z20" s="47" t="str">
        <f aca="false">IF(AND(G20&lt;&gt;"",R20&lt;&gt;"",V20&lt;&gt;"",W20&lt;&gt;""),"COMPLETADO","OBSERVADO")</f>
        <v>OBSERVADO</v>
      </c>
      <c r="AA20" s="89"/>
    </row>
    <row r="21" customFormat="false" ht="15.75" hidden="false" customHeight="true" outlineLevel="0" collapsed="false">
      <c r="A21" s="85"/>
      <c r="B21" s="85"/>
      <c r="C21" s="85"/>
      <c r="D21" s="85"/>
      <c r="E21" s="85"/>
      <c r="F21" s="85"/>
      <c r="G21" s="85"/>
      <c r="H21" s="85"/>
      <c r="I21" s="138" t="str">
        <f aca="false">IFERROR(VLOOKUP(TEXT(H21,"0"),IPRESS!$A$3:$B$212,2,0),"")</f>
        <v/>
      </c>
      <c r="J21" s="85"/>
      <c r="K21" s="138" t="str">
        <f aca="false">IFERROR(VLOOKUP(TEXT(O21,"0"),CONDUCTORES!$A$3:$G$54,7,0),"")</f>
        <v/>
      </c>
      <c r="L21" s="85"/>
      <c r="M21" s="85"/>
      <c r="N21" s="139" t="str">
        <f aca="false">IFERROR(IF(L21*M21=0,"",L21*M21),"")</f>
        <v/>
      </c>
      <c r="O21" s="85"/>
      <c r="P21" s="138" t="str">
        <f aca="false">IFERROR(VLOOKUP(TEXT(O21,"0"),CONDUCTORES!$A$3:$G$54,2,0),"")</f>
        <v/>
      </c>
      <c r="Q21" s="138" t="str">
        <f aca="false">IFERROR(VLOOKUP(TEXT(O21,"0"),CONDUCTORES!$A$3:$H$54,6,0),"")</f>
        <v/>
      </c>
      <c r="R21" s="85"/>
      <c r="S21" s="85"/>
      <c r="T21" s="85"/>
      <c r="U21" s="85"/>
      <c r="V21" s="85"/>
      <c r="W21" s="85"/>
      <c r="X21" s="85"/>
      <c r="Y21" s="85"/>
      <c r="Z21" s="41" t="str">
        <f aca="false">IF(AND(G21&lt;&gt;"",R21&lt;&gt;"",V21&lt;&gt;"",W21&lt;&gt;""),"COMPLETADO","OBSERVADO")</f>
        <v>OBSERVADO</v>
      </c>
      <c r="AA21" s="89"/>
    </row>
    <row r="22" customFormat="false" ht="15.75" hidden="false" customHeight="true" outlineLevel="0" collapsed="false">
      <c r="A22" s="140"/>
      <c r="B22" s="140"/>
      <c r="C22" s="140"/>
      <c r="D22" s="140"/>
      <c r="E22" s="140"/>
      <c r="F22" s="140"/>
      <c r="G22" s="140"/>
      <c r="H22" s="140"/>
      <c r="I22" s="138" t="str">
        <f aca="false">IFERROR(VLOOKUP(TEXT(H22,"0"),IPRESS!$A$3:$B$212,2,0),"")</f>
        <v/>
      </c>
      <c r="J22" s="140"/>
      <c r="K22" s="138" t="str">
        <f aca="false">IFERROR(VLOOKUP(TEXT(O22,"0"),CONDUCTORES!$A$3:$G$54,7,0),"")</f>
        <v/>
      </c>
      <c r="L22" s="140"/>
      <c r="M22" s="140"/>
      <c r="N22" s="139" t="str">
        <f aca="false">IFERROR(IF(L22*M22=0,"",L22*M22),"")</f>
        <v/>
      </c>
      <c r="O22" s="140"/>
      <c r="P22" s="138" t="str">
        <f aca="false">IFERROR(VLOOKUP(TEXT(O22,"0"),CONDUCTORES!$A$3:$G$54,2,0),"")</f>
        <v/>
      </c>
      <c r="Q22" s="138" t="str">
        <f aca="false">IFERROR(VLOOKUP(TEXT(O22,"0"),CONDUCTORES!$A$3:$H$54,6,0),"")</f>
        <v/>
      </c>
      <c r="R22" s="140"/>
      <c r="S22" s="140"/>
      <c r="T22" s="140"/>
      <c r="U22" s="140"/>
      <c r="V22" s="140"/>
      <c r="W22" s="140"/>
      <c r="X22" s="140"/>
      <c r="Y22" s="140"/>
      <c r="Z22" s="47" t="str">
        <f aca="false">IF(AND(G22&lt;&gt;"",R22&lt;&gt;"",V22&lt;&gt;"",W22&lt;&gt;""),"COMPLETADO","OBSERVADO")</f>
        <v>OBSERVADO</v>
      </c>
      <c r="AA22" s="89"/>
    </row>
    <row r="23" customFormat="false" ht="15.75" hidden="false" customHeight="true" outlineLevel="0" collapsed="false">
      <c r="A23" s="85"/>
      <c r="B23" s="85"/>
      <c r="C23" s="85"/>
      <c r="D23" s="85"/>
      <c r="E23" s="85"/>
      <c r="F23" s="85"/>
      <c r="G23" s="85"/>
      <c r="H23" s="85"/>
      <c r="I23" s="138" t="str">
        <f aca="false">IFERROR(VLOOKUP(TEXT(H23,"0"),IPRESS!$A$3:$B$212,2,0),"")</f>
        <v/>
      </c>
      <c r="J23" s="85"/>
      <c r="K23" s="138" t="str">
        <f aca="false">IFERROR(VLOOKUP(TEXT(O23,"0"),CONDUCTORES!$A$3:$G$54,7,0),"")</f>
        <v/>
      </c>
      <c r="L23" s="85"/>
      <c r="M23" s="85"/>
      <c r="N23" s="139" t="str">
        <f aca="false">IFERROR(IF(L23*M23=0,"",L23*M23),"")</f>
        <v/>
      </c>
      <c r="O23" s="85"/>
      <c r="P23" s="138" t="str">
        <f aca="false">IFERROR(VLOOKUP(TEXT(O23,"0"),CONDUCTORES!$A$3:$G$54,2,0),"")</f>
        <v/>
      </c>
      <c r="Q23" s="138" t="str">
        <f aca="false">IFERROR(VLOOKUP(TEXT(O23,"0"),CONDUCTORES!$A$3:$H$54,6,0),"")</f>
        <v/>
      </c>
      <c r="R23" s="85"/>
      <c r="S23" s="85"/>
      <c r="T23" s="85"/>
      <c r="U23" s="85"/>
      <c r="V23" s="85"/>
      <c r="W23" s="85"/>
      <c r="X23" s="85"/>
      <c r="Y23" s="85"/>
      <c r="Z23" s="41" t="str">
        <f aca="false">IF(AND(G23&lt;&gt;"",R23&lt;&gt;"",V23&lt;&gt;"",W23&lt;&gt;""),"COMPLETADO","OBSERVADO")</f>
        <v>OBSERVADO</v>
      </c>
      <c r="AA23" s="89"/>
    </row>
    <row r="24" customFormat="false" ht="15.75" hidden="false" customHeight="true" outlineLevel="0" collapsed="false">
      <c r="A24" s="140"/>
      <c r="B24" s="140"/>
      <c r="C24" s="140"/>
      <c r="D24" s="140"/>
      <c r="E24" s="140"/>
      <c r="F24" s="140"/>
      <c r="G24" s="140"/>
      <c r="H24" s="140"/>
      <c r="I24" s="138" t="str">
        <f aca="false">IFERROR(VLOOKUP(TEXT(H24,"0"),IPRESS!$A$3:$B$212,2,0),"")</f>
        <v/>
      </c>
      <c r="J24" s="140"/>
      <c r="K24" s="138" t="str">
        <f aca="false">IFERROR(VLOOKUP(TEXT(O24,"0"),CONDUCTORES!$A$3:$G$54,7,0),"")</f>
        <v/>
      </c>
      <c r="L24" s="140"/>
      <c r="M24" s="140"/>
      <c r="N24" s="139" t="str">
        <f aca="false">IFERROR(IF(L24*M24=0,"",L24*M24),"")</f>
        <v/>
      </c>
      <c r="O24" s="140"/>
      <c r="P24" s="138" t="str">
        <f aca="false">IFERROR(VLOOKUP(TEXT(O24,"0"),CONDUCTORES!$A$3:$G$54,2,0),"")</f>
        <v/>
      </c>
      <c r="Q24" s="138" t="str">
        <f aca="false">IFERROR(VLOOKUP(TEXT(O24,"0"),CONDUCTORES!$A$3:$H$54,6,0),"")</f>
        <v/>
      </c>
      <c r="R24" s="140"/>
      <c r="S24" s="140"/>
      <c r="T24" s="140"/>
      <c r="U24" s="140"/>
      <c r="V24" s="140"/>
      <c r="W24" s="140"/>
      <c r="X24" s="140"/>
      <c r="Y24" s="140"/>
      <c r="Z24" s="47" t="str">
        <f aca="false">IF(AND(G24&lt;&gt;"",R24&lt;&gt;"",V24&lt;&gt;"",W24&lt;&gt;""),"COMPLETADO","OBSERVADO")</f>
        <v>OBSERVADO</v>
      </c>
      <c r="AA24" s="89"/>
    </row>
    <row r="25" customFormat="false" ht="15.75" hidden="false" customHeight="true" outlineLevel="0" collapsed="false">
      <c r="A25" s="85"/>
      <c r="B25" s="85"/>
      <c r="C25" s="85"/>
      <c r="D25" s="85"/>
      <c r="E25" s="85"/>
      <c r="F25" s="85"/>
      <c r="G25" s="85"/>
      <c r="H25" s="85"/>
      <c r="I25" s="138" t="str">
        <f aca="false">IFERROR(VLOOKUP(TEXT(H25,"0"),IPRESS!$A$3:$B$212,2,0),"")</f>
        <v/>
      </c>
      <c r="J25" s="85"/>
      <c r="K25" s="138" t="str">
        <f aca="false">IFERROR(VLOOKUP(TEXT(O25,"0"),CONDUCTORES!$A$3:$G$54,7,0),"")</f>
        <v/>
      </c>
      <c r="L25" s="85"/>
      <c r="M25" s="85"/>
      <c r="N25" s="139" t="str">
        <f aca="false">IFERROR(IF(L25*M25=0,"",L25*M25),"")</f>
        <v/>
      </c>
      <c r="O25" s="85"/>
      <c r="P25" s="138" t="str">
        <f aca="false">IFERROR(VLOOKUP(TEXT(O25,"0"),CONDUCTORES!$A$3:$G$54,2,0),"")</f>
        <v/>
      </c>
      <c r="Q25" s="138" t="str">
        <f aca="false">IFERROR(VLOOKUP(TEXT(O25,"0"),CONDUCTORES!$A$3:$H$54,6,0),"")</f>
        <v/>
      </c>
      <c r="R25" s="85"/>
      <c r="S25" s="85"/>
      <c r="T25" s="85"/>
      <c r="U25" s="85"/>
      <c r="V25" s="85"/>
      <c r="W25" s="85"/>
      <c r="X25" s="85"/>
      <c r="Y25" s="85"/>
      <c r="Z25" s="41" t="str">
        <f aca="false">IF(AND(G25&lt;&gt;"",R25&lt;&gt;"",V25&lt;&gt;"",W25&lt;&gt;""),"COMPLETADO","OBSERVADO")</f>
        <v>OBSERVADO</v>
      </c>
      <c r="AA25" s="89"/>
    </row>
    <row r="26" customFormat="false" ht="15.75" hidden="false" customHeight="true" outlineLevel="0" collapsed="false">
      <c r="A26" s="140"/>
      <c r="B26" s="140"/>
      <c r="C26" s="140"/>
      <c r="D26" s="140"/>
      <c r="E26" s="140"/>
      <c r="F26" s="140"/>
      <c r="G26" s="140"/>
      <c r="H26" s="140"/>
      <c r="I26" s="138" t="str">
        <f aca="false">IFERROR(VLOOKUP(TEXT(H26,"0"),IPRESS!$A$3:$B$212,2,0),"")</f>
        <v/>
      </c>
      <c r="J26" s="140"/>
      <c r="K26" s="138" t="str">
        <f aca="false">IFERROR(VLOOKUP(TEXT(O26,"0"),CONDUCTORES!$A$3:$G$54,7,0),"")</f>
        <v/>
      </c>
      <c r="L26" s="140"/>
      <c r="M26" s="140"/>
      <c r="N26" s="139" t="str">
        <f aca="false">IFERROR(IF(L26*M26=0,"",L26*M26),"")</f>
        <v/>
      </c>
      <c r="O26" s="140"/>
      <c r="P26" s="138" t="str">
        <f aca="false">IFERROR(VLOOKUP(TEXT(O26,"0"),CONDUCTORES!$A$3:$G$54,2,0),"")</f>
        <v/>
      </c>
      <c r="Q26" s="138" t="str">
        <f aca="false">IFERROR(VLOOKUP(TEXT(O26,"0"),CONDUCTORES!$A$3:$H$54,6,0),"")</f>
        <v/>
      </c>
      <c r="R26" s="140"/>
      <c r="S26" s="140"/>
      <c r="T26" s="140"/>
      <c r="U26" s="140"/>
      <c r="V26" s="140"/>
      <c r="W26" s="140"/>
      <c r="X26" s="140"/>
      <c r="Y26" s="140"/>
      <c r="Z26" s="47" t="str">
        <f aca="false">IF(AND(G26&lt;&gt;"",R26&lt;&gt;"",V26&lt;&gt;"",W26&lt;&gt;""),"COMPLETADO","OBSERVADO")</f>
        <v>OBSERVADO</v>
      </c>
      <c r="AA26" s="89"/>
    </row>
    <row r="27" customFormat="false" ht="15.75" hidden="false" customHeight="true" outlineLevel="0" collapsed="false">
      <c r="A27" s="85"/>
      <c r="B27" s="85"/>
      <c r="C27" s="85"/>
      <c r="D27" s="85"/>
      <c r="E27" s="85"/>
      <c r="F27" s="85"/>
      <c r="G27" s="85"/>
      <c r="H27" s="85"/>
      <c r="I27" s="138" t="str">
        <f aca="false">IFERROR(VLOOKUP(TEXT(H27,"0"),IPRESS!$A$3:$B$212,2,0),"")</f>
        <v/>
      </c>
      <c r="J27" s="85"/>
      <c r="K27" s="138" t="str">
        <f aca="false">IFERROR(VLOOKUP(TEXT(O27,"0"),CONDUCTORES!$A$3:$G$54,7,0),"")</f>
        <v/>
      </c>
      <c r="L27" s="85"/>
      <c r="M27" s="85"/>
      <c r="N27" s="139" t="str">
        <f aca="false">IFERROR(IF(L27*M27=0,"",L27*M27),"")</f>
        <v/>
      </c>
      <c r="O27" s="85"/>
      <c r="P27" s="138" t="str">
        <f aca="false">IFERROR(VLOOKUP(TEXT(O27,"0"),CONDUCTORES!$A$3:$G$54,2,0),"")</f>
        <v/>
      </c>
      <c r="Q27" s="138" t="str">
        <f aca="false">IFERROR(VLOOKUP(TEXT(O27,"0"),CONDUCTORES!$A$3:$H$54,6,0),"")</f>
        <v/>
      </c>
      <c r="R27" s="85"/>
      <c r="S27" s="85"/>
      <c r="T27" s="85"/>
      <c r="U27" s="85"/>
      <c r="V27" s="85"/>
      <c r="W27" s="85"/>
      <c r="X27" s="85"/>
      <c r="Y27" s="85"/>
      <c r="Z27" s="41" t="str">
        <f aca="false">IF(AND(G27&lt;&gt;"",R27&lt;&gt;"",V27&lt;&gt;"",W27&lt;&gt;""),"COMPLETADO","OBSERVADO")</f>
        <v>OBSERVADO</v>
      </c>
      <c r="AA27" s="89"/>
    </row>
    <row r="28" customFormat="false" ht="15.75" hidden="false" customHeight="true" outlineLevel="0" collapsed="false">
      <c r="A28" s="140"/>
      <c r="B28" s="140"/>
      <c r="C28" s="140"/>
      <c r="D28" s="140"/>
      <c r="E28" s="140"/>
      <c r="F28" s="140"/>
      <c r="G28" s="140"/>
      <c r="H28" s="140"/>
      <c r="I28" s="138" t="str">
        <f aca="false">IFERROR(VLOOKUP(TEXT(H28,"0"),IPRESS!$A$3:$B$212,2,0),"")</f>
        <v/>
      </c>
      <c r="J28" s="140"/>
      <c r="K28" s="138" t="str">
        <f aca="false">IFERROR(VLOOKUP(TEXT(O28,"0"),CONDUCTORES!$A$3:$G$54,7,0),"")</f>
        <v/>
      </c>
      <c r="L28" s="140"/>
      <c r="M28" s="140"/>
      <c r="N28" s="139" t="str">
        <f aca="false">IFERROR(IF(L28*M28=0,"",L28*M28),"")</f>
        <v/>
      </c>
      <c r="O28" s="140"/>
      <c r="P28" s="138" t="str">
        <f aca="false">IFERROR(VLOOKUP(TEXT(O28,"0"),CONDUCTORES!$A$3:$G$54,2,0),"")</f>
        <v/>
      </c>
      <c r="Q28" s="138" t="str">
        <f aca="false">IFERROR(VLOOKUP(TEXT(O28,"0"),CONDUCTORES!$A$3:$H$54,6,0),"")</f>
        <v/>
      </c>
      <c r="R28" s="140"/>
      <c r="S28" s="140"/>
      <c r="T28" s="140"/>
      <c r="U28" s="140"/>
      <c r="V28" s="140"/>
      <c r="W28" s="140"/>
      <c r="X28" s="140"/>
      <c r="Y28" s="140"/>
      <c r="Z28" s="47" t="str">
        <f aca="false">IF(AND(G28&lt;&gt;"",R28&lt;&gt;"",V28&lt;&gt;"",W28&lt;&gt;""),"COMPLETADO","OBSERVADO")</f>
        <v>OBSERVADO</v>
      </c>
      <c r="AA28" s="89"/>
    </row>
    <row r="29" customFormat="false" ht="15.75" hidden="false" customHeight="true" outlineLevel="0" collapsed="false">
      <c r="A29" s="85"/>
      <c r="B29" s="85"/>
      <c r="C29" s="85"/>
      <c r="D29" s="85"/>
      <c r="E29" s="85"/>
      <c r="F29" s="85"/>
      <c r="G29" s="85"/>
      <c r="H29" s="85"/>
      <c r="I29" s="138" t="str">
        <f aca="false">IFERROR(VLOOKUP(TEXT(H29,"0"),IPRESS!$A$3:$B$212,2,0),"")</f>
        <v/>
      </c>
      <c r="J29" s="85"/>
      <c r="K29" s="138" t="str">
        <f aca="false">IFERROR(VLOOKUP(TEXT(O29,"0"),CONDUCTORES!$A$3:$G$54,7,0),"")</f>
        <v/>
      </c>
      <c r="L29" s="85"/>
      <c r="M29" s="85"/>
      <c r="N29" s="139" t="str">
        <f aca="false">IFERROR(IF(L29*M29=0,"",L29*M29),"")</f>
        <v/>
      </c>
      <c r="O29" s="85"/>
      <c r="P29" s="138" t="str">
        <f aca="false">IFERROR(VLOOKUP(TEXT(O29,"0"),CONDUCTORES!$A$3:$G$54,2,0),"")</f>
        <v/>
      </c>
      <c r="Q29" s="138" t="str">
        <f aca="false">IFERROR(VLOOKUP(TEXT(O29,"0"),CONDUCTORES!$A$3:$H$54,6,0),"")</f>
        <v/>
      </c>
      <c r="R29" s="85"/>
      <c r="S29" s="85"/>
      <c r="T29" s="85"/>
      <c r="U29" s="85"/>
      <c r="V29" s="85"/>
      <c r="W29" s="85"/>
      <c r="X29" s="85"/>
      <c r="Y29" s="85"/>
      <c r="Z29" s="41" t="str">
        <f aca="false">IF(AND(G29&lt;&gt;"",R29&lt;&gt;"",V29&lt;&gt;"",W29&lt;&gt;""),"COMPLETADO","OBSERVADO")</f>
        <v>OBSERVADO</v>
      </c>
      <c r="AA29" s="89"/>
    </row>
    <row r="30" customFormat="false" ht="15.75" hidden="false" customHeight="true" outlineLevel="0" collapsed="false">
      <c r="A30" s="140"/>
      <c r="B30" s="140"/>
      <c r="C30" s="140"/>
      <c r="D30" s="140"/>
      <c r="E30" s="140"/>
      <c r="F30" s="140"/>
      <c r="G30" s="140"/>
      <c r="H30" s="140"/>
      <c r="I30" s="138" t="str">
        <f aca="false">IFERROR(VLOOKUP(TEXT(H30,"0"),IPRESS!$A$3:$B$212,2,0),"")</f>
        <v/>
      </c>
      <c r="J30" s="140"/>
      <c r="K30" s="138" t="str">
        <f aca="false">IFERROR(VLOOKUP(TEXT(O30,"0"),CONDUCTORES!$A$3:$G$54,7,0),"")</f>
        <v/>
      </c>
      <c r="L30" s="140"/>
      <c r="M30" s="140"/>
      <c r="N30" s="139" t="str">
        <f aca="false">IFERROR(IF(L30*M30=0,"",L30*M30),"")</f>
        <v/>
      </c>
      <c r="O30" s="140"/>
      <c r="P30" s="138" t="str">
        <f aca="false">IFERROR(VLOOKUP(TEXT(O30,"0"),CONDUCTORES!$A$3:$G$54,2,0),"")</f>
        <v/>
      </c>
      <c r="Q30" s="138" t="str">
        <f aca="false">IFERROR(VLOOKUP(TEXT(O30,"0"),CONDUCTORES!$A$3:$H$54,6,0),"")</f>
        <v/>
      </c>
      <c r="R30" s="140"/>
      <c r="S30" s="140"/>
      <c r="T30" s="140"/>
      <c r="U30" s="140"/>
      <c r="V30" s="140"/>
      <c r="W30" s="140"/>
      <c r="X30" s="140"/>
      <c r="Y30" s="140"/>
      <c r="Z30" s="47" t="str">
        <f aca="false">IF(AND(G30&lt;&gt;"",R30&lt;&gt;"",V30&lt;&gt;"",W30&lt;&gt;""),"COMPLETADO","OBSERVADO")</f>
        <v>OBSERVADO</v>
      </c>
      <c r="AA30" s="89"/>
    </row>
    <row r="31" customFormat="false" ht="15.75" hidden="false" customHeight="true" outlineLevel="0" collapsed="false">
      <c r="A31" s="85"/>
      <c r="B31" s="85"/>
      <c r="C31" s="85"/>
      <c r="D31" s="85"/>
      <c r="E31" s="85"/>
      <c r="F31" s="85"/>
      <c r="G31" s="85"/>
      <c r="H31" s="85"/>
      <c r="I31" s="138" t="str">
        <f aca="false">IFERROR(VLOOKUP(TEXT(H31,"0"),IPRESS!$A$3:$B$212,2,0),"")</f>
        <v/>
      </c>
      <c r="J31" s="85"/>
      <c r="K31" s="138" t="str">
        <f aca="false">IFERROR(VLOOKUP(TEXT(O31,"0"),CONDUCTORES!$A$3:$G$54,7,0),"")</f>
        <v/>
      </c>
      <c r="L31" s="85"/>
      <c r="M31" s="85"/>
      <c r="N31" s="139" t="str">
        <f aca="false">IFERROR(IF(L31*M31=0,"",L31*M31),"")</f>
        <v/>
      </c>
      <c r="O31" s="85"/>
      <c r="P31" s="138" t="str">
        <f aca="false">IFERROR(VLOOKUP(TEXT(O31,"0"),CONDUCTORES!$A$3:$G$54,2,0),"")</f>
        <v/>
      </c>
      <c r="Q31" s="138" t="str">
        <f aca="false">IFERROR(VLOOKUP(TEXT(O31,"0"),CONDUCTORES!$A$3:$H$54,6,0),"")</f>
        <v/>
      </c>
      <c r="R31" s="85"/>
      <c r="S31" s="85"/>
      <c r="T31" s="85"/>
      <c r="U31" s="85"/>
      <c r="V31" s="85"/>
      <c r="W31" s="85"/>
      <c r="X31" s="85"/>
      <c r="Y31" s="85"/>
      <c r="Z31" s="41" t="str">
        <f aca="false">IF(AND(G31&lt;&gt;"",R31&lt;&gt;"",V31&lt;&gt;"",W31&lt;&gt;""),"COMPLETADO","OBSERVADO")</f>
        <v>OBSERVADO</v>
      </c>
      <c r="AA31" s="89"/>
    </row>
    <row r="32" customFormat="false" ht="15.75" hidden="false" customHeight="true" outlineLevel="0" collapsed="false">
      <c r="A32" s="140"/>
      <c r="B32" s="140"/>
      <c r="C32" s="140"/>
      <c r="D32" s="140"/>
      <c r="E32" s="140"/>
      <c r="F32" s="140"/>
      <c r="G32" s="140"/>
      <c r="H32" s="140"/>
      <c r="I32" s="138" t="str">
        <f aca="false">IFERROR(VLOOKUP(TEXT(H32,"0"),IPRESS!$A$3:$B$212,2,0),"")</f>
        <v/>
      </c>
      <c r="J32" s="140"/>
      <c r="K32" s="138" t="str">
        <f aca="false">IFERROR(VLOOKUP(TEXT(O32,"0"),CONDUCTORES!$A$3:$G$54,7,0),"")</f>
        <v/>
      </c>
      <c r="L32" s="140"/>
      <c r="M32" s="140"/>
      <c r="N32" s="139" t="str">
        <f aca="false">IFERROR(IF(L32*M32=0,"",L32*M32),"")</f>
        <v/>
      </c>
      <c r="O32" s="140"/>
      <c r="P32" s="138" t="str">
        <f aca="false">IFERROR(VLOOKUP(TEXT(O32,"0"),CONDUCTORES!$A$3:$G$54,2,0),"")</f>
        <v/>
      </c>
      <c r="Q32" s="138" t="str">
        <f aca="false">IFERROR(VLOOKUP(TEXT(O32,"0"),CONDUCTORES!$A$3:$H$54,6,0),"")</f>
        <v/>
      </c>
      <c r="R32" s="140"/>
      <c r="S32" s="140"/>
      <c r="T32" s="140"/>
      <c r="U32" s="140"/>
      <c r="V32" s="140"/>
      <c r="W32" s="140"/>
      <c r="X32" s="140"/>
      <c r="Y32" s="140"/>
      <c r="Z32" s="47" t="str">
        <f aca="false">IF(AND(G32&lt;&gt;"",R32&lt;&gt;"",V32&lt;&gt;"",W32&lt;&gt;""),"COMPLETADO","OBSERVADO")</f>
        <v>OBSERVADO</v>
      </c>
      <c r="AA32" s="89"/>
    </row>
    <row r="33" customFormat="false" ht="15.75" hidden="false" customHeight="true" outlineLevel="0" collapsed="false">
      <c r="A33" s="85"/>
      <c r="B33" s="85"/>
      <c r="C33" s="85"/>
      <c r="D33" s="85"/>
      <c r="E33" s="85"/>
      <c r="F33" s="85"/>
      <c r="G33" s="85"/>
      <c r="H33" s="85"/>
      <c r="I33" s="138" t="str">
        <f aca="false">IFERROR(VLOOKUP(TEXT(H33,"0"),IPRESS!$A$3:$B$212,2,0),"")</f>
        <v/>
      </c>
      <c r="J33" s="85"/>
      <c r="K33" s="138" t="str">
        <f aca="false">IFERROR(VLOOKUP(TEXT(O33,"0"),CONDUCTORES!$A$3:$G$54,7,0),"")</f>
        <v/>
      </c>
      <c r="L33" s="85"/>
      <c r="M33" s="85"/>
      <c r="N33" s="139" t="str">
        <f aca="false">IFERROR(IF(L33*M33=0,"",L33*M33),"")</f>
        <v/>
      </c>
      <c r="O33" s="85"/>
      <c r="P33" s="138" t="str">
        <f aca="false">IFERROR(VLOOKUP(TEXT(O33,"0"),CONDUCTORES!$A$3:$G$54,2,0),"")</f>
        <v/>
      </c>
      <c r="Q33" s="138" t="str">
        <f aca="false">IFERROR(VLOOKUP(TEXT(O33,"0"),CONDUCTORES!$A$3:$H$54,6,0),"")</f>
        <v/>
      </c>
      <c r="R33" s="85"/>
      <c r="S33" s="85"/>
      <c r="T33" s="85"/>
      <c r="U33" s="85"/>
      <c r="V33" s="85"/>
      <c r="W33" s="85"/>
      <c r="X33" s="85"/>
      <c r="Y33" s="85"/>
      <c r="Z33" s="41" t="str">
        <f aca="false">IF(AND(G33&lt;&gt;"",R33&lt;&gt;"",V33&lt;&gt;"",W33&lt;&gt;""),"COMPLETADO","OBSERVADO")</f>
        <v>OBSERVADO</v>
      </c>
      <c r="AA33" s="89"/>
    </row>
    <row r="34" customFormat="false" ht="15.75" hidden="false" customHeight="true" outlineLevel="0" collapsed="false">
      <c r="A34" s="140"/>
      <c r="B34" s="140"/>
      <c r="C34" s="140"/>
      <c r="D34" s="140"/>
      <c r="E34" s="140"/>
      <c r="F34" s="140"/>
      <c r="G34" s="140"/>
      <c r="H34" s="140"/>
      <c r="I34" s="138" t="str">
        <f aca="false">IFERROR(VLOOKUP(TEXT(H34,"0"),IPRESS!$A$3:$B$212,2,0),"")</f>
        <v/>
      </c>
      <c r="J34" s="140"/>
      <c r="K34" s="138" t="str">
        <f aca="false">IFERROR(VLOOKUP(TEXT(O34,"0"),CONDUCTORES!$A$3:$G$54,7,0),"")</f>
        <v/>
      </c>
      <c r="L34" s="140"/>
      <c r="M34" s="140"/>
      <c r="N34" s="139" t="str">
        <f aca="false">IFERROR(IF(L34*M34=0,"",L34*M34),"")</f>
        <v/>
      </c>
      <c r="O34" s="140"/>
      <c r="P34" s="138" t="str">
        <f aca="false">IFERROR(VLOOKUP(TEXT(O34,"0"),CONDUCTORES!$A$3:$G$54,2,0),"")</f>
        <v/>
      </c>
      <c r="Q34" s="138" t="str">
        <f aca="false">IFERROR(VLOOKUP(TEXT(O34,"0"),CONDUCTORES!$A$3:$H$54,6,0),"")</f>
        <v/>
      </c>
      <c r="R34" s="140"/>
      <c r="S34" s="140"/>
      <c r="T34" s="140"/>
      <c r="U34" s="140"/>
      <c r="V34" s="140"/>
      <c r="W34" s="140"/>
      <c r="X34" s="140"/>
      <c r="Y34" s="140"/>
      <c r="Z34" s="47" t="str">
        <f aca="false">IF(AND(G34&lt;&gt;"",R34&lt;&gt;"",V34&lt;&gt;"",W34&lt;&gt;""),"COMPLETADO","OBSERVADO")</f>
        <v>OBSERVADO</v>
      </c>
      <c r="AA34" s="89"/>
    </row>
    <row r="35" customFormat="false" ht="15.75" hidden="false" customHeight="true" outlineLevel="0" collapsed="false">
      <c r="A35" s="85"/>
      <c r="B35" s="85"/>
      <c r="C35" s="85"/>
      <c r="D35" s="85"/>
      <c r="E35" s="85"/>
      <c r="F35" s="85"/>
      <c r="G35" s="85"/>
      <c r="H35" s="85"/>
      <c r="I35" s="138" t="str">
        <f aca="false">IFERROR(VLOOKUP(TEXT(H35,"0"),IPRESS!$A$3:$B$212,2,0),"")</f>
        <v/>
      </c>
      <c r="J35" s="85"/>
      <c r="K35" s="138" t="str">
        <f aca="false">IFERROR(VLOOKUP(TEXT(O35,"0"),CONDUCTORES!$A$3:$G$54,7,0),"")</f>
        <v/>
      </c>
      <c r="L35" s="85"/>
      <c r="M35" s="85"/>
      <c r="N35" s="139" t="str">
        <f aca="false">IFERROR(IF(L35*M35=0,"",L35*M35),"")</f>
        <v/>
      </c>
      <c r="O35" s="85"/>
      <c r="P35" s="138" t="str">
        <f aca="false">IFERROR(VLOOKUP(TEXT(O35,"0"),CONDUCTORES!$A$3:$G$54,2,0),"")</f>
        <v/>
      </c>
      <c r="Q35" s="138" t="str">
        <f aca="false">IFERROR(VLOOKUP(TEXT(O35,"0"),CONDUCTORES!$A$3:$H$54,6,0),"")</f>
        <v/>
      </c>
      <c r="R35" s="85"/>
      <c r="S35" s="85"/>
      <c r="T35" s="85"/>
      <c r="U35" s="85"/>
      <c r="V35" s="85"/>
      <c r="W35" s="85"/>
      <c r="X35" s="85"/>
      <c r="Y35" s="85"/>
      <c r="Z35" s="41" t="str">
        <f aca="false">IF(AND(G35&lt;&gt;"",R35&lt;&gt;"",V35&lt;&gt;"",W35&lt;&gt;""),"COMPLETADO","OBSERVADO")</f>
        <v>OBSERVADO</v>
      </c>
      <c r="AA35" s="89"/>
    </row>
    <row r="36" customFormat="false" ht="15.75" hidden="false" customHeight="true" outlineLevel="0" collapsed="false">
      <c r="A36" s="140"/>
      <c r="B36" s="140"/>
      <c r="C36" s="140"/>
      <c r="D36" s="140"/>
      <c r="E36" s="140"/>
      <c r="F36" s="140"/>
      <c r="G36" s="140"/>
      <c r="H36" s="140"/>
      <c r="I36" s="138" t="str">
        <f aca="false">IFERROR(VLOOKUP(TEXT(H36,"0"),IPRESS!$A$3:$B$212,2,0),"")</f>
        <v/>
      </c>
      <c r="J36" s="140"/>
      <c r="K36" s="138" t="str">
        <f aca="false">IFERROR(VLOOKUP(TEXT(O36,"0"),CONDUCTORES!$A$3:$G$54,7,0),"")</f>
        <v/>
      </c>
      <c r="L36" s="140"/>
      <c r="M36" s="140"/>
      <c r="N36" s="139" t="str">
        <f aca="false">IFERROR(IF(L36*M36=0,"",L36*M36),"")</f>
        <v/>
      </c>
      <c r="O36" s="140"/>
      <c r="P36" s="138" t="str">
        <f aca="false">IFERROR(VLOOKUP(TEXT(O36,"0"),CONDUCTORES!$A$3:$G$54,2,0),"")</f>
        <v/>
      </c>
      <c r="Q36" s="138" t="str">
        <f aca="false">IFERROR(VLOOKUP(TEXT(O36,"0"),CONDUCTORES!$A$3:$H$54,6,0),"")</f>
        <v/>
      </c>
      <c r="R36" s="140"/>
      <c r="S36" s="140"/>
      <c r="T36" s="140"/>
      <c r="U36" s="140"/>
      <c r="V36" s="140"/>
      <c r="W36" s="140"/>
      <c r="X36" s="140"/>
      <c r="Y36" s="140"/>
      <c r="Z36" s="47" t="str">
        <f aca="false">IF(AND(G36&lt;&gt;"",R36&lt;&gt;"",V36&lt;&gt;"",W36&lt;&gt;""),"COMPLETADO","OBSERVADO")</f>
        <v>OBSERVADO</v>
      </c>
      <c r="AA36" s="89"/>
    </row>
    <row r="37" customFormat="false" ht="15.75" hidden="false" customHeight="true" outlineLevel="0" collapsed="false">
      <c r="A37" s="85"/>
      <c r="B37" s="85"/>
      <c r="C37" s="85"/>
      <c r="D37" s="85"/>
      <c r="E37" s="85"/>
      <c r="F37" s="85"/>
      <c r="G37" s="85"/>
      <c r="H37" s="85"/>
      <c r="I37" s="138" t="str">
        <f aca="false">IFERROR(VLOOKUP(TEXT(H37,"0"),IPRESS!$A$3:$B$212,2,0),"")</f>
        <v/>
      </c>
      <c r="J37" s="85"/>
      <c r="K37" s="138" t="str">
        <f aca="false">IFERROR(VLOOKUP(TEXT(O37,"0"),CONDUCTORES!$A$3:$G$54,7,0),"")</f>
        <v/>
      </c>
      <c r="L37" s="85"/>
      <c r="M37" s="85"/>
      <c r="N37" s="139" t="str">
        <f aca="false">IFERROR(IF(L37*M37=0,"",L37*M37),"")</f>
        <v/>
      </c>
      <c r="O37" s="85"/>
      <c r="P37" s="138" t="str">
        <f aca="false">IFERROR(VLOOKUP(TEXT(O37,"0"),CONDUCTORES!$A$3:$G$54,2,0),"")</f>
        <v/>
      </c>
      <c r="Q37" s="138" t="str">
        <f aca="false">IFERROR(VLOOKUP(TEXT(O37,"0"),CONDUCTORES!$A$3:$H$54,6,0),"")</f>
        <v/>
      </c>
      <c r="R37" s="85"/>
      <c r="S37" s="85"/>
      <c r="T37" s="85"/>
      <c r="U37" s="85"/>
      <c r="V37" s="85"/>
      <c r="W37" s="85"/>
      <c r="X37" s="85"/>
      <c r="Y37" s="85"/>
      <c r="Z37" s="41" t="str">
        <f aca="false">IF(AND(G37&lt;&gt;"",R37&lt;&gt;"",V37&lt;&gt;"",W37&lt;&gt;""),"COMPLETADO","OBSERVADO")</f>
        <v>OBSERVADO</v>
      </c>
      <c r="AA37" s="89"/>
    </row>
    <row r="38" customFormat="false" ht="15.75" hidden="false" customHeight="true" outlineLevel="0" collapsed="false">
      <c r="A38" s="140"/>
      <c r="B38" s="140"/>
      <c r="C38" s="140"/>
      <c r="D38" s="140"/>
      <c r="E38" s="140"/>
      <c r="F38" s="140"/>
      <c r="G38" s="140"/>
      <c r="H38" s="140"/>
      <c r="I38" s="138" t="str">
        <f aca="false">IFERROR(VLOOKUP(TEXT(H38,"0"),IPRESS!$A$3:$B$212,2,0),"")</f>
        <v/>
      </c>
      <c r="J38" s="140"/>
      <c r="K38" s="138" t="str">
        <f aca="false">IFERROR(VLOOKUP(TEXT(O38,"0"),CONDUCTORES!$A$3:$G$54,7,0),"")</f>
        <v/>
      </c>
      <c r="L38" s="140"/>
      <c r="M38" s="140"/>
      <c r="N38" s="139" t="str">
        <f aca="false">IFERROR(IF(L38*M38=0,"",L38*M38),"")</f>
        <v/>
      </c>
      <c r="O38" s="140"/>
      <c r="P38" s="138" t="str">
        <f aca="false">IFERROR(VLOOKUP(TEXT(O38,"0"),CONDUCTORES!$A$3:$G$54,2,0),"")</f>
        <v/>
      </c>
      <c r="Q38" s="138" t="str">
        <f aca="false">IFERROR(VLOOKUP(TEXT(O38,"0"),CONDUCTORES!$A$3:$H$54,6,0),"")</f>
        <v/>
      </c>
      <c r="R38" s="140"/>
      <c r="S38" s="140"/>
      <c r="T38" s="140"/>
      <c r="U38" s="140"/>
      <c r="V38" s="140"/>
      <c r="W38" s="140"/>
      <c r="X38" s="140"/>
      <c r="Y38" s="140"/>
      <c r="Z38" s="47" t="str">
        <f aca="false">IF(AND(G38&lt;&gt;"",R38&lt;&gt;"",V38&lt;&gt;"",W38&lt;&gt;""),"COMPLETADO","OBSERVADO")</f>
        <v>OBSERVADO</v>
      </c>
      <c r="AA38" s="89"/>
    </row>
    <row r="39" customFormat="false" ht="15.75" hidden="false" customHeight="true" outlineLevel="0" collapsed="false">
      <c r="A39" s="85"/>
      <c r="B39" s="85"/>
      <c r="C39" s="85"/>
      <c r="D39" s="85"/>
      <c r="E39" s="85"/>
      <c r="F39" s="85"/>
      <c r="G39" s="85"/>
      <c r="H39" s="85"/>
      <c r="I39" s="138" t="str">
        <f aca="false">IFERROR(VLOOKUP(TEXT(H39,"0"),IPRESS!$A$3:$B$212,2,0),"")</f>
        <v/>
      </c>
      <c r="J39" s="85"/>
      <c r="K39" s="138" t="str">
        <f aca="false">IFERROR(VLOOKUP(TEXT(O39,"0"),CONDUCTORES!$A$3:$G$54,7,0),"")</f>
        <v/>
      </c>
      <c r="L39" s="85"/>
      <c r="M39" s="85"/>
      <c r="N39" s="139" t="str">
        <f aca="false">IFERROR(IF(L39*M39=0,"",L39*M39),"")</f>
        <v/>
      </c>
      <c r="O39" s="85"/>
      <c r="P39" s="138" t="str">
        <f aca="false">IFERROR(VLOOKUP(TEXT(O39,"0"),CONDUCTORES!$A$3:$G$54,2,0),"")</f>
        <v/>
      </c>
      <c r="Q39" s="138" t="str">
        <f aca="false">IFERROR(VLOOKUP(TEXT(O39,"0"),CONDUCTORES!$A$3:$H$54,6,0),"")</f>
        <v/>
      </c>
      <c r="R39" s="85"/>
      <c r="S39" s="85"/>
      <c r="T39" s="85"/>
      <c r="U39" s="85"/>
      <c r="V39" s="85"/>
      <c r="W39" s="85"/>
      <c r="X39" s="85"/>
      <c r="Y39" s="85"/>
      <c r="Z39" s="41" t="str">
        <f aca="false">IF(AND(G39&lt;&gt;"",R39&lt;&gt;"",V39&lt;&gt;"",W39&lt;&gt;""),"COMPLETADO","OBSERVADO")</f>
        <v>OBSERVADO</v>
      </c>
      <c r="AA39" s="89"/>
    </row>
    <row r="40" customFormat="false" ht="15.75" hidden="false" customHeight="true" outlineLevel="0" collapsed="false">
      <c r="A40" s="140"/>
      <c r="B40" s="140"/>
      <c r="C40" s="140"/>
      <c r="D40" s="140"/>
      <c r="E40" s="140"/>
      <c r="F40" s="140"/>
      <c r="G40" s="140"/>
      <c r="H40" s="140"/>
      <c r="I40" s="138" t="str">
        <f aca="false">IFERROR(VLOOKUP(TEXT(H40,"0"),IPRESS!$A$3:$B$212,2,0),"")</f>
        <v/>
      </c>
      <c r="J40" s="140"/>
      <c r="K40" s="138" t="str">
        <f aca="false">IFERROR(VLOOKUP(TEXT(O40,"0"),CONDUCTORES!$A$3:$G$54,7,0),"")</f>
        <v/>
      </c>
      <c r="L40" s="140"/>
      <c r="M40" s="140"/>
      <c r="N40" s="139" t="str">
        <f aca="false">IFERROR(IF(L40*M40=0,"",L40*M40),"")</f>
        <v/>
      </c>
      <c r="O40" s="140"/>
      <c r="P40" s="138" t="str">
        <f aca="false">IFERROR(VLOOKUP(TEXT(O40,"0"),CONDUCTORES!$A$3:$G$54,2,0),"")</f>
        <v/>
      </c>
      <c r="Q40" s="138" t="str">
        <f aca="false">IFERROR(VLOOKUP(TEXT(O40,"0"),CONDUCTORES!$A$3:$H$54,6,0),"")</f>
        <v/>
      </c>
      <c r="R40" s="140"/>
      <c r="S40" s="140"/>
      <c r="T40" s="140"/>
      <c r="U40" s="140"/>
      <c r="V40" s="140"/>
      <c r="W40" s="140"/>
      <c r="X40" s="140"/>
      <c r="Y40" s="140"/>
      <c r="Z40" s="47" t="str">
        <f aca="false">IF(AND(G40&lt;&gt;"",R40&lt;&gt;"",V40&lt;&gt;"",W40&lt;&gt;""),"COMPLETADO","OBSERVADO")</f>
        <v>OBSERVADO</v>
      </c>
      <c r="AA40" s="89"/>
    </row>
    <row r="41" customFormat="false" ht="15.75" hidden="false" customHeight="true" outlineLevel="0" collapsed="false">
      <c r="A41" s="85"/>
      <c r="B41" s="85"/>
      <c r="C41" s="85"/>
      <c r="D41" s="85"/>
      <c r="E41" s="85"/>
      <c r="F41" s="85"/>
      <c r="G41" s="85"/>
      <c r="H41" s="85"/>
      <c r="I41" s="138" t="str">
        <f aca="false">IFERROR(VLOOKUP(TEXT(H41,"0"),IPRESS!$A$3:$B$212,2,0),"")</f>
        <v/>
      </c>
      <c r="J41" s="85"/>
      <c r="K41" s="138" t="str">
        <f aca="false">IFERROR(VLOOKUP(TEXT(O41,"0"),CONDUCTORES!$A$3:$G$54,7,0),"")</f>
        <v/>
      </c>
      <c r="L41" s="85"/>
      <c r="M41" s="85"/>
      <c r="N41" s="139" t="str">
        <f aca="false">IFERROR(IF(L41*M41=0,"",L41*M41),"")</f>
        <v/>
      </c>
      <c r="O41" s="85"/>
      <c r="P41" s="138" t="str">
        <f aca="false">IFERROR(VLOOKUP(TEXT(O41,"0"),CONDUCTORES!$A$3:$G$54,2,0),"")</f>
        <v/>
      </c>
      <c r="Q41" s="138" t="str">
        <f aca="false">IFERROR(VLOOKUP(TEXT(O41,"0"),CONDUCTORES!$A$3:$H$54,6,0),"")</f>
        <v/>
      </c>
      <c r="R41" s="85"/>
      <c r="S41" s="85"/>
      <c r="T41" s="85"/>
      <c r="U41" s="85"/>
      <c r="V41" s="85"/>
      <c r="W41" s="85"/>
      <c r="X41" s="85"/>
      <c r="Y41" s="85"/>
      <c r="Z41" s="41" t="str">
        <f aca="false">IF(AND(G41&lt;&gt;"",R41&lt;&gt;"",V41&lt;&gt;"",W41&lt;&gt;""),"COMPLETADO","OBSERVADO")</f>
        <v>OBSERVADO</v>
      </c>
      <c r="AA41" s="89"/>
    </row>
    <row r="42" customFormat="false" ht="15.75" hidden="false" customHeight="true" outlineLevel="0" collapsed="false">
      <c r="A42" s="140"/>
      <c r="B42" s="140"/>
      <c r="C42" s="140"/>
      <c r="D42" s="140"/>
      <c r="E42" s="140"/>
      <c r="F42" s="140"/>
      <c r="G42" s="140"/>
      <c r="H42" s="140"/>
      <c r="I42" s="138" t="str">
        <f aca="false">IFERROR(VLOOKUP(TEXT(H42,"0"),IPRESS!$A$3:$B$212,2,0),"")</f>
        <v/>
      </c>
      <c r="J42" s="140"/>
      <c r="K42" s="138" t="str">
        <f aca="false">IFERROR(VLOOKUP(TEXT(O42,"0"),CONDUCTORES!$A$3:$G$54,7,0),"")</f>
        <v/>
      </c>
      <c r="L42" s="140"/>
      <c r="M42" s="140"/>
      <c r="N42" s="139" t="str">
        <f aca="false">IFERROR(IF(L42*M42=0,"",L42*M42),"")</f>
        <v/>
      </c>
      <c r="O42" s="140"/>
      <c r="P42" s="138" t="str">
        <f aca="false">IFERROR(VLOOKUP(TEXT(O42,"0"),CONDUCTORES!$A$3:$G$54,2,0),"")</f>
        <v/>
      </c>
      <c r="Q42" s="138" t="str">
        <f aca="false">IFERROR(VLOOKUP(TEXT(O42,"0"),CONDUCTORES!$A$3:$H$54,6,0),"")</f>
        <v/>
      </c>
      <c r="R42" s="140"/>
      <c r="S42" s="140"/>
      <c r="T42" s="140"/>
      <c r="U42" s="140"/>
      <c r="V42" s="140"/>
      <c r="W42" s="140"/>
      <c r="X42" s="140"/>
      <c r="Y42" s="140"/>
      <c r="Z42" s="47" t="str">
        <f aca="false">IF(AND(G42&lt;&gt;"",R42&lt;&gt;"",V42&lt;&gt;"",W42&lt;&gt;""),"COMPLETADO","OBSERVADO")</f>
        <v>OBSERVADO</v>
      </c>
      <c r="AA42" s="89"/>
    </row>
    <row r="43" customFormat="false" ht="15.75" hidden="false" customHeight="true" outlineLevel="0" collapsed="false">
      <c r="A43" s="85"/>
      <c r="B43" s="85"/>
      <c r="C43" s="85"/>
      <c r="D43" s="85"/>
      <c r="E43" s="85"/>
      <c r="F43" s="85"/>
      <c r="G43" s="85"/>
      <c r="H43" s="85"/>
      <c r="I43" s="138" t="str">
        <f aca="false">IFERROR(VLOOKUP(TEXT(H43,"0"),IPRESS!$A$3:$B$212,2,0),"")</f>
        <v/>
      </c>
      <c r="J43" s="85"/>
      <c r="K43" s="138" t="str">
        <f aca="false">IFERROR(VLOOKUP(TEXT(O43,"0"),CONDUCTORES!$A$3:$G$54,7,0),"")</f>
        <v/>
      </c>
      <c r="L43" s="85"/>
      <c r="M43" s="85"/>
      <c r="N43" s="139" t="str">
        <f aca="false">IFERROR(IF(L43*M43=0,"",L43*M43),"")</f>
        <v/>
      </c>
      <c r="O43" s="85"/>
      <c r="P43" s="138" t="str">
        <f aca="false">IFERROR(VLOOKUP(TEXT(O43,"0"),CONDUCTORES!$A$3:$G$54,2,0),"")</f>
        <v/>
      </c>
      <c r="Q43" s="138" t="str">
        <f aca="false">IFERROR(VLOOKUP(TEXT(O43,"0"),CONDUCTORES!$A$3:$H$54,6,0),"")</f>
        <v/>
      </c>
      <c r="R43" s="85"/>
      <c r="S43" s="85"/>
      <c r="T43" s="85"/>
      <c r="U43" s="85"/>
      <c r="V43" s="85"/>
      <c r="W43" s="85"/>
      <c r="X43" s="85"/>
      <c r="Y43" s="85"/>
      <c r="Z43" s="41" t="str">
        <f aca="false">IF(AND(G43&lt;&gt;"",R43&lt;&gt;"",V43&lt;&gt;"",W43&lt;&gt;""),"COMPLETADO","OBSERVADO")</f>
        <v>OBSERVADO</v>
      </c>
      <c r="AA43" s="89"/>
    </row>
    <row r="44" customFormat="false" ht="15.75" hidden="false" customHeight="true" outlineLevel="0" collapsed="false">
      <c r="A44" s="140"/>
      <c r="B44" s="140"/>
      <c r="C44" s="140"/>
      <c r="D44" s="140"/>
      <c r="E44" s="140"/>
      <c r="F44" s="140"/>
      <c r="G44" s="140"/>
      <c r="H44" s="140"/>
      <c r="I44" s="138" t="str">
        <f aca="false">IFERROR(VLOOKUP(TEXT(H44,"0"),IPRESS!$A$3:$B$212,2,0),"")</f>
        <v/>
      </c>
      <c r="J44" s="140"/>
      <c r="K44" s="138" t="str">
        <f aca="false">IFERROR(VLOOKUP(TEXT(O44,"0"),CONDUCTORES!$A$3:$G$54,7,0),"")</f>
        <v/>
      </c>
      <c r="L44" s="140"/>
      <c r="M44" s="140"/>
      <c r="N44" s="139" t="str">
        <f aca="false">IFERROR(IF(L44*M44=0,"",L44*M44),"")</f>
        <v/>
      </c>
      <c r="O44" s="140"/>
      <c r="P44" s="138" t="str">
        <f aca="false">IFERROR(VLOOKUP(TEXT(O44,"0"),CONDUCTORES!$A$3:$G$54,2,0),"")</f>
        <v/>
      </c>
      <c r="Q44" s="138" t="str">
        <f aca="false">IFERROR(VLOOKUP(TEXT(O44,"0"),CONDUCTORES!$A$3:$H$54,6,0),"")</f>
        <v/>
      </c>
      <c r="R44" s="140"/>
      <c r="S44" s="140"/>
      <c r="T44" s="140"/>
      <c r="U44" s="140"/>
      <c r="V44" s="140"/>
      <c r="W44" s="140"/>
      <c r="X44" s="140"/>
      <c r="Y44" s="140"/>
      <c r="Z44" s="47" t="str">
        <f aca="false">IF(AND(G44&lt;&gt;"",R44&lt;&gt;"",V44&lt;&gt;"",W44&lt;&gt;""),"COMPLETADO","OBSERVADO")</f>
        <v>OBSERVADO</v>
      </c>
      <c r="AA44" s="89"/>
    </row>
    <row r="45" customFormat="false" ht="15.75" hidden="false" customHeight="true" outlineLevel="0" collapsed="false">
      <c r="A45" s="85"/>
      <c r="B45" s="85"/>
      <c r="C45" s="85"/>
      <c r="D45" s="85"/>
      <c r="E45" s="85"/>
      <c r="F45" s="85"/>
      <c r="G45" s="85"/>
      <c r="H45" s="85"/>
      <c r="I45" s="138" t="str">
        <f aca="false">IFERROR(VLOOKUP(TEXT(H45,"0"),IPRESS!$A$3:$B$212,2,0),"")</f>
        <v/>
      </c>
      <c r="J45" s="85"/>
      <c r="K45" s="138" t="str">
        <f aca="false">IFERROR(VLOOKUP(TEXT(O45,"0"),CONDUCTORES!$A$3:$G$54,7,0),"")</f>
        <v/>
      </c>
      <c r="L45" s="85"/>
      <c r="M45" s="85"/>
      <c r="N45" s="139" t="str">
        <f aca="false">IFERROR(IF(L45*M45=0,"",L45*M45),"")</f>
        <v/>
      </c>
      <c r="O45" s="85"/>
      <c r="P45" s="138" t="str">
        <f aca="false">IFERROR(VLOOKUP(TEXT(O45,"0"),CONDUCTORES!$A$3:$G$54,2,0),"")</f>
        <v/>
      </c>
      <c r="Q45" s="138" t="str">
        <f aca="false">IFERROR(VLOOKUP(TEXT(O45,"0"),CONDUCTORES!$A$3:$H$54,6,0),"")</f>
        <v/>
      </c>
      <c r="R45" s="85"/>
      <c r="S45" s="85"/>
      <c r="T45" s="85"/>
      <c r="U45" s="85"/>
      <c r="V45" s="85"/>
      <c r="W45" s="85"/>
      <c r="X45" s="85"/>
      <c r="Y45" s="85"/>
      <c r="Z45" s="41" t="str">
        <f aca="false">IF(AND(G45&lt;&gt;"",R45&lt;&gt;"",V45&lt;&gt;"",W45&lt;&gt;""),"COMPLETADO","OBSERVADO")</f>
        <v>OBSERVADO</v>
      </c>
      <c r="AA45" s="89"/>
    </row>
    <row r="46" customFormat="false" ht="15.75" hidden="false" customHeight="true" outlineLevel="0" collapsed="false">
      <c r="A46" s="140"/>
      <c r="B46" s="140"/>
      <c r="C46" s="140"/>
      <c r="D46" s="140"/>
      <c r="E46" s="140"/>
      <c r="F46" s="140"/>
      <c r="G46" s="140"/>
      <c r="H46" s="140"/>
      <c r="I46" s="138" t="str">
        <f aca="false">IFERROR(VLOOKUP(TEXT(H46,"0"),IPRESS!$A$3:$B$212,2,0),"")</f>
        <v/>
      </c>
      <c r="J46" s="140"/>
      <c r="K46" s="138" t="str">
        <f aca="false">IFERROR(VLOOKUP(TEXT(O46,"0"),CONDUCTORES!$A$3:$G$54,7,0),"")</f>
        <v/>
      </c>
      <c r="L46" s="140"/>
      <c r="M46" s="140"/>
      <c r="N46" s="139" t="str">
        <f aca="false">IFERROR(IF(L46*M46=0,"",L46*M46),"")</f>
        <v/>
      </c>
      <c r="O46" s="140"/>
      <c r="P46" s="138" t="str">
        <f aca="false">IFERROR(VLOOKUP(TEXT(O46,"0"),CONDUCTORES!$A$3:$G$54,2,0),"")</f>
        <v/>
      </c>
      <c r="Q46" s="138" t="str">
        <f aca="false">IFERROR(VLOOKUP(TEXT(O46,"0"),CONDUCTORES!$A$3:$H$54,6,0),"")</f>
        <v/>
      </c>
      <c r="R46" s="140"/>
      <c r="S46" s="140"/>
      <c r="T46" s="140"/>
      <c r="U46" s="140"/>
      <c r="V46" s="140"/>
      <c r="W46" s="140"/>
      <c r="X46" s="140"/>
      <c r="Y46" s="140"/>
      <c r="Z46" s="47" t="str">
        <f aca="false">IF(AND(G46&lt;&gt;"",R46&lt;&gt;"",V46&lt;&gt;"",W46&lt;&gt;""),"COMPLETADO","OBSERVADO")</f>
        <v>OBSERVADO</v>
      </c>
      <c r="AA46" s="89"/>
    </row>
    <row r="47" customFormat="false" ht="15.75" hidden="false" customHeight="true" outlineLevel="0" collapsed="false">
      <c r="A47" s="85"/>
      <c r="B47" s="85"/>
      <c r="C47" s="85"/>
      <c r="D47" s="85"/>
      <c r="E47" s="85"/>
      <c r="F47" s="85"/>
      <c r="G47" s="85"/>
      <c r="H47" s="85"/>
      <c r="I47" s="138" t="str">
        <f aca="false">IFERROR(VLOOKUP(TEXT(H47,"0"),IPRESS!$A$3:$B$212,2,0),"")</f>
        <v/>
      </c>
      <c r="J47" s="85"/>
      <c r="K47" s="138" t="str">
        <f aca="false">IFERROR(VLOOKUP(TEXT(O47,"0"),CONDUCTORES!$A$3:$G$54,7,0),"")</f>
        <v/>
      </c>
      <c r="L47" s="85"/>
      <c r="M47" s="85"/>
      <c r="N47" s="139" t="str">
        <f aca="false">IFERROR(IF(L47*M47=0,"",L47*M47),"")</f>
        <v/>
      </c>
      <c r="O47" s="85"/>
      <c r="P47" s="138" t="str">
        <f aca="false">IFERROR(VLOOKUP(TEXT(O47,"0"),CONDUCTORES!$A$3:$G$54,2,0),"")</f>
        <v/>
      </c>
      <c r="Q47" s="138" t="str">
        <f aca="false">IFERROR(VLOOKUP(TEXT(O47,"0"),CONDUCTORES!$A$3:$H$54,6,0),"")</f>
        <v/>
      </c>
      <c r="R47" s="85"/>
      <c r="S47" s="85"/>
      <c r="T47" s="85"/>
      <c r="U47" s="85"/>
      <c r="V47" s="85"/>
      <c r="W47" s="85"/>
      <c r="X47" s="85"/>
      <c r="Y47" s="85"/>
      <c r="Z47" s="41" t="str">
        <f aca="false">IF(AND(G47&lt;&gt;"",R47&lt;&gt;"",V47&lt;&gt;"",W47&lt;&gt;""),"COMPLETADO","OBSERVADO")</f>
        <v>OBSERVADO</v>
      </c>
      <c r="AA47" s="89"/>
    </row>
    <row r="48" customFormat="false" ht="15.75" hidden="false" customHeight="true" outlineLevel="0" collapsed="false">
      <c r="A48" s="140"/>
      <c r="B48" s="140"/>
      <c r="C48" s="140"/>
      <c r="D48" s="140"/>
      <c r="E48" s="140"/>
      <c r="F48" s="140"/>
      <c r="G48" s="140"/>
      <c r="H48" s="140"/>
      <c r="I48" s="138" t="str">
        <f aca="false">IFERROR(VLOOKUP(TEXT(H48,"0"),IPRESS!$A$3:$B$212,2,0),"")</f>
        <v/>
      </c>
      <c r="J48" s="140"/>
      <c r="K48" s="138" t="str">
        <f aca="false">IFERROR(VLOOKUP(TEXT(O48,"0"),CONDUCTORES!$A$3:$G$54,7,0),"")</f>
        <v/>
      </c>
      <c r="L48" s="140"/>
      <c r="M48" s="140"/>
      <c r="N48" s="139" t="str">
        <f aca="false">IFERROR(IF(L48*M48=0,"",L48*M48),"")</f>
        <v/>
      </c>
      <c r="O48" s="140"/>
      <c r="P48" s="138" t="str">
        <f aca="false">IFERROR(VLOOKUP(TEXT(O48,"0"),CONDUCTORES!$A$3:$G$54,2,0),"")</f>
        <v/>
      </c>
      <c r="Q48" s="138" t="str">
        <f aca="false">IFERROR(VLOOKUP(TEXT(O48,"0"),CONDUCTORES!$A$3:$H$54,6,0),"")</f>
        <v/>
      </c>
      <c r="R48" s="140"/>
      <c r="S48" s="140"/>
      <c r="T48" s="140"/>
      <c r="U48" s="140"/>
      <c r="V48" s="140"/>
      <c r="W48" s="140"/>
      <c r="X48" s="140"/>
      <c r="Y48" s="140"/>
      <c r="Z48" s="47" t="str">
        <f aca="false">IF(AND(G48&lt;&gt;"",R48&lt;&gt;"",V48&lt;&gt;"",W48&lt;&gt;""),"COMPLETADO","OBSERVADO")</f>
        <v>OBSERVADO</v>
      </c>
      <c r="AA48" s="89"/>
    </row>
    <row r="49" customFormat="false" ht="15.75" hidden="false" customHeight="true" outlineLevel="0" collapsed="false">
      <c r="A49" s="85"/>
      <c r="B49" s="85"/>
      <c r="C49" s="85"/>
      <c r="D49" s="85"/>
      <c r="E49" s="85"/>
      <c r="F49" s="85"/>
      <c r="G49" s="85"/>
      <c r="H49" s="85"/>
      <c r="I49" s="138" t="str">
        <f aca="false">IFERROR(VLOOKUP(TEXT(H49,"0"),IPRESS!$A$3:$B$212,2,0),"")</f>
        <v/>
      </c>
      <c r="J49" s="85"/>
      <c r="K49" s="138" t="str">
        <f aca="false">IFERROR(VLOOKUP(TEXT(O49,"0"),CONDUCTORES!$A$3:$G$54,7,0),"")</f>
        <v/>
      </c>
      <c r="L49" s="85"/>
      <c r="M49" s="85"/>
      <c r="N49" s="139" t="str">
        <f aca="false">IFERROR(IF(L49*M49=0,"",L49*M49),"")</f>
        <v/>
      </c>
      <c r="O49" s="85"/>
      <c r="P49" s="138" t="str">
        <f aca="false">IFERROR(VLOOKUP(TEXT(O49,"0"),CONDUCTORES!$A$3:$G$54,2,0),"")</f>
        <v/>
      </c>
      <c r="Q49" s="138" t="str">
        <f aca="false">IFERROR(VLOOKUP(TEXT(O49,"0"),CONDUCTORES!$A$3:$H$54,6,0),"")</f>
        <v/>
      </c>
      <c r="R49" s="85"/>
      <c r="S49" s="85"/>
      <c r="T49" s="85"/>
      <c r="U49" s="85"/>
      <c r="V49" s="85"/>
      <c r="W49" s="85"/>
      <c r="X49" s="85"/>
      <c r="Y49" s="85"/>
      <c r="Z49" s="41" t="str">
        <f aca="false">IF(AND(G49&lt;&gt;"",R49&lt;&gt;"",V49&lt;&gt;"",W49&lt;&gt;""),"COMPLETADO","OBSERVADO")</f>
        <v>OBSERVADO</v>
      </c>
      <c r="AA49" s="89"/>
    </row>
    <row r="50" customFormat="false" ht="15.75" hidden="false" customHeight="true" outlineLevel="0" collapsed="false">
      <c r="A50" s="140"/>
      <c r="B50" s="140"/>
      <c r="C50" s="140"/>
      <c r="D50" s="140"/>
      <c r="E50" s="140"/>
      <c r="F50" s="140"/>
      <c r="G50" s="140"/>
      <c r="H50" s="140"/>
      <c r="I50" s="138" t="str">
        <f aca="false">IFERROR(VLOOKUP(TEXT(H50,"0"),IPRESS!$A$3:$B$212,2,0),"")</f>
        <v/>
      </c>
      <c r="J50" s="140"/>
      <c r="K50" s="138" t="str">
        <f aca="false">IFERROR(VLOOKUP(TEXT(O50,"0"),CONDUCTORES!$A$3:$G$54,7,0),"")</f>
        <v/>
      </c>
      <c r="L50" s="140"/>
      <c r="M50" s="140"/>
      <c r="N50" s="139" t="str">
        <f aca="false">IFERROR(IF(L50*M50=0,"",L50*M50),"")</f>
        <v/>
      </c>
      <c r="O50" s="140"/>
      <c r="P50" s="138" t="str">
        <f aca="false">IFERROR(VLOOKUP(TEXT(O50,"0"),CONDUCTORES!$A$3:$G$54,2,0),"")</f>
        <v/>
      </c>
      <c r="Q50" s="138" t="str">
        <f aca="false">IFERROR(VLOOKUP(TEXT(O50,"0"),CONDUCTORES!$A$3:$H$54,6,0),"")</f>
        <v/>
      </c>
      <c r="R50" s="140"/>
      <c r="S50" s="140"/>
      <c r="T50" s="140"/>
      <c r="U50" s="140"/>
      <c r="V50" s="140"/>
      <c r="W50" s="140"/>
      <c r="X50" s="140"/>
      <c r="Y50" s="140"/>
      <c r="Z50" s="47" t="str">
        <f aca="false">IF(AND(G50&lt;&gt;"",R50&lt;&gt;"",V50&lt;&gt;"",W50&lt;&gt;""),"COMPLETADO","OBSERVADO")</f>
        <v>OBSERVADO</v>
      </c>
      <c r="AA50" s="89"/>
    </row>
    <row r="51" customFormat="false" ht="15.75" hidden="false" customHeight="true" outlineLevel="0" collapsed="false">
      <c r="A51" s="85"/>
      <c r="B51" s="85"/>
      <c r="C51" s="85"/>
      <c r="D51" s="85"/>
      <c r="E51" s="85"/>
      <c r="F51" s="85"/>
      <c r="G51" s="85"/>
      <c r="H51" s="85"/>
      <c r="I51" s="138" t="str">
        <f aca="false">IFERROR(VLOOKUP(TEXT(H51,"0"),IPRESS!$A$3:$B$212,2,0),"")</f>
        <v/>
      </c>
      <c r="J51" s="85"/>
      <c r="K51" s="138" t="str">
        <f aca="false">IFERROR(VLOOKUP(TEXT(O51,"0"),CONDUCTORES!$A$3:$G$54,7,0),"")</f>
        <v/>
      </c>
      <c r="L51" s="85"/>
      <c r="M51" s="85"/>
      <c r="N51" s="139" t="str">
        <f aca="false">IFERROR(IF(L51*M51=0,"",L51*M51),"")</f>
        <v/>
      </c>
      <c r="O51" s="85"/>
      <c r="P51" s="138" t="str">
        <f aca="false">IFERROR(VLOOKUP(TEXT(O51,"0"),CONDUCTORES!$A$3:$G$54,2,0),"")</f>
        <v/>
      </c>
      <c r="Q51" s="138" t="str">
        <f aca="false">IFERROR(VLOOKUP(TEXT(O51,"0"),CONDUCTORES!$A$3:$H$54,6,0),"")</f>
        <v/>
      </c>
      <c r="R51" s="85"/>
      <c r="S51" s="85"/>
      <c r="T51" s="85"/>
      <c r="U51" s="85"/>
      <c r="V51" s="85"/>
      <c r="W51" s="85"/>
      <c r="X51" s="85"/>
      <c r="Y51" s="85"/>
      <c r="Z51" s="41" t="str">
        <f aca="false">IF(AND(G51&lt;&gt;"",R51&lt;&gt;"",V51&lt;&gt;"",W51&lt;&gt;""),"COMPLETADO","OBSERVADO")</f>
        <v>OBSERVADO</v>
      </c>
      <c r="AA51" s="89"/>
    </row>
    <row r="52" customFormat="false" ht="15.75" hidden="false" customHeight="true" outlineLevel="0" collapsed="false">
      <c r="A52" s="140"/>
      <c r="B52" s="140"/>
      <c r="C52" s="140"/>
      <c r="D52" s="140"/>
      <c r="E52" s="140"/>
      <c r="F52" s="140"/>
      <c r="G52" s="140"/>
      <c r="H52" s="140"/>
      <c r="I52" s="138" t="str">
        <f aca="false">IFERROR(VLOOKUP(TEXT(H52,"0"),IPRESS!$A$3:$B$212,2,0),"")</f>
        <v/>
      </c>
      <c r="J52" s="140"/>
      <c r="K52" s="138" t="str">
        <f aca="false">IFERROR(VLOOKUP(TEXT(O52,"0"),CONDUCTORES!$A$3:$G$54,7,0),"")</f>
        <v/>
      </c>
      <c r="L52" s="140"/>
      <c r="M52" s="140"/>
      <c r="N52" s="139" t="str">
        <f aca="false">IFERROR(IF(L52*M52=0,"",L52*M52),"")</f>
        <v/>
      </c>
      <c r="O52" s="140"/>
      <c r="P52" s="138" t="str">
        <f aca="false">IFERROR(VLOOKUP(TEXT(O52,"0"),CONDUCTORES!$A$3:$G$54,2,0),"")</f>
        <v/>
      </c>
      <c r="Q52" s="138" t="str">
        <f aca="false">IFERROR(VLOOKUP(TEXT(O52,"0"),CONDUCTORES!$A$3:$H$54,6,0),"")</f>
        <v/>
      </c>
      <c r="R52" s="140"/>
      <c r="S52" s="140"/>
      <c r="T52" s="140"/>
      <c r="U52" s="140"/>
      <c r="V52" s="140"/>
      <c r="W52" s="140"/>
      <c r="X52" s="140"/>
      <c r="Y52" s="140"/>
      <c r="Z52" s="47" t="str">
        <f aca="false">IF(AND(G52&lt;&gt;"",R52&lt;&gt;"",V52&lt;&gt;"",W52&lt;&gt;""),"COMPLETADO","OBSERVADO")</f>
        <v>OBSERVADO</v>
      </c>
      <c r="AA52" s="89"/>
    </row>
    <row r="53" customFormat="false" ht="15.75" hidden="false" customHeight="true" outlineLevel="0" collapsed="false">
      <c r="A53" s="85"/>
      <c r="B53" s="85"/>
      <c r="C53" s="85"/>
      <c r="D53" s="85"/>
      <c r="E53" s="85"/>
      <c r="F53" s="85"/>
      <c r="G53" s="85"/>
      <c r="H53" s="85"/>
      <c r="I53" s="138" t="str">
        <f aca="false">IFERROR(VLOOKUP(TEXT(H53,"0"),IPRESS!$A$3:$B$212,2,0),"")</f>
        <v/>
      </c>
      <c r="J53" s="85"/>
      <c r="K53" s="138" t="str">
        <f aca="false">IFERROR(VLOOKUP(TEXT(O53,"0"),CONDUCTORES!$A$3:$G$54,7,0),"")</f>
        <v/>
      </c>
      <c r="L53" s="85"/>
      <c r="M53" s="85"/>
      <c r="N53" s="139" t="str">
        <f aca="false">IFERROR(IF(L53*M53=0,"",L53*M53),"")</f>
        <v/>
      </c>
      <c r="O53" s="85"/>
      <c r="P53" s="138" t="str">
        <f aca="false">IFERROR(VLOOKUP(TEXT(O53,"0"),CONDUCTORES!$A$3:$G$54,2,0),"")</f>
        <v/>
      </c>
      <c r="Q53" s="138" t="str">
        <f aca="false">IFERROR(VLOOKUP(TEXT(O53,"0"),CONDUCTORES!$A$3:$H$54,6,0),"")</f>
        <v/>
      </c>
      <c r="R53" s="85"/>
      <c r="S53" s="85"/>
      <c r="T53" s="85"/>
      <c r="U53" s="85"/>
      <c r="V53" s="85"/>
      <c r="W53" s="85"/>
      <c r="X53" s="85"/>
      <c r="Y53" s="85"/>
      <c r="Z53" s="41" t="str">
        <f aca="false">IF(AND(G53&lt;&gt;"",R53&lt;&gt;"",V53&lt;&gt;"",W53&lt;&gt;""),"COMPLETADO","OBSERVADO")</f>
        <v>OBSERVADO</v>
      </c>
      <c r="AA53" s="89"/>
    </row>
    <row r="54" customFormat="false" ht="15.75" hidden="false" customHeight="true" outlineLevel="0" collapsed="false">
      <c r="A54" s="140"/>
      <c r="B54" s="140"/>
      <c r="C54" s="140"/>
      <c r="D54" s="140"/>
      <c r="E54" s="140"/>
      <c r="F54" s="140"/>
      <c r="G54" s="140"/>
      <c r="H54" s="140"/>
      <c r="I54" s="138" t="str">
        <f aca="false">IFERROR(VLOOKUP(TEXT(H54,"0"),IPRESS!$A$3:$B$212,2,0),"")</f>
        <v/>
      </c>
      <c r="J54" s="140"/>
      <c r="K54" s="138" t="str">
        <f aca="false">IFERROR(VLOOKUP(TEXT(O54,"0"),CONDUCTORES!$A$3:$G$54,7,0),"")</f>
        <v/>
      </c>
      <c r="L54" s="140"/>
      <c r="M54" s="140"/>
      <c r="N54" s="139" t="str">
        <f aca="false">IFERROR(IF(L54*M54=0,"",L54*M54),"")</f>
        <v/>
      </c>
      <c r="O54" s="140"/>
      <c r="P54" s="138" t="str">
        <f aca="false">IFERROR(VLOOKUP(TEXT(O54,"0"),CONDUCTORES!$A$3:$G$54,2,0),"")</f>
        <v/>
      </c>
      <c r="Q54" s="138" t="str">
        <f aca="false">IFERROR(VLOOKUP(TEXT(O54,"0"),CONDUCTORES!$A$3:$H$54,6,0),"")</f>
        <v/>
      </c>
      <c r="R54" s="140"/>
      <c r="S54" s="140"/>
      <c r="T54" s="140"/>
      <c r="U54" s="140"/>
      <c r="V54" s="140"/>
      <c r="W54" s="140"/>
      <c r="X54" s="140"/>
      <c r="Y54" s="140"/>
      <c r="Z54" s="47" t="str">
        <f aca="false">IF(AND(G54&lt;&gt;"",R54&lt;&gt;"",V54&lt;&gt;"",W54&lt;&gt;""),"COMPLETADO","OBSERVADO")</f>
        <v>OBSERVADO</v>
      </c>
      <c r="AA54" s="89"/>
    </row>
    <row r="55" customFormat="false" ht="15.75" hidden="false" customHeight="true" outlineLevel="0" collapsed="false">
      <c r="A55" s="85"/>
      <c r="B55" s="85"/>
      <c r="C55" s="85"/>
      <c r="D55" s="85"/>
      <c r="E55" s="85"/>
      <c r="F55" s="85"/>
      <c r="G55" s="85"/>
      <c r="H55" s="85"/>
      <c r="I55" s="138" t="str">
        <f aca="false">IFERROR(VLOOKUP(TEXT(H55,"0"),IPRESS!$A$3:$B$212,2,0),"")</f>
        <v/>
      </c>
      <c r="J55" s="85"/>
      <c r="K55" s="138" t="str">
        <f aca="false">IFERROR(VLOOKUP(TEXT(O55,"0"),CONDUCTORES!$A$3:$G$54,7,0),"")</f>
        <v/>
      </c>
      <c r="L55" s="85"/>
      <c r="M55" s="85"/>
      <c r="N55" s="139" t="str">
        <f aca="false">IFERROR(IF(L55*M55=0,"",L55*M55),"")</f>
        <v/>
      </c>
      <c r="O55" s="85"/>
      <c r="P55" s="138" t="str">
        <f aca="false">IFERROR(VLOOKUP(TEXT(O55,"0"),CONDUCTORES!$A$3:$G$54,2,0),"")</f>
        <v/>
      </c>
      <c r="Q55" s="138" t="str">
        <f aca="false">IFERROR(VLOOKUP(TEXT(O55,"0"),CONDUCTORES!$A$3:$H$54,6,0),"")</f>
        <v/>
      </c>
      <c r="R55" s="85"/>
      <c r="S55" s="85"/>
      <c r="T55" s="85"/>
      <c r="U55" s="85"/>
      <c r="V55" s="85"/>
      <c r="W55" s="85"/>
      <c r="X55" s="85"/>
      <c r="Y55" s="85"/>
      <c r="Z55" s="41" t="str">
        <f aca="false">IF(AND(G55&lt;&gt;"",R55&lt;&gt;"",V55&lt;&gt;"",W55&lt;&gt;""),"COMPLETADO","OBSERVADO")</f>
        <v>OBSERVADO</v>
      </c>
      <c r="AA55" s="89"/>
    </row>
    <row r="56" customFormat="false" ht="15.75" hidden="false" customHeight="true" outlineLevel="0" collapsed="false">
      <c r="A56" s="140"/>
      <c r="B56" s="140"/>
      <c r="C56" s="140"/>
      <c r="D56" s="140"/>
      <c r="E56" s="140"/>
      <c r="F56" s="140"/>
      <c r="G56" s="140"/>
      <c r="H56" s="140"/>
      <c r="I56" s="138" t="str">
        <f aca="false">IFERROR(VLOOKUP(TEXT(H56,"0"),IPRESS!$A$3:$B$212,2,0),"")</f>
        <v/>
      </c>
      <c r="J56" s="140"/>
      <c r="K56" s="138" t="str">
        <f aca="false">IFERROR(VLOOKUP(TEXT(O56,"0"),CONDUCTORES!$A$3:$G$54,7,0),"")</f>
        <v/>
      </c>
      <c r="L56" s="140"/>
      <c r="M56" s="140"/>
      <c r="N56" s="139" t="str">
        <f aca="false">IFERROR(IF(L56*M56=0,"",L56*M56),"")</f>
        <v/>
      </c>
      <c r="O56" s="140"/>
      <c r="P56" s="138" t="str">
        <f aca="false">IFERROR(VLOOKUP(TEXT(O56,"0"),CONDUCTORES!$A$3:$G$54,2,0),"")</f>
        <v/>
      </c>
      <c r="Q56" s="138" t="str">
        <f aca="false">IFERROR(VLOOKUP(TEXT(O56,"0"),CONDUCTORES!$A$3:$H$54,6,0),"")</f>
        <v/>
      </c>
      <c r="R56" s="140"/>
      <c r="S56" s="140"/>
      <c r="T56" s="140"/>
      <c r="U56" s="140"/>
      <c r="V56" s="140"/>
      <c r="W56" s="140"/>
      <c r="X56" s="140"/>
      <c r="Y56" s="140"/>
      <c r="Z56" s="47" t="str">
        <f aca="false">IF(AND(G56&lt;&gt;"",R56&lt;&gt;"",V56&lt;&gt;"",W56&lt;&gt;""),"COMPLETADO","OBSERVADO")</f>
        <v>OBSERVADO</v>
      </c>
      <c r="AA56" s="89"/>
    </row>
    <row r="57" customFormat="false" ht="15.75" hidden="false" customHeight="true" outlineLevel="0" collapsed="false">
      <c r="A57" s="85"/>
      <c r="B57" s="85"/>
      <c r="C57" s="85"/>
      <c r="D57" s="85"/>
      <c r="E57" s="85"/>
      <c r="F57" s="85"/>
      <c r="G57" s="85"/>
      <c r="H57" s="85"/>
      <c r="I57" s="138" t="str">
        <f aca="false">IFERROR(VLOOKUP(TEXT(H57,"0"),IPRESS!$A$3:$B$212,2,0),"")</f>
        <v/>
      </c>
      <c r="J57" s="85"/>
      <c r="K57" s="138" t="str">
        <f aca="false">IFERROR(VLOOKUP(TEXT(O57,"0"),CONDUCTORES!$A$3:$G$54,7,0),"")</f>
        <v/>
      </c>
      <c r="L57" s="85"/>
      <c r="M57" s="85"/>
      <c r="N57" s="139" t="str">
        <f aca="false">IFERROR(IF(L57*M57=0,"",L57*M57),"")</f>
        <v/>
      </c>
      <c r="O57" s="85"/>
      <c r="P57" s="138" t="str">
        <f aca="false">IFERROR(VLOOKUP(TEXT(O57,"0"),CONDUCTORES!$A$3:$G$54,2,0),"")</f>
        <v/>
      </c>
      <c r="Q57" s="138" t="str">
        <f aca="false">IFERROR(VLOOKUP(TEXT(O57,"0"),CONDUCTORES!$A$3:$H$54,6,0),"")</f>
        <v/>
      </c>
      <c r="R57" s="85"/>
      <c r="S57" s="85"/>
      <c r="T57" s="85"/>
      <c r="U57" s="85"/>
      <c r="V57" s="85"/>
      <c r="W57" s="85"/>
      <c r="X57" s="85"/>
      <c r="Y57" s="85"/>
      <c r="Z57" s="41" t="str">
        <f aca="false">IF(AND(G57&lt;&gt;"",R57&lt;&gt;"",V57&lt;&gt;"",W57&lt;&gt;""),"COMPLETADO","OBSERVADO")</f>
        <v>OBSERVADO</v>
      </c>
      <c r="AA57" s="89"/>
    </row>
    <row r="58" customFormat="false" ht="15.75" hidden="false" customHeight="true" outlineLevel="0" collapsed="false">
      <c r="A58" s="140"/>
      <c r="B58" s="140"/>
      <c r="C58" s="140"/>
      <c r="D58" s="140"/>
      <c r="E58" s="140"/>
      <c r="F58" s="140"/>
      <c r="G58" s="140"/>
      <c r="H58" s="140"/>
      <c r="I58" s="138" t="str">
        <f aca="false">IFERROR(VLOOKUP(TEXT(H58,"0"),IPRESS!$A$3:$B$212,2,0),"")</f>
        <v/>
      </c>
      <c r="J58" s="140"/>
      <c r="K58" s="138" t="str">
        <f aca="false">IFERROR(VLOOKUP(TEXT(O58,"0"),CONDUCTORES!$A$3:$G$54,7,0),"")</f>
        <v/>
      </c>
      <c r="L58" s="140"/>
      <c r="M58" s="140"/>
      <c r="N58" s="139" t="str">
        <f aca="false">IFERROR(IF(L58*M58=0,"",L58*M58),"")</f>
        <v/>
      </c>
      <c r="O58" s="140"/>
      <c r="P58" s="138" t="str">
        <f aca="false">IFERROR(VLOOKUP(TEXT(O58,"0"),CONDUCTORES!$A$3:$G$54,2,0),"")</f>
        <v/>
      </c>
      <c r="Q58" s="138" t="str">
        <f aca="false">IFERROR(VLOOKUP(TEXT(O58,"0"),CONDUCTORES!$A$3:$H$54,6,0),"")</f>
        <v/>
      </c>
      <c r="R58" s="140"/>
      <c r="S58" s="140"/>
      <c r="T58" s="140"/>
      <c r="U58" s="140"/>
      <c r="V58" s="140"/>
      <c r="W58" s="140"/>
      <c r="X58" s="140"/>
      <c r="Y58" s="140"/>
      <c r="Z58" s="47" t="str">
        <f aca="false">IF(AND(G58&lt;&gt;"",R58&lt;&gt;"",V58&lt;&gt;"",W58&lt;&gt;""),"COMPLETADO","OBSERVADO")</f>
        <v>OBSERVADO</v>
      </c>
      <c r="AA58" s="89"/>
    </row>
    <row r="59" customFormat="false" ht="15.75" hidden="false" customHeight="true" outlineLevel="0" collapsed="false">
      <c r="A59" s="85"/>
      <c r="B59" s="85"/>
      <c r="C59" s="85"/>
      <c r="D59" s="85"/>
      <c r="E59" s="85"/>
      <c r="F59" s="85"/>
      <c r="G59" s="85"/>
      <c r="H59" s="85"/>
      <c r="I59" s="138" t="str">
        <f aca="false">IFERROR(VLOOKUP(TEXT(H59,"0"),IPRESS!$A$3:$B$212,2,0),"")</f>
        <v/>
      </c>
      <c r="J59" s="85"/>
      <c r="K59" s="138" t="str">
        <f aca="false">IFERROR(VLOOKUP(TEXT(O59,"0"),CONDUCTORES!$A$3:$G$54,7,0),"")</f>
        <v/>
      </c>
      <c r="L59" s="85"/>
      <c r="M59" s="85"/>
      <c r="N59" s="139" t="str">
        <f aca="false">IFERROR(IF(L59*M59=0,"",L59*M59),"")</f>
        <v/>
      </c>
      <c r="O59" s="85"/>
      <c r="P59" s="138" t="str">
        <f aca="false">IFERROR(VLOOKUP(TEXT(O59,"0"),CONDUCTORES!$A$3:$G$54,2,0),"")</f>
        <v/>
      </c>
      <c r="Q59" s="138" t="str">
        <f aca="false">IFERROR(VLOOKUP(TEXT(O59,"0"),CONDUCTORES!$A$3:$H$54,6,0),"")</f>
        <v/>
      </c>
      <c r="R59" s="85"/>
      <c r="S59" s="85"/>
      <c r="T59" s="85"/>
      <c r="U59" s="85"/>
      <c r="V59" s="85"/>
      <c r="W59" s="85"/>
      <c r="X59" s="85"/>
      <c r="Y59" s="85"/>
      <c r="Z59" s="41" t="str">
        <f aca="false">IF(AND(G59&lt;&gt;"",R59&lt;&gt;"",V59&lt;&gt;"",W59&lt;&gt;""),"COMPLETADO","OBSERVADO")</f>
        <v>OBSERVADO</v>
      </c>
      <c r="AA59" s="89"/>
    </row>
    <row r="60" customFormat="false" ht="15.75" hidden="false" customHeight="true" outlineLevel="0" collapsed="false">
      <c r="A60" s="140"/>
      <c r="B60" s="140"/>
      <c r="C60" s="140"/>
      <c r="D60" s="140"/>
      <c r="E60" s="140"/>
      <c r="F60" s="140"/>
      <c r="G60" s="140"/>
      <c r="H60" s="140"/>
      <c r="I60" s="138" t="str">
        <f aca="false">IFERROR(VLOOKUP(TEXT(H60,"0"),IPRESS!$A$3:$B$212,2,0),"")</f>
        <v/>
      </c>
      <c r="J60" s="140"/>
      <c r="K60" s="138" t="str">
        <f aca="false">IFERROR(VLOOKUP(TEXT(O60,"0"),CONDUCTORES!$A$3:$G$54,7,0),"")</f>
        <v/>
      </c>
      <c r="L60" s="140"/>
      <c r="M60" s="140"/>
      <c r="N60" s="139" t="str">
        <f aca="false">IFERROR(IF(L60*M60=0,"",L60*M60),"")</f>
        <v/>
      </c>
      <c r="O60" s="140"/>
      <c r="P60" s="138" t="str">
        <f aca="false">IFERROR(VLOOKUP(TEXT(O60,"0"),CONDUCTORES!$A$3:$G$54,2,0),"")</f>
        <v/>
      </c>
      <c r="Q60" s="138" t="str">
        <f aca="false">IFERROR(VLOOKUP(TEXT(O60,"0"),CONDUCTORES!$A$3:$H$54,6,0),"")</f>
        <v/>
      </c>
      <c r="R60" s="140"/>
      <c r="S60" s="140"/>
      <c r="T60" s="140"/>
      <c r="U60" s="140"/>
      <c r="V60" s="140"/>
      <c r="W60" s="140"/>
      <c r="X60" s="140"/>
      <c r="Y60" s="140"/>
      <c r="Z60" s="47" t="str">
        <f aca="false">IF(AND(G60&lt;&gt;"",R60&lt;&gt;"",V60&lt;&gt;"",W60&lt;&gt;""),"COMPLETADO","OBSERVADO")</f>
        <v>OBSERVADO</v>
      </c>
      <c r="AA60" s="89"/>
    </row>
    <row r="61" customFormat="false" ht="15.75" hidden="false" customHeight="true" outlineLevel="0" collapsed="false">
      <c r="A61" s="85"/>
      <c r="B61" s="85"/>
      <c r="C61" s="85"/>
      <c r="D61" s="85"/>
      <c r="E61" s="85"/>
      <c r="F61" s="85"/>
      <c r="G61" s="85"/>
      <c r="H61" s="85"/>
      <c r="I61" s="138" t="str">
        <f aca="false">IFERROR(VLOOKUP(TEXT(H61,"0"),IPRESS!$A$3:$B$212,2,0),"")</f>
        <v/>
      </c>
      <c r="J61" s="85"/>
      <c r="K61" s="138" t="str">
        <f aca="false">IFERROR(VLOOKUP(TEXT(O61,"0"),CONDUCTORES!$A$3:$G$54,7,0),"")</f>
        <v/>
      </c>
      <c r="L61" s="85"/>
      <c r="M61" s="85"/>
      <c r="N61" s="139" t="str">
        <f aca="false">IFERROR(IF(L61*M61=0,"",L61*M61),"")</f>
        <v/>
      </c>
      <c r="O61" s="85"/>
      <c r="P61" s="138" t="str">
        <f aca="false">IFERROR(VLOOKUP(TEXT(O61,"0"),CONDUCTORES!$A$3:$G$54,2,0),"")</f>
        <v/>
      </c>
      <c r="Q61" s="138" t="str">
        <f aca="false">IFERROR(VLOOKUP(TEXT(O61,"0"),CONDUCTORES!$A$3:$H$54,6,0),"")</f>
        <v/>
      </c>
      <c r="R61" s="85"/>
      <c r="S61" s="85"/>
      <c r="T61" s="85"/>
      <c r="U61" s="85"/>
      <c r="V61" s="85"/>
      <c r="W61" s="85"/>
      <c r="X61" s="85"/>
      <c r="Y61" s="85"/>
      <c r="Z61" s="41" t="str">
        <f aca="false">IF(AND(G61&lt;&gt;"",R61&lt;&gt;"",V61&lt;&gt;"",W61&lt;&gt;""),"COMPLETADO","OBSERVADO")</f>
        <v>OBSERVADO</v>
      </c>
      <c r="AA61" s="89"/>
    </row>
    <row r="62" customFormat="false" ht="15.75" hidden="false" customHeight="true" outlineLevel="0" collapsed="false">
      <c r="A62" s="140"/>
      <c r="B62" s="140"/>
      <c r="C62" s="140"/>
      <c r="D62" s="140"/>
      <c r="E62" s="140"/>
      <c r="F62" s="140"/>
      <c r="G62" s="140"/>
      <c r="H62" s="140"/>
      <c r="I62" s="138" t="str">
        <f aca="false">IFERROR(VLOOKUP(TEXT(H62,"0"),IPRESS!$A$3:$B$212,2,0),"")</f>
        <v/>
      </c>
      <c r="J62" s="140"/>
      <c r="K62" s="138" t="str">
        <f aca="false">IFERROR(VLOOKUP(TEXT(O62,"0"),CONDUCTORES!$A$3:$G$54,7,0),"")</f>
        <v/>
      </c>
      <c r="L62" s="140"/>
      <c r="M62" s="140"/>
      <c r="N62" s="139" t="str">
        <f aca="false">IFERROR(IF(L62*M62=0,"",L62*M62),"")</f>
        <v/>
      </c>
      <c r="O62" s="140"/>
      <c r="P62" s="138" t="str">
        <f aca="false">IFERROR(VLOOKUP(TEXT(O62,"0"),CONDUCTORES!$A$3:$G$54,2,0),"")</f>
        <v/>
      </c>
      <c r="Q62" s="138" t="str">
        <f aca="false">IFERROR(VLOOKUP(TEXT(O62,"0"),CONDUCTORES!$A$3:$H$54,6,0),"")</f>
        <v/>
      </c>
      <c r="R62" s="140"/>
      <c r="S62" s="140"/>
      <c r="T62" s="140"/>
      <c r="U62" s="140"/>
      <c r="V62" s="140"/>
      <c r="W62" s="140"/>
      <c r="X62" s="140"/>
      <c r="Y62" s="140"/>
      <c r="Z62" s="47" t="str">
        <f aca="false">IF(AND(G62&lt;&gt;"",R62&lt;&gt;"",V62&lt;&gt;"",W62&lt;&gt;""),"COMPLETADO","OBSERVADO")</f>
        <v>OBSERVADO</v>
      </c>
      <c r="AA62" s="89"/>
    </row>
    <row r="63" customFormat="false" ht="15.75" hidden="false" customHeight="true" outlineLevel="0" collapsed="false">
      <c r="A63" s="85"/>
      <c r="B63" s="85"/>
      <c r="C63" s="85"/>
      <c r="D63" s="85"/>
      <c r="E63" s="85"/>
      <c r="F63" s="85"/>
      <c r="G63" s="85"/>
      <c r="H63" s="85"/>
      <c r="I63" s="138" t="str">
        <f aca="false">IFERROR(VLOOKUP(TEXT(H63,"0"),IPRESS!$A$3:$B$212,2,0),"")</f>
        <v/>
      </c>
      <c r="J63" s="85"/>
      <c r="K63" s="138" t="str">
        <f aca="false">IFERROR(VLOOKUP(TEXT(O63,"0"),CONDUCTORES!$A$3:$G$54,7,0),"")</f>
        <v/>
      </c>
      <c r="L63" s="85"/>
      <c r="M63" s="85"/>
      <c r="N63" s="139" t="str">
        <f aca="false">IFERROR(IF(L63*M63=0,"",L63*M63),"")</f>
        <v/>
      </c>
      <c r="O63" s="85"/>
      <c r="P63" s="138" t="str">
        <f aca="false">IFERROR(VLOOKUP(TEXT(O63,"0"),CONDUCTORES!$A$3:$G$54,2,0),"")</f>
        <v/>
      </c>
      <c r="Q63" s="138" t="str">
        <f aca="false">IFERROR(VLOOKUP(TEXT(O63,"0"),CONDUCTORES!$A$3:$H$54,6,0),"")</f>
        <v/>
      </c>
      <c r="R63" s="85"/>
      <c r="S63" s="85"/>
      <c r="T63" s="85"/>
      <c r="U63" s="85"/>
      <c r="V63" s="85"/>
      <c r="W63" s="85"/>
      <c r="X63" s="85"/>
      <c r="Y63" s="85"/>
      <c r="Z63" s="41" t="str">
        <f aca="false">IF(AND(G63&lt;&gt;"",R63&lt;&gt;"",V63&lt;&gt;"",W63&lt;&gt;""),"COMPLETADO","OBSERVADO")</f>
        <v>OBSERVADO</v>
      </c>
      <c r="AA63" s="89"/>
    </row>
    <row r="64" customFormat="false" ht="15.75" hidden="false" customHeight="true" outlineLevel="0" collapsed="false">
      <c r="A64" s="140"/>
      <c r="B64" s="140"/>
      <c r="C64" s="140"/>
      <c r="D64" s="140"/>
      <c r="E64" s="140"/>
      <c r="F64" s="140"/>
      <c r="G64" s="140"/>
      <c r="H64" s="140"/>
      <c r="I64" s="138" t="str">
        <f aca="false">IFERROR(VLOOKUP(TEXT(H64,"0"),IPRESS!$A$3:$B$212,2,0),"")</f>
        <v/>
      </c>
      <c r="J64" s="140"/>
      <c r="K64" s="138" t="str">
        <f aca="false">IFERROR(VLOOKUP(TEXT(O64,"0"),CONDUCTORES!$A$3:$G$54,7,0),"")</f>
        <v/>
      </c>
      <c r="L64" s="140"/>
      <c r="M64" s="140"/>
      <c r="N64" s="139" t="str">
        <f aca="false">IFERROR(IF(L64*M64=0,"",L64*M64),"")</f>
        <v/>
      </c>
      <c r="O64" s="140"/>
      <c r="P64" s="138" t="str">
        <f aca="false">IFERROR(VLOOKUP(TEXT(O64,"0"),CONDUCTORES!$A$3:$G$54,2,0),"")</f>
        <v/>
      </c>
      <c r="Q64" s="138" t="str">
        <f aca="false">IFERROR(VLOOKUP(TEXT(O64,"0"),CONDUCTORES!$A$3:$H$54,6,0),"")</f>
        <v/>
      </c>
      <c r="R64" s="140"/>
      <c r="S64" s="140"/>
      <c r="T64" s="140"/>
      <c r="U64" s="140"/>
      <c r="V64" s="140"/>
      <c r="W64" s="140"/>
      <c r="X64" s="140"/>
      <c r="Y64" s="140"/>
      <c r="Z64" s="47" t="str">
        <f aca="false">IF(AND(G64&lt;&gt;"",R64&lt;&gt;"",V64&lt;&gt;"",W64&lt;&gt;""),"COMPLETADO","OBSERVADO")</f>
        <v>OBSERVADO</v>
      </c>
      <c r="AA64" s="89"/>
    </row>
    <row r="65" customFormat="false" ht="15.75" hidden="false" customHeight="true" outlineLevel="0" collapsed="false">
      <c r="A65" s="85"/>
      <c r="B65" s="85"/>
      <c r="C65" s="85"/>
      <c r="D65" s="85"/>
      <c r="E65" s="85"/>
      <c r="F65" s="85"/>
      <c r="G65" s="85"/>
      <c r="H65" s="85"/>
      <c r="I65" s="138" t="str">
        <f aca="false">IFERROR(VLOOKUP(TEXT(H65,"0"),IPRESS!$A$3:$B$212,2,0),"")</f>
        <v/>
      </c>
      <c r="J65" s="85"/>
      <c r="K65" s="138" t="str">
        <f aca="false">IFERROR(VLOOKUP(TEXT(O65,"0"),CONDUCTORES!$A$3:$G$54,7,0),"")</f>
        <v/>
      </c>
      <c r="L65" s="85"/>
      <c r="M65" s="85"/>
      <c r="N65" s="139" t="str">
        <f aca="false">IFERROR(IF(L65*M65=0,"",L65*M65),"")</f>
        <v/>
      </c>
      <c r="O65" s="85"/>
      <c r="P65" s="138" t="str">
        <f aca="false">IFERROR(VLOOKUP(TEXT(O65,"0"),CONDUCTORES!$A$3:$G$54,2,0),"")</f>
        <v/>
      </c>
      <c r="Q65" s="138" t="str">
        <f aca="false">IFERROR(VLOOKUP(TEXT(O65,"0"),CONDUCTORES!$A$3:$H$54,6,0),"")</f>
        <v/>
      </c>
      <c r="R65" s="85"/>
      <c r="S65" s="85"/>
      <c r="T65" s="85"/>
      <c r="U65" s="85"/>
      <c r="V65" s="85"/>
      <c r="W65" s="85"/>
      <c r="X65" s="85"/>
      <c r="Y65" s="85"/>
      <c r="Z65" s="41" t="str">
        <f aca="false">IF(AND(G65&lt;&gt;"",R65&lt;&gt;"",V65&lt;&gt;"",W65&lt;&gt;""),"COMPLETADO","OBSERVADO")</f>
        <v>OBSERVADO</v>
      </c>
      <c r="AA65" s="89"/>
    </row>
    <row r="66" customFormat="false" ht="15.75" hidden="false" customHeight="true" outlineLevel="0" collapsed="false">
      <c r="A66" s="140"/>
      <c r="B66" s="140"/>
      <c r="C66" s="140"/>
      <c r="D66" s="140"/>
      <c r="E66" s="140"/>
      <c r="F66" s="140"/>
      <c r="G66" s="140"/>
      <c r="H66" s="140"/>
      <c r="I66" s="138" t="str">
        <f aca="false">IFERROR(VLOOKUP(TEXT(H66,"0"),IPRESS!$A$3:$B$212,2,0),"")</f>
        <v/>
      </c>
      <c r="J66" s="140"/>
      <c r="K66" s="138" t="str">
        <f aca="false">IFERROR(VLOOKUP(TEXT(O66,"0"),CONDUCTORES!$A$3:$G$54,7,0),"")</f>
        <v/>
      </c>
      <c r="L66" s="140"/>
      <c r="M66" s="140"/>
      <c r="N66" s="139" t="str">
        <f aca="false">IFERROR(IF(L66*M66=0,"",L66*M66),"")</f>
        <v/>
      </c>
      <c r="O66" s="140"/>
      <c r="P66" s="138" t="str">
        <f aca="false">IFERROR(VLOOKUP(TEXT(O66,"0"),CONDUCTORES!$A$3:$G$54,2,0),"")</f>
        <v/>
      </c>
      <c r="Q66" s="138" t="str">
        <f aca="false">IFERROR(VLOOKUP(TEXT(O66,"0"),CONDUCTORES!$A$3:$H$54,6,0),"")</f>
        <v/>
      </c>
      <c r="R66" s="140"/>
      <c r="S66" s="140"/>
      <c r="T66" s="140"/>
      <c r="U66" s="140"/>
      <c r="V66" s="140"/>
      <c r="W66" s="140"/>
      <c r="X66" s="140"/>
      <c r="Y66" s="140"/>
      <c r="Z66" s="47" t="str">
        <f aca="false">IF(AND(G66&lt;&gt;"",R66&lt;&gt;"",V66&lt;&gt;"",W66&lt;&gt;""),"COMPLETADO","OBSERVADO")</f>
        <v>OBSERVADO</v>
      </c>
      <c r="AA66" s="89"/>
    </row>
    <row r="67" customFormat="false" ht="15.75" hidden="false" customHeight="true" outlineLevel="0" collapsed="false">
      <c r="A67" s="85"/>
      <c r="B67" s="85"/>
      <c r="C67" s="85"/>
      <c r="D67" s="85"/>
      <c r="E67" s="85"/>
      <c r="F67" s="85"/>
      <c r="G67" s="85"/>
      <c r="H67" s="85"/>
      <c r="I67" s="138" t="str">
        <f aca="false">IFERROR(VLOOKUP(TEXT(H67,"0"),IPRESS!$A$3:$B$212,2,0),"")</f>
        <v/>
      </c>
      <c r="J67" s="85"/>
      <c r="K67" s="138" t="str">
        <f aca="false">IFERROR(VLOOKUP(TEXT(O67,"0"),CONDUCTORES!$A$3:$G$54,7,0),"")</f>
        <v/>
      </c>
      <c r="L67" s="85"/>
      <c r="M67" s="85"/>
      <c r="N67" s="139" t="str">
        <f aca="false">IFERROR(IF(L67*M67=0,"",L67*M67),"")</f>
        <v/>
      </c>
      <c r="O67" s="85"/>
      <c r="P67" s="138" t="str">
        <f aca="false">IFERROR(VLOOKUP(TEXT(O67,"0"),CONDUCTORES!$A$3:$G$54,2,0),"")</f>
        <v/>
      </c>
      <c r="Q67" s="138" t="str">
        <f aca="false">IFERROR(VLOOKUP(TEXT(O67,"0"),CONDUCTORES!$A$3:$H$54,6,0),"")</f>
        <v/>
      </c>
      <c r="R67" s="85"/>
      <c r="S67" s="85"/>
      <c r="T67" s="85"/>
      <c r="U67" s="85"/>
      <c r="V67" s="85"/>
      <c r="W67" s="85"/>
      <c r="X67" s="85"/>
      <c r="Y67" s="85"/>
      <c r="Z67" s="41" t="str">
        <f aca="false">IF(AND(G67&lt;&gt;"",R67&lt;&gt;"",V67&lt;&gt;"",W67&lt;&gt;""),"COMPLETADO","OBSERVADO")</f>
        <v>OBSERVADO</v>
      </c>
      <c r="AA67" s="89"/>
    </row>
    <row r="68" customFormat="false" ht="15.75" hidden="false" customHeight="true" outlineLevel="0" collapsed="false">
      <c r="A68" s="140"/>
      <c r="B68" s="140"/>
      <c r="C68" s="140"/>
      <c r="D68" s="140"/>
      <c r="E68" s="140"/>
      <c r="F68" s="140"/>
      <c r="G68" s="140"/>
      <c r="H68" s="140"/>
      <c r="I68" s="138" t="str">
        <f aca="false">IFERROR(VLOOKUP(TEXT(H68,"0"),IPRESS!$A$3:$B$212,2,0),"")</f>
        <v/>
      </c>
      <c r="J68" s="140"/>
      <c r="K68" s="138" t="str">
        <f aca="false">IFERROR(VLOOKUP(TEXT(O68,"0"),CONDUCTORES!$A$3:$G$54,7,0),"")</f>
        <v/>
      </c>
      <c r="L68" s="140"/>
      <c r="M68" s="140"/>
      <c r="N68" s="139" t="str">
        <f aca="false">IFERROR(IF(L68*M68=0,"",L68*M68),"")</f>
        <v/>
      </c>
      <c r="O68" s="140"/>
      <c r="P68" s="138" t="str">
        <f aca="false">IFERROR(VLOOKUP(TEXT(O68,"0"),CONDUCTORES!$A$3:$G$54,2,0),"")</f>
        <v/>
      </c>
      <c r="Q68" s="138" t="str">
        <f aca="false">IFERROR(VLOOKUP(TEXT(O68,"0"),CONDUCTORES!$A$3:$H$54,6,0),"")</f>
        <v/>
      </c>
      <c r="R68" s="140"/>
      <c r="S68" s="140"/>
      <c r="T68" s="140"/>
      <c r="U68" s="140"/>
      <c r="V68" s="140"/>
      <c r="W68" s="140"/>
      <c r="X68" s="140"/>
      <c r="Y68" s="140"/>
      <c r="Z68" s="47" t="str">
        <f aca="false">IF(AND(G68&lt;&gt;"",R68&lt;&gt;"",V68&lt;&gt;"",W68&lt;&gt;""),"COMPLETADO","OBSERVADO")</f>
        <v>OBSERVADO</v>
      </c>
      <c r="AA68" s="89"/>
    </row>
    <row r="69" customFormat="false" ht="15.75" hidden="false" customHeight="true" outlineLevel="0" collapsed="false">
      <c r="A69" s="85"/>
      <c r="B69" s="85"/>
      <c r="C69" s="85"/>
      <c r="D69" s="85"/>
      <c r="E69" s="85"/>
      <c r="F69" s="85"/>
      <c r="G69" s="85"/>
      <c r="H69" s="85"/>
      <c r="I69" s="138" t="str">
        <f aca="false">IFERROR(VLOOKUP(TEXT(H69,"0"),IPRESS!$A$3:$B$212,2,0),"")</f>
        <v/>
      </c>
      <c r="J69" s="85"/>
      <c r="K69" s="138" t="str">
        <f aca="false">IFERROR(VLOOKUP(TEXT(O69,"0"),CONDUCTORES!$A$3:$G$54,7,0),"")</f>
        <v/>
      </c>
      <c r="L69" s="85"/>
      <c r="M69" s="85"/>
      <c r="N69" s="139" t="str">
        <f aca="false">IFERROR(IF(L69*M69=0,"",L69*M69),"")</f>
        <v/>
      </c>
      <c r="O69" s="85"/>
      <c r="P69" s="138" t="str">
        <f aca="false">IFERROR(VLOOKUP(TEXT(O69,"0"),CONDUCTORES!$A$3:$G$54,2,0),"")</f>
        <v/>
      </c>
      <c r="Q69" s="138" t="str">
        <f aca="false">IFERROR(VLOOKUP(TEXT(O69,"0"),CONDUCTORES!$A$3:$H$54,6,0),"")</f>
        <v/>
      </c>
      <c r="R69" s="85"/>
      <c r="S69" s="85"/>
      <c r="T69" s="85"/>
      <c r="U69" s="85"/>
      <c r="V69" s="85"/>
      <c r="W69" s="85"/>
      <c r="X69" s="85"/>
      <c r="Y69" s="85"/>
      <c r="Z69" s="41" t="str">
        <f aca="false">IF(AND(G69&lt;&gt;"",R69&lt;&gt;"",V69&lt;&gt;"",W69&lt;&gt;""),"COMPLETADO","OBSERVADO")</f>
        <v>OBSERVADO</v>
      </c>
      <c r="AA69" s="89"/>
    </row>
    <row r="70" customFormat="false" ht="15.75" hidden="false" customHeight="true" outlineLevel="0" collapsed="false">
      <c r="A70" s="140"/>
      <c r="B70" s="140"/>
      <c r="C70" s="140"/>
      <c r="D70" s="140"/>
      <c r="E70" s="140"/>
      <c r="F70" s="140"/>
      <c r="G70" s="140"/>
      <c r="H70" s="140"/>
      <c r="I70" s="138" t="str">
        <f aca="false">IFERROR(VLOOKUP(TEXT(H70,"0"),IPRESS!$A$3:$B$212,2,0),"")</f>
        <v/>
      </c>
      <c r="J70" s="140"/>
      <c r="K70" s="138" t="str">
        <f aca="false">IFERROR(VLOOKUP(TEXT(O70,"0"),CONDUCTORES!$A$3:$G$54,7,0),"")</f>
        <v/>
      </c>
      <c r="L70" s="140"/>
      <c r="M70" s="140"/>
      <c r="N70" s="139" t="str">
        <f aca="false">IFERROR(IF(L70*M70=0,"",L70*M70),"")</f>
        <v/>
      </c>
      <c r="O70" s="140"/>
      <c r="P70" s="138" t="str">
        <f aca="false">IFERROR(VLOOKUP(TEXT(O70,"0"),CONDUCTORES!$A$3:$G$54,2,0),"")</f>
        <v/>
      </c>
      <c r="Q70" s="138" t="str">
        <f aca="false">IFERROR(VLOOKUP(TEXT(O70,"0"),CONDUCTORES!$A$3:$H$54,6,0),"")</f>
        <v/>
      </c>
      <c r="R70" s="140"/>
      <c r="S70" s="140"/>
      <c r="T70" s="140"/>
      <c r="U70" s="140"/>
      <c r="V70" s="140"/>
      <c r="W70" s="140"/>
      <c r="X70" s="140"/>
      <c r="Y70" s="140"/>
      <c r="Z70" s="47" t="str">
        <f aca="false">IF(AND(G70&lt;&gt;"",R70&lt;&gt;"",V70&lt;&gt;"",W70&lt;&gt;""),"COMPLETADO","OBSERVADO")</f>
        <v>OBSERVADO</v>
      </c>
      <c r="AA70" s="89"/>
    </row>
    <row r="71" customFormat="false" ht="15.75" hidden="false" customHeight="true" outlineLevel="0" collapsed="false">
      <c r="A71" s="85"/>
      <c r="B71" s="85"/>
      <c r="C71" s="85"/>
      <c r="D71" s="85"/>
      <c r="E71" s="85"/>
      <c r="F71" s="85"/>
      <c r="G71" s="85"/>
      <c r="H71" s="85"/>
      <c r="I71" s="138" t="str">
        <f aca="false">IFERROR(VLOOKUP(TEXT(H71,"0"),IPRESS!$A$3:$B$212,2,0),"")</f>
        <v/>
      </c>
      <c r="J71" s="85"/>
      <c r="K71" s="138" t="str">
        <f aca="false">IFERROR(VLOOKUP(TEXT(O71,"0"),CONDUCTORES!$A$3:$G$54,7,0),"")</f>
        <v/>
      </c>
      <c r="L71" s="85"/>
      <c r="M71" s="85"/>
      <c r="N71" s="139" t="str">
        <f aca="false">IFERROR(IF(L71*M71=0,"",L71*M71),"")</f>
        <v/>
      </c>
      <c r="O71" s="85"/>
      <c r="P71" s="138" t="str">
        <f aca="false">IFERROR(VLOOKUP(TEXT(O71,"0"),CONDUCTORES!$A$3:$G$54,2,0),"")</f>
        <v/>
      </c>
      <c r="Q71" s="138" t="str">
        <f aca="false">IFERROR(VLOOKUP(TEXT(O71,"0"),CONDUCTORES!$A$3:$H$54,6,0),"")</f>
        <v/>
      </c>
      <c r="R71" s="85"/>
      <c r="S71" s="85"/>
      <c r="T71" s="85"/>
      <c r="U71" s="85"/>
      <c r="V71" s="85"/>
      <c r="W71" s="85"/>
      <c r="X71" s="85"/>
      <c r="Y71" s="85"/>
      <c r="Z71" s="41" t="str">
        <f aca="false">IF(AND(G71&lt;&gt;"",R71&lt;&gt;"",V71&lt;&gt;"",W71&lt;&gt;""),"COMPLETADO","OBSERVADO")</f>
        <v>OBSERVADO</v>
      </c>
      <c r="AA71" s="89"/>
    </row>
    <row r="72" customFormat="false" ht="15.75" hidden="false" customHeight="true" outlineLevel="0" collapsed="false">
      <c r="A72" s="140"/>
      <c r="B72" s="140"/>
      <c r="C72" s="140"/>
      <c r="D72" s="140"/>
      <c r="E72" s="140"/>
      <c r="F72" s="140"/>
      <c r="G72" s="140"/>
      <c r="H72" s="140"/>
      <c r="I72" s="138" t="str">
        <f aca="false">IFERROR(VLOOKUP(TEXT(H72,"0"),IPRESS!$A$3:$B$212,2,0),"")</f>
        <v/>
      </c>
      <c r="J72" s="140"/>
      <c r="K72" s="138" t="str">
        <f aca="false">IFERROR(VLOOKUP(TEXT(O72,"0"),CONDUCTORES!$A$3:$G$54,7,0),"")</f>
        <v/>
      </c>
      <c r="L72" s="140"/>
      <c r="M72" s="140"/>
      <c r="N72" s="139" t="str">
        <f aca="false">IFERROR(IF(L72*M72=0,"",L72*M72),"")</f>
        <v/>
      </c>
      <c r="O72" s="140"/>
      <c r="P72" s="138" t="str">
        <f aca="false">IFERROR(VLOOKUP(TEXT(O72,"0"),CONDUCTORES!$A$3:$G$54,2,0),"")</f>
        <v/>
      </c>
      <c r="Q72" s="138" t="str">
        <f aca="false">IFERROR(VLOOKUP(TEXT(O72,"0"),CONDUCTORES!$A$3:$H$54,6,0),"")</f>
        <v/>
      </c>
      <c r="R72" s="140"/>
      <c r="S72" s="140"/>
      <c r="T72" s="140"/>
      <c r="U72" s="140"/>
      <c r="V72" s="140"/>
      <c r="W72" s="140"/>
      <c r="X72" s="140"/>
      <c r="Y72" s="140"/>
      <c r="Z72" s="47" t="str">
        <f aca="false">IF(AND(G72&lt;&gt;"",R72&lt;&gt;"",V72&lt;&gt;"",W72&lt;&gt;""),"COMPLETADO","OBSERVADO")</f>
        <v>OBSERVADO</v>
      </c>
      <c r="AA72" s="89"/>
    </row>
    <row r="73" customFormat="false" ht="15.75" hidden="false" customHeight="true" outlineLevel="0" collapsed="false">
      <c r="A73" s="85"/>
      <c r="B73" s="85"/>
      <c r="C73" s="85"/>
      <c r="D73" s="85"/>
      <c r="E73" s="85"/>
      <c r="F73" s="85"/>
      <c r="G73" s="85"/>
      <c r="H73" s="85"/>
      <c r="I73" s="138" t="str">
        <f aca="false">IFERROR(VLOOKUP(TEXT(H73,"0"),IPRESS!$A$3:$B$212,2,0),"")</f>
        <v/>
      </c>
      <c r="J73" s="85"/>
      <c r="K73" s="138" t="str">
        <f aca="false">IFERROR(VLOOKUP(TEXT(O73,"0"),CONDUCTORES!$A$3:$G$54,7,0),"")</f>
        <v/>
      </c>
      <c r="L73" s="85"/>
      <c r="M73" s="85"/>
      <c r="N73" s="139" t="str">
        <f aca="false">IFERROR(IF(L73*M73=0,"",L73*M73),"")</f>
        <v/>
      </c>
      <c r="O73" s="85"/>
      <c r="P73" s="138" t="str">
        <f aca="false">IFERROR(VLOOKUP(TEXT(O73,"0"),CONDUCTORES!$A$3:$G$54,2,0),"")</f>
        <v/>
      </c>
      <c r="Q73" s="138" t="str">
        <f aca="false">IFERROR(VLOOKUP(TEXT(O73,"0"),CONDUCTORES!$A$3:$H$54,6,0),"")</f>
        <v/>
      </c>
      <c r="R73" s="85"/>
      <c r="S73" s="85"/>
      <c r="T73" s="85"/>
      <c r="U73" s="85"/>
      <c r="V73" s="85"/>
      <c r="W73" s="85"/>
      <c r="X73" s="85"/>
      <c r="Y73" s="85"/>
      <c r="Z73" s="41" t="str">
        <f aca="false">IF(AND(G73&lt;&gt;"",R73&lt;&gt;"",V73&lt;&gt;"",W73&lt;&gt;""),"COMPLETADO","OBSERVADO")</f>
        <v>OBSERVADO</v>
      </c>
      <c r="AA73" s="89"/>
    </row>
    <row r="74" customFormat="false" ht="15.75" hidden="false" customHeight="true" outlineLevel="0" collapsed="false">
      <c r="A74" s="140"/>
      <c r="B74" s="140"/>
      <c r="C74" s="140"/>
      <c r="D74" s="140"/>
      <c r="E74" s="140"/>
      <c r="F74" s="140"/>
      <c r="G74" s="140"/>
      <c r="H74" s="140"/>
      <c r="I74" s="138" t="str">
        <f aca="false">IFERROR(VLOOKUP(TEXT(H74,"0"),IPRESS!$A$3:$B$212,2,0),"")</f>
        <v/>
      </c>
      <c r="J74" s="140"/>
      <c r="K74" s="138" t="str">
        <f aca="false">IFERROR(VLOOKUP(TEXT(O74,"0"),CONDUCTORES!$A$3:$G$54,7,0),"")</f>
        <v/>
      </c>
      <c r="L74" s="140"/>
      <c r="M74" s="140"/>
      <c r="N74" s="139" t="str">
        <f aca="false">IFERROR(IF(L74*M74=0,"",L74*M74),"")</f>
        <v/>
      </c>
      <c r="O74" s="140"/>
      <c r="P74" s="138" t="str">
        <f aca="false">IFERROR(VLOOKUP(TEXT(O74,"0"),CONDUCTORES!$A$3:$G$54,2,0),"")</f>
        <v/>
      </c>
      <c r="Q74" s="138" t="str">
        <f aca="false">IFERROR(VLOOKUP(TEXT(O74,"0"),CONDUCTORES!$A$3:$H$54,6,0),"")</f>
        <v/>
      </c>
      <c r="R74" s="140"/>
      <c r="S74" s="140"/>
      <c r="T74" s="140"/>
      <c r="U74" s="140"/>
      <c r="V74" s="140"/>
      <c r="W74" s="140"/>
      <c r="X74" s="140"/>
      <c r="Y74" s="140"/>
      <c r="Z74" s="47" t="str">
        <f aca="false">IF(AND(G74&lt;&gt;"",R74&lt;&gt;"",V74&lt;&gt;"",W74&lt;&gt;""),"COMPLETADO","OBSERVADO")</f>
        <v>OBSERVADO</v>
      </c>
      <c r="AA74" s="89"/>
    </row>
    <row r="75" customFormat="false" ht="15.75" hidden="false" customHeight="true" outlineLevel="0" collapsed="false">
      <c r="A75" s="85"/>
      <c r="B75" s="85"/>
      <c r="C75" s="85"/>
      <c r="D75" s="85"/>
      <c r="E75" s="85"/>
      <c r="F75" s="85"/>
      <c r="G75" s="85"/>
      <c r="H75" s="85"/>
      <c r="I75" s="138" t="str">
        <f aca="false">IFERROR(VLOOKUP(TEXT(H75,"0"),IPRESS!$A$3:$B$212,2,0),"")</f>
        <v/>
      </c>
      <c r="J75" s="85"/>
      <c r="K75" s="138" t="str">
        <f aca="false">IFERROR(VLOOKUP(TEXT(O75,"0"),CONDUCTORES!$A$3:$G$54,7,0),"")</f>
        <v/>
      </c>
      <c r="L75" s="85"/>
      <c r="M75" s="85"/>
      <c r="N75" s="139" t="str">
        <f aca="false">IFERROR(IF(L75*M75=0,"",L75*M75),"")</f>
        <v/>
      </c>
      <c r="O75" s="85"/>
      <c r="P75" s="138" t="str">
        <f aca="false">IFERROR(VLOOKUP(TEXT(O75,"0"),CONDUCTORES!$A$3:$G$54,2,0),"")</f>
        <v/>
      </c>
      <c r="Q75" s="138" t="str">
        <f aca="false">IFERROR(VLOOKUP(TEXT(O75,"0"),CONDUCTORES!$A$3:$H$54,6,0),"")</f>
        <v/>
      </c>
      <c r="R75" s="85"/>
      <c r="S75" s="85"/>
      <c r="T75" s="85"/>
      <c r="U75" s="85"/>
      <c r="V75" s="85"/>
      <c r="W75" s="85"/>
      <c r="X75" s="85"/>
      <c r="Y75" s="85"/>
      <c r="Z75" s="41" t="str">
        <f aca="false">IF(AND(G75&lt;&gt;"",R75&lt;&gt;"",V75&lt;&gt;"",W75&lt;&gt;""),"COMPLETADO","OBSERVADO")</f>
        <v>OBSERVADO</v>
      </c>
      <c r="AA75" s="89"/>
    </row>
    <row r="76" customFormat="false" ht="15.75" hidden="false" customHeight="true" outlineLevel="0" collapsed="false">
      <c r="A76" s="140"/>
      <c r="B76" s="140"/>
      <c r="C76" s="140"/>
      <c r="D76" s="140"/>
      <c r="E76" s="140"/>
      <c r="F76" s="140"/>
      <c r="G76" s="140"/>
      <c r="H76" s="140"/>
      <c r="I76" s="138" t="str">
        <f aca="false">IFERROR(VLOOKUP(TEXT(H76,"0"),IPRESS!$A$3:$B$212,2,0),"")</f>
        <v/>
      </c>
      <c r="J76" s="140"/>
      <c r="K76" s="138" t="str">
        <f aca="false">IFERROR(VLOOKUP(TEXT(O76,"0"),CONDUCTORES!$A$3:$G$54,7,0),"")</f>
        <v/>
      </c>
      <c r="L76" s="140"/>
      <c r="M76" s="140"/>
      <c r="N76" s="139" t="str">
        <f aca="false">IFERROR(IF(L76*M76=0,"",L76*M76),"")</f>
        <v/>
      </c>
      <c r="O76" s="140"/>
      <c r="P76" s="138" t="str">
        <f aca="false">IFERROR(VLOOKUP(TEXT(O76,"0"),CONDUCTORES!$A$3:$G$54,2,0),"")</f>
        <v/>
      </c>
      <c r="Q76" s="138" t="str">
        <f aca="false">IFERROR(VLOOKUP(TEXT(O76,"0"),CONDUCTORES!$A$3:$H$54,6,0),"")</f>
        <v/>
      </c>
      <c r="R76" s="140"/>
      <c r="S76" s="140"/>
      <c r="T76" s="140"/>
      <c r="U76" s="140"/>
      <c r="V76" s="140"/>
      <c r="W76" s="140"/>
      <c r="X76" s="140"/>
      <c r="Y76" s="140"/>
      <c r="Z76" s="47" t="str">
        <f aca="false">IF(AND(G76&lt;&gt;"",R76&lt;&gt;"",V76&lt;&gt;"",W76&lt;&gt;""),"COMPLETADO","OBSERVADO")</f>
        <v>OBSERVADO</v>
      </c>
      <c r="AA76" s="89"/>
    </row>
    <row r="77" customFormat="false" ht="15.75" hidden="false" customHeight="true" outlineLevel="0" collapsed="false">
      <c r="A77" s="85"/>
      <c r="B77" s="85"/>
      <c r="C77" s="85"/>
      <c r="D77" s="85"/>
      <c r="E77" s="85"/>
      <c r="F77" s="85"/>
      <c r="G77" s="85"/>
      <c r="H77" s="85"/>
      <c r="I77" s="138" t="str">
        <f aca="false">IFERROR(VLOOKUP(TEXT(H77,"0"),IPRESS!$A$3:$B$212,2,0),"")</f>
        <v/>
      </c>
      <c r="J77" s="85"/>
      <c r="K77" s="138" t="str">
        <f aca="false">IFERROR(VLOOKUP(TEXT(O77,"0"),CONDUCTORES!$A$3:$G$54,7,0),"")</f>
        <v/>
      </c>
      <c r="L77" s="85"/>
      <c r="M77" s="85"/>
      <c r="N77" s="139" t="str">
        <f aca="false">IFERROR(IF(L77*M77=0,"",L77*M77),"")</f>
        <v/>
      </c>
      <c r="O77" s="85"/>
      <c r="P77" s="138" t="str">
        <f aca="false">IFERROR(VLOOKUP(TEXT(O77,"0"),CONDUCTORES!$A$3:$G$54,2,0),"")</f>
        <v/>
      </c>
      <c r="Q77" s="138" t="str">
        <f aca="false">IFERROR(VLOOKUP(TEXT(O77,"0"),CONDUCTORES!$A$3:$H$54,6,0),"")</f>
        <v/>
      </c>
      <c r="R77" s="85"/>
      <c r="S77" s="85"/>
      <c r="T77" s="85"/>
      <c r="U77" s="85"/>
      <c r="V77" s="85"/>
      <c r="W77" s="85"/>
      <c r="X77" s="85"/>
      <c r="Y77" s="85"/>
      <c r="Z77" s="41" t="str">
        <f aca="false">IF(AND(G77&lt;&gt;"",R77&lt;&gt;"",V77&lt;&gt;"",W77&lt;&gt;""),"COMPLETADO","OBSERVADO")</f>
        <v>OBSERVADO</v>
      </c>
      <c r="AA77" s="89"/>
    </row>
    <row r="78" customFormat="false" ht="15.75" hidden="false" customHeight="true" outlineLevel="0" collapsed="false">
      <c r="A78" s="140"/>
      <c r="B78" s="140"/>
      <c r="C78" s="140"/>
      <c r="D78" s="140"/>
      <c r="E78" s="140"/>
      <c r="F78" s="140"/>
      <c r="G78" s="140"/>
      <c r="H78" s="140"/>
      <c r="I78" s="138" t="str">
        <f aca="false">IFERROR(VLOOKUP(TEXT(H78,"0"),IPRESS!$A$3:$B$212,2,0),"")</f>
        <v/>
      </c>
      <c r="J78" s="140"/>
      <c r="K78" s="138" t="str">
        <f aca="false">IFERROR(VLOOKUP(TEXT(O78,"0"),CONDUCTORES!$A$3:$G$54,7,0),"")</f>
        <v/>
      </c>
      <c r="L78" s="140"/>
      <c r="M78" s="140"/>
      <c r="N78" s="139" t="str">
        <f aca="false">IFERROR(IF(L78*M78=0,"",L78*M78),"")</f>
        <v/>
      </c>
      <c r="O78" s="140"/>
      <c r="P78" s="138" t="str">
        <f aca="false">IFERROR(VLOOKUP(TEXT(O78,"0"),CONDUCTORES!$A$3:$G$54,2,0),"")</f>
        <v/>
      </c>
      <c r="Q78" s="138" t="str">
        <f aca="false">IFERROR(VLOOKUP(TEXT(O78,"0"),CONDUCTORES!$A$3:$H$54,6,0),"")</f>
        <v/>
      </c>
      <c r="R78" s="140"/>
      <c r="S78" s="140"/>
      <c r="T78" s="140"/>
      <c r="U78" s="140"/>
      <c r="V78" s="140"/>
      <c r="W78" s="140"/>
      <c r="X78" s="140"/>
      <c r="Y78" s="140"/>
      <c r="Z78" s="47" t="str">
        <f aca="false">IF(AND(G78&lt;&gt;"",R78&lt;&gt;"",V78&lt;&gt;"",W78&lt;&gt;""),"COMPLETADO","OBSERVADO")</f>
        <v>OBSERVADO</v>
      </c>
      <c r="AA78" s="89"/>
    </row>
    <row r="79" customFormat="false" ht="15.75" hidden="false" customHeight="true" outlineLevel="0" collapsed="false">
      <c r="A79" s="85"/>
      <c r="B79" s="85"/>
      <c r="C79" s="85"/>
      <c r="D79" s="85"/>
      <c r="E79" s="85"/>
      <c r="F79" s="85"/>
      <c r="G79" s="85"/>
      <c r="H79" s="85"/>
      <c r="I79" s="138" t="str">
        <f aca="false">IFERROR(VLOOKUP(TEXT(H79,"0"),IPRESS!$A$3:$B$212,2,0),"")</f>
        <v/>
      </c>
      <c r="J79" s="85"/>
      <c r="K79" s="138" t="str">
        <f aca="false">IFERROR(VLOOKUP(TEXT(O79,"0"),CONDUCTORES!$A$3:$G$54,7,0),"")</f>
        <v/>
      </c>
      <c r="L79" s="85"/>
      <c r="M79" s="85"/>
      <c r="N79" s="139" t="str">
        <f aca="false">IFERROR(IF(L79*M79=0,"",L79*M79),"")</f>
        <v/>
      </c>
      <c r="O79" s="85"/>
      <c r="P79" s="138" t="str">
        <f aca="false">IFERROR(VLOOKUP(TEXT(O79,"0"),CONDUCTORES!$A$3:$G$54,2,0),"")</f>
        <v/>
      </c>
      <c r="Q79" s="138" t="str">
        <f aca="false">IFERROR(VLOOKUP(TEXT(O79,"0"),CONDUCTORES!$A$3:$H$54,6,0),"")</f>
        <v/>
      </c>
      <c r="R79" s="85"/>
      <c r="S79" s="85"/>
      <c r="T79" s="85"/>
      <c r="U79" s="85"/>
      <c r="V79" s="85"/>
      <c r="W79" s="85"/>
      <c r="X79" s="85"/>
      <c r="Y79" s="85"/>
      <c r="Z79" s="41" t="str">
        <f aca="false">IF(AND(G79&lt;&gt;"",R79&lt;&gt;"",V79&lt;&gt;"",W79&lt;&gt;""),"COMPLETADO","OBSERVADO")</f>
        <v>OBSERVADO</v>
      </c>
      <c r="AA79" s="89"/>
    </row>
    <row r="80" customFormat="false" ht="15.75" hidden="false" customHeight="true" outlineLevel="0" collapsed="false">
      <c r="A80" s="140"/>
      <c r="B80" s="140"/>
      <c r="C80" s="140"/>
      <c r="D80" s="140"/>
      <c r="E80" s="140"/>
      <c r="F80" s="140"/>
      <c r="G80" s="140"/>
      <c r="H80" s="140"/>
      <c r="I80" s="138" t="str">
        <f aca="false">IFERROR(VLOOKUP(TEXT(H80,"0"),IPRESS!$A$3:$B$212,2,0),"")</f>
        <v/>
      </c>
      <c r="J80" s="140"/>
      <c r="K80" s="138" t="str">
        <f aca="false">IFERROR(VLOOKUP(TEXT(O80,"0"),CONDUCTORES!$A$3:$G$54,7,0),"")</f>
        <v/>
      </c>
      <c r="L80" s="140"/>
      <c r="M80" s="140"/>
      <c r="N80" s="139" t="str">
        <f aca="false">IFERROR(IF(L80*M80=0,"",L80*M80),"")</f>
        <v/>
      </c>
      <c r="O80" s="140"/>
      <c r="P80" s="138" t="str">
        <f aca="false">IFERROR(VLOOKUP(TEXT(O80,"0"),CONDUCTORES!$A$3:$G$54,2,0),"")</f>
        <v/>
      </c>
      <c r="Q80" s="138" t="str">
        <f aca="false">IFERROR(VLOOKUP(TEXT(O80,"0"),CONDUCTORES!$A$3:$H$54,6,0),"")</f>
        <v/>
      </c>
      <c r="R80" s="140"/>
      <c r="S80" s="140"/>
      <c r="T80" s="140"/>
      <c r="U80" s="140"/>
      <c r="V80" s="140"/>
      <c r="W80" s="140"/>
      <c r="X80" s="140"/>
      <c r="Y80" s="140"/>
      <c r="Z80" s="47" t="str">
        <f aca="false">IF(AND(G80&lt;&gt;"",R80&lt;&gt;"",V80&lt;&gt;"",W80&lt;&gt;""),"COMPLETADO","OBSERVADO")</f>
        <v>OBSERVADO</v>
      </c>
      <c r="AA80" s="89"/>
    </row>
    <row r="81" customFormat="false" ht="15.75" hidden="false" customHeight="true" outlineLevel="0" collapsed="false">
      <c r="A81" s="85"/>
      <c r="B81" s="85"/>
      <c r="C81" s="85"/>
      <c r="D81" s="85"/>
      <c r="E81" s="85"/>
      <c r="F81" s="85"/>
      <c r="G81" s="85"/>
      <c r="H81" s="85"/>
      <c r="I81" s="138" t="str">
        <f aca="false">IFERROR(VLOOKUP(TEXT(H81,"0"),IPRESS!$A$3:$B$212,2,0),"")</f>
        <v/>
      </c>
      <c r="J81" s="85"/>
      <c r="K81" s="138" t="str">
        <f aca="false">IFERROR(VLOOKUP(TEXT(O81,"0"),CONDUCTORES!$A$3:$G$54,7,0),"")</f>
        <v/>
      </c>
      <c r="L81" s="85"/>
      <c r="M81" s="85"/>
      <c r="N81" s="139" t="str">
        <f aca="false">IFERROR(IF(L81*M81=0,"",L81*M81),"")</f>
        <v/>
      </c>
      <c r="O81" s="85"/>
      <c r="P81" s="138" t="str">
        <f aca="false">IFERROR(VLOOKUP(TEXT(O81,"0"),CONDUCTORES!$A$3:$G$54,2,0),"")</f>
        <v/>
      </c>
      <c r="Q81" s="138" t="str">
        <f aca="false">IFERROR(VLOOKUP(TEXT(O81,"0"),CONDUCTORES!$A$3:$H$54,6,0),"")</f>
        <v/>
      </c>
      <c r="R81" s="85"/>
      <c r="S81" s="85"/>
      <c r="T81" s="85"/>
      <c r="U81" s="85"/>
      <c r="V81" s="85"/>
      <c r="W81" s="85"/>
      <c r="X81" s="85"/>
      <c r="Y81" s="85"/>
      <c r="Z81" s="41" t="str">
        <f aca="false">IF(AND(G81&lt;&gt;"",R81&lt;&gt;"",V81&lt;&gt;"",W81&lt;&gt;""),"COMPLETADO","OBSERVADO")</f>
        <v>OBSERVADO</v>
      </c>
      <c r="AA81" s="89"/>
    </row>
    <row r="82" customFormat="false" ht="15.75" hidden="false" customHeight="true" outlineLevel="0" collapsed="false">
      <c r="A82" s="140"/>
      <c r="B82" s="140"/>
      <c r="C82" s="140"/>
      <c r="D82" s="140"/>
      <c r="E82" s="140"/>
      <c r="F82" s="140"/>
      <c r="G82" s="140"/>
      <c r="H82" s="140"/>
      <c r="I82" s="138" t="str">
        <f aca="false">IFERROR(VLOOKUP(TEXT(H82,"0"),IPRESS!$A$3:$B$212,2,0),"")</f>
        <v/>
      </c>
      <c r="J82" s="140"/>
      <c r="K82" s="138" t="str">
        <f aca="false">IFERROR(VLOOKUP(TEXT(O82,"0"),CONDUCTORES!$A$3:$G$54,7,0),"")</f>
        <v/>
      </c>
      <c r="L82" s="140"/>
      <c r="M82" s="140"/>
      <c r="N82" s="139" t="str">
        <f aca="false">IFERROR(IF(L82*M82=0,"",L82*M82),"")</f>
        <v/>
      </c>
      <c r="O82" s="140"/>
      <c r="P82" s="138" t="str">
        <f aca="false">IFERROR(VLOOKUP(TEXT(O82,"0"),CONDUCTORES!$A$3:$G$54,2,0),"")</f>
        <v/>
      </c>
      <c r="Q82" s="138" t="str">
        <f aca="false">IFERROR(VLOOKUP(TEXT(O82,"0"),CONDUCTORES!$A$3:$H$54,6,0),"")</f>
        <v/>
      </c>
      <c r="R82" s="140"/>
      <c r="S82" s="140"/>
      <c r="T82" s="140"/>
      <c r="U82" s="140"/>
      <c r="V82" s="140"/>
      <c r="W82" s="140"/>
      <c r="X82" s="140"/>
      <c r="Y82" s="140"/>
      <c r="Z82" s="47" t="str">
        <f aca="false">IF(AND(G82&lt;&gt;"",R82&lt;&gt;"",V82&lt;&gt;"",W82&lt;&gt;""),"COMPLETADO","OBSERVADO")</f>
        <v>OBSERVADO</v>
      </c>
      <c r="AA82" s="89"/>
    </row>
    <row r="83" customFormat="false" ht="15.75" hidden="false" customHeight="true" outlineLevel="0" collapsed="false">
      <c r="A83" s="85"/>
      <c r="B83" s="85"/>
      <c r="C83" s="85"/>
      <c r="D83" s="85"/>
      <c r="E83" s="85"/>
      <c r="F83" s="85"/>
      <c r="G83" s="85"/>
      <c r="H83" s="85"/>
      <c r="I83" s="138" t="str">
        <f aca="false">IFERROR(VLOOKUP(TEXT(H83,"0"),IPRESS!$A$3:$B$212,2,0),"")</f>
        <v/>
      </c>
      <c r="J83" s="85"/>
      <c r="K83" s="138" t="str">
        <f aca="false">IFERROR(VLOOKUP(TEXT(O83,"0"),CONDUCTORES!$A$3:$G$54,7,0),"")</f>
        <v/>
      </c>
      <c r="L83" s="85"/>
      <c r="M83" s="85"/>
      <c r="N83" s="139" t="str">
        <f aca="false">IFERROR(IF(L83*M83=0,"",L83*M83),"")</f>
        <v/>
      </c>
      <c r="O83" s="85"/>
      <c r="P83" s="138" t="str">
        <f aca="false">IFERROR(VLOOKUP(TEXT(O83,"0"),CONDUCTORES!$A$3:$G$54,2,0),"")</f>
        <v/>
      </c>
      <c r="Q83" s="138" t="str">
        <f aca="false">IFERROR(VLOOKUP(TEXT(O83,"0"),CONDUCTORES!$A$3:$H$54,6,0),"")</f>
        <v/>
      </c>
      <c r="R83" s="85"/>
      <c r="S83" s="85"/>
      <c r="T83" s="85"/>
      <c r="U83" s="85"/>
      <c r="V83" s="85"/>
      <c r="W83" s="85"/>
      <c r="X83" s="85"/>
      <c r="Y83" s="85"/>
      <c r="Z83" s="41" t="str">
        <f aca="false">IF(AND(G83&lt;&gt;"",R83&lt;&gt;"",V83&lt;&gt;"",W83&lt;&gt;""),"COMPLETADO","OBSERVADO")</f>
        <v>OBSERVADO</v>
      </c>
      <c r="AA83" s="89"/>
    </row>
    <row r="84" customFormat="false" ht="15.75" hidden="false" customHeight="true" outlineLevel="0" collapsed="false">
      <c r="A84" s="140"/>
      <c r="B84" s="140"/>
      <c r="C84" s="140"/>
      <c r="D84" s="140"/>
      <c r="E84" s="140"/>
      <c r="F84" s="140"/>
      <c r="G84" s="140"/>
      <c r="H84" s="140"/>
      <c r="I84" s="138" t="str">
        <f aca="false">IFERROR(VLOOKUP(TEXT(H84,"0"),IPRESS!$A$3:$B$212,2,0),"")</f>
        <v/>
      </c>
      <c r="J84" s="140"/>
      <c r="K84" s="138" t="str">
        <f aca="false">IFERROR(VLOOKUP(TEXT(O84,"0"),CONDUCTORES!$A$3:$G$54,7,0),"")</f>
        <v/>
      </c>
      <c r="L84" s="140"/>
      <c r="M84" s="140"/>
      <c r="N84" s="139" t="str">
        <f aca="false">IFERROR(IF(L84*M84=0,"",L84*M84),"")</f>
        <v/>
      </c>
      <c r="O84" s="140"/>
      <c r="P84" s="138" t="str">
        <f aca="false">IFERROR(VLOOKUP(TEXT(O84,"0"),CONDUCTORES!$A$3:$G$54,2,0),"")</f>
        <v/>
      </c>
      <c r="Q84" s="138" t="str">
        <f aca="false">IFERROR(VLOOKUP(TEXT(O84,"0"),CONDUCTORES!$A$3:$H$54,6,0),"")</f>
        <v/>
      </c>
      <c r="R84" s="140"/>
      <c r="S84" s="140"/>
      <c r="T84" s="140"/>
      <c r="U84" s="140"/>
      <c r="V84" s="140"/>
      <c r="W84" s="140"/>
      <c r="X84" s="140"/>
      <c r="Y84" s="140"/>
      <c r="Z84" s="47" t="str">
        <f aca="false">IF(AND(G84&lt;&gt;"",R84&lt;&gt;"",V84&lt;&gt;"",W84&lt;&gt;""),"COMPLETADO","OBSERVADO")</f>
        <v>OBSERVADO</v>
      </c>
      <c r="AA84" s="89"/>
    </row>
    <row r="85" customFormat="false" ht="15.75" hidden="false" customHeight="true" outlineLevel="0" collapsed="false">
      <c r="A85" s="85"/>
      <c r="B85" s="85"/>
      <c r="C85" s="85"/>
      <c r="D85" s="85"/>
      <c r="E85" s="85"/>
      <c r="F85" s="85"/>
      <c r="G85" s="85"/>
      <c r="H85" s="85"/>
      <c r="I85" s="138" t="str">
        <f aca="false">IFERROR(VLOOKUP(TEXT(H85,"0"),IPRESS!$A$3:$B$212,2,0),"")</f>
        <v/>
      </c>
      <c r="J85" s="85"/>
      <c r="K85" s="138" t="str">
        <f aca="false">IFERROR(VLOOKUP(TEXT(O85,"0"),CONDUCTORES!$A$3:$G$54,7,0),"")</f>
        <v/>
      </c>
      <c r="L85" s="85"/>
      <c r="M85" s="85"/>
      <c r="N85" s="139" t="str">
        <f aca="false">IFERROR(IF(L85*M85=0,"",L85*M85),"")</f>
        <v/>
      </c>
      <c r="O85" s="85"/>
      <c r="P85" s="138" t="str">
        <f aca="false">IFERROR(VLOOKUP(TEXT(O85,"0"),CONDUCTORES!$A$3:$G$54,2,0),"")</f>
        <v/>
      </c>
      <c r="Q85" s="138" t="str">
        <f aca="false">IFERROR(VLOOKUP(TEXT(O85,"0"),CONDUCTORES!$A$3:$H$54,6,0),"")</f>
        <v/>
      </c>
      <c r="R85" s="85"/>
      <c r="S85" s="85"/>
      <c r="T85" s="85"/>
      <c r="U85" s="85"/>
      <c r="V85" s="85"/>
      <c r="W85" s="85"/>
      <c r="X85" s="85"/>
      <c r="Y85" s="85"/>
      <c r="Z85" s="41" t="str">
        <f aca="false">IF(AND(G85&lt;&gt;"",R85&lt;&gt;"",V85&lt;&gt;"",W85&lt;&gt;""),"COMPLETADO","OBSERVADO")</f>
        <v>OBSERVADO</v>
      </c>
      <c r="AA85" s="89"/>
    </row>
    <row r="86" customFormat="false" ht="15.75" hidden="false" customHeight="true" outlineLevel="0" collapsed="false">
      <c r="A86" s="140"/>
      <c r="B86" s="140"/>
      <c r="C86" s="140"/>
      <c r="D86" s="140"/>
      <c r="E86" s="140"/>
      <c r="F86" s="140"/>
      <c r="G86" s="140"/>
      <c r="H86" s="140"/>
      <c r="I86" s="138" t="str">
        <f aca="false">IFERROR(VLOOKUP(TEXT(H86,"0"),IPRESS!$A$3:$B$212,2,0),"")</f>
        <v/>
      </c>
      <c r="J86" s="140"/>
      <c r="K86" s="138" t="str">
        <f aca="false">IFERROR(VLOOKUP(TEXT(O86,"0"),CONDUCTORES!$A$3:$G$54,7,0),"")</f>
        <v/>
      </c>
      <c r="L86" s="140"/>
      <c r="M86" s="140"/>
      <c r="N86" s="139" t="str">
        <f aca="false">IFERROR(IF(L86*M86=0,"",L86*M86),"")</f>
        <v/>
      </c>
      <c r="O86" s="140"/>
      <c r="P86" s="138" t="str">
        <f aca="false">IFERROR(VLOOKUP(TEXT(O86,"0"),CONDUCTORES!$A$3:$G$54,2,0),"")</f>
        <v/>
      </c>
      <c r="Q86" s="138" t="str">
        <f aca="false">IFERROR(VLOOKUP(TEXT(O86,"0"),CONDUCTORES!$A$3:$H$54,6,0),"")</f>
        <v/>
      </c>
      <c r="R86" s="140"/>
      <c r="S86" s="140"/>
      <c r="T86" s="140"/>
      <c r="U86" s="140"/>
      <c r="V86" s="140"/>
      <c r="W86" s="140"/>
      <c r="X86" s="140"/>
      <c r="Y86" s="140"/>
      <c r="Z86" s="47" t="str">
        <f aca="false">IF(AND(G86&lt;&gt;"",R86&lt;&gt;"",V86&lt;&gt;"",W86&lt;&gt;""),"COMPLETADO","OBSERVADO")</f>
        <v>OBSERVADO</v>
      </c>
      <c r="AA86" s="89"/>
    </row>
    <row r="87" customFormat="false" ht="15.75" hidden="false" customHeight="true" outlineLevel="0" collapsed="false">
      <c r="A87" s="85"/>
      <c r="B87" s="85"/>
      <c r="C87" s="85"/>
      <c r="D87" s="85"/>
      <c r="E87" s="85"/>
      <c r="F87" s="85"/>
      <c r="G87" s="85"/>
      <c r="H87" s="85"/>
      <c r="I87" s="138" t="str">
        <f aca="false">IFERROR(VLOOKUP(TEXT(H87,"0"),IPRESS!$A$3:$B$212,2,0),"")</f>
        <v/>
      </c>
      <c r="J87" s="85"/>
      <c r="K87" s="138" t="str">
        <f aca="false">IFERROR(VLOOKUP(TEXT(O87,"0"),CONDUCTORES!$A$3:$G$54,7,0),"")</f>
        <v/>
      </c>
      <c r="L87" s="85"/>
      <c r="M87" s="85"/>
      <c r="N87" s="139" t="str">
        <f aca="false">IFERROR(IF(L87*M87=0,"",L87*M87),"")</f>
        <v/>
      </c>
      <c r="O87" s="85"/>
      <c r="P87" s="138" t="str">
        <f aca="false">IFERROR(VLOOKUP(TEXT(O87,"0"),CONDUCTORES!$A$3:$G$54,2,0),"")</f>
        <v/>
      </c>
      <c r="Q87" s="138" t="str">
        <f aca="false">IFERROR(VLOOKUP(TEXT(O87,"0"),CONDUCTORES!$A$3:$H$54,6,0),"")</f>
        <v/>
      </c>
      <c r="R87" s="85"/>
      <c r="S87" s="85"/>
      <c r="T87" s="85"/>
      <c r="U87" s="85"/>
      <c r="V87" s="85"/>
      <c r="W87" s="85"/>
      <c r="X87" s="85"/>
      <c r="Y87" s="85"/>
      <c r="Z87" s="41" t="str">
        <f aca="false">IF(AND(G87&lt;&gt;"",R87&lt;&gt;"",V87&lt;&gt;"",W87&lt;&gt;""),"COMPLETADO","OBSERVADO")</f>
        <v>OBSERVADO</v>
      </c>
      <c r="AA87" s="89"/>
    </row>
    <row r="88" customFormat="false" ht="15.75" hidden="false" customHeight="true" outlineLevel="0" collapsed="false">
      <c r="A88" s="140"/>
      <c r="B88" s="140"/>
      <c r="C88" s="140"/>
      <c r="D88" s="140"/>
      <c r="E88" s="140"/>
      <c r="F88" s="140"/>
      <c r="G88" s="140"/>
      <c r="H88" s="140"/>
      <c r="I88" s="138" t="str">
        <f aca="false">IFERROR(VLOOKUP(TEXT(H88,"0"),IPRESS!$A$3:$B$212,2,0),"")</f>
        <v/>
      </c>
      <c r="J88" s="140"/>
      <c r="K88" s="138" t="str">
        <f aca="false">IFERROR(VLOOKUP(TEXT(O88,"0"),CONDUCTORES!$A$3:$G$54,7,0),"")</f>
        <v/>
      </c>
      <c r="L88" s="140"/>
      <c r="M88" s="140"/>
      <c r="N88" s="139" t="str">
        <f aca="false">IFERROR(IF(L88*M88=0,"",L88*M88),"")</f>
        <v/>
      </c>
      <c r="O88" s="140"/>
      <c r="P88" s="138" t="str">
        <f aca="false">IFERROR(VLOOKUP(TEXT(O88,"0"),CONDUCTORES!$A$3:$G$54,2,0),"")</f>
        <v/>
      </c>
      <c r="Q88" s="138" t="str">
        <f aca="false">IFERROR(VLOOKUP(TEXT(O88,"0"),CONDUCTORES!$A$3:$H$54,6,0),"")</f>
        <v/>
      </c>
      <c r="R88" s="140"/>
      <c r="S88" s="140"/>
      <c r="T88" s="140"/>
      <c r="U88" s="140"/>
      <c r="V88" s="140"/>
      <c r="W88" s="140"/>
      <c r="X88" s="140"/>
      <c r="Y88" s="140"/>
      <c r="Z88" s="47" t="str">
        <f aca="false">IF(AND(G88&lt;&gt;"",R88&lt;&gt;"",V88&lt;&gt;"",W88&lt;&gt;""),"COMPLETADO","OBSERVADO")</f>
        <v>OBSERVADO</v>
      </c>
      <c r="AA88" s="89"/>
    </row>
    <row r="89" customFormat="false" ht="15.75" hidden="false" customHeight="true" outlineLevel="0" collapsed="false">
      <c r="A89" s="85"/>
      <c r="B89" s="85"/>
      <c r="C89" s="85"/>
      <c r="D89" s="85"/>
      <c r="E89" s="85"/>
      <c r="F89" s="85"/>
      <c r="G89" s="85"/>
      <c r="H89" s="85"/>
      <c r="I89" s="138" t="str">
        <f aca="false">IFERROR(VLOOKUP(TEXT(H89,"0"),IPRESS!$A$3:$B$212,2,0),"")</f>
        <v/>
      </c>
      <c r="J89" s="85"/>
      <c r="K89" s="138" t="str">
        <f aca="false">IFERROR(VLOOKUP(TEXT(O89,"0"),CONDUCTORES!$A$3:$G$54,7,0),"")</f>
        <v/>
      </c>
      <c r="L89" s="85"/>
      <c r="M89" s="85"/>
      <c r="N89" s="139" t="str">
        <f aca="false">IFERROR(IF(L89*M89=0,"",L89*M89),"")</f>
        <v/>
      </c>
      <c r="O89" s="85"/>
      <c r="P89" s="138" t="str">
        <f aca="false">IFERROR(VLOOKUP(TEXT(O89,"0"),CONDUCTORES!$A$3:$G$54,2,0),"")</f>
        <v/>
      </c>
      <c r="Q89" s="138" t="str">
        <f aca="false">IFERROR(VLOOKUP(TEXT(O89,"0"),CONDUCTORES!$A$3:$H$54,6,0),"")</f>
        <v/>
      </c>
      <c r="R89" s="85"/>
      <c r="S89" s="85"/>
      <c r="T89" s="85"/>
      <c r="U89" s="85"/>
      <c r="V89" s="85"/>
      <c r="W89" s="85"/>
      <c r="X89" s="85"/>
      <c r="Y89" s="85"/>
      <c r="Z89" s="41" t="str">
        <f aca="false">IF(AND(G89&lt;&gt;"",R89&lt;&gt;"",V89&lt;&gt;"",W89&lt;&gt;""),"COMPLETADO","OBSERVADO")</f>
        <v>OBSERVADO</v>
      </c>
      <c r="AA89" s="89"/>
    </row>
    <row r="90" customFormat="false" ht="15.75" hidden="false" customHeight="true" outlineLevel="0" collapsed="false">
      <c r="A90" s="140"/>
      <c r="B90" s="140"/>
      <c r="C90" s="140"/>
      <c r="D90" s="140"/>
      <c r="E90" s="140"/>
      <c r="F90" s="140"/>
      <c r="G90" s="140"/>
      <c r="H90" s="140"/>
      <c r="I90" s="138" t="str">
        <f aca="false">IFERROR(VLOOKUP(TEXT(H90,"0"),IPRESS!$A$3:$B$212,2,0),"")</f>
        <v/>
      </c>
      <c r="J90" s="140"/>
      <c r="K90" s="138" t="str">
        <f aca="false">IFERROR(VLOOKUP(TEXT(O90,"0"),CONDUCTORES!$A$3:$G$54,7,0),"")</f>
        <v/>
      </c>
      <c r="L90" s="140"/>
      <c r="M90" s="140"/>
      <c r="N90" s="139" t="str">
        <f aca="false">IFERROR(IF(L90*M90=0,"",L90*M90),"")</f>
        <v/>
      </c>
      <c r="O90" s="140"/>
      <c r="P90" s="138" t="str">
        <f aca="false">IFERROR(VLOOKUP(TEXT(O90,"0"),CONDUCTORES!$A$3:$G$54,2,0),"")</f>
        <v/>
      </c>
      <c r="Q90" s="138" t="str">
        <f aca="false">IFERROR(VLOOKUP(TEXT(O90,"0"),CONDUCTORES!$A$3:$H$54,6,0),"")</f>
        <v/>
      </c>
      <c r="R90" s="140"/>
      <c r="S90" s="140"/>
      <c r="T90" s="140"/>
      <c r="U90" s="140"/>
      <c r="V90" s="140"/>
      <c r="W90" s="140"/>
      <c r="X90" s="140"/>
      <c r="Y90" s="140"/>
      <c r="Z90" s="47" t="str">
        <f aca="false">IF(AND(G90&lt;&gt;"",R90&lt;&gt;"",V90&lt;&gt;"",W90&lt;&gt;""),"COMPLETADO","OBSERVADO")</f>
        <v>OBSERVADO</v>
      </c>
      <c r="AA90" s="89"/>
    </row>
    <row r="91" customFormat="false" ht="15.75" hidden="false" customHeight="true" outlineLevel="0" collapsed="false">
      <c r="A91" s="85"/>
      <c r="B91" s="85"/>
      <c r="C91" s="85"/>
      <c r="D91" s="85"/>
      <c r="E91" s="85"/>
      <c r="F91" s="85"/>
      <c r="G91" s="85"/>
      <c r="H91" s="85"/>
      <c r="I91" s="138" t="str">
        <f aca="false">IFERROR(VLOOKUP(TEXT(H91,"0"),IPRESS!$A$3:$B$212,2,0),"")</f>
        <v/>
      </c>
      <c r="J91" s="85"/>
      <c r="K91" s="138" t="str">
        <f aca="false">IFERROR(VLOOKUP(TEXT(O91,"0"),CONDUCTORES!$A$3:$G$54,7,0),"")</f>
        <v/>
      </c>
      <c r="L91" s="85"/>
      <c r="M91" s="85"/>
      <c r="N91" s="139" t="str">
        <f aca="false">IFERROR(IF(L91*M91=0,"",L91*M91),"")</f>
        <v/>
      </c>
      <c r="O91" s="85"/>
      <c r="P91" s="138" t="str">
        <f aca="false">IFERROR(VLOOKUP(TEXT(O91,"0"),CONDUCTORES!$A$3:$G$54,2,0),"")</f>
        <v/>
      </c>
      <c r="Q91" s="138" t="str">
        <f aca="false">IFERROR(VLOOKUP(TEXT(O91,"0"),CONDUCTORES!$A$3:$H$54,6,0),"")</f>
        <v/>
      </c>
      <c r="R91" s="85"/>
      <c r="S91" s="85"/>
      <c r="T91" s="85"/>
      <c r="U91" s="85"/>
      <c r="V91" s="85"/>
      <c r="W91" s="85"/>
      <c r="X91" s="85"/>
      <c r="Y91" s="85"/>
      <c r="Z91" s="41" t="str">
        <f aca="false">IF(AND(G91&lt;&gt;"",R91&lt;&gt;"",V91&lt;&gt;"",W91&lt;&gt;""),"COMPLETADO","OBSERVADO")</f>
        <v>OBSERVADO</v>
      </c>
      <c r="AA91" s="89"/>
    </row>
    <row r="92" customFormat="false" ht="15.75" hidden="false" customHeight="true" outlineLevel="0" collapsed="false">
      <c r="A92" s="140"/>
      <c r="B92" s="140"/>
      <c r="C92" s="140"/>
      <c r="D92" s="140"/>
      <c r="E92" s="140"/>
      <c r="F92" s="140"/>
      <c r="G92" s="140"/>
      <c r="H92" s="140"/>
      <c r="I92" s="138" t="str">
        <f aca="false">IFERROR(VLOOKUP(TEXT(H92,"0"),IPRESS!$A$3:$B$212,2,0),"")</f>
        <v/>
      </c>
      <c r="J92" s="140"/>
      <c r="K92" s="138" t="str">
        <f aca="false">IFERROR(VLOOKUP(TEXT(O92,"0"),CONDUCTORES!$A$3:$G$54,7,0),"")</f>
        <v/>
      </c>
      <c r="L92" s="140"/>
      <c r="M92" s="140"/>
      <c r="N92" s="139" t="str">
        <f aca="false">IFERROR(IF(L92*M92=0,"",L92*M92),"")</f>
        <v/>
      </c>
      <c r="O92" s="140"/>
      <c r="P92" s="138" t="str">
        <f aca="false">IFERROR(VLOOKUP(TEXT(O92,"0"),CONDUCTORES!$A$3:$G$54,2,0),"")</f>
        <v/>
      </c>
      <c r="Q92" s="138" t="str">
        <f aca="false">IFERROR(VLOOKUP(TEXT(O92,"0"),CONDUCTORES!$A$3:$H$54,6,0),"")</f>
        <v/>
      </c>
      <c r="R92" s="140"/>
      <c r="S92" s="140"/>
      <c r="T92" s="140"/>
      <c r="U92" s="140"/>
      <c r="V92" s="140"/>
      <c r="W92" s="140"/>
      <c r="X92" s="140"/>
      <c r="Y92" s="140"/>
      <c r="Z92" s="47" t="str">
        <f aca="false">IF(AND(G92&lt;&gt;"",R92&lt;&gt;"",V92&lt;&gt;"",W92&lt;&gt;""),"COMPLETADO","OBSERVADO")</f>
        <v>OBSERVADO</v>
      </c>
      <c r="AA92" s="89"/>
    </row>
    <row r="93" customFormat="false" ht="15.75" hidden="false" customHeight="true" outlineLevel="0" collapsed="false">
      <c r="A93" s="85"/>
      <c r="B93" s="85"/>
      <c r="C93" s="85"/>
      <c r="D93" s="85"/>
      <c r="E93" s="85"/>
      <c r="F93" s="85"/>
      <c r="G93" s="85"/>
      <c r="H93" s="85"/>
      <c r="I93" s="138" t="str">
        <f aca="false">IFERROR(VLOOKUP(TEXT(H93,"0"),IPRESS!$A$3:$B$212,2,0),"")</f>
        <v/>
      </c>
      <c r="J93" s="85"/>
      <c r="K93" s="138" t="str">
        <f aca="false">IFERROR(VLOOKUP(TEXT(O93,"0"),CONDUCTORES!$A$3:$G$54,7,0),"")</f>
        <v/>
      </c>
      <c r="L93" s="85"/>
      <c r="M93" s="85"/>
      <c r="N93" s="139" t="str">
        <f aca="false">IFERROR(IF(L93*M93=0,"",L93*M93),"")</f>
        <v/>
      </c>
      <c r="O93" s="85"/>
      <c r="P93" s="138" t="str">
        <f aca="false">IFERROR(VLOOKUP(TEXT(O93,"0"),CONDUCTORES!$A$3:$G$54,2,0),"")</f>
        <v/>
      </c>
      <c r="Q93" s="138" t="str">
        <f aca="false">IFERROR(VLOOKUP(TEXT(O93,"0"),CONDUCTORES!$A$3:$H$54,6,0),"")</f>
        <v/>
      </c>
      <c r="R93" s="85"/>
      <c r="S93" s="85"/>
      <c r="T93" s="85"/>
      <c r="U93" s="85"/>
      <c r="V93" s="85"/>
      <c r="W93" s="85"/>
      <c r="X93" s="85"/>
      <c r="Y93" s="85"/>
      <c r="Z93" s="41" t="str">
        <f aca="false">IF(AND(G93&lt;&gt;"",R93&lt;&gt;"",V93&lt;&gt;"",W93&lt;&gt;""),"COMPLETADO","OBSERVADO")</f>
        <v>OBSERVADO</v>
      </c>
      <c r="AA93" s="89"/>
    </row>
    <row r="94" customFormat="false" ht="15.75" hidden="false" customHeight="true" outlineLevel="0" collapsed="false">
      <c r="A94" s="140"/>
      <c r="B94" s="140"/>
      <c r="C94" s="140"/>
      <c r="D94" s="140"/>
      <c r="E94" s="140"/>
      <c r="F94" s="140"/>
      <c r="G94" s="140"/>
      <c r="H94" s="140"/>
      <c r="I94" s="138" t="str">
        <f aca="false">IFERROR(VLOOKUP(TEXT(H94,"0"),IPRESS!$A$3:$B$212,2,0),"")</f>
        <v/>
      </c>
      <c r="J94" s="140"/>
      <c r="K94" s="138" t="str">
        <f aca="false">IFERROR(VLOOKUP(TEXT(O94,"0"),CONDUCTORES!$A$3:$G$54,7,0),"")</f>
        <v/>
      </c>
      <c r="L94" s="140"/>
      <c r="M94" s="140"/>
      <c r="N94" s="139" t="str">
        <f aca="false">IFERROR(IF(L94*M94=0,"",L94*M94),"")</f>
        <v/>
      </c>
      <c r="O94" s="140"/>
      <c r="P94" s="138" t="str">
        <f aca="false">IFERROR(VLOOKUP(TEXT(O94,"0"),CONDUCTORES!$A$3:$G$54,2,0),"")</f>
        <v/>
      </c>
      <c r="Q94" s="138" t="str">
        <f aca="false">IFERROR(VLOOKUP(TEXT(O94,"0"),CONDUCTORES!$A$3:$H$54,6,0),"")</f>
        <v/>
      </c>
      <c r="R94" s="140"/>
      <c r="S94" s="140"/>
      <c r="T94" s="140"/>
      <c r="U94" s="140"/>
      <c r="V94" s="140"/>
      <c r="W94" s="140"/>
      <c r="X94" s="140"/>
      <c r="Y94" s="140"/>
      <c r="Z94" s="47" t="str">
        <f aca="false">IF(AND(G94&lt;&gt;"",R94&lt;&gt;"",V94&lt;&gt;"",W94&lt;&gt;""),"COMPLETADO","OBSERVADO")</f>
        <v>OBSERVADO</v>
      </c>
      <c r="AA94" s="89"/>
    </row>
    <row r="95" customFormat="false" ht="15.75" hidden="false" customHeight="true" outlineLevel="0" collapsed="false">
      <c r="A95" s="85"/>
      <c r="B95" s="85"/>
      <c r="C95" s="85"/>
      <c r="D95" s="85"/>
      <c r="E95" s="85"/>
      <c r="F95" s="85"/>
      <c r="G95" s="85"/>
      <c r="H95" s="85"/>
      <c r="I95" s="138" t="str">
        <f aca="false">IFERROR(VLOOKUP(TEXT(H95,"0"),IPRESS!$A$3:$B$212,2,0),"")</f>
        <v/>
      </c>
      <c r="J95" s="85"/>
      <c r="K95" s="138" t="str">
        <f aca="false">IFERROR(VLOOKUP(TEXT(O95,"0"),CONDUCTORES!$A$3:$G$54,7,0),"")</f>
        <v/>
      </c>
      <c r="L95" s="85"/>
      <c r="M95" s="85"/>
      <c r="N95" s="139" t="str">
        <f aca="false">IFERROR(IF(L95*M95=0,"",L95*M95),"")</f>
        <v/>
      </c>
      <c r="O95" s="85"/>
      <c r="P95" s="138" t="str">
        <f aca="false">IFERROR(VLOOKUP(TEXT(O95,"0"),CONDUCTORES!$A$3:$G$54,2,0),"")</f>
        <v/>
      </c>
      <c r="Q95" s="138" t="str">
        <f aca="false">IFERROR(VLOOKUP(TEXT(O95,"0"),CONDUCTORES!$A$3:$H$54,6,0),"")</f>
        <v/>
      </c>
      <c r="R95" s="85"/>
      <c r="S95" s="85"/>
      <c r="T95" s="85"/>
      <c r="U95" s="85"/>
      <c r="V95" s="85"/>
      <c r="W95" s="85"/>
      <c r="X95" s="85"/>
      <c r="Y95" s="85"/>
      <c r="Z95" s="41" t="str">
        <f aca="false">IF(AND(G95&lt;&gt;"",R95&lt;&gt;"",V95&lt;&gt;"",W95&lt;&gt;""),"COMPLETADO","OBSERVADO")</f>
        <v>OBSERVADO</v>
      </c>
      <c r="AA95" s="89"/>
    </row>
    <row r="96" customFormat="false" ht="15.75" hidden="false" customHeight="true" outlineLevel="0" collapsed="false">
      <c r="A96" s="140"/>
      <c r="B96" s="140"/>
      <c r="C96" s="140"/>
      <c r="D96" s="140"/>
      <c r="E96" s="140"/>
      <c r="F96" s="140"/>
      <c r="G96" s="140"/>
      <c r="H96" s="140"/>
      <c r="I96" s="138" t="str">
        <f aca="false">IFERROR(VLOOKUP(TEXT(H96,"0"),IPRESS!$A$3:$B$212,2,0),"")</f>
        <v/>
      </c>
      <c r="J96" s="140"/>
      <c r="K96" s="138" t="str">
        <f aca="false">IFERROR(VLOOKUP(TEXT(O96,"0"),CONDUCTORES!$A$3:$G$54,7,0),"")</f>
        <v/>
      </c>
      <c r="L96" s="140"/>
      <c r="M96" s="140"/>
      <c r="N96" s="139" t="str">
        <f aca="false">IFERROR(IF(L96*M96=0,"",L96*M96),"")</f>
        <v/>
      </c>
      <c r="O96" s="140"/>
      <c r="P96" s="138" t="str">
        <f aca="false">IFERROR(VLOOKUP(TEXT(O96,"0"),CONDUCTORES!$A$3:$G$54,2,0),"")</f>
        <v/>
      </c>
      <c r="Q96" s="138" t="str">
        <f aca="false">IFERROR(VLOOKUP(TEXT(O96,"0"),CONDUCTORES!$A$3:$H$54,6,0),"")</f>
        <v/>
      </c>
      <c r="R96" s="140"/>
      <c r="S96" s="140"/>
      <c r="T96" s="140"/>
      <c r="U96" s="140"/>
      <c r="V96" s="140"/>
      <c r="W96" s="140"/>
      <c r="X96" s="140"/>
      <c r="Y96" s="140"/>
      <c r="Z96" s="47" t="str">
        <f aca="false">IF(AND(G96&lt;&gt;"",R96&lt;&gt;"",V96&lt;&gt;"",W96&lt;&gt;""),"COMPLETADO","OBSERVADO")</f>
        <v>OBSERVADO</v>
      </c>
      <c r="AA96" s="89"/>
    </row>
    <row r="97" customFormat="false" ht="15.75" hidden="false" customHeight="true" outlineLevel="0" collapsed="false">
      <c r="A97" s="85"/>
      <c r="B97" s="85"/>
      <c r="C97" s="85"/>
      <c r="D97" s="85"/>
      <c r="E97" s="85"/>
      <c r="F97" s="85"/>
      <c r="G97" s="85"/>
      <c r="H97" s="85"/>
      <c r="I97" s="138" t="str">
        <f aca="false">IFERROR(VLOOKUP(TEXT(H97,"0"),IPRESS!$A$3:$B$212,2,0),"")</f>
        <v/>
      </c>
      <c r="J97" s="85"/>
      <c r="K97" s="138" t="str">
        <f aca="false">IFERROR(VLOOKUP(TEXT(O97,"0"),CONDUCTORES!$A$3:$G$54,7,0),"")</f>
        <v/>
      </c>
      <c r="L97" s="85"/>
      <c r="M97" s="85"/>
      <c r="N97" s="139" t="str">
        <f aca="false">IFERROR(IF(L97*M97=0,"",L97*M97),"")</f>
        <v/>
      </c>
      <c r="O97" s="85"/>
      <c r="P97" s="138" t="str">
        <f aca="false">IFERROR(VLOOKUP(TEXT(O97,"0"),CONDUCTORES!$A$3:$G$54,2,0),"")</f>
        <v/>
      </c>
      <c r="Q97" s="138" t="str">
        <f aca="false">IFERROR(VLOOKUP(TEXT(O97,"0"),CONDUCTORES!$A$3:$H$54,6,0),"")</f>
        <v/>
      </c>
      <c r="R97" s="85"/>
      <c r="S97" s="85"/>
      <c r="T97" s="85"/>
      <c r="U97" s="85"/>
      <c r="V97" s="85"/>
      <c r="W97" s="85"/>
      <c r="X97" s="85"/>
      <c r="Y97" s="85"/>
      <c r="Z97" s="41" t="str">
        <f aca="false">IF(AND(G97&lt;&gt;"",R97&lt;&gt;"",V97&lt;&gt;"",W97&lt;&gt;""),"COMPLETADO","OBSERVADO")</f>
        <v>OBSERVADO</v>
      </c>
      <c r="AA97" s="89"/>
    </row>
    <row r="98" customFormat="false" ht="15.75" hidden="false" customHeight="true" outlineLevel="0" collapsed="false">
      <c r="A98" s="140"/>
      <c r="B98" s="140"/>
      <c r="C98" s="140"/>
      <c r="D98" s="140"/>
      <c r="E98" s="140"/>
      <c r="F98" s="140"/>
      <c r="G98" s="140"/>
      <c r="H98" s="140"/>
      <c r="I98" s="138" t="str">
        <f aca="false">IFERROR(VLOOKUP(TEXT(H98,"0"),IPRESS!$A$3:$B$212,2,0),"")</f>
        <v/>
      </c>
      <c r="J98" s="140"/>
      <c r="K98" s="138" t="str">
        <f aca="false">IFERROR(VLOOKUP(TEXT(O98,"0"),CONDUCTORES!$A$3:$G$54,7,0),"")</f>
        <v/>
      </c>
      <c r="L98" s="140"/>
      <c r="M98" s="140"/>
      <c r="N98" s="139" t="str">
        <f aca="false">IFERROR(IF(L98*M98=0,"",L98*M98),"")</f>
        <v/>
      </c>
      <c r="O98" s="140"/>
      <c r="P98" s="138" t="str">
        <f aca="false">IFERROR(VLOOKUP(TEXT(O98,"0"),CONDUCTORES!$A$3:$G$54,2,0),"")</f>
        <v/>
      </c>
      <c r="Q98" s="138" t="str">
        <f aca="false">IFERROR(VLOOKUP(TEXT(O98,"0"),CONDUCTORES!$A$3:$H$54,6,0),"")</f>
        <v/>
      </c>
      <c r="R98" s="140"/>
      <c r="S98" s="140"/>
      <c r="T98" s="140"/>
      <c r="U98" s="140"/>
      <c r="V98" s="140"/>
      <c r="W98" s="140"/>
      <c r="X98" s="140"/>
      <c r="Y98" s="140"/>
      <c r="Z98" s="47" t="str">
        <f aca="false">IF(AND(G98&lt;&gt;"",R98&lt;&gt;"",V98&lt;&gt;"",W98&lt;&gt;""),"COMPLETADO","OBSERVADO")</f>
        <v>OBSERVADO</v>
      </c>
      <c r="AA98" s="89"/>
    </row>
    <row r="99" customFormat="false" ht="15.75" hidden="false" customHeight="true" outlineLevel="0" collapsed="false">
      <c r="A99" s="85"/>
      <c r="B99" s="85"/>
      <c r="C99" s="85"/>
      <c r="D99" s="85"/>
      <c r="E99" s="85"/>
      <c r="F99" s="85"/>
      <c r="G99" s="85"/>
      <c r="H99" s="85"/>
      <c r="I99" s="138" t="str">
        <f aca="false">IFERROR(VLOOKUP(TEXT(H99,"0"),IPRESS!$A$3:$B$212,2,0),"")</f>
        <v/>
      </c>
      <c r="J99" s="85"/>
      <c r="K99" s="138" t="str">
        <f aca="false">IFERROR(VLOOKUP(TEXT(O99,"0"),CONDUCTORES!$A$3:$G$54,7,0),"")</f>
        <v/>
      </c>
      <c r="L99" s="85"/>
      <c r="M99" s="85"/>
      <c r="N99" s="139" t="str">
        <f aca="false">IFERROR(IF(L99*M99=0,"",L99*M99),"")</f>
        <v/>
      </c>
      <c r="O99" s="85"/>
      <c r="P99" s="138" t="str">
        <f aca="false">IFERROR(VLOOKUP(TEXT(O99,"0"),CONDUCTORES!$A$3:$G$54,2,0),"")</f>
        <v/>
      </c>
      <c r="Q99" s="138" t="str">
        <f aca="false">IFERROR(VLOOKUP(TEXT(O99,"0"),CONDUCTORES!$A$3:$H$54,6,0),"")</f>
        <v/>
      </c>
      <c r="R99" s="85"/>
      <c r="S99" s="85"/>
      <c r="T99" s="85"/>
      <c r="U99" s="85"/>
      <c r="V99" s="85"/>
      <c r="W99" s="85"/>
      <c r="X99" s="85"/>
      <c r="Y99" s="85"/>
      <c r="Z99" s="41" t="str">
        <f aca="false">IF(AND(G99&lt;&gt;"",R99&lt;&gt;"",V99&lt;&gt;"",W99&lt;&gt;""),"COMPLETADO","OBSERVADO")</f>
        <v>OBSERVADO</v>
      </c>
      <c r="AA99" s="89"/>
    </row>
    <row r="100" customFormat="false" ht="15.75" hidden="false" customHeight="true" outlineLevel="0" collapsed="false">
      <c r="A100" s="140"/>
      <c r="B100" s="140"/>
      <c r="C100" s="140"/>
      <c r="D100" s="140"/>
      <c r="E100" s="140"/>
      <c r="F100" s="140"/>
      <c r="G100" s="140"/>
      <c r="H100" s="140"/>
      <c r="I100" s="138" t="str">
        <f aca="false">IFERROR(VLOOKUP(TEXT(H100,"0"),IPRESS!$A$3:$B$212,2,0),"")</f>
        <v/>
      </c>
      <c r="J100" s="140"/>
      <c r="K100" s="138" t="str">
        <f aca="false">IFERROR(VLOOKUP(TEXT(O100,"0"),CONDUCTORES!$A$3:$G$54,7,0),"")</f>
        <v/>
      </c>
      <c r="L100" s="140"/>
      <c r="M100" s="140"/>
      <c r="N100" s="139" t="str">
        <f aca="false">IFERROR(IF(L100*M100=0,"",L100*M100),"")</f>
        <v/>
      </c>
      <c r="O100" s="140"/>
      <c r="P100" s="138" t="str">
        <f aca="false">IFERROR(VLOOKUP(TEXT(O100,"0"),CONDUCTORES!$A$3:$G$54,2,0),"")</f>
        <v/>
      </c>
      <c r="Q100" s="138" t="str">
        <f aca="false">IFERROR(VLOOKUP(TEXT(O100,"0"),CONDUCTORES!$A$3:$H$54,6,0),"")</f>
        <v/>
      </c>
      <c r="R100" s="140"/>
      <c r="S100" s="140"/>
      <c r="T100" s="140"/>
      <c r="U100" s="140"/>
      <c r="V100" s="140"/>
      <c r="W100" s="140"/>
      <c r="X100" s="140"/>
      <c r="Y100" s="140"/>
      <c r="Z100" s="47" t="str">
        <f aca="false">IF(AND(G100&lt;&gt;"",R100&lt;&gt;"",V100&lt;&gt;"",W100&lt;&gt;""),"COMPLETADO","OBSERVADO")</f>
        <v>OBSERVADO</v>
      </c>
      <c r="AA100" s="89"/>
    </row>
    <row r="101" customFormat="false" ht="15.75" hidden="false" customHeight="true" outlineLevel="0" collapsed="false">
      <c r="A101" s="85"/>
      <c r="B101" s="85"/>
      <c r="C101" s="85"/>
      <c r="D101" s="85"/>
      <c r="E101" s="85"/>
      <c r="F101" s="85"/>
      <c r="G101" s="85"/>
      <c r="H101" s="85"/>
      <c r="I101" s="138" t="str">
        <f aca="false">IFERROR(VLOOKUP(TEXT(H101,"0"),IPRESS!$A$3:$B$212,2,0),"")</f>
        <v/>
      </c>
      <c r="J101" s="85"/>
      <c r="K101" s="138" t="str">
        <f aca="false">IFERROR(VLOOKUP(TEXT(O101,"0"),CONDUCTORES!$A$3:$G$54,7,0),"")</f>
        <v/>
      </c>
      <c r="L101" s="85"/>
      <c r="M101" s="85"/>
      <c r="N101" s="139" t="str">
        <f aca="false">IFERROR(IF(L101*M101=0,"",L101*M101),"")</f>
        <v/>
      </c>
      <c r="O101" s="85"/>
      <c r="P101" s="138" t="str">
        <f aca="false">IFERROR(VLOOKUP(TEXT(O101,"0"),CONDUCTORES!$A$3:$G$54,2,0),"")</f>
        <v/>
      </c>
      <c r="Q101" s="138" t="str">
        <f aca="false">IFERROR(VLOOKUP(TEXT(O101,"0"),CONDUCTORES!$A$3:$H$54,6,0),"")</f>
        <v/>
      </c>
      <c r="R101" s="85"/>
      <c r="S101" s="85"/>
      <c r="T101" s="85"/>
      <c r="U101" s="85"/>
      <c r="V101" s="85"/>
      <c r="W101" s="85"/>
      <c r="X101" s="85"/>
      <c r="Y101" s="85"/>
      <c r="Z101" s="41" t="str">
        <f aca="false">IF(AND(G101&lt;&gt;"",R101&lt;&gt;"",V101&lt;&gt;"",W101&lt;&gt;""),"COMPLETADO","OBSERVADO")</f>
        <v>OBSERVADO</v>
      </c>
      <c r="AA101" s="89"/>
    </row>
    <row r="102" customFormat="false" ht="15.75" hidden="false" customHeight="true" outlineLevel="0" collapsed="false">
      <c r="A102" s="140"/>
      <c r="B102" s="140"/>
      <c r="C102" s="140"/>
      <c r="D102" s="140"/>
      <c r="E102" s="140"/>
      <c r="F102" s="140"/>
      <c r="G102" s="140"/>
      <c r="H102" s="140"/>
      <c r="I102" s="138" t="str">
        <f aca="false">IFERROR(VLOOKUP(TEXT(H102,"0"),IPRESS!$A$3:$B$212,2,0),"")</f>
        <v/>
      </c>
      <c r="J102" s="140"/>
      <c r="K102" s="138" t="str">
        <f aca="false">IFERROR(VLOOKUP(TEXT(O102,"0"),CONDUCTORES!$A$3:$G$54,7,0),"")</f>
        <v/>
      </c>
      <c r="L102" s="140"/>
      <c r="M102" s="140"/>
      <c r="N102" s="139" t="str">
        <f aca="false">IFERROR(IF(L102*M102=0,"",L102*M102),"")</f>
        <v/>
      </c>
      <c r="O102" s="140"/>
      <c r="P102" s="138" t="str">
        <f aca="false">IFERROR(VLOOKUP(TEXT(O102,"0"),CONDUCTORES!$A$3:$G$54,2,0),"")</f>
        <v/>
      </c>
      <c r="Q102" s="138" t="str">
        <f aca="false">IFERROR(VLOOKUP(TEXT(O102,"0"),CONDUCTORES!$A$3:$H$54,6,0),"")</f>
        <v/>
      </c>
      <c r="R102" s="140"/>
      <c r="S102" s="140"/>
      <c r="T102" s="140"/>
      <c r="U102" s="140"/>
      <c r="V102" s="140"/>
      <c r="W102" s="140"/>
      <c r="X102" s="140"/>
      <c r="Y102" s="140"/>
      <c r="Z102" s="47" t="str">
        <f aca="false">IF(AND(G102&lt;&gt;"",R102&lt;&gt;"",V102&lt;&gt;"",W102&lt;&gt;""),"COMPLETADO","OBSERVADO")</f>
        <v>OBSERVADO</v>
      </c>
      <c r="AA102" s="89"/>
    </row>
    <row r="103" customFormat="false" ht="15.7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138" t="str">
        <f aca="false">IFERROR(VLOOKUP(TEXT(H103,"0"),IPRESS!$A$3:$B$212,2,0),"")</f>
        <v/>
      </c>
      <c r="J103" s="85"/>
      <c r="K103" s="138" t="str">
        <f aca="false">IFERROR(VLOOKUP(TEXT(O103,"0"),CONDUCTORES!$A$3:$G$54,7,0),"")</f>
        <v/>
      </c>
      <c r="L103" s="85"/>
      <c r="M103" s="85"/>
      <c r="N103" s="139" t="str">
        <f aca="false">IFERROR(IF(L103*M103=0,"",L103*M103),"")</f>
        <v/>
      </c>
      <c r="O103" s="85"/>
      <c r="P103" s="138" t="str">
        <f aca="false">IFERROR(VLOOKUP(TEXT(O103,"0"),CONDUCTORES!$A$3:$G$54,2,0),"")</f>
        <v/>
      </c>
      <c r="Q103" s="138" t="str">
        <f aca="false">IFERROR(VLOOKUP(TEXT(O103,"0"),CONDUCTORES!$A$3:$H$54,6,0),"")</f>
        <v/>
      </c>
      <c r="R103" s="85"/>
      <c r="S103" s="85"/>
      <c r="T103" s="85"/>
      <c r="U103" s="85"/>
      <c r="V103" s="85"/>
      <c r="W103" s="85"/>
      <c r="X103" s="85"/>
      <c r="Y103" s="85"/>
      <c r="Z103" s="41" t="str">
        <f aca="false">IF(AND(G103&lt;&gt;"",R103&lt;&gt;"",V103&lt;&gt;"",W103&lt;&gt;""),"COMPLETADO","OBSERVADO")</f>
        <v>OBSERVADO</v>
      </c>
      <c r="AA103" s="89"/>
    </row>
    <row r="104" customFormat="false" ht="15.75" hidden="false" customHeight="true" outlineLevel="0" collapsed="false">
      <c r="A104" s="140"/>
      <c r="B104" s="140"/>
      <c r="C104" s="140"/>
      <c r="D104" s="140"/>
      <c r="E104" s="140"/>
      <c r="F104" s="140"/>
      <c r="G104" s="140"/>
      <c r="H104" s="140"/>
      <c r="I104" s="138" t="str">
        <f aca="false">IFERROR(VLOOKUP(TEXT(H104,"0"),IPRESS!$A$3:$B$212,2,0),"")</f>
        <v/>
      </c>
      <c r="J104" s="140"/>
      <c r="K104" s="138" t="str">
        <f aca="false">IFERROR(VLOOKUP(TEXT(O104,"0"),CONDUCTORES!$A$3:$G$54,7,0),"")</f>
        <v/>
      </c>
      <c r="L104" s="140"/>
      <c r="M104" s="140"/>
      <c r="N104" s="139" t="str">
        <f aca="false">IFERROR(IF(L104*M104=0,"",L104*M104),"")</f>
        <v/>
      </c>
      <c r="O104" s="140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140"/>
      <c r="S104" s="140"/>
      <c r="T104" s="140"/>
      <c r="U104" s="140"/>
      <c r="V104" s="140"/>
      <c r="W104" s="140"/>
      <c r="X104" s="140"/>
      <c r="Y104" s="140"/>
      <c r="Z104" s="47" t="str">
        <f aca="false">IF(AND(G104&lt;&gt;"",R104&lt;&gt;"",V104&lt;&gt;"",W104&lt;&gt;""),"COMPLETADO","OBSERVADO")</f>
        <v>OBSERVADO</v>
      </c>
      <c r="AA104" s="89"/>
    </row>
    <row r="105" customFormat="false" ht="15.7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38" t="str">
        <f aca="false">IFERROR(VLOOKUP(TEXT(H105,"0"),IPRESS!$A$3:$B$212,2,0),"")</f>
        <v/>
      </c>
      <c r="J105" s="85"/>
      <c r="K105" s="138" t="str">
        <f aca="false">IFERROR(VLOOKUP(TEXT(O105,"0"),CONDUCTORES!$A$3:$G$54,7,0),"")</f>
        <v/>
      </c>
      <c r="L105" s="85"/>
      <c r="M105" s="85"/>
      <c r="N105" s="139" t="str">
        <f aca="false">IFERROR(IF(L105*M105=0,"",L105*M105),"")</f>
        <v/>
      </c>
      <c r="O105" s="85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85"/>
      <c r="S105" s="85"/>
      <c r="T105" s="85"/>
      <c r="U105" s="85"/>
      <c r="V105" s="85"/>
      <c r="W105" s="85"/>
      <c r="X105" s="85"/>
      <c r="Y105" s="85"/>
      <c r="Z105" s="41" t="str">
        <f aca="false">IF(AND(G105&lt;&gt;"",R105&lt;&gt;"",V105&lt;&gt;"",W105&lt;&gt;""),"COMPLETADO","OBSERVADO")</f>
        <v>OBSERVADO</v>
      </c>
      <c r="AA105" s="89"/>
    </row>
    <row r="106" customFormat="false" ht="15.75" hidden="false" customHeight="true" outlineLevel="0" collapsed="false">
      <c r="A106" s="140"/>
      <c r="B106" s="140"/>
      <c r="C106" s="140"/>
      <c r="D106" s="140"/>
      <c r="E106" s="140"/>
      <c r="F106" s="140"/>
      <c r="G106" s="140"/>
      <c r="H106" s="140"/>
      <c r="I106" s="138" t="str">
        <f aca="false">IFERROR(VLOOKUP(TEXT(H106,"0"),IPRESS!$A$3:$B$212,2,0),"")</f>
        <v/>
      </c>
      <c r="J106" s="140"/>
      <c r="K106" s="138" t="str">
        <f aca="false">IFERROR(VLOOKUP(TEXT(O106,"0"),CONDUCTORES!$A$3:$G$54,7,0),"")</f>
        <v/>
      </c>
      <c r="L106" s="140"/>
      <c r="M106" s="140"/>
      <c r="N106" s="139" t="str">
        <f aca="false">IFERROR(IF(L106*M106=0,"",L106*M106),"")</f>
        <v/>
      </c>
      <c r="O106" s="140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140"/>
      <c r="S106" s="140"/>
      <c r="T106" s="140"/>
      <c r="U106" s="140"/>
      <c r="V106" s="140"/>
      <c r="W106" s="140"/>
      <c r="X106" s="140"/>
      <c r="Y106" s="140"/>
      <c r="Z106" s="47" t="str">
        <f aca="false">IF(AND(G106&lt;&gt;"",R106&lt;&gt;"",V106&lt;&gt;"",W106&lt;&gt;""),"COMPLETADO","OBSERVADO")</f>
        <v>OBSERVADO</v>
      </c>
      <c r="AA106" s="89"/>
    </row>
    <row r="107" customFormat="false" ht="15.7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38" t="str">
        <f aca="false">IFERROR(VLOOKUP(TEXT(H107,"0"),IPRESS!$A$3:$B$212,2,0),"")</f>
        <v/>
      </c>
      <c r="J107" s="85"/>
      <c r="K107" s="138" t="str">
        <f aca="false">IFERROR(VLOOKUP(TEXT(O107,"0"),CONDUCTORES!$A$3:$G$54,7,0),"")</f>
        <v/>
      </c>
      <c r="L107" s="85"/>
      <c r="M107" s="85"/>
      <c r="N107" s="139" t="str">
        <f aca="false">IFERROR(IF(L107*M107=0,"",L107*M107),"")</f>
        <v/>
      </c>
      <c r="O107" s="85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85"/>
      <c r="S107" s="85"/>
      <c r="T107" s="85"/>
      <c r="U107" s="85"/>
      <c r="V107" s="85"/>
      <c r="W107" s="85"/>
      <c r="X107" s="85"/>
      <c r="Y107" s="85"/>
      <c r="Z107" s="41" t="str">
        <f aca="false">IF(AND(G107&lt;&gt;"",R107&lt;&gt;"",V107&lt;&gt;"",W107&lt;&gt;""),"COMPLETADO","OBSERVADO")</f>
        <v>OBSERVADO</v>
      </c>
      <c r="AA107" s="89"/>
    </row>
    <row r="108" customFormat="false" ht="15.75" hidden="false" customHeight="true" outlineLevel="0" collapsed="false">
      <c r="A108" s="140"/>
      <c r="B108" s="140"/>
      <c r="C108" s="140"/>
      <c r="D108" s="140"/>
      <c r="E108" s="140"/>
      <c r="F108" s="140"/>
      <c r="G108" s="140"/>
      <c r="H108" s="140"/>
      <c r="I108" s="138" t="str">
        <f aca="false">IFERROR(VLOOKUP(TEXT(H108,"0"),IPRESS!$A$3:$B$212,2,0),"")</f>
        <v/>
      </c>
      <c r="J108" s="140"/>
      <c r="K108" s="138" t="str">
        <f aca="false">IFERROR(VLOOKUP(TEXT(O108,"0"),CONDUCTORES!$A$3:$G$54,7,0),"")</f>
        <v/>
      </c>
      <c r="L108" s="140"/>
      <c r="M108" s="140"/>
      <c r="N108" s="139" t="str">
        <f aca="false">IFERROR(IF(L108*M108=0,"",L108*M108),"")</f>
        <v/>
      </c>
      <c r="O108" s="140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140"/>
      <c r="S108" s="140"/>
      <c r="T108" s="140"/>
      <c r="U108" s="140"/>
      <c r="V108" s="140"/>
      <c r="W108" s="140"/>
      <c r="X108" s="140"/>
      <c r="Y108" s="140"/>
      <c r="Z108" s="47" t="str">
        <f aca="false">IF(AND(G108&lt;&gt;"",R108&lt;&gt;"",V108&lt;&gt;"",W108&lt;&gt;""),"COMPLETADO","OBSERVADO")</f>
        <v>OBSERVADO</v>
      </c>
      <c r="AA108" s="89"/>
    </row>
    <row r="109" customFormat="false" ht="15.7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38" t="str">
        <f aca="false">IFERROR(VLOOKUP(TEXT(O109,"0"),CONDUCTORES!$A$3:$G$54,7,0),"")</f>
        <v/>
      </c>
      <c r="L109" s="85"/>
      <c r="M109" s="85"/>
      <c r="N109" s="139" t="str">
        <f aca="false">IFERROR(IF(L109*M109=0,"",L109*M109),"")</f>
        <v/>
      </c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41" t="str">
        <f aca="false">IF(AND(G109&lt;&gt;"",R109&lt;&gt;"",V109&lt;&gt;"",W109&lt;&gt;""),"COMPLETADO","OBSERVADO")</f>
        <v>OBSERVADO</v>
      </c>
      <c r="AA109" s="89"/>
    </row>
    <row r="110" customFormat="false" ht="15.75" hidden="false" customHeight="true" outlineLevel="0" collapsed="false">
      <c r="A110" s="140"/>
      <c r="B110" s="140"/>
      <c r="C110" s="140"/>
      <c r="D110" s="140"/>
      <c r="E110" s="140"/>
      <c r="F110" s="140"/>
      <c r="G110" s="140"/>
      <c r="H110" s="140"/>
      <c r="I110" s="138" t="str">
        <f aca="false">IFERROR(VLOOKUP(TEXT(H110,"0"),IPRESS!$A$3:$B$212,2,0),"")</f>
        <v/>
      </c>
      <c r="J110" s="140"/>
      <c r="K110" s="138" t="str">
        <f aca="false">IFERROR(VLOOKUP(TEXT(O110,"0"),CONDUCTORES!$A$3:$G$54,7,0),"")</f>
        <v/>
      </c>
      <c r="L110" s="140"/>
      <c r="M110" s="140"/>
      <c r="N110" s="139" t="str">
        <f aca="false">IFERROR(IF(L110*M110=0,"",L110*M110),"")</f>
        <v/>
      </c>
      <c r="O110" s="140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140"/>
      <c r="S110" s="140"/>
      <c r="T110" s="140"/>
      <c r="U110" s="140"/>
      <c r="V110" s="140"/>
      <c r="W110" s="140"/>
      <c r="X110" s="140"/>
      <c r="Y110" s="140"/>
      <c r="Z110" s="47" t="str">
        <f aca="false">IF(AND(G110&lt;&gt;"",R110&lt;&gt;"",V110&lt;&gt;"",W110&lt;&gt;""),"COMPLETADO","OBSERVADO")</f>
        <v>OBSERVADO</v>
      </c>
      <c r="AA110" s="89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184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9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184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9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184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9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184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9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184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9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184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9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184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9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184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9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184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9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85" t="str">
        <f aca="false">IF(AND(G120&lt;&gt;"",R120&lt;&gt;"",V120&lt;&gt;"",W120&lt;&gt;""),"COMPLETADO","OBSERVADO")</f>
        <v>OBSERVADO</v>
      </c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  <c r="Z121" s="185" t="str">
        <f aca="false">IF(AND(G121&lt;&gt;"",R121&lt;&gt;"",V121&lt;&gt;"",W121&lt;&gt;""),"COMPLETADO","OBSERVADO")</f>
        <v>OBSERVADO</v>
      </c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85" t="str">
        <f aca="false">IF(AND(G122&lt;&gt;"",R122&lt;&gt;"",V122&lt;&gt;"",W122&lt;&gt;""),"COMPLETADO","OBSERVADO")</f>
        <v>OBSERVADO</v>
      </c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  <c r="Z123" s="185" t="str">
        <f aca="false">IF(AND(G123&lt;&gt;"",R123&lt;&gt;"",V123&lt;&gt;"",W123&lt;&gt;""),"COMPLETADO","OBSERVADO")</f>
        <v>OBSERVADO</v>
      </c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85" t="str">
        <f aca="false">IF(AND(G124&lt;&gt;"",R124&lt;&gt;"",V124&lt;&gt;"",W124&lt;&gt;""),"COMPLETADO","OBSERVADO")</f>
        <v>OBSERVADO</v>
      </c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  <c r="Z125" s="185" t="str">
        <f aca="false">IF(AND(G125&lt;&gt;"",R125&lt;&gt;"",V125&lt;&gt;"",W125&lt;&gt;""),"COMPLETADO","OBSERVADO")</f>
        <v>OBSERVADO</v>
      </c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85" t="str">
        <f aca="false">IF(AND(G126&lt;&gt;"",R126&lt;&gt;"",V126&lt;&gt;"",W126&lt;&gt;""),"COMPLETADO","OBSERVADO")</f>
        <v>OBSERVADO</v>
      </c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  <c r="Z127" s="185" t="str">
        <f aca="false">IF(AND(G127&lt;&gt;"",R127&lt;&gt;"",V127&lt;&gt;"",W127&lt;&gt;""),"COMPLETADO","OBSERVADO")</f>
        <v>OBSERVADO</v>
      </c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85" t="str">
        <f aca="false">IF(AND(G128&lt;&gt;"",R128&lt;&gt;"",V128&lt;&gt;"",W128&lt;&gt;""),"COMPLETADO","OBSERVADO")</f>
        <v>OBSERVADO</v>
      </c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  <c r="Z129" s="185" t="str">
        <f aca="false">IF(AND(G129&lt;&gt;"",R129&lt;&gt;"",V129&lt;&gt;"",W129&lt;&gt;""),"COMPLETADO","OBSERVADO")</f>
        <v>OBSERVADO</v>
      </c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85" t="str">
        <f aca="false">IF(AND(G130&lt;&gt;"",R130&lt;&gt;"",V130&lt;&gt;"",W130&lt;&gt;""),"COMPLETADO","OBSERVADO")</f>
        <v>OBSERVADO</v>
      </c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  <c r="Z131" s="185" t="str">
        <f aca="false">IF(AND(G131&lt;&gt;"",R131&lt;&gt;"",V131&lt;&gt;"",W131&lt;&gt;""),"COMPLETADO","OBSERVADO")</f>
        <v>OBSERVADO</v>
      </c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85" t="str">
        <f aca="false">IF(AND(G132&lt;&gt;"",R132&lt;&gt;"",V132&lt;&gt;"",W132&lt;&gt;""),"COMPLETADO","OBSERVADO")</f>
        <v>OBSERVADO</v>
      </c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  <c r="Z133" s="185" t="str">
        <f aca="false">IF(AND(G133&lt;&gt;"",R133&lt;&gt;"",V133&lt;&gt;"",W133&lt;&gt;""),"COMPLETADO","OBSERVADO")</f>
        <v>OBSERVADO</v>
      </c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85" t="str">
        <f aca="false">IF(AND(G134&lt;&gt;"",R134&lt;&gt;"",V134&lt;&gt;"",W134&lt;&gt;""),"COMPLETADO","OBSERVADO")</f>
        <v>OBSERVADO</v>
      </c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  <c r="Z135" s="185" t="str">
        <f aca="false">IF(AND(G135&lt;&gt;"",R135&lt;&gt;"",V135&lt;&gt;"",W135&lt;&gt;""),"COMPLETADO","OBSERVADO")</f>
        <v>OBSERVADO</v>
      </c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85" t="str">
        <f aca="false">IF(AND(G136&lt;&gt;"",R136&lt;&gt;"",V136&lt;&gt;"",W136&lt;&gt;""),"COMPLETADO","OBSERVADO")</f>
        <v>OBSERVADO</v>
      </c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  <c r="Z137" s="185" t="str">
        <f aca="false">IF(AND(G137&lt;&gt;"",R137&lt;&gt;"",V137&lt;&gt;"",W137&lt;&gt;""),"COMPLETADO","OBSERVADO")</f>
        <v>OBSERVADO</v>
      </c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85" t="str">
        <f aca="false">IF(AND(G138&lt;&gt;"",R138&lt;&gt;"",V138&lt;&gt;"",W138&lt;&gt;""),"COMPLETADO","OBSERVADO")</f>
        <v>OBSERVADO</v>
      </c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  <c r="Z139" s="185" t="str">
        <f aca="false">IF(AND(G139&lt;&gt;"",R139&lt;&gt;"",V139&lt;&gt;"",W139&lt;&gt;""),"COMPLETADO","OBSERVADO")</f>
        <v>OBSERVADO</v>
      </c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85" t="str">
        <f aca="false">IF(AND(G140&lt;&gt;"",R140&lt;&gt;"",V140&lt;&gt;"",W140&lt;&gt;""),"COMPLETADO","OBSERVADO")</f>
        <v>OBSERVADO</v>
      </c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  <c r="Z141" s="185" t="str">
        <f aca="false">IF(AND(G141&lt;&gt;"",R141&lt;&gt;"",V141&lt;&gt;"",W141&lt;&gt;""),"COMPLETADO","OBSERVADO")</f>
        <v>OBSERVADO</v>
      </c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85" t="str">
        <f aca="false">IF(AND(G142&lt;&gt;"",R142&lt;&gt;"",V142&lt;&gt;"",W142&lt;&gt;""),"COMPLETADO","OBSERVADO")</f>
        <v>OBSERVADO</v>
      </c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  <c r="Z143" s="185" t="str">
        <f aca="false">IF(AND(G143&lt;&gt;"",R143&lt;&gt;"",V143&lt;&gt;"",W143&lt;&gt;""),"COMPLETADO","OBSERVADO")</f>
        <v>OBSERVADO</v>
      </c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85" t="str">
        <f aca="false">IF(AND(G144&lt;&gt;"",R144&lt;&gt;"",V144&lt;&gt;"",W144&lt;&gt;""),"COMPLETADO","OBSERVADO")</f>
        <v>OBSERVADO</v>
      </c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  <c r="Z145" s="185" t="str">
        <f aca="false">IF(AND(G145&lt;&gt;"",R145&lt;&gt;"",V145&lt;&gt;"",W145&lt;&gt;""),"COMPLETADO","OBSERVADO")</f>
        <v>OBSERVADO</v>
      </c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85" t="str">
        <f aca="false">IF(AND(G146&lt;&gt;"",R146&lt;&gt;"",V146&lt;&gt;"",W146&lt;&gt;""),"COMPLETADO","OBSERVADO")</f>
        <v>OBSERVADO</v>
      </c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  <c r="Z147" s="185" t="str">
        <f aca="false">IF(AND(G147&lt;&gt;"",R147&lt;&gt;"",V147&lt;&gt;"",W147&lt;&gt;""),"COMPLETADO","OBSERVADO")</f>
        <v>OBSERVADO</v>
      </c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85" t="str">
        <f aca="false">IF(AND(G148&lt;&gt;"",R148&lt;&gt;"",V148&lt;&gt;"",W148&lt;&gt;""),"COMPLETADO","OBSERVADO")</f>
        <v>OBSERVADO</v>
      </c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  <c r="Z149" s="185" t="str">
        <f aca="false">IF(AND(G149&lt;&gt;"",R149&lt;&gt;"",V149&lt;&gt;"",W149&lt;&gt;""),"COMPLETADO","OBSERVADO")</f>
        <v>OBSERVADO</v>
      </c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85" t="str">
        <f aca="false">IF(AND(G150&lt;&gt;"",R150&lt;&gt;"",V150&lt;&gt;"",W150&lt;&gt;""),"COMPLETADO","OBSERVADO")</f>
        <v>OBSERVADO</v>
      </c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  <c r="Z151" s="185" t="str">
        <f aca="false">IF(AND(G151&lt;&gt;"",R151&lt;&gt;"",V151&lt;&gt;"",W151&lt;&gt;""),"COMPLETADO","OBSERVADO")</f>
        <v>OBSERVADO</v>
      </c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85" t="str">
        <f aca="false">IF(AND(G152&lt;&gt;"",R152&lt;&gt;"",V152&lt;&gt;"",W152&lt;&gt;""),"COMPLETADO","OBSERVADO")</f>
        <v>OBSERVADO</v>
      </c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  <c r="Z153" s="185" t="str">
        <f aca="false">IF(AND(G153&lt;&gt;"",R153&lt;&gt;"",V153&lt;&gt;"",W153&lt;&gt;""),"COMPLETADO","OBSERVADO")</f>
        <v>OBSERVADO</v>
      </c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85" t="str">
        <f aca="false">IF(AND(G154&lt;&gt;"",R154&lt;&gt;"",V154&lt;&gt;"",W154&lt;&gt;""),"COMPLETADO","OBSERVADO")</f>
        <v>OBSERVADO</v>
      </c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  <c r="Z155" s="185" t="str">
        <f aca="false">IF(AND(G155&lt;&gt;"",R155&lt;&gt;"",V155&lt;&gt;"",W155&lt;&gt;""),"COMPLETADO","OBSERVADO")</f>
        <v>OBSERVADO</v>
      </c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85" t="str">
        <f aca="false">IF(AND(G156&lt;&gt;"",R156&lt;&gt;"",V156&lt;&gt;"",W156&lt;&gt;""),"COMPLETADO","OBSERVADO")</f>
        <v>OBSERVADO</v>
      </c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  <c r="Z157" s="185" t="str">
        <f aca="false">IF(AND(G157&lt;&gt;"",R157&lt;&gt;"",V157&lt;&gt;"",W157&lt;&gt;""),"COMPLETADO","OBSERVADO")</f>
        <v>OBSERVADO</v>
      </c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85" t="str">
        <f aca="false">IF(AND(G158&lt;&gt;"",R158&lt;&gt;"",V158&lt;&gt;"",W158&lt;&gt;""),"COMPLETADO","OBSERVADO")</f>
        <v>OBSERVADO</v>
      </c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  <c r="Z159" s="185" t="str">
        <f aca="false">IF(AND(G159&lt;&gt;"",R159&lt;&gt;"",V159&lt;&gt;"",W159&lt;&gt;""),"COMPLETADO","OBSERVADO")</f>
        <v>OBSERVADO</v>
      </c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85" t="str">
        <f aca="false">IF(AND(G160&lt;&gt;"",R160&lt;&gt;"",V160&lt;&gt;"",W160&lt;&gt;""),"COMPLETADO","OBSERVADO")</f>
        <v>OBSERVADO</v>
      </c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  <c r="Z161" s="185" t="str">
        <f aca="false">IF(AND(G161&lt;&gt;"",R161&lt;&gt;"",V161&lt;&gt;"",W161&lt;&gt;""),"COMPLETADO","OBSERVADO")</f>
        <v>OBSERVADO</v>
      </c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85" t="str">
        <f aca="false">IF(AND(G162&lt;&gt;"",R162&lt;&gt;"",V162&lt;&gt;"",W162&lt;&gt;""),"COMPLETADO","OBSERVADO")</f>
        <v>OBSERVADO</v>
      </c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  <c r="Z163" s="185" t="str">
        <f aca="false">IF(AND(G163&lt;&gt;"",R163&lt;&gt;"",V163&lt;&gt;"",W163&lt;&gt;""),"COMPLETADO","OBSERVADO")</f>
        <v>OBSERVADO</v>
      </c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85" t="str">
        <f aca="false">IF(AND(G164&lt;&gt;"",R164&lt;&gt;"",V164&lt;&gt;"",W164&lt;&gt;""),"COMPLETADO","OBSERVADO")</f>
        <v>OBSERVADO</v>
      </c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  <c r="Z165" s="185" t="str">
        <f aca="false">IF(AND(G165&lt;&gt;"",R165&lt;&gt;"",V165&lt;&gt;"",W165&lt;&gt;""),"COMPLETADO","OBSERVADO")</f>
        <v>OBSERVADO</v>
      </c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85" t="str">
        <f aca="false">IF(AND(G166&lt;&gt;"",R166&lt;&gt;"",V166&lt;&gt;"",W166&lt;&gt;""),"COMPLETADO","OBSERVADO")</f>
        <v>OBSERVADO</v>
      </c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  <c r="Z167" s="185" t="str">
        <f aca="false">IF(AND(G167&lt;&gt;"",R167&lt;&gt;"",V167&lt;&gt;"",W167&lt;&gt;""),"COMPLETADO","OBSERVADO")</f>
        <v>OBSERVADO</v>
      </c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85" t="str">
        <f aca="false">IF(AND(G168&lt;&gt;"",R168&lt;&gt;"",V168&lt;&gt;"",W168&lt;&gt;""),"COMPLETADO","OBSERVADO")</f>
        <v>OBSERVADO</v>
      </c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  <c r="Z169" s="185" t="str">
        <f aca="false">IF(AND(G169&lt;&gt;"",R169&lt;&gt;"",V169&lt;&gt;"",W169&lt;&gt;""),"COMPLETADO","OBSERVADO")</f>
        <v>OBSERVADO</v>
      </c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85" t="str">
        <f aca="false">IF(AND(G170&lt;&gt;"",R170&lt;&gt;"",V170&lt;&gt;"",W170&lt;&gt;""),"COMPLETADO","OBSERVADO")</f>
        <v>OBSERVADO</v>
      </c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  <c r="Z171" s="185" t="str">
        <f aca="false">IF(AND(G171&lt;&gt;"",R171&lt;&gt;"",V171&lt;&gt;"",W171&lt;&gt;""),"COMPLETADO","OBSERVADO")</f>
        <v>OBSERVADO</v>
      </c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85" t="str">
        <f aca="false">IF(AND(G172&lt;&gt;"",R172&lt;&gt;"",V172&lt;&gt;"",W172&lt;&gt;""),"COMPLETADO","OBSERVADO")</f>
        <v>OBSERVADO</v>
      </c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  <c r="Z173" s="185" t="str">
        <f aca="false">IF(AND(G173&lt;&gt;"",R173&lt;&gt;"",V173&lt;&gt;"",W173&lt;&gt;""),"COMPLETADO","OBSERVADO")</f>
        <v>OBSERVADO</v>
      </c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85" t="str">
        <f aca="false">IF(AND(G174&lt;&gt;"",R174&lt;&gt;"",V174&lt;&gt;"",W174&lt;&gt;""),"COMPLETADO","OBSERVADO")</f>
        <v>OBSERVADO</v>
      </c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  <c r="Z175" s="185" t="str">
        <f aca="false">IF(AND(G175&lt;&gt;"",R175&lt;&gt;"",V175&lt;&gt;"",W175&lt;&gt;""),"COMPLETADO","OBSERVADO")</f>
        <v>OBSERVADO</v>
      </c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85" t="str">
        <f aca="false">IF(AND(G176&lt;&gt;"",R176&lt;&gt;"",V176&lt;&gt;"",W176&lt;&gt;""),"COMPLETADO","OBSERVADO")</f>
        <v>OBSERVADO</v>
      </c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  <c r="Z177" s="185" t="str">
        <f aca="false">IF(AND(G177&lt;&gt;"",R177&lt;&gt;"",V177&lt;&gt;"",W177&lt;&gt;""),"COMPLETADO","OBSERVADO")</f>
        <v>OBSERVADO</v>
      </c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85" t="str">
        <f aca="false">IF(AND(G178&lt;&gt;"",R178&lt;&gt;"",V178&lt;&gt;"",W178&lt;&gt;""),"COMPLETADO","OBSERVADO")</f>
        <v>OBSERVADO</v>
      </c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  <c r="Z179" s="185" t="str">
        <f aca="false">IF(AND(G179&lt;&gt;"",R179&lt;&gt;"",V179&lt;&gt;"",W179&lt;&gt;""),"COMPLETADO","OBSERVADO")</f>
        <v>OBSERVADO</v>
      </c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85" t="str">
        <f aca="false">IF(AND(G180&lt;&gt;"",R180&lt;&gt;"",V180&lt;&gt;"",W180&lt;&gt;""),"COMPLETADO","OBSERVADO")</f>
        <v>OBSERVADO</v>
      </c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  <c r="Z181" s="185" t="str">
        <f aca="false">IF(AND(G181&lt;&gt;"",R181&lt;&gt;"",V181&lt;&gt;"",W181&lt;&gt;""),"COMPLETADO","OBSERVADO")</f>
        <v>OBSERVADO</v>
      </c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85" t="str">
        <f aca="false">IF(AND(G182&lt;&gt;"",R182&lt;&gt;"",V182&lt;&gt;"",W182&lt;&gt;""),"COMPLETADO","OBSERVADO")</f>
        <v>OBSERVADO</v>
      </c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  <c r="Z183" s="185" t="str">
        <f aca="false">IF(AND(G183&lt;&gt;"",R183&lt;&gt;"",V183&lt;&gt;"",W183&lt;&gt;""),"COMPLETADO","OBSERVADO")</f>
        <v>OBSERVADO</v>
      </c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85" t="str">
        <f aca="false">IF(AND(G184&lt;&gt;"",R184&lt;&gt;"",V184&lt;&gt;"",W184&lt;&gt;""),"COMPLETADO","OBSERVADO")</f>
        <v>OBSERVADO</v>
      </c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  <c r="Z185" s="185" t="str">
        <f aca="false">IF(AND(G185&lt;&gt;"",R185&lt;&gt;"",V185&lt;&gt;"",W185&lt;&gt;""),"COMPLETADO","OBSERVADO")</f>
        <v>OBSERVADO</v>
      </c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85" t="str">
        <f aca="false">IF(AND(G186&lt;&gt;"",R186&lt;&gt;"",V186&lt;&gt;"",W186&lt;&gt;""),"COMPLETADO","OBSERVADO")</f>
        <v>OBSERVADO</v>
      </c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  <c r="Z187" s="185" t="str">
        <f aca="false">IF(AND(G187&lt;&gt;"",R187&lt;&gt;"",V187&lt;&gt;"",W187&lt;&gt;""),"COMPLETADO","OBSERVADO")</f>
        <v>OBSERVADO</v>
      </c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85" t="str">
        <f aca="false">IF(AND(G188&lt;&gt;"",R188&lt;&gt;"",V188&lt;&gt;"",W188&lt;&gt;""),"COMPLETADO","OBSERVADO")</f>
        <v>OBSERVADO</v>
      </c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  <c r="Z189" s="185" t="str">
        <f aca="false">IF(AND(G189&lt;&gt;"",R189&lt;&gt;"",V189&lt;&gt;"",W189&lt;&gt;""),"COMPLETADO","OBSERVADO")</f>
        <v>OBSERVADO</v>
      </c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85" t="str">
        <f aca="false">IF(AND(G190&lt;&gt;"",R190&lt;&gt;"",V190&lt;&gt;"",W190&lt;&gt;""),"COMPLETADO","OBSERVADO")</f>
        <v>OBSERVADO</v>
      </c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  <c r="Z191" s="185" t="str">
        <f aca="false">IF(AND(G191&lt;&gt;"",R191&lt;&gt;"",V191&lt;&gt;"",W191&lt;&gt;""),"COMPLETADO","OBSERVADO")</f>
        <v>OBSERVADO</v>
      </c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85" t="str">
        <f aca="false">IF(AND(G192&lt;&gt;"",R192&lt;&gt;"",V192&lt;&gt;"",W192&lt;&gt;""),"COMPLETADO","OBSERVADO")</f>
        <v>OBSERVADO</v>
      </c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  <c r="Z193" s="185" t="str">
        <f aca="false">IF(AND(G193&lt;&gt;"",R193&lt;&gt;"",V193&lt;&gt;"",W193&lt;&gt;""),"COMPLETADO","OBSERVADO")</f>
        <v>OBSERVADO</v>
      </c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85" t="str">
        <f aca="false">IF(AND(G194&lt;&gt;"",R194&lt;&gt;"",V194&lt;&gt;"",W194&lt;&gt;""),"COMPLETADO","OBSERVADO")</f>
        <v>OBSERVADO</v>
      </c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  <c r="Z195" s="185" t="str">
        <f aca="false">IF(AND(G195&lt;&gt;"",R195&lt;&gt;"",V195&lt;&gt;"",W195&lt;&gt;""),"COMPLETADO","OBSERVADO")</f>
        <v>OBSERVADO</v>
      </c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85" t="str">
        <f aca="false">IF(AND(G196&lt;&gt;"",R196&lt;&gt;"",V196&lt;&gt;"",W196&lt;&gt;""),"COMPLETADO","OBSERVADO")</f>
        <v>OBSERVADO</v>
      </c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  <c r="Z197" s="185" t="str">
        <f aca="false">IF(AND(G197&lt;&gt;"",R197&lt;&gt;"",V197&lt;&gt;"",W197&lt;&gt;""),"COMPLETADO","OBSERVADO")</f>
        <v>OBSERVADO</v>
      </c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85" t="str">
        <f aca="false">IF(AND(G198&lt;&gt;"",R198&lt;&gt;"",V198&lt;&gt;"",W198&lt;&gt;""),"COMPLETADO","OBSERVADO")</f>
        <v>OBSERVADO</v>
      </c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  <c r="Z199" s="185" t="str">
        <f aca="false">IF(AND(G199&lt;&gt;"",R199&lt;&gt;"",V199&lt;&gt;"",W199&lt;&gt;""),"COMPLETADO","OBSERVADO")</f>
        <v>OBSERVADO</v>
      </c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85" t="str">
        <f aca="false">IF(AND(G200&lt;&gt;"",R200&lt;&gt;"",V200&lt;&gt;"",W200&lt;&gt;""),"COMPLETADO","OBSERVADO")</f>
        <v>OBSERVADO</v>
      </c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  <c r="Z201" s="185" t="str">
        <f aca="false">IF(AND(G201&lt;&gt;"",R201&lt;&gt;"",V201&lt;&gt;"",W201&lt;&gt;""),"COMPLETADO","OBSERVADO")</f>
        <v>OBSERVADO</v>
      </c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85" t="str">
        <f aca="false">IF(AND(G202&lt;&gt;"",R202&lt;&gt;"",V202&lt;&gt;"",W202&lt;&gt;""),"COMPLETADO","OBSERVADO")</f>
        <v>OBSERVADO</v>
      </c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  <c r="Z203" s="185" t="str">
        <f aca="false">IF(AND(G203&lt;&gt;"",R203&lt;&gt;"",V203&lt;&gt;"",W203&lt;&gt;""),"COMPLETADO","OBSERVADO")</f>
        <v>OBSERVADO</v>
      </c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85" t="str">
        <f aca="false">IF(AND(G204&lt;&gt;"",R204&lt;&gt;"",V204&lt;&gt;"",W204&lt;&gt;""),"COMPLETADO","OBSERVADO")</f>
        <v>OBSERVADO</v>
      </c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  <c r="Z205" s="185" t="str">
        <f aca="false">IF(AND(G205&lt;&gt;"",R205&lt;&gt;"",V205&lt;&gt;"",W205&lt;&gt;""),"COMPLETADO","OBSERVADO")</f>
        <v>OBSERVADO</v>
      </c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85" t="str">
        <f aca="false">IF(AND(G206&lt;&gt;"",R206&lt;&gt;"",V206&lt;&gt;"",W206&lt;&gt;""),"COMPLETADO","OBSERVADO")</f>
        <v>OBSERVADO</v>
      </c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  <c r="Z207" s="185" t="str">
        <f aca="false">IF(AND(G207&lt;&gt;"",R207&lt;&gt;"",V207&lt;&gt;"",W207&lt;&gt;""),"COMPLETADO","OBSERVADO")</f>
        <v>OBSERVADO</v>
      </c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85" t="str">
        <f aca="false">IF(AND(G208&lt;&gt;"",R208&lt;&gt;"",V208&lt;&gt;"",W208&lt;&gt;""),"COMPLETADO","OBSERVADO")</f>
        <v>OBSERVADO</v>
      </c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  <c r="Z209" s="185" t="str">
        <f aca="false">IF(AND(G209&lt;&gt;"",R209&lt;&gt;"",V209&lt;&gt;"",W209&lt;&gt;""),"COMPLETADO","OBSERVADO")</f>
        <v>OBSERVADO</v>
      </c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85" t="str">
        <f aca="false">IF(AND(G210&lt;&gt;"",R210&lt;&gt;"",V210&lt;&gt;"",W210&lt;&gt;""),"COMPLETADO","OBSERVADO")</f>
        <v>OBSERVADO</v>
      </c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  <c r="Z211" s="185" t="str">
        <f aca="false">IF(AND(G211&lt;&gt;"",R211&lt;&gt;"",V211&lt;&gt;"",W211&lt;&gt;""),"COMPLETADO","OBSERVADO")</f>
        <v>OBSERVADO</v>
      </c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85" t="str">
        <f aca="false">IF(AND(G212&lt;&gt;"",R212&lt;&gt;"",V212&lt;&gt;"",W212&lt;&gt;""),"COMPLETADO","OBSERVADO")</f>
        <v>OBSERVADO</v>
      </c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  <c r="Z213" s="185" t="str">
        <f aca="false">IF(AND(G213&lt;&gt;"",R213&lt;&gt;"",V213&lt;&gt;"",W213&lt;&gt;""),"COMPLETADO","OBSERVADO")</f>
        <v>OBSERVADO</v>
      </c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85" t="str">
        <f aca="false">IF(AND(G214&lt;&gt;"",R214&lt;&gt;"",V214&lt;&gt;"",W214&lt;&gt;""),"COMPLETADO","OBSERVADO")</f>
        <v>OBSERVADO</v>
      </c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  <c r="Z215" s="185" t="str">
        <f aca="false">IF(AND(G215&lt;&gt;"",R215&lt;&gt;"",V215&lt;&gt;"",W215&lt;&gt;""),"COMPLETADO","OBSERVADO")</f>
        <v>OBSERVADO</v>
      </c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85" t="str">
        <f aca="false">IF(AND(G216&lt;&gt;"",R216&lt;&gt;"",V216&lt;&gt;"",W216&lt;&gt;""),"COMPLETADO","OBSERVADO")</f>
        <v>OBSERVADO</v>
      </c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  <c r="Z217" s="185" t="str">
        <f aca="false">IF(AND(G217&lt;&gt;"",R217&lt;&gt;"",V217&lt;&gt;"",W217&lt;&gt;""),"COMPLETADO","OBSERVADO")</f>
        <v>OBSERVADO</v>
      </c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85" t="str">
        <f aca="false">IF(AND(G218&lt;&gt;"",R218&lt;&gt;"",V218&lt;&gt;"",W218&lt;&gt;""),"COMPLETADO","OBSERVADO")</f>
        <v>OBSERVADO</v>
      </c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  <c r="Z219" s="185" t="str">
        <f aca="false">IF(AND(G219&lt;&gt;"",R219&lt;&gt;"",V219&lt;&gt;"",W219&lt;&gt;""),"COMPLETADO","OBSERVADO")</f>
        <v>OBSERVADO</v>
      </c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85" t="str">
        <f aca="false">IF(AND(G220&lt;&gt;"",R220&lt;&gt;"",V220&lt;&gt;"",W220&lt;&gt;""),"COMPLETADO","OBSERVADO")</f>
        <v>OBSERVADO</v>
      </c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  <c r="Z221" s="185" t="str">
        <f aca="false">IF(AND(G221&lt;&gt;"",R221&lt;&gt;"",V221&lt;&gt;"",W221&lt;&gt;""),"COMPLETADO","OBSERVADO")</f>
        <v>OBSERVADO</v>
      </c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85" t="str">
        <f aca="false">IF(AND(G222&lt;&gt;"",R222&lt;&gt;"",V222&lt;&gt;"",W222&lt;&gt;""),"COMPLETADO","OBSERVADO")</f>
        <v>OBSERVADO</v>
      </c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  <c r="Z223" s="185" t="str">
        <f aca="false">IF(AND(G223&lt;&gt;"",R223&lt;&gt;"",V223&lt;&gt;"",W223&lt;&gt;""),"COMPLETADO","OBSERVADO")</f>
        <v>OBSERVADO</v>
      </c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85" t="str">
        <f aca="false">IF(AND(G224&lt;&gt;"",R224&lt;&gt;"",V224&lt;&gt;"",W224&lt;&gt;""),"COMPLETADO","OBSERVADO")</f>
        <v>OBSERVADO</v>
      </c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  <c r="Z225" s="185" t="str">
        <f aca="false">IF(AND(G225&lt;&gt;"",R225&lt;&gt;"",V225&lt;&gt;"",W225&lt;&gt;""),"COMPLETADO","OBSERVADO")</f>
        <v>OBSERVADO</v>
      </c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85" t="str">
        <f aca="false">IF(AND(G226&lt;&gt;"",R226&lt;&gt;"",V226&lt;&gt;"",W226&lt;&gt;""),"COMPLETADO","OBSERVADO")</f>
        <v>OBSERVADO</v>
      </c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  <c r="Z227" s="185" t="str">
        <f aca="false">IF(AND(G227&lt;&gt;"",R227&lt;&gt;"",V227&lt;&gt;"",W227&lt;&gt;""),"COMPLETADO","OBSERVADO")</f>
        <v>OBSERVADO</v>
      </c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85" t="str">
        <f aca="false">IF(AND(G228&lt;&gt;"",R228&lt;&gt;"",V228&lt;&gt;"",W228&lt;&gt;""),"COMPLETADO","OBSERVADO")</f>
        <v>OBSERVADO</v>
      </c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  <c r="Z229" s="185" t="str">
        <f aca="false">IF(AND(G229&lt;&gt;"",R229&lt;&gt;"",V229&lt;&gt;"",W229&lt;&gt;""),"COMPLETADO","OBSERVADO")</f>
        <v>OBSERVADO</v>
      </c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85" t="str">
        <f aca="false">IF(AND(G230&lt;&gt;"",R230&lt;&gt;"",V230&lt;&gt;"",W230&lt;&gt;""),"COMPLETADO","OBSERVADO")</f>
        <v>OBSERVADO</v>
      </c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  <c r="Z231" s="185" t="str">
        <f aca="false">IF(AND(G231&lt;&gt;"",R231&lt;&gt;"",V231&lt;&gt;"",W231&lt;&gt;""),"COMPLETADO","OBSERVADO")</f>
        <v>OBSERVADO</v>
      </c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85" t="str">
        <f aca="false">IF(AND(G232&lt;&gt;"",R232&lt;&gt;"",V232&lt;&gt;"",W232&lt;&gt;""),"COMPLETADO","OBSERVADO")</f>
        <v>OBSERVADO</v>
      </c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  <c r="Z233" s="185" t="str">
        <f aca="false">IF(AND(G233&lt;&gt;"",R233&lt;&gt;"",V233&lt;&gt;"",W233&lt;&gt;""),"COMPLETADO","OBSERVADO")</f>
        <v>OBSERVADO</v>
      </c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85" t="str">
        <f aca="false">IF(AND(G234&lt;&gt;"",R234&lt;&gt;"",V234&lt;&gt;"",W234&lt;&gt;""),"COMPLETADO","OBSERVADO")</f>
        <v>OBSERVADO</v>
      </c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  <c r="Z235" s="185" t="str">
        <f aca="false">IF(AND(G235&lt;&gt;"",R235&lt;&gt;"",V235&lt;&gt;"",W235&lt;&gt;""),"COMPLETADO","OBSERVADO")</f>
        <v>OBSERVADO</v>
      </c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85" t="str">
        <f aca="false">IF(AND(G236&lt;&gt;"",R236&lt;&gt;"",V236&lt;&gt;"",W236&lt;&gt;""),"COMPLETADO","OBSERVADO")</f>
        <v>OBSERVADO</v>
      </c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  <c r="Z237" s="185" t="str">
        <f aca="false">IF(AND(G237&lt;&gt;"",R237&lt;&gt;"",V237&lt;&gt;"",W237&lt;&gt;""),"COMPLETADO","OBSERVADO")</f>
        <v>OBSERVADO</v>
      </c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85" t="str">
        <f aca="false">IF(AND(G238&lt;&gt;"",R238&lt;&gt;"",V238&lt;&gt;"",W238&lt;&gt;""),"COMPLETADO","OBSERVADO")</f>
        <v>OBSERVADO</v>
      </c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  <c r="Z239" s="185" t="str">
        <f aca="false">IF(AND(G239&lt;&gt;"",R239&lt;&gt;"",V239&lt;&gt;"",W239&lt;&gt;""),"COMPLETADO","OBSERVADO")</f>
        <v>OBSERVADO</v>
      </c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85" t="str">
        <f aca="false">IF(AND(G240&lt;&gt;"",R240&lt;&gt;"",V240&lt;&gt;"",W240&lt;&gt;""),"COMPLETADO","OBSERVADO")</f>
        <v>OBSERVADO</v>
      </c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  <c r="Z241" s="185" t="str">
        <f aca="false">IF(AND(G241&lt;&gt;"",R241&lt;&gt;"",V241&lt;&gt;"",W241&lt;&gt;""),"COMPLETADO","OBSERVADO")</f>
        <v>OBSERVADO</v>
      </c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85" t="str">
        <f aca="false">IF(AND(G242&lt;&gt;"",R242&lt;&gt;"",V242&lt;&gt;"",W242&lt;&gt;""),"COMPLETADO","OBSERVADO")</f>
        <v>OBSERVADO</v>
      </c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  <c r="Z243" s="185" t="str">
        <f aca="false">IF(AND(G243&lt;&gt;"",R243&lt;&gt;"",V243&lt;&gt;"",W243&lt;&gt;""),"COMPLETADO","OBSERVADO")</f>
        <v>OBSERVADO</v>
      </c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85" t="str">
        <f aca="false">IF(AND(G244&lt;&gt;"",R244&lt;&gt;"",V244&lt;&gt;"",W244&lt;&gt;""),"COMPLETADO","OBSERVADO")</f>
        <v>OBSERVADO</v>
      </c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  <c r="Z245" s="185" t="str">
        <f aca="false">IF(AND(G245&lt;&gt;"",R245&lt;&gt;"",V245&lt;&gt;"",W245&lt;&gt;""),"COMPLETADO","OBSERVADO")</f>
        <v>OBSERVADO</v>
      </c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85" t="str">
        <f aca="false">IF(AND(G246&lt;&gt;"",R246&lt;&gt;"",V246&lt;&gt;"",W246&lt;&gt;""),"COMPLETADO","OBSERVADO")</f>
        <v>OBSERVADO</v>
      </c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  <c r="Z247" s="185" t="str">
        <f aca="false">IF(AND(G247&lt;&gt;"",R247&lt;&gt;"",V247&lt;&gt;"",W247&lt;&gt;""),"COMPLETADO","OBSERVADO")</f>
        <v>OBSERVADO</v>
      </c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85" t="str">
        <f aca="false">IF(AND(G248&lt;&gt;"",R248&lt;&gt;"",V248&lt;&gt;"",W248&lt;&gt;""),"COMPLETADO","OBSERVADO")</f>
        <v>OBSERVADO</v>
      </c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  <c r="Z249" s="185" t="str">
        <f aca="false">IF(AND(G249&lt;&gt;"",R249&lt;&gt;"",V249&lt;&gt;"",W249&lt;&gt;""),"COMPLETADO","OBSERVADO")</f>
        <v>OBSERVADO</v>
      </c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85" t="str">
        <f aca="false">IF(AND(G250&lt;&gt;"",R250&lt;&gt;"",V250&lt;&gt;"",W250&lt;&gt;""),"COMPLETADO","OBSERVADO")</f>
        <v>OBSERVADO</v>
      </c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  <c r="Z251" s="185" t="str">
        <f aca="false">IF(AND(G251&lt;&gt;"",R251&lt;&gt;"",V251&lt;&gt;"",W251&lt;&gt;""),"COMPLETADO","OBSERVADO")</f>
        <v>OBSERVADO</v>
      </c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85" t="str">
        <f aca="false">IF(AND(G252&lt;&gt;"",R252&lt;&gt;"",V252&lt;&gt;"",W252&lt;&gt;""),"COMPLETADO","OBSERVADO")</f>
        <v>OBSERVADO</v>
      </c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  <c r="Z253" s="185" t="str">
        <f aca="false">IF(AND(G253&lt;&gt;"",R253&lt;&gt;"",V253&lt;&gt;"",W253&lt;&gt;""),"COMPLETADO","OBSERVADO")</f>
        <v>OBSERVADO</v>
      </c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85" t="str">
        <f aca="false">IF(AND(G254&lt;&gt;"",R254&lt;&gt;"",V254&lt;&gt;"",W254&lt;&gt;""),"COMPLETADO","OBSERVADO")</f>
        <v>OBSERVADO</v>
      </c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  <c r="Z255" s="185" t="str">
        <f aca="false">IF(AND(G255&lt;&gt;"",R255&lt;&gt;"",V255&lt;&gt;"",W255&lt;&gt;""),"COMPLETADO","OBSERVADO")</f>
        <v>OBSERVADO</v>
      </c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85" t="str">
        <f aca="false">IF(AND(G256&lt;&gt;"",R256&lt;&gt;"",V256&lt;&gt;"",W256&lt;&gt;""),"COMPLETADO","OBSERVADO")</f>
        <v>OBSERVADO</v>
      </c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  <c r="Z257" s="185" t="str">
        <f aca="false">IF(AND(G257&lt;&gt;"",R257&lt;&gt;"",V257&lt;&gt;"",W257&lt;&gt;""),"COMPLETADO","OBSERVADO")</f>
        <v>OBSERVADO</v>
      </c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85" t="str">
        <f aca="false">IF(AND(G258&lt;&gt;"",R258&lt;&gt;"",V258&lt;&gt;"",W258&lt;&gt;""),"COMPLETADO","OBSERVADO")</f>
        <v>OBSERVADO</v>
      </c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  <c r="Z259" s="185" t="str">
        <f aca="false">IF(AND(G259&lt;&gt;"",R259&lt;&gt;"",V259&lt;&gt;"",W259&lt;&gt;""),"COMPLETADO","OBSERVADO")</f>
        <v>OBSERVADO</v>
      </c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85" t="str">
        <f aca="false">IF(AND(G260&lt;&gt;"",R260&lt;&gt;"",V260&lt;&gt;"",W260&lt;&gt;""),"COMPLETADO","OBSERVADO")</f>
        <v>OBSERVADO</v>
      </c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  <c r="Z261" s="185" t="str">
        <f aca="false">IF(AND(G261&lt;&gt;"",R261&lt;&gt;"",V261&lt;&gt;"",W261&lt;&gt;""),"COMPLETADO","OBSERVADO")</f>
        <v>OBSERVADO</v>
      </c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85" t="str">
        <f aca="false">IF(AND(G262&lt;&gt;"",R262&lt;&gt;"",V262&lt;&gt;"",W262&lt;&gt;""),"COMPLETADO","OBSERVADO")</f>
        <v>OBSERVADO</v>
      </c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  <c r="Z263" s="185" t="str">
        <f aca="false">IF(AND(G263&lt;&gt;"",R263&lt;&gt;"",V263&lt;&gt;"",W263&lt;&gt;""),"COMPLETADO","OBSERVADO")</f>
        <v>OBSERVADO</v>
      </c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85" t="str">
        <f aca="false">IF(AND(G264&lt;&gt;"",R264&lt;&gt;"",V264&lt;&gt;"",W264&lt;&gt;""),"COMPLETADO","OBSERVADO")</f>
        <v>OBSERVADO</v>
      </c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  <c r="Z265" s="185" t="str">
        <f aca="false">IF(AND(G265&lt;&gt;"",R265&lt;&gt;"",V265&lt;&gt;"",W265&lt;&gt;""),"COMPLETADO","OBSERVADO")</f>
        <v>OBSERVADO</v>
      </c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85" t="str">
        <f aca="false">IF(AND(G266&lt;&gt;"",R266&lt;&gt;"",V266&lt;&gt;"",W266&lt;&gt;""),"COMPLETADO","OBSERVADO")</f>
        <v>OBSERVADO</v>
      </c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  <c r="Z267" s="185" t="str">
        <f aca="false">IF(AND(G267&lt;&gt;"",R267&lt;&gt;"",V267&lt;&gt;"",W267&lt;&gt;""),"COMPLETADO","OBSERVADO")</f>
        <v>OBSERVADO</v>
      </c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85" t="str">
        <f aca="false">IF(AND(G268&lt;&gt;"",R268&lt;&gt;"",V268&lt;&gt;"",W268&lt;&gt;""),"COMPLETADO","OBSERVADO")</f>
        <v>OBSERVADO</v>
      </c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  <c r="Z269" s="185" t="str">
        <f aca="false">IF(AND(G269&lt;&gt;"",R269&lt;&gt;"",V269&lt;&gt;"",W269&lt;&gt;""),"COMPLETADO","OBSERVADO")</f>
        <v>OBSERVADO</v>
      </c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85" t="str">
        <f aca="false">IF(AND(G270&lt;&gt;"",R270&lt;&gt;"",V270&lt;&gt;"",W270&lt;&gt;""),"COMPLETADO","OBSERVADO")</f>
        <v>OBSERVADO</v>
      </c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  <c r="Z271" s="185" t="str">
        <f aca="false">IF(AND(G271&lt;&gt;"",R271&lt;&gt;"",V271&lt;&gt;"",W271&lt;&gt;""),"COMPLETADO","OBSERVADO")</f>
        <v>OBSERVADO</v>
      </c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85" t="str">
        <f aca="false">IF(AND(G272&lt;&gt;"",R272&lt;&gt;"",V272&lt;&gt;"",W272&lt;&gt;""),"COMPLETADO","OBSERVADO")</f>
        <v>OBSERVADO</v>
      </c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  <c r="Z273" s="185" t="str">
        <f aca="false">IF(AND(G273&lt;&gt;"",R273&lt;&gt;"",V273&lt;&gt;"",W273&lt;&gt;""),"COMPLETADO","OBSERVADO")</f>
        <v>OBSERVADO</v>
      </c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85" t="str">
        <f aca="false">IF(AND(G274&lt;&gt;"",R274&lt;&gt;"",V274&lt;&gt;"",W274&lt;&gt;""),"COMPLETADO","OBSERVADO")</f>
        <v>OBSERVADO</v>
      </c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  <c r="Z275" s="185" t="str">
        <f aca="false">IF(AND(G275&lt;&gt;"",R275&lt;&gt;"",V275&lt;&gt;"",W275&lt;&gt;""),"COMPLETADO","OBSERVADO")</f>
        <v>OBSERVADO</v>
      </c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85" t="str">
        <f aca="false">IF(AND(G276&lt;&gt;"",R276&lt;&gt;"",V276&lt;&gt;"",W276&lt;&gt;""),"COMPLETADO","OBSERVADO")</f>
        <v>OBSERVADO</v>
      </c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  <c r="Z277" s="185" t="str">
        <f aca="false">IF(AND(G277&lt;&gt;"",R277&lt;&gt;"",V277&lt;&gt;"",W277&lt;&gt;""),"COMPLETADO","OBSERVADO")</f>
        <v>OBSERVADO</v>
      </c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85" t="str">
        <f aca="false">IF(AND(G278&lt;&gt;"",R278&lt;&gt;"",V278&lt;&gt;"",W278&lt;&gt;""),"COMPLETADO","OBSERVADO")</f>
        <v>OBSERVADO</v>
      </c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  <c r="Z279" s="185" t="str">
        <f aca="false">IF(AND(G279&lt;&gt;"",R279&lt;&gt;"",V279&lt;&gt;"",W279&lt;&gt;""),"COMPLETADO","OBSERVADO")</f>
        <v>OBSERVADO</v>
      </c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85" t="str">
        <f aca="false">IF(AND(G280&lt;&gt;"",R280&lt;&gt;"",V280&lt;&gt;"",W280&lt;&gt;""),"COMPLETADO","OBSERVADO")</f>
        <v>OBSERVADO</v>
      </c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  <c r="Z281" s="185" t="str">
        <f aca="false">IF(AND(G281&lt;&gt;"",R281&lt;&gt;"",V281&lt;&gt;"",W281&lt;&gt;""),"COMPLETADO","OBSERVADO")</f>
        <v>OBSERVADO</v>
      </c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85" t="str">
        <f aca="false">IF(AND(G282&lt;&gt;"",R282&lt;&gt;"",V282&lt;&gt;"",W282&lt;&gt;""),"COMPLETADO","OBSERVADO")</f>
        <v>OBSERVADO</v>
      </c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  <c r="Z283" s="185" t="str">
        <f aca="false">IF(AND(G283&lt;&gt;"",R283&lt;&gt;"",V283&lt;&gt;"",W283&lt;&gt;""),"COMPLETADO","OBSERVADO")</f>
        <v>OBSERVADO</v>
      </c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85" t="str">
        <f aca="false">IF(AND(G284&lt;&gt;"",R284&lt;&gt;"",V284&lt;&gt;"",W284&lt;&gt;""),"COMPLETADO","OBSERVADO")</f>
        <v>OBSERVADO</v>
      </c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  <c r="Z285" s="185" t="str">
        <f aca="false">IF(AND(G285&lt;&gt;"",R285&lt;&gt;"",V285&lt;&gt;"",W285&lt;&gt;""),"COMPLETADO","OBSERVADO")</f>
        <v>OBSERVADO</v>
      </c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85" t="str">
        <f aca="false">IF(AND(G286&lt;&gt;"",R286&lt;&gt;"",V286&lt;&gt;"",W286&lt;&gt;""),"COMPLETADO","OBSERVADO")</f>
        <v>OBSERVADO</v>
      </c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  <c r="Z287" s="185" t="str">
        <f aca="false">IF(AND(G287&lt;&gt;"",R287&lt;&gt;"",V287&lt;&gt;"",W287&lt;&gt;""),"COMPLETADO","OBSERVADO")</f>
        <v>OBSERVADO</v>
      </c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85" t="str">
        <f aca="false">IF(AND(G288&lt;&gt;"",R288&lt;&gt;"",V288&lt;&gt;"",W288&lt;&gt;""),"COMPLETADO","OBSERVADO")</f>
        <v>OBSERVADO</v>
      </c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  <c r="Z289" s="185" t="str">
        <f aca="false">IF(AND(G289&lt;&gt;"",R289&lt;&gt;"",V289&lt;&gt;"",W289&lt;&gt;""),"COMPLETADO","OBSERVADO")</f>
        <v>OBSERVADO</v>
      </c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85" t="str">
        <f aca="false">IF(AND(G290&lt;&gt;"",R290&lt;&gt;"",V290&lt;&gt;"",W290&lt;&gt;""),"COMPLETADO","OBSERVADO")</f>
        <v>OBSERVADO</v>
      </c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  <c r="Z291" s="185" t="str">
        <f aca="false">IF(AND(G291&lt;&gt;"",R291&lt;&gt;"",V291&lt;&gt;"",W291&lt;&gt;""),"COMPLETADO","OBSERVADO")</f>
        <v>OBSERVADO</v>
      </c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85" t="str">
        <f aca="false">IF(AND(G292&lt;&gt;"",R292&lt;&gt;"",V292&lt;&gt;"",W292&lt;&gt;""),"COMPLETADO","OBSERVADO")</f>
        <v>OBSERVADO</v>
      </c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  <c r="Z293" s="185" t="str">
        <f aca="false">IF(AND(G293&lt;&gt;"",R293&lt;&gt;"",V293&lt;&gt;"",W293&lt;&gt;""),"COMPLETADO","OBSERVADO")</f>
        <v>OBSERVADO</v>
      </c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85" t="str">
        <f aca="false">IF(AND(G294&lt;&gt;"",R294&lt;&gt;"",V294&lt;&gt;"",W294&lt;&gt;""),"COMPLETADO","OBSERVADO")</f>
        <v>OBSERVADO</v>
      </c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  <c r="Z295" s="185" t="str">
        <f aca="false">IF(AND(G295&lt;&gt;"",R295&lt;&gt;"",V295&lt;&gt;"",W295&lt;&gt;""),"COMPLETADO","OBSERVADO")</f>
        <v>OBSERVADO</v>
      </c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85" t="str">
        <f aca="false">IF(AND(G296&lt;&gt;"",R296&lt;&gt;"",V296&lt;&gt;"",W296&lt;&gt;""),"COMPLETADO","OBSERVADO")</f>
        <v>OBSERVADO</v>
      </c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  <c r="Z297" s="185" t="str">
        <f aca="false">IF(AND(G297&lt;&gt;"",R297&lt;&gt;"",V297&lt;&gt;"",W297&lt;&gt;""),"COMPLETADO","OBSERVADO")</f>
        <v>OBSERVADO</v>
      </c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85" t="str">
        <f aca="false">IF(AND(G298&lt;&gt;"",R298&lt;&gt;"",V298&lt;&gt;"",W298&lt;&gt;""),"COMPLETADO","OBSERVADO")</f>
        <v>OBSERVADO</v>
      </c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  <c r="Z299" s="185" t="str">
        <f aca="false">IF(AND(G299&lt;&gt;"",R299&lt;&gt;"",V299&lt;&gt;"",W299&lt;&gt;""),"COMPLETADO","OBSERVADO")</f>
        <v>OBSERVADO</v>
      </c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85" t="str">
        <f aca="false">IF(AND(G300&lt;&gt;"",R300&lt;&gt;"",V300&lt;&gt;"",W300&lt;&gt;""),"COMPLETADO","OBSERVADO")</f>
        <v>OBSERVADO</v>
      </c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  <c r="Z301" s="185" t="str">
        <f aca="false">IF(AND(G301&lt;&gt;"",R301&lt;&gt;"",V301&lt;&gt;"",W301&lt;&gt;""),"COMPLETADO","OBSERVADO")</f>
        <v>OBSERVADO</v>
      </c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85" t="str">
        <f aca="false">IF(AND(G302&lt;&gt;"",R302&lt;&gt;"",V302&lt;&gt;"",W302&lt;&gt;""),"COMPLETADO","OBSERVADO")</f>
        <v>OBSERVADO</v>
      </c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  <c r="Z303" s="185" t="str">
        <f aca="false">IF(AND(G303&lt;&gt;"",R303&lt;&gt;"",V303&lt;&gt;"",W303&lt;&gt;""),"COMPLETADO","OBSERVADO")</f>
        <v>OBSERVADO</v>
      </c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85" t="str">
        <f aca="false">IF(AND(G304&lt;&gt;"",R304&lt;&gt;"",V304&lt;&gt;"",W304&lt;&gt;""),"COMPLETADO","OBSERVADO")</f>
        <v>OBSERVADO</v>
      </c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  <c r="Z305" s="185" t="str">
        <f aca="false">IF(AND(G305&lt;&gt;"",R305&lt;&gt;"",V305&lt;&gt;"",W305&lt;&gt;""),"COMPLETADO","OBSERVADO")</f>
        <v>OBSERVADO</v>
      </c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85" t="str">
        <f aca="false">IF(AND(G306&lt;&gt;"",R306&lt;&gt;"",V306&lt;&gt;"",W306&lt;&gt;""),"COMPLETADO","OBSERVADO")</f>
        <v>OBSERVADO</v>
      </c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  <c r="Z307" s="185" t="str">
        <f aca="false">IF(AND(G307&lt;&gt;"",R307&lt;&gt;"",V307&lt;&gt;"",W307&lt;&gt;""),"COMPLETADO","OBSERVADO")</f>
        <v>OBSERVADO</v>
      </c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85" t="str">
        <f aca="false">IF(AND(G308&lt;&gt;"",R308&lt;&gt;"",V308&lt;&gt;"",W308&lt;&gt;""),"COMPLETADO","OBSERVADO")</f>
        <v>OBSERVADO</v>
      </c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  <c r="Z309" s="185" t="str">
        <f aca="false">IF(AND(G309&lt;&gt;"",R309&lt;&gt;"",V309&lt;&gt;"",W309&lt;&gt;""),"COMPLETADO","OBSERVADO")</f>
        <v>OBSERVADO</v>
      </c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85" t="str">
        <f aca="false">IF(AND(G310&lt;&gt;"",R310&lt;&gt;"",V310&lt;&gt;"",W310&lt;&gt;""),"COMPLETADO","OBSERVADO")</f>
        <v>OBSERVADO</v>
      </c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  <c r="Z311" s="185" t="str">
        <f aca="false">IF(AND(G311&lt;&gt;"",R311&lt;&gt;"",V311&lt;&gt;"",W311&lt;&gt;""),"COMPLETADO","OBSERVADO")</f>
        <v>OBSERVADO</v>
      </c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85" t="str">
        <f aca="false">IF(AND(G312&lt;&gt;"",R312&lt;&gt;"",V312&lt;&gt;"",W312&lt;&gt;""),"COMPLETADO","OBSERVADO")</f>
        <v>OBSERVADO</v>
      </c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  <c r="Z313" s="185" t="str">
        <f aca="false">IF(AND(G313&lt;&gt;"",R313&lt;&gt;"",V313&lt;&gt;"",W313&lt;&gt;""),"COMPLETADO","OBSERVADO")</f>
        <v>OBSERVADO</v>
      </c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85" t="str">
        <f aca="false">IF(AND(G314&lt;&gt;"",R314&lt;&gt;"",V314&lt;&gt;"",W314&lt;&gt;""),"COMPLETADO","OBSERVADO")</f>
        <v>OBSERVADO</v>
      </c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  <c r="Z315" s="185" t="str">
        <f aca="false">IF(AND(G315&lt;&gt;"",R315&lt;&gt;"",V315&lt;&gt;"",W315&lt;&gt;""),"COMPLETADO","OBSERVADO")</f>
        <v>OBSERVADO</v>
      </c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85" t="str">
        <f aca="false">IF(AND(G316&lt;&gt;"",R316&lt;&gt;"",V316&lt;&gt;"",W316&lt;&gt;""),"COMPLETADO","OBSERVADO")</f>
        <v>OBSERVADO</v>
      </c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  <c r="Z317" s="185" t="str">
        <f aca="false">IF(AND(G317&lt;&gt;"",R317&lt;&gt;"",V317&lt;&gt;"",W317&lt;&gt;""),"COMPLETADO","OBSERVADO")</f>
        <v>OBSERVADO</v>
      </c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85" t="str">
        <f aca="false">IF(AND(G318&lt;&gt;"",R318&lt;&gt;"",V318&lt;&gt;"",W318&lt;&gt;""),"COMPLETADO","OBSERVADO")</f>
        <v>OBSERVADO</v>
      </c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  <c r="Z319" s="185" t="str">
        <f aca="false">IF(AND(G319&lt;&gt;"",R319&lt;&gt;"",V319&lt;&gt;"",W319&lt;&gt;""),"COMPLETADO","OBSERVADO")</f>
        <v>OBSERVADO</v>
      </c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85" t="str">
        <f aca="false">IF(AND(G320&lt;&gt;"",R320&lt;&gt;"",V320&lt;&gt;"",W320&lt;&gt;""),"COMPLETADO","OBSERVADO")</f>
        <v>OBSERVADO</v>
      </c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  <c r="Z321" s="185" t="str">
        <f aca="false">IF(AND(G321&lt;&gt;"",R321&lt;&gt;"",V321&lt;&gt;"",W321&lt;&gt;""),"COMPLETADO","OBSERVADO")</f>
        <v>OBSERVADO</v>
      </c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85" t="str">
        <f aca="false">IF(AND(G322&lt;&gt;"",R322&lt;&gt;"",V322&lt;&gt;"",W322&lt;&gt;""),"COMPLETADO","OBSERVADO")</f>
        <v>OBSERVADO</v>
      </c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  <c r="Z323" s="185" t="str">
        <f aca="false">IF(AND(G323&lt;&gt;"",R323&lt;&gt;"",V323&lt;&gt;"",W323&lt;&gt;""),"COMPLETADO","OBSERVADO")</f>
        <v>OBSERVADO</v>
      </c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85" t="str">
        <f aca="false">IF(AND(G324&lt;&gt;"",R324&lt;&gt;"",V324&lt;&gt;"",W324&lt;&gt;""),"COMPLETADO","OBSERVADO")</f>
        <v>OBSERVADO</v>
      </c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  <c r="Z325" s="185" t="str">
        <f aca="false">IF(AND(G325&lt;&gt;"",R325&lt;&gt;"",V325&lt;&gt;"",W325&lt;&gt;""),"COMPLETADO","OBSERVADO")</f>
        <v>OBSERVADO</v>
      </c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85" t="str">
        <f aca="false">IF(AND(G326&lt;&gt;"",R326&lt;&gt;"",V326&lt;&gt;"",W326&lt;&gt;""),"COMPLETADO","OBSERVADO")</f>
        <v>OBSERVADO</v>
      </c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  <c r="Z327" s="185" t="str">
        <f aca="false">IF(AND(G327&lt;&gt;"",R327&lt;&gt;"",V327&lt;&gt;"",W327&lt;&gt;""),"COMPLETADO","OBSERVADO")</f>
        <v>OBSERVADO</v>
      </c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85" t="str">
        <f aca="false">IF(AND(G328&lt;&gt;"",R328&lt;&gt;"",V328&lt;&gt;"",W328&lt;&gt;""),"COMPLETADO","OBSERVADO")</f>
        <v>OBSERVADO</v>
      </c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  <c r="Z329" s="185" t="str">
        <f aca="false">IF(AND(G329&lt;&gt;"",R329&lt;&gt;"",V329&lt;&gt;"",W329&lt;&gt;""),"COMPLETADO","OBSERVADO")</f>
        <v>OBSERVADO</v>
      </c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85" t="str">
        <f aca="false">IF(AND(G330&lt;&gt;"",R330&lt;&gt;"",V330&lt;&gt;"",W330&lt;&gt;""),"COMPLETADO","OBSERVADO")</f>
        <v>OBSERVADO</v>
      </c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  <c r="Z331" s="185" t="str">
        <f aca="false">IF(AND(G331&lt;&gt;"",R331&lt;&gt;"",V331&lt;&gt;"",W331&lt;&gt;""),"COMPLETADO","OBSERVADO")</f>
        <v>OBSERVADO</v>
      </c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85" t="str">
        <f aca="false">IF(AND(G332&lt;&gt;"",R332&lt;&gt;"",V332&lt;&gt;"",W332&lt;&gt;""),"COMPLETADO","OBSERVADO")</f>
        <v>OBSERVADO</v>
      </c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  <c r="Z333" s="185" t="str">
        <f aca="false">IF(AND(G333&lt;&gt;"",R333&lt;&gt;"",V333&lt;&gt;"",W333&lt;&gt;""),"COMPLETADO","OBSERVADO")</f>
        <v>OBSERVADO</v>
      </c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85" t="str">
        <f aca="false">IF(AND(G334&lt;&gt;"",R334&lt;&gt;"",V334&lt;&gt;"",W334&lt;&gt;""),"COMPLETADO","OBSERVADO")</f>
        <v>OBSERVADO</v>
      </c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  <c r="Z335" s="185" t="str">
        <f aca="false">IF(AND(G335&lt;&gt;"",R335&lt;&gt;"",V335&lt;&gt;"",W335&lt;&gt;""),"COMPLETADO","OBSERVADO")</f>
        <v>OBSERVADO</v>
      </c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85" t="str">
        <f aca="false">IF(AND(G336&lt;&gt;"",R336&lt;&gt;"",V336&lt;&gt;"",W336&lt;&gt;""),"COMPLETADO","OBSERVADO")</f>
        <v>OBSERVADO</v>
      </c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  <c r="Z337" s="185" t="str">
        <f aca="false">IF(AND(G337&lt;&gt;"",R337&lt;&gt;"",V337&lt;&gt;"",W337&lt;&gt;""),"COMPLETADO","OBSERVADO")</f>
        <v>OBSERVADO</v>
      </c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85" t="str">
        <f aca="false">IF(AND(G338&lt;&gt;"",R338&lt;&gt;"",V338&lt;&gt;"",W338&lt;&gt;""),"COMPLETADO","OBSERVADO")</f>
        <v>OBSERVADO</v>
      </c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  <c r="Z339" s="185" t="str">
        <f aca="false">IF(AND(G339&lt;&gt;"",R339&lt;&gt;"",V339&lt;&gt;"",W339&lt;&gt;""),"COMPLETADO","OBSERVADO")</f>
        <v>OBSERVADO</v>
      </c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85" t="str">
        <f aca="false">IF(AND(G340&lt;&gt;"",R340&lt;&gt;"",V340&lt;&gt;"",W340&lt;&gt;""),"COMPLETADO","OBSERVADO")</f>
        <v>OBSERVADO</v>
      </c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  <c r="Z341" s="185" t="str">
        <f aca="false">IF(AND(G341&lt;&gt;"",R341&lt;&gt;"",V341&lt;&gt;"",W341&lt;&gt;""),"COMPLETADO","OBSERVADO")</f>
        <v>OBSERVADO</v>
      </c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85" t="str">
        <f aca="false">IF(AND(G342&lt;&gt;"",R342&lt;&gt;"",V342&lt;&gt;"",W342&lt;&gt;""),"COMPLETADO","OBSERVADO")</f>
        <v>OBSERVADO</v>
      </c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  <c r="Z343" s="185" t="str">
        <f aca="false">IF(AND(G343&lt;&gt;"",R343&lt;&gt;"",V343&lt;&gt;"",W343&lt;&gt;""),"COMPLETADO","OBSERVADO")</f>
        <v>OBSERVADO</v>
      </c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85" t="str">
        <f aca="false">IF(AND(G344&lt;&gt;"",R344&lt;&gt;"",V344&lt;&gt;"",W344&lt;&gt;""),"COMPLETADO","OBSERVADO")</f>
        <v>OBSERVADO</v>
      </c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  <c r="Z345" s="185" t="str">
        <f aca="false">IF(AND(G345&lt;&gt;"",R345&lt;&gt;"",V345&lt;&gt;"",W345&lt;&gt;""),"COMPLETADO","OBSERVADO")</f>
        <v>OBSERVADO</v>
      </c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85" t="str">
        <f aca="false">IF(AND(G346&lt;&gt;"",R346&lt;&gt;"",V346&lt;&gt;"",W346&lt;&gt;""),"COMPLETADO","OBSERVADO")</f>
        <v>OBSERVADO</v>
      </c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  <c r="Z347" s="185" t="str">
        <f aca="false">IF(AND(G347&lt;&gt;"",R347&lt;&gt;"",V347&lt;&gt;"",W347&lt;&gt;""),"COMPLETADO","OBSERVADO")</f>
        <v>OBSERVADO</v>
      </c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85" t="str">
        <f aca="false">IF(AND(G348&lt;&gt;"",R348&lt;&gt;"",V348&lt;&gt;"",W348&lt;&gt;""),"COMPLETADO","OBSERVADO")</f>
        <v>OBSERVADO</v>
      </c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  <c r="Z349" s="185" t="str">
        <f aca="false">IF(AND(G349&lt;&gt;"",R349&lt;&gt;"",V349&lt;&gt;"",W349&lt;&gt;""),"COMPLETADO","OBSERVADO")</f>
        <v>OBSERVADO</v>
      </c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85" t="str">
        <f aca="false">IF(AND(G350&lt;&gt;"",R350&lt;&gt;"",V350&lt;&gt;"",W350&lt;&gt;""),"COMPLETADO","OBSERVADO")</f>
        <v>OBSERVADO</v>
      </c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  <c r="Z351" s="185" t="str">
        <f aca="false">IF(AND(G351&lt;&gt;"",R351&lt;&gt;"",V351&lt;&gt;"",W351&lt;&gt;""),"COMPLETADO","OBSERVADO")</f>
        <v>OBSERVADO</v>
      </c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85" t="str">
        <f aca="false">IF(AND(G352&lt;&gt;"",R352&lt;&gt;"",V352&lt;&gt;"",W352&lt;&gt;""),"COMPLETADO","OBSERVADO")</f>
        <v>OBSERVADO</v>
      </c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  <c r="Z353" s="185" t="str">
        <f aca="false">IF(AND(G353&lt;&gt;"",R353&lt;&gt;"",V353&lt;&gt;"",W353&lt;&gt;""),"COMPLETADO","OBSERVADO")</f>
        <v>OBSERVADO</v>
      </c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85" t="str">
        <f aca="false">IF(AND(G354&lt;&gt;"",R354&lt;&gt;"",V354&lt;&gt;"",W354&lt;&gt;""),"COMPLETADO","OBSERVADO")</f>
        <v>OBSERVADO</v>
      </c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  <c r="Z355" s="185" t="str">
        <f aca="false">IF(AND(G355&lt;&gt;"",R355&lt;&gt;"",V355&lt;&gt;"",W355&lt;&gt;""),"COMPLETADO","OBSERVADO")</f>
        <v>OBSERVADO</v>
      </c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85" t="str">
        <f aca="false">IF(AND(G356&lt;&gt;"",R356&lt;&gt;"",V356&lt;&gt;"",W356&lt;&gt;""),"COMPLETADO","OBSERVADO")</f>
        <v>OBSERVADO</v>
      </c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  <c r="Z357" s="185" t="str">
        <f aca="false">IF(AND(G357&lt;&gt;"",R357&lt;&gt;"",V357&lt;&gt;"",W357&lt;&gt;""),"COMPLETADO","OBSERVADO")</f>
        <v>OBSERVADO</v>
      </c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85" t="str">
        <f aca="false">IF(AND(G358&lt;&gt;"",R358&lt;&gt;"",V358&lt;&gt;"",W358&lt;&gt;""),"COMPLETADO","OBSERVADO")</f>
        <v>OBSERVADO</v>
      </c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  <c r="Z359" s="185" t="str">
        <f aca="false">IF(AND(G359&lt;&gt;"",R359&lt;&gt;"",V359&lt;&gt;"",W359&lt;&gt;""),"COMPLETADO","OBSERVADO")</f>
        <v>OBSERVADO</v>
      </c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85" t="str">
        <f aca="false">IF(AND(G360&lt;&gt;"",R360&lt;&gt;"",V360&lt;&gt;"",W360&lt;&gt;""),"COMPLETADO","OBSERVADO")</f>
        <v>OBSERVADO</v>
      </c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  <c r="Z361" s="185" t="str">
        <f aca="false">IF(AND(G361&lt;&gt;"",R361&lt;&gt;"",V361&lt;&gt;"",W361&lt;&gt;""),"COMPLETADO","OBSERVADO")</f>
        <v>OBSERVADO</v>
      </c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85" t="str">
        <f aca="false">IF(AND(G362&lt;&gt;"",R362&lt;&gt;"",V362&lt;&gt;"",W362&lt;&gt;""),"COMPLETADO","OBSERVADO")</f>
        <v>OBSERVADO</v>
      </c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  <c r="Z363" s="185" t="str">
        <f aca="false">IF(AND(G363&lt;&gt;"",R363&lt;&gt;"",V363&lt;&gt;"",W363&lt;&gt;""),"COMPLETADO","OBSERVADO")</f>
        <v>OBSERVADO</v>
      </c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85" t="str">
        <f aca="false">IF(AND(G364&lt;&gt;"",R364&lt;&gt;"",V364&lt;&gt;"",W364&lt;&gt;""),"COMPLETADO","OBSERVADO")</f>
        <v>OBSERVADO</v>
      </c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  <c r="Z365" s="185" t="str">
        <f aca="false">IF(AND(G365&lt;&gt;"",R365&lt;&gt;"",V365&lt;&gt;"",W365&lt;&gt;""),"COMPLETADO","OBSERVADO")</f>
        <v>OBSERVADO</v>
      </c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85" t="str">
        <f aca="false">IF(AND(G366&lt;&gt;"",R366&lt;&gt;"",V366&lt;&gt;"",W366&lt;&gt;""),"COMPLETADO","OBSERVADO")</f>
        <v>OBSERVADO</v>
      </c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  <c r="Z367" s="185" t="str">
        <f aca="false">IF(AND(G367&lt;&gt;"",R367&lt;&gt;"",V367&lt;&gt;"",W367&lt;&gt;""),"COMPLETADO","OBSERVADO")</f>
        <v>OBSERVADO</v>
      </c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85" t="str">
        <f aca="false">IF(AND(G368&lt;&gt;"",R368&lt;&gt;"",V368&lt;&gt;"",W368&lt;&gt;""),"COMPLETADO","OBSERVADO")</f>
        <v>OBSERVADO</v>
      </c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  <c r="Z369" s="185" t="str">
        <f aca="false">IF(AND(G369&lt;&gt;"",R369&lt;&gt;"",V369&lt;&gt;"",W369&lt;&gt;""),"COMPLETADO","OBSERVADO")</f>
        <v>OBSERVADO</v>
      </c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85" t="str">
        <f aca="false">IF(AND(G370&lt;&gt;"",R370&lt;&gt;"",V370&lt;&gt;"",W370&lt;&gt;""),"COMPLETADO","OBSERVADO")</f>
        <v>OBSERVADO</v>
      </c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  <c r="Z371" s="185" t="str">
        <f aca="false">IF(AND(G371&lt;&gt;"",R371&lt;&gt;"",V371&lt;&gt;"",W371&lt;&gt;""),"COMPLETADO","OBSERVADO")</f>
        <v>OBSERVADO</v>
      </c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85" t="str">
        <f aca="false">IF(AND(G372&lt;&gt;"",R372&lt;&gt;"",V372&lt;&gt;"",W372&lt;&gt;""),"COMPLETADO","OBSERVADO")</f>
        <v>OBSERVADO</v>
      </c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  <c r="Z373" s="185" t="str">
        <f aca="false">IF(AND(G373&lt;&gt;"",R373&lt;&gt;"",V373&lt;&gt;"",W373&lt;&gt;""),"COMPLETADO","OBSERVADO")</f>
        <v>OBSERVADO</v>
      </c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85" t="str">
        <f aca="false">IF(AND(G374&lt;&gt;"",R374&lt;&gt;"",V374&lt;&gt;"",W374&lt;&gt;""),"COMPLETADO","OBSERVADO")</f>
        <v>OBSERVADO</v>
      </c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  <c r="Z375" s="185" t="str">
        <f aca="false">IF(AND(G375&lt;&gt;"",R375&lt;&gt;"",V375&lt;&gt;"",W375&lt;&gt;""),"COMPLETADO","OBSERVADO")</f>
        <v>OBSERVADO</v>
      </c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85" t="str">
        <f aca="false">IF(AND(G376&lt;&gt;"",R376&lt;&gt;"",V376&lt;&gt;"",W376&lt;&gt;""),"COMPLETADO","OBSERVADO")</f>
        <v>OBSERVADO</v>
      </c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  <c r="Z377" s="185" t="str">
        <f aca="false">IF(AND(G377&lt;&gt;"",R377&lt;&gt;"",V377&lt;&gt;"",W377&lt;&gt;""),"COMPLETADO","OBSERVADO")</f>
        <v>OBSERVADO</v>
      </c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85" t="str">
        <f aca="false">IF(AND(G378&lt;&gt;"",R378&lt;&gt;"",V378&lt;&gt;"",W378&lt;&gt;""),"COMPLETADO","OBSERVADO")</f>
        <v>OBSERVADO</v>
      </c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  <c r="Z379" s="185" t="str">
        <f aca="false">IF(AND(G379&lt;&gt;"",R379&lt;&gt;"",V379&lt;&gt;"",W379&lt;&gt;""),"COMPLETADO","OBSERVADO")</f>
        <v>OBSERVADO</v>
      </c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85" t="str">
        <f aca="false">IF(AND(G380&lt;&gt;"",R380&lt;&gt;"",V380&lt;&gt;"",W380&lt;&gt;""),"COMPLETADO","OBSERVADO")</f>
        <v>OBSERVADO</v>
      </c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  <c r="Z381" s="185" t="str">
        <f aca="false">IF(AND(G381&lt;&gt;"",R381&lt;&gt;"",V381&lt;&gt;"",W381&lt;&gt;""),"COMPLETADO","OBSERVADO")</f>
        <v>OBSERVADO</v>
      </c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85" t="str">
        <f aca="false">IF(AND(G382&lt;&gt;"",R382&lt;&gt;"",V382&lt;&gt;"",W382&lt;&gt;""),"COMPLETADO","OBSERVADO")</f>
        <v>OBSERVADO</v>
      </c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  <c r="Z383" s="185" t="str">
        <f aca="false">IF(AND(G383&lt;&gt;"",R383&lt;&gt;"",V383&lt;&gt;"",W383&lt;&gt;""),"COMPLETADO","OBSERVADO")</f>
        <v>OBSERVADO</v>
      </c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85" t="str">
        <f aca="false">IF(AND(G384&lt;&gt;"",R384&lt;&gt;"",V384&lt;&gt;"",W384&lt;&gt;""),"COMPLETADO","OBSERVADO")</f>
        <v>OBSERVADO</v>
      </c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  <c r="Z385" s="185" t="str">
        <f aca="false">IF(AND(G385&lt;&gt;"",R385&lt;&gt;"",V385&lt;&gt;"",W385&lt;&gt;""),"COMPLETADO","OBSERVADO")</f>
        <v>OBSERVADO</v>
      </c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85" t="str">
        <f aca="false">IF(AND(G386&lt;&gt;"",R386&lt;&gt;"",V386&lt;&gt;"",W386&lt;&gt;""),"COMPLETADO","OBSERVADO")</f>
        <v>OBSERVADO</v>
      </c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  <c r="Z387" s="185" t="str">
        <f aca="false">IF(AND(G387&lt;&gt;"",R387&lt;&gt;"",V387&lt;&gt;"",W387&lt;&gt;""),"COMPLETADO","OBSERVADO")</f>
        <v>OBSERVADO</v>
      </c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85" t="str">
        <f aca="false">IF(AND(G388&lt;&gt;"",R388&lt;&gt;"",V388&lt;&gt;"",W388&lt;&gt;""),"COMPLETADO","OBSERVADO")</f>
        <v>OBSERVADO</v>
      </c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  <c r="Z389" s="185" t="str">
        <f aca="false">IF(AND(G389&lt;&gt;"",R389&lt;&gt;"",V389&lt;&gt;"",W389&lt;&gt;""),"COMPLETADO","OBSERVADO")</f>
        <v>OBSERVADO</v>
      </c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85" t="str">
        <f aca="false">IF(AND(G390&lt;&gt;"",R390&lt;&gt;"",V390&lt;&gt;"",W390&lt;&gt;""),"COMPLETADO","OBSERVADO")</f>
        <v>OBSERVADO</v>
      </c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  <c r="Z391" s="185" t="str">
        <f aca="false">IF(AND(G391&lt;&gt;"",R391&lt;&gt;"",V391&lt;&gt;"",W391&lt;&gt;""),"COMPLETADO","OBSERVADO")</f>
        <v>OBSERVADO</v>
      </c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85" t="str">
        <f aca="false">IF(AND(G392&lt;&gt;"",R392&lt;&gt;"",V392&lt;&gt;"",W392&lt;&gt;""),"COMPLETADO","OBSERVADO")</f>
        <v>OBSERVADO</v>
      </c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  <c r="Z393" s="185" t="str">
        <f aca="false">IF(AND(G393&lt;&gt;"",R393&lt;&gt;"",V393&lt;&gt;"",W393&lt;&gt;""),"COMPLETADO","OBSERVADO")</f>
        <v>OBSERVADO</v>
      </c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85" t="str">
        <f aca="false">IF(AND(G394&lt;&gt;"",R394&lt;&gt;"",V394&lt;&gt;"",W394&lt;&gt;""),"COMPLETADO","OBSERVADO")</f>
        <v>OBSERVADO</v>
      </c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  <c r="Z395" s="185" t="str">
        <f aca="false">IF(AND(G395&lt;&gt;"",R395&lt;&gt;"",V395&lt;&gt;"",W395&lt;&gt;""),"COMPLETADO","OBSERVADO")</f>
        <v>OBSERVADO</v>
      </c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85" t="str">
        <f aca="false">IF(AND(G396&lt;&gt;"",R396&lt;&gt;"",V396&lt;&gt;"",W396&lt;&gt;""),"COMPLETADO","OBSERVADO")</f>
        <v>OBSERVADO</v>
      </c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  <c r="Z397" s="185" t="str">
        <f aca="false">IF(AND(G397&lt;&gt;"",R397&lt;&gt;"",V397&lt;&gt;"",W397&lt;&gt;""),"COMPLETADO","OBSERVADO")</f>
        <v>OBSERVADO</v>
      </c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85" t="str">
        <f aca="false">IF(AND(G398&lt;&gt;"",R398&lt;&gt;"",V398&lt;&gt;"",W398&lt;&gt;""),"COMPLETADO","OBSERVADO")</f>
        <v>OBSERVADO</v>
      </c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  <c r="Z399" s="185" t="str">
        <f aca="false">IF(AND(G399&lt;&gt;"",R399&lt;&gt;"",V399&lt;&gt;"",W399&lt;&gt;""),"COMPLETADO","OBSERVADO")</f>
        <v>OBSERVADO</v>
      </c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85" t="str">
        <f aca="false">IF(AND(G400&lt;&gt;"",R400&lt;&gt;"",V400&lt;&gt;"",W400&lt;&gt;""),"COMPLETADO","OBSERVADO")</f>
        <v>OBSERVADO</v>
      </c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  <c r="Z401" s="185" t="str">
        <f aca="false">IF(AND(G401&lt;&gt;"",R401&lt;&gt;"",V401&lt;&gt;"",W401&lt;&gt;""),"COMPLETADO","OBSERVADO")</f>
        <v>OBSERVADO</v>
      </c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85" t="str">
        <f aca="false">IF(AND(G402&lt;&gt;"",R402&lt;&gt;"",V402&lt;&gt;"",W402&lt;&gt;""),"COMPLETADO","OBSERVADO")</f>
        <v>OBSERVADO</v>
      </c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  <c r="Z403" s="185" t="str">
        <f aca="false">IF(AND(G403&lt;&gt;"",R403&lt;&gt;"",V403&lt;&gt;"",W403&lt;&gt;""),"COMPLETADO","OBSERVADO")</f>
        <v>OBSERVADO</v>
      </c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85" t="str">
        <f aca="false">IF(AND(G404&lt;&gt;"",R404&lt;&gt;"",V404&lt;&gt;"",W404&lt;&gt;""),"COMPLETADO","OBSERVADO")</f>
        <v>OBSERVADO</v>
      </c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  <c r="Z405" s="185" t="str">
        <f aca="false">IF(AND(G405&lt;&gt;"",R405&lt;&gt;"",V405&lt;&gt;"",W405&lt;&gt;""),"COMPLETADO","OBSERVADO")</f>
        <v>OBSERVADO</v>
      </c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85" t="str">
        <f aca="false">IF(AND(G406&lt;&gt;"",R406&lt;&gt;"",V406&lt;&gt;"",W406&lt;&gt;""),"COMPLETADO","OBSERVADO")</f>
        <v>OBSERVADO</v>
      </c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  <c r="Z407" s="185" t="str">
        <f aca="false">IF(AND(G407&lt;&gt;"",R407&lt;&gt;"",V407&lt;&gt;"",W407&lt;&gt;""),"COMPLETADO","OBSERVADO")</f>
        <v>OBSERVADO</v>
      </c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85" t="str">
        <f aca="false">IF(AND(G408&lt;&gt;"",R408&lt;&gt;"",V408&lt;&gt;"",W408&lt;&gt;""),"COMPLETADO","OBSERVADO")</f>
        <v>OBSERVADO</v>
      </c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  <c r="Z409" s="185" t="str">
        <f aca="false">IF(AND(G409&lt;&gt;"",R409&lt;&gt;"",V409&lt;&gt;"",W409&lt;&gt;""),"COMPLETADO","OBSERVADO")</f>
        <v>OBSERVADO</v>
      </c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85" t="str">
        <f aca="false">IF(AND(G410&lt;&gt;"",R410&lt;&gt;"",V410&lt;&gt;"",W410&lt;&gt;""),"COMPLETADO","OBSERVADO")</f>
        <v>OBSERVADO</v>
      </c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  <c r="Z411" s="185" t="str">
        <f aca="false">IF(AND(G411&lt;&gt;"",R411&lt;&gt;"",V411&lt;&gt;"",W411&lt;&gt;""),"COMPLETADO","OBSERVADO")</f>
        <v>OBSERVADO</v>
      </c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85" t="str">
        <f aca="false">IF(AND(G412&lt;&gt;"",R412&lt;&gt;"",V412&lt;&gt;"",W412&lt;&gt;""),"COMPLETADO","OBSERVADO")</f>
        <v>OBSERVADO</v>
      </c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  <c r="Z413" s="185" t="str">
        <f aca="false">IF(AND(G413&lt;&gt;"",R413&lt;&gt;"",V413&lt;&gt;"",W413&lt;&gt;""),"COMPLETADO","OBSERVADO")</f>
        <v>OBSERVADO</v>
      </c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85" t="str">
        <f aca="false">IF(AND(G414&lt;&gt;"",R414&lt;&gt;"",V414&lt;&gt;"",W414&lt;&gt;""),"COMPLETADO","OBSERVADO")</f>
        <v>OBSERVADO</v>
      </c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  <c r="Z415" s="185" t="str">
        <f aca="false">IF(AND(G415&lt;&gt;"",R415&lt;&gt;"",V415&lt;&gt;"",W415&lt;&gt;""),"COMPLETADO","OBSERVADO")</f>
        <v>OBSERVADO</v>
      </c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85" t="str">
        <f aca="false">IF(AND(G416&lt;&gt;"",R416&lt;&gt;"",V416&lt;&gt;"",W416&lt;&gt;""),"COMPLETADO","OBSERVADO")</f>
        <v>OBSERVADO</v>
      </c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  <c r="Z417" s="185" t="str">
        <f aca="false">IF(AND(G417&lt;&gt;"",R417&lt;&gt;"",V417&lt;&gt;"",W417&lt;&gt;""),"COMPLETADO","OBSERVADO")</f>
        <v>OBSERVADO</v>
      </c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85" t="str">
        <f aca="false">IF(AND(G418&lt;&gt;"",R418&lt;&gt;"",V418&lt;&gt;"",W418&lt;&gt;""),"COMPLETADO","OBSERVADO")</f>
        <v>OBSERVADO</v>
      </c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  <c r="Z419" s="185" t="str">
        <f aca="false">IF(AND(G419&lt;&gt;"",R419&lt;&gt;"",V419&lt;&gt;"",W419&lt;&gt;""),"COMPLETADO","OBSERVADO")</f>
        <v>OBSERVADO</v>
      </c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85" t="str">
        <f aca="false">IF(AND(G420&lt;&gt;"",R420&lt;&gt;"",V420&lt;&gt;"",W420&lt;&gt;""),"COMPLETADO","OBSERVADO")</f>
        <v>OBSERVADO</v>
      </c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  <c r="Z421" s="185" t="str">
        <f aca="false">IF(AND(G421&lt;&gt;"",R421&lt;&gt;"",V421&lt;&gt;"",W421&lt;&gt;""),"COMPLETADO","OBSERVADO")</f>
        <v>OBSERVADO</v>
      </c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85" t="str">
        <f aca="false">IF(AND(G422&lt;&gt;"",R422&lt;&gt;"",V422&lt;&gt;"",W422&lt;&gt;""),"COMPLETADO","OBSERVADO")</f>
        <v>OBSERVADO</v>
      </c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  <c r="Z423" s="185" t="str">
        <f aca="false">IF(AND(G423&lt;&gt;"",R423&lt;&gt;"",V423&lt;&gt;"",W423&lt;&gt;""),"COMPLETADO","OBSERVADO")</f>
        <v>OBSERVADO</v>
      </c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85" t="str">
        <f aca="false">IF(AND(G424&lt;&gt;"",R424&lt;&gt;"",V424&lt;&gt;"",W424&lt;&gt;""),"COMPLETADO","OBSERVADO")</f>
        <v>OBSERVADO</v>
      </c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  <c r="Z425" s="185" t="str">
        <f aca="false">IF(AND(G425&lt;&gt;"",R425&lt;&gt;"",V425&lt;&gt;"",W425&lt;&gt;""),"COMPLETADO","OBSERVADO")</f>
        <v>OBSERVADO</v>
      </c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85" t="str">
        <f aca="false">IF(AND(G426&lt;&gt;"",R426&lt;&gt;"",V426&lt;&gt;"",W426&lt;&gt;""),"COMPLETADO","OBSERVADO")</f>
        <v>OBSERVADO</v>
      </c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  <c r="Z427" s="185" t="str">
        <f aca="false">IF(AND(G427&lt;&gt;"",R427&lt;&gt;"",V427&lt;&gt;"",W427&lt;&gt;""),"COMPLETADO","OBSERVADO")</f>
        <v>OBSERVADO</v>
      </c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85" t="str">
        <f aca="false">IF(AND(G428&lt;&gt;"",R428&lt;&gt;"",V428&lt;&gt;"",W428&lt;&gt;""),"COMPLETADO","OBSERVADO")</f>
        <v>OBSERVADO</v>
      </c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  <c r="Z429" s="185" t="str">
        <f aca="false">IF(AND(G429&lt;&gt;"",R429&lt;&gt;"",V429&lt;&gt;"",W429&lt;&gt;""),"COMPLETADO","OBSERVADO")</f>
        <v>OBSERVADO</v>
      </c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85" t="str">
        <f aca="false">IF(AND(G430&lt;&gt;"",R430&lt;&gt;"",V430&lt;&gt;"",W430&lt;&gt;""),"COMPLETADO","OBSERVADO")</f>
        <v>OBSERVADO</v>
      </c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  <c r="Z431" s="185" t="str">
        <f aca="false">IF(AND(G431&lt;&gt;"",R431&lt;&gt;"",V431&lt;&gt;"",W431&lt;&gt;""),"COMPLETADO","OBSERVADO")</f>
        <v>OBSERVADO</v>
      </c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85" t="str">
        <f aca="false">IF(AND(G432&lt;&gt;"",R432&lt;&gt;"",V432&lt;&gt;"",W432&lt;&gt;""),"COMPLETADO","OBSERVADO")</f>
        <v>OBSERVADO</v>
      </c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  <c r="Z433" s="185" t="str">
        <f aca="false">IF(AND(G433&lt;&gt;"",R433&lt;&gt;"",V433&lt;&gt;"",W433&lt;&gt;""),"COMPLETADO","OBSERVADO")</f>
        <v>OBSERVADO</v>
      </c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85" t="str">
        <f aca="false">IF(AND(G434&lt;&gt;"",R434&lt;&gt;"",V434&lt;&gt;"",W434&lt;&gt;""),"COMPLETADO","OBSERVADO")</f>
        <v>OBSERVADO</v>
      </c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  <c r="Z435" s="185" t="str">
        <f aca="false">IF(AND(G435&lt;&gt;"",R435&lt;&gt;"",V435&lt;&gt;"",W435&lt;&gt;""),"COMPLETADO","OBSERVADO")</f>
        <v>OBSERVADO</v>
      </c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85" t="str">
        <f aca="false">IF(AND(G436&lt;&gt;"",R436&lt;&gt;"",V436&lt;&gt;"",W436&lt;&gt;""),"COMPLETADO","OBSERVADO")</f>
        <v>OBSERVADO</v>
      </c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  <c r="Z437" s="185" t="str">
        <f aca="false">IF(AND(G437&lt;&gt;"",R437&lt;&gt;"",V437&lt;&gt;"",W437&lt;&gt;""),"COMPLETADO","OBSERVADO")</f>
        <v>OBSERVADO</v>
      </c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85" t="str">
        <f aca="false">IF(AND(G438&lt;&gt;"",R438&lt;&gt;"",V438&lt;&gt;"",W438&lt;&gt;""),"COMPLETADO","OBSERVADO")</f>
        <v>OBSERVADO</v>
      </c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  <c r="Z439" s="185" t="str">
        <f aca="false">IF(AND(G439&lt;&gt;"",R439&lt;&gt;"",V439&lt;&gt;"",W439&lt;&gt;""),"COMPLETADO","OBSERVADO")</f>
        <v>OBSERVADO</v>
      </c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85" t="str">
        <f aca="false">IF(AND(G440&lt;&gt;"",R440&lt;&gt;"",V440&lt;&gt;"",W440&lt;&gt;""),"COMPLETADO","OBSERVADO")</f>
        <v>OBSERVADO</v>
      </c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  <c r="Z441" s="185" t="str">
        <f aca="false">IF(AND(G441&lt;&gt;"",R441&lt;&gt;"",V441&lt;&gt;"",W441&lt;&gt;""),"COMPLETADO","OBSERVADO")</f>
        <v>OBSERVADO</v>
      </c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85" t="str">
        <f aca="false">IF(AND(G442&lt;&gt;"",R442&lt;&gt;"",V442&lt;&gt;"",W442&lt;&gt;""),"COMPLETADO","OBSERVADO")</f>
        <v>OBSERVADO</v>
      </c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  <c r="Z443" s="185" t="str">
        <f aca="false">IF(AND(G443&lt;&gt;"",R443&lt;&gt;"",V443&lt;&gt;"",W443&lt;&gt;""),"COMPLETADO","OBSERVADO")</f>
        <v>OBSERVADO</v>
      </c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85" t="str">
        <f aca="false">IF(AND(G444&lt;&gt;"",R444&lt;&gt;"",V444&lt;&gt;"",W444&lt;&gt;""),"COMPLETADO","OBSERVADO")</f>
        <v>OBSERVADO</v>
      </c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  <c r="Z445" s="185" t="str">
        <f aca="false">IF(AND(G445&lt;&gt;"",R445&lt;&gt;"",V445&lt;&gt;"",W445&lt;&gt;""),"COMPLETADO","OBSERVADO")</f>
        <v>OBSERVADO</v>
      </c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85" t="str">
        <f aca="false">IF(AND(G446&lt;&gt;"",R446&lt;&gt;"",V446&lt;&gt;"",W446&lt;&gt;""),"COMPLETADO","OBSERVADO")</f>
        <v>OBSERVADO</v>
      </c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  <c r="Z447" s="185" t="str">
        <f aca="false">IF(AND(G447&lt;&gt;"",R447&lt;&gt;"",V447&lt;&gt;"",W447&lt;&gt;""),"COMPLETADO","OBSERVADO")</f>
        <v>OBSERVADO</v>
      </c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85" t="str">
        <f aca="false">IF(AND(G448&lt;&gt;"",R448&lt;&gt;"",V448&lt;&gt;"",W448&lt;&gt;""),"COMPLETADO","OBSERVADO")</f>
        <v>OBSERVADO</v>
      </c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  <c r="Z449" s="185" t="str">
        <f aca="false">IF(AND(G449&lt;&gt;"",R449&lt;&gt;"",V449&lt;&gt;"",W449&lt;&gt;""),"COMPLETADO","OBSERVADO")</f>
        <v>OBSERVADO</v>
      </c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85" t="str">
        <f aca="false">IF(AND(G450&lt;&gt;"",R450&lt;&gt;"",V450&lt;&gt;"",W450&lt;&gt;""),"COMPLETADO","OBSERVADO")</f>
        <v>OBSERVADO</v>
      </c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  <c r="Z451" s="185" t="str">
        <f aca="false">IF(AND(G451&lt;&gt;"",R451&lt;&gt;"",V451&lt;&gt;"",W451&lt;&gt;""),"COMPLETADO","OBSERVADO")</f>
        <v>OBSERVADO</v>
      </c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85" t="str">
        <f aca="false">IF(AND(G452&lt;&gt;"",R452&lt;&gt;"",V452&lt;&gt;"",W452&lt;&gt;""),"COMPLETADO","OBSERVADO")</f>
        <v>OBSERVADO</v>
      </c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  <c r="Z453" s="185" t="str">
        <f aca="false">IF(AND(G453&lt;&gt;"",R453&lt;&gt;"",V453&lt;&gt;"",W453&lt;&gt;""),"COMPLETADO","OBSERVADO")</f>
        <v>OBSERVADO</v>
      </c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85" t="str">
        <f aca="false">IF(AND(G454&lt;&gt;"",R454&lt;&gt;"",V454&lt;&gt;"",W454&lt;&gt;""),"COMPLETADO","OBSERVADO")</f>
        <v>OBSERVADO</v>
      </c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  <c r="Z455" s="185" t="str">
        <f aca="false">IF(AND(G455&lt;&gt;"",R455&lt;&gt;"",V455&lt;&gt;"",W455&lt;&gt;""),"COMPLETADO","OBSERVADO")</f>
        <v>OBSERVADO</v>
      </c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85" t="str">
        <f aca="false">IF(AND(G456&lt;&gt;"",R456&lt;&gt;"",V456&lt;&gt;"",W456&lt;&gt;""),"COMPLETADO","OBSERVADO")</f>
        <v>OBSERVADO</v>
      </c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  <c r="Z457" s="185" t="str">
        <f aca="false">IF(AND(G457&lt;&gt;"",R457&lt;&gt;"",V457&lt;&gt;"",W457&lt;&gt;""),"COMPLETADO","OBSERVADO")</f>
        <v>OBSERVADO</v>
      </c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85" t="str">
        <f aca="false">IF(AND(G458&lt;&gt;"",R458&lt;&gt;"",V458&lt;&gt;"",W458&lt;&gt;""),"COMPLETADO","OBSERVADO")</f>
        <v>OBSERVADO</v>
      </c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  <c r="Z459" s="185" t="str">
        <f aca="false">IF(AND(G459&lt;&gt;"",R459&lt;&gt;"",V459&lt;&gt;"",W459&lt;&gt;""),"COMPLETADO","OBSERVADO")</f>
        <v>OBSERVADO</v>
      </c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85" t="str">
        <f aca="false">IF(AND(G460&lt;&gt;"",R460&lt;&gt;"",V460&lt;&gt;"",W460&lt;&gt;""),"COMPLETADO","OBSERVADO")</f>
        <v>OBSERVADO</v>
      </c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  <c r="Z461" s="185" t="str">
        <f aca="false">IF(AND(G461&lt;&gt;"",R461&lt;&gt;"",V461&lt;&gt;"",W461&lt;&gt;""),"COMPLETADO","OBSERVADO")</f>
        <v>OBSERVADO</v>
      </c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85" t="str">
        <f aca="false">IF(AND(G462&lt;&gt;"",R462&lt;&gt;"",V462&lt;&gt;"",W462&lt;&gt;""),"COMPLETADO","OBSERVADO")</f>
        <v>OBSERVADO</v>
      </c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  <c r="Z463" s="185" t="str">
        <f aca="false">IF(AND(G463&lt;&gt;"",R463&lt;&gt;"",V463&lt;&gt;"",W463&lt;&gt;""),"COMPLETADO","OBSERVADO")</f>
        <v>OBSERVADO</v>
      </c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85" t="str">
        <f aca="false">IF(AND(G464&lt;&gt;"",R464&lt;&gt;"",V464&lt;&gt;"",W464&lt;&gt;""),"COMPLETADO","OBSERVADO")</f>
        <v>OBSERVADO</v>
      </c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  <c r="Z465" s="185" t="str">
        <f aca="false">IF(AND(G465&lt;&gt;"",R465&lt;&gt;"",V465&lt;&gt;"",W465&lt;&gt;""),"COMPLETADO","OBSERVADO")</f>
        <v>OBSERVADO</v>
      </c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85" t="str">
        <f aca="false">IF(AND(G466&lt;&gt;"",R466&lt;&gt;"",V466&lt;&gt;"",W466&lt;&gt;""),"COMPLETADO","OBSERVADO")</f>
        <v>OBSERVADO</v>
      </c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  <c r="Z467" s="185" t="str">
        <f aca="false">IF(AND(G467&lt;&gt;"",R467&lt;&gt;"",V467&lt;&gt;"",W467&lt;&gt;""),"COMPLETADO","OBSERVADO")</f>
        <v>OBSERVADO</v>
      </c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85" t="str">
        <f aca="false">IF(AND(G468&lt;&gt;"",R468&lt;&gt;"",V468&lt;&gt;"",W468&lt;&gt;""),"COMPLETADO","OBSERVADO")</f>
        <v>OBSERVADO</v>
      </c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  <c r="Z469" s="185" t="str">
        <f aca="false">IF(AND(G469&lt;&gt;"",R469&lt;&gt;"",V469&lt;&gt;"",W469&lt;&gt;""),"COMPLETADO","OBSERVADO")</f>
        <v>OBSERVADO</v>
      </c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85" t="str">
        <f aca="false">IF(AND(G470&lt;&gt;"",R470&lt;&gt;"",V470&lt;&gt;"",W470&lt;&gt;""),"COMPLETADO","OBSERVADO")</f>
        <v>OBSERVADO</v>
      </c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  <c r="Z471" s="185" t="str">
        <f aca="false">IF(AND(G471&lt;&gt;"",R471&lt;&gt;"",V471&lt;&gt;"",W471&lt;&gt;""),"COMPLETADO","OBSERVADO")</f>
        <v>OBSERVADO</v>
      </c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85" t="str">
        <f aca="false">IF(AND(G472&lt;&gt;"",R472&lt;&gt;"",V472&lt;&gt;"",W472&lt;&gt;""),"COMPLETADO","OBSERVADO")</f>
        <v>OBSERVADO</v>
      </c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  <c r="Z473" s="185" t="str">
        <f aca="false">IF(AND(G473&lt;&gt;"",R473&lt;&gt;"",V473&lt;&gt;"",W473&lt;&gt;""),"COMPLETADO","OBSERVADO")</f>
        <v>OBSERVADO</v>
      </c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85" t="str">
        <f aca="false">IF(AND(G474&lt;&gt;"",R474&lt;&gt;"",V474&lt;&gt;"",W474&lt;&gt;""),"COMPLETADO","OBSERVADO")</f>
        <v>OBSERVADO</v>
      </c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  <c r="Z475" s="185" t="str">
        <f aca="false">IF(AND(G475&lt;&gt;"",R475&lt;&gt;"",V475&lt;&gt;"",W475&lt;&gt;""),"COMPLETADO","OBSERVADO")</f>
        <v>OBSERVADO</v>
      </c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85" t="str">
        <f aca="false">IF(AND(G476&lt;&gt;"",R476&lt;&gt;"",V476&lt;&gt;"",W476&lt;&gt;""),"COMPLETADO","OBSERVADO")</f>
        <v>OBSERVADO</v>
      </c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  <c r="Z477" s="185" t="str">
        <f aca="false">IF(AND(G477&lt;&gt;"",R477&lt;&gt;"",V477&lt;&gt;"",W477&lt;&gt;""),"COMPLETADO","OBSERVADO")</f>
        <v>OBSERVADO</v>
      </c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85" t="str">
        <f aca="false">IF(AND(G478&lt;&gt;"",R478&lt;&gt;"",V478&lt;&gt;"",W478&lt;&gt;""),"COMPLETADO","OBSERVADO")</f>
        <v>OBSERVADO</v>
      </c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  <c r="Z479" s="185" t="str">
        <f aca="false">IF(AND(G479&lt;&gt;"",R479&lt;&gt;"",V479&lt;&gt;"",W479&lt;&gt;""),"COMPLETADO","OBSERVADO")</f>
        <v>OBSERVADO</v>
      </c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85" t="str">
        <f aca="false">IF(AND(G480&lt;&gt;"",R480&lt;&gt;"",V480&lt;&gt;"",W480&lt;&gt;""),"COMPLETADO","OBSERVADO")</f>
        <v>OBSERVADO</v>
      </c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  <c r="Z481" s="185" t="str">
        <f aca="false">IF(AND(G481&lt;&gt;"",R481&lt;&gt;"",V481&lt;&gt;"",W481&lt;&gt;""),"COMPLETADO","OBSERVADO")</f>
        <v>OBSERVADO</v>
      </c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85" t="str">
        <f aca="false">IF(AND(G482&lt;&gt;"",R482&lt;&gt;"",V482&lt;&gt;"",W482&lt;&gt;""),"COMPLETADO","OBSERVADO")</f>
        <v>OBSERVADO</v>
      </c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  <c r="Z483" s="185" t="str">
        <f aca="false">IF(AND(G483&lt;&gt;"",R483&lt;&gt;"",V483&lt;&gt;"",W483&lt;&gt;""),"COMPLETADO","OBSERVADO")</f>
        <v>OBSERVADO</v>
      </c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85" t="str">
        <f aca="false">IF(AND(G484&lt;&gt;"",R484&lt;&gt;"",V484&lt;&gt;"",W484&lt;&gt;""),"COMPLETADO","OBSERVADO")</f>
        <v>OBSERVADO</v>
      </c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  <c r="Z485" s="185" t="str">
        <f aca="false">IF(AND(G485&lt;&gt;"",R485&lt;&gt;"",V485&lt;&gt;"",W485&lt;&gt;""),"COMPLETADO","OBSERVADO")</f>
        <v>OBSERVADO</v>
      </c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85" t="str">
        <f aca="false">IF(AND(G486&lt;&gt;"",R486&lt;&gt;"",V486&lt;&gt;"",W486&lt;&gt;""),"COMPLETADO","OBSERVADO")</f>
        <v>OBSERVADO</v>
      </c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  <c r="Z487" s="185" t="str">
        <f aca="false">IF(AND(G487&lt;&gt;"",R487&lt;&gt;"",V487&lt;&gt;"",W487&lt;&gt;""),"COMPLETADO","OBSERVADO")</f>
        <v>OBSERVADO</v>
      </c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85" t="str">
        <f aca="false">IF(AND(G488&lt;&gt;"",R488&lt;&gt;"",V488&lt;&gt;"",W488&lt;&gt;""),"COMPLETADO","OBSERVADO")</f>
        <v>OBSERVADO</v>
      </c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  <c r="Z489" s="185" t="str">
        <f aca="false">IF(AND(G489&lt;&gt;"",R489&lt;&gt;"",V489&lt;&gt;"",W489&lt;&gt;""),"COMPLETADO","OBSERVADO")</f>
        <v>OBSERVADO</v>
      </c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85" t="str">
        <f aca="false">IF(AND(G490&lt;&gt;"",R490&lt;&gt;"",V490&lt;&gt;"",W490&lt;&gt;""),"COMPLETADO","OBSERVADO")</f>
        <v>OBSERVADO</v>
      </c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  <c r="Z491" s="185" t="str">
        <f aca="false">IF(AND(G491&lt;&gt;"",R491&lt;&gt;"",V491&lt;&gt;"",W491&lt;&gt;""),"COMPLETADO","OBSERVADO")</f>
        <v>OBSERVADO</v>
      </c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85" t="str">
        <f aca="false">IF(AND(G492&lt;&gt;"",R492&lt;&gt;"",V492&lt;&gt;"",W492&lt;&gt;""),"COMPLETADO","OBSERVADO")</f>
        <v>OBSERVADO</v>
      </c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  <c r="Z493" s="185" t="str">
        <f aca="false">IF(AND(G493&lt;&gt;"",R493&lt;&gt;"",V493&lt;&gt;"",W493&lt;&gt;""),"COMPLETADO","OBSERVADO")</f>
        <v>OBSERVADO</v>
      </c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85" t="str">
        <f aca="false">IF(AND(G494&lt;&gt;"",R494&lt;&gt;"",V494&lt;&gt;"",W494&lt;&gt;""),"COMPLETADO","OBSERVADO")</f>
        <v>OBSERVADO</v>
      </c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  <c r="Z495" s="185" t="str">
        <f aca="false">IF(AND(G495&lt;&gt;"",R495&lt;&gt;"",V495&lt;&gt;"",W495&lt;&gt;""),"COMPLETADO","OBSERVADO")</f>
        <v>OBSERVADO</v>
      </c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85" t="str">
        <f aca="false">IF(AND(G496&lt;&gt;"",R496&lt;&gt;"",V496&lt;&gt;"",W496&lt;&gt;""),"COMPLETADO","OBSERVADO")</f>
        <v>OBSERVADO</v>
      </c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  <c r="Z497" s="185" t="str">
        <f aca="false">IF(AND(G497&lt;&gt;"",R497&lt;&gt;"",V497&lt;&gt;"",W497&lt;&gt;""),"COMPLETADO","OBSERVADO")</f>
        <v>OBSERVADO</v>
      </c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85" t="str">
        <f aca="false">IF(AND(G498&lt;&gt;"",R498&lt;&gt;"",V498&lt;&gt;"",W498&lt;&gt;""),"COMPLETADO","OBSERVADO")</f>
        <v>OBSERVADO</v>
      </c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  <c r="Z499" s="185" t="str">
        <f aca="false">IF(AND(G499&lt;&gt;"",R499&lt;&gt;"",V499&lt;&gt;"",W499&lt;&gt;""),"COMPLETADO","OBSERVADO")</f>
        <v>OBSERVADO</v>
      </c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85" t="str">
        <f aca="false">IF(AND(G500&lt;&gt;"",R500&lt;&gt;"",V500&lt;&gt;"",W500&lt;&gt;""),"COMPLETADO","OBSERVADO")</f>
        <v>OBSERVADO</v>
      </c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  <c r="Z501" s="185" t="str">
        <f aca="false">IF(AND(G501&lt;&gt;"",R501&lt;&gt;"",V501&lt;&gt;"",W501&lt;&gt;""),"COMPLETADO","OBSERVADO")</f>
        <v>OBSERVADO</v>
      </c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85" t="str">
        <f aca="false">IF(AND(G502&lt;&gt;"",R502&lt;&gt;"",V502&lt;&gt;"",W502&lt;&gt;""),"COMPLETADO","OBSERVADO")</f>
        <v>OBSERVADO</v>
      </c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  <c r="Z503" s="185" t="str">
        <f aca="false">IF(AND(G503&lt;&gt;"",R503&lt;&gt;"",V503&lt;&gt;"",W503&lt;&gt;""),"COMPLETADO","OBSERVADO")</f>
        <v>OBSERVADO</v>
      </c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85" t="str">
        <f aca="false">IF(AND(G504&lt;&gt;"",R504&lt;&gt;"",V504&lt;&gt;"",W504&lt;&gt;""),"COMPLETADO","OBSERVADO")</f>
        <v>OBSERVADO</v>
      </c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  <c r="Z505" s="185" t="str">
        <f aca="false">IF(AND(G505&lt;&gt;"",R505&lt;&gt;"",V505&lt;&gt;"",W505&lt;&gt;""),"COMPLETADO","OBSERVADO")</f>
        <v>OBSERVADO</v>
      </c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0</v>
      </c>
      <c r="N506" s="153" t="n">
        <f aca="false">SUM(N6:N505)</f>
        <v>0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8:J8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T6:T110">
    <cfRule type="expression" priority="9" aboveAverage="0" equalAverage="0" bottom="0" percent="0" rank="0" text="" dxfId="0">
      <formula>EXACT(T6,"APROBADO")</formula>
    </cfRule>
    <cfRule type="expression" priority="10" aboveAverage="0" equalAverage="0" bottom="0" percent="0" rank="0" text="" dxfId="7">
      <formula>EXACT(T6,"OBSERVADO")</formula>
    </cfRule>
  </conditionalFormatting>
  <conditionalFormatting sqref="Z6:Z110">
    <cfRule type="expression" priority="11" aboveAverage="0" equalAverage="0" bottom="0" percent="0" rank="0" text="" dxfId="0">
      <formula>EXACT(Z6,"COMPLETADO")</formula>
    </cfRule>
    <cfRule type="expression" priority="12" aboveAverage="0" equalAverage="0" bottom="0" percent="0" rank="0" text="" dxfId="7">
      <formula>EXACT(Z6,"OBSERVADO")</formula>
    </cfRule>
    <cfRule type="expression" priority="13" aboveAverage="0" equalAverage="0" bottom="0" percent="0" rank="0" text="" dxfId="0">
      <formula>Z6="ENTREGADO"</formula>
    </cfRule>
    <cfRule type="expression" priority="14" aboveAverage="0" equalAverage="0" bottom="0" percent="0" rank="0" text="" dxfId="7">
      <formula>Z6="POR RECOGER"</formula>
    </cfRule>
  </conditionalFormatting>
  <conditionalFormatting sqref="Y6:Y110">
    <cfRule type="expression" priority="15" aboveAverage="0" equalAverage="0" bottom="0" percent="0" rank="0" text="" dxfId="9">
      <formula>Y6&lt;&gt;""</formula>
    </cfRule>
  </conditionalFormatting>
  <dataValidations count="5"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7 E9:E505" type="list">
      <formula1>"DNI,CE,PASAPORTE"</formula1>
      <formula2>0</formula2>
    </dataValidation>
    <dataValidation allowBlank="true" errorStyle="stop" operator="between" showDropDown="false" showErrorMessage="false" showInputMessage="false" sqref="T6:T110" type="list">
      <formula1>"APROBADO,OBSERVADO"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111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30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71" t="s">
        <v>5156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2"/>
      <c r="AA1" s="89"/>
    </row>
    <row r="2" customFormat="false" ht="21.75" hidden="false" customHeight="true" outlineLevel="0" collapsed="false">
      <c r="A2" s="123" t="s">
        <v>724</v>
      </c>
      <c r="B2" s="123"/>
      <c r="C2" s="123"/>
      <c r="D2" s="173" t="n">
        <f aca="false">IFERROR(SUMPRODUCT((K6:K110="PETROLEO")*ISNUMBER(M6:M110)*M6:M110),0)</f>
        <v>0</v>
      </c>
      <c r="E2" s="173"/>
      <c r="F2" s="173"/>
      <c r="G2" s="123" t="s">
        <v>725</v>
      </c>
      <c r="H2" s="123"/>
      <c r="I2" s="123"/>
      <c r="J2" s="173" t="n">
        <f aca="false">IFERROR(SUMPRODUCT((K6:K110="GASOLINA")*ISNUMBER(M6:M110)*M6:M110),0)</f>
        <v>0</v>
      </c>
      <c r="K2" s="173"/>
      <c r="L2" s="173"/>
      <c r="M2" s="123" t="s">
        <v>726</v>
      </c>
      <c r="N2" s="123"/>
      <c r="O2" s="123"/>
      <c r="P2" s="174" t="n">
        <f aca="false">IFERROR(SUMPRODUCT(ISNUMBER(M6:M110)*L6:L110*M6:M110),0)</f>
        <v>0</v>
      </c>
      <c r="Q2" s="174"/>
      <c r="R2" s="174"/>
      <c r="S2" s="123" t="s">
        <v>727</v>
      </c>
      <c r="T2" s="123"/>
      <c r="U2" s="175" t="n">
        <f aca="false">SUBTOTAL(2,A6:A110)</f>
        <v>0</v>
      </c>
      <c r="V2" s="175"/>
      <c r="W2" s="176"/>
      <c r="X2" s="176"/>
      <c r="Y2" s="176"/>
      <c r="Z2" s="176"/>
      <c r="AA2" s="176"/>
      <c r="AB2" s="176"/>
      <c r="AC2" s="176"/>
    </row>
    <row r="3" customFormat="false" ht="3.75" hidden="false" customHeight="true" outlineLevel="0" collapsed="false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89"/>
    </row>
    <row r="4" customFormat="false" ht="19.5" hidden="false" customHeight="true" outlineLevel="0" collapsed="false">
      <c r="A4" s="177" t="s">
        <v>730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8"/>
      <c r="AA4" s="89"/>
    </row>
    <row r="5" customFormat="false" ht="31.5" hidden="false" customHeight="true" outlineLevel="0" collapsed="false">
      <c r="A5" s="179" t="s">
        <v>97</v>
      </c>
      <c r="B5" s="179" t="s">
        <v>731</v>
      </c>
      <c r="C5" s="179" t="s">
        <v>732</v>
      </c>
      <c r="D5" s="179" t="s">
        <v>319</v>
      </c>
      <c r="E5" s="179" t="s">
        <v>733</v>
      </c>
      <c r="F5" s="179" t="s">
        <v>734</v>
      </c>
      <c r="G5" s="179" t="s">
        <v>735</v>
      </c>
      <c r="H5" s="179" t="s">
        <v>736</v>
      </c>
      <c r="I5" s="180" t="s">
        <v>737</v>
      </c>
      <c r="J5" s="179" t="s">
        <v>738</v>
      </c>
      <c r="K5" s="180" t="s">
        <v>739</v>
      </c>
      <c r="L5" s="179" t="s">
        <v>740</v>
      </c>
      <c r="M5" s="179" t="s">
        <v>4</v>
      </c>
      <c r="N5" s="180" t="s">
        <v>741</v>
      </c>
      <c r="O5" s="179" t="s">
        <v>742</v>
      </c>
      <c r="P5" s="180" t="s">
        <v>4527</v>
      </c>
      <c r="Q5" s="180" t="s">
        <v>104</v>
      </c>
      <c r="R5" s="179" t="s">
        <v>743</v>
      </c>
      <c r="S5" s="179" t="s">
        <v>744</v>
      </c>
      <c r="T5" s="179" t="s">
        <v>745</v>
      </c>
      <c r="U5" s="179" t="s">
        <v>746</v>
      </c>
      <c r="V5" s="179" t="s">
        <v>747</v>
      </c>
      <c r="W5" s="179" t="s">
        <v>748</v>
      </c>
      <c r="X5" s="179" t="s">
        <v>749</v>
      </c>
      <c r="Y5" s="129" t="s">
        <v>729</v>
      </c>
      <c r="Z5" s="181" t="s">
        <v>4528</v>
      </c>
      <c r="AA5" s="89"/>
    </row>
    <row r="6" customFormat="false" ht="15.75" hidden="false" customHeight="true" outlineLevel="0" collapsed="false">
      <c r="A6" s="140"/>
      <c r="B6" s="140"/>
      <c r="C6" s="140"/>
      <c r="D6" s="140"/>
      <c r="E6" s="140"/>
      <c r="F6" s="140"/>
      <c r="G6" s="140"/>
      <c r="H6" s="140"/>
      <c r="I6" s="138" t="str">
        <f aca="false">IFERROR(VLOOKUP(TEXT(H6,"0"),IPRESS!$A$3:$B$212,2,0),"")</f>
        <v/>
      </c>
      <c r="J6" s="140"/>
      <c r="K6" s="138" t="str">
        <f aca="false">IFERROR(VLOOKUP(TEXT(O6,"0"),CONDUCTORES!$A$3:$G$54,7,0),"")</f>
        <v/>
      </c>
      <c r="L6" s="140"/>
      <c r="M6" s="140"/>
      <c r="N6" s="139" t="str">
        <f aca="false">IFERROR(IF(L6*M6=0,"",L6*M6),"")</f>
        <v/>
      </c>
      <c r="O6" s="140"/>
      <c r="P6" s="138" t="str">
        <f aca="false">IFERROR(VLOOKUP(TEXT(O6,"0"),CONDUCTORES!$A$3:$G$54,2,0),"")</f>
        <v/>
      </c>
      <c r="Q6" s="138" t="str">
        <f aca="false">IFERROR(VLOOKUP(TEXT(O6,"0"),CONDUCTORES!$A$3:$H$54,6,0),"")</f>
        <v/>
      </c>
      <c r="R6" s="140"/>
      <c r="S6" s="140"/>
      <c r="T6" s="140"/>
      <c r="U6" s="140"/>
      <c r="V6" s="140"/>
      <c r="W6" s="140"/>
      <c r="X6" s="140"/>
      <c r="Y6" s="140"/>
      <c r="Z6" s="47" t="str">
        <f aca="false">IF(AND(G6&lt;&gt;"",R6&lt;&gt;"",V6&lt;&gt;"",W6&lt;&gt;""),"COMPLETADO","OBSERVADO")</f>
        <v>OBSERVADO</v>
      </c>
      <c r="AA6" s="89"/>
    </row>
    <row r="7" customFormat="false" ht="15.75" hidden="false" customHeight="true" outlineLevel="0" collapsed="false">
      <c r="A7" s="85"/>
      <c r="B7" s="85"/>
      <c r="C7" s="85"/>
      <c r="D7" s="85"/>
      <c r="E7" s="85"/>
      <c r="F7" s="85"/>
      <c r="G7" s="85"/>
      <c r="H7" s="85"/>
      <c r="I7" s="138" t="str">
        <f aca="false">IFERROR(VLOOKUP(TEXT(H7,"0"),IPRESS!$A$3:$B$212,2,0),"")</f>
        <v/>
      </c>
      <c r="J7" s="85"/>
      <c r="K7" s="138" t="str">
        <f aca="false">IFERROR(VLOOKUP(TEXT(O7,"0"),CONDUCTORES!$A$3:$G$54,7,0),"")</f>
        <v/>
      </c>
      <c r="L7" s="85"/>
      <c r="M7" s="85"/>
      <c r="N7" s="139" t="str">
        <f aca="false">IFERROR(IF(L7*M7=0,"",L7*M7),"")</f>
        <v/>
      </c>
      <c r="O7" s="85"/>
      <c r="P7" s="138" t="str">
        <f aca="false">IFERROR(VLOOKUP(TEXT(O7,"0"),CONDUCTORES!$A$3:$G$54,2,0),"")</f>
        <v/>
      </c>
      <c r="Q7" s="138" t="str">
        <f aca="false">IFERROR(VLOOKUP(TEXT(O7,"0"),CONDUCTORES!$A$3:$H$54,6,0),"")</f>
        <v/>
      </c>
      <c r="R7" s="85"/>
      <c r="S7" s="85"/>
      <c r="T7" s="85"/>
      <c r="U7" s="85"/>
      <c r="V7" s="85"/>
      <c r="W7" s="85"/>
      <c r="X7" s="85"/>
      <c r="Y7" s="85"/>
      <c r="Z7" s="41" t="str">
        <f aca="false">IF(AND(G7&lt;&gt;"",R7&lt;&gt;"",V7&lt;&gt;"",W7&lt;&gt;""),"COMPLETADO","OBSERVADO")</f>
        <v>OBSERVADO</v>
      </c>
      <c r="AA7" s="89"/>
    </row>
    <row r="8" customFormat="false" ht="15.75" hidden="false" customHeight="true" outlineLevel="0" collapsed="false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38" t="str">
        <f aca="false">IFERROR(VLOOKUP(TEXT(O8,"0"),CONDUCTORES!$A$3:$G$54,7,0),"")</f>
        <v/>
      </c>
      <c r="L8" s="140"/>
      <c r="M8" s="183"/>
      <c r="N8" s="139" t="str">
        <f aca="false">IFERROR(IF(L8*M8=0,"",L8*M8),"")</f>
        <v/>
      </c>
      <c r="O8" s="140"/>
      <c r="P8" s="138" t="str">
        <f aca="false">IFERROR(VLOOKUP(TEXT(O8,"0"),CONDUCTORES!$A$3:$G$54,2,0),"")</f>
        <v/>
      </c>
      <c r="Q8" s="138" t="str">
        <f aca="false">IFERROR(VLOOKUP(TEXT(O8,"0"),CONDUCTORES!$A$3:$H$54,6,0),"")</f>
        <v/>
      </c>
      <c r="R8" s="140"/>
      <c r="S8" s="140"/>
      <c r="T8" s="140"/>
      <c r="U8" s="140"/>
      <c r="V8" s="140"/>
      <c r="W8" s="140"/>
      <c r="X8" s="140"/>
      <c r="Y8" s="140"/>
      <c r="Z8" s="47" t="str">
        <f aca="false">IF(AND(G8&lt;&gt;"",R8&lt;&gt;"",V8&lt;&gt;"",W8&lt;&gt;""),"COMPLETADO","OBSERVADO")</f>
        <v>OBSERVADO</v>
      </c>
      <c r="AA8" s="89"/>
    </row>
    <row r="9" customFormat="false" ht="15.75" hidden="false" customHeight="true" outlineLevel="0" collapsed="false">
      <c r="A9" s="85"/>
      <c r="B9" s="85"/>
      <c r="C9" s="85"/>
      <c r="D9" s="85"/>
      <c r="E9" s="85"/>
      <c r="F9" s="85"/>
      <c r="G9" s="85"/>
      <c r="H9" s="85"/>
      <c r="I9" s="138" t="str">
        <f aca="false">IFERROR(VLOOKUP(TEXT(H9,"0"),IPRESS!$A$3:$B$212,2,0),"")</f>
        <v/>
      </c>
      <c r="J9" s="85"/>
      <c r="K9" s="138" t="str">
        <f aca="false">IFERROR(VLOOKUP(TEXT(O9,"0"),CONDUCTORES!$A$3:$G$54,7,0),"")</f>
        <v/>
      </c>
      <c r="L9" s="85"/>
      <c r="M9" s="85"/>
      <c r="N9" s="139" t="str">
        <f aca="false">IFERROR(IF(L9*M9=0,"",L9*M9),"")</f>
        <v/>
      </c>
      <c r="O9" s="85"/>
      <c r="P9" s="138" t="str">
        <f aca="false">IFERROR(VLOOKUP(TEXT(O9,"0"),CONDUCTORES!$A$3:$G$54,2,0),"")</f>
        <v/>
      </c>
      <c r="Q9" s="138" t="str">
        <f aca="false">IFERROR(VLOOKUP(TEXT(O9,"0"),CONDUCTORES!$A$3:$H$54,6,0),"")</f>
        <v/>
      </c>
      <c r="R9" s="85"/>
      <c r="S9" s="85"/>
      <c r="T9" s="85"/>
      <c r="U9" s="85"/>
      <c r="V9" s="85"/>
      <c r="W9" s="85"/>
      <c r="X9" s="85"/>
      <c r="Y9" s="85"/>
      <c r="Z9" s="41" t="str">
        <f aca="false">IF(AND(G9&lt;&gt;"",R9&lt;&gt;"",V9&lt;&gt;"",W9&lt;&gt;""),"COMPLETADO","OBSERVADO")</f>
        <v>OBSERVADO</v>
      </c>
      <c r="AA9" s="89"/>
    </row>
    <row r="10" customFormat="false" ht="15.75" hidden="false" customHeight="true" outlineLevel="0" collapsed="false">
      <c r="A10" s="140"/>
      <c r="B10" s="140"/>
      <c r="C10" s="140"/>
      <c r="D10" s="140"/>
      <c r="E10" s="140"/>
      <c r="F10" s="140"/>
      <c r="G10" s="140"/>
      <c r="H10" s="140"/>
      <c r="I10" s="138" t="str">
        <f aca="false">IFERROR(VLOOKUP(TEXT(H10,"0"),IPRESS!$A$3:$B$212,2,0),"")</f>
        <v/>
      </c>
      <c r="J10" s="140"/>
      <c r="K10" s="138" t="str">
        <f aca="false">IFERROR(VLOOKUP(TEXT(O10,"0"),CONDUCTORES!$A$3:$G$54,7,0),"")</f>
        <v/>
      </c>
      <c r="L10" s="140"/>
      <c r="M10" s="140"/>
      <c r="N10" s="139" t="str">
        <f aca="false">IFERROR(IF(L10*M10=0,"",L10*M10),"")</f>
        <v/>
      </c>
      <c r="O10" s="140"/>
      <c r="P10" s="138" t="str">
        <f aca="false">IFERROR(VLOOKUP(TEXT(O10,"0"),CONDUCTORES!$A$3:$G$54,2,0),"")</f>
        <v/>
      </c>
      <c r="Q10" s="138" t="str">
        <f aca="false">IFERROR(VLOOKUP(TEXT(O10,"0"),CONDUCTORES!$A$3:$H$54,6,0),"")</f>
        <v/>
      </c>
      <c r="R10" s="140"/>
      <c r="S10" s="140"/>
      <c r="T10" s="140"/>
      <c r="U10" s="140"/>
      <c r="V10" s="140"/>
      <c r="W10" s="140"/>
      <c r="X10" s="140"/>
      <c r="Y10" s="140"/>
      <c r="Z10" s="47" t="str">
        <f aca="false">IF(AND(G10&lt;&gt;"",R10&lt;&gt;"",V10&lt;&gt;"",W10&lt;&gt;""),"COMPLETADO","OBSERVADO")</f>
        <v>OBSERVADO</v>
      </c>
      <c r="AA10" s="89"/>
    </row>
    <row r="11" customFormat="false" ht="15.75" hidden="false" customHeight="true" outlineLevel="0" collapsed="false">
      <c r="A11" s="85"/>
      <c r="B11" s="85"/>
      <c r="C11" s="85"/>
      <c r="D11" s="85"/>
      <c r="E11" s="85"/>
      <c r="F11" s="85"/>
      <c r="G11" s="85"/>
      <c r="H11" s="85"/>
      <c r="I11" s="138" t="str">
        <f aca="false">IFERROR(VLOOKUP(TEXT(H11,"0"),IPRESS!$A$3:$B$212,2,0),"")</f>
        <v/>
      </c>
      <c r="J11" s="85"/>
      <c r="K11" s="138" t="str">
        <f aca="false">IFERROR(VLOOKUP(TEXT(O11,"0"),CONDUCTORES!$A$3:$G$54,7,0),"")</f>
        <v/>
      </c>
      <c r="L11" s="85"/>
      <c r="M11" s="85"/>
      <c r="N11" s="139" t="str">
        <f aca="false">IFERROR(IF(L11*M11=0,"",L11*M11),"")</f>
        <v/>
      </c>
      <c r="O11" s="85"/>
      <c r="P11" s="138" t="str">
        <f aca="false">IFERROR(VLOOKUP(TEXT(O11,"0"),CONDUCTORES!$A$3:$G$54,2,0),"")</f>
        <v/>
      </c>
      <c r="Q11" s="138" t="str">
        <f aca="false">IFERROR(VLOOKUP(TEXT(O11,"0"),CONDUCTORES!$A$3:$H$54,6,0),"")</f>
        <v/>
      </c>
      <c r="R11" s="85"/>
      <c r="S11" s="85"/>
      <c r="T11" s="85"/>
      <c r="U11" s="85"/>
      <c r="V11" s="85"/>
      <c r="W11" s="85"/>
      <c r="X11" s="85"/>
      <c r="Y11" s="85"/>
      <c r="Z11" s="41" t="str">
        <f aca="false">IF(AND(G11&lt;&gt;"",R11&lt;&gt;"",V11&lt;&gt;"",W11&lt;&gt;""),"COMPLETADO","OBSERVADO")</f>
        <v>OBSERVADO</v>
      </c>
      <c r="AA11" s="89"/>
    </row>
    <row r="12" customFormat="false" ht="15.75" hidden="false" customHeight="true" outlineLevel="0" collapsed="false">
      <c r="A12" s="140"/>
      <c r="B12" s="140"/>
      <c r="C12" s="140"/>
      <c r="D12" s="140"/>
      <c r="E12" s="140"/>
      <c r="F12" s="140"/>
      <c r="G12" s="140"/>
      <c r="H12" s="140"/>
      <c r="I12" s="138" t="str">
        <f aca="false">IFERROR(VLOOKUP(TEXT(H12,"0"),IPRESS!$A$3:$B$212,2,0),"")</f>
        <v/>
      </c>
      <c r="J12" s="140"/>
      <c r="K12" s="138" t="str">
        <f aca="false">IFERROR(VLOOKUP(TEXT(O12,"0"),CONDUCTORES!$A$3:$G$54,7,0),"")</f>
        <v/>
      </c>
      <c r="L12" s="140"/>
      <c r="M12" s="140"/>
      <c r="N12" s="139" t="str">
        <f aca="false">IFERROR(IF(L12*M12=0,"",L12*M12),"")</f>
        <v/>
      </c>
      <c r="O12" s="140"/>
      <c r="P12" s="138" t="str">
        <f aca="false">IFERROR(VLOOKUP(TEXT(O12,"0"),CONDUCTORES!$A$3:$G$54,2,0),"")</f>
        <v/>
      </c>
      <c r="Q12" s="138" t="str">
        <f aca="false">IFERROR(VLOOKUP(TEXT(O12,"0"),CONDUCTORES!$A$3:$H$54,6,0),"")</f>
        <v/>
      </c>
      <c r="R12" s="140"/>
      <c r="S12" s="140"/>
      <c r="T12" s="140"/>
      <c r="U12" s="140"/>
      <c r="V12" s="140"/>
      <c r="W12" s="140"/>
      <c r="X12" s="140"/>
      <c r="Y12" s="140"/>
      <c r="Z12" s="47" t="str">
        <f aca="false">IF(AND(G12&lt;&gt;"",R12&lt;&gt;"",V12&lt;&gt;"",W12&lt;&gt;""),"COMPLETADO","OBSERVADO")</f>
        <v>OBSERVADO</v>
      </c>
      <c r="AA12" s="89"/>
    </row>
    <row r="13" customFormat="false" ht="15.75" hidden="false" customHeight="true" outlineLevel="0" collapsed="false">
      <c r="A13" s="85"/>
      <c r="B13" s="85"/>
      <c r="C13" s="85"/>
      <c r="D13" s="85"/>
      <c r="E13" s="85"/>
      <c r="F13" s="85"/>
      <c r="G13" s="85"/>
      <c r="H13" s="85"/>
      <c r="I13" s="138" t="str">
        <f aca="false">IFERROR(VLOOKUP(TEXT(H13,"0"),IPRESS!$A$3:$B$212,2,0),"")</f>
        <v/>
      </c>
      <c r="J13" s="85"/>
      <c r="K13" s="138" t="str">
        <f aca="false">IFERROR(VLOOKUP(TEXT(O13,"0"),CONDUCTORES!$A$3:$G$54,7,0),"")</f>
        <v/>
      </c>
      <c r="L13" s="85"/>
      <c r="M13" s="85"/>
      <c r="N13" s="139" t="str">
        <f aca="false">IFERROR(IF(L13*M13=0,"",L13*M13),"")</f>
        <v/>
      </c>
      <c r="O13" s="85"/>
      <c r="P13" s="138" t="str">
        <f aca="false">IFERROR(VLOOKUP(TEXT(O13,"0"),CONDUCTORES!$A$3:$G$54,2,0),"")</f>
        <v/>
      </c>
      <c r="Q13" s="138" t="str">
        <f aca="false">IFERROR(VLOOKUP(TEXT(O13,"0"),CONDUCTORES!$A$3:$H$54,6,0),"")</f>
        <v/>
      </c>
      <c r="R13" s="85"/>
      <c r="S13" s="85"/>
      <c r="T13" s="85"/>
      <c r="U13" s="85"/>
      <c r="V13" s="85"/>
      <c r="W13" s="85"/>
      <c r="X13" s="85"/>
      <c r="Y13" s="85"/>
      <c r="Z13" s="41" t="str">
        <f aca="false">IF(AND(G13&lt;&gt;"",R13&lt;&gt;"",V13&lt;&gt;"",W13&lt;&gt;""),"COMPLETADO","OBSERVADO")</f>
        <v>OBSERVADO</v>
      </c>
      <c r="AA13" s="89"/>
    </row>
    <row r="14" customFormat="false" ht="15.75" hidden="false" customHeight="true" outlineLevel="0" collapsed="false">
      <c r="A14" s="140"/>
      <c r="B14" s="140"/>
      <c r="C14" s="140"/>
      <c r="D14" s="140"/>
      <c r="E14" s="140"/>
      <c r="F14" s="140"/>
      <c r="G14" s="140"/>
      <c r="H14" s="140"/>
      <c r="I14" s="138" t="str">
        <f aca="false">IFERROR(VLOOKUP(TEXT(H14,"0"),IPRESS!$A$3:$B$212,2,0),"")</f>
        <v/>
      </c>
      <c r="J14" s="140"/>
      <c r="K14" s="138" t="str">
        <f aca="false">IFERROR(VLOOKUP(TEXT(O14,"0"),CONDUCTORES!$A$3:$G$54,7,0),"")</f>
        <v/>
      </c>
      <c r="L14" s="140"/>
      <c r="M14" s="140"/>
      <c r="N14" s="139" t="str">
        <f aca="false">IFERROR(IF(L14*M14=0,"",L14*M14),"")</f>
        <v/>
      </c>
      <c r="O14" s="140"/>
      <c r="P14" s="138" t="str">
        <f aca="false">IFERROR(VLOOKUP(TEXT(O14,"0"),CONDUCTORES!$A$3:$G$54,2,0),"")</f>
        <v/>
      </c>
      <c r="Q14" s="138" t="str">
        <f aca="false">IFERROR(VLOOKUP(TEXT(O14,"0"),CONDUCTORES!$A$3:$H$54,6,0),"")</f>
        <v/>
      </c>
      <c r="R14" s="140"/>
      <c r="S14" s="140"/>
      <c r="T14" s="140"/>
      <c r="U14" s="140"/>
      <c r="V14" s="140"/>
      <c r="W14" s="140"/>
      <c r="X14" s="140"/>
      <c r="Y14" s="140"/>
      <c r="Z14" s="47" t="str">
        <f aca="false">IF(AND(G14&lt;&gt;"",R14&lt;&gt;"",V14&lt;&gt;"",W14&lt;&gt;""),"COMPLETADO","OBSERVADO")</f>
        <v>OBSERVADO</v>
      </c>
      <c r="AA14" s="89"/>
    </row>
    <row r="15" customFormat="false" ht="15.75" hidden="false" customHeight="true" outlineLevel="0" collapsed="false">
      <c r="A15" s="85"/>
      <c r="B15" s="85"/>
      <c r="C15" s="85"/>
      <c r="D15" s="85"/>
      <c r="E15" s="85"/>
      <c r="F15" s="85"/>
      <c r="G15" s="85"/>
      <c r="H15" s="85"/>
      <c r="I15" s="138" t="str">
        <f aca="false">IFERROR(VLOOKUP(TEXT(H15,"0"),IPRESS!$A$3:$B$212,2,0),"")</f>
        <v/>
      </c>
      <c r="J15" s="85"/>
      <c r="K15" s="138" t="str">
        <f aca="false">IFERROR(VLOOKUP(TEXT(O15,"0"),CONDUCTORES!$A$3:$G$54,7,0),"")</f>
        <v/>
      </c>
      <c r="L15" s="85"/>
      <c r="M15" s="85"/>
      <c r="N15" s="139" t="str">
        <f aca="false">IFERROR(IF(L15*M15=0,"",L15*M15),"")</f>
        <v/>
      </c>
      <c r="O15" s="85"/>
      <c r="P15" s="138" t="str">
        <f aca="false">IFERROR(VLOOKUP(TEXT(O15,"0"),CONDUCTORES!$A$3:$G$54,2,0),"")</f>
        <v/>
      </c>
      <c r="Q15" s="138" t="str">
        <f aca="false">IFERROR(VLOOKUP(TEXT(O15,"0"),CONDUCTORES!$A$3:$H$54,6,0),"")</f>
        <v/>
      </c>
      <c r="R15" s="85"/>
      <c r="S15" s="85"/>
      <c r="T15" s="85"/>
      <c r="U15" s="85"/>
      <c r="V15" s="85"/>
      <c r="W15" s="85"/>
      <c r="X15" s="85"/>
      <c r="Y15" s="85"/>
      <c r="Z15" s="41" t="str">
        <f aca="false">IF(AND(G15&lt;&gt;"",R15&lt;&gt;"",V15&lt;&gt;"",W15&lt;&gt;""),"COMPLETADO","OBSERVADO")</f>
        <v>OBSERVADO</v>
      </c>
      <c r="AA15" s="89"/>
    </row>
    <row r="16" customFormat="false" ht="15.75" hidden="false" customHeight="true" outlineLevel="0" collapsed="false">
      <c r="A16" s="140"/>
      <c r="B16" s="140"/>
      <c r="C16" s="140"/>
      <c r="D16" s="140"/>
      <c r="E16" s="140"/>
      <c r="F16" s="140"/>
      <c r="G16" s="140"/>
      <c r="H16" s="140"/>
      <c r="I16" s="138" t="str">
        <f aca="false">IFERROR(VLOOKUP(TEXT(H16,"0"),IPRESS!$A$3:$B$212,2,0),"")</f>
        <v/>
      </c>
      <c r="J16" s="140"/>
      <c r="K16" s="138" t="str">
        <f aca="false">IFERROR(VLOOKUP(TEXT(O16,"0"),CONDUCTORES!$A$3:$G$54,7,0),"")</f>
        <v/>
      </c>
      <c r="L16" s="140"/>
      <c r="M16" s="140"/>
      <c r="N16" s="139" t="str">
        <f aca="false">IFERROR(IF(L16*M16=0,"",L16*M16),"")</f>
        <v/>
      </c>
      <c r="O16" s="140"/>
      <c r="P16" s="138" t="str">
        <f aca="false">IFERROR(VLOOKUP(TEXT(O16,"0"),CONDUCTORES!$A$3:$G$54,2,0),"")</f>
        <v/>
      </c>
      <c r="Q16" s="138" t="str">
        <f aca="false">IFERROR(VLOOKUP(TEXT(O16,"0"),CONDUCTORES!$A$3:$H$54,6,0),"")</f>
        <v/>
      </c>
      <c r="R16" s="140"/>
      <c r="S16" s="140"/>
      <c r="T16" s="140"/>
      <c r="U16" s="140"/>
      <c r="V16" s="140"/>
      <c r="W16" s="140"/>
      <c r="X16" s="140"/>
      <c r="Y16" s="140"/>
      <c r="Z16" s="47" t="str">
        <f aca="false">IF(AND(G16&lt;&gt;"",R16&lt;&gt;"",V16&lt;&gt;"",W16&lt;&gt;""),"COMPLETADO","OBSERVADO")</f>
        <v>OBSERVADO</v>
      </c>
      <c r="AA16" s="89"/>
    </row>
    <row r="17" customFormat="false" ht="15.75" hidden="false" customHeight="true" outlineLevel="0" collapsed="false">
      <c r="A17" s="85"/>
      <c r="B17" s="85"/>
      <c r="C17" s="85"/>
      <c r="D17" s="85"/>
      <c r="E17" s="85"/>
      <c r="F17" s="85"/>
      <c r="G17" s="85"/>
      <c r="H17" s="85"/>
      <c r="I17" s="138" t="str">
        <f aca="false">IFERROR(VLOOKUP(TEXT(H17,"0"),IPRESS!$A$3:$B$212,2,0),"")</f>
        <v/>
      </c>
      <c r="J17" s="85"/>
      <c r="K17" s="138" t="str">
        <f aca="false">IFERROR(VLOOKUP(TEXT(O17,"0"),CONDUCTORES!$A$3:$G$54,7,0),"")</f>
        <v/>
      </c>
      <c r="L17" s="85"/>
      <c r="M17" s="85"/>
      <c r="N17" s="139" t="str">
        <f aca="false">IFERROR(IF(L17*M17=0,"",L17*M17),"")</f>
        <v/>
      </c>
      <c r="O17" s="85"/>
      <c r="P17" s="138" t="str">
        <f aca="false">IFERROR(VLOOKUP(TEXT(O17,"0"),CONDUCTORES!$A$3:$G$54,2,0),"")</f>
        <v/>
      </c>
      <c r="Q17" s="138" t="str">
        <f aca="false">IFERROR(VLOOKUP(TEXT(O17,"0"),CONDUCTORES!$A$3:$H$54,6,0),"")</f>
        <v/>
      </c>
      <c r="R17" s="85"/>
      <c r="S17" s="85"/>
      <c r="T17" s="85"/>
      <c r="U17" s="85"/>
      <c r="V17" s="85"/>
      <c r="W17" s="85"/>
      <c r="X17" s="85"/>
      <c r="Y17" s="85"/>
      <c r="Z17" s="41" t="str">
        <f aca="false">IF(AND(G17&lt;&gt;"",R17&lt;&gt;"",V17&lt;&gt;"",W17&lt;&gt;""),"COMPLETADO","OBSERVADO")</f>
        <v>OBSERVADO</v>
      </c>
      <c r="AA17" s="89"/>
    </row>
    <row r="18" customFormat="false" ht="15.75" hidden="false" customHeight="true" outlineLevel="0" collapsed="false">
      <c r="A18" s="140"/>
      <c r="B18" s="140"/>
      <c r="C18" s="140"/>
      <c r="D18" s="140"/>
      <c r="E18" s="140"/>
      <c r="F18" s="140"/>
      <c r="G18" s="140"/>
      <c r="H18" s="140"/>
      <c r="I18" s="138" t="str">
        <f aca="false">IFERROR(VLOOKUP(TEXT(H18,"0"),IPRESS!$A$3:$B$212,2,0),"")</f>
        <v/>
      </c>
      <c r="J18" s="140"/>
      <c r="K18" s="138" t="str">
        <f aca="false">IFERROR(VLOOKUP(TEXT(O18,"0"),CONDUCTORES!$A$3:$G$54,7,0),"")</f>
        <v/>
      </c>
      <c r="L18" s="140"/>
      <c r="M18" s="140"/>
      <c r="N18" s="139" t="str">
        <f aca="false">IFERROR(IF(L18*M18=0,"",L18*M18),"")</f>
        <v/>
      </c>
      <c r="O18" s="140"/>
      <c r="P18" s="138" t="str">
        <f aca="false">IFERROR(VLOOKUP(TEXT(O18,"0"),CONDUCTORES!$A$3:$G$54,2,0),"")</f>
        <v/>
      </c>
      <c r="Q18" s="138" t="str">
        <f aca="false">IFERROR(VLOOKUP(TEXT(O18,"0"),CONDUCTORES!$A$3:$H$54,6,0),"")</f>
        <v/>
      </c>
      <c r="R18" s="140"/>
      <c r="S18" s="140"/>
      <c r="T18" s="140"/>
      <c r="U18" s="140"/>
      <c r="V18" s="140"/>
      <c r="W18" s="140"/>
      <c r="X18" s="140"/>
      <c r="Y18" s="140"/>
      <c r="Z18" s="47" t="str">
        <f aca="false">IF(AND(G18&lt;&gt;"",R18&lt;&gt;"",V18&lt;&gt;"",W18&lt;&gt;""),"COMPLETADO","OBSERVADO")</f>
        <v>OBSERVADO</v>
      </c>
      <c r="AA18" s="89"/>
    </row>
    <row r="19" customFormat="false" ht="15.75" hidden="false" customHeight="true" outlineLevel="0" collapsed="false">
      <c r="A19" s="85"/>
      <c r="B19" s="85"/>
      <c r="C19" s="85"/>
      <c r="D19" s="85"/>
      <c r="E19" s="85"/>
      <c r="F19" s="85"/>
      <c r="G19" s="85"/>
      <c r="H19" s="85"/>
      <c r="I19" s="138" t="str">
        <f aca="false">IFERROR(VLOOKUP(TEXT(H19,"0"),IPRESS!$A$3:$B$212,2,0),"")</f>
        <v/>
      </c>
      <c r="J19" s="85"/>
      <c r="K19" s="138" t="str">
        <f aca="false">IFERROR(VLOOKUP(TEXT(O19,"0"),CONDUCTORES!$A$3:$G$54,7,0),"")</f>
        <v/>
      </c>
      <c r="L19" s="85"/>
      <c r="M19" s="85"/>
      <c r="N19" s="139" t="str">
        <f aca="false">IFERROR(IF(L19*M19=0,"",L19*M19),"")</f>
        <v/>
      </c>
      <c r="O19" s="85"/>
      <c r="P19" s="138" t="str">
        <f aca="false">IFERROR(VLOOKUP(TEXT(O19,"0"),CONDUCTORES!$A$3:$G$54,2,0),"")</f>
        <v/>
      </c>
      <c r="Q19" s="138" t="str">
        <f aca="false">IFERROR(VLOOKUP(TEXT(O19,"0"),CONDUCTORES!$A$3:$H$54,6,0),"")</f>
        <v/>
      </c>
      <c r="R19" s="85"/>
      <c r="S19" s="85"/>
      <c r="T19" s="85"/>
      <c r="U19" s="85"/>
      <c r="V19" s="85"/>
      <c r="W19" s="85"/>
      <c r="X19" s="85"/>
      <c r="Y19" s="85"/>
      <c r="Z19" s="41" t="str">
        <f aca="false">IF(AND(G19&lt;&gt;"",R19&lt;&gt;"",V19&lt;&gt;"",W19&lt;&gt;""),"COMPLETADO","OBSERVADO")</f>
        <v>OBSERVADO</v>
      </c>
      <c r="AA19" s="89"/>
    </row>
    <row r="20" customFormat="false" ht="15.75" hidden="false" customHeight="true" outlineLevel="0" collapsed="false">
      <c r="A20" s="140"/>
      <c r="B20" s="140"/>
      <c r="C20" s="140"/>
      <c r="D20" s="140"/>
      <c r="E20" s="140"/>
      <c r="F20" s="140"/>
      <c r="G20" s="140"/>
      <c r="H20" s="140"/>
      <c r="I20" s="138" t="str">
        <f aca="false">IFERROR(VLOOKUP(TEXT(H20,"0"),IPRESS!$A$3:$B$212,2,0),"")</f>
        <v/>
      </c>
      <c r="J20" s="140"/>
      <c r="K20" s="138" t="str">
        <f aca="false">IFERROR(VLOOKUP(TEXT(O20,"0"),CONDUCTORES!$A$3:$G$54,7,0),"")</f>
        <v/>
      </c>
      <c r="L20" s="140"/>
      <c r="M20" s="140"/>
      <c r="N20" s="139" t="str">
        <f aca="false">IFERROR(IF(L20*M20=0,"",L20*M20),"")</f>
        <v/>
      </c>
      <c r="O20" s="140"/>
      <c r="P20" s="138" t="str">
        <f aca="false">IFERROR(VLOOKUP(TEXT(O20,"0"),CONDUCTORES!$A$3:$G$54,2,0),"")</f>
        <v/>
      </c>
      <c r="Q20" s="138" t="str">
        <f aca="false">IFERROR(VLOOKUP(TEXT(O20,"0"),CONDUCTORES!$A$3:$H$54,6,0),"")</f>
        <v/>
      </c>
      <c r="R20" s="140"/>
      <c r="S20" s="140"/>
      <c r="T20" s="140"/>
      <c r="U20" s="140"/>
      <c r="V20" s="140"/>
      <c r="W20" s="140"/>
      <c r="X20" s="140"/>
      <c r="Y20" s="140"/>
      <c r="Z20" s="47" t="str">
        <f aca="false">IF(AND(G20&lt;&gt;"",R20&lt;&gt;"",V20&lt;&gt;"",W20&lt;&gt;""),"COMPLETADO","OBSERVADO")</f>
        <v>OBSERVADO</v>
      </c>
      <c r="AA20" s="89"/>
    </row>
    <row r="21" customFormat="false" ht="15.75" hidden="false" customHeight="true" outlineLevel="0" collapsed="false">
      <c r="A21" s="85"/>
      <c r="B21" s="85"/>
      <c r="C21" s="85"/>
      <c r="D21" s="85"/>
      <c r="E21" s="85"/>
      <c r="F21" s="85"/>
      <c r="G21" s="85"/>
      <c r="H21" s="85"/>
      <c r="I21" s="138" t="str">
        <f aca="false">IFERROR(VLOOKUP(TEXT(H21,"0"),IPRESS!$A$3:$B$212,2,0),"")</f>
        <v/>
      </c>
      <c r="J21" s="85"/>
      <c r="K21" s="138" t="str">
        <f aca="false">IFERROR(VLOOKUP(TEXT(O21,"0"),CONDUCTORES!$A$3:$G$54,7,0),"")</f>
        <v/>
      </c>
      <c r="L21" s="85"/>
      <c r="M21" s="85"/>
      <c r="N21" s="139" t="str">
        <f aca="false">IFERROR(IF(L21*M21=0,"",L21*M21),"")</f>
        <v/>
      </c>
      <c r="O21" s="85"/>
      <c r="P21" s="138" t="str">
        <f aca="false">IFERROR(VLOOKUP(TEXT(O21,"0"),CONDUCTORES!$A$3:$G$54,2,0),"")</f>
        <v/>
      </c>
      <c r="Q21" s="138" t="str">
        <f aca="false">IFERROR(VLOOKUP(TEXT(O21,"0"),CONDUCTORES!$A$3:$H$54,6,0),"")</f>
        <v/>
      </c>
      <c r="R21" s="85"/>
      <c r="S21" s="85"/>
      <c r="T21" s="85"/>
      <c r="U21" s="85"/>
      <c r="V21" s="85"/>
      <c r="W21" s="85"/>
      <c r="X21" s="85"/>
      <c r="Y21" s="85"/>
      <c r="Z21" s="41" t="str">
        <f aca="false">IF(AND(G21&lt;&gt;"",R21&lt;&gt;"",V21&lt;&gt;"",W21&lt;&gt;""),"COMPLETADO","OBSERVADO")</f>
        <v>OBSERVADO</v>
      </c>
      <c r="AA21" s="89"/>
    </row>
    <row r="22" customFormat="false" ht="15.75" hidden="false" customHeight="true" outlineLevel="0" collapsed="false">
      <c r="A22" s="140"/>
      <c r="B22" s="140"/>
      <c r="C22" s="140"/>
      <c r="D22" s="140"/>
      <c r="E22" s="140"/>
      <c r="F22" s="140"/>
      <c r="G22" s="140"/>
      <c r="H22" s="140"/>
      <c r="I22" s="138" t="str">
        <f aca="false">IFERROR(VLOOKUP(TEXT(H22,"0"),IPRESS!$A$3:$B$212,2,0),"")</f>
        <v/>
      </c>
      <c r="J22" s="140"/>
      <c r="K22" s="138" t="str">
        <f aca="false">IFERROR(VLOOKUP(TEXT(O22,"0"),CONDUCTORES!$A$3:$G$54,7,0),"")</f>
        <v/>
      </c>
      <c r="L22" s="140"/>
      <c r="M22" s="140"/>
      <c r="N22" s="139" t="str">
        <f aca="false">IFERROR(IF(L22*M22=0,"",L22*M22),"")</f>
        <v/>
      </c>
      <c r="O22" s="140"/>
      <c r="P22" s="138" t="str">
        <f aca="false">IFERROR(VLOOKUP(TEXT(O22,"0"),CONDUCTORES!$A$3:$G$54,2,0),"")</f>
        <v/>
      </c>
      <c r="Q22" s="138" t="str">
        <f aca="false">IFERROR(VLOOKUP(TEXT(O22,"0"),CONDUCTORES!$A$3:$H$54,6,0),"")</f>
        <v/>
      </c>
      <c r="R22" s="140"/>
      <c r="S22" s="140"/>
      <c r="T22" s="140"/>
      <c r="U22" s="140"/>
      <c r="V22" s="140"/>
      <c r="W22" s="140"/>
      <c r="X22" s="140"/>
      <c r="Y22" s="140"/>
      <c r="Z22" s="47" t="str">
        <f aca="false">IF(AND(G22&lt;&gt;"",R22&lt;&gt;"",V22&lt;&gt;"",W22&lt;&gt;""),"COMPLETADO","OBSERVADO")</f>
        <v>OBSERVADO</v>
      </c>
      <c r="AA22" s="89"/>
    </row>
    <row r="23" customFormat="false" ht="15.75" hidden="false" customHeight="true" outlineLevel="0" collapsed="false">
      <c r="A23" s="85"/>
      <c r="B23" s="85"/>
      <c r="C23" s="85"/>
      <c r="D23" s="85"/>
      <c r="E23" s="85"/>
      <c r="F23" s="85"/>
      <c r="G23" s="85"/>
      <c r="H23" s="85"/>
      <c r="I23" s="138" t="str">
        <f aca="false">IFERROR(VLOOKUP(TEXT(H23,"0"),IPRESS!$A$3:$B$212,2,0),"")</f>
        <v/>
      </c>
      <c r="J23" s="85"/>
      <c r="K23" s="138" t="str">
        <f aca="false">IFERROR(VLOOKUP(TEXT(O23,"0"),CONDUCTORES!$A$3:$G$54,7,0),"")</f>
        <v/>
      </c>
      <c r="L23" s="85"/>
      <c r="M23" s="85"/>
      <c r="N23" s="139" t="str">
        <f aca="false">IFERROR(IF(L23*M23=0,"",L23*M23),"")</f>
        <v/>
      </c>
      <c r="O23" s="85"/>
      <c r="P23" s="138" t="str">
        <f aca="false">IFERROR(VLOOKUP(TEXT(O23,"0"),CONDUCTORES!$A$3:$G$54,2,0),"")</f>
        <v/>
      </c>
      <c r="Q23" s="138" t="str">
        <f aca="false">IFERROR(VLOOKUP(TEXT(O23,"0"),CONDUCTORES!$A$3:$H$54,6,0),"")</f>
        <v/>
      </c>
      <c r="R23" s="85"/>
      <c r="S23" s="85"/>
      <c r="T23" s="85"/>
      <c r="U23" s="85"/>
      <c r="V23" s="85"/>
      <c r="W23" s="85"/>
      <c r="X23" s="85"/>
      <c r="Y23" s="85"/>
      <c r="Z23" s="41" t="str">
        <f aca="false">IF(AND(G23&lt;&gt;"",R23&lt;&gt;"",V23&lt;&gt;"",W23&lt;&gt;""),"COMPLETADO","OBSERVADO")</f>
        <v>OBSERVADO</v>
      </c>
      <c r="AA23" s="89"/>
    </row>
    <row r="24" customFormat="false" ht="15.75" hidden="false" customHeight="true" outlineLevel="0" collapsed="false">
      <c r="A24" s="140"/>
      <c r="B24" s="140"/>
      <c r="C24" s="140"/>
      <c r="D24" s="140"/>
      <c r="E24" s="140"/>
      <c r="F24" s="140"/>
      <c r="G24" s="140"/>
      <c r="H24" s="140"/>
      <c r="I24" s="138" t="str">
        <f aca="false">IFERROR(VLOOKUP(TEXT(H24,"0"),IPRESS!$A$3:$B$212,2,0),"")</f>
        <v/>
      </c>
      <c r="J24" s="140"/>
      <c r="K24" s="138" t="str">
        <f aca="false">IFERROR(VLOOKUP(TEXT(O24,"0"),CONDUCTORES!$A$3:$G$54,7,0),"")</f>
        <v/>
      </c>
      <c r="L24" s="140"/>
      <c r="M24" s="140"/>
      <c r="N24" s="139" t="str">
        <f aca="false">IFERROR(IF(L24*M24=0,"",L24*M24),"")</f>
        <v/>
      </c>
      <c r="O24" s="140"/>
      <c r="P24" s="138" t="str">
        <f aca="false">IFERROR(VLOOKUP(TEXT(O24,"0"),CONDUCTORES!$A$3:$G$54,2,0),"")</f>
        <v/>
      </c>
      <c r="Q24" s="138" t="str">
        <f aca="false">IFERROR(VLOOKUP(TEXT(O24,"0"),CONDUCTORES!$A$3:$H$54,6,0),"")</f>
        <v/>
      </c>
      <c r="R24" s="140"/>
      <c r="S24" s="140"/>
      <c r="T24" s="140"/>
      <c r="U24" s="140"/>
      <c r="V24" s="140"/>
      <c r="W24" s="140"/>
      <c r="X24" s="140"/>
      <c r="Y24" s="140"/>
      <c r="Z24" s="47" t="str">
        <f aca="false">IF(AND(G24&lt;&gt;"",R24&lt;&gt;"",V24&lt;&gt;"",W24&lt;&gt;""),"COMPLETADO","OBSERVADO")</f>
        <v>OBSERVADO</v>
      </c>
      <c r="AA24" s="89"/>
    </row>
    <row r="25" customFormat="false" ht="15.75" hidden="false" customHeight="true" outlineLevel="0" collapsed="false">
      <c r="A25" s="85"/>
      <c r="B25" s="85"/>
      <c r="C25" s="85"/>
      <c r="D25" s="85"/>
      <c r="E25" s="85"/>
      <c r="F25" s="85"/>
      <c r="G25" s="85"/>
      <c r="H25" s="85"/>
      <c r="I25" s="138" t="str">
        <f aca="false">IFERROR(VLOOKUP(TEXT(H25,"0"),IPRESS!$A$3:$B$212,2,0),"")</f>
        <v/>
      </c>
      <c r="J25" s="85"/>
      <c r="K25" s="138" t="str">
        <f aca="false">IFERROR(VLOOKUP(TEXT(O25,"0"),CONDUCTORES!$A$3:$G$54,7,0),"")</f>
        <v/>
      </c>
      <c r="L25" s="85"/>
      <c r="M25" s="85"/>
      <c r="N25" s="139" t="str">
        <f aca="false">IFERROR(IF(L25*M25=0,"",L25*M25),"")</f>
        <v/>
      </c>
      <c r="O25" s="85"/>
      <c r="P25" s="138" t="str">
        <f aca="false">IFERROR(VLOOKUP(TEXT(O25,"0"),CONDUCTORES!$A$3:$G$54,2,0),"")</f>
        <v/>
      </c>
      <c r="Q25" s="138" t="str">
        <f aca="false">IFERROR(VLOOKUP(TEXT(O25,"0"),CONDUCTORES!$A$3:$H$54,6,0),"")</f>
        <v/>
      </c>
      <c r="R25" s="85"/>
      <c r="S25" s="85"/>
      <c r="T25" s="85"/>
      <c r="U25" s="85"/>
      <c r="V25" s="85"/>
      <c r="W25" s="85"/>
      <c r="X25" s="85"/>
      <c r="Y25" s="85"/>
      <c r="Z25" s="41" t="str">
        <f aca="false">IF(AND(G25&lt;&gt;"",R25&lt;&gt;"",V25&lt;&gt;"",W25&lt;&gt;""),"COMPLETADO","OBSERVADO")</f>
        <v>OBSERVADO</v>
      </c>
      <c r="AA25" s="89"/>
    </row>
    <row r="26" customFormat="false" ht="15.75" hidden="false" customHeight="true" outlineLevel="0" collapsed="false">
      <c r="A26" s="140"/>
      <c r="B26" s="140"/>
      <c r="C26" s="140"/>
      <c r="D26" s="140"/>
      <c r="E26" s="140"/>
      <c r="F26" s="140"/>
      <c r="G26" s="140"/>
      <c r="H26" s="140"/>
      <c r="I26" s="138" t="str">
        <f aca="false">IFERROR(VLOOKUP(TEXT(H26,"0"),IPRESS!$A$3:$B$212,2,0),"")</f>
        <v/>
      </c>
      <c r="J26" s="140"/>
      <c r="K26" s="138" t="str">
        <f aca="false">IFERROR(VLOOKUP(TEXT(O26,"0"),CONDUCTORES!$A$3:$G$54,7,0),"")</f>
        <v/>
      </c>
      <c r="L26" s="140"/>
      <c r="M26" s="140"/>
      <c r="N26" s="139" t="str">
        <f aca="false">IFERROR(IF(L26*M26=0,"",L26*M26),"")</f>
        <v/>
      </c>
      <c r="O26" s="140"/>
      <c r="P26" s="138" t="str">
        <f aca="false">IFERROR(VLOOKUP(TEXT(O26,"0"),CONDUCTORES!$A$3:$G$54,2,0),"")</f>
        <v/>
      </c>
      <c r="Q26" s="138" t="str">
        <f aca="false">IFERROR(VLOOKUP(TEXT(O26,"0"),CONDUCTORES!$A$3:$H$54,6,0),"")</f>
        <v/>
      </c>
      <c r="R26" s="140"/>
      <c r="S26" s="140"/>
      <c r="T26" s="140"/>
      <c r="U26" s="140"/>
      <c r="V26" s="140"/>
      <c r="W26" s="140"/>
      <c r="X26" s="140"/>
      <c r="Y26" s="140"/>
      <c r="Z26" s="47" t="str">
        <f aca="false">IF(AND(G26&lt;&gt;"",R26&lt;&gt;"",V26&lt;&gt;"",W26&lt;&gt;""),"COMPLETADO","OBSERVADO")</f>
        <v>OBSERVADO</v>
      </c>
      <c r="AA26" s="89"/>
    </row>
    <row r="27" customFormat="false" ht="15.75" hidden="false" customHeight="true" outlineLevel="0" collapsed="false">
      <c r="A27" s="85"/>
      <c r="B27" s="85"/>
      <c r="C27" s="85"/>
      <c r="D27" s="85"/>
      <c r="E27" s="85"/>
      <c r="F27" s="85"/>
      <c r="G27" s="85"/>
      <c r="H27" s="85"/>
      <c r="I27" s="138" t="str">
        <f aca="false">IFERROR(VLOOKUP(TEXT(H27,"0"),IPRESS!$A$3:$B$212,2,0),"")</f>
        <v/>
      </c>
      <c r="J27" s="85"/>
      <c r="K27" s="138" t="str">
        <f aca="false">IFERROR(VLOOKUP(TEXT(O27,"0"),CONDUCTORES!$A$3:$G$54,7,0),"")</f>
        <v/>
      </c>
      <c r="L27" s="85"/>
      <c r="M27" s="85"/>
      <c r="N27" s="139" t="str">
        <f aca="false">IFERROR(IF(L27*M27=0,"",L27*M27),"")</f>
        <v/>
      </c>
      <c r="O27" s="85"/>
      <c r="P27" s="138" t="str">
        <f aca="false">IFERROR(VLOOKUP(TEXT(O27,"0"),CONDUCTORES!$A$3:$G$54,2,0),"")</f>
        <v/>
      </c>
      <c r="Q27" s="138" t="str">
        <f aca="false">IFERROR(VLOOKUP(TEXT(O27,"0"),CONDUCTORES!$A$3:$H$54,6,0),"")</f>
        <v/>
      </c>
      <c r="R27" s="85"/>
      <c r="S27" s="85"/>
      <c r="T27" s="85"/>
      <c r="U27" s="85"/>
      <c r="V27" s="85"/>
      <c r="W27" s="85"/>
      <c r="X27" s="85"/>
      <c r="Y27" s="85"/>
      <c r="Z27" s="41" t="str">
        <f aca="false">IF(AND(G27&lt;&gt;"",R27&lt;&gt;"",V27&lt;&gt;"",W27&lt;&gt;""),"COMPLETADO","OBSERVADO")</f>
        <v>OBSERVADO</v>
      </c>
      <c r="AA27" s="89"/>
    </row>
    <row r="28" customFormat="false" ht="15.75" hidden="false" customHeight="true" outlineLevel="0" collapsed="false">
      <c r="A28" s="140"/>
      <c r="B28" s="140"/>
      <c r="C28" s="140"/>
      <c r="D28" s="140"/>
      <c r="E28" s="140"/>
      <c r="F28" s="140"/>
      <c r="G28" s="140"/>
      <c r="H28" s="140"/>
      <c r="I28" s="138" t="str">
        <f aca="false">IFERROR(VLOOKUP(TEXT(H28,"0"),IPRESS!$A$3:$B$212,2,0),"")</f>
        <v/>
      </c>
      <c r="J28" s="140"/>
      <c r="K28" s="138" t="str">
        <f aca="false">IFERROR(VLOOKUP(TEXT(O28,"0"),CONDUCTORES!$A$3:$G$54,7,0),"")</f>
        <v/>
      </c>
      <c r="L28" s="140"/>
      <c r="M28" s="140"/>
      <c r="N28" s="139" t="str">
        <f aca="false">IFERROR(IF(L28*M28=0,"",L28*M28),"")</f>
        <v/>
      </c>
      <c r="O28" s="140"/>
      <c r="P28" s="138" t="str">
        <f aca="false">IFERROR(VLOOKUP(TEXT(O28,"0"),CONDUCTORES!$A$3:$G$54,2,0),"")</f>
        <v/>
      </c>
      <c r="Q28" s="138" t="str">
        <f aca="false">IFERROR(VLOOKUP(TEXT(O28,"0"),CONDUCTORES!$A$3:$H$54,6,0),"")</f>
        <v/>
      </c>
      <c r="R28" s="140"/>
      <c r="S28" s="140"/>
      <c r="T28" s="140"/>
      <c r="U28" s="140"/>
      <c r="V28" s="140"/>
      <c r="W28" s="140"/>
      <c r="X28" s="140"/>
      <c r="Y28" s="140"/>
      <c r="Z28" s="47" t="str">
        <f aca="false">IF(AND(G28&lt;&gt;"",R28&lt;&gt;"",V28&lt;&gt;"",W28&lt;&gt;""),"COMPLETADO","OBSERVADO")</f>
        <v>OBSERVADO</v>
      </c>
      <c r="AA28" s="89"/>
    </row>
    <row r="29" customFormat="false" ht="15.75" hidden="false" customHeight="true" outlineLevel="0" collapsed="false">
      <c r="A29" s="85"/>
      <c r="B29" s="85"/>
      <c r="C29" s="85"/>
      <c r="D29" s="85"/>
      <c r="E29" s="85"/>
      <c r="F29" s="85"/>
      <c r="G29" s="85"/>
      <c r="H29" s="85"/>
      <c r="I29" s="138" t="str">
        <f aca="false">IFERROR(VLOOKUP(TEXT(H29,"0"),IPRESS!$A$3:$B$212,2,0),"")</f>
        <v/>
      </c>
      <c r="J29" s="85"/>
      <c r="K29" s="138" t="str">
        <f aca="false">IFERROR(VLOOKUP(TEXT(O29,"0"),CONDUCTORES!$A$3:$G$54,7,0),"")</f>
        <v/>
      </c>
      <c r="L29" s="85"/>
      <c r="M29" s="85"/>
      <c r="N29" s="139" t="str">
        <f aca="false">IFERROR(IF(L29*M29=0,"",L29*M29),"")</f>
        <v/>
      </c>
      <c r="O29" s="85"/>
      <c r="P29" s="138" t="str">
        <f aca="false">IFERROR(VLOOKUP(TEXT(O29,"0"),CONDUCTORES!$A$3:$G$54,2,0),"")</f>
        <v/>
      </c>
      <c r="Q29" s="138" t="str">
        <f aca="false">IFERROR(VLOOKUP(TEXT(O29,"0"),CONDUCTORES!$A$3:$H$54,6,0),"")</f>
        <v/>
      </c>
      <c r="R29" s="85"/>
      <c r="S29" s="85"/>
      <c r="T29" s="85"/>
      <c r="U29" s="85"/>
      <c r="V29" s="85"/>
      <c r="W29" s="85"/>
      <c r="X29" s="85"/>
      <c r="Y29" s="85"/>
      <c r="Z29" s="41" t="str">
        <f aca="false">IF(AND(G29&lt;&gt;"",R29&lt;&gt;"",V29&lt;&gt;"",W29&lt;&gt;""),"COMPLETADO","OBSERVADO")</f>
        <v>OBSERVADO</v>
      </c>
      <c r="AA29" s="89"/>
    </row>
    <row r="30" customFormat="false" ht="15.75" hidden="false" customHeight="true" outlineLevel="0" collapsed="false">
      <c r="A30" s="140"/>
      <c r="B30" s="140"/>
      <c r="C30" s="140"/>
      <c r="D30" s="140"/>
      <c r="E30" s="140"/>
      <c r="F30" s="140"/>
      <c r="G30" s="140"/>
      <c r="H30" s="140"/>
      <c r="I30" s="138" t="str">
        <f aca="false">IFERROR(VLOOKUP(TEXT(H30,"0"),IPRESS!$A$3:$B$212,2,0),"")</f>
        <v/>
      </c>
      <c r="J30" s="140"/>
      <c r="K30" s="138" t="str">
        <f aca="false">IFERROR(VLOOKUP(TEXT(O30,"0"),CONDUCTORES!$A$3:$G$54,7,0),"")</f>
        <v/>
      </c>
      <c r="L30" s="140"/>
      <c r="M30" s="140"/>
      <c r="N30" s="139" t="str">
        <f aca="false">IFERROR(IF(L30*M30=0,"",L30*M30),"")</f>
        <v/>
      </c>
      <c r="O30" s="140"/>
      <c r="P30" s="138" t="str">
        <f aca="false">IFERROR(VLOOKUP(TEXT(O30,"0"),CONDUCTORES!$A$3:$G$54,2,0),"")</f>
        <v/>
      </c>
      <c r="Q30" s="138" t="str">
        <f aca="false">IFERROR(VLOOKUP(TEXT(O30,"0"),CONDUCTORES!$A$3:$H$54,6,0),"")</f>
        <v/>
      </c>
      <c r="R30" s="140"/>
      <c r="S30" s="140"/>
      <c r="T30" s="140"/>
      <c r="U30" s="140"/>
      <c r="V30" s="140"/>
      <c r="W30" s="140"/>
      <c r="X30" s="140"/>
      <c r="Y30" s="140"/>
      <c r="Z30" s="47" t="str">
        <f aca="false">IF(AND(G30&lt;&gt;"",R30&lt;&gt;"",V30&lt;&gt;"",W30&lt;&gt;""),"COMPLETADO","OBSERVADO")</f>
        <v>OBSERVADO</v>
      </c>
      <c r="AA30" s="89"/>
    </row>
    <row r="31" customFormat="false" ht="15.75" hidden="false" customHeight="true" outlineLevel="0" collapsed="false">
      <c r="A31" s="85"/>
      <c r="B31" s="85"/>
      <c r="C31" s="85"/>
      <c r="D31" s="85"/>
      <c r="E31" s="85"/>
      <c r="F31" s="85"/>
      <c r="G31" s="85"/>
      <c r="H31" s="85"/>
      <c r="I31" s="138" t="str">
        <f aca="false">IFERROR(VLOOKUP(TEXT(H31,"0"),IPRESS!$A$3:$B$212,2,0),"")</f>
        <v/>
      </c>
      <c r="J31" s="85"/>
      <c r="K31" s="138" t="str">
        <f aca="false">IFERROR(VLOOKUP(TEXT(O31,"0"),CONDUCTORES!$A$3:$G$54,7,0),"")</f>
        <v/>
      </c>
      <c r="L31" s="85"/>
      <c r="M31" s="85"/>
      <c r="N31" s="139" t="str">
        <f aca="false">IFERROR(IF(L31*M31=0,"",L31*M31),"")</f>
        <v/>
      </c>
      <c r="O31" s="85"/>
      <c r="P31" s="138" t="str">
        <f aca="false">IFERROR(VLOOKUP(TEXT(O31,"0"),CONDUCTORES!$A$3:$G$54,2,0),"")</f>
        <v/>
      </c>
      <c r="Q31" s="138" t="str">
        <f aca="false">IFERROR(VLOOKUP(TEXT(O31,"0"),CONDUCTORES!$A$3:$H$54,6,0),"")</f>
        <v/>
      </c>
      <c r="R31" s="85"/>
      <c r="S31" s="85"/>
      <c r="T31" s="85"/>
      <c r="U31" s="85"/>
      <c r="V31" s="85"/>
      <c r="W31" s="85"/>
      <c r="X31" s="85"/>
      <c r="Y31" s="85"/>
      <c r="Z31" s="41" t="str">
        <f aca="false">IF(AND(G31&lt;&gt;"",R31&lt;&gt;"",V31&lt;&gt;"",W31&lt;&gt;""),"COMPLETADO","OBSERVADO")</f>
        <v>OBSERVADO</v>
      </c>
      <c r="AA31" s="89"/>
    </row>
    <row r="32" customFormat="false" ht="15.75" hidden="false" customHeight="true" outlineLevel="0" collapsed="false">
      <c r="A32" s="140"/>
      <c r="B32" s="140"/>
      <c r="C32" s="140"/>
      <c r="D32" s="140"/>
      <c r="E32" s="140"/>
      <c r="F32" s="140"/>
      <c r="G32" s="140"/>
      <c r="H32" s="140"/>
      <c r="I32" s="138" t="str">
        <f aca="false">IFERROR(VLOOKUP(TEXT(H32,"0"),IPRESS!$A$3:$B$212,2,0),"")</f>
        <v/>
      </c>
      <c r="J32" s="140"/>
      <c r="K32" s="138" t="str">
        <f aca="false">IFERROR(VLOOKUP(TEXT(O32,"0"),CONDUCTORES!$A$3:$G$54,7,0),"")</f>
        <v/>
      </c>
      <c r="L32" s="140"/>
      <c r="M32" s="140"/>
      <c r="N32" s="139" t="str">
        <f aca="false">IFERROR(IF(L32*M32=0,"",L32*M32),"")</f>
        <v/>
      </c>
      <c r="O32" s="140"/>
      <c r="P32" s="138" t="str">
        <f aca="false">IFERROR(VLOOKUP(TEXT(O32,"0"),CONDUCTORES!$A$3:$G$54,2,0),"")</f>
        <v/>
      </c>
      <c r="Q32" s="138" t="str">
        <f aca="false">IFERROR(VLOOKUP(TEXT(O32,"0"),CONDUCTORES!$A$3:$H$54,6,0),"")</f>
        <v/>
      </c>
      <c r="R32" s="140"/>
      <c r="S32" s="140"/>
      <c r="T32" s="140"/>
      <c r="U32" s="140"/>
      <c r="V32" s="140"/>
      <c r="W32" s="140"/>
      <c r="X32" s="140"/>
      <c r="Y32" s="140"/>
      <c r="Z32" s="47" t="str">
        <f aca="false">IF(AND(G32&lt;&gt;"",R32&lt;&gt;"",V32&lt;&gt;"",W32&lt;&gt;""),"COMPLETADO","OBSERVADO")</f>
        <v>OBSERVADO</v>
      </c>
      <c r="AA32" s="89"/>
    </row>
    <row r="33" customFormat="false" ht="15.75" hidden="false" customHeight="true" outlineLevel="0" collapsed="false">
      <c r="A33" s="85"/>
      <c r="B33" s="85"/>
      <c r="C33" s="85"/>
      <c r="D33" s="85"/>
      <c r="E33" s="85"/>
      <c r="F33" s="85"/>
      <c r="G33" s="85"/>
      <c r="H33" s="85"/>
      <c r="I33" s="138" t="str">
        <f aca="false">IFERROR(VLOOKUP(TEXT(H33,"0"),IPRESS!$A$3:$B$212,2,0),"")</f>
        <v/>
      </c>
      <c r="J33" s="85"/>
      <c r="K33" s="138" t="str">
        <f aca="false">IFERROR(VLOOKUP(TEXT(O33,"0"),CONDUCTORES!$A$3:$G$54,7,0),"")</f>
        <v/>
      </c>
      <c r="L33" s="85"/>
      <c r="M33" s="85"/>
      <c r="N33" s="139" t="str">
        <f aca="false">IFERROR(IF(L33*M33=0,"",L33*M33),"")</f>
        <v/>
      </c>
      <c r="O33" s="85"/>
      <c r="P33" s="138" t="str">
        <f aca="false">IFERROR(VLOOKUP(TEXT(O33,"0"),CONDUCTORES!$A$3:$G$54,2,0),"")</f>
        <v/>
      </c>
      <c r="Q33" s="138" t="str">
        <f aca="false">IFERROR(VLOOKUP(TEXT(O33,"0"),CONDUCTORES!$A$3:$H$54,6,0),"")</f>
        <v/>
      </c>
      <c r="R33" s="85"/>
      <c r="S33" s="85"/>
      <c r="T33" s="85"/>
      <c r="U33" s="85"/>
      <c r="V33" s="85"/>
      <c r="W33" s="85"/>
      <c r="X33" s="85"/>
      <c r="Y33" s="85"/>
      <c r="Z33" s="41" t="str">
        <f aca="false">IF(AND(G33&lt;&gt;"",R33&lt;&gt;"",V33&lt;&gt;"",W33&lt;&gt;""),"COMPLETADO","OBSERVADO")</f>
        <v>OBSERVADO</v>
      </c>
      <c r="AA33" s="89"/>
    </row>
    <row r="34" customFormat="false" ht="15.75" hidden="false" customHeight="true" outlineLevel="0" collapsed="false">
      <c r="A34" s="140"/>
      <c r="B34" s="140"/>
      <c r="C34" s="140"/>
      <c r="D34" s="140"/>
      <c r="E34" s="140"/>
      <c r="F34" s="140"/>
      <c r="G34" s="140"/>
      <c r="H34" s="140"/>
      <c r="I34" s="138" t="str">
        <f aca="false">IFERROR(VLOOKUP(TEXT(H34,"0"),IPRESS!$A$3:$B$212,2,0),"")</f>
        <v/>
      </c>
      <c r="J34" s="140"/>
      <c r="K34" s="138" t="str">
        <f aca="false">IFERROR(VLOOKUP(TEXT(O34,"0"),CONDUCTORES!$A$3:$G$54,7,0),"")</f>
        <v/>
      </c>
      <c r="L34" s="140"/>
      <c r="M34" s="140"/>
      <c r="N34" s="139" t="str">
        <f aca="false">IFERROR(IF(L34*M34=0,"",L34*M34),"")</f>
        <v/>
      </c>
      <c r="O34" s="140"/>
      <c r="P34" s="138" t="str">
        <f aca="false">IFERROR(VLOOKUP(TEXT(O34,"0"),CONDUCTORES!$A$3:$G$54,2,0),"")</f>
        <v/>
      </c>
      <c r="Q34" s="138" t="str">
        <f aca="false">IFERROR(VLOOKUP(TEXT(O34,"0"),CONDUCTORES!$A$3:$H$54,6,0),"")</f>
        <v/>
      </c>
      <c r="R34" s="140"/>
      <c r="S34" s="140"/>
      <c r="T34" s="140"/>
      <c r="U34" s="140"/>
      <c r="V34" s="140"/>
      <c r="W34" s="140"/>
      <c r="X34" s="140"/>
      <c r="Y34" s="140"/>
      <c r="Z34" s="47" t="str">
        <f aca="false">IF(AND(G34&lt;&gt;"",R34&lt;&gt;"",V34&lt;&gt;"",W34&lt;&gt;""),"COMPLETADO","OBSERVADO")</f>
        <v>OBSERVADO</v>
      </c>
      <c r="AA34" s="89"/>
    </row>
    <row r="35" customFormat="false" ht="15.75" hidden="false" customHeight="true" outlineLevel="0" collapsed="false">
      <c r="A35" s="85"/>
      <c r="B35" s="85"/>
      <c r="C35" s="85"/>
      <c r="D35" s="85"/>
      <c r="E35" s="85"/>
      <c r="F35" s="85"/>
      <c r="G35" s="85"/>
      <c r="H35" s="85"/>
      <c r="I35" s="138" t="str">
        <f aca="false">IFERROR(VLOOKUP(TEXT(H35,"0"),IPRESS!$A$3:$B$212,2,0),"")</f>
        <v/>
      </c>
      <c r="J35" s="85"/>
      <c r="K35" s="138" t="str">
        <f aca="false">IFERROR(VLOOKUP(TEXT(O35,"0"),CONDUCTORES!$A$3:$G$54,7,0),"")</f>
        <v/>
      </c>
      <c r="L35" s="85"/>
      <c r="M35" s="85"/>
      <c r="N35" s="139" t="str">
        <f aca="false">IFERROR(IF(L35*M35=0,"",L35*M35),"")</f>
        <v/>
      </c>
      <c r="O35" s="85"/>
      <c r="P35" s="138" t="str">
        <f aca="false">IFERROR(VLOOKUP(TEXT(O35,"0"),CONDUCTORES!$A$3:$G$54,2,0),"")</f>
        <v/>
      </c>
      <c r="Q35" s="138" t="str">
        <f aca="false">IFERROR(VLOOKUP(TEXT(O35,"0"),CONDUCTORES!$A$3:$H$54,6,0),"")</f>
        <v/>
      </c>
      <c r="R35" s="85"/>
      <c r="S35" s="85"/>
      <c r="T35" s="85"/>
      <c r="U35" s="85"/>
      <c r="V35" s="85"/>
      <c r="W35" s="85"/>
      <c r="X35" s="85"/>
      <c r="Y35" s="85"/>
      <c r="Z35" s="41" t="str">
        <f aca="false">IF(AND(G35&lt;&gt;"",R35&lt;&gt;"",V35&lt;&gt;"",W35&lt;&gt;""),"COMPLETADO","OBSERVADO")</f>
        <v>OBSERVADO</v>
      </c>
      <c r="AA35" s="89"/>
    </row>
    <row r="36" customFormat="false" ht="15.75" hidden="false" customHeight="true" outlineLevel="0" collapsed="false">
      <c r="A36" s="140"/>
      <c r="B36" s="140"/>
      <c r="C36" s="140"/>
      <c r="D36" s="140"/>
      <c r="E36" s="140"/>
      <c r="F36" s="140"/>
      <c r="G36" s="140"/>
      <c r="H36" s="140"/>
      <c r="I36" s="138" t="str">
        <f aca="false">IFERROR(VLOOKUP(TEXT(H36,"0"),IPRESS!$A$3:$B$212,2,0),"")</f>
        <v/>
      </c>
      <c r="J36" s="140"/>
      <c r="K36" s="138" t="str">
        <f aca="false">IFERROR(VLOOKUP(TEXT(O36,"0"),CONDUCTORES!$A$3:$G$54,7,0),"")</f>
        <v/>
      </c>
      <c r="L36" s="140"/>
      <c r="M36" s="140"/>
      <c r="N36" s="139" t="str">
        <f aca="false">IFERROR(IF(L36*M36=0,"",L36*M36),"")</f>
        <v/>
      </c>
      <c r="O36" s="140"/>
      <c r="P36" s="138" t="str">
        <f aca="false">IFERROR(VLOOKUP(TEXT(O36,"0"),CONDUCTORES!$A$3:$G$54,2,0),"")</f>
        <v/>
      </c>
      <c r="Q36" s="138" t="str">
        <f aca="false">IFERROR(VLOOKUP(TEXT(O36,"0"),CONDUCTORES!$A$3:$H$54,6,0),"")</f>
        <v/>
      </c>
      <c r="R36" s="140"/>
      <c r="S36" s="140"/>
      <c r="T36" s="140"/>
      <c r="U36" s="140"/>
      <c r="V36" s="140"/>
      <c r="W36" s="140"/>
      <c r="X36" s="140"/>
      <c r="Y36" s="140"/>
      <c r="Z36" s="47" t="str">
        <f aca="false">IF(AND(G36&lt;&gt;"",R36&lt;&gt;"",V36&lt;&gt;"",W36&lt;&gt;""),"COMPLETADO","OBSERVADO")</f>
        <v>OBSERVADO</v>
      </c>
      <c r="AA36" s="89"/>
    </row>
    <row r="37" customFormat="false" ht="15.75" hidden="false" customHeight="true" outlineLevel="0" collapsed="false">
      <c r="A37" s="85"/>
      <c r="B37" s="85"/>
      <c r="C37" s="85"/>
      <c r="D37" s="85"/>
      <c r="E37" s="85"/>
      <c r="F37" s="85"/>
      <c r="G37" s="85"/>
      <c r="H37" s="85"/>
      <c r="I37" s="138" t="str">
        <f aca="false">IFERROR(VLOOKUP(TEXT(H37,"0"),IPRESS!$A$3:$B$212,2,0),"")</f>
        <v/>
      </c>
      <c r="J37" s="85"/>
      <c r="K37" s="138" t="str">
        <f aca="false">IFERROR(VLOOKUP(TEXT(O37,"0"),CONDUCTORES!$A$3:$G$54,7,0),"")</f>
        <v/>
      </c>
      <c r="L37" s="85"/>
      <c r="M37" s="85"/>
      <c r="N37" s="139" t="str">
        <f aca="false">IFERROR(IF(L37*M37=0,"",L37*M37),"")</f>
        <v/>
      </c>
      <c r="O37" s="85"/>
      <c r="P37" s="138" t="str">
        <f aca="false">IFERROR(VLOOKUP(TEXT(O37,"0"),CONDUCTORES!$A$3:$G$54,2,0),"")</f>
        <v/>
      </c>
      <c r="Q37" s="138" t="str">
        <f aca="false">IFERROR(VLOOKUP(TEXT(O37,"0"),CONDUCTORES!$A$3:$H$54,6,0),"")</f>
        <v/>
      </c>
      <c r="R37" s="85"/>
      <c r="S37" s="85"/>
      <c r="T37" s="85"/>
      <c r="U37" s="85"/>
      <c r="V37" s="85"/>
      <c r="W37" s="85"/>
      <c r="X37" s="85"/>
      <c r="Y37" s="85"/>
      <c r="Z37" s="41" t="str">
        <f aca="false">IF(AND(G37&lt;&gt;"",R37&lt;&gt;"",V37&lt;&gt;"",W37&lt;&gt;""),"COMPLETADO","OBSERVADO")</f>
        <v>OBSERVADO</v>
      </c>
      <c r="AA37" s="89"/>
    </row>
    <row r="38" customFormat="false" ht="15.75" hidden="false" customHeight="true" outlineLevel="0" collapsed="false">
      <c r="A38" s="140"/>
      <c r="B38" s="140"/>
      <c r="C38" s="140"/>
      <c r="D38" s="140"/>
      <c r="E38" s="140"/>
      <c r="F38" s="140"/>
      <c r="G38" s="140"/>
      <c r="H38" s="140"/>
      <c r="I38" s="138" t="str">
        <f aca="false">IFERROR(VLOOKUP(TEXT(H38,"0"),IPRESS!$A$3:$B$212,2,0),"")</f>
        <v/>
      </c>
      <c r="J38" s="140"/>
      <c r="K38" s="138" t="str">
        <f aca="false">IFERROR(VLOOKUP(TEXT(O38,"0"),CONDUCTORES!$A$3:$G$54,7,0),"")</f>
        <v/>
      </c>
      <c r="L38" s="140"/>
      <c r="M38" s="140"/>
      <c r="N38" s="139" t="str">
        <f aca="false">IFERROR(IF(L38*M38=0,"",L38*M38),"")</f>
        <v/>
      </c>
      <c r="O38" s="140"/>
      <c r="P38" s="138" t="str">
        <f aca="false">IFERROR(VLOOKUP(TEXT(O38,"0"),CONDUCTORES!$A$3:$G$54,2,0),"")</f>
        <v/>
      </c>
      <c r="Q38" s="138" t="str">
        <f aca="false">IFERROR(VLOOKUP(TEXT(O38,"0"),CONDUCTORES!$A$3:$H$54,6,0),"")</f>
        <v/>
      </c>
      <c r="R38" s="140"/>
      <c r="S38" s="140"/>
      <c r="T38" s="140"/>
      <c r="U38" s="140"/>
      <c r="V38" s="140"/>
      <c r="W38" s="140"/>
      <c r="X38" s="140"/>
      <c r="Y38" s="140"/>
      <c r="Z38" s="47" t="str">
        <f aca="false">IF(AND(G38&lt;&gt;"",R38&lt;&gt;"",V38&lt;&gt;"",W38&lt;&gt;""),"COMPLETADO","OBSERVADO")</f>
        <v>OBSERVADO</v>
      </c>
      <c r="AA38" s="89"/>
    </row>
    <row r="39" customFormat="false" ht="15.75" hidden="false" customHeight="true" outlineLevel="0" collapsed="false">
      <c r="A39" s="85"/>
      <c r="B39" s="85"/>
      <c r="C39" s="85"/>
      <c r="D39" s="85"/>
      <c r="E39" s="85"/>
      <c r="F39" s="85"/>
      <c r="G39" s="85"/>
      <c r="H39" s="85"/>
      <c r="I39" s="138" t="str">
        <f aca="false">IFERROR(VLOOKUP(TEXT(H39,"0"),IPRESS!$A$3:$B$212,2,0),"")</f>
        <v/>
      </c>
      <c r="J39" s="85"/>
      <c r="K39" s="138" t="str">
        <f aca="false">IFERROR(VLOOKUP(TEXT(O39,"0"),CONDUCTORES!$A$3:$G$54,7,0),"")</f>
        <v/>
      </c>
      <c r="L39" s="85"/>
      <c r="M39" s="85"/>
      <c r="N39" s="139" t="str">
        <f aca="false">IFERROR(IF(L39*M39=0,"",L39*M39),"")</f>
        <v/>
      </c>
      <c r="O39" s="85"/>
      <c r="P39" s="138" t="str">
        <f aca="false">IFERROR(VLOOKUP(TEXT(O39,"0"),CONDUCTORES!$A$3:$G$54,2,0),"")</f>
        <v/>
      </c>
      <c r="Q39" s="138" t="str">
        <f aca="false">IFERROR(VLOOKUP(TEXT(O39,"0"),CONDUCTORES!$A$3:$H$54,6,0),"")</f>
        <v/>
      </c>
      <c r="R39" s="85"/>
      <c r="S39" s="85"/>
      <c r="T39" s="85"/>
      <c r="U39" s="85"/>
      <c r="V39" s="85"/>
      <c r="W39" s="85"/>
      <c r="X39" s="85"/>
      <c r="Y39" s="85"/>
      <c r="Z39" s="41" t="str">
        <f aca="false">IF(AND(G39&lt;&gt;"",R39&lt;&gt;"",V39&lt;&gt;"",W39&lt;&gt;""),"COMPLETADO","OBSERVADO")</f>
        <v>OBSERVADO</v>
      </c>
      <c r="AA39" s="89"/>
    </row>
    <row r="40" customFormat="false" ht="15.75" hidden="false" customHeight="true" outlineLevel="0" collapsed="false">
      <c r="A40" s="140"/>
      <c r="B40" s="140"/>
      <c r="C40" s="140"/>
      <c r="D40" s="140"/>
      <c r="E40" s="140"/>
      <c r="F40" s="140"/>
      <c r="G40" s="140"/>
      <c r="H40" s="140"/>
      <c r="I40" s="138" t="str">
        <f aca="false">IFERROR(VLOOKUP(TEXT(H40,"0"),IPRESS!$A$3:$B$212,2,0),"")</f>
        <v/>
      </c>
      <c r="J40" s="140"/>
      <c r="K40" s="138" t="str">
        <f aca="false">IFERROR(VLOOKUP(TEXT(O40,"0"),CONDUCTORES!$A$3:$G$54,7,0),"")</f>
        <v/>
      </c>
      <c r="L40" s="140"/>
      <c r="M40" s="140"/>
      <c r="N40" s="139" t="str">
        <f aca="false">IFERROR(IF(L40*M40=0,"",L40*M40),"")</f>
        <v/>
      </c>
      <c r="O40" s="140"/>
      <c r="P40" s="138" t="str">
        <f aca="false">IFERROR(VLOOKUP(TEXT(O40,"0"),CONDUCTORES!$A$3:$G$54,2,0),"")</f>
        <v/>
      </c>
      <c r="Q40" s="138" t="str">
        <f aca="false">IFERROR(VLOOKUP(TEXT(O40,"0"),CONDUCTORES!$A$3:$H$54,6,0),"")</f>
        <v/>
      </c>
      <c r="R40" s="140"/>
      <c r="S40" s="140"/>
      <c r="T40" s="140"/>
      <c r="U40" s="140"/>
      <c r="V40" s="140"/>
      <c r="W40" s="140"/>
      <c r="X40" s="140"/>
      <c r="Y40" s="140"/>
      <c r="Z40" s="47" t="str">
        <f aca="false">IF(AND(G40&lt;&gt;"",R40&lt;&gt;"",V40&lt;&gt;"",W40&lt;&gt;""),"COMPLETADO","OBSERVADO")</f>
        <v>OBSERVADO</v>
      </c>
      <c r="AA40" s="89"/>
    </row>
    <row r="41" customFormat="false" ht="15.75" hidden="false" customHeight="true" outlineLevel="0" collapsed="false">
      <c r="A41" s="85"/>
      <c r="B41" s="85"/>
      <c r="C41" s="85"/>
      <c r="D41" s="85"/>
      <c r="E41" s="85"/>
      <c r="F41" s="85"/>
      <c r="G41" s="85"/>
      <c r="H41" s="85"/>
      <c r="I41" s="138" t="str">
        <f aca="false">IFERROR(VLOOKUP(TEXT(H41,"0"),IPRESS!$A$3:$B$212,2,0),"")</f>
        <v/>
      </c>
      <c r="J41" s="85"/>
      <c r="K41" s="138" t="str">
        <f aca="false">IFERROR(VLOOKUP(TEXT(O41,"0"),CONDUCTORES!$A$3:$G$54,7,0),"")</f>
        <v/>
      </c>
      <c r="L41" s="85"/>
      <c r="M41" s="85"/>
      <c r="N41" s="139" t="str">
        <f aca="false">IFERROR(IF(L41*M41=0,"",L41*M41),"")</f>
        <v/>
      </c>
      <c r="O41" s="85"/>
      <c r="P41" s="138" t="str">
        <f aca="false">IFERROR(VLOOKUP(TEXT(O41,"0"),CONDUCTORES!$A$3:$G$54,2,0),"")</f>
        <v/>
      </c>
      <c r="Q41" s="138" t="str">
        <f aca="false">IFERROR(VLOOKUP(TEXT(O41,"0"),CONDUCTORES!$A$3:$H$54,6,0),"")</f>
        <v/>
      </c>
      <c r="R41" s="85"/>
      <c r="S41" s="85"/>
      <c r="T41" s="85"/>
      <c r="U41" s="85"/>
      <c r="V41" s="85"/>
      <c r="W41" s="85"/>
      <c r="X41" s="85"/>
      <c r="Y41" s="85"/>
      <c r="Z41" s="41" t="str">
        <f aca="false">IF(AND(G41&lt;&gt;"",R41&lt;&gt;"",V41&lt;&gt;"",W41&lt;&gt;""),"COMPLETADO","OBSERVADO")</f>
        <v>OBSERVADO</v>
      </c>
      <c r="AA41" s="89"/>
    </row>
    <row r="42" customFormat="false" ht="15.75" hidden="false" customHeight="true" outlineLevel="0" collapsed="false">
      <c r="A42" s="140"/>
      <c r="B42" s="140"/>
      <c r="C42" s="140"/>
      <c r="D42" s="140"/>
      <c r="E42" s="140"/>
      <c r="F42" s="140"/>
      <c r="G42" s="140"/>
      <c r="H42" s="140"/>
      <c r="I42" s="138" t="str">
        <f aca="false">IFERROR(VLOOKUP(TEXT(H42,"0"),IPRESS!$A$3:$B$212,2,0),"")</f>
        <v/>
      </c>
      <c r="J42" s="140"/>
      <c r="K42" s="138" t="str">
        <f aca="false">IFERROR(VLOOKUP(TEXT(O42,"0"),CONDUCTORES!$A$3:$G$54,7,0),"")</f>
        <v/>
      </c>
      <c r="L42" s="140"/>
      <c r="M42" s="140"/>
      <c r="N42" s="139" t="str">
        <f aca="false">IFERROR(IF(L42*M42=0,"",L42*M42),"")</f>
        <v/>
      </c>
      <c r="O42" s="140"/>
      <c r="P42" s="138" t="str">
        <f aca="false">IFERROR(VLOOKUP(TEXT(O42,"0"),CONDUCTORES!$A$3:$G$54,2,0),"")</f>
        <v/>
      </c>
      <c r="Q42" s="138" t="str">
        <f aca="false">IFERROR(VLOOKUP(TEXT(O42,"0"),CONDUCTORES!$A$3:$H$54,6,0),"")</f>
        <v/>
      </c>
      <c r="R42" s="140"/>
      <c r="S42" s="140"/>
      <c r="T42" s="140"/>
      <c r="U42" s="140"/>
      <c r="V42" s="140"/>
      <c r="W42" s="140"/>
      <c r="X42" s="140"/>
      <c r="Y42" s="140"/>
      <c r="Z42" s="47" t="str">
        <f aca="false">IF(AND(G42&lt;&gt;"",R42&lt;&gt;"",V42&lt;&gt;"",W42&lt;&gt;""),"COMPLETADO","OBSERVADO")</f>
        <v>OBSERVADO</v>
      </c>
      <c r="AA42" s="89"/>
    </row>
    <row r="43" customFormat="false" ht="15.75" hidden="false" customHeight="true" outlineLevel="0" collapsed="false">
      <c r="A43" s="85"/>
      <c r="B43" s="85"/>
      <c r="C43" s="85"/>
      <c r="D43" s="85"/>
      <c r="E43" s="85"/>
      <c r="F43" s="85"/>
      <c r="G43" s="85"/>
      <c r="H43" s="85"/>
      <c r="I43" s="138" t="str">
        <f aca="false">IFERROR(VLOOKUP(TEXT(H43,"0"),IPRESS!$A$3:$B$212,2,0),"")</f>
        <v/>
      </c>
      <c r="J43" s="85"/>
      <c r="K43" s="138" t="str">
        <f aca="false">IFERROR(VLOOKUP(TEXT(O43,"0"),CONDUCTORES!$A$3:$G$54,7,0),"")</f>
        <v/>
      </c>
      <c r="L43" s="85"/>
      <c r="M43" s="85"/>
      <c r="N43" s="139" t="str">
        <f aca="false">IFERROR(IF(L43*M43=0,"",L43*M43),"")</f>
        <v/>
      </c>
      <c r="O43" s="85"/>
      <c r="P43" s="138" t="str">
        <f aca="false">IFERROR(VLOOKUP(TEXT(O43,"0"),CONDUCTORES!$A$3:$G$54,2,0),"")</f>
        <v/>
      </c>
      <c r="Q43" s="138" t="str">
        <f aca="false">IFERROR(VLOOKUP(TEXT(O43,"0"),CONDUCTORES!$A$3:$H$54,6,0),"")</f>
        <v/>
      </c>
      <c r="R43" s="85"/>
      <c r="S43" s="85"/>
      <c r="T43" s="85"/>
      <c r="U43" s="85"/>
      <c r="V43" s="85"/>
      <c r="W43" s="85"/>
      <c r="X43" s="85"/>
      <c r="Y43" s="85"/>
      <c r="Z43" s="41" t="str">
        <f aca="false">IF(AND(G43&lt;&gt;"",R43&lt;&gt;"",V43&lt;&gt;"",W43&lt;&gt;""),"COMPLETADO","OBSERVADO")</f>
        <v>OBSERVADO</v>
      </c>
      <c r="AA43" s="89"/>
    </row>
    <row r="44" customFormat="false" ht="15.75" hidden="false" customHeight="true" outlineLevel="0" collapsed="false">
      <c r="A44" s="140"/>
      <c r="B44" s="140"/>
      <c r="C44" s="140"/>
      <c r="D44" s="140"/>
      <c r="E44" s="140"/>
      <c r="F44" s="140"/>
      <c r="G44" s="140"/>
      <c r="H44" s="140"/>
      <c r="I44" s="138" t="str">
        <f aca="false">IFERROR(VLOOKUP(TEXT(H44,"0"),IPRESS!$A$3:$B$212,2,0),"")</f>
        <v/>
      </c>
      <c r="J44" s="140"/>
      <c r="K44" s="138" t="str">
        <f aca="false">IFERROR(VLOOKUP(TEXT(O44,"0"),CONDUCTORES!$A$3:$G$54,7,0),"")</f>
        <v/>
      </c>
      <c r="L44" s="140"/>
      <c r="M44" s="140"/>
      <c r="N44" s="139" t="str">
        <f aca="false">IFERROR(IF(L44*M44=0,"",L44*M44),"")</f>
        <v/>
      </c>
      <c r="O44" s="140"/>
      <c r="P44" s="138" t="str">
        <f aca="false">IFERROR(VLOOKUP(TEXT(O44,"0"),CONDUCTORES!$A$3:$G$54,2,0),"")</f>
        <v/>
      </c>
      <c r="Q44" s="138" t="str">
        <f aca="false">IFERROR(VLOOKUP(TEXT(O44,"0"),CONDUCTORES!$A$3:$H$54,6,0),"")</f>
        <v/>
      </c>
      <c r="R44" s="140"/>
      <c r="S44" s="140"/>
      <c r="T44" s="140"/>
      <c r="U44" s="140"/>
      <c r="V44" s="140"/>
      <c r="W44" s="140"/>
      <c r="X44" s="140"/>
      <c r="Y44" s="140"/>
      <c r="Z44" s="47" t="str">
        <f aca="false">IF(AND(G44&lt;&gt;"",R44&lt;&gt;"",V44&lt;&gt;"",W44&lt;&gt;""),"COMPLETADO","OBSERVADO")</f>
        <v>OBSERVADO</v>
      </c>
      <c r="AA44" s="89"/>
    </row>
    <row r="45" customFormat="false" ht="15.75" hidden="false" customHeight="true" outlineLevel="0" collapsed="false">
      <c r="A45" s="85"/>
      <c r="B45" s="85"/>
      <c r="C45" s="85"/>
      <c r="D45" s="85"/>
      <c r="E45" s="85"/>
      <c r="F45" s="85"/>
      <c r="G45" s="85"/>
      <c r="H45" s="85"/>
      <c r="I45" s="138" t="str">
        <f aca="false">IFERROR(VLOOKUP(TEXT(H45,"0"),IPRESS!$A$3:$B$212,2,0),"")</f>
        <v/>
      </c>
      <c r="J45" s="85"/>
      <c r="K45" s="138" t="str">
        <f aca="false">IFERROR(VLOOKUP(TEXT(O45,"0"),CONDUCTORES!$A$3:$G$54,7,0),"")</f>
        <v/>
      </c>
      <c r="L45" s="85"/>
      <c r="M45" s="85"/>
      <c r="N45" s="139" t="str">
        <f aca="false">IFERROR(IF(L45*M45=0,"",L45*M45),"")</f>
        <v/>
      </c>
      <c r="O45" s="85"/>
      <c r="P45" s="138" t="str">
        <f aca="false">IFERROR(VLOOKUP(TEXT(O45,"0"),CONDUCTORES!$A$3:$G$54,2,0),"")</f>
        <v/>
      </c>
      <c r="Q45" s="138" t="str">
        <f aca="false">IFERROR(VLOOKUP(TEXT(O45,"0"),CONDUCTORES!$A$3:$H$54,6,0),"")</f>
        <v/>
      </c>
      <c r="R45" s="85"/>
      <c r="S45" s="85"/>
      <c r="T45" s="85"/>
      <c r="U45" s="85"/>
      <c r="V45" s="85"/>
      <c r="W45" s="85"/>
      <c r="X45" s="85"/>
      <c r="Y45" s="85"/>
      <c r="Z45" s="41" t="str">
        <f aca="false">IF(AND(G45&lt;&gt;"",R45&lt;&gt;"",V45&lt;&gt;"",W45&lt;&gt;""),"COMPLETADO","OBSERVADO")</f>
        <v>OBSERVADO</v>
      </c>
      <c r="AA45" s="89"/>
    </row>
    <row r="46" customFormat="false" ht="15.75" hidden="false" customHeight="true" outlineLevel="0" collapsed="false">
      <c r="A46" s="140"/>
      <c r="B46" s="140"/>
      <c r="C46" s="140"/>
      <c r="D46" s="140"/>
      <c r="E46" s="140"/>
      <c r="F46" s="140"/>
      <c r="G46" s="140"/>
      <c r="H46" s="140"/>
      <c r="I46" s="138" t="str">
        <f aca="false">IFERROR(VLOOKUP(TEXT(H46,"0"),IPRESS!$A$3:$B$212,2,0),"")</f>
        <v/>
      </c>
      <c r="J46" s="140"/>
      <c r="K46" s="138" t="str">
        <f aca="false">IFERROR(VLOOKUP(TEXT(O46,"0"),CONDUCTORES!$A$3:$G$54,7,0),"")</f>
        <v/>
      </c>
      <c r="L46" s="140"/>
      <c r="M46" s="140"/>
      <c r="N46" s="139" t="str">
        <f aca="false">IFERROR(IF(L46*M46=0,"",L46*M46),"")</f>
        <v/>
      </c>
      <c r="O46" s="140"/>
      <c r="P46" s="138" t="str">
        <f aca="false">IFERROR(VLOOKUP(TEXT(O46,"0"),CONDUCTORES!$A$3:$G$54,2,0),"")</f>
        <v/>
      </c>
      <c r="Q46" s="138" t="str">
        <f aca="false">IFERROR(VLOOKUP(TEXT(O46,"0"),CONDUCTORES!$A$3:$H$54,6,0),"")</f>
        <v/>
      </c>
      <c r="R46" s="140"/>
      <c r="S46" s="140"/>
      <c r="T46" s="140"/>
      <c r="U46" s="140"/>
      <c r="V46" s="140"/>
      <c r="W46" s="140"/>
      <c r="X46" s="140"/>
      <c r="Y46" s="140"/>
      <c r="Z46" s="47" t="str">
        <f aca="false">IF(AND(G46&lt;&gt;"",R46&lt;&gt;"",V46&lt;&gt;"",W46&lt;&gt;""),"COMPLETADO","OBSERVADO")</f>
        <v>OBSERVADO</v>
      </c>
      <c r="AA46" s="89"/>
    </row>
    <row r="47" customFormat="false" ht="15.75" hidden="false" customHeight="true" outlineLevel="0" collapsed="false">
      <c r="A47" s="85"/>
      <c r="B47" s="85"/>
      <c r="C47" s="85"/>
      <c r="D47" s="85"/>
      <c r="E47" s="85"/>
      <c r="F47" s="85"/>
      <c r="G47" s="85"/>
      <c r="H47" s="85"/>
      <c r="I47" s="138" t="str">
        <f aca="false">IFERROR(VLOOKUP(TEXT(H47,"0"),IPRESS!$A$3:$B$212,2,0),"")</f>
        <v/>
      </c>
      <c r="J47" s="85"/>
      <c r="K47" s="138" t="str">
        <f aca="false">IFERROR(VLOOKUP(TEXT(O47,"0"),CONDUCTORES!$A$3:$G$54,7,0),"")</f>
        <v/>
      </c>
      <c r="L47" s="85"/>
      <c r="M47" s="85"/>
      <c r="N47" s="139" t="str">
        <f aca="false">IFERROR(IF(L47*M47=0,"",L47*M47),"")</f>
        <v/>
      </c>
      <c r="O47" s="85"/>
      <c r="P47" s="138" t="str">
        <f aca="false">IFERROR(VLOOKUP(TEXT(O47,"0"),CONDUCTORES!$A$3:$G$54,2,0),"")</f>
        <v/>
      </c>
      <c r="Q47" s="138" t="str">
        <f aca="false">IFERROR(VLOOKUP(TEXT(O47,"0"),CONDUCTORES!$A$3:$H$54,6,0),"")</f>
        <v/>
      </c>
      <c r="R47" s="85"/>
      <c r="S47" s="85"/>
      <c r="T47" s="85"/>
      <c r="U47" s="85"/>
      <c r="V47" s="85"/>
      <c r="W47" s="85"/>
      <c r="X47" s="85"/>
      <c r="Y47" s="85"/>
      <c r="Z47" s="41" t="str">
        <f aca="false">IF(AND(G47&lt;&gt;"",R47&lt;&gt;"",V47&lt;&gt;"",W47&lt;&gt;""),"COMPLETADO","OBSERVADO")</f>
        <v>OBSERVADO</v>
      </c>
      <c r="AA47" s="89"/>
    </row>
    <row r="48" customFormat="false" ht="15.75" hidden="false" customHeight="true" outlineLevel="0" collapsed="false">
      <c r="A48" s="140"/>
      <c r="B48" s="140"/>
      <c r="C48" s="140"/>
      <c r="D48" s="140"/>
      <c r="E48" s="140"/>
      <c r="F48" s="140"/>
      <c r="G48" s="140"/>
      <c r="H48" s="140"/>
      <c r="I48" s="138" t="str">
        <f aca="false">IFERROR(VLOOKUP(TEXT(H48,"0"),IPRESS!$A$3:$B$212,2,0),"")</f>
        <v/>
      </c>
      <c r="J48" s="140"/>
      <c r="K48" s="138" t="str">
        <f aca="false">IFERROR(VLOOKUP(TEXT(O48,"0"),CONDUCTORES!$A$3:$G$54,7,0),"")</f>
        <v/>
      </c>
      <c r="L48" s="140"/>
      <c r="M48" s="140"/>
      <c r="N48" s="139" t="str">
        <f aca="false">IFERROR(IF(L48*M48=0,"",L48*M48),"")</f>
        <v/>
      </c>
      <c r="O48" s="140"/>
      <c r="P48" s="138" t="str">
        <f aca="false">IFERROR(VLOOKUP(TEXT(O48,"0"),CONDUCTORES!$A$3:$G$54,2,0),"")</f>
        <v/>
      </c>
      <c r="Q48" s="138" t="str">
        <f aca="false">IFERROR(VLOOKUP(TEXT(O48,"0"),CONDUCTORES!$A$3:$H$54,6,0),"")</f>
        <v/>
      </c>
      <c r="R48" s="140"/>
      <c r="S48" s="140"/>
      <c r="T48" s="140"/>
      <c r="U48" s="140"/>
      <c r="V48" s="140"/>
      <c r="W48" s="140"/>
      <c r="X48" s="140"/>
      <c r="Y48" s="140"/>
      <c r="Z48" s="47" t="str">
        <f aca="false">IF(AND(G48&lt;&gt;"",R48&lt;&gt;"",V48&lt;&gt;"",W48&lt;&gt;""),"COMPLETADO","OBSERVADO")</f>
        <v>OBSERVADO</v>
      </c>
      <c r="AA48" s="89"/>
    </row>
    <row r="49" customFormat="false" ht="15.75" hidden="false" customHeight="true" outlineLevel="0" collapsed="false">
      <c r="A49" s="85"/>
      <c r="B49" s="85"/>
      <c r="C49" s="85"/>
      <c r="D49" s="85"/>
      <c r="E49" s="85"/>
      <c r="F49" s="85"/>
      <c r="G49" s="85"/>
      <c r="H49" s="85"/>
      <c r="I49" s="138" t="str">
        <f aca="false">IFERROR(VLOOKUP(TEXT(H49,"0"),IPRESS!$A$3:$B$212,2,0),"")</f>
        <v/>
      </c>
      <c r="J49" s="85"/>
      <c r="K49" s="138" t="str">
        <f aca="false">IFERROR(VLOOKUP(TEXT(O49,"0"),CONDUCTORES!$A$3:$G$54,7,0),"")</f>
        <v/>
      </c>
      <c r="L49" s="85"/>
      <c r="M49" s="85"/>
      <c r="N49" s="139" t="str">
        <f aca="false">IFERROR(IF(L49*M49=0,"",L49*M49),"")</f>
        <v/>
      </c>
      <c r="O49" s="85"/>
      <c r="P49" s="138" t="str">
        <f aca="false">IFERROR(VLOOKUP(TEXT(O49,"0"),CONDUCTORES!$A$3:$G$54,2,0),"")</f>
        <v/>
      </c>
      <c r="Q49" s="138" t="str">
        <f aca="false">IFERROR(VLOOKUP(TEXT(O49,"0"),CONDUCTORES!$A$3:$H$54,6,0),"")</f>
        <v/>
      </c>
      <c r="R49" s="85"/>
      <c r="S49" s="85"/>
      <c r="T49" s="85"/>
      <c r="U49" s="85"/>
      <c r="V49" s="85"/>
      <c r="W49" s="85"/>
      <c r="X49" s="85"/>
      <c r="Y49" s="85"/>
      <c r="Z49" s="41" t="str">
        <f aca="false">IF(AND(G49&lt;&gt;"",R49&lt;&gt;"",V49&lt;&gt;"",W49&lt;&gt;""),"COMPLETADO","OBSERVADO")</f>
        <v>OBSERVADO</v>
      </c>
      <c r="AA49" s="89"/>
    </row>
    <row r="50" customFormat="false" ht="15.75" hidden="false" customHeight="true" outlineLevel="0" collapsed="false">
      <c r="A50" s="140"/>
      <c r="B50" s="140"/>
      <c r="C50" s="140"/>
      <c r="D50" s="140"/>
      <c r="E50" s="140"/>
      <c r="F50" s="140"/>
      <c r="G50" s="140"/>
      <c r="H50" s="140"/>
      <c r="I50" s="138" t="str">
        <f aca="false">IFERROR(VLOOKUP(TEXT(H50,"0"),IPRESS!$A$3:$B$212,2,0),"")</f>
        <v/>
      </c>
      <c r="J50" s="140"/>
      <c r="K50" s="138" t="str">
        <f aca="false">IFERROR(VLOOKUP(TEXT(O50,"0"),CONDUCTORES!$A$3:$G$54,7,0),"")</f>
        <v/>
      </c>
      <c r="L50" s="140"/>
      <c r="M50" s="140"/>
      <c r="N50" s="139" t="str">
        <f aca="false">IFERROR(IF(L50*M50=0,"",L50*M50),"")</f>
        <v/>
      </c>
      <c r="O50" s="140"/>
      <c r="P50" s="138" t="str">
        <f aca="false">IFERROR(VLOOKUP(TEXT(O50,"0"),CONDUCTORES!$A$3:$G$54,2,0),"")</f>
        <v/>
      </c>
      <c r="Q50" s="138" t="str">
        <f aca="false">IFERROR(VLOOKUP(TEXT(O50,"0"),CONDUCTORES!$A$3:$H$54,6,0),"")</f>
        <v/>
      </c>
      <c r="R50" s="140"/>
      <c r="S50" s="140"/>
      <c r="T50" s="140"/>
      <c r="U50" s="140"/>
      <c r="V50" s="140"/>
      <c r="W50" s="140"/>
      <c r="X50" s="140"/>
      <c r="Y50" s="140"/>
      <c r="Z50" s="47" t="str">
        <f aca="false">IF(AND(G50&lt;&gt;"",R50&lt;&gt;"",V50&lt;&gt;"",W50&lt;&gt;""),"COMPLETADO","OBSERVADO")</f>
        <v>OBSERVADO</v>
      </c>
      <c r="AA50" s="89"/>
    </row>
    <row r="51" customFormat="false" ht="15.75" hidden="false" customHeight="true" outlineLevel="0" collapsed="false">
      <c r="A51" s="85"/>
      <c r="B51" s="85"/>
      <c r="C51" s="85"/>
      <c r="D51" s="85"/>
      <c r="E51" s="85"/>
      <c r="F51" s="85"/>
      <c r="G51" s="85"/>
      <c r="H51" s="85"/>
      <c r="I51" s="138" t="str">
        <f aca="false">IFERROR(VLOOKUP(TEXT(H51,"0"),IPRESS!$A$3:$B$212,2,0),"")</f>
        <v/>
      </c>
      <c r="J51" s="85"/>
      <c r="K51" s="138" t="str">
        <f aca="false">IFERROR(VLOOKUP(TEXT(O51,"0"),CONDUCTORES!$A$3:$G$54,7,0),"")</f>
        <v/>
      </c>
      <c r="L51" s="85"/>
      <c r="M51" s="85"/>
      <c r="N51" s="139" t="str">
        <f aca="false">IFERROR(IF(L51*M51=0,"",L51*M51),"")</f>
        <v/>
      </c>
      <c r="O51" s="85"/>
      <c r="P51" s="138" t="str">
        <f aca="false">IFERROR(VLOOKUP(TEXT(O51,"0"),CONDUCTORES!$A$3:$G$54,2,0),"")</f>
        <v/>
      </c>
      <c r="Q51" s="138" t="str">
        <f aca="false">IFERROR(VLOOKUP(TEXT(O51,"0"),CONDUCTORES!$A$3:$H$54,6,0),"")</f>
        <v/>
      </c>
      <c r="R51" s="85"/>
      <c r="S51" s="85"/>
      <c r="T51" s="85"/>
      <c r="U51" s="85"/>
      <c r="V51" s="85"/>
      <c r="W51" s="85"/>
      <c r="X51" s="85"/>
      <c r="Y51" s="85"/>
      <c r="Z51" s="41" t="str">
        <f aca="false">IF(AND(G51&lt;&gt;"",R51&lt;&gt;"",V51&lt;&gt;"",W51&lt;&gt;""),"COMPLETADO","OBSERVADO")</f>
        <v>OBSERVADO</v>
      </c>
      <c r="AA51" s="89"/>
    </row>
    <row r="52" customFormat="false" ht="15.75" hidden="false" customHeight="true" outlineLevel="0" collapsed="false">
      <c r="A52" s="140"/>
      <c r="B52" s="140"/>
      <c r="C52" s="140"/>
      <c r="D52" s="140"/>
      <c r="E52" s="140"/>
      <c r="F52" s="140"/>
      <c r="G52" s="140"/>
      <c r="H52" s="140"/>
      <c r="I52" s="138" t="str">
        <f aca="false">IFERROR(VLOOKUP(TEXT(H52,"0"),IPRESS!$A$3:$B$212,2,0),"")</f>
        <v/>
      </c>
      <c r="J52" s="140"/>
      <c r="K52" s="138" t="str">
        <f aca="false">IFERROR(VLOOKUP(TEXT(O52,"0"),CONDUCTORES!$A$3:$G$54,7,0),"")</f>
        <v/>
      </c>
      <c r="L52" s="140"/>
      <c r="M52" s="140"/>
      <c r="N52" s="139" t="str">
        <f aca="false">IFERROR(IF(L52*M52=0,"",L52*M52),"")</f>
        <v/>
      </c>
      <c r="O52" s="140"/>
      <c r="P52" s="138" t="str">
        <f aca="false">IFERROR(VLOOKUP(TEXT(O52,"0"),CONDUCTORES!$A$3:$G$54,2,0),"")</f>
        <v/>
      </c>
      <c r="Q52" s="138" t="str">
        <f aca="false">IFERROR(VLOOKUP(TEXT(O52,"0"),CONDUCTORES!$A$3:$H$54,6,0),"")</f>
        <v/>
      </c>
      <c r="R52" s="140"/>
      <c r="S52" s="140"/>
      <c r="T52" s="140"/>
      <c r="U52" s="140"/>
      <c r="V52" s="140"/>
      <c r="W52" s="140"/>
      <c r="X52" s="140"/>
      <c r="Y52" s="140"/>
      <c r="Z52" s="47" t="str">
        <f aca="false">IF(AND(G52&lt;&gt;"",R52&lt;&gt;"",V52&lt;&gt;"",W52&lt;&gt;""),"COMPLETADO","OBSERVADO")</f>
        <v>OBSERVADO</v>
      </c>
      <c r="AA52" s="89"/>
    </row>
    <row r="53" customFormat="false" ht="15.75" hidden="false" customHeight="true" outlineLevel="0" collapsed="false">
      <c r="A53" s="85"/>
      <c r="B53" s="85"/>
      <c r="C53" s="85"/>
      <c r="D53" s="85"/>
      <c r="E53" s="85"/>
      <c r="F53" s="85"/>
      <c r="G53" s="85"/>
      <c r="H53" s="85"/>
      <c r="I53" s="138" t="str">
        <f aca="false">IFERROR(VLOOKUP(TEXT(H53,"0"),IPRESS!$A$3:$B$212,2,0),"")</f>
        <v/>
      </c>
      <c r="J53" s="85"/>
      <c r="K53" s="138" t="str">
        <f aca="false">IFERROR(VLOOKUP(TEXT(O53,"0"),CONDUCTORES!$A$3:$G$54,7,0),"")</f>
        <v/>
      </c>
      <c r="L53" s="85"/>
      <c r="M53" s="85"/>
      <c r="N53" s="139" t="str">
        <f aca="false">IFERROR(IF(L53*M53=0,"",L53*M53),"")</f>
        <v/>
      </c>
      <c r="O53" s="85"/>
      <c r="P53" s="138" t="str">
        <f aca="false">IFERROR(VLOOKUP(TEXT(O53,"0"),CONDUCTORES!$A$3:$G$54,2,0),"")</f>
        <v/>
      </c>
      <c r="Q53" s="138" t="str">
        <f aca="false">IFERROR(VLOOKUP(TEXT(O53,"0"),CONDUCTORES!$A$3:$H$54,6,0),"")</f>
        <v/>
      </c>
      <c r="R53" s="85"/>
      <c r="S53" s="85"/>
      <c r="T53" s="85"/>
      <c r="U53" s="85"/>
      <c r="V53" s="85"/>
      <c r="W53" s="85"/>
      <c r="X53" s="85"/>
      <c r="Y53" s="85"/>
      <c r="Z53" s="41" t="str">
        <f aca="false">IF(AND(G53&lt;&gt;"",R53&lt;&gt;"",V53&lt;&gt;"",W53&lt;&gt;""),"COMPLETADO","OBSERVADO")</f>
        <v>OBSERVADO</v>
      </c>
      <c r="AA53" s="89"/>
    </row>
    <row r="54" customFormat="false" ht="15.75" hidden="false" customHeight="true" outlineLevel="0" collapsed="false">
      <c r="A54" s="140"/>
      <c r="B54" s="140"/>
      <c r="C54" s="140"/>
      <c r="D54" s="140"/>
      <c r="E54" s="140"/>
      <c r="F54" s="140"/>
      <c r="G54" s="140"/>
      <c r="H54" s="140"/>
      <c r="I54" s="138" t="str">
        <f aca="false">IFERROR(VLOOKUP(TEXT(H54,"0"),IPRESS!$A$3:$B$212,2,0),"")</f>
        <v/>
      </c>
      <c r="J54" s="140"/>
      <c r="K54" s="138" t="str">
        <f aca="false">IFERROR(VLOOKUP(TEXT(O54,"0"),CONDUCTORES!$A$3:$G$54,7,0),"")</f>
        <v/>
      </c>
      <c r="L54" s="140"/>
      <c r="M54" s="140"/>
      <c r="N54" s="139" t="str">
        <f aca="false">IFERROR(IF(L54*M54=0,"",L54*M54),"")</f>
        <v/>
      </c>
      <c r="O54" s="140"/>
      <c r="P54" s="138" t="str">
        <f aca="false">IFERROR(VLOOKUP(TEXT(O54,"0"),CONDUCTORES!$A$3:$G$54,2,0),"")</f>
        <v/>
      </c>
      <c r="Q54" s="138" t="str">
        <f aca="false">IFERROR(VLOOKUP(TEXT(O54,"0"),CONDUCTORES!$A$3:$H$54,6,0),"")</f>
        <v/>
      </c>
      <c r="R54" s="140"/>
      <c r="S54" s="140"/>
      <c r="T54" s="140"/>
      <c r="U54" s="140"/>
      <c r="V54" s="140"/>
      <c r="W54" s="140"/>
      <c r="X54" s="140"/>
      <c r="Y54" s="140"/>
      <c r="Z54" s="47" t="str">
        <f aca="false">IF(AND(G54&lt;&gt;"",R54&lt;&gt;"",V54&lt;&gt;"",W54&lt;&gt;""),"COMPLETADO","OBSERVADO")</f>
        <v>OBSERVADO</v>
      </c>
      <c r="AA54" s="89"/>
    </row>
    <row r="55" customFormat="false" ht="15.75" hidden="false" customHeight="true" outlineLevel="0" collapsed="false">
      <c r="A55" s="85"/>
      <c r="B55" s="85"/>
      <c r="C55" s="85"/>
      <c r="D55" s="85"/>
      <c r="E55" s="85"/>
      <c r="F55" s="85"/>
      <c r="G55" s="85"/>
      <c r="H55" s="85"/>
      <c r="I55" s="138" t="str">
        <f aca="false">IFERROR(VLOOKUP(TEXT(H55,"0"),IPRESS!$A$3:$B$212,2,0),"")</f>
        <v/>
      </c>
      <c r="J55" s="85"/>
      <c r="K55" s="138" t="str">
        <f aca="false">IFERROR(VLOOKUP(TEXT(O55,"0"),CONDUCTORES!$A$3:$G$54,7,0),"")</f>
        <v/>
      </c>
      <c r="L55" s="85"/>
      <c r="M55" s="85"/>
      <c r="N55" s="139" t="str">
        <f aca="false">IFERROR(IF(L55*M55=0,"",L55*M55),"")</f>
        <v/>
      </c>
      <c r="O55" s="85"/>
      <c r="P55" s="138" t="str">
        <f aca="false">IFERROR(VLOOKUP(TEXT(O55,"0"),CONDUCTORES!$A$3:$G$54,2,0),"")</f>
        <v/>
      </c>
      <c r="Q55" s="138" t="str">
        <f aca="false">IFERROR(VLOOKUP(TEXT(O55,"0"),CONDUCTORES!$A$3:$H$54,6,0),"")</f>
        <v/>
      </c>
      <c r="R55" s="85"/>
      <c r="S55" s="85"/>
      <c r="T55" s="85"/>
      <c r="U55" s="85"/>
      <c r="V55" s="85"/>
      <c r="W55" s="85"/>
      <c r="X55" s="85"/>
      <c r="Y55" s="85"/>
      <c r="Z55" s="41" t="str">
        <f aca="false">IF(AND(G55&lt;&gt;"",R55&lt;&gt;"",V55&lt;&gt;"",W55&lt;&gt;""),"COMPLETADO","OBSERVADO")</f>
        <v>OBSERVADO</v>
      </c>
      <c r="AA55" s="89"/>
    </row>
    <row r="56" customFormat="false" ht="15.75" hidden="false" customHeight="true" outlineLevel="0" collapsed="false">
      <c r="A56" s="140"/>
      <c r="B56" s="140"/>
      <c r="C56" s="140"/>
      <c r="D56" s="140"/>
      <c r="E56" s="140"/>
      <c r="F56" s="140"/>
      <c r="G56" s="140"/>
      <c r="H56" s="140"/>
      <c r="I56" s="138" t="str">
        <f aca="false">IFERROR(VLOOKUP(TEXT(H56,"0"),IPRESS!$A$3:$B$212,2,0),"")</f>
        <v/>
      </c>
      <c r="J56" s="140"/>
      <c r="K56" s="138" t="str">
        <f aca="false">IFERROR(VLOOKUP(TEXT(O56,"0"),CONDUCTORES!$A$3:$G$54,7,0),"")</f>
        <v/>
      </c>
      <c r="L56" s="140"/>
      <c r="M56" s="140"/>
      <c r="N56" s="139" t="str">
        <f aca="false">IFERROR(IF(L56*M56=0,"",L56*M56),"")</f>
        <v/>
      </c>
      <c r="O56" s="140"/>
      <c r="P56" s="138" t="str">
        <f aca="false">IFERROR(VLOOKUP(TEXT(O56,"0"),CONDUCTORES!$A$3:$G$54,2,0),"")</f>
        <v/>
      </c>
      <c r="Q56" s="138" t="str">
        <f aca="false">IFERROR(VLOOKUP(TEXT(O56,"0"),CONDUCTORES!$A$3:$H$54,6,0),"")</f>
        <v/>
      </c>
      <c r="R56" s="140"/>
      <c r="S56" s="140"/>
      <c r="T56" s="140"/>
      <c r="U56" s="140"/>
      <c r="V56" s="140"/>
      <c r="W56" s="140"/>
      <c r="X56" s="140"/>
      <c r="Y56" s="140"/>
      <c r="Z56" s="47" t="str">
        <f aca="false">IF(AND(G56&lt;&gt;"",R56&lt;&gt;"",V56&lt;&gt;"",W56&lt;&gt;""),"COMPLETADO","OBSERVADO")</f>
        <v>OBSERVADO</v>
      </c>
      <c r="AA56" s="89"/>
    </row>
    <row r="57" customFormat="false" ht="15.75" hidden="false" customHeight="true" outlineLevel="0" collapsed="false">
      <c r="A57" s="85"/>
      <c r="B57" s="85"/>
      <c r="C57" s="85"/>
      <c r="D57" s="85"/>
      <c r="E57" s="85"/>
      <c r="F57" s="85"/>
      <c r="G57" s="85"/>
      <c r="H57" s="85"/>
      <c r="I57" s="138" t="str">
        <f aca="false">IFERROR(VLOOKUP(TEXT(H57,"0"),IPRESS!$A$3:$B$212,2,0),"")</f>
        <v/>
      </c>
      <c r="J57" s="85"/>
      <c r="K57" s="138" t="str">
        <f aca="false">IFERROR(VLOOKUP(TEXT(O57,"0"),CONDUCTORES!$A$3:$G$54,7,0),"")</f>
        <v/>
      </c>
      <c r="L57" s="85"/>
      <c r="M57" s="85"/>
      <c r="N57" s="139" t="str">
        <f aca="false">IFERROR(IF(L57*M57=0,"",L57*M57),"")</f>
        <v/>
      </c>
      <c r="O57" s="85"/>
      <c r="P57" s="138" t="str">
        <f aca="false">IFERROR(VLOOKUP(TEXT(O57,"0"),CONDUCTORES!$A$3:$G$54,2,0),"")</f>
        <v/>
      </c>
      <c r="Q57" s="138" t="str">
        <f aca="false">IFERROR(VLOOKUP(TEXT(O57,"0"),CONDUCTORES!$A$3:$H$54,6,0),"")</f>
        <v/>
      </c>
      <c r="R57" s="85"/>
      <c r="S57" s="85"/>
      <c r="T57" s="85"/>
      <c r="U57" s="85"/>
      <c r="V57" s="85"/>
      <c r="W57" s="85"/>
      <c r="X57" s="85"/>
      <c r="Y57" s="85"/>
      <c r="Z57" s="41" t="str">
        <f aca="false">IF(AND(G57&lt;&gt;"",R57&lt;&gt;"",V57&lt;&gt;"",W57&lt;&gt;""),"COMPLETADO","OBSERVADO")</f>
        <v>OBSERVADO</v>
      </c>
      <c r="AA57" s="89"/>
    </row>
    <row r="58" customFormat="false" ht="15.75" hidden="false" customHeight="true" outlineLevel="0" collapsed="false">
      <c r="A58" s="140"/>
      <c r="B58" s="140"/>
      <c r="C58" s="140"/>
      <c r="D58" s="140"/>
      <c r="E58" s="140"/>
      <c r="F58" s="140"/>
      <c r="G58" s="140"/>
      <c r="H58" s="140"/>
      <c r="I58" s="138" t="str">
        <f aca="false">IFERROR(VLOOKUP(TEXT(H58,"0"),IPRESS!$A$3:$B$212,2,0),"")</f>
        <v/>
      </c>
      <c r="J58" s="140"/>
      <c r="K58" s="138" t="str">
        <f aca="false">IFERROR(VLOOKUP(TEXT(O58,"0"),CONDUCTORES!$A$3:$G$54,7,0),"")</f>
        <v/>
      </c>
      <c r="L58" s="140"/>
      <c r="M58" s="140"/>
      <c r="N58" s="139" t="str">
        <f aca="false">IFERROR(IF(L58*M58=0,"",L58*M58),"")</f>
        <v/>
      </c>
      <c r="O58" s="140"/>
      <c r="P58" s="138" t="str">
        <f aca="false">IFERROR(VLOOKUP(TEXT(O58,"0"),CONDUCTORES!$A$3:$G$54,2,0),"")</f>
        <v/>
      </c>
      <c r="Q58" s="138" t="str">
        <f aca="false">IFERROR(VLOOKUP(TEXT(O58,"0"),CONDUCTORES!$A$3:$H$54,6,0),"")</f>
        <v/>
      </c>
      <c r="R58" s="140"/>
      <c r="S58" s="140"/>
      <c r="T58" s="140"/>
      <c r="U58" s="140"/>
      <c r="V58" s="140"/>
      <c r="W58" s="140"/>
      <c r="X58" s="140"/>
      <c r="Y58" s="140"/>
      <c r="Z58" s="47" t="str">
        <f aca="false">IF(AND(G58&lt;&gt;"",R58&lt;&gt;"",V58&lt;&gt;"",W58&lt;&gt;""),"COMPLETADO","OBSERVADO")</f>
        <v>OBSERVADO</v>
      </c>
      <c r="AA58" s="89"/>
    </row>
    <row r="59" customFormat="false" ht="15.75" hidden="false" customHeight="true" outlineLevel="0" collapsed="false">
      <c r="A59" s="85"/>
      <c r="B59" s="85"/>
      <c r="C59" s="85"/>
      <c r="D59" s="85"/>
      <c r="E59" s="85"/>
      <c r="F59" s="85"/>
      <c r="G59" s="85"/>
      <c r="H59" s="85"/>
      <c r="I59" s="138" t="str">
        <f aca="false">IFERROR(VLOOKUP(TEXT(H59,"0"),IPRESS!$A$3:$B$212,2,0),"")</f>
        <v/>
      </c>
      <c r="J59" s="85"/>
      <c r="K59" s="138" t="str">
        <f aca="false">IFERROR(VLOOKUP(TEXT(O59,"0"),CONDUCTORES!$A$3:$G$54,7,0),"")</f>
        <v/>
      </c>
      <c r="L59" s="85"/>
      <c r="M59" s="85"/>
      <c r="N59" s="139" t="str">
        <f aca="false">IFERROR(IF(L59*M59=0,"",L59*M59),"")</f>
        <v/>
      </c>
      <c r="O59" s="85"/>
      <c r="P59" s="138" t="str">
        <f aca="false">IFERROR(VLOOKUP(TEXT(O59,"0"),CONDUCTORES!$A$3:$G$54,2,0),"")</f>
        <v/>
      </c>
      <c r="Q59" s="138" t="str">
        <f aca="false">IFERROR(VLOOKUP(TEXT(O59,"0"),CONDUCTORES!$A$3:$H$54,6,0),"")</f>
        <v/>
      </c>
      <c r="R59" s="85"/>
      <c r="S59" s="85"/>
      <c r="T59" s="85"/>
      <c r="U59" s="85"/>
      <c r="V59" s="85"/>
      <c r="W59" s="85"/>
      <c r="X59" s="85"/>
      <c r="Y59" s="85"/>
      <c r="Z59" s="41" t="str">
        <f aca="false">IF(AND(G59&lt;&gt;"",R59&lt;&gt;"",V59&lt;&gt;"",W59&lt;&gt;""),"COMPLETADO","OBSERVADO")</f>
        <v>OBSERVADO</v>
      </c>
      <c r="AA59" s="89"/>
    </row>
    <row r="60" customFormat="false" ht="15.75" hidden="false" customHeight="true" outlineLevel="0" collapsed="false">
      <c r="A60" s="140"/>
      <c r="B60" s="140"/>
      <c r="C60" s="140"/>
      <c r="D60" s="140"/>
      <c r="E60" s="140"/>
      <c r="F60" s="140"/>
      <c r="G60" s="140"/>
      <c r="H60" s="140"/>
      <c r="I60" s="138" t="str">
        <f aca="false">IFERROR(VLOOKUP(TEXT(H60,"0"),IPRESS!$A$3:$B$212,2,0),"")</f>
        <v/>
      </c>
      <c r="J60" s="140"/>
      <c r="K60" s="138" t="str">
        <f aca="false">IFERROR(VLOOKUP(TEXT(O60,"0"),CONDUCTORES!$A$3:$G$54,7,0),"")</f>
        <v/>
      </c>
      <c r="L60" s="140"/>
      <c r="M60" s="140"/>
      <c r="N60" s="139" t="str">
        <f aca="false">IFERROR(IF(L60*M60=0,"",L60*M60),"")</f>
        <v/>
      </c>
      <c r="O60" s="140"/>
      <c r="P60" s="138" t="str">
        <f aca="false">IFERROR(VLOOKUP(TEXT(O60,"0"),CONDUCTORES!$A$3:$G$54,2,0),"")</f>
        <v/>
      </c>
      <c r="Q60" s="138" t="str">
        <f aca="false">IFERROR(VLOOKUP(TEXT(O60,"0"),CONDUCTORES!$A$3:$H$54,6,0),"")</f>
        <v/>
      </c>
      <c r="R60" s="140"/>
      <c r="S60" s="140"/>
      <c r="T60" s="140"/>
      <c r="U60" s="140"/>
      <c r="V60" s="140"/>
      <c r="W60" s="140"/>
      <c r="X60" s="140"/>
      <c r="Y60" s="140"/>
      <c r="Z60" s="47" t="str">
        <f aca="false">IF(AND(G60&lt;&gt;"",R60&lt;&gt;"",V60&lt;&gt;"",W60&lt;&gt;""),"COMPLETADO","OBSERVADO")</f>
        <v>OBSERVADO</v>
      </c>
      <c r="AA60" s="89"/>
    </row>
    <row r="61" customFormat="false" ht="15.75" hidden="false" customHeight="true" outlineLevel="0" collapsed="false">
      <c r="A61" s="85"/>
      <c r="B61" s="85"/>
      <c r="C61" s="85"/>
      <c r="D61" s="85"/>
      <c r="E61" s="85"/>
      <c r="F61" s="85"/>
      <c r="G61" s="85"/>
      <c r="H61" s="85"/>
      <c r="I61" s="138" t="str">
        <f aca="false">IFERROR(VLOOKUP(TEXT(H61,"0"),IPRESS!$A$3:$B$212,2,0),"")</f>
        <v/>
      </c>
      <c r="J61" s="85"/>
      <c r="K61" s="138" t="str">
        <f aca="false">IFERROR(VLOOKUP(TEXT(O61,"0"),CONDUCTORES!$A$3:$G$54,7,0),"")</f>
        <v/>
      </c>
      <c r="L61" s="85"/>
      <c r="M61" s="85"/>
      <c r="N61" s="139" t="str">
        <f aca="false">IFERROR(IF(L61*M61=0,"",L61*M61),"")</f>
        <v/>
      </c>
      <c r="O61" s="85"/>
      <c r="P61" s="138" t="str">
        <f aca="false">IFERROR(VLOOKUP(TEXT(O61,"0"),CONDUCTORES!$A$3:$G$54,2,0),"")</f>
        <v/>
      </c>
      <c r="Q61" s="138" t="str">
        <f aca="false">IFERROR(VLOOKUP(TEXT(O61,"0"),CONDUCTORES!$A$3:$H$54,6,0),"")</f>
        <v/>
      </c>
      <c r="R61" s="85"/>
      <c r="S61" s="85"/>
      <c r="T61" s="85"/>
      <c r="U61" s="85"/>
      <c r="V61" s="85"/>
      <c r="W61" s="85"/>
      <c r="X61" s="85"/>
      <c r="Y61" s="85"/>
      <c r="Z61" s="41" t="str">
        <f aca="false">IF(AND(G61&lt;&gt;"",R61&lt;&gt;"",V61&lt;&gt;"",W61&lt;&gt;""),"COMPLETADO","OBSERVADO")</f>
        <v>OBSERVADO</v>
      </c>
      <c r="AA61" s="89"/>
    </row>
    <row r="62" customFormat="false" ht="15.75" hidden="false" customHeight="true" outlineLevel="0" collapsed="false">
      <c r="A62" s="140"/>
      <c r="B62" s="140"/>
      <c r="C62" s="140"/>
      <c r="D62" s="140"/>
      <c r="E62" s="140"/>
      <c r="F62" s="140"/>
      <c r="G62" s="140"/>
      <c r="H62" s="140"/>
      <c r="I62" s="138" t="str">
        <f aca="false">IFERROR(VLOOKUP(TEXT(H62,"0"),IPRESS!$A$3:$B$212,2,0),"")</f>
        <v/>
      </c>
      <c r="J62" s="140"/>
      <c r="K62" s="138" t="str">
        <f aca="false">IFERROR(VLOOKUP(TEXT(O62,"0"),CONDUCTORES!$A$3:$G$54,7,0),"")</f>
        <v/>
      </c>
      <c r="L62" s="140"/>
      <c r="M62" s="140"/>
      <c r="N62" s="139" t="str">
        <f aca="false">IFERROR(IF(L62*M62=0,"",L62*M62),"")</f>
        <v/>
      </c>
      <c r="O62" s="140"/>
      <c r="P62" s="138" t="str">
        <f aca="false">IFERROR(VLOOKUP(TEXT(O62,"0"),CONDUCTORES!$A$3:$G$54,2,0),"")</f>
        <v/>
      </c>
      <c r="Q62" s="138" t="str">
        <f aca="false">IFERROR(VLOOKUP(TEXT(O62,"0"),CONDUCTORES!$A$3:$H$54,6,0),"")</f>
        <v/>
      </c>
      <c r="R62" s="140"/>
      <c r="S62" s="140"/>
      <c r="T62" s="140"/>
      <c r="U62" s="140"/>
      <c r="V62" s="140"/>
      <c r="W62" s="140"/>
      <c r="X62" s="140"/>
      <c r="Y62" s="140"/>
      <c r="Z62" s="47" t="str">
        <f aca="false">IF(AND(G62&lt;&gt;"",R62&lt;&gt;"",V62&lt;&gt;"",W62&lt;&gt;""),"COMPLETADO","OBSERVADO")</f>
        <v>OBSERVADO</v>
      </c>
      <c r="AA62" s="89"/>
    </row>
    <row r="63" customFormat="false" ht="15.75" hidden="false" customHeight="true" outlineLevel="0" collapsed="false">
      <c r="A63" s="85"/>
      <c r="B63" s="85"/>
      <c r="C63" s="85"/>
      <c r="D63" s="85"/>
      <c r="E63" s="85"/>
      <c r="F63" s="85"/>
      <c r="G63" s="85"/>
      <c r="H63" s="85"/>
      <c r="I63" s="138" t="str">
        <f aca="false">IFERROR(VLOOKUP(TEXT(H63,"0"),IPRESS!$A$3:$B$212,2,0),"")</f>
        <v/>
      </c>
      <c r="J63" s="85"/>
      <c r="K63" s="138" t="str">
        <f aca="false">IFERROR(VLOOKUP(TEXT(O63,"0"),CONDUCTORES!$A$3:$G$54,7,0),"")</f>
        <v/>
      </c>
      <c r="L63" s="85"/>
      <c r="M63" s="85"/>
      <c r="N63" s="139" t="str">
        <f aca="false">IFERROR(IF(L63*M63=0,"",L63*M63),"")</f>
        <v/>
      </c>
      <c r="O63" s="85"/>
      <c r="P63" s="138" t="str">
        <f aca="false">IFERROR(VLOOKUP(TEXT(O63,"0"),CONDUCTORES!$A$3:$G$54,2,0),"")</f>
        <v/>
      </c>
      <c r="Q63" s="138" t="str">
        <f aca="false">IFERROR(VLOOKUP(TEXT(O63,"0"),CONDUCTORES!$A$3:$H$54,6,0),"")</f>
        <v/>
      </c>
      <c r="R63" s="85"/>
      <c r="S63" s="85"/>
      <c r="T63" s="85"/>
      <c r="U63" s="85"/>
      <c r="V63" s="85"/>
      <c r="W63" s="85"/>
      <c r="X63" s="85"/>
      <c r="Y63" s="85"/>
      <c r="Z63" s="41" t="str">
        <f aca="false">IF(AND(G63&lt;&gt;"",R63&lt;&gt;"",V63&lt;&gt;"",W63&lt;&gt;""),"COMPLETADO","OBSERVADO")</f>
        <v>OBSERVADO</v>
      </c>
      <c r="AA63" s="89"/>
    </row>
    <row r="64" customFormat="false" ht="15.75" hidden="false" customHeight="true" outlineLevel="0" collapsed="false">
      <c r="A64" s="140"/>
      <c r="B64" s="140"/>
      <c r="C64" s="140"/>
      <c r="D64" s="140"/>
      <c r="E64" s="140"/>
      <c r="F64" s="140"/>
      <c r="G64" s="140"/>
      <c r="H64" s="140"/>
      <c r="I64" s="138" t="str">
        <f aca="false">IFERROR(VLOOKUP(TEXT(H64,"0"),IPRESS!$A$3:$B$212,2,0),"")</f>
        <v/>
      </c>
      <c r="J64" s="140"/>
      <c r="K64" s="138" t="str">
        <f aca="false">IFERROR(VLOOKUP(TEXT(O64,"0"),CONDUCTORES!$A$3:$G$54,7,0),"")</f>
        <v/>
      </c>
      <c r="L64" s="140"/>
      <c r="M64" s="140"/>
      <c r="N64" s="139" t="str">
        <f aca="false">IFERROR(IF(L64*M64=0,"",L64*M64),"")</f>
        <v/>
      </c>
      <c r="O64" s="140"/>
      <c r="P64" s="138" t="str">
        <f aca="false">IFERROR(VLOOKUP(TEXT(O64,"0"),CONDUCTORES!$A$3:$G$54,2,0),"")</f>
        <v/>
      </c>
      <c r="Q64" s="138" t="str">
        <f aca="false">IFERROR(VLOOKUP(TEXT(O64,"0"),CONDUCTORES!$A$3:$H$54,6,0),"")</f>
        <v/>
      </c>
      <c r="R64" s="140"/>
      <c r="S64" s="140"/>
      <c r="T64" s="140"/>
      <c r="U64" s="140"/>
      <c r="V64" s="140"/>
      <c r="W64" s="140"/>
      <c r="X64" s="140"/>
      <c r="Y64" s="140"/>
      <c r="Z64" s="47" t="str">
        <f aca="false">IF(AND(G64&lt;&gt;"",R64&lt;&gt;"",V64&lt;&gt;"",W64&lt;&gt;""),"COMPLETADO","OBSERVADO")</f>
        <v>OBSERVADO</v>
      </c>
      <c r="AA64" s="89"/>
    </row>
    <row r="65" customFormat="false" ht="15.75" hidden="false" customHeight="true" outlineLevel="0" collapsed="false">
      <c r="A65" s="85"/>
      <c r="B65" s="85"/>
      <c r="C65" s="85"/>
      <c r="D65" s="85"/>
      <c r="E65" s="85"/>
      <c r="F65" s="85"/>
      <c r="G65" s="85"/>
      <c r="H65" s="85"/>
      <c r="I65" s="138" t="str">
        <f aca="false">IFERROR(VLOOKUP(TEXT(H65,"0"),IPRESS!$A$3:$B$212,2,0),"")</f>
        <v/>
      </c>
      <c r="J65" s="85"/>
      <c r="K65" s="138" t="str">
        <f aca="false">IFERROR(VLOOKUP(TEXT(O65,"0"),CONDUCTORES!$A$3:$G$54,7,0),"")</f>
        <v/>
      </c>
      <c r="L65" s="85"/>
      <c r="M65" s="85"/>
      <c r="N65" s="139" t="str">
        <f aca="false">IFERROR(IF(L65*M65=0,"",L65*M65),"")</f>
        <v/>
      </c>
      <c r="O65" s="85"/>
      <c r="P65" s="138" t="str">
        <f aca="false">IFERROR(VLOOKUP(TEXT(O65,"0"),CONDUCTORES!$A$3:$G$54,2,0),"")</f>
        <v/>
      </c>
      <c r="Q65" s="138" t="str">
        <f aca="false">IFERROR(VLOOKUP(TEXT(O65,"0"),CONDUCTORES!$A$3:$H$54,6,0),"")</f>
        <v/>
      </c>
      <c r="R65" s="85"/>
      <c r="S65" s="85"/>
      <c r="T65" s="85"/>
      <c r="U65" s="85"/>
      <c r="V65" s="85"/>
      <c r="W65" s="85"/>
      <c r="X65" s="85"/>
      <c r="Y65" s="85"/>
      <c r="Z65" s="41" t="str">
        <f aca="false">IF(AND(G65&lt;&gt;"",R65&lt;&gt;"",V65&lt;&gt;"",W65&lt;&gt;""),"COMPLETADO","OBSERVADO")</f>
        <v>OBSERVADO</v>
      </c>
      <c r="AA65" s="89"/>
    </row>
    <row r="66" customFormat="false" ht="15.75" hidden="false" customHeight="true" outlineLevel="0" collapsed="false">
      <c r="A66" s="140"/>
      <c r="B66" s="140"/>
      <c r="C66" s="140"/>
      <c r="D66" s="140"/>
      <c r="E66" s="140"/>
      <c r="F66" s="140"/>
      <c r="G66" s="140"/>
      <c r="H66" s="140"/>
      <c r="I66" s="138" t="str">
        <f aca="false">IFERROR(VLOOKUP(TEXT(H66,"0"),IPRESS!$A$3:$B$212,2,0),"")</f>
        <v/>
      </c>
      <c r="J66" s="140"/>
      <c r="K66" s="138" t="str">
        <f aca="false">IFERROR(VLOOKUP(TEXT(O66,"0"),CONDUCTORES!$A$3:$G$54,7,0),"")</f>
        <v/>
      </c>
      <c r="L66" s="140"/>
      <c r="M66" s="140"/>
      <c r="N66" s="139" t="str">
        <f aca="false">IFERROR(IF(L66*M66=0,"",L66*M66),"")</f>
        <v/>
      </c>
      <c r="O66" s="140"/>
      <c r="P66" s="138" t="str">
        <f aca="false">IFERROR(VLOOKUP(TEXT(O66,"0"),CONDUCTORES!$A$3:$G$54,2,0),"")</f>
        <v/>
      </c>
      <c r="Q66" s="138" t="str">
        <f aca="false">IFERROR(VLOOKUP(TEXT(O66,"0"),CONDUCTORES!$A$3:$H$54,6,0),"")</f>
        <v/>
      </c>
      <c r="R66" s="140"/>
      <c r="S66" s="140"/>
      <c r="T66" s="140"/>
      <c r="U66" s="140"/>
      <c r="V66" s="140"/>
      <c r="W66" s="140"/>
      <c r="X66" s="140"/>
      <c r="Y66" s="140"/>
      <c r="Z66" s="47" t="str">
        <f aca="false">IF(AND(G66&lt;&gt;"",R66&lt;&gt;"",V66&lt;&gt;"",W66&lt;&gt;""),"COMPLETADO","OBSERVADO")</f>
        <v>OBSERVADO</v>
      </c>
      <c r="AA66" s="89"/>
    </row>
    <row r="67" customFormat="false" ht="15.75" hidden="false" customHeight="true" outlineLevel="0" collapsed="false">
      <c r="A67" s="85"/>
      <c r="B67" s="85"/>
      <c r="C67" s="85"/>
      <c r="D67" s="85"/>
      <c r="E67" s="85"/>
      <c r="F67" s="85"/>
      <c r="G67" s="85"/>
      <c r="H67" s="85"/>
      <c r="I67" s="138" t="str">
        <f aca="false">IFERROR(VLOOKUP(TEXT(H67,"0"),IPRESS!$A$3:$B$212,2,0),"")</f>
        <v/>
      </c>
      <c r="J67" s="85"/>
      <c r="K67" s="138" t="str">
        <f aca="false">IFERROR(VLOOKUP(TEXT(O67,"0"),CONDUCTORES!$A$3:$G$54,7,0),"")</f>
        <v/>
      </c>
      <c r="L67" s="85"/>
      <c r="M67" s="85"/>
      <c r="N67" s="139" t="str">
        <f aca="false">IFERROR(IF(L67*M67=0,"",L67*M67),"")</f>
        <v/>
      </c>
      <c r="O67" s="85"/>
      <c r="P67" s="138" t="str">
        <f aca="false">IFERROR(VLOOKUP(TEXT(O67,"0"),CONDUCTORES!$A$3:$G$54,2,0),"")</f>
        <v/>
      </c>
      <c r="Q67" s="138" t="str">
        <f aca="false">IFERROR(VLOOKUP(TEXT(O67,"0"),CONDUCTORES!$A$3:$H$54,6,0),"")</f>
        <v/>
      </c>
      <c r="R67" s="85"/>
      <c r="S67" s="85"/>
      <c r="T67" s="85"/>
      <c r="U67" s="85"/>
      <c r="V67" s="85"/>
      <c r="W67" s="85"/>
      <c r="X67" s="85"/>
      <c r="Y67" s="85"/>
      <c r="Z67" s="41" t="str">
        <f aca="false">IF(AND(G67&lt;&gt;"",R67&lt;&gt;"",V67&lt;&gt;"",W67&lt;&gt;""),"COMPLETADO","OBSERVADO")</f>
        <v>OBSERVADO</v>
      </c>
      <c r="AA67" s="89"/>
    </row>
    <row r="68" customFormat="false" ht="15.75" hidden="false" customHeight="true" outlineLevel="0" collapsed="false">
      <c r="A68" s="140"/>
      <c r="B68" s="140"/>
      <c r="C68" s="140"/>
      <c r="D68" s="140"/>
      <c r="E68" s="140"/>
      <c r="F68" s="140"/>
      <c r="G68" s="140"/>
      <c r="H68" s="140"/>
      <c r="I68" s="138" t="str">
        <f aca="false">IFERROR(VLOOKUP(TEXT(H68,"0"),IPRESS!$A$3:$B$212,2,0),"")</f>
        <v/>
      </c>
      <c r="J68" s="140"/>
      <c r="K68" s="138" t="str">
        <f aca="false">IFERROR(VLOOKUP(TEXT(O68,"0"),CONDUCTORES!$A$3:$G$54,7,0),"")</f>
        <v/>
      </c>
      <c r="L68" s="140"/>
      <c r="M68" s="140"/>
      <c r="N68" s="139" t="str">
        <f aca="false">IFERROR(IF(L68*M68=0,"",L68*M68),"")</f>
        <v/>
      </c>
      <c r="O68" s="140"/>
      <c r="P68" s="138" t="str">
        <f aca="false">IFERROR(VLOOKUP(TEXT(O68,"0"),CONDUCTORES!$A$3:$G$54,2,0),"")</f>
        <v/>
      </c>
      <c r="Q68" s="138" t="str">
        <f aca="false">IFERROR(VLOOKUP(TEXT(O68,"0"),CONDUCTORES!$A$3:$H$54,6,0),"")</f>
        <v/>
      </c>
      <c r="R68" s="140"/>
      <c r="S68" s="140"/>
      <c r="T68" s="140"/>
      <c r="U68" s="140"/>
      <c r="V68" s="140"/>
      <c r="W68" s="140"/>
      <c r="X68" s="140"/>
      <c r="Y68" s="140"/>
      <c r="Z68" s="47" t="str">
        <f aca="false">IF(AND(G68&lt;&gt;"",R68&lt;&gt;"",V68&lt;&gt;"",W68&lt;&gt;""),"COMPLETADO","OBSERVADO")</f>
        <v>OBSERVADO</v>
      </c>
      <c r="AA68" s="89"/>
    </row>
    <row r="69" customFormat="false" ht="15.75" hidden="false" customHeight="true" outlineLevel="0" collapsed="false">
      <c r="A69" s="85"/>
      <c r="B69" s="85"/>
      <c r="C69" s="85"/>
      <c r="D69" s="85"/>
      <c r="E69" s="85"/>
      <c r="F69" s="85"/>
      <c r="G69" s="85"/>
      <c r="H69" s="85"/>
      <c r="I69" s="138" t="str">
        <f aca="false">IFERROR(VLOOKUP(TEXT(H69,"0"),IPRESS!$A$3:$B$212,2,0),"")</f>
        <v/>
      </c>
      <c r="J69" s="85"/>
      <c r="K69" s="138" t="str">
        <f aca="false">IFERROR(VLOOKUP(TEXT(O69,"0"),CONDUCTORES!$A$3:$G$54,7,0),"")</f>
        <v/>
      </c>
      <c r="L69" s="85"/>
      <c r="M69" s="85"/>
      <c r="N69" s="139" t="str">
        <f aca="false">IFERROR(IF(L69*M69=0,"",L69*M69),"")</f>
        <v/>
      </c>
      <c r="O69" s="85"/>
      <c r="P69" s="138" t="str">
        <f aca="false">IFERROR(VLOOKUP(TEXT(O69,"0"),CONDUCTORES!$A$3:$G$54,2,0),"")</f>
        <v/>
      </c>
      <c r="Q69" s="138" t="str">
        <f aca="false">IFERROR(VLOOKUP(TEXT(O69,"0"),CONDUCTORES!$A$3:$H$54,6,0),"")</f>
        <v/>
      </c>
      <c r="R69" s="85"/>
      <c r="S69" s="85"/>
      <c r="T69" s="85"/>
      <c r="U69" s="85"/>
      <c r="V69" s="85"/>
      <c r="W69" s="85"/>
      <c r="X69" s="85"/>
      <c r="Y69" s="85"/>
      <c r="Z69" s="41" t="str">
        <f aca="false">IF(AND(G69&lt;&gt;"",R69&lt;&gt;"",V69&lt;&gt;"",W69&lt;&gt;""),"COMPLETADO","OBSERVADO")</f>
        <v>OBSERVADO</v>
      </c>
      <c r="AA69" s="89"/>
    </row>
    <row r="70" customFormat="false" ht="15.75" hidden="false" customHeight="true" outlineLevel="0" collapsed="false">
      <c r="A70" s="140"/>
      <c r="B70" s="140"/>
      <c r="C70" s="140"/>
      <c r="D70" s="140"/>
      <c r="E70" s="140"/>
      <c r="F70" s="140"/>
      <c r="G70" s="140"/>
      <c r="H70" s="140"/>
      <c r="I70" s="138" t="str">
        <f aca="false">IFERROR(VLOOKUP(TEXT(H70,"0"),IPRESS!$A$3:$B$212,2,0),"")</f>
        <v/>
      </c>
      <c r="J70" s="140"/>
      <c r="K70" s="138" t="str">
        <f aca="false">IFERROR(VLOOKUP(TEXT(O70,"0"),CONDUCTORES!$A$3:$G$54,7,0),"")</f>
        <v/>
      </c>
      <c r="L70" s="140"/>
      <c r="M70" s="140"/>
      <c r="N70" s="139" t="str">
        <f aca="false">IFERROR(IF(L70*M70=0,"",L70*M70),"")</f>
        <v/>
      </c>
      <c r="O70" s="140"/>
      <c r="P70" s="138" t="str">
        <f aca="false">IFERROR(VLOOKUP(TEXT(O70,"0"),CONDUCTORES!$A$3:$G$54,2,0),"")</f>
        <v/>
      </c>
      <c r="Q70" s="138" t="str">
        <f aca="false">IFERROR(VLOOKUP(TEXT(O70,"0"),CONDUCTORES!$A$3:$H$54,6,0),"")</f>
        <v/>
      </c>
      <c r="R70" s="140"/>
      <c r="S70" s="140"/>
      <c r="T70" s="140"/>
      <c r="U70" s="140"/>
      <c r="V70" s="140"/>
      <c r="W70" s="140"/>
      <c r="X70" s="140"/>
      <c r="Y70" s="140"/>
      <c r="Z70" s="47" t="str">
        <f aca="false">IF(AND(G70&lt;&gt;"",R70&lt;&gt;"",V70&lt;&gt;"",W70&lt;&gt;""),"COMPLETADO","OBSERVADO")</f>
        <v>OBSERVADO</v>
      </c>
      <c r="AA70" s="89"/>
    </row>
    <row r="71" customFormat="false" ht="15.75" hidden="false" customHeight="true" outlineLevel="0" collapsed="false">
      <c r="A71" s="85"/>
      <c r="B71" s="85"/>
      <c r="C71" s="85"/>
      <c r="D71" s="85"/>
      <c r="E71" s="85"/>
      <c r="F71" s="85"/>
      <c r="G71" s="85"/>
      <c r="H71" s="85"/>
      <c r="I71" s="138" t="str">
        <f aca="false">IFERROR(VLOOKUP(TEXT(H71,"0"),IPRESS!$A$3:$B$212,2,0),"")</f>
        <v/>
      </c>
      <c r="J71" s="85"/>
      <c r="K71" s="138" t="str">
        <f aca="false">IFERROR(VLOOKUP(TEXT(O71,"0"),CONDUCTORES!$A$3:$G$54,7,0),"")</f>
        <v/>
      </c>
      <c r="L71" s="85"/>
      <c r="M71" s="85"/>
      <c r="N71" s="139" t="str">
        <f aca="false">IFERROR(IF(L71*M71=0,"",L71*M71),"")</f>
        <v/>
      </c>
      <c r="O71" s="85"/>
      <c r="P71" s="138" t="str">
        <f aca="false">IFERROR(VLOOKUP(TEXT(O71,"0"),CONDUCTORES!$A$3:$G$54,2,0),"")</f>
        <v/>
      </c>
      <c r="Q71" s="138" t="str">
        <f aca="false">IFERROR(VLOOKUP(TEXT(O71,"0"),CONDUCTORES!$A$3:$H$54,6,0),"")</f>
        <v/>
      </c>
      <c r="R71" s="85"/>
      <c r="S71" s="85"/>
      <c r="T71" s="85"/>
      <c r="U71" s="85"/>
      <c r="V71" s="85"/>
      <c r="W71" s="85"/>
      <c r="X71" s="85"/>
      <c r="Y71" s="85"/>
      <c r="Z71" s="41" t="str">
        <f aca="false">IF(AND(G71&lt;&gt;"",R71&lt;&gt;"",V71&lt;&gt;"",W71&lt;&gt;""),"COMPLETADO","OBSERVADO")</f>
        <v>OBSERVADO</v>
      </c>
      <c r="AA71" s="89"/>
    </row>
    <row r="72" customFormat="false" ht="15.75" hidden="false" customHeight="true" outlineLevel="0" collapsed="false">
      <c r="A72" s="140"/>
      <c r="B72" s="140"/>
      <c r="C72" s="140"/>
      <c r="D72" s="140"/>
      <c r="E72" s="140"/>
      <c r="F72" s="140"/>
      <c r="G72" s="140"/>
      <c r="H72" s="140"/>
      <c r="I72" s="138" t="str">
        <f aca="false">IFERROR(VLOOKUP(TEXT(H72,"0"),IPRESS!$A$3:$B$212,2,0),"")</f>
        <v/>
      </c>
      <c r="J72" s="140"/>
      <c r="K72" s="138" t="str">
        <f aca="false">IFERROR(VLOOKUP(TEXT(O72,"0"),CONDUCTORES!$A$3:$G$54,7,0),"")</f>
        <v/>
      </c>
      <c r="L72" s="140"/>
      <c r="M72" s="140"/>
      <c r="N72" s="139" t="str">
        <f aca="false">IFERROR(IF(L72*M72=0,"",L72*M72),"")</f>
        <v/>
      </c>
      <c r="O72" s="140"/>
      <c r="P72" s="138" t="str">
        <f aca="false">IFERROR(VLOOKUP(TEXT(O72,"0"),CONDUCTORES!$A$3:$G$54,2,0),"")</f>
        <v/>
      </c>
      <c r="Q72" s="138" t="str">
        <f aca="false">IFERROR(VLOOKUP(TEXT(O72,"0"),CONDUCTORES!$A$3:$H$54,6,0),"")</f>
        <v/>
      </c>
      <c r="R72" s="140"/>
      <c r="S72" s="140"/>
      <c r="T72" s="140"/>
      <c r="U72" s="140"/>
      <c r="V72" s="140"/>
      <c r="W72" s="140"/>
      <c r="X72" s="140"/>
      <c r="Y72" s="140"/>
      <c r="Z72" s="47" t="str">
        <f aca="false">IF(AND(G72&lt;&gt;"",R72&lt;&gt;"",V72&lt;&gt;"",W72&lt;&gt;""),"COMPLETADO","OBSERVADO")</f>
        <v>OBSERVADO</v>
      </c>
      <c r="AA72" s="89"/>
    </row>
    <row r="73" customFormat="false" ht="15.75" hidden="false" customHeight="true" outlineLevel="0" collapsed="false">
      <c r="A73" s="85"/>
      <c r="B73" s="85"/>
      <c r="C73" s="85"/>
      <c r="D73" s="85"/>
      <c r="E73" s="85"/>
      <c r="F73" s="85"/>
      <c r="G73" s="85"/>
      <c r="H73" s="85"/>
      <c r="I73" s="138" t="str">
        <f aca="false">IFERROR(VLOOKUP(TEXT(H73,"0"),IPRESS!$A$3:$B$212,2,0),"")</f>
        <v/>
      </c>
      <c r="J73" s="85"/>
      <c r="K73" s="138" t="str">
        <f aca="false">IFERROR(VLOOKUP(TEXT(O73,"0"),CONDUCTORES!$A$3:$G$54,7,0),"")</f>
        <v/>
      </c>
      <c r="L73" s="85"/>
      <c r="M73" s="85"/>
      <c r="N73" s="139" t="str">
        <f aca="false">IFERROR(IF(L73*M73=0,"",L73*M73),"")</f>
        <v/>
      </c>
      <c r="O73" s="85"/>
      <c r="P73" s="138" t="str">
        <f aca="false">IFERROR(VLOOKUP(TEXT(O73,"0"),CONDUCTORES!$A$3:$G$54,2,0),"")</f>
        <v/>
      </c>
      <c r="Q73" s="138" t="str">
        <f aca="false">IFERROR(VLOOKUP(TEXT(O73,"0"),CONDUCTORES!$A$3:$H$54,6,0),"")</f>
        <v/>
      </c>
      <c r="R73" s="85"/>
      <c r="S73" s="85"/>
      <c r="T73" s="85"/>
      <c r="U73" s="85"/>
      <c r="V73" s="85"/>
      <c r="W73" s="85"/>
      <c r="X73" s="85"/>
      <c r="Y73" s="85"/>
      <c r="Z73" s="41" t="str">
        <f aca="false">IF(AND(G73&lt;&gt;"",R73&lt;&gt;"",V73&lt;&gt;"",W73&lt;&gt;""),"COMPLETADO","OBSERVADO")</f>
        <v>OBSERVADO</v>
      </c>
      <c r="AA73" s="89"/>
    </row>
    <row r="74" customFormat="false" ht="15.75" hidden="false" customHeight="true" outlineLevel="0" collapsed="false">
      <c r="A74" s="140"/>
      <c r="B74" s="140"/>
      <c r="C74" s="140"/>
      <c r="D74" s="140"/>
      <c r="E74" s="140"/>
      <c r="F74" s="140"/>
      <c r="G74" s="140"/>
      <c r="H74" s="140"/>
      <c r="I74" s="138" t="str">
        <f aca="false">IFERROR(VLOOKUP(TEXT(H74,"0"),IPRESS!$A$3:$B$212,2,0),"")</f>
        <v/>
      </c>
      <c r="J74" s="140"/>
      <c r="K74" s="138" t="str">
        <f aca="false">IFERROR(VLOOKUP(TEXT(O74,"0"),CONDUCTORES!$A$3:$G$54,7,0),"")</f>
        <v/>
      </c>
      <c r="L74" s="140"/>
      <c r="M74" s="140"/>
      <c r="N74" s="139" t="str">
        <f aca="false">IFERROR(IF(L74*M74=0,"",L74*M74),"")</f>
        <v/>
      </c>
      <c r="O74" s="140"/>
      <c r="P74" s="138" t="str">
        <f aca="false">IFERROR(VLOOKUP(TEXT(O74,"0"),CONDUCTORES!$A$3:$G$54,2,0),"")</f>
        <v/>
      </c>
      <c r="Q74" s="138" t="str">
        <f aca="false">IFERROR(VLOOKUP(TEXT(O74,"0"),CONDUCTORES!$A$3:$H$54,6,0),"")</f>
        <v/>
      </c>
      <c r="R74" s="140"/>
      <c r="S74" s="140"/>
      <c r="T74" s="140"/>
      <c r="U74" s="140"/>
      <c r="V74" s="140"/>
      <c r="W74" s="140"/>
      <c r="X74" s="140"/>
      <c r="Y74" s="140"/>
      <c r="Z74" s="47" t="str">
        <f aca="false">IF(AND(G74&lt;&gt;"",R74&lt;&gt;"",V74&lt;&gt;"",W74&lt;&gt;""),"COMPLETADO","OBSERVADO")</f>
        <v>OBSERVADO</v>
      </c>
      <c r="AA74" s="89"/>
    </row>
    <row r="75" customFormat="false" ht="15.75" hidden="false" customHeight="true" outlineLevel="0" collapsed="false">
      <c r="A75" s="85"/>
      <c r="B75" s="85"/>
      <c r="C75" s="85"/>
      <c r="D75" s="85"/>
      <c r="E75" s="85"/>
      <c r="F75" s="85"/>
      <c r="G75" s="85"/>
      <c r="H75" s="85"/>
      <c r="I75" s="138" t="str">
        <f aca="false">IFERROR(VLOOKUP(TEXT(H75,"0"),IPRESS!$A$3:$B$212,2,0),"")</f>
        <v/>
      </c>
      <c r="J75" s="85"/>
      <c r="K75" s="138" t="str">
        <f aca="false">IFERROR(VLOOKUP(TEXT(O75,"0"),CONDUCTORES!$A$3:$G$54,7,0),"")</f>
        <v/>
      </c>
      <c r="L75" s="85"/>
      <c r="M75" s="85"/>
      <c r="N75" s="139" t="str">
        <f aca="false">IFERROR(IF(L75*M75=0,"",L75*M75),"")</f>
        <v/>
      </c>
      <c r="O75" s="85"/>
      <c r="P75" s="138" t="str">
        <f aca="false">IFERROR(VLOOKUP(TEXT(O75,"0"),CONDUCTORES!$A$3:$G$54,2,0),"")</f>
        <v/>
      </c>
      <c r="Q75" s="138" t="str">
        <f aca="false">IFERROR(VLOOKUP(TEXT(O75,"0"),CONDUCTORES!$A$3:$H$54,6,0),"")</f>
        <v/>
      </c>
      <c r="R75" s="85"/>
      <c r="S75" s="85"/>
      <c r="T75" s="85"/>
      <c r="U75" s="85"/>
      <c r="V75" s="85"/>
      <c r="W75" s="85"/>
      <c r="X75" s="85"/>
      <c r="Y75" s="85"/>
      <c r="Z75" s="41" t="str">
        <f aca="false">IF(AND(G75&lt;&gt;"",R75&lt;&gt;"",V75&lt;&gt;"",W75&lt;&gt;""),"COMPLETADO","OBSERVADO")</f>
        <v>OBSERVADO</v>
      </c>
      <c r="AA75" s="89"/>
    </row>
    <row r="76" customFormat="false" ht="15.75" hidden="false" customHeight="true" outlineLevel="0" collapsed="false">
      <c r="A76" s="140"/>
      <c r="B76" s="140"/>
      <c r="C76" s="140"/>
      <c r="D76" s="140"/>
      <c r="E76" s="140"/>
      <c r="F76" s="140"/>
      <c r="G76" s="140"/>
      <c r="H76" s="140"/>
      <c r="I76" s="138" t="str">
        <f aca="false">IFERROR(VLOOKUP(TEXT(H76,"0"),IPRESS!$A$3:$B$212,2,0),"")</f>
        <v/>
      </c>
      <c r="J76" s="140"/>
      <c r="K76" s="138" t="str">
        <f aca="false">IFERROR(VLOOKUP(TEXT(O76,"0"),CONDUCTORES!$A$3:$G$54,7,0),"")</f>
        <v/>
      </c>
      <c r="L76" s="140"/>
      <c r="M76" s="140"/>
      <c r="N76" s="139" t="str">
        <f aca="false">IFERROR(IF(L76*M76=0,"",L76*M76),"")</f>
        <v/>
      </c>
      <c r="O76" s="140"/>
      <c r="P76" s="138" t="str">
        <f aca="false">IFERROR(VLOOKUP(TEXT(O76,"0"),CONDUCTORES!$A$3:$G$54,2,0),"")</f>
        <v/>
      </c>
      <c r="Q76" s="138" t="str">
        <f aca="false">IFERROR(VLOOKUP(TEXT(O76,"0"),CONDUCTORES!$A$3:$H$54,6,0),"")</f>
        <v/>
      </c>
      <c r="R76" s="140"/>
      <c r="S76" s="140"/>
      <c r="T76" s="140"/>
      <c r="U76" s="140"/>
      <c r="V76" s="140"/>
      <c r="W76" s="140"/>
      <c r="X76" s="140"/>
      <c r="Y76" s="140"/>
      <c r="Z76" s="47" t="str">
        <f aca="false">IF(AND(G76&lt;&gt;"",R76&lt;&gt;"",V76&lt;&gt;"",W76&lt;&gt;""),"COMPLETADO","OBSERVADO")</f>
        <v>OBSERVADO</v>
      </c>
      <c r="AA76" s="89"/>
    </row>
    <row r="77" customFormat="false" ht="15.75" hidden="false" customHeight="true" outlineLevel="0" collapsed="false">
      <c r="A77" s="85"/>
      <c r="B77" s="85"/>
      <c r="C77" s="85"/>
      <c r="D77" s="85"/>
      <c r="E77" s="85"/>
      <c r="F77" s="85"/>
      <c r="G77" s="85"/>
      <c r="H77" s="85"/>
      <c r="I77" s="138" t="str">
        <f aca="false">IFERROR(VLOOKUP(TEXT(H77,"0"),IPRESS!$A$3:$B$212,2,0),"")</f>
        <v/>
      </c>
      <c r="J77" s="85"/>
      <c r="K77" s="138" t="str">
        <f aca="false">IFERROR(VLOOKUP(TEXT(O77,"0"),CONDUCTORES!$A$3:$G$54,7,0),"")</f>
        <v/>
      </c>
      <c r="L77" s="85"/>
      <c r="M77" s="85"/>
      <c r="N77" s="139" t="str">
        <f aca="false">IFERROR(IF(L77*M77=0,"",L77*M77),"")</f>
        <v/>
      </c>
      <c r="O77" s="85"/>
      <c r="P77" s="138" t="str">
        <f aca="false">IFERROR(VLOOKUP(TEXT(O77,"0"),CONDUCTORES!$A$3:$G$54,2,0),"")</f>
        <v/>
      </c>
      <c r="Q77" s="138" t="str">
        <f aca="false">IFERROR(VLOOKUP(TEXT(O77,"0"),CONDUCTORES!$A$3:$H$54,6,0),"")</f>
        <v/>
      </c>
      <c r="R77" s="85"/>
      <c r="S77" s="85"/>
      <c r="T77" s="85"/>
      <c r="U77" s="85"/>
      <c r="V77" s="85"/>
      <c r="W77" s="85"/>
      <c r="X77" s="85"/>
      <c r="Y77" s="85"/>
      <c r="Z77" s="41" t="str">
        <f aca="false">IF(AND(G77&lt;&gt;"",R77&lt;&gt;"",V77&lt;&gt;"",W77&lt;&gt;""),"COMPLETADO","OBSERVADO")</f>
        <v>OBSERVADO</v>
      </c>
      <c r="AA77" s="89"/>
    </row>
    <row r="78" customFormat="false" ht="15.75" hidden="false" customHeight="true" outlineLevel="0" collapsed="false">
      <c r="A78" s="140"/>
      <c r="B78" s="140"/>
      <c r="C78" s="140"/>
      <c r="D78" s="140"/>
      <c r="E78" s="140"/>
      <c r="F78" s="140"/>
      <c r="G78" s="140"/>
      <c r="H78" s="140"/>
      <c r="I78" s="138" t="str">
        <f aca="false">IFERROR(VLOOKUP(TEXT(H78,"0"),IPRESS!$A$3:$B$212,2,0),"")</f>
        <v/>
      </c>
      <c r="J78" s="140"/>
      <c r="K78" s="138" t="str">
        <f aca="false">IFERROR(VLOOKUP(TEXT(O78,"0"),CONDUCTORES!$A$3:$G$54,7,0),"")</f>
        <v/>
      </c>
      <c r="L78" s="140"/>
      <c r="M78" s="140"/>
      <c r="N78" s="139" t="str">
        <f aca="false">IFERROR(IF(L78*M78=0,"",L78*M78),"")</f>
        <v/>
      </c>
      <c r="O78" s="140"/>
      <c r="P78" s="138" t="str">
        <f aca="false">IFERROR(VLOOKUP(TEXT(O78,"0"),CONDUCTORES!$A$3:$G$54,2,0),"")</f>
        <v/>
      </c>
      <c r="Q78" s="138" t="str">
        <f aca="false">IFERROR(VLOOKUP(TEXT(O78,"0"),CONDUCTORES!$A$3:$H$54,6,0),"")</f>
        <v/>
      </c>
      <c r="R78" s="140"/>
      <c r="S78" s="140"/>
      <c r="T78" s="140"/>
      <c r="U78" s="140"/>
      <c r="V78" s="140"/>
      <c r="W78" s="140"/>
      <c r="X78" s="140"/>
      <c r="Y78" s="140"/>
      <c r="Z78" s="47" t="str">
        <f aca="false">IF(AND(G78&lt;&gt;"",R78&lt;&gt;"",V78&lt;&gt;"",W78&lt;&gt;""),"COMPLETADO","OBSERVADO")</f>
        <v>OBSERVADO</v>
      </c>
      <c r="AA78" s="89"/>
    </row>
    <row r="79" customFormat="false" ht="15.75" hidden="false" customHeight="true" outlineLevel="0" collapsed="false">
      <c r="A79" s="85"/>
      <c r="B79" s="85"/>
      <c r="C79" s="85"/>
      <c r="D79" s="85"/>
      <c r="E79" s="85"/>
      <c r="F79" s="85"/>
      <c r="G79" s="85"/>
      <c r="H79" s="85"/>
      <c r="I79" s="138" t="str">
        <f aca="false">IFERROR(VLOOKUP(TEXT(H79,"0"),IPRESS!$A$3:$B$212,2,0),"")</f>
        <v/>
      </c>
      <c r="J79" s="85"/>
      <c r="K79" s="138" t="str">
        <f aca="false">IFERROR(VLOOKUP(TEXT(O79,"0"),CONDUCTORES!$A$3:$G$54,7,0),"")</f>
        <v/>
      </c>
      <c r="L79" s="85"/>
      <c r="M79" s="85"/>
      <c r="N79" s="139" t="str">
        <f aca="false">IFERROR(IF(L79*M79=0,"",L79*M79),"")</f>
        <v/>
      </c>
      <c r="O79" s="85"/>
      <c r="P79" s="138" t="str">
        <f aca="false">IFERROR(VLOOKUP(TEXT(O79,"0"),CONDUCTORES!$A$3:$G$54,2,0),"")</f>
        <v/>
      </c>
      <c r="Q79" s="138" t="str">
        <f aca="false">IFERROR(VLOOKUP(TEXT(O79,"0"),CONDUCTORES!$A$3:$H$54,6,0),"")</f>
        <v/>
      </c>
      <c r="R79" s="85"/>
      <c r="S79" s="85"/>
      <c r="T79" s="85"/>
      <c r="U79" s="85"/>
      <c r="V79" s="85"/>
      <c r="W79" s="85"/>
      <c r="X79" s="85"/>
      <c r="Y79" s="85"/>
      <c r="Z79" s="41" t="str">
        <f aca="false">IF(AND(G79&lt;&gt;"",R79&lt;&gt;"",V79&lt;&gt;"",W79&lt;&gt;""),"COMPLETADO","OBSERVADO")</f>
        <v>OBSERVADO</v>
      </c>
      <c r="AA79" s="89"/>
    </row>
    <row r="80" customFormat="false" ht="15.75" hidden="false" customHeight="true" outlineLevel="0" collapsed="false">
      <c r="A80" s="140"/>
      <c r="B80" s="140"/>
      <c r="C80" s="140"/>
      <c r="D80" s="140"/>
      <c r="E80" s="140"/>
      <c r="F80" s="140"/>
      <c r="G80" s="140"/>
      <c r="H80" s="140"/>
      <c r="I80" s="138" t="str">
        <f aca="false">IFERROR(VLOOKUP(TEXT(H80,"0"),IPRESS!$A$3:$B$212,2,0),"")</f>
        <v/>
      </c>
      <c r="J80" s="140"/>
      <c r="K80" s="138" t="str">
        <f aca="false">IFERROR(VLOOKUP(TEXT(O80,"0"),CONDUCTORES!$A$3:$G$54,7,0),"")</f>
        <v/>
      </c>
      <c r="L80" s="140"/>
      <c r="M80" s="140"/>
      <c r="N80" s="139" t="str">
        <f aca="false">IFERROR(IF(L80*M80=0,"",L80*M80),"")</f>
        <v/>
      </c>
      <c r="O80" s="140"/>
      <c r="P80" s="138" t="str">
        <f aca="false">IFERROR(VLOOKUP(TEXT(O80,"0"),CONDUCTORES!$A$3:$G$54,2,0),"")</f>
        <v/>
      </c>
      <c r="Q80" s="138" t="str">
        <f aca="false">IFERROR(VLOOKUP(TEXT(O80,"0"),CONDUCTORES!$A$3:$H$54,6,0),"")</f>
        <v/>
      </c>
      <c r="R80" s="140"/>
      <c r="S80" s="140"/>
      <c r="T80" s="140"/>
      <c r="U80" s="140"/>
      <c r="V80" s="140"/>
      <c r="W80" s="140"/>
      <c r="X80" s="140"/>
      <c r="Y80" s="140"/>
      <c r="Z80" s="47" t="str">
        <f aca="false">IF(AND(G80&lt;&gt;"",R80&lt;&gt;"",V80&lt;&gt;"",W80&lt;&gt;""),"COMPLETADO","OBSERVADO")</f>
        <v>OBSERVADO</v>
      </c>
      <c r="AA80" s="89"/>
    </row>
    <row r="81" customFormat="false" ht="15.75" hidden="false" customHeight="true" outlineLevel="0" collapsed="false">
      <c r="A81" s="85"/>
      <c r="B81" s="85"/>
      <c r="C81" s="85"/>
      <c r="D81" s="85"/>
      <c r="E81" s="85"/>
      <c r="F81" s="85"/>
      <c r="G81" s="85"/>
      <c r="H81" s="85"/>
      <c r="I81" s="138" t="str">
        <f aca="false">IFERROR(VLOOKUP(TEXT(H81,"0"),IPRESS!$A$3:$B$212,2,0),"")</f>
        <v/>
      </c>
      <c r="J81" s="85"/>
      <c r="K81" s="138" t="str">
        <f aca="false">IFERROR(VLOOKUP(TEXT(O81,"0"),CONDUCTORES!$A$3:$G$54,7,0),"")</f>
        <v/>
      </c>
      <c r="L81" s="85"/>
      <c r="M81" s="85"/>
      <c r="N81" s="139" t="str">
        <f aca="false">IFERROR(IF(L81*M81=0,"",L81*M81),"")</f>
        <v/>
      </c>
      <c r="O81" s="85"/>
      <c r="P81" s="138" t="str">
        <f aca="false">IFERROR(VLOOKUP(TEXT(O81,"0"),CONDUCTORES!$A$3:$G$54,2,0),"")</f>
        <v/>
      </c>
      <c r="Q81" s="138" t="str">
        <f aca="false">IFERROR(VLOOKUP(TEXT(O81,"0"),CONDUCTORES!$A$3:$H$54,6,0),"")</f>
        <v/>
      </c>
      <c r="R81" s="85"/>
      <c r="S81" s="85"/>
      <c r="T81" s="85"/>
      <c r="U81" s="85"/>
      <c r="V81" s="85"/>
      <c r="W81" s="85"/>
      <c r="X81" s="85"/>
      <c r="Y81" s="85"/>
      <c r="Z81" s="41" t="str">
        <f aca="false">IF(AND(G81&lt;&gt;"",R81&lt;&gt;"",V81&lt;&gt;"",W81&lt;&gt;""),"COMPLETADO","OBSERVADO")</f>
        <v>OBSERVADO</v>
      </c>
      <c r="AA81" s="89"/>
    </row>
    <row r="82" customFormat="false" ht="15.75" hidden="false" customHeight="true" outlineLevel="0" collapsed="false">
      <c r="A82" s="140"/>
      <c r="B82" s="140"/>
      <c r="C82" s="140"/>
      <c r="D82" s="140"/>
      <c r="E82" s="140"/>
      <c r="F82" s="140"/>
      <c r="G82" s="140"/>
      <c r="H82" s="140"/>
      <c r="I82" s="138" t="str">
        <f aca="false">IFERROR(VLOOKUP(TEXT(H82,"0"),IPRESS!$A$3:$B$212,2,0),"")</f>
        <v/>
      </c>
      <c r="J82" s="140"/>
      <c r="K82" s="138" t="str">
        <f aca="false">IFERROR(VLOOKUP(TEXT(O82,"0"),CONDUCTORES!$A$3:$G$54,7,0),"")</f>
        <v/>
      </c>
      <c r="L82" s="140"/>
      <c r="M82" s="140"/>
      <c r="N82" s="139" t="str">
        <f aca="false">IFERROR(IF(L82*M82=0,"",L82*M82),"")</f>
        <v/>
      </c>
      <c r="O82" s="140"/>
      <c r="P82" s="138" t="str">
        <f aca="false">IFERROR(VLOOKUP(TEXT(O82,"0"),CONDUCTORES!$A$3:$G$54,2,0),"")</f>
        <v/>
      </c>
      <c r="Q82" s="138" t="str">
        <f aca="false">IFERROR(VLOOKUP(TEXT(O82,"0"),CONDUCTORES!$A$3:$H$54,6,0),"")</f>
        <v/>
      </c>
      <c r="R82" s="140"/>
      <c r="S82" s="140"/>
      <c r="T82" s="140"/>
      <c r="U82" s="140"/>
      <c r="V82" s="140"/>
      <c r="W82" s="140"/>
      <c r="X82" s="140"/>
      <c r="Y82" s="140"/>
      <c r="Z82" s="47" t="str">
        <f aca="false">IF(AND(G82&lt;&gt;"",R82&lt;&gt;"",V82&lt;&gt;"",W82&lt;&gt;""),"COMPLETADO","OBSERVADO")</f>
        <v>OBSERVADO</v>
      </c>
      <c r="AA82" s="89"/>
    </row>
    <row r="83" customFormat="false" ht="15.75" hidden="false" customHeight="true" outlineLevel="0" collapsed="false">
      <c r="A83" s="85"/>
      <c r="B83" s="85"/>
      <c r="C83" s="85"/>
      <c r="D83" s="85"/>
      <c r="E83" s="85"/>
      <c r="F83" s="85"/>
      <c r="G83" s="85"/>
      <c r="H83" s="85"/>
      <c r="I83" s="138" t="str">
        <f aca="false">IFERROR(VLOOKUP(TEXT(H83,"0"),IPRESS!$A$3:$B$212,2,0),"")</f>
        <v/>
      </c>
      <c r="J83" s="85"/>
      <c r="K83" s="138" t="str">
        <f aca="false">IFERROR(VLOOKUP(TEXT(O83,"0"),CONDUCTORES!$A$3:$G$54,7,0),"")</f>
        <v/>
      </c>
      <c r="L83" s="85"/>
      <c r="M83" s="85"/>
      <c r="N83" s="139" t="str">
        <f aca="false">IFERROR(IF(L83*M83=0,"",L83*M83),"")</f>
        <v/>
      </c>
      <c r="O83" s="85"/>
      <c r="P83" s="138" t="str">
        <f aca="false">IFERROR(VLOOKUP(TEXT(O83,"0"),CONDUCTORES!$A$3:$G$54,2,0),"")</f>
        <v/>
      </c>
      <c r="Q83" s="138" t="str">
        <f aca="false">IFERROR(VLOOKUP(TEXT(O83,"0"),CONDUCTORES!$A$3:$H$54,6,0),"")</f>
        <v/>
      </c>
      <c r="R83" s="85"/>
      <c r="S83" s="85"/>
      <c r="T83" s="85"/>
      <c r="U83" s="85"/>
      <c r="V83" s="85"/>
      <c r="W83" s="85"/>
      <c r="X83" s="85"/>
      <c r="Y83" s="85"/>
      <c r="Z83" s="41" t="str">
        <f aca="false">IF(AND(G83&lt;&gt;"",R83&lt;&gt;"",V83&lt;&gt;"",W83&lt;&gt;""),"COMPLETADO","OBSERVADO")</f>
        <v>OBSERVADO</v>
      </c>
      <c r="AA83" s="89"/>
    </row>
    <row r="84" customFormat="false" ht="15.75" hidden="false" customHeight="true" outlineLevel="0" collapsed="false">
      <c r="A84" s="140"/>
      <c r="B84" s="140"/>
      <c r="C84" s="140"/>
      <c r="D84" s="140"/>
      <c r="E84" s="140"/>
      <c r="F84" s="140"/>
      <c r="G84" s="140"/>
      <c r="H84" s="140"/>
      <c r="I84" s="138" t="str">
        <f aca="false">IFERROR(VLOOKUP(TEXT(H84,"0"),IPRESS!$A$3:$B$212,2,0),"")</f>
        <v/>
      </c>
      <c r="J84" s="140"/>
      <c r="K84" s="138" t="str">
        <f aca="false">IFERROR(VLOOKUP(TEXT(O84,"0"),CONDUCTORES!$A$3:$G$54,7,0),"")</f>
        <v/>
      </c>
      <c r="L84" s="140"/>
      <c r="M84" s="140"/>
      <c r="N84" s="139" t="str">
        <f aca="false">IFERROR(IF(L84*M84=0,"",L84*M84),"")</f>
        <v/>
      </c>
      <c r="O84" s="140"/>
      <c r="P84" s="138" t="str">
        <f aca="false">IFERROR(VLOOKUP(TEXT(O84,"0"),CONDUCTORES!$A$3:$G$54,2,0),"")</f>
        <v/>
      </c>
      <c r="Q84" s="138" t="str">
        <f aca="false">IFERROR(VLOOKUP(TEXT(O84,"0"),CONDUCTORES!$A$3:$H$54,6,0),"")</f>
        <v/>
      </c>
      <c r="R84" s="140"/>
      <c r="S84" s="140"/>
      <c r="T84" s="140"/>
      <c r="U84" s="140"/>
      <c r="V84" s="140"/>
      <c r="W84" s="140"/>
      <c r="X84" s="140"/>
      <c r="Y84" s="140"/>
      <c r="Z84" s="47" t="str">
        <f aca="false">IF(AND(G84&lt;&gt;"",R84&lt;&gt;"",V84&lt;&gt;"",W84&lt;&gt;""),"COMPLETADO","OBSERVADO")</f>
        <v>OBSERVADO</v>
      </c>
      <c r="AA84" s="89"/>
    </row>
    <row r="85" customFormat="false" ht="15.75" hidden="false" customHeight="true" outlineLevel="0" collapsed="false">
      <c r="A85" s="85"/>
      <c r="B85" s="85"/>
      <c r="C85" s="85"/>
      <c r="D85" s="85"/>
      <c r="E85" s="85"/>
      <c r="F85" s="85"/>
      <c r="G85" s="85"/>
      <c r="H85" s="85"/>
      <c r="I85" s="138" t="str">
        <f aca="false">IFERROR(VLOOKUP(TEXT(H85,"0"),IPRESS!$A$3:$B$212,2,0),"")</f>
        <v/>
      </c>
      <c r="J85" s="85"/>
      <c r="K85" s="138" t="str">
        <f aca="false">IFERROR(VLOOKUP(TEXT(O85,"0"),CONDUCTORES!$A$3:$G$54,7,0),"")</f>
        <v/>
      </c>
      <c r="L85" s="85"/>
      <c r="M85" s="85"/>
      <c r="N85" s="139" t="str">
        <f aca="false">IFERROR(IF(L85*M85=0,"",L85*M85),"")</f>
        <v/>
      </c>
      <c r="O85" s="85"/>
      <c r="P85" s="138" t="str">
        <f aca="false">IFERROR(VLOOKUP(TEXT(O85,"0"),CONDUCTORES!$A$3:$G$54,2,0),"")</f>
        <v/>
      </c>
      <c r="Q85" s="138" t="str">
        <f aca="false">IFERROR(VLOOKUP(TEXT(O85,"0"),CONDUCTORES!$A$3:$H$54,6,0),"")</f>
        <v/>
      </c>
      <c r="R85" s="85"/>
      <c r="S85" s="85"/>
      <c r="T85" s="85"/>
      <c r="U85" s="85"/>
      <c r="V85" s="85"/>
      <c r="W85" s="85"/>
      <c r="X85" s="85"/>
      <c r="Y85" s="85"/>
      <c r="Z85" s="41" t="str">
        <f aca="false">IF(AND(G85&lt;&gt;"",R85&lt;&gt;"",V85&lt;&gt;"",W85&lt;&gt;""),"COMPLETADO","OBSERVADO")</f>
        <v>OBSERVADO</v>
      </c>
      <c r="AA85" s="89"/>
    </row>
    <row r="86" customFormat="false" ht="15.75" hidden="false" customHeight="true" outlineLevel="0" collapsed="false">
      <c r="A86" s="140"/>
      <c r="B86" s="140"/>
      <c r="C86" s="140"/>
      <c r="D86" s="140"/>
      <c r="E86" s="140"/>
      <c r="F86" s="140"/>
      <c r="G86" s="140"/>
      <c r="H86" s="140"/>
      <c r="I86" s="138" t="str">
        <f aca="false">IFERROR(VLOOKUP(TEXT(H86,"0"),IPRESS!$A$3:$B$212,2,0),"")</f>
        <v/>
      </c>
      <c r="J86" s="140"/>
      <c r="K86" s="138" t="str">
        <f aca="false">IFERROR(VLOOKUP(TEXT(O86,"0"),CONDUCTORES!$A$3:$G$54,7,0),"")</f>
        <v/>
      </c>
      <c r="L86" s="140"/>
      <c r="M86" s="140"/>
      <c r="N86" s="139" t="str">
        <f aca="false">IFERROR(IF(L86*M86=0,"",L86*M86),"")</f>
        <v/>
      </c>
      <c r="O86" s="140"/>
      <c r="P86" s="138" t="str">
        <f aca="false">IFERROR(VLOOKUP(TEXT(O86,"0"),CONDUCTORES!$A$3:$G$54,2,0),"")</f>
        <v/>
      </c>
      <c r="Q86" s="138" t="str">
        <f aca="false">IFERROR(VLOOKUP(TEXT(O86,"0"),CONDUCTORES!$A$3:$H$54,6,0),"")</f>
        <v/>
      </c>
      <c r="R86" s="140"/>
      <c r="S86" s="140"/>
      <c r="T86" s="140"/>
      <c r="U86" s="140"/>
      <c r="V86" s="140"/>
      <c r="W86" s="140"/>
      <c r="X86" s="140"/>
      <c r="Y86" s="140"/>
      <c r="Z86" s="47" t="str">
        <f aca="false">IF(AND(G86&lt;&gt;"",R86&lt;&gt;"",V86&lt;&gt;"",W86&lt;&gt;""),"COMPLETADO","OBSERVADO")</f>
        <v>OBSERVADO</v>
      </c>
      <c r="AA86" s="89"/>
    </row>
    <row r="87" customFormat="false" ht="15.75" hidden="false" customHeight="true" outlineLevel="0" collapsed="false">
      <c r="A87" s="85"/>
      <c r="B87" s="85"/>
      <c r="C87" s="85"/>
      <c r="D87" s="85"/>
      <c r="E87" s="85"/>
      <c r="F87" s="85"/>
      <c r="G87" s="85"/>
      <c r="H87" s="85"/>
      <c r="I87" s="138" t="str">
        <f aca="false">IFERROR(VLOOKUP(TEXT(H87,"0"),IPRESS!$A$3:$B$212,2,0),"")</f>
        <v/>
      </c>
      <c r="J87" s="85"/>
      <c r="K87" s="138" t="str">
        <f aca="false">IFERROR(VLOOKUP(TEXT(O87,"0"),CONDUCTORES!$A$3:$G$54,7,0),"")</f>
        <v/>
      </c>
      <c r="L87" s="85"/>
      <c r="M87" s="85"/>
      <c r="N87" s="139" t="str">
        <f aca="false">IFERROR(IF(L87*M87=0,"",L87*M87),"")</f>
        <v/>
      </c>
      <c r="O87" s="85"/>
      <c r="P87" s="138" t="str">
        <f aca="false">IFERROR(VLOOKUP(TEXT(O87,"0"),CONDUCTORES!$A$3:$G$54,2,0),"")</f>
        <v/>
      </c>
      <c r="Q87" s="138" t="str">
        <f aca="false">IFERROR(VLOOKUP(TEXT(O87,"0"),CONDUCTORES!$A$3:$H$54,6,0),"")</f>
        <v/>
      </c>
      <c r="R87" s="85"/>
      <c r="S87" s="85"/>
      <c r="T87" s="85"/>
      <c r="U87" s="85"/>
      <c r="V87" s="85"/>
      <c r="W87" s="85"/>
      <c r="X87" s="85"/>
      <c r="Y87" s="85"/>
      <c r="Z87" s="41" t="str">
        <f aca="false">IF(AND(G87&lt;&gt;"",R87&lt;&gt;"",V87&lt;&gt;"",W87&lt;&gt;""),"COMPLETADO","OBSERVADO")</f>
        <v>OBSERVADO</v>
      </c>
      <c r="AA87" s="89"/>
    </row>
    <row r="88" customFormat="false" ht="15.75" hidden="false" customHeight="true" outlineLevel="0" collapsed="false">
      <c r="A88" s="140"/>
      <c r="B88" s="140"/>
      <c r="C88" s="140"/>
      <c r="D88" s="140"/>
      <c r="E88" s="140"/>
      <c r="F88" s="140"/>
      <c r="G88" s="140"/>
      <c r="H88" s="140"/>
      <c r="I88" s="138" t="str">
        <f aca="false">IFERROR(VLOOKUP(TEXT(H88,"0"),IPRESS!$A$3:$B$212,2,0),"")</f>
        <v/>
      </c>
      <c r="J88" s="140"/>
      <c r="K88" s="138" t="str">
        <f aca="false">IFERROR(VLOOKUP(TEXT(O88,"0"),CONDUCTORES!$A$3:$G$54,7,0),"")</f>
        <v/>
      </c>
      <c r="L88" s="140"/>
      <c r="M88" s="140"/>
      <c r="N88" s="139" t="str">
        <f aca="false">IFERROR(IF(L88*M88=0,"",L88*M88),"")</f>
        <v/>
      </c>
      <c r="O88" s="140"/>
      <c r="P88" s="138" t="str">
        <f aca="false">IFERROR(VLOOKUP(TEXT(O88,"0"),CONDUCTORES!$A$3:$G$54,2,0),"")</f>
        <v/>
      </c>
      <c r="Q88" s="138" t="str">
        <f aca="false">IFERROR(VLOOKUP(TEXT(O88,"0"),CONDUCTORES!$A$3:$H$54,6,0),"")</f>
        <v/>
      </c>
      <c r="R88" s="140"/>
      <c r="S88" s="140"/>
      <c r="T88" s="140"/>
      <c r="U88" s="140"/>
      <c r="V88" s="140"/>
      <c r="W88" s="140"/>
      <c r="X88" s="140"/>
      <c r="Y88" s="140"/>
      <c r="Z88" s="47" t="str">
        <f aca="false">IF(AND(G88&lt;&gt;"",R88&lt;&gt;"",V88&lt;&gt;"",W88&lt;&gt;""),"COMPLETADO","OBSERVADO")</f>
        <v>OBSERVADO</v>
      </c>
      <c r="AA88" s="89"/>
    </row>
    <row r="89" customFormat="false" ht="15.75" hidden="false" customHeight="true" outlineLevel="0" collapsed="false">
      <c r="A89" s="85"/>
      <c r="B89" s="85"/>
      <c r="C89" s="85"/>
      <c r="D89" s="85"/>
      <c r="E89" s="85"/>
      <c r="F89" s="85"/>
      <c r="G89" s="85"/>
      <c r="H89" s="85"/>
      <c r="I89" s="138" t="str">
        <f aca="false">IFERROR(VLOOKUP(TEXT(H89,"0"),IPRESS!$A$3:$B$212,2,0),"")</f>
        <v/>
      </c>
      <c r="J89" s="85"/>
      <c r="K89" s="138" t="str">
        <f aca="false">IFERROR(VLOOKUP(TEXT(O89,"0"),CONDUCTORES!$A$3:$G$54,7,0),"")</f>
        <v/>
      </c>
      <c r="L89" s="85"/>
      <c r="M89" s="85"/>
      <c r="N89" s="139" t="str">
        <f aca="false">IFERROR(IF(L89*M89=0,"",L89*M89),"")</f>
        <v/>
      </c>
      <c r="O89" s="85"/>
      <c r="P89" s="138" t="str">
        <f aca="false">IFERROR(VLOOKUP(TEXT(O89,"0"),CONDUCTORES!$A$3:$G$54,2,0),"")</f>
        <v/>
      </c>
      <c r="Q89" s="138" t="str">
        <f aca="false">IFERROR(VLOOKUP(TEXT(O89,"0"),CONDUCTORES!$A$3:$H$54,6,0),"")</f>
        <v/>
      </c>
      <c r="R89" s="85"/>
      <c r="S89" s="85"/>
      <c r="T89" s="85"/>
      <c r="U89" s="85"/>
      <c r="V89" s="85"/>
      <c r="W89" s="85"/>
      <c r="X89" s="85"/>
      <c r="Y89" s="85"/>
      <c r="Z89" s="41" t="str">
        <f aca="false">IF(AND(G89&lt;&gt;"",R89&lt;&gt;"",V89&lt;&gt;"",W89&lt;&gt;""),"COMPLETADO","OBSERVADO")</f>
        <v>OBSERVADO</v>
      </c>
      <c r="AA89" s="89"/>
    </row>
    <row r="90" customFormat="false" ht="15.75" hidden="false" customHeight="true" outlineLevel="0" collapsed="false">
      <c r="A90" s="140"/>
      <c r="B90" s="140"/>
      <c r="C90" s="140"/>
      <c r="D90" s="140"/>
      <c r="E90" s="140"/>
      <c r="F90" s="140"/>
      <c r="G90" s="140"/>
      <c r="H90" s="140"/>
      <c r="I90" s="138" t="str">
        <f aca="false">IFERROR(VLOOKUP(TEXT(H90,"0"),IPRESS!$A$3:$B$212,2,0),"")</f>
        <v/>
      </c>
      <c r="J90" s="140"/>
      <c r="K90" s="138" t="str">
        <f aca="false">IFERROR(VLOOKUP(TEXT(O90,"0"),CONDUCTORES!$A$3:$G$54,7,0),"")</f>
        <v/>
      </c>
      <c r="L90" s="140"/>
      <c r="M90" s="140"/>
      <c r="N90" s="139" t="str">
        <f aca="false">IFERROR(IF(L90*M90=0,"",L90*M90),"")</f>
        <v/>
      </c>
      <c r="O90" s="140"/>
      <c r="P90" s="138" t="str">
        <f aca="false">IFERROR(VLOOKUP(TEXT(O90,"0"),CONDUCTORES!$A$3:$G$54,2,0),"")</f>
        <v/>
      </c>
      <c r="Q90" s="138" t="str">
        <f aca="false">IFERROR(VLOOKUP(TEXT(O90,"0"),CONDUCTORES!$A$3:$H$54,6,0),"")</f>
        <v/>
      </c>
      <c r="R90" s="140"/>
      <c r="S90" s="140"/>
      <c r="T90" s="140"/>
      <c r="U90" s="140"/>
      <c r="V90" s="140"/>
      <c r="W90" s="140"/>
      <c r="X90" s="140"/>
      <c r="Y90" s="140"/>
      <c r="Z90" s="47" t="str">
        <f aca="false">IF(AND(G90&lt;&gt;"",R90&lt;&gt;"",V90&lt;&gt;"",W90&lt;&gt;""),"COMPLETADO","OBSERVADO")</f>
        <v>OBSERVADO</v>
      </c>
      <c r="AA90" s="89"/>
    </row>
    <row r="91" customFormat="false" ht="15.75" hidden="false" customHeight="true" outlineLevel="0" collapsed="false">
      <c r="A91" s="85"/>
      <c r="B91" s="85"/>
      <c r="C91" s="85"/>
      <c r="D91" s="85"/>
      <c r="E91" s="85"/>
      <c r="F91" s="85"/>
      <c r="G91" s="85"/>
      <c r="H91" s="85"/>
      <c r="I91" s="138" t="str">
        <f aca="false">IFERROR(VLOOKUP(TEXT(H91,"0"),IPRESS!$A$3:$B$212,2,0),"")</f>
        <v/>
      </c>
      <c r="J91" s="85"/>
      <c r="K91" s="138" t="str">
        <f aca="false">IFERROR(VLOOKUP(TEXT(O91,"0"),CONDUCTORES!$A$3:$G$54,7,0),"")</f>
        <v/>
      </c>
      <c r="L91" s="85"/>
      <c r="M91" s="85"/>
      <c r="N91" s="139" t="str">
        <f aca="false">IFERROR(IF(L91*M91=0,"",L91*M91),"")</f>
        <v/>
      </c>
      <c r="O91" s="85"/>
      <c r="P91" s="138" t="str">
        <f aca="false">IFERROR(VLOOKUP(TEXT(O91,"0"),CONDUCTORES!$A$3:$G$54,2,0),"")</f>
        <v/>
      </c>
      <c r="Q91" s="138" t="str">
        <f aca="false">IFERROR(VLOOKUP(TEXT(O91,"0"),CONDUCTORES!$A$3:$H$54,6,0),"")</f>
        <v/>
      </c>
      <c r="R91" s="85"/>
      <c r="S91" s="85"/>
      <c r="T91" s="85"/>
      <c r="U91" s="85"/>
      <c r="V91" s="85"/>
      <c r="W91" s="85"/>
      <c r="X91" s="85"/>
      <c r="Y91" s="85"/>
      <c r="Z91" s="41" t="str">
        <f aca="false">IF(AND(G91&lt;&gt;"",R91&lt;&gt;"",V91&lt;&gt;"",W91&lt;&gt;""),"COMPLETADO","OBSERVADO")</f>
        <v>OBSERVADO</v>
      </c>
      <c r="AA91" s="89"/>
    </row>
    <row r="92" customFormat="false" ht="15.75" hidden="false" customHeight="true" outlineLevel="0" collapsed="false">
      <c r="A92" s="140"/>
      <c r="B92" s="140"/>
      <c r="C92" s="140"/>
      <c r="D92" s="140"/>
      <c r="E92" s="140"/>
      <c r="F92" s="140"/>
      <c r="G92" s="140"/>
      <c r="H92" s="140"/>
      <c r="I92" s="138" t="str">
        <f aca="false">IFERROR(VLOOKUP(TEXT(H92,"0"),IPRESS!$A$3:$B$212,2,0),"")</f>
        <v/>
      </c>
      <c r="J92" s="140"/>
      <c r="K92" s="138" t="str">
        <f aca="false">IFERROR(VLOOKUP(TEXT(O92,"0"),CONDUCTORES!$A$3:$G$54,7,0),"")</f>
        <v/>
      </c>
      <c r="L92" s="140"/>
      <c r="M92" s="140"/>
      <c r="N92" s="139" t="str">
        <f aca="false">IFERROR(IF(L92*M92=0,"",L92*M92),"")</f>
        <v/>
      </c>
      <c r="O92" s="140"/>
      <c r="P92" s="138" t="str">
        <f aca="false">IFERROR(VLOOKUP(TEXT(O92,"0"),CONDUCTORES!$A$3:$G$54,2,0),"")</f>
        <v/>
      </c>
      <c r="Q92" s="138" t="str">
        <f aca="false">IFERROR(VLOOKUP(TEXT(O92,"0"),CONDUCTORES!$A$3:$H$54,6,0),"")</f>
        <v/>
      </c>
      <c r="R92" s="140"/>
      <c r="S92" s="140"/>
      <c r="T92" s="140"/>
      <c r="U92" s="140"/>
      <c r="V92" s="140"/>
      <c r="W92" s="140"/>
      <c r="X92" s="140"/>
      <c r="Y92" s="140"/>
      <c r="Z92" s="47" t="str">
        <f aca="false">IF(AND(G92&lt;&gt;"",R92&lt;&gt;"",V92&lt;&gt;"",W92&lt;&gt;""),"COMPLETADO","OBSERVADO")</f>
        <v>OBSERVADO</v>
      </c>
      <c r="AA92" s="89"/>
    </row>
    <row r="93" customFormat="false" ht="15.75" hidden="false" customHeight="true" outlineLevel="0" collapsed="false">
      <c r="A93" s="85"/>
      <c r="B93" s="85"/>
      <c r="C93" s="85"/>
      <c r="D93" s="85"/>
      <c r="E93" s="85"/>
      <c r="F93" s="85"/>
      <c r="G93" s="85"/>
      <c r="H93" s="85"/>
      <c r="I93" s="138" t="str">
        <f aca="false">IFERROR(VLOOKUP(TEXT(H93,"0"),IPRESS!$A$3:$B$212,2,0),"")</f>
        <v/>
      </c>
      <c r="J93" s="85"/>
      <c r="K93" s="138" t="str">
        <f aca="false">IFERROR(VLOOKUP(TEXT(O93,"0"),CONDUCTORES!$A$3:$G$54,7,0),"")</f>
        <v/>
      </c>
      <c r="L93" s="85"/>
      <c r="M93" s="85"/>
      <c r="N93" s="139" t="str">
        <f aca="false">IFERROR(IF(L93*M93=0,"",L93*M93),"")</f>
        <v/>
      </c>
      <c r="O93" s="85"/>
      <c r="P93" s="138" t="str">
        <f aca="false">IFERROR(VLOOKUP(TEXT(O93,"0"),CONDUCTORES!$A$3:$G$54,2,0),"")</f>
        <v/>
      </c>
      <c r="Q93" s="138" t="str">
        <f aca="false">IFERROR(VLOOKUP(TEXT(O93,"0"),CONDUCTORES!$A$3:$H$54,6,0),"")</f>
        <v/>
      </c>
      <c r="R93" s="85"/>
      <c r="S93" s="85"/>
      <c r="T93" s="85"/>
      <c r="U93" s="85"/>
      <c r="V93" s="85"/>
      <c r="W93" s="85"/>
      <c r="X93" s="85"/>
      <c r="Y93" s="85"/>
      <c r="Z93" s="41" t="str">
        <f aca="false">IF(AND(G93&lt;&gt;"",R93&lt;&gt;"",V93&lt;&gt;"",W93&lt;&gt;""),"COMPLETADO","OBSERVADO")</f>
        <v>OBSERVADO</v>
      </c>
      <c r="AA93" s="89"/>
    </row>
    <row r="94" customFormat="false" ht="15.75" hidden="false" customHeight="true" outlineLevel="0" collapsed="false">
      <c r="A94" s="140"/>
      <c r="B94" s="140"/>
      <c r="C94" s="140"/>
      <c r="D94" s="140"/>
      <c r="E94" s="140"/>
      <c r="F94" s="140"/>
      <c r="G94" s="140"/>
      <c r="H94" s="140"/>
      <c r="I94" s="138" t="str">
        <f aca="false">IFERROR(VLOOKUP(TEXT(H94,"0"),IPRESS!$A$3:$B$212,2,0),"")</f>
        <v/>
      </c>
      <c r="J94" s="140"/>
      <c r="K94" s="138" t="str">
        <f aca="false">IFERROR(VLOOKUP(TEXT(O94,"0"),CONDUCTORES!$A$3:$G$54,7,0),"")</f>
        <v/>
      </c>
      <c r="L94" s="140"/>
      <c r="M94" s="140"/>
      <c r="N94" s="139" t="str">
        <f aca="false">IFERROR(IF(L94*M94=0,"",L94*M94),"")</f>
        <v/>
      </c>
      <c r="O94" s="140"/>
      <c r="P94" s="138" t="str">
        <f aca="false">IFERROR(VLOOKUP(TEXT(O94,"0"),CONDUCTORES!$A$3:$G$54,2,0),"")</f>
        <v/>
      </c>
      <c r="Q94" s="138" t="str">
        <f aca="false">IFERROR(VLOOKUP(TEXT(O94,"0"),CONDUCTORES!$A$3:$H$54,6,0),"")</f>
        <v/>
      </c>
      <c r="R94" s="140"/>
      <c r="S94" s="140"/>
      <c r="T94" s="140"/>
      <c r="U94" s="140"/>
      <c r="V94" s="140"/>
      <c r="W94" s="140"/>
      <c r="X94" s="140"/>
      <c r="Y94" s="140"/>
      <c r="Z94" s="47" t="str">
        <f aca="false">IF(AND(G94&lt;&gt;"",R94&lt;&gt;"",V94&lt;&gt;"",W94&lt;&gt;""),"COMPLETADO","OBSERVADO")</f>
        <v>OBSERVADO</v>
      </c>
      <c r="AA94" s="89"/>
    </row>
    <row r="95" customFormat="false" ht="15.75" hidden="false" customHeight="true" outlineLevel="0" collapsed="false">
      <c r="A95" s="85"/>
      <c r="B95" s="85"/>
      <c r="C95" s="85"/>
      <c r="D95" s="85"/>
      <c r="E95" s="85"/>
      <c r="F95" s="85"/>
      <c r="G95" s="85"/>
      <c r="H95" s="85"/>
      <c r="I95" s="138" t="str">
        <f aca="false">IFERROR(VLOOKUP(TEXT(H95,"0"),IPRESS!$A$3:$B$212,2,0),"")</f>
        <v/>
      </c>
      <c r="J95" s="85"/>
      <c r="K95" s="138" t="str">
        <f aca="false">IFERROR(VLOOKUP(TEXT(O95,"0"),CONDUCTORES!$A$3:$G$54,7,0),"")</f>
        <v/>
      </c>
      <c r="L95" s="85"/>
      <c r="M95" s="85"/>
      <c r="N95" s="139" t="str">
        <f aca="false">IFERROR(IF(L95*M95=0,"",L95*M95),"")</f>
        <v/>
      </c>
      <c r="O95" s="85"/>
      <c r="P95" s="138" t="str">
        <f aca="false">IFERROR(VLOOKUP(TEXT(O95,"0"),CONDUCTORES!$A$3:$G$54,2,0),"")</f>
        <v/>
      </c>
      <c r="Q95" s="138" t="str">
        <f aca="false">IFERROR(VLOOKUP(TEXT(O95,"0"),CONDUCTORES!$A$3:$H$54,6,0),"")</f>
        <v/>
      </c>
      <c r="R95" s="85"/>
      <c r="S95" s="85"/>
      <c r="T95" s="85"/>
      <c r="U95" s="85"/>
      <c r="V95" s="85"/>
      <c r="W95" s="85"/>
      <c r="X95" s="85"/>
      <c r="Y95" s="85"/>
      <c r="Z95" s="41" t="str">
        <f aca="false">IF(AND(G95&lt;&gt;"",R95&lt;&gt;"",V95&lt;&gt;"",W95&lt;&gt;""),"COMPLETADO","OBSERVADO")</f>
        <v>OBSERVADO</v>
      </c>
      <c r="AA95" s="89"/>
    </row>
    <row r="96" customFormat="false" ht="15.75" hidden="false" customHeight="true" outlineLevel="0" collapsed="false">
      <c r="A96" s="140"/>
      <c r="B96" s="140"/>
      <c r="C96" s="140"/>
      <c r="D96" s="140"/>
      <c r="E96" s="140"/>
      <c r="F96" s="140"/>
      <c r="G96" s="140"/>
      <c r="H96" s="140"/>
      <c r="I96" s="138" t="str">
        <f aca="false">IFERROR(VLOOKUP(TEXT(H96,"0"),IPRESS!$A$3:$B$212,2,0),"")</f>
        <v/>
      </c>
      <c r="J96" s="140"/>
      <c r="K96" s="138" t="str">
        <f aca="false">IFERROR(VLOOKUP(TEXT(O96,"0"),CONDUCTORES!$A$3:$G$54,7,0),"")</f>
        <v/>
      </c>
      <c r="L96" s="140"/>
      <c r="M96" s="140"/>
      <c r="N96" s="139" t="str">
        <f aca="false">IFERROR(IF(L96*M96=0,"",L96*M96),"")</f>
        <v/>
      </c>
      <c r="O96" s="140"/>
      <c r="P96" s="138" t="str">
        <f aca="false">IFERROR(VLOOKUP(TEXT(O96,"0"),CONDUCTORES!$A$3:$G$54,2,0),"")</f>
        <v/>
      </c>
      <c r="Q96" s="138" t="str">
        <f aca="false">IFERROR(VLOOKUP(TEXT(O96,"0"),CONDUCTORES!$A$3:$H$54,6,0),"")</f>
        <v/>
      </c>
      <c r="R96" s="140"/>
      <c r="S96" s="140"/>
      <c r="T96" s="140"/>
      <c r="U96" s="140"/>
      <c r="V96" s="140"/>
      <c r="W96" s="140"/>
      <c r="X96" s="140"/>
      <c r="Y96" s="140"/>
      <c r="Z96" s="47" t="str">
        <f aca="false">IF(AND(G96&lt;&gt;"",R96&lt;&gt;"",V96&lt;&gt;"",W96&lt;&gt;""),"COMPLETADO","OBSERVADO")</f>
        <v>OBSERVADO</v>
      </c>
      <c r="AA96" s="89"/>
    </row>
    <row r="97" customFormat="false" ht="15.75" hidden="false" customHeight="true" outlineLevel="0" collapsed="false">
      <c r="A97" s="85"/>
      <c r="B97" s="85"/>
      <c r="C97" s="85"/>
      <c r="D97" s="85"/>
      <c r="E97" s="85"/>
      <c r="F97" s="85"/>
      <c r="G97" s="85"/>
      <c r="H97" s="85"/>
      <c r="I97" s="138" t="str">
        <f aca="false">IFERROR(VLOOKUP(TEXT(H97,"0"),IPRESS!$A$3:$B$212,2,0),"")</f>
        <v/>
      </c>
      <c r="J97" s="85"/>
      <c r="K97" s="138" t="str">
        <f aca="false">IFERROR(VLOOKUP(TEXT(O97,"0"),CONDUCTORES!$A$3:$G$54,7,0),"")</f>
        <v/>
      </c>
      <c r="L97" s="85"/>
      <c r="M97" s="85"/>
      <c r="N97" s="139" t="str">
        <f aca="false">IFERROR(IF(L97*M97=0,"",L97*M97),"")</f>
        <v/>
      </c>
      <c r="O97" s="85"/>
      <c r="P97" s="138" t="str">
        <f aca="false">IFERROR(VLOOKUP(TEXT(O97,"0"),CONDUCTORES!$A$3:$G$54,2,0),"")</f>
        <v/>
      </c>
      <c r="Q97" s="138" t="str">
        <f aca="false">IFERROR(VLOOKUP(TEXT(O97,"0"),CONDUCTORES!$A$3:$H$54,6,0),"")</f>
        <v/>
      </c>
      <c r="R97" s="85"/>
      <c r="S97" s="85"/>
      <c r="T97" s="85"/>
      <c r="U97" s="85"/>
      <c r="V97" s="85"/>
      <c r="W97" s="85"/>
      <c r="X97" s="85"/>
      <c r="Y97" s="85"/>
      <c r="Z97" s="41" t="str">
        <f aca="false">IF(AND(G97&lt;&gt;"",R97&lt;&gt;"",V97&lt;&gt;"",W97&lt;&gt;""),"COMPLETADO","OBSERVADO")</f>
        <v>OBSERVADO</v>
      </c>
      <c r="AA97" s="89"/>
    </row>
    <row r="98" customFormat="false" ht="15.75" hidden="false" customHeight="true" outlineLevel="0" collapsed="false">
      <c r="A98" s="140"/>
      <c r="B98" s="140"/>
      <c r="C98" s="140"/>
      <c r="D98" s="140"/>
      <c r="E98" s="140"/>
      <c r="F98" s="140"/>
      <c r="G98" s="140"/>
      <c r="H98" s="140"/>
      <c r="I98" s="138" t="str">
        <f aca="false">IFERROR(VLOOKUP(TEXT(H98,"0"),IPRESS!$A$3:$B$212,2,0),"")</f>
        <v/>
      </c>
      <c r="J98" s="140"/>
      <c r="K98" s="138" t="str">
        <f aca="false">IFERROR(VLOOKUP(TEXT(O98,"0"),CONDUCTORES!$A$3:$G$54,7,0),"")</f>
        <v/>
      </c>
      <c r="L98" s="140"/>
      <c r="M98" s="140"/>
      <c r="N98" s="139" t="str">
        <f aca="false">IFERROR(IF(L98*M98=0,"",L98*M98),"")</f>
        <v/>
      </c>
      <c r="O98" s="140"/>
      <c r="P98" s="138" t="str">
        <f aca="false">IFERROR(VLOOKUP(TEXT(O98,"0"),CONDUCTORES!$A$3:$G$54,2,0),"")</f>
        <v/>
      </c>
      <c r="Q98" s="138" t="str">
        <f aca="false">IFERROR(VLOOKUP(TEXT(O98,"0"),CONDUCTORES!$A$3:$H$54,6,0),"")</f>
        <v/>
      </c>
      <c r="R98" s="140"/>
      <c r="S98" s="140"/>
      <c r="T98" s="140"/>
      <c r="U98" s="140"/>
      <c r="V98" s="140"/>
      <c r="W98" s="140"/>
      <c r="X98" s="140"/>
      <c r="Y98" s="140"/>
      <c r="Z98" s="47" t="str">
        <f aca="false">IF(AND(G98&lt;&gt;"",R98&lt;&gt;"",V98&lt;&gt;"",W98&lt;&gt;""),"COMPLETADO","OBSERVADO")</f>
        <v>OBSERVADO</v>
      </c>
      <c r="AA98" s="89"/>
    </row>
    <row r="99" customFormat="false" ht="15.75" hidden="false" customHeight="true" outlineLevel="0" collapsed="false">
      <c r="A99" s="85"/>
      <c r="B99" s="85"/>
      <c r="C99" s="85"/>
      <c r="D99" s="85"/>
      <c r="E99" s="85"/>
      <c r="F99" s="85"/>
      <c r="G99" s="85"/>
      <c r="H99" s="85"/>
      <c r="I99" s="138" t="str">
        <f aca="false">IFERROR(VLOOKUP(TEXT(H99,"0"),IPRESS!$A$3:$B$212,2,0),"")</f>
        <v/>
      </c>
      <c r="J99" s="85"/>
      <c r="K99" s="138" t="str">
        <f aca="false">IFERROR(VLOOKUP(TEXT(O99,"0"),CONDUCTORES!$A$3:$G$54,7,0),"")</f>
        <v/>
      </c>
      <c r="L99" s="85"/>
      <c r="M99" s="85"/>
      <c r="N99" s="139" t="str">
        <f aca="false">IFERROR(IF(L99*M99=0,"",L99*M99),"")</f>
        <v/>
      </c>
      <c r="O99" s="85"/>
      <c r="P99" s="138" t="str">
        <f aca="false">IFERROR(VLOOKUP(TEXT(O99,"0"),CONDUCTORES!$A$3:$G$54,2,0),"")</f>
        <v/>
      </c>
      <c r="Q99" s="138" t="str">
        <f aca="false">IFERROR(VLOOKUP(TEXT(O99,"0"),CONDUCTORES!$A$3:$H$54,6,0),"")</f>
        <v/>
      </c>
      <c r="R99" s="85"/>
      <c r="S99" s="85"/>
      <c r="T99" s="85"/>
      <c r="U99" s="85"/>
      <c r="V99" s="85"/>
      <c r="W99" s="85"/>
      <c r="X99" s="85"/>
      <c r="Y99" s="85"/>
      <c r="Z99" s="41" t="str">
        <f aca="false">IF(AND(G99&lt;&gt;"",R99&lt;&gt;"",V99&lt;&gt;"",W99&lt;&gt;""),"COMPLETADO","OBSERVADO")</f>
        <v>OBSERVADO</v>
      </c>
      <c r="AA99" s="89"/>
    </row>
    <row r="100" customFormat="false" ht="15.75" hidden="false" customHeight="true" outlineLevel="0" collapsed="false">
      <c r="A100" s="140"/>
      <c r="B100" s="140"/>
      <c r="C100" s="140"/>
      <c r="D100" s="140"/>
      <c r="E100" s="140"/>
      <c r="F100" s="140"/>
      <c r="G100" s="140"/>
      <c r="H100" s="140"/>
      <c r="I100" s="138" t="str">
        <f aca="false">IFERROR(VLOOKUP(TEXT(H100,"0"),IPRESS!$A$3:$B$212,2,0),"")</f>
        <v/>
      </c>
      <c r="J100" s="140"/>
      <c r="K100" s="138" t="str">
        <f aca="false">IFERROR(VLOOKUP(TEXT(O100,"0"),CONDUCTORES!$A$3:$G$54,7,0),"")</f>
        <v/>
      </c>
      <c r="L100" s="140"/>
      <c r="M100" s="140"/>
      <c r="N100" s="139" t="str">
        <f aca="false">IFERROR(IF(L100*M100=0,"",L100*M100),"")</f>
        <v/>
      </c>
      <c r="O100" s="140"/>
      <c r="P100" s="138" t="str">
        <f aca="false">IFERROR(VLOOKUP(TEXT(O100,"0"),CONDUCTORES!$A$3:$G$54,2,0),"")</f>
        <v/>
      </c>
      <c r="Q100" s="138" t="str">
        <f aca="false">IFERROR(VLOOKUP(TEXT(O100,"0"),CONDUCTORES!$A$3:$H$54,6,0),"")</f>
        <v/>
      </c>
      <c r="R100" s="140"/>
      <c r="S100" s="140"/>
      <c r="T100" s="140"/>
      <c r="U100" s="140"/>
      <c r="V100" s="140"/>
      <c r="W100" s="140"/>
      <c r="X100" s="140"/>
      <c r="Y100" s="140"/>
      <c r="Z100" s="47" t="str">
        <f aca="false">IF(AND(G100&lt;&gt;"",R100&lt;&gt;"",V100&lt;&gt;"",W100&lt;&gt;""),"COMPLETADO","OBSERVADO")</f>
        <v>OBSERVADO</v>
      </c>
      <c r="AA100" s="89"/>
    </row>
    <row r="101" customFormat="false" ht="15.75" hidden="false" customHeight="true" outlineLevel="0" collapsed="false">
      <c r="A101" s="85"/>
      <c r="B101" s="85"/>
      <c r="C101" s="85"/>
      <c r="D101" s="85"/>
      <c r="E101" s="85"/>
      <c r="F101" s="85"/>
      <c r="G101" s="85"/>
      <c r="H101" s="85"/>
      <c r="I101" s="138" t="str">
        <f aca="false">IFERROR(VLOOKUP(TEXT(H101,"0"),IPRESS!$A$3:$B$212,2,0),"")</f>
        <v/>
      </c>
      <c r="J101" s="85"/>
      <c r="K101" s="138" t="str">
        <f aca="false">IFERROR(VLOOKUP(TEXT(O101,"0"),CONDUCTORES!$A$3:$G$54,7,0),"")</f>
        <v/>
      </c>
      <c r="L101" s="85"/>
      <c r="M101" s="85"/>
      <c r="N101" s="139" t="str">
        <f aca="false">IFERROR(IF(L101*M101=0,"",L101*M101),"")</f>
        <v/>
      </c>
      <c r="O101" s="85"/>
      <c r="P101" s="138" t="str">
        <f aca="false">IFERROR(VLOOKUP(TEXT(O101,"0"),CONDUCTORES!$A$3:$G$54,2,0),"")</f>
        <v/>
      </c>
      <c r="Q101" s="138" t="str">
        <f aca="false">IFERROR(VLOOKUP(TEXT(O101,"0"),CONDUCTORES!$A$3:$H$54,6,0),"")</f>
        <v/>
      </c>
      <c r="R101" s="85"/>
      <c r="S101" s="85"/>
      <c r="T101" s="85"/>
      <c r="U101" s="85"/>
      <c r="V101" s="85"/>
      <c r="W101" s="85"/>
      <c r="X101" s="85"/>
      <c r="Y101" s="85"/>
      <c r="Z101" s="41" t="str">
        <f aca="false">IF(AND(G101&lt;&gt;"",R101&lt;&gt;"",V101&lt;&gt;"",W101&lt;&gt;""),"COMPLETADO","OBSERVADO")</f>
        <v>OBSERVADO</v>
      </c>
      <c r="AA101" s="89"/>
    </row>
    <row r="102" customFormat="false" ht="15.75" hidden="false" customHeight="true" outlineLevel="0" collapsed="false">
      <c r="A102" s="140"/>
      <c r="B102" s="140"/>
      <c r="C102" s="140"/>
      <c r="D102" s="140"/>
      <c r="E102" s="140"/>
      <c r="F102" s="140"/>
      <c r="G102" s="140"/>
      <c r="H102" s="140"/>
      <c r="I102" s="138" t="str">
        <f aca="false">IFERROR(VLOOKUP(TEXT(H102,"0"),IPRESS!$A$3:$B$212,2,0),"")</f>
        <v/>
      </c>
      <c r="J102" s="140"/>
      <c r="K102" s="138" t="str">
        <f aca="false">IFERROR(VLOOKUP(TEXT(O102,"0"),CONDUCTORES!$A$3:$G$54,7,0),"")</f>
        <v/>
      </c>
      <c r="L102" s="140"/>
      <c r="M102" s="140"/>
      <c r="N102" s="139" t="str">
        <f aca="false">IFERROR(IF(L102*M102=0,"",L102*M102),"")</f>
        <v/>
      </c>
      <c r="O102" s="140"/>
      <c r="P102" s="138" t="str">
        <f aca="false">IFERROR(VLOOKUP(TEXT(O102,"0"),CONDUCTORES!$A$3:$G$54,2,0),"")</f>
        <v/>
      </c>
      <c r="Q102" s="138" t="str">
        <f aca="false">IFERROR(VLOOKUP(TEXT(O102,"0"),CONDUCTORES!$A$3:$H$54,6,0),"")</f>
        <v/>
      </c>
      <c r="R102" s="140"/>
      <c r="S102" s="140"/>
      <c r="T102" s="140"/>
      <c r="U102" s="140"/>
      <c r="V102" s="140"/>
      <c r="W102" s="140"/>
      <c r="X102" s="140"/>
      <c r="Y102" s="140"/>
      <c r="Z102" s="47" t="str">
        <f aca="false">IF(AND(G102&lt;&gt;"",R102&lt;&gt;"",V102&lt;&gt;"",W102&lt;&gt;""),"COMPLETADO","OBSERVADO")</f>
        <v>OBSERVADO</v>
      </c>
      <c r="AA102" s="89"/>
    </row>
    <row r="103" customFormat="false" ht="15.7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138" t="str">
        <f aca="false">IFERROR(VLOOKUP(TEXT(H103,"0"),IPRESS!$A$3:$B$212,2,0),"")</f>
        <v/>
      </c>
      <c r="J103" s="85"/>
      <c r="K103" s="138" t="str">
        <f aca="false">IFERROR(VLOOKUP(TEXT(O103,"0"),CONDUCTORES!$A$3:$G$54,7,0),"")</f>
        <v/>
      </c>
      <c r="L103" s="85"/>
      <c r="M103" s="85"/>
      <c r="N103" s="139" t="str">
        <f aca="false">IFERROR(IF(L103*M103=0,"",L103*M103),"")</f>
        <v/>
      </c>
      <c r="O103" s="85"/>
      <c r="P103" s="138" t="str">
        <f aca="false">IFERROR(VLOOKUP(TEXT(O103,"0"),CONDUCTORES!$A$3:$G$54,2,0),"")</f>
        <v/>
      </c>
      <c r="Q103" s="138" t="str">
        <f aca="false">IFERROR(VLOOKUP(TEXT(O103,"0"),CONDUCTORES!$A$3:$H$54,6,0),"")</f>
        <v/>
      </c>
      <c r="R103" s="85"/>
      <c r="S103" s="85"/>
      <c r="T103" s="85"/>
      <c r="U103" s="85"/>
      <c r="V103" s="85"/>
      <c r="W103" s="85"/>
      <c r="X103" s="85"/>
      <c r="Y103" s="85"/>
      <c r="Z103" s="41" t="str">
        <f aca="false">IF(AND(G103&lt;&gt;"",R103&lt;&gt;"",V103&lt;&gt;"",W103&lt;&gt;""),"COMPLETADO","OBSERVADO")</f>
        <v>OBSERVADO</v>
      </c>
      <c r="AA103" s="89"/>
    </row>
    <row r="104" customFormat="false" ht="15.75" hidden="false" customHeight="true" outlineLevel="0" collapsed="false">
      <c r="A104" s="140"/>
      <c r="B104" s="140"/>
      <c r="C104" s="140"/>
      <c r="D104" s="140"/>
      <c r="E104" s="140"/>
      <c r="F104" s="140"/>
      <c r="G104" s="140"/>
      <c r="H104" s="140"/>
      <c r="I104" s="138" t="str">
        <f aca="false">IFERROR(VLOOKUP(TEXT(H104,"0"),IPRESS!$A$3:$B$212,2,0),"")</f>
        <v/>
      </c>
      <c r="J104" s="140"/>
      <c r="K104" s="138" t="str">
        <f aca="false">IFERROR(VLOOKUP(TEXT(O104,"0"),CONDUCTORES!$A$3:$G$54,7,0),"")</f>
        <v/>
      </c>
      <c r="L104" s="140"/>
      <c r="M104" s="140"/>
      <c r="N104" s="139" t="str">
        <f aca="false">IFERROR(IF(L104*M104=0,"",L104*M104),"")</f>
        <v/>
      </c>
      <c r="O104" s="140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140"/>
      <c r="S104" s="140"/>
      <c r="T104" s="140"/>
      <c r="U104" s="140"/>
      <c r="V104" s="140"/>
      <c r="W104" s="140"/>
      <c r="X104" s="140"/>
      <c r="Y104" s="140"/>
      <c r="Z104" s="47" t="str">
        <f aca="false">IF(AND(G104&lt;&gt;"",R104&lt;&gt;"",V104&lt;&gt;"",W104&lt;&gt;""),"COMPLETADO","OBSERVADO")</f>
        <v>OBSERVADO</v>
      </c>
      <c r="AA104" s="89"/>
    </row>
    <row r="105" customFormat="false" ht="15.7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38" t="str">
        <f aca="false">IFERROR(VLOOKUP(TEXT(H105,"0"),IPRESS!$A$3:$B$212,2,0),"")</f>
        <v/>
      </c>
      <c r="J105" s="85"/>
      <c r="K105" s="138" t="str">
        <f aca="false">IFERROR(VLOOKUP(TEXT(O105,"0"),CONDUCTORES!$A$3:$G$54,7,0),"")</f>
        <v/>
      </c>
      <c r="L105" s="85"/>
      <c r="M105" s="85"/>
      <c r="N105" s="139" t="str">
        <f aca="false">IFERROR(IF(L105*M105=0,"",L105*M105),"")</f>
        <v/>
      </c>
      <c r="O105" s="85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85"/>
      <c r="S105" s="85"/>
      <c r="T105" s="85"/>
      <c r="U105" s="85"/>
      <c r="V105" s="85"/>
      <c r="W105" s="85"/>
      <c r="X105" s="85"/>
      <c r="Y105" s="85"/>
      <c r="Z105" s="41" t="str">
        <f aca="false">IF(AND(G105&lt;&gt;"",R105&lt;&gt;"",V105&lt;&gt;"",W105&lt;&gt;""),"COMPLETADO","OBSERVADO")</f>
        <v>OBSERVADO</v>
      </c>
      <c r="AA105" s="89"/>
    </row>
    <row r="106" customFormat="false" ht="15.75" hidden="false" customHeight="true" outlineLevel="0" collapsed="false">
      <c r="A106" s="140"/>
      <c r="B106" s="140"/>
      <c r="C106" s="140"/>
      <c r="D106" s="140"/>
      <c r="E106" s="140"/>
      <c r="F106" s="140"/>
      <c r="G106" s="140"/>
      <c r="H106" s="140"/>
      <c r="I106" s="138" t="str">
        <f aca="false">IFERROR(VLOOKUP(TEXT(H106,"0"),IPRESS!$A$3:$B$212,2,0),"")</f>
        <v/>
      </c>
      <c r="J106" s="140"/>
      <c r="K106" s="138" t="str">
        <f aca="false">IFERROR(VLOOKUP(TEXT(O106,"0"),CONDUCTORES!$A$3:$G$54,7,0),"")</f>
        <v/>
      </c>
      <c r="L106" s="140"/>
      <c r="M106" s="140"/>
      <c r="N106" s="139" t="str">
        <f aca="false">IFERROR(IF(L106*M106=0,"",L106*M106),"")</f>
        <v/>
      </c>
      <c r="O106" s="140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140"/>
      <c r="S106" s="140"/>
      <c r="T106" s="140"/>
      <c r="U106" s="140"/>
      <c r="V106" s="140"/>
      <c r="W106" s="140"/>
      <c r="X106" s="140"/>
      <c r="Y106" s="140"/>
      <c r="Z106" s="47" t="str">
        <f aca="false">IF(AND(G106&lt;&gt;"",R106&lt;&gt;"",V106&lt;&gt;"",W106&lt;&gt;""),"COMPLETADO","OBSERVADO")</f>
        <v>OBSERVADO</v>
      </c>
      <c r="AA106" s="89"/>
    </row>
    <row r="107" customFormat="false" ht="15.7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38" t="str">
        <f aca="false">IFERROR(VLOOKUP(TEXT(H107,"0"),IPRESS!$A$3:$B$212,2,0),"")</f>
        <v/>
      </c>
      <c r="J107" s="85"/>
      <c r="K107" s="138" t="str">
        <f aca="false">IFERROR(VLOOKUP(TEXT(O107,"0"),CONDUCTORES!$A$3:$G$54,7,0),"")</f>
        <v/>
      </c>
      <c r="L107" s="85"/>
      <c r="M107" s="85"/>
      <c r="N107" s="139" t="str">
        <f aca="false">IFERROR(IF(L107*M107=0,"",L107*M107),"")</f>
        <v/>
      </c>
      <c r="O107" s="85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85"/>
      <c r="S107" s="85"/>
      <c r="T107" s="85"/>
      <c r="U107" s="85"/>
      <c r="V107" s="85"/>
      <c r="W107" s="85"/>
      <c r="X107" s="85"/>
      <c r="Y107" s="85"/>
      <c r="Z107" s="41" t="str">
        <f aca="false">IF(AND(G107&lt;&gt;"",R107&lt;&gt;"",V107&lt;&gt;"",W107&lt;&gt;""),"COMPLETADO","OBSERVADO")</f>
        <v>OBSERVADO</v>
      </c>
      <c r="AA107" s="89"/>
    </row>
    <row r="108" customFormat="false" ht="15.75" hidden="false" customHeight="true" outlineLevel="0" collapsed="false">
      <c r="A108" s="140"/>
      <c r="B108" s="140"/>
      <c r="C108" s="140"/>
      <c r="D108" s="140"/>
      <c r="E108" s="140"/>
      <c r="F108" s="140"/>
      <c r="G108" s="140"/>
      <c r="H108" s="140"/>
      <c r="I108" s="138" t="str">
        <f aca="false">IFERROR(VLOOKUP(TEXT(H108,"0"),IPRESS!$A$3:$B$212,2,0),"")</f>
        <v/>
      </c>
      <c r="J108" s="140"/>
      <c r="K108" s="138" t="str">
        <f aca="false">IFERROR(VLOOKUP(TEXT(O108,"0"),CONDUCTORES!$A$3:$G$54,7,0),"")</f>
        <v/>
      </c>
      <c r="L108" s="140"/>
      <c r="M108" s="140"/>
      <c r="N108" s="139" t="str">
        <f aca="false">IFERROR(IF(L108*M108=0,"",L108*M108),"")</f>
        <v/>
      </c>
      <c r="O108" s="140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140"/>
      <c r="S108" s="140"/>
      <c r="T108" s="140"/>
      <c r="U108" s="140"/>
      <c r="V108" s="140"/>
      <c r="W108" s="140"/>
      <c r="X108" s="140"/>
      <c r="Y108" s="140"/>
      <c r="Z108" s="47" t="str">
        <f aca="false">IF(AND(G108&lt;&gt;"",R108&lt;&gt;"",V108&lt;&gt;"",W108&lt;&gt;""),"COMPLETADO","OBSERVADO")</f>
        <v>OBSERVADO</v>
      </c>
      <c r="AA108" s="89"/>
    </row>
    <row r="109" customFormat="false" ht="15.7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38" t="str">
        <f aca="false">IFERROR(VLOOKUP(TEXT(O109,"0"),CONDUCTORES!$A$3:$G$54,7,0),"")</f>
        <v/>
      </c>
      <c r="L109" s="85"/>
      <c r="M109" s="85"/>
      <c r="N109" s="139" t="str">
        <f aca="false">IFERROR(IF(L109*M109=0,"",L109*M109),"")</f>
        <v/>
      </c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41" t="str">
        <f aca="false">IF(AND(G109&lt;&gt;"",R109&lt;&gt;"",V109&lt;&gt;"",W109&lt;&gt;""),"COMPLETADO","OBSERVADO")</f>
        <v>OBSERVADO</v>
      </c>
      <c r="AA109" s="89"/>
    </row>
    <row r="110" customFormat="false" ht="15.75" hidden="false" customHeight="true" outlineLevel="0" collapsed="false">
      <c r="A110" s="140"/>
      <c r="B110" s="140"/>
      <c r="C110" s="140"/>
      <c r="D110" s="140"/>
      <c r="E110" s="140"/>
      <c r="F110" s="140"/>
      <c r="G110" s="140"/>
      <c r="H110" s="140"/>
      <c r="I110" s="138" t="str">
        <f aca="false">IFERROR(VLOOKUP(TEXT(H110,"0"),IPRESS!$A$3:$B$212,2,0),"")</f>
        <v/>
      </c>
      <c r="J110" s="140"/>
      <c r="K110" s="138" t="str">
        <f aca="false">IFERROR(VLOOKUP(TEXT(O110,"0"),CONDUCTORES!$A$3:$G$54,7,0),"")</f>
        <v/>
      </c>
      <c r="L110" s="140"/>
      <c r="M110" s="140"/>
      <c r="N110" s="139" t="str">
        <f aca="false">IFERROR(IF(L110*M110=0,"",L110*M110),"")</f>
        <v/>
      </c>
      <c r="O110" s="140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140"/>
      <c r="S110" s="140"/>
      <c r="T110" s="140"/>
      <c r="U110" s="140"/>
      <c r="V110" s="140"/>
      <c r="W110" s="140"/>
      <c r="X110" s="140"/>
      <c r="Y110" s="140"/>
      <c r="Z110" s="47" t="str">
        <f aca="false">IF(AND(G110&lt;&gt;"",R110&lt;&gt;"",V110&lt;&gt;"",W110&lt;&gt;""),"COMPLETADO","OBSERVADO")</f>
        <v>OBSERVADO</v>
      </c>
      <c r="AA110" s="89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184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9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184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9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184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9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184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9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184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9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184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9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184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9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184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9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184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9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85" t="str">
        <f aca="false">IF(AND(G120&lt;&gt;"",R120&lt;&gt;"",V120&lt;&gt;"",W120&lt;&gt;""),"COMPLETADO","OBSERVADO")</f>
        <v>OBSERVADO</v>
      </c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  <c r="Z121" s="185" t="str">
        <f aca="false">IF(AND(G121&lt;&gt;"",R121&lt;&gt;"",V121&lt;&gt;"",W121&lt;&gt;""),"COMPLETADO","OBSERVADO")</f>
        <v>OBSERVADO</v>
      </c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85" t="str">
        <f aca="false">IF(AND(G122&lt;&gt;"",R122&lt;&gt;"",V122&lt;&gt;"",W122&lt;&gt;""),"COMPLETADO","OBSERVADO")</f>
        <v>OBSERVADO</v>
      </c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  <c r="Z123" s="185" t="str">
        <f aca="false">IF(AND(G123&lt;&gt;"",R123&lt;&gt;"",V123&lt;&gt;"",W123&lt;&gt;""),"COMPLETADO","OBSERVADO")</f>
        <v>OBSERVADO</v>
      </c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85" t="str">
        <f aca="false">IF(AND(G124&lt;&gt;"",R124&lt;&gt;"",V124&lt;&gt;"",W124&lt;&gt;""),"COMPLETADO","OBSERVADO")</f>
        <v>OBSERVADO</v>
      </c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  <c r="Z125" s="185" t="str">
        <f aca="false">IF(AND(G125&lt;&gt;"",R125&lt;&gt;"",V125&lt;&gt;"",W125&lt;&gt;""),"COMPLETADO","OBSERVADO")</f>
        <v>OBSERVADO</v>
      </c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85" t="str">
        <f aca="false">IF(AND(G126&lt;&gt;"",R126&lt;&gt;"",V126&lt;&gt;"",W126&lt;&gt;""),"COMPLETADO","OBSERVADO")</f>
        <v>OBSERVADO</v>
      </c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  <c r="Z127" s="185" t="str">
        <f aca="false">IF(AND(G127&lt;&gt;"",R127&lt;&gt;"",V127&lt;&gt;"",W127&lt;&gt;""),"COMPLETADO","OBSERVADO")</f>
        <v>OBSERVADO</v>
      </c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85" t="str">
        <f aca="false">IF(AND(G128&lt;&gt;"",R128&lt;&gt;"",V128&lt;&gt;"",W128&lt;&gt;""),"COMPLETADO","OBSERVADO")</f>
        <v>OBSERVADO</v>
      </c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  <c r="Z129" s="185" t="str">
        <f aca="false">IF(AND(G129&lt;&gt;"",R129&lt;&gt;"",V129&lt;&gt;"",W129&lt;&gt;""),"COMPLETADO","OBSERVADO")</f>
        <v>OBSERVADO</v>
      </c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85" t="str">
        <f aca="false">IF(AND(G130&lt;&gt;"",R130&lt;&gt;"",V130&lt;&gt;"",W130&lt;&gt;""),"COMPLETADO","OBSERVADO")</f>
        <v>OBSERVADO</v>
      </c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  <c r="Z131" s="185" t="str">
        <f aca="false">IF(AND(G131&lt;&gt;"",R131&lt;&gt;"",V131&lt;&gt;"",W131&lt;&gt;""),"COMPLETADO","OBSERVADO")</f>
        <v>OBSERVADO</v>
      </c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85" t="str">
        <f aca="false">IF(AND(G132&lt;&gt;"",R132&lt;&gt;"",V132&lt;&gt;"",W132&lt;&gt;""),"COMPLETADO","OBSERVADO")</f>
        <v>OBSERVADO</v>
      </c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  <c r="Z133" s="185" t="str">
        <f aca="false">IF(AND(G133&lt;&gt;"",R133&lt;&gt;"",V133&lt;&gt;"",W133&lt;&gt;""),"COMPLETADO","OBSERVADO")</f>
        <v>OBSERVADO</v>
      </c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85" t="str">
        <f aca="false">IF(AND(G134&lt;&gt;"",R134&lt;&gt;"",V134&lt;&gt;"",W134&lt;&gt;""),"COMPLETADO","OBSERVADO")</f>
        <v>OBSERVADO</v>
      </c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  <c r="Z135" s="185" t="str">
        <f aca="false">IF(AND(G135&lt;&gt;"",R135&lt;&gt;"",V135&lt;&gt;"",W135&lt;&gt;""),"COMPLETADO","OBSERVADO")</f>
        <v>OBSERVADO</v>
      </c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85" t="str">
        <f aca="false">IF(AND(G136&lt;&gt;"",R136&lt;&gt;"",V136&lt;&gt;"",W136&lt;&gt;""),"COMPLETADO","OBSERVADO")</f>
        <v>OBSERVADO</v>
      </c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  <c r="Z137" s="185" t="str">
        <f aca="false">IF(AND(G137&lt;&gt;"",R137&lt;&gt;"",V137&lt;&gt;"",W137&lt;&gt;""),"COMPLETADO","OBSERVADO")</f>
        <v>OBSERVADO</v>
      </c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85" t="str">
        <f aca="false">IF(AND(G138&lt;&gt;"",R138&lt;&gt;"",V138&lt;&gt;"",W138&lt;&gt;""),"COMPLETADO","OBSERVADO")</f>
        <v>OBSERVADO</v>
      </c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  <c r="Z139" s="185" t="str">
        <f aca="false">IF(AND(G139&lt;&gt;"",R139&lt;&gt;"",V139&lt;&gt;"",W139&lt;&gt;""),"COMPLETADO","OBSERVADO")</f>
        <v>OBSERVADO</v>
      </c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85" t="str">
        <f aca="false">IF(AND(G140&lt;&gt;"",R140&lt;&gt;"",V140&lt;&gt;"",W140&lt;&gt;""),"COMPLETADO","OBSERVADO")</f>
        <v>OBSERVADO</v>
      </c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  <c r="Z141" s="185" t="str">
        <f aca="false">IF(AND(G141&lt;&gt;"",R141&lt;&gt;"",V141&lt;&gt;"",W141&lt;&gt;""),"COMPLETADO","OBSERVADO")</f>
        <v>OBSERVADO</v>
      </c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85" t="str">
        <f aca="false">IF(AND(G142&lt;&gt;"",R142&lt;&gt;"",V142&lt;&gt;"",W142&lt;&gt;""),"COMPLETADO","OBSERVADO")</f>
        <v>OBSERVADO</v>
      </c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  <c r="Z143" s="185" t="str">
        <f aca="false">IF(AND(G143&lt;&gt;"",R143&lt;&gt;"",V143&lt;&gt;"",W143&lt;&gt;""),"COMPLETADO","OBSERVADO")</f>
        <v>OBSERVADO</v>
      </c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85" t="str">
        <f aca="false">IF(AND(G144&lt;&gt;"",R144&lt;&gt;"",V144&lt;&gt;"",W144&lt;&gt;""),"COMPLETADO","OBSERVADO")</f>
        <v>OBSERVADO</v>
      </c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  <c r="Z145" s="185" t="str">
        <f aca="false">IF(AND(G145&lt;&gt;"",R145&lt;&gt;"",V145&lt;&gt;"",W145&lt;&gt;""),"COMPLETADO","OBSERVADO")</f>
        <v>OBSERVADO</v>
      </c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85" t="str">
        <f aca="false">IF(AND(G146&lt;&gt;"",R146&lt;&gt;"",V146&lt;&gt;"",W146&lt;&gt;""),"COMPLETADO","OBSERVADO")</f>
        <v>OBSERVADO</v>
      </c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  <c r="Z147" s="185" t="str">
        <f aca="false">IF(AND(G147&lt;&gt;"",R147&lt;&gt;"",V147&lt;&gt;"",W147&lt;&gt;""),"COMPLETADO","OBSERVADO")</f>
        <v>OBSERVADO</v>
      </c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85" t="str">
        <f aca="false">IF(AND(G148&lt;&gt;"",R148&lt;&gt;"",V148&lt;&gt;"",W148&lt;&gt;""),"COMPLETADO","OBSERVADO")</f>
        <v>OBSERVADO</v>
      </c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  <c r="Z149" s="185" t="str">
        <f aca="false">IF(AND(G149&lt;&gt;"",R149&lt;&gt;"",V149&lt;&gt;"",W149&lt;&gt;""),"COMPLETADO","OBSERVADO")</f>
        <v>OBSERVADO</v>
      </c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85" t="str">
        <f aca="false">IF(AND(G150&lt;&gt;"",R150&lt;&gt;"",V150&lt;&gt;"",W150&lt;&gt;""),"COMPLETADO","OBSERVADO")</f>
        <v>OBSERVADO</v>
      </c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  <c r="Z151" s="185" t="str">
        <f aca="false">IF(AND(G151&lt;&gt;"",R151&lt;&gt;"",V151&lt;&gt;"",W151&lt;&gt;""),"COMPLETADO","OBSERVADO")</f>
        <v>OBSERVADO</v>
      </c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85" t="str">
        <f aca="false">IF(AND(G152&lt;&gt;"",R152&lt;&gt;"",V152&lt;&gt;"",W152&lt;&gt;""),"COMPLETADO","OBSERVADO")</f>
        <v>OBSERVADO</v>
      </c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  <c r="Z153" s="185" t="str">
        <f aca="false">IF(AND(G153&lt;&gt;"",R153&lt;&gt;"",V153&lt;&gt;"",W153&lt;&gt;""),"COMPLETADO","OBSERVADO")</f>
        <v>OBSERVADO</v>
      </c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85" t="str">
        <f aca="false">IF(AND(G154&lt;&gt;"",R154&lt;&gt;"",V154&lt;&gt;"",W154&lt;&gt;""),"COMPLETADO","OBSERVADO")</f>
        <v>OBSERVADO</v>
      </c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  <c r="Z155" s="185" t="str">
        <f aca="false">IF(AND(G155&lt;&gt;"",R155&lt;&gt;"",V155&lt;&gt;"",W155&lt;&gt;""),"COMPLETADO","OBSERVADO")</f>
        <v>OBSERVADO</v>
      </c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85" t="str">
        <f aca="false">IF(AND(G156&lt;&gt;"",R156&lt;&gt;"",V156&lt;&gt;"",W156&lt;&gt;""),"COMPLETADO","OBSERVADO")</f>
        <v>OBSERVADO</v>
      </c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  <c r="Z157" s="185" t="str">
        <f aca="false">IF(AND(G157&lt;&gt;"",R157&lt;&gt;"",V157&lt;&gt;"",W157&lt;&gt;""),"COMPLETADO","OBSERVADO")</f>
        <v>OBSERVADO</v>
      </c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85" t="str">
        <f aca="false">IF(AND(G158&lt;&gt;"",R158&lt;&gt;"",V158&lt;&gt;"",W158&lt;&gt;""),"COMPLETADO","OBSERVADO")</f>
        <v>OBSERVADO</v>
      </c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  <c r="Z159" s="185" t="str">
        <f aca="false">IF(AND(G159&lt;&gt;"",R159&lt;&gt;"",V159&lt;&gt;"",W159&lt;&gt;""),"COMPLETADO","OBSERVADO")</f>
        <v>OBSERVADO</v>
      </c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85" t="str">
        <f aca="false">IF(AND(G160&lt;&gt;"",R160&lt;&gt;"",V160&lt;&gt;"",W160&lt;&gt;""),"COMPLETADO","OBSERVADO")</f>
        <v>OBSERVADO</v>
      </c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  <c r="Z161" s="185" t="str">
        <f aca="false">IF(AND(G161&lt;&gt;"",R161&lt;&gt;"",V161&lt;&gt;"",W161&lt;&gt;""),"COMPLETADO","OBSERVADO")</f>
        <v>OBSERVADO</v>
      </c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85" t="str">
        <f aca="false">IF(AND(G162&lt;&gt;"",R162&lt;&gt;"",V162&lt;&gt;"",W162&lt;&gt;""),"COMPLETADO","OBSERVADO")</f>
        <v>OBSERVADO</v>
      </c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  <c r="Z163" s="185" t="str">
        <f aca="false">IF(AND(G163&lt;&gt;"",R163&lt;&gt;"",V163&lt;&gt;"",W163&lt;&gt;""),"COMPLETADO","OBSERVADO")</f>
        <v>OBSERVADO</v>
      </c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85" t="str">
        <f aca="false">IF(AND(G164&lt;&gt;"",R164&lt;&gt;"",V164&lt;&gt;"",W164&lt;&gt;""),"COMPLETADO","OBSERVADO")</f>
        <v>OBSERVADO</v>
      </c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  <c r="Z165" s="185" t="str">
        <f aca="false">IF(AND(G165&lt;&gt;"",R165&lt;&gt;"",V165&lt;&gt;"",W165&lt;&gt;""),"COMPLETADO","OBSERVADO")</f>
        <v>OBSERVADO</v>
      </c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85" t="str">
        <f aca="false">IF(AND(G166&lt;&gt;"",R166&lt;&gt;"",V166&lt;&gt;"",W166&lt;&gt;""),"COMPLETADO","OBSERVADO")</f>
        <v>OBSERVADO</v>
      </c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  <c r="Z167" s="185" t="str">
        <f aca="false">IF(AND(G167&lt;&gt;"",R167&lt;&gt;"",V167&lt;&gt;"",W167&lt;&gt;""),"COMPLETADO","OBSERVADO")</f>
        <v>OBSERVADO</v>
      </c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85" t="str">
        <f aca="false">IF(AND(G168&lt;&gt;"",R168&lt;&gt;"",V168&lt;&gt;"",W168&lt;&gt;""),"COMPLETADO","OBSERVADO")</f>
        <v>OBSERVADO</v>
      </c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  <c r="Z169" s="185" t="str">
        <f aca="false">IF(AND(G169&lt;&gt;"",R169&lt;&gt;"",V169&lt;&gt;"",W169&lt;&gt;""),"COMPLETADO","OBSERVADO")</f>
        <v>OBSERVADO</v>
      </c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85" t="str">
        <f aca="false">IF(AND(G170&lt;&gt;"",R170&lt;&gt;"",V170&lt;&gt;"",W170&lt;&gt;""),"COMPLETADO","OBSERVADO")</f>
        <v>OBSERVADO</v>
      </c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  <c r="Z171" s="185" t="str">
        <f aca="false">IF(AND(G171&lt;&gt;"",R171&lt;&gt;"",V171&lt;&gt;"",W171&lt;&gt;""),"COMPLETADO","OBSERVADO")</f>
        <v>OBSERVADO</v>
      </c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85" t="str">
        <f aca="false">IF(AND(G172&lt;&gt;"",R172&lt;&gt;"",V172&lt;&gt;"",W172&lt;&gt;""),"COMPLETADO","OBSERVADO")</f>
        <v>OBSERVADO</v>
      </c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  <c r="Z173" s="185" t="str">
        <f aca="false">IF(AND(G173&lt;&gt;"",R173&lt;&gt;"",V173&lt;&gt;"",W173&lt;&gt;""),"COMPLETADO","OBSERVADO")</f>
        <v>OBSERVADO</v>
      </c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85" t="str">
        <f aca="false">IF(AND(G174&lt;&gt;"",R174&lt;&gt;"",V174&lt;&gt;"",W174&lt;&gt;""),"COMPLETADO","OBSERVADO")</f>
        <v>OBSERVADO</v>
      </c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  <c r="Z175" s="185" t="str">
        <f aca="false">IF(AND(G175&lt;&gt;"",R175&lt;&gt;"",V175&lt;&gt;"",W175&lt;&gt;""),"COMPLETADO","OBSERVADO")</f>
        <v>OBSERVADO</v>
      </c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85" t="str">
        <f aca="false">IF(AND(G176&lt;&gt;"",R176&lt;&gt;"",V176&lt;&gt;"",W176&lt;&gt;""),"COMPLETADO","OBSERVADO")</f>
        <v>OBSERVADO</v>
      </c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  <c r="Z177" s="185" t="str">
        <f aca="false">IF(AND(G177&lt;&gt;"",R177&lt;&gt;"",V177&lt;&gt;"",W177&lt;&gt;""),"COMPLETADO","OBSERVADO")</f>
        <v>OBSERVADO</v>
      </c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85" t="str">
        <f aca="false">IF(AND(G178&lt;&gt;"",R178&lt;&gt;"",V178&lt;&gt;"",W178&lt;&gt;""),"COMPLETADO","OBSERVADO")</f>
        <v>OBSERVADO</v>
      </c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  <c r="Z179" s="185" t="str">
        <f aca="false">IF(AND(G179&lt;&gt;"",R179&lt;&gt;"",V179&lt;&gt;"",W179&lt;&gt;""),"COMPLETADO","OBSERVADO")</f>
        <v>OBSERVADO</v>
      </c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85" t="str">
        <f aca="false">IF(AND(G180&lt;&gt;"",R180&lt;&gt;"",V180&lt;&gt;"",W180&lt;&gt;""),"COMPLETADO","OBSERVADO")</f>
        <v>OBSERVADO</v>
      </c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  <c r="Z181" s="185" t="str">
        <f aca="false">IF(AND(G181&lt;&gt;"",R181&lt;&gt;"",V181&lt;&gt;"",W181&lt;&gt;""),"COMPLETADO","OBSERVADO")</f>
        <v>OBSERVADO</v>
      </c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85" t="str">
        <f aca="false">IF(AND(G182&lt;&gt;"",R182&lt;&gt;"",V182&lt;&gt;"",W182&lt;&gt;""),"COMPLETADO","OBSERVADO")</f>
        <v>OBSERVADO</v>
      </c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  <c r="Z183" s="185" t="str">
        <f aca="false">IF(AND(G183&lt;&gt;"",R183&lt;&gt;"",V183&lt;&gt;"",W183&lt;&gt;""),"COMPLETADO","OBSERVADO")</f>
        <v>OBSERVADO</v>
      </c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85" t="str">
        <f aca="false">IF(AND(G184&lt;&gt;"",R184&lt;&gt;"",V184&lt;&gt;"",W184&lt;&gt;""),"COMPLETADO","OBSERVADO")</f>
        <v>OBSERVADO</v>
      </c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  <c r="Z185" s="185" t="str">
        <f aca="false">IF(AND(G185&lt;&gt;"",R185&lt;&gt;"",V185&lt;&gt;"",W185&lt;&gt;""),"COMPLETADO","OBSERVADO")</f>
        <v>OBSERVADO</v>
      </c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85" t="str">
        <f aca="false">IF(AND(G186&lt;&gt;"",R186&lt;&gt;"",V186&lt;&gt;"",W186&lt;&gt;""),"COMPLETADO","OBSERVADO")</f>
        <v>OBSERVADO</v>
      </c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  <c r="Z187" s="185" t="str">
        <f aca="false">IF(AND(G187&lt;&gt;"",R187&lt;&gt;"",V187&lt;&gt;"",W187&lt;&gt;""),"COMPLETADO","OBSERVADO")</f>
        <v>OBSERVADO</v>
      </c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85" t="str">
        <f aca="false">IF(AND(G188&lt;&gt;"",R188&lt;&gt;"",V188&lt;&gt;"",W188&lt;&gt;""),"COMPLETADO","OBSERVADO")</f>
        <v>OBSERVADO</v>
      </c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  <c r="Z189" s="185" t="str">
        <f aca="false">IF(AND(G189&lt;&gt;"",R189&lt;&gt;"",V189&lt;&gt;"",W189&lt;&gt;""),"COMPLETADO","OBSERVADO")</f>
        <v>OBSERVADO</v>
      </c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85" t="str">
        <f aca="false">IF(AND(G190&lt;&gt;"",R190&lt;&gt;"",V190&lt;&gt;"",W190&lt;&gt;""),"COMPLETADO","OBSERVADO")</f>
        <v>OBSERVADO</v>
      </c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  <c r="Z191" s="185" t="str">
        <f aca="false">IF(AND(G191&lt;&gt;"",R191&lt;&gt;"",V191&lt;&gt;"",W191&lt;&gt;""),"COMPLETADO","OBSERVADO")</f>
        <v>OBSERVADO</v>
      </c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85" t="str">
        <f aca="false">IF(AND(G192&lt;&gt;"",R192&lt;&gt;"",V192&lt;&gt;"",W192&lt;&gt;""),"COMPLETADO","OBSERVADO")</f>
        <v>OBSERVADO</v>
      </c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  <c r="Z193" s="185" t="str">
        <f aca="false">IF(AND(G193&lt;&gt;"",R193&lt;&gt;"",V193&lt;&gt;"",W193&lt;&gt;""),"COMPLETADO","OBSERVADO")</f>
        <v>OBSERVADO</v>
      </c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85" t="str">
        <f aca="false">IF(AND(G194&lt;&gt;"",R194&lt;&gt;"",V194&lt;&gt;"",W194&lt;&gt;""),"COMPLETADO","OBSERVADO")</f>
        <v>OBSERVADO</v>
      </c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  <c r="Z195" s="185" t="str">
        <f aca="false">IF(AND(G195&lt;&gt;"",R195&lt;&gt;"",V195&lt;&gt;"",W195&lt;&gt;""),"COMPLETADO","OBSERVADO")</f>
        <v>OBSERVADO</v>
      </c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85" t="str">
        <f aca="false">IF(AND(G196&lt;&gt;"",R196&lt;&gt;"",V196&lt;&gt;"",W196&lt;&gt;""),"COMPLETADO","OBSERVADO")</f>
        <v>OBSERVADO</v>
      </c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  <c r="Z197" s="185" t="str">
        <f aca="false">IF(AND(G197&lt;&gt;"",R197&lt;&gt;"",V197&lt;&gt;"",W197&lt;&gt;""),"COMPLETADO","OBSERVADO")</f>
        <v>OBSERVADO</v>
      </c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85" t="str">
        <f aca="false">IF(AND(G198&lt;&gt;"",R198&lt;&gt;"",V198&lt;&gt;"",W198&lt;&gt;""),"COMPLETADO","OBSERVADO")</f>
        <v>OBSERVADO</v>
      </c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  <c r="Z199" s="185" t="str">
        <f aca="false">IF(AND(G199&lt;&gt;"",R199&lt;&gt;"",V199&lt;&gt;"",W199&lt;&gt;""),"COMPLETADO","OBSERVADO")</f>
        <v>OBSERVADO</v>
      </c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85" t="str">
        <f aca="false">IF(AND(G200&lt;&gt;"",R200&lt;&gt;"",V200&lt;&gt;"",W200&lt;&gt;""),"COMPLETADO","OBSERVADO")</f>
        <v>OBSERVADO</v>
      </c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  <c r="Z201" s="185" t="str">
        <f aca="false">IF(AND(G201&lt;&gt;"",R201&lt;&gt;"",V201&lt;&gt;"",W201&lt;&gt;""),"COMPLETADO","OBSERVADO")</f>
        <v>OBSERVADO</v>
      </c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85" t="str">
        <f aca="false">IF(AND(G202&lt;&gt;"",R202&lt;&gt;"",V202&lt;&gt;"",W202&lt;&gt;""),"COMPLETADO","OBSERVADO")</f>
        <v>OBSERVADO</v>
      </c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  <c r="Z203" s="185" t="str">
        <f aca="false">IF(AND(G203&lt;&gt;"",R203&lt;&gt;"",V203&lt;&gt;"",W203&lt;&gt;""),"COMPLETADO","OBSERVADO")</f>
        <v>OBSERVADO</v>
      </c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85" t="str">
        <f aca="false">IF(AND(G204&lt;&gt;"",R204&lt;&gt;"",V204&lt;&gt;"",W204&lt;&gt;""),"COMPLETADO","OBSERVADO")</f>
        <v>OBSERVADO</v>
      </c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  <c r="Z205" s="185" t="str">
        <f aca="false">IF(AND(G205&lt;&gt;"",R205&lt;&gt;"",V205&lt;&gt;"",W205&lt;&gt;""),"COMPLETADO","OBSERVADO")</f>
        <v>OBSERVADO</v>
      </c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85" t="str">
        <f aca="false">IF(AND(G206&lt;&gt;"",R206&lt;&gt;"",V206&lt;&gt;"",W206&lt;&gt;""),"COMPLETADO","OBSERVADO")</f>
        <v>OBSERVADO</v>
      </c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  <c r="Z207" s="185" t="str">
        <f aca="false">IF(AND(G207&lt;&gt;"",R207&lt;&gt;"",V207&lt;&gt;"",W207&lt;&gt;""),"COMPLETADO","OBSERVADO")</f>
        <v>OBSERVADO</v>
      </c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85" t="str">
        <f aca="false">IF(AND(G208&lt;&gt;"",R208&lt;&gt;"",V208&lt;&gt;"",W208&lt;&gt;""),"COMPLETADO","OBSERVADO")</f>
        <v>OBSERVADO</v>
      </c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  <c r="Z209" s="185" t="str">
        <f aca="false">IF(AND(G209&lt;&gt;"",R209&lt;&gt;"",V209&lt;&gt;"",W209&lt;&gt;""),"COMPLETADO","OBSERVADO")</f>
        <v>OBSERVADO</v>
      </c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85" t="str">
        <f aca="false">IF(AND(G210&lt;&gt;"",R210&lt;&gt;"",V210&lt;&gt;"",W210&lt;&gt;""),"COMPLETADO","OBSERVADO")</f>
        <v>OBSERVADO</v>
      </c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  <c r="Z211" s="185" t="str">
        <f aca="false">IF(AND(G211&lt;&gt;"",R211&lt;&gt;"",V211&lt;&gt;"",W211&lt;&gt;""),"COMPLETADO","OBSERVADO")</f>
        <v>OBSERVADO</v>
      </c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85" t="str">
        <f aca="false">IF(AND(G212&lt;&gt;"",R212&lt;&gt;"",V212&lt;&gt;"",W212&lt;&gt;""),"COMPLETADO","OBSERVADO")</f>
        <v>OBSERVADO</v>
      </c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  <c r="Z213" s="185" t="str">
        <f aca="false">IF(AND(G213&lt;&gt;"",R213&lt;&gt;"",V213&lt;&gt;"",W213&lt;&gt;""),"COMPLETADO","OBSERVADO")</f>
        <v>OBSERVADO</v>
      </c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85" t="str">
        <f aca="false">IF(AND(G214&lt;&gt;"",R214&lt;&gt;"",V214&lt;&gt;"",W214&lt;&gt;""),"COMPLETADO","OBSERVADO")</f>
        <v>OBSERVADO</v>
      </c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  <c r="Z215" s="185" t="str">
        <f aca="false">IF(AND(G215&lt;&gt;"",R215&lt;&gt;"",V215&lt;&gt;"",W215&lt;&gt;""),"COMPLETADO","OBSERVADO")</f>
        <v>OBSERVADO</v>
      </c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85" t="str">
        <f aca="false">IF(AND(G216&lt;&gt;"",R216&lt;&gt;"",V216&lt;&gt;"",W216&lt;&gt;""),"COMPLETADO","OBSERVADO")</f>
        <v>OBSERVADO</v>
      </c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  <c r="Z217" s="185" t="str">
        <f aca="false">IF(AND(G217&lt;&gt;"",R217&lt;&gt;"",V217&lt;&gt;"",W217&lt;&gt;""),"COMPLETADO","OBSERVADO")</f>
        <v>OBSERVADO</v>
      </c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85" t="str">
        <f aca="false">IF(AND(G218&lt;&gt;"",R218&lt;&gt;"",V218&lt;&gt;"",W218&lt;&gt;""),"COMPLETADO","OBSERVADO")</f>
        <v>OBSERVADO</v>
      </c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  <c r="Z219" s="185" t="str">
        <f aca="false">IF(AND(G219&lt;&gt;"",R219&lt;&gt;"",V219&lt;&gt;"",W219&lt;&gt;""),"COMPLETADO","OBSERVADO")</f>
        <v>OBSERVADO</v>
      </c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85" t="str">
        <f aca="false">IF(AND(G220&lt;&gt;"",R220&lt;&gt;"",V220&lt;&gt;"",W220&lt;&gt;""),"COMPLETADO","OBSERVADO")</f>
        <v>OBSERVADO</v>
      </c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  <c r="Z221" s="185" t="str">
        <f aca="false">IF(AND(G221&lt;&gt;"",R221&lt;&gt;"",V221&lt;&gt;"",W221&lt;&gt;""),"COMPLETADO","OBSERVADO")</f>
        <v>OBSERVADO</v>
      </c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85" t="str">
        <f aca="false">IF(AND(G222&lt;&gt;"",R222&lt;&gt;"",V222&lt;&gt;"",W222&lt;&gt;""),"COMPLETADO","OBSERVADO")</f>
        <v>OBSERVADO</v>
      </c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  <c r="Z223" s="185" t="str">
        <f aca="false">IF(AND(G223&lt;&gt;"",R223&lt;&gt;"",V223&lt;&gt;"",W223&lt;&gt;""),"COMPLETADO","OBSERVADO")</f>
        <v>OBSERVADO</v>
      </c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85" t="str">
        <f aca="false">IF(AND(G224&lt;&gt;"",R224&lt;&gt;"",V224&lt;&gt;"",W224&lt;&gt;""),"COMPLETADO","OBSERVADO")</f>
        <v>OBSERVADO</v>
      </c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  <c r="Z225" s="185" t="str">
        <f aca="false">IF(AND(G225&lt;&gt;"",R225&lt;&gt;"",V225&lt;&gt;"",W225&lt;&gt;""),"COMPLETADO","OBSERVADO")</f>
        <v>OBSERVADO</v>
      </c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85" t="str">
        <f aca="false">IF(AND(G226&lt;&gt;"",R226&lt;&gt;"",V226&lt;&gt;"",W226&lt;&gt;""),"COMPLETADO","OBSERVADO")</f>
        <v>OBSERVADO</v>
      </c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  <c r="Z227" s="185" t="str">
        <f aca="false">IF(AND(G227&lt;&gt;"",R227&lt;&gt;"",V227&lt;&gt;"",W227&lt;&gt;""),"COMPLETADO","OBSERVADO")</f>
        <v>OBSERVADO</v>
      </c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85" t="str">
        <f aca="false">IF(AND(G228&lt;&gt;"",R228&lt;&gt;"",V228&lt;&gt;"",W228&lt;&gt;""),"COMPLETADO","OBSERVADO")</f>
        <v>OBSERVADO</v>
      </c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  <c r="Z229" s="185" t="str">
        <f aca="false">IF(AND(G229&lt;&gt;"",R229&lt;&gt;"",V229&lt;&gt;"",W229&lt;&gt;""),"COMPLETADO","OBSERVADO")</f>
        <v>OBSERVADO</v>
      </c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85" t="str">
        <f aca="false">IF(AND(G230&lt;&gt;"",R230&lt;&gt;"",V230&lt;&gt;"",W230&lt;&gt;""),"COMPLETADO","OBSERVADO")</f>
        <v>OBSERVADO</v>
      </c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  <c r="Z231" s="185" t="str">
        <f aca="false">IF(AND(G231&lt;&gt;"",R231&lt;&gt;"",V231&lt;&gt;"",W231&lt;&gt;""),"COMPLETADO","OBSERVADO")</f>
        <v>OBSERVADO</v>
      </c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85" t="str">
        <f aca="false">IF(AND(G232&lt;&gt;"",R232&lt;&gt;"",V232&lt;&gt;"",W232&lt;&gt;""),"COMPLETADO","OBSERVADO")</f>
        <v>OBSERVADO</v>
      </c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  <c r="Z233" s="185" t="str">
        <f aca="false">IF(AND(G233&lt;&gt;"",R233&lt;&gt;"",V233&lt;&gt;"",W233&lt;&gt;""),"COMPLETADO","OBSERVADO")</f>
        <v>OBSERVADO</v>
      </c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85" t="str">
        <f aca="false">IF(AND(G234&lt;&gt;"",R234&lt;&gt;"",V234&lt;&gt;"",W234&lt;&gt;""),"COMPLETADO","OBSERVADO")</f>
        <v>OBSERVADO</v>
      </c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  <c r="Z235" s="185" t="str">
        <f aca="false">IF(AND(G235&lt;&gt;"",R235&lt;&gt;"",V235&lt;&gt;"",W235&lt;&gt;""),"COMPLETADO","OBSERVADO")</f>
        <v>OBSERVADO</v>
      </c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85" t="str">
        <f aca="false">IF(AND(G236&lt;&gt;"",R236&lt;&gt;"",V236&lt;&gt;"",W236&lt;&gt;""),"COMPLETADO","OBSERVADO")</f>
        <v>OBSERVADO</v>
      </c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  <c r="Z237" s="185" t="str">
        <f aca="false">IF(AND(G237&lt;&gt;"",R237&lt;&gt;"",V237&lt;&gt;"",W237&lt;&gt;""),"COMPLETADO","OBSERVADO")</f>
        <v>OBSERVADO</v>
      </c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85" t="str">
        <f aca="false">IF(AND(G238&lt;&gt;"",R238&lt;&gt;"",V238&lt;&gt;"",W238&lt;&gt;""),"COMPLETADO","OBSERVADO")</f>
        <v>OBSERVADO</v>
      </c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  <c r="Z239" s="185" t="str">
        <f aca="false">IF(AND(G239&lt;&gt;"",R239&lt;&gt;"",V239&lt;&gt;"",W239&lt;&gt;""),"COMPLETADO","OBSERVADO")</f>
        <v>OBSERVADO</v>
      </c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85" t="str">
        <f aca="false">IF(AND(G240&lt;&gt;"",R240&lt;&gt;"",V240&lt;&gt;"",W240&lt;&gt;""),"COMPLETADO","OBSERVADO")</f>
        <v>OBSERVADO</v>
      </c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  <c r="Z241" s="185" t="str">
        <f aca="false">IF(AND(G241&lt;&gt;"",R241&lt;&gt;"",V241&lt;&gt;"",W241&lt;&gt;""),"COMPLETADO","OBSERVADO")</f>
        <v>OBSERVADO</v>
      </c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85" t="str">
        <f aca="false">IF(AND(G242&lt;&gt;"",R242&lt;&gt;"",V242&lt;&gt;"",W242&lt;&gt;""),"COMPLETADO","OBSERVADO")</f>
        <v>OBSERVADO</v>
      </c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  <c r="Z243" s="185" t="str">
        <f aca="false">IF(AND(G243&lt;&gt;"",R243&lt;&gt;"",V243&lt;&gt;"",W243&lt;&gt;""),"COMPLETADO","OBSERVADO")</f>
        <v>OBSERVADO</v>
      </c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85" t="str">
        <f aca="false">IF(AND(G244&lt;&gt;"",R244&lt;&gt;"",V244&lt;&gt;"",W244&lt;&gt;""),"COMPLETADO","OBSERVADO")</f>
        <v>OBSERVADO</v>
      </c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  <c r="Z245" s="185" t="str">
        <f aca="false">IF(AND(G245&lt;&gt;"",R245&lt;&gt;"",V245&lt;&gt;"",W245&lt;&gt;""),"COMPLETADO","OBSERVADO")</f>
        <v>OBSERVADO</v>
      </c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85" t="str">
        <f aca="false">IF(AND(G246&lt;&gt;"",R246&lt;&gt;"",V246&lt;&gt;"",W246&lt;&gt;""),"COMPLETADO","OBSERVADO")</f>
        <v>OBSERVADO</v>
      </c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  <c r="Z247" s="185" t="str">
        <f aca="false">IF(AND(G247&lt;&gt;"",R247&lt;&gt;"",V247&lt;&gt;"",W247&lt;&gt;""),"COMPLETADO","OBSERVADO")</f>
        <v>OBSERVADO</v>
      </c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85" t="str">
        <f aca="false">IF(AND(G248&lt;&gt;"",R248&lt;&gt;"",V248&lt;&gt;"",W248&lt;&gt;""),"COMPLETADO","OBSERVADO")</f>
        <v>OBSERVADO</v>
      </c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  <c r="Z249" s="185" t="str">
        <f aca="false">IF(AND(G249&lt;&gt;"",R249&lt;&gt;"",V249&lt;&gt;"",W249&lt;&gt;""),"COMPLETADO","OBSERVADO")</f>
        <v>OBSERVADO</v>
      </c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85" t="str">
        <f aca="false">IF(AND(G250&lt;&gt;"",R250&lt;&gt;"",V250&lt;&gt;"",W250&lt;&gt;""),"COMPLETADO","OBSERVADO")</f>
        <v>OBSERVADO</v>
      </c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  <c r="Z251" s="185" t="str">
        <f aca="false">IF(AND(G251&lt;&gt;"",R251&lt;&gt;"",V251&lt;&gt;"",W251&lt;&gt;""),"COMPLETADO","OBSERVADO")</f>
        <v>OBSERVADO</v>
      </c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85" t="str">
        <f aca="false">IF(AND(G252&lt;&gt;"",R252&lt;&gt;"",V252&lt;&gt;"",W252&lt;&gt;""),"COMPLETADO","OBSERVADO")</f>
        <v>OBSERVADO</v>
      </c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  <c r="Z253" s="185" t="str">
        <f aca="false">IF(AND(G253&lt;&gt;"",R253&lt;&gt;"",V253&lt;&gt;"",W253&lt;&gt;""),"COMPLETADO","OBSERVADO")</f>
        <v>OBSERVADO</v>
      </c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85" t="str">
        <f aca="false">IF(AND(G254&lt;&gt;"",R254&lt;&gt;"",V254&lt;&gt;"",W254&lt;&gt;""),"COMPLETADO","OBSERVADO")</f>
        <v>OBSERVADO</v>
      </c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  <c r="Z255" s="185" t="str">
        <f aca="false">IF(AND(G255&lt;&gt;"",R255&lt;&gt;"",V255&lt;&gt;"",W255&lt;&gt;""),"COMPLETADO","OBSERVADO")</f>
        <v>OBSERVADO</v>
      </c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85" t="str">
        <f aca="false">IF(AND(G256&lt;&gt;"",R256&lt;&gt;"",V256&lt;&gt;"",W256&lt;&gt;""),"COMPLETADO","OBSERVADO")</f>
        <v>OBSERVADO</v>
      </c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  <c r="Z257" s="185" t="str">
        <f aca="false">IF(AND(G257&lt;&gt;"",R257&lt;&gt;"",V257&lt;&gt;"",W257&lt;&gt;""),"COMPLETADO","OBSERVADO")</f>
        <v>OBSERVADO</v>
      </c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85" t="str">
        <f aca="false">IF(AND(G258&lt;&gt;"",R258&lt;&gt;"",V258&lt;&gt;"",W258&lt;&gt;""),"COMPLETADO","OBSERVADO")</f>
        <v>OBSERVADO</v>
      </c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  <c r="Z259" s="185" t="str">
        <f aca="false">IF(AND(G259&lt;&gt;"",R259&lt;&gt;"",V259&lt;&gt;"",W259&lt;&gt;""),"COMPLETADO","OBSERVADO")</f>
        <v>OBSERVADO</v>
      </c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85" t="str">
        <f aca="false">IF(AND(G260&lt;&gt;"",R260&lt;&gt;"",V260&lt;&gt;"",W260&lt;&gt;""),"COMPLETADO","OBSERVADO")</f>
        <v>OBSERVADO</v>
      </c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  <c r="Z261" s="185" t="str">
        <f aca="false">IF(AND(G261&lt;&gt;"",R261&lt;&gt;"",V261&lt;&gt;"",W261&lt;&gt;""),"COMPLETADO","OBSERVADO")</f>
        <v>OBSERVADO</v>
      </c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85" t="str">
        <f aca="false">IF(AND(G262&lt;&gt;"",R262&lt;&gt;"",V262&lt;&gt;"",W262&lt;&gt;""),"COMPLETADO","OBSERVADO")</f>
        <v>OBSERVADO</v>
      </c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  <c r="Z263" s="185" t="str">
        <f aca="false">IF(AND(G263&lt;&gt;"",R263&lt;&gt;"",V263&lt;&gt;"",W263&lt;&gt;""),"COMPLETADO","OBSERVADO")</f>
        <v>OBSERVADO</v>
      </c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85" t="str">
        <f aca="false">IF(AND(G264&lt;&gt;"",R264&lt;&gt;"",V264&lt;&gt;"",W264&lt;&gt;""),"COMPLETADO","OBSERVADO")</f>
        <v>OBSERVADO</v>
      </c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  <c r="Z265" s="185" t="str">
        <f aca="false">IF(AND(G265&lt;&gt;"",R265&lt;&gt;"",V265&lt;&gt;"",W265&lt;&gt;""),"COMPLETADO","OBSERVADO")</f>
        <v>OBSERVADO</v>
      </c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85" t="str">
        <f aca="false">IF(AND(G266&lt;&gt;"",R266&lt;&gt;"",V266&lt;&gt;"",W266&lt;&gt;""),"COMPLETADO","OBSERVADO")</f>
        <v>OBSERVADO</v>
      </c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  <c r="Z267" s="185" t="str">
        <f aca="false">IF(AND(G267&lt;&gt;"",R267&lt;&gt;"",V267&lt;&gt;"",W267&lt;&gt;""),"COMPLETADO","OBSERVADO")</f>
        <v>OBSERVADO</v>
      </c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85" t="str">
        <f aca="false">IF(AND(G268&lt;&gt;"",R268&lt;&gt;"",V268&lt;&gt;"",W268&lt;&gt;""),"COMPLETADO","OBSERVADO")</f>
        <v>OBSERVADO</v>
      </c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  <c r="Z269" s="185" t="str">
        <f aca="false">IF(AND(G269&lt;&gt;"",R269&lt;&gt;"",V269&lt;&gt;"",W269&lt;&gt;""),"COMPLETADO","OBSERVADO")</f>
        <v>OBSERVADO</v>
      </c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85" t="str">
        <f aca="false">IF(AND(G270&lt;&gt;"",R270&lt;&gt;"",V270&lt;&gt;"",W270&lt;&gt;""),"COMPLETADO","OBSERVADO")</f>
        <v>OBSERVADO</v>
      </c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  <c r="Z271" s="185" t="str">
        <f aca="false">IF(AND(G271&lt;&gt;"",R271&lt;&gt;"",V271&lt;&gt;"",W271&lt;&gt;""),"COMPLETADO","OBSERVADO")</f>
        <v>OBSERVADO</v>
      </c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85" t="str">
        <f aca="false">IF(AND(G272&lt;&gt;"",R272&lt;&gt;"",V272&lt;&gt;"",W272&lt;&gt;""),"COMPLETADO","OBSERVADO")</f>
        <v>OBSERVADO</v>
      </c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  <c r="Z273" s="185" t="str">
        <f aca="false">IF(AND(G273&lt;&gt;"",R273&lt;&gt;"",V273&lt;&gt;"",W273&lt;&gt;""),"COMPLETADO","OBSERVADO")</f>
        <v>OBSERVADO</v>
      </c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85" t="str">
        <f aca="false">IF(AND(G274&lt;&gt;"",R274&lt;&gt;"",V274&lt;&gt;"",W274&lt;&gt;""),"COMPLETADO","OBSERVADO")</f>
        <v>OBSERVADO</v>
      </c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  <c r="Z275" s="185" t="str">
        <f aca="false">IF(AND(G275&lt;&gt;"",R275&lt;&gt;"",V275&lt;&gt;"",W275&lt;&gt;""),"COMPLETADO","OBSERVADO")</f>
        <v>OBSERVADO</v>
      </c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85" t="str">
        <f aca="false">IF(AND(G276&lt;&gt;"",R276&lt;&gt;"",V276&lt;&gt;"",W276&lt;&gt;""),"COMPLETADO","OBSERVADO")</f>
        <v>OBSERVADO</v>
      </c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  <c r="Z277" s="185" t="str">
        <f aca="false">IF(AND(G277&lt;&gt;"",R277&lt;&gt;"",V277&lt;&gt;"",W277&lt;&gt;""),"COMPLETADO","OBSERVADO")</f>
        <v>OBSERVADO</v>
      </c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85" t="str">
        <f aca="false">IF(AND(G278&lt;&gt;"",R278&lt;&gt;"",V278&lt;&gt;"",W278&lt;&gt;""),"COMPLETADO","OBSERVADO")</f>
        <v>OBSERVADO</v>
      </c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  <c r="Z279" s="185" t="str">
        <f aca="false">IF(AND(G279&lt;&gt;"",R279&lt;&gt;"",V279&lt;&gt;"",W279&lt;&gt;""),"COMPLETADO","OBSERVADO")</f>
        <v>OBSERVADO</v>
      </c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85" t="str">
        <f aca="false">IF(AND(G280&lt;&gt;"",R280&lt;&gt;"",V280&lt;&gt;"",W280&lt;&gt;""),"COMPLETADO","OBSERVADO")</f>
        <v>OBSERVADO</v>
      </c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  <c r="Z281" s="185" t="str">
        <f aca="false">IF(AND(G281&lt;&gt;"",R281&lt;&gt;"",V281&lt;&gt;"",W281&lt;&gt;""),"COMPLETADO","OBSERVADO")</f>
        <v>OBSERVADO</v>
      </c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85" t="str">
        <f aca="false">IF(AND(G282&lt;&gt;"",R282&lt;&gt;"",V282&lt;&gt;"",W282&lt;&gt;""),"COMPLETADO","OBSERVADO")</f>
        <v>OBSERVADO</v>
      </c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  <c r="Z283" s="185" t="str">
        <f aca="false">IF(AND(G283&lt;&gt;"",R283&lt;&gt;"",V283&lt;&gt;"",W283&lt;&gt;""),"COMPLETADO","OBSERVADO")</f>
        <v>OBSERVADO</v>
      </c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85" t="str">
        <f aca="false">IF(AND(G284&lt;&gt;"",R284&lt;&gt;"",V284&lt;&gt;"",W284&lt;&gt;""),"COMPLETADO","OBSERVADO")</f>
        <v>OBSERVADO</v>
      </c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  <c r="Z285" s="185" t="str">
        <f aca="false">IF(AND(G285&lt;&gt;"",R285&lt;&gt;"",V285&lt;&gt;"",W285&lt;&gt;""),"COMPLETADO","OBSERVADO")</f>
        <v>OBSERVADO</v>
      </c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85" t="str">
        <f aca="false">IF(AND(G286&lt;&gt;"",R286&lt;&gt;"",V286&lt;&gt;"",W286&lt;&gt;""),"COMPLETADO","OBSERVADO")</f>
        <v>OBSERVADO</v>
      </c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  <c r="Z287" s="185" t="str">
        <f aca="false">IF(AND(G287&lt;&gt;"",R287&lt;&gt;"",V287&lt;&gt;"",W287&lt;&gt;""),"COMPLETADO","OBSERVADO")</f>
        <v>OBSERVADO</v>
      </c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85" t="str">
        <f aca="false">IF(AND(G288&lt;&gt;"",R288&lt;&gt;"",V288&lt;&gt;"",W288&lt;&gt;""),"COMPLETADO","OBSERVADO")</f>
        <v>OBSERVADO</v>
      </c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  <c r="Z289" s="185" t="str">
        <f aca="false">IF(AND(G289&lt;&gt;"",R289&lt;&gt;"",V289&lt;&gt;"",W289&lt;&gt;""),"COMPLETADO","OBSERVADO")</f>
        <v>OBSERVADO</v>
      </c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85" t="str">
        <f aca="false">IF(AND(G290&lt;&gt;"",R290&lt;&gt;"",V290&lt;&gt;"",W290&lt;&gt;""),"COMPLETADO","OBSERVADO")</f>
        <v>OBSERVADO</v>
      </c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  <c r="Z291" s="185" t="str">
        <f aca="false">IF(AND(G291&lt;&gt;"",R291&lt;&gt;"",V291&lt;&gt;"",W291&lt;&gt;""),"COMPLETADO","OBSERVADO")</f>
        <v>OBSERVADO</v>
      </c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85" t="str">
        <f aca="false">IF(AND(G292&lt;&gt;"",R292&lt;&gt;"",V292&lt;&gt;"",W292&lt;&gt;""),"COMPLETADO","OBSERVADO")</f>
        <v>OBSERVADO</v>
      </c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  <c r="Z293" s="185" t="str">
        <f aca="false">IF(AND(G293&lt;&gt;"",R293&lt;&gt;"",V293&lt;&gt;"",W293&lt;&gt;""),"COMPLETADO","OBSERVADO")</f>
        <v>OBSERVADO</v>
      </c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85" t="str">
        <f aca="false">IF(AND(G294&lt;&gt;"",R294&lt;&gt;"",V294&lt;&gt;"",W294&lt;&gt;""),"COMPLETADO","OBSERVADO")</f>
        <v>OBSERVADO</v>
      </c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  <c r="Z295" s="185" t="str">
        <f aca="false">IF(AND(G295&lt;&gt;"",R295&lt;&gt;"",V295&lt;&gt;"",W295&lt;&gt;""),"COMPLETADO","OBSERVADO")</f>
        <v>OBSERVADO</v>
      </c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85" t="str">
        <f aca="false">IF(AND(G296&lt;&gt;"",R296&lt;&gt;"",V296&lt;&gt;"",W296&lt;&gt;""),"COMPLETADO","OBSERVADO")</f>
        <v>OBSERVADO</v>
      </c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  <c r="Z297" s="185" t="str">
        <f aca="false">IF(AND(G297&lt;&gt;"",R297&lt;&gt;"",V297&lt;&gt;"",W297&lt;&gt;""),"COMPLETADO","OBSERVADO")</f>
        <v>OBSERVADO</v>
      </c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85" t="str">
        <f aca="false">IF(AND(G298&lt;&gt;"",R298&lt;&gt;"",V298&lt;&gt;"",W298&lt;&gt;""),"COMPLETADO","OBSERVADO")</f>
        <v>OBSERVADO</v>
      </c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  <c r="Z299" s="185" t="str">
        <f aca="false">IF(AND(G299&lt;&gt;"",R299&lt;&gt;"",V299&lt;&gt;"",W299&lt;&gt;""),"COMPLETADO","OBSERVADO")</f>
        <v>OBSERVADO</v>
      </c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85" t="str">
        <f aca="false">IF(AND(G300&lt;&gt;"",R300&lt;&gt;"",V300&lt;&gt;"",W300&lt;&gt;""),"COMPLETADO","OBSERVADO")</f>
        <v>OBSERVADO</v>
      </c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  <c r="Z301" s="185" t="str">
        <f aca="false">IF(AND(G301&lt;&gt;"",R301&lt;&gt;"",V301&lt;&gt;"",W301&lt;&gt;""),"COMPLETADO","OBSERVADO")</f>
        <v>OBSERVADO</v>
      </c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85" t="str">
        <f aca="false">IF(AND(G302&lt;&gt;"",R302&lt;&gt;"",V302&lt;&gt;"",W302&lt;&gt;""),"COMPLETADO","OBSERVADO")</f>
        <v>OBSERVADO</v>
      </c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  <c r="Z303" s="185" t="str">
        <f aca="false">IF(AND(G303&lt;&gt;"",R303&lt;&gt;"",V303&lt;&gt;"",W303&lt;&gt;""),"COMPLETADO","OBSERVADO")</f>
        <v>OBSERVADO</v>
      </c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85" t="str">
        <f aca="false">IF(AND(G304&lt;&gt;"",R304&lt;&gt;"",V304&lt;&gt;"",W304&lt;&gt;""),"COMPLETADO","OBSERVADO")</f>
        <v>OBSERVADO</v>
      </c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  <c r="Z305" s="185" t="str">
        <f aca="false">IF(AND(G305&lt;&gt;"",R305&lt;&gt;"",V305&lt;&gt;"",W305&lt;&gt;""),"COMPLETADO","OBSERVADO")</f>
        <v>OBSERVADO</v>
      </c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85" t="str">
        <f aca="false">IF(AND(G306&lt;&gt;"",R306&lt;&gt;"",V306&lt;&gt;"",W306&lt;&gt;""),"COMPLETADO","OBSERVADO")</f>
        <v>OBSERVADO</v>
      </c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  <c r="Z307" s="185" t="str">
        <f aca="false">IF(AND(G307&lt;&gt;"",R307&lt;&gt;"",V307&lt;&gt;"",W307&lt;&gt;""),"COMPLETADO","OBSERVADO")</f>
        <v>OBSERVADO</v>
      </c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85" t="str">
        <f aca="false">IF(AND(G308&lt;&gt;"",R308&lt;&gt;"",V308&lt;&gt;"",W308&lt;&gt;""),"COMPLETADO","OBSERVADO")</f>
        <v>OBSERVADO</v>
      </c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  <c r="Z309" s="185" t="str">
        <f aca="false">IF(AND(G309&lt;&gt;"",R309&lt;&gt;"",V309&lt;&gt;"",W309&lt;&gt;""),"COMPLETADO","OBSERVADO")</f>
        <v>OBSERVADO</v>
      </c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85" t="str">
        <f aca="false">IF(AND(G310&lt;&gt;"",R310&lt;&gt;"",V310&lt;&gt;"",W310&lt;&gt;""),"COMPLETADO","OBSERVADO")</f>
        <v>OBSERVADO</v>
      </c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  <c r="Z311" s="185" t="str">
        <f aca="false">IF(AND(G311&lt;&gt;"",R311&lt;&gt;"",V311&lt;&gt;"",W311&lt;&gt;""),"COMPLETADO","OBSERVADO")</f>
        <v>OBSERVADO</v>
      </c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85" t="str">
        <f aca="false">IF(AND(G312&lt;&gt;"",R312&lt;&gt;"",V312&lt;&gt;"",W312&lt;&gt;""),"COMPLETADO","OBSERVADO")</f>
        <v>OBSERVADO</v>
      </c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  <c r="Z313" s="185" t="str">
        <f aca="false">IF(AND(G313&lt;&gt;"",R313&lt;&gt;"",V313&lt;&gt;"",W313&lt;&gt;""),"COMPLETADO","OBSERVADO")</f>
        <v>OBSERVADO</v>
      </c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85" t="str">
        <f aca="false">IF(AND(G314&lt;&gt;"",R314&lt;&gt;"",V314&lt;&gt;"",W314&lt;&gt;""),"COMPLETADO","OBSERVADO")</f>
        <v>OBSERVADO</v>
      </c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  <c r="Z315" s="185" t="str">
        <f aca="false">IF(AND(G315&lt;&gt;"",R315&lt;&gt;"",V315&lt;&gt;"",W315&lt;&gt;""),"COMPLETADO","OBSERVADO")</f>
        <v>OBSERVADO</v>
      </c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85" t="str">
        <f aca="false">IF(AND(G316&lt;&gt;"",R316&lt;&gt;"",V316&lt;&gt;"",W316&lt;&gt;""),"COMPLETADO","OBSERVADO")</f>
        <v>OBSERVADO</v>
      </c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  <c r="Z317" s="185" t="str">
        <f aca="false">IF(AND(G317&lt;&gt;"",R317&lt;&gt;"",V317&lt;&gt;"",W317&lt;&gt;""),"COMPLETADO","OBSERVADO")</f>
        <v>OBSERVADO</v>
      </c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85" t="str">
        <f aca="false">IF(AND(G318&lt;&gt;"",R318&lt;&gt;"",V318&lt;&gt;"",W318&lt;&gt;""),"COMPLETADO","OBSERVADO")</f>
        <v>OBSERVADO</v>
      </c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  <c r="Z319" s="185" t="str">
        <f aca="false">IF(AND(G319&lt;&gt;"",R319&lt;&gt;"",V319&lt;&gt;"",W319&lt;&gt;""),"COMPLETADO","OBSERVADO")</f>
        <v>OBSERVADO</v>
      </c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85" t="str">
        <f aca="false">IF(AND(G320&lt;&gt;"",R320&lt;&gt;"",V320&lt;&gt;"",W320&lt;&gt;""),"COMPLETADO","OBSERVADO")</f>
        <v>OBSERVADO</v>
      </c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  <c r="Z321" s="185" t="str">
        <f aca="false">IF(AND(G321&lt;&gt;"",R321&lt;&gt;"",V321&lt;&gt;"",W321&lt;&gt;""),"COMPLETADO","OBSERVADO")</f>
        <v>OBSERVADO</v>
      </c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85" t="str">
        <f aca="false">IF(AND(G322&lt;&gt;"",R322&lt;&gt;"",V322&lt;&gt;"",W322&lt;&gt;""),"COMPLETADO","OBSERVADO")</f>
        <v>OBSERVADO</v>
      </c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  <c r="Z323" s="185" t="str">
        <f aca="false">IF(AND(G323&lt;&gt;"",R323&lt;&gt;"",V323&lt;&gt;"",W323&lt;&gt;""),"COMPLETADO","OBSERVADO")</f>
        <v>OBSERVADO</v>
      </c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85" t="str">
        <f aca="false">IF(AND(G324&lt;&gt;"",R324&lt;&gt;"",V324&lt;&gt;"",W324&lt;&gt;""),"COMPLETADO","OBSERVADO")</f>
        <v>OBSERVADO</v>
      </c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  <c r="Z325" s="185" t="str">
        <f aca="false">IF(AND(G325&lt;&gt;"",R325&lt;&gt;"",V325&lt;&gt;"",W325&lt;&gt;""),"COMPLETADO","OBSERVADO")</f>
        <v>OBSERVADO</v>
      </c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85" t="str">
        <f aca="false">IF(AND(G326&lt;&gt;"",R326&lt;&gt;"",V326&lt;&gt;"",W326&lt;&gt;""),"COMPLETADO","OBSERVADO")</f>
        <v>OBSERVADO</v>
      </c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  <c r="Z327" s="185" t="str">
        <f aca="false">IF(AND(G327&lt;&gt;"",R327&lt;&gt;"",V327&lt;&gt;"",W327&lt;&gt;""),"COMPLETADO","OBSERVADO")</f>
        <v>OBSERVADO</v>
      </c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85" t="str">
        <f aca="false">IF(AND(G328&lt;&gt;"",R328&lt;&gt;"",V328&lt;&gt;"",W328&lt;&gt;""),"COMPLETADO","OBSERVADO")</f>
        <v>OBSERVADO</v>
      </c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  <c r="Z329" s="185" t="str">
        <f aca="false">IF(AND(G329&lt;&gt;"",R329&lt;&gt;"",V329&lt;&gt;"",W329&lt;&gt;""),"COMPLETADO","OBSERVADO")</f>
        <v>OBSERVADO</v>
      </c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85" t="str">
        <f aca="false">IF(AND(G330&lt;&gt;"",R330&lt;&gt;"",V330&lt;&gt;"",W330&lt;&gt;""),"COMPLETADO","OBSERVADO")</f>
        <v>OBSERVADO</v>
      </c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  <c r="Z331" s="185" t="str">
        <f aca="false">IF(AND(G331&lt;&gt;"",R331&lt;&gt;"",V331&lt;&gt;"",W331&lt;&gt;""),"COMPLETADO","OBSERVADO")</f>
        <v>OBSERVADO</v>
      </c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85" t="str">
        <f aca="false">IF(AND(G332&lt;&gt;"",R332&lt;&gt;"",V332&lt;&gt;"",W332&lt;&gt;""),"COMPLETADO","OBSERVADO")</f>
        <v>OBSERVADO</v>
      </c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  <c r="Z333" s="185" t="str">
        <f aca="false">IF(AND(G333&lt;&gt;"",R333&lt;&gt;"",V333&lt;&gt;"",W333&lt;&gt;""),"COMPLETADO","OBSERVADO")</f>
        <v>OBSERVADO</v>
      </c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85" t="str">
        <f aca="false">IF(AND(G334&lt;&gt;"",R334&lt;&gt;"",V334&lt;&gt;"",W334&lt;&gt;""),"COMPLETADO","OBSERVADO")</f>
        <v>OBSERVADO</v>
      </c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  <c r="Z335" s="185" t="str">
        <f aca="false">IF(AND(G335&lt;&gt;"",R335&lt;&gt;"",V335&lt;&gt;"",W335&lt;&gt;""),"COMPLETADO","OBSERVADO")</f>
        <v>OBSERVADO</v>
      </c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85" t="str">
        <f aca="false">IF(AND(G336&lt;&gt;"",R336&lt;&gt;"",V336&lt;&gt;"",W336&lt;&gt;""),"COMPLETADO","OBSERVADO")</f>
        <v>OBSERVADO</v>
      </c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  <c r="Z337" s="185" t="str">
        <f aca="false">IF(AND(G337&lt;&gt;"",R337&lt;&gt;"",V337&lt;&gt;"",W337&lt;&gt;""),"COMPLETADO","OBSERVADO")</f>
        <v>OBSERVADO</v>
      </c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85" t="str">
        <f aca="false">IF(AND(G338&lt;&gt;"",R338&lt;&gt;"",V338&lt;&gt;"",W338&lt;&gt;""),"COMPLETADO","OBSERVADO")</f>
        <v>OBSERVADO</v>
      </c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  <c r="Z339" s="185" t="str">
        <f aca="false">IF(AND(G339&lt;&gt;"",R339&lt;&gt;"",V339&lt;&gt;"",W339&lt;&gt;""),"COMPLETADO","OBSERVADO")</f>
        <v>OBSERVADO</v>
      </c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85" t="str">
        <f aca="false">IF(AND(G340&lt;&gt;"",R340&lt;&gt;"",V340&lt;&gt;"",W340&lt;&gt;""),"COMPLETADO","OBSERVADO")</f>
        <v>OBSERVADO</v>
      </c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  <c r="Z341" s="185" t="str">
        <f aca="false">IF(AND(G341&lt;&gt;"",R341&lt;&gt;"",V341&lt;&gt;"",W341&lt;&gt;""),"COMPLETADO","OBSERVADO")</f>
        <v>OBSERVADO</v>
      </c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85" t="str">
        <f aca="false">IF(AND(G342&lt;&gt;"",R342&lt;&gt;"",V342&lt;&gt;"",W342&lt;&gt;""),"COMPLETADO","OBSERVADO")</f>
        <v>OBSERVADO</v>
      </c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  <c r="Z343" s="185" t="str">
        <f aca="false">IF(AND(G343&lt;&gt;"",R343&lt;&gt;"",V343&lt;&gt;"",W343&lt;&gt;""),"COMPLETADO","OBSERVADO")</f>
        <v>OBSERVADO</v>
      </c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85" t="str">
        <f aca="false">IF(AND(G344&lt;&gt;"",R344&lt;&gt;"",V344&lt;&gt;"",W344&lt;&gt;""),"COMPLETADO","OBSERVADO")</f>
        <v>OBSERVADO</v>
      </c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  <c r="Z345" s="185" t="str">
        <f aca="false">IF(AND(G345&lt;&gt;"",R345&lt;&gt;"",V345&lt;&gt;"",W345&lt;&gt;""),"COMPLETADO","OBSERVADO")</f>
        <v>OBSERVADO</v>
      </c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85" t="str">
        <f aca="false">IF(AND(G346&lt;&gt;"",R346&lt;&gt;"",V346&lt;&gt;"",W346&lt;&gt;""),"COMPLETADO","OBSERVADO")</f>
        <v>OBSERVADO</v>
      </c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  <c r="Z347" s="185" t="str">
        <f aca="false">IF(AND(G347&lt;&gt;"",R347&lt;&gt;"",V347&lt;&gt;"",W347&lt;&gt;""),"COMPLETADO","OBSERVADO")</f>
        <v>OBSERVADO</v>
      </c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85" t="str">
        <f aca="false">IF(AND(G348&lt;&gt;"",R348&lt;&gt;"",V348&lt;&gt;"",W348&lt;&gt;""),"COMPLETADO","OBSERVADO")</f>
        <v>OBSERVADO</v>
      </c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  <c r="Z349" s="185" t="str">
        <f aca="false">IF(AND(G349&lt;&gt;"",R349&lt;&gt;"",V349&lt;&gt;"",W349&lt;&gt;""),"COMPLETADO","OBSERVADO")</f>
        <v>OBSERVADO</v>
      </c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85" t="str">
        <f aca="false">IF(AND(G350&lt;&gt;"",R350&lt;&gt;"",V350&lt;&gt;"",W350&lt;&gt;""),"COMPLETADO","OBSERVADO")</f>
        <v>OBSERVADO</v>
      </c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  <c r="Z351" s="185" t="str">
        <f aca="false">IF(AND(G351&lt;&gt;"",R351&lt;&gt;"",V351&lt;&gt;"",W351&lt;&gt;""),"COMPLETADO","OBSERVADO")</f>
        <v>OBSERVADO</v>
      </c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85" t="str">
        <f aca="false">IF(AND(G352&lt;&gt;"",R352&lt;&gt;"",V352&lt;&gt;"",W352&lt;&gt;""),"COMPLETADO","OBSERVADO")</f>
        <v>OBSERVADO</v>
      </c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  <c r="Z353" s="185" t="str">
        <f aca="false">IF(AND(G353&lt;&gt;"",R353&lt;&gt;"",V353&lt;&gt;"",W353&lt;&gt;""),"COMPLETADO","OBSERVADO")</f>
        <v>OBSERVADO</v>
      </c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85" t="str">
        <f aca="false">IF(AND(G354&lt;&gt;"",R354&lt;&gt;"",V354&lt;&gt;"",W354&lt;&gt;""),"COMPLETADO","OBSERVADO")</f>
        <v>OBSERVADO</v>
      </c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  <c r="Z355" s="185" t="str">
        <f aca="false">IF(AND(G355&lt;&gt;"",R355&lt;&gt;"",V355&lt;&gt;"",W355&lt;&gt;""),"COMPLETADO","OBSERVADO")</f>
        <v>OBSERVADO</v>
      </c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85" t="str">
        <f aca="false">IF(AND(G356&lt;&gt;"",R356&lt;&gt;"",V356&lt;&gt;"",W356&lt;&gt;""),"COMPLETADO","OBSERVADO")</f>
        <v>OBSERVADO</v>
      </c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  <c r="Z357" s="185" t="str">
        <f aca="false">IF(AND(G357&lt;&gt;"",R357&lt;&gt;"",V357&lt;&gt;"",W357&lt;&gt;""),"COMPLETADO","OBSERVADO")</f>
        <v>OBSERVADO</v>
      </c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85" t="str">
        <f aca="false">IF(AND(G358&lt;&gt;"",R358&lt;&gt;"",V358&lt;&gt;"",W358&lt;&gt;""),"COMPLETADO","OBSERVADO")</f>
        <v>OBSERVADO</v>
      </c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  <c r="Z359" s="185" t="str">
        <f aca="false">IF(AND(G359&lt;&gt;"",R359&lt;&gt;"",V359&lt;&gt;"",W359&lt;&gt;""),"COMPLETADO","OBSERVADO")</f>
        <v>OBSERVADO</v>
      </c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85" t="str">
        <f aca="false">IF(AND(G360&lt;&gt;"",R360&lt;&gt;"",V360&lt;&gt;"",W360&lt;&gt;""),"COMPLETADO","OBSERVADO")</f>
        <v>OBSERVADO</v>
      </c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  <c r="Z361" s="185" t="str">
        <f aca="false">IF(AND(G361&lt;&gt;"",R361&lt;&gt;"",V361&lt;&gt;"",W361&lt;&gt;""),"COMPLETADO","OBSERVADO")</f>
        <v>OBSERVADO</v>
      </c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85" t="str">
        <f aca="false">IF(AND(G362&lt;&gt;"",R362&lt;&gt;"",V362&lt;&gt;"",W362&lt;&gt;""),"COMPLETADO","OBSERVADO")</f>
        <v>OBSERVADO</v>
      </c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  <c r="Z363" s="185" t="str">
        <f aca="false">IF(AND(G363&lt;&gt;"",R363&lt;&gt;"",V363&lt;&gt;"",W363&lt;&gt;""),"COMPLETADO","OBSERVADO")</f>
        <v>OBSERVADO</v>
      </c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85" t="str">
        <f aca="false">IF(AND(G364&lt;&gt;"",R364&lt;&gt;"",V364&lt;&gt;"",W364&lt;&gt;""),"COMPLETADO","OBSERVADO")</f>
        <v>OBSERVADO</v>
      </c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  <c r="Z365" s="185" t="str">
        <f aca="false">IF(AND(G365&lt;&gt;"",R365&lt;&gt;"",V365&lt;&gt;"",W365&lt;&gt;""),"COMPLETADO","OBSERVADO")</f>
        <v>OBSERVADO</v>
      </c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85" t="str">
        <f aca="false">IF(AND(G366&lt;&gt;"",R366&lt;&gt;"",V366&lt;&gt;"",W366&lt;&gt;""),"COMPLETADO","OBSERVADO")</f>
        <v>OBSERVADO</v>
      </c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  <c r="Z367" s="185" t="str">
        <f aca="false">IF(AND(G367&lt;&gt;"",R367&lt;&gt;"",V367&lt;&gt;"",W367&lt;&gt;""),"COMPLETADO","OBSERVADO")</f>
        <v>OBSERVADO</v>
      </c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85" t="str">
        <f aca="false">IF(AND(G368&lt;&gt;"",R368&lt;&gt;"",V368&lt;&gt;"",W368&lt;&gt;""),"COMPLETADO","OBSERVADO")</f>
        <v>OBSERVADO</v>
      </c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  <c r="Z369" s="185" t="str">
        <f aca="false">IF(AND(G369&lt;&gt;"",R369&lt;&gt;"",V369&lt;&gt;"",W369&lt;&gt;""),"COMPLETADO","OBSERVADO")</f>
        <v>OBSERVADO</v>
      </c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85" t="str">
        <f aca="false">IF(AND(G370&lt;&gt;"",R370&lt;&gt;"",V370&lt;&gt;"",W370&lt;&gt;""),"COMPLETADO","OBSERVADO")</f>
        <v>OBSERVADO</v>
      </c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  <c r="Z371" s="185" t="str">
        <f aca="false">IF(AND(G371&lt;&gt;"",R371&lt;&gt;"",V371&lt;&gt;"",W371&lt;&gt;""),"COMPLETADO","OBSERVADO")</f>
        <v>OBSERVADO</v>
      </c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85" t="str">
        <f aca="false">IF(AND(G372&lt;&gt;"",R372&lt;&gt;"",V372&lt;&gt;"",W372&lt;&gt;""),"COMPLETADO","OBSERVADO")</f>
        <v>OBSERVADO</v>
      </c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  <c r="Z373" s="185" t="str">
        <f aca="false">IF(AND(G373&lt;&gt;"",R373&lt;&gt;"",V373&lt;&gt;"",W373&lt;&gt;""),"COMPLETADO","OBSERVADO")</f>
        <v>OBSERVADO</v>
      </c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85" t="str">
        <f aca="false">IF(AND(G374&lt;&gt;"",R374&lt;&gt;"",V374&lt;&gt;"",W374&lt;&gt;""),"COMPLETADO","OBSERVADO")</f>
        <v>OBSERVADO</v>
      </c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  <c r="Z375" s="185" t="str">
        <f aca="false">IF(AND(G375&lt;&gt;"",R375&lt;&gt;"",V375&lt;&gt;"",W375&lt;&gt;""),"COMPLETADO","OBSERVADO")</f>
        <v>OBSERVADO</v>
      </c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85" t="str">
        <f aca="false">IF(AND(G376&lt;&gt;"",R376&lt;&gt;"",V376&lt;&gt;"",W376&lt;&gt;""),"COMPLETADO","OBSERVADO")</f>
        <v>OBSERVADO</v>
      </c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  <c r="Z377" s="185" t="str">
        <f aca="false">IF(AND(G377&lt;&gt;"",R377&lt;&gt;"",V377&lt;&gt;"",W377&lt;&gt;""),"COMPLETADO","OBSERVADO")</f>
        <v>OBSERVADO</v>
      </c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85" t="str">
        <f aca="false">IF(AND(G378&lt;&gt;"",R378&lt;&gt;"",V378&lt;&gt;"",W378&lt;&gt;""),"COMPLETADO","OBSERVADO")</f>
        <v>OBSERVADO</v>
      </c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  <c r="Z379" s="185" t="str">
        <f aca="false">IF(AND(G379&lt;&gt;"",R379&lt;&gt;"",V379&lt;&gt;"",W379&lt;&gt;""),"COMPLETADO","OBSERVADO")</f>
        <v>OBSERVADO</v>
      </c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85" t="str">
        <f aca="false">IF(AND(G380&lt;&gt;"",R380&lt;&gt;"",V380&lt;&gt;"",W380&lt;&gt;""),"COMPLETADO","OBSERVADO")</f>
        <v>OBSERVADO</v>
      </c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  <c r="Z381" s="185" t="str">
        <f aca="false">IF(AND(G381&lt;&gt;"",R381&lt;&gt;"",V381&lt;&gt;"",W381&lt;&gt;""),"COMPLETADO","OBSERVADO")</f>
        <v>OBSERVADO</v>
      </c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85" t="str">
        <f aca="false">IF(AND(G382&lt;&gt;"",R382&lt;&gt;"",V382&lt;&gt;"",W382&lt;&gt;""),"COMPLETADO","OBSERVADO")</f>
        <v>OBSERVADO</v>
      </c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  <c r="Z383" s="185" t="str">
        <f aca="false">IF(AND(G383&lt;&gt;"",R383&lt;&gt;"",V383&lt;&gt;"",W383&lt;&gt;""),"COMPLETADO","OBSERVADO")</f>
        <v>OBSERVADO</v>
      </c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85" t="str">
        <f aca="false">IF(AND(G384&lt;&gt;"",R384&lt;&gt;"",V384&lt;&gt;"",W384&lt;&gt;""),"COMPLETADO","OBSERVADO")</f>
        <v>OBSERVADO</v>
      </c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  <c r="Z385" s="185" t="str">
        <f aca="false">IF(AND(G385&lt;&gt;"",R385&lt;&gt;"",V385&lt;&gt;"",W385&lt;&gt;""),"COMPLETADO","OBSERVADO")</f>
        <v>OBSERVADO</v>
      </c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85" t="str">
        <f aca="false">IF(AND(G386&lt;&gt;"",R386&lt;&gt;"",V386&lt;&gt;"",W386&lt;&gt;""),"COMPLETADO","OBSERVADO")</f>
        <v>OBSERVADO</v>
      </c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  <c r="Z387" s="185" t="str">
        <f aca="false">IF(AND(G387&lt;&gt;"",R387&lt;&gt;"",V387&lt;&gt;"",W387&lt;&gt;""),"COMPLETADO","OBSERVADO")</f>
        <v>OBSERVADO</v>
      </c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85" t="str">
        <f aca="false">IF(AND(G388&lt;&gt;"",R388&lt;&gt;"",V388&lt;&gt;"",W388&lt;&gt;""),"COMPLETADO","OBSERVADO")</f>
        <v>OBSERVADO</v>
      </c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  <c r="Z389" s="185" t="str">
        <f aca="false">IF(AND(G389&lt;&gt;"",R389&lt;&gt;"",V389&lt;&gt;"",W389&lt;&gt;""),"COMPLETADO","OBSERVADO")</f>
        <v>OBSERVADO</v>
      </c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85" t="str">
        <f aca="false">IF(AND(G390&lt;&gt;"",R390&lt;&gt;"",V390&lt;&gt;"",W390&lt;&gt;""),"COMPLETADO","OBSERVADO")</f>
        <v>OBSERVADO</v>
      </c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  <c r="Z391" s="185" t="str">
        <f aca="false">IF(AND(G391&lt;&gt;"",R391&lt;&gt;"",V391&lt;&gt;"",W391&lt;&gt;""),"COMPLETADO","OBSERVADO")</f>
        <v>OBSERVADO</v>
      </c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85" t="str">
        <f aca="false">IF(AND(G392&lt;&gt;"",R392&lt;&gt;"",V392&lt;&gt;"",W392&lt;&gt;""),"COMPLETADO","OBSERVADO")</f>
        <v>OBSERVADO</v>
      </c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  <c r="Z393" s="185" t="str">
        <f aca="false">IF(AND(G393&lt;&gt;"",R393&lt;&gt;"",V393&lt;&gt;"",W393&lt;&gt;""),"COMPLETADO","OBSERVADO")</f>
        <v>OBSERVADO</v>
      </c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85" t="str">
        <f aca="false">IF(AND(G394&lt;&gt;"",R394&lt;&gt;"",V394&lt;&gt;"",W394&lt;&gt;""),"COMPLETADO","OBSERVADO")</f>
        <v>OBSERVADO</v>
      </c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  <c r="Z395" s="185" t="str">
        <f aca="false">IF(AND(G395&lt;&gt;"",R395&lt;&gt;"",V395&lt;&gt;"",W395&lt;&gt;""),"COMPLETADO","OBSERVADO")</f>
        <v>OBSERVADO</v>
      </c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85" t="str">
        <f aca="false">IF(AND(G396&lt;&gt;"",R396&lt;&gt;"",V396&lt;&gt;"",W396&lt;&gt;""),"COMPLETADO","OBSERVADO")</f>
        <v>OBSERVADO</v>
      </c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  <c r="Z397" s="185" t="str">
        <f aca="false">IF(AND(G397&lt;&gt;"",R397&lt;&gt;"",V397&lt;&gt;"",W397&lt;&gt;""),"COMPLETADO","OBSERVADO")</f>
        <v>OBSERVADO</v>
      </c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85" t="str">
        <f aca="false">IF(AND(G398&lt;&gt;"",R398&lt;&gt;"",V398&lt;&gt;"",W398&lt;&gt;""),"COMPLETADO","OBSERVADO")</f>
        <v>OBSERVADO</v>
      </c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  <c r="Z399" s="185" t="str">
        <f aca="false">IF(AND(G399&lt;&gt;"",R399&lt;&gt;"",V399&lt;&gt;"",W399&lt;&gt;""),"COMPLETADO","OBSERVADO")</f>
        <v>OBSERVADO</v>
      </c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85" t="str">
        <f aca="false">IF(AND(G400&lt;&gt;"",R400&lt;&gt;"",V400&lt;&gt;"",W400&lt;&gt;""),"COMPLETADO","OBSERVADO")</f>
        <v>OBSERVADO</v>
      </c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  <c r="Z401" s="185" t="str">
        <f aca="false">IF(AND(G401&lt;&gt;"",R401&lt;&gt;"",V401&lt;&gt;"",W401&lt;&gt;""),"COMPLETADO","OBSERVADO")</f>
        <v>OBSERVADO</v>
      </c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85" t="str">
        <f aca="false">IF(AND(G402&lt;&gt;"",R402&lt;&gt;"",V402&lt;&gt;"",W402&lt;&gt;""),"COMPLETADO","OBSERVADO")</f>
        <v>OBSERVADO</v>
      </c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  <c r="Z403" s="185" t="str">
        <f aca="false">IF(AND(G403&lt;&gt;"",R403&lt;&gt;"",V403&lt;&gt;"",W403&lt;&gt;""),"COMPLETADO","OBSERVADO")</f>
        <v>OBSERVADO</v>
      </c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85" t="str">
        <f aca="false">IF(AND(G404&lt;&gt;"",R404&lt;&gt;"",V404&lt;&gt;"",W404&lt;&gt;""),"COMPLETADO","OBSERVADO")</f>
        <v>OBSERVADO</v>
      </c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  <c r="Z405" s="185" t="str">
        <f aca="false">IF(AND(G405&lt;&gt;"",R405&lt;&gt;"",V405&lt;&gt;"",W405&lt;&gt;""),"COMPLETADO","OBSERVADO")</f>
        <v>OBSERVADO</v>
      </c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85" t="str">
        <f aca="false">IF(AND(G406&lt;&gt;"",R406&lt;&gt;"",V406&lt;&gt;"",W406&lt;&gt;""),"COMPLETADO","OBSERVADO")</f>
        <v>OBSERVADO</v>
      </c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  <c r="Z407" s="185" t="str">
        <f aca="false">IF(AND(G407&lt;&gt;"",R407&lt;&gt;"",V407&lt;&gt;"",W407&lt;&gt;""),"COMPLETADO","OBSERVADO")</f>
        <v>OBSERVADO</v>
      </c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85" t="str">
        <f aca="false">IF(AND(G408&lt;&gt;"",R408&lt;&gt;"",V408&lt;&gt;"",W408&lt;&gt;""),"COMPLETADO","OBSERVADO")</f>
        <v>OBSERVADO</v>
      </c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  <c r="Z409" s="185" t="str">
        <f aca="false">IF(AND(G409&lt;&gt;"",R409&lt;&gt;"",V409&lt;&gt;"",W409&lt;&gt;""),"COMPLETADO","OBSERVADO")</f>
        <v>OBSERVADO</v>
      </c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85" t="str">
        <f aca="false">IF(AND(G410&lt;&gt;"",R410&lt;&gt;"",V410&lt;&gt;"",W410&lt;&gt;""),"COMPLETADO","OBSERVADO")</f>
        <v>OBSERVADO</v>
      </c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  <c r="Z411" s="185" t="str">
        <f aca="false">IF(AND(G411&lt;&gt;"",R411&lt;&gt;"",V411&lt;&gt;"",W411&lt;&gt;""),"COMPLETADO","OBSERVADO")</f>
        <v>OBSERVADO</v>
      </c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85" t="str">
        <f aca="false">IF(AND(G412&lt;&gt;"",R412&lt;&gt;"",V412&lt;&gt;"",W412&lt;&gt;""),"COMPLETADO","OBSERVADO")</f>
        <v>OBSERVADO</v>
      </c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  <c r="Z413" s="185" t="str">
        <f aca="false">IF(AND(G413&lt;&gt;"",R413&lt;&gt;"",V413&lt;&gt;"",W413&lt;&gt;""),"COMPLETADO","OBSERVADO")</f>
        <v>OBSERVADO</v>
      </c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85" t="str">
        <f aca="false">IF(AND(G414&lt;&gt;"",R414&lt;&gt;"",V414&lt;&gt;"",W414&lt;&gt;""),"COMPLETADO","OBSERVADO")</f>
        <v>OBSERVADO</v>
      </c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  <c r="Z415" s="185" t="str">
        <f aca="false">IF(AND(G415&lt;&gt;"",R415&lt;&gt;"",V415&lt;&gt;"",W415&lt;&gt;""),"COMPLETADO","OBSERVADO")</f>
        <v>OBSERVADO</v>
      </c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85" t="str">
        <f aca="false">IF(AND(G416&lt;&gt;"",R416&lt;&gt;"",V416&lt;&gt;"",W416&lt;&gt;""),"COMPLETADO","OBSERVADO")</f>
        <v>OBSERVADO</v>
      </c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  <c r="Z417" s="185" t="str">
        <f aca="false">IF(AND(G417&lt;&gt;"",R417&lt;&gt;"",V417&lt;&gt;"",W417&lt;&gt;""),"COMPLETADO","OBSERVADO")</f>
        <v>OBSERVADO</v>
      </c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85" t="str">
        <f aca="false">IF(AND(G418&lt;&gt;"",R418&lt;&gt;"",V418&lt;&gt;"",W418&lt;&gt;""),"COMPLETADO","OBSERVADO")</f>
        <v>OBSERVADO</v>
      </c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  <c r="Z419" s="185" t="str">
        <f aca="false">IF(AND(G419&lt;&gt;"",R419&lt;&gt;"",V419&lt;&gt;"",W419&lt;&gt;""),"COMPLETADO","OBSERVADO")</f>
        <v>OBSERVADO</v>
      </c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85" t="str">
        <f aca="false">IF(AND(G420&lt;&gt;"",R420&lt;&gt;"",V420&lt;&gt;"",W420&lt;&gt;""),"COMPLETADO","OBSERVADO")</f>
        <v>OBSERVADO</v>
      </c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  <c r="Z421" s="185" t="str">
        <f aca="false">IF(AND(G421&lt;&gt;"",R421&lt;&gt;"",V421&lt;&gt;"",W421&lt;&gt;""),"COMPLETADO","OBSERVADO")</f>
        <v>OBSERVADO</v>
      </c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85" t="str">
        <f aca="false">IF(AND(G422&lt;&gt;"",R422&lt;&gt;"",V422&lt;&gt;"",W422&lt;&gt;""),"COMPLETADO","OBSERVADO")</f>
        <v>OBSERVADO</v>
      </c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  <c r="Z423" s="185" t="str">
        <f aca="false">IF(AND(G423&lt;&gt;"",R423&lt;&gt;"",V423&lt;&gt;"",W423&lt;&gt;""),"COMPLETADO","OBSERVADO")</f>
        <v>OBSERVADO</v>
      </c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85" t="str">
        <f aca="false">IF(AND(G424&lt;&gt;"",R424&lt;&gt;"",V424&lt;&gt;"",W424&lt;&gt;""),"COMPLETADO","OBSERVADO")</f>
        <v>OBSERVADO</v>
      </c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  <c r="Z425" s="185" t="str">
        <f aca="false">IF(AND(G425&lt;&gt;"",R425&lt;&gt;"",V425&lt;&gt;"",W425&lt;&gt;""),"COMPLETADO","OBSERVADO")</f>
        <v>OBSERVADO</v>
      </c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85" t="str">
        <f aca="false">IF(AND(G426&lt;&gt;"",R426&lt;&gt;"",V426&lt;&gt;"",W426&lt;&gt;""),"COMPLETADO","OBSERVADO")</f>
        <v>OBSERVADO</v>
      </c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  <c r="Z427" s="185" t="str">
        <f aca="false">IF(AND(G427&lt;&gt;"",R427&lt;&gt;"",V427&lt;&gt;"",W427&lt;&gt;""),"COMPLETADO","OBSERVADO")</f>
        <v>OBSERVADO</v>
      </c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85" t="str">
        <f aca="false">IF(AND(G428&lt;&gt;"",R428&lt;&gt;"",V428&lt;&gt;"",W428&lt;&gt;""),"COMPLETADO","OBSERVADO")</f>
        <v>OBSERVADO</v>
      </c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  <c r="Z429" s="185" t="str">
        <f aca="false">IF(AND(G429&lt;&gt;"",R429&lt;&gt;"",V429&lt;&gt;"",W429&lt;&gt;""),"COMPLETADO","OBSERVADO")</f>
        <v>OBSERVADO</v>
      </c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85" t="str">
        <f aca="false">IF(AND(G430&lt;&gt;"",R430&lt;&gt;"",V430&lt;&gt;"",W430&lt;&gt;""),"COMPLETADO","OBSERVADO")</f>
        <v>OBSERVADO</v>
      </c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  <c r="Z431" s="185" t="str">
        <f aca="false">IF(AND(G431&lt;&gt;"",R431&lt;&gt;"",V431&lt;&gt;"",W431&lt;&gt;""),"COMPLETADO","OBSERVADO")</f>
        <v>OBSERVADO</v>
      </c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85" t="str">
        <f aca="false">IF(AND(G432&lt;&gt;"",R432&lt;&gt;"",V432&lt;&gt;"",W432&lt;&gt;""),"COMPLETADO","OBSERVADO")</f>
        <v>OBSERVADO</v>
      </c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  <c r="Z433" s="185" t="str">
        <f aca="false">IF(AND(G433&lt;&gt;"",R433&lt;&gt;"",V433&lt;&gt;"",W433&lt;&gt;""),"COMPLETADO","OBSERVADO")</f>
        <v>OBSERVADO</v>
      </c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85" t="str">
        <f aca="false">IF(AND(G434&lt;&gt;"",R434&lt;&gt;"",V434&lt;&gt;"",W434&lt;&gt;""),"COMPLETADO","OBSERVADO")</f>
        <v>OBSERVADO</v>
      </c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  <c r="Z435" s="185" t="str">
        <f aca="false">IF(AND(G435&lt;&gt;"",R435&lt;&gt;"",V435&lt;&gt;"",W435&lt;&gt;""),"COMPLETADO","OBSERVADO")</f>
        <v>OBSERVADO</v>
      </c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85" t="str">
        <f aca="false">IF(AND(G436&lt;&gt;"",R436&lt;&gt;"",V436&lt;&gt;"",W436&lt;&gt;""),"COMPLETADO","OBSERVADO")</f>
        <v>OBSERVADO</v>
      </c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  <c r="Z437" s="185" t="str">
        <f aca="false">IF(AND(G437&lt;&gt;"",R437&lt;&gt;"",V437&lt;&gt;"",W437&lt;&gt;""),"COMPLETADO","OBSERVADO")</f>
        <v>OBSERVADO</v>
      </c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85" t="str">
        <f aca="false">IF(AND(G438&lt;&gt;"",R438&lt;&gt;"",V438&lt;&gt;"",W438&lt;&gt;""),"COMPLETADO","OBSERVADO")</f>
        <v>OBSERVADO</v>
      </c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  <c r="Z439" s="185" t="str">
        <f aca="false">IF(AND(G439&lt;&gt;"",R439&lt;&gt;"",V439&lt;&gt;"",W439&lt;&gt;""),"COMPLETADO","OBSERVADO")</f>
        <v>OBSERVADO</v>
      </c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85" t="str">
        <f aca="false">IF(AND(G440&lt;&gt;"",R440&lt;&gt;"",V440&lt;&gt;"",W440&lt;&gt;""),"COMPLETADO","OBSERVADO")</f>
        <v>OBSERVADO</v>
      </c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  <c r="Z441" s="185" t="str">
        <f aca="false">IF(AND(G441&lt;&gt;"",R441&lt;&gt;"",V441&lt;&gt;"",W441&lt;&gt;""),"COMPLETADO","OBSERVADO")</f>
        <v>OBSERVADO</v>
      </c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85" t="str">
        <f aca="false">IF(AND(G442&lt;&gt;"",R442&lt;&gt;"",V442&lt;&gt;"",W442&lt;&gt;""),"COMPLETADO","OBSERVADO")</f>
        <v>OBSERVADO</v>
      </c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  <c r="Z443" s="185" t="str">
        <f aca="false">IF(AND(G443&lt;&gt;"",R443&lt;&gt;"",V443&lt;&gt;"",W443&lt;&gt;""),"COMPLETADO","OBSERVADO")</f>
        <v>OBSERVADO</v>
      </c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85" t="str">
        <f aca="false">IF(AND(G444&lt;&gt;"",R444&lt;&gt;"",V444&lt;&gt;"",W444&lt;&gt;""),"COMPLETADO","OBSERVADO")</f>
        <v>OBSERVADO</v>
      </c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  <c r="Z445" s="185" t="str">
        <f aca="false">IF(AND(G445&lt;&gt;"",R445&lt;&gt;"",V445&lt;&gt;"",W445&lt;&gt;""),"COMPLETADO","OBSERVADO")</f>
        <v>OBSERVADO</v>
      </c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85" t="str">
        <f aca="false">IF(AND(G446&lt;&gt;"",R446&lt;&gt;"",V446&lt;&gt;"",W446&lt;&gt;""),"COMPLETADO","OBSERVADO")</f>
        <v>OBSERVADO</v>
      </c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  <c r="Z447" s="185" t="str">
        <f aca="false">IF(AND(G447&lt;&gt;"",R447&lt;&gt;"",V447&lt;&gt;"",W447&lt;&gt;""),"COMPLETADO","OBSERVADO")</f>
        <v>OBSERVADO</v>
      </c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85" t="str">
        <f aca="false">IF(AND(G448&lt;&gt;"",R448&lt;&gt;"",V448&lt;&gt;"",W448&lt;&gt;""),"COMPLETADO","OBSERVADO")</f>
        <v>OBSERVADO</v>
      </c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  <c r="Z449" s="185" t="str">
        <f aca="false">IF(AND(G449&lt;&gt;"",R449&lt;&gt;"",V449&lt;&gt;"",W449&lt;&gt;""),"COMPLETADO","OBSERVADO")</f>
        <v>OBSERVADO</v>
      </c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85" t="str">
        <f aca="false">IF(AND(G450&lt;&gt;"",R450&lt;&gt;"",V450&lt;&gt;"",W450&lt;&gt;""),"COMPLETADO","OBSERVADO")</f>
        <v>OBSERVADO</v>
      </c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  <c r="Z451" s="185" t="str">
        <f aca="false">IF(AND(G451&lt;&gt;"",R451&lt;&gt;"",V451&lt;&gt;"",W451&lt;&gt;""),"COMPLETADO","OBSERVADO")</f>
        <v>OBSERVADO</v>
      </c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85" t="str">
        <f aca="false">IF(AND(G452&lt;&gt;"",R452&lt;&gt;"",V452&lt;&gt;"",W452&lt;&gt;""),"COMPLETADO","OBSERVADO")</f>
        <v>OBSERVADO</v>
      </c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  <c r="Z453" s="185" t="str">
        <f aca="false">IF(AND(G453&lt;&gt;"",R453&lt;&gt;"",V453&lt;&gt;"",W453&lt;&gt;""),"COMPLETADO","OBSERVADO")</f>
        <v>OBSERVADO</v>
      </c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85" t="str">
        <f aca="false">IF(AND(G454&lt;&gt;"",R454&lt;&gt;"",V454&lt;&gt;"",W454&lt;&gt;""),"COMPLETADO","OBSERVADO")</f>
        <v>OBSERVADO</v>
      </c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  <c r="Z455" s="185" t="str">
        <f aca="false">IF(AND(G455&lt;&gt;"",R455&lt;&gt;"",V455&lt;&gt;"",W455&lt;&gt;""),"COMPLETADO","OBSERVADO")</f>
        <v>OBSERVADO</v>
      </c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85" t="str">
        <f aca="false">IF(AND(G456&lt;&gt;"",R456&lt;&gt;"",V456&lt;&gt;"",W456&lt;&gt;""),"COMPLETADO","OBSERVADO")</f>
        <v>OBSERVADO</v>
      </c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  <c r="Z457" s="185" t="str">
        <f aca="false">IF(AND(G457&lt;&gt;"",R457&lt;&gt;"",V457&lt;&gt;"",W457&lt;&gt;""),"COMPLETADO","OBSERVADO")</f>
        <v>OBSERVADO</v>
      </c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85" t="str">
        <f aca="false">IF(AND(G458&lt;&gt;"",R458&lt;&gt;"",V458&lt;&gt;"",W458&lt;&gt;""),"COMPLETADO","OBSERVADO")</f>
        <v>OBSERVADO</v>
      </c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  <c r="Z459" s="185" t="str">
        <f aca="false">IF(AND(G459&lt;&gt;"",R459&lt;&gt;"",V459&lt;&gt;"",W459&lt;&gt;""),"COMPLETADO","OBSERVADO")</f>
        <v>OBSERVADO</v>
      </c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85" t="str">
        <f aca="false">IF(AND(G460&lt;&gt;"",R460&lt;&gt;"",V460&lt;&gt;"",W460&lt;&gt;""),"COMPLETADO","OBSERVADO")</f>
        <v>OBSERVADO</v>
      </c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  <c r="Z461" s="185" t="str">
        <f aca="false">IF(AND(G461&lt;&gt;"",R461&lt;&gt;"",V461&lt;&gt;"",W461&lt;&gt;""),"COMPLETADO","OBSERVADO")</f>
        <v>OBSERVADO</v>
      </c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85" t="str">
        <f aca="false">IF(AND(G462&lt;&gt;"",R462&lt;&gt;"",V462&lt;&gt;"",W462&lt;&gt;""),"COMPLETADO","OBSERVADO")</f>
        <v>OBSERVADO</v>
      </c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  <c r="Z463" s="185" t="str">
        <f aca="false">IF(AND(G463&lt;&gt;"",R463&lt;&gt;"",V463&lt;&gt;"",W463&lt;&gt;""),"COMPLETADO","OBSERVADO")</f>
        <v>OBSERVADO</v>
      </c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85" t="str">
        <f aca="false">IF(AND(G464&lt;&gt;"",R464&lt;&gt;"",V464&lt;&gt;"",W464&lt;&gt;""),"COMPLETADO","OBSERVADO")</f>
        <v>OBSERVADO</v>
      </c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  <c r="Z465" s="185" t="str">
        <f aca="false">IF(AND(G465&lt;&gt;"",R465&lt;&gt;"",V465&lt;&gt;"",W465&lt;&gt;""),"COMPLETADO","OBSERVADO")</f>
        <v>OBSERVADO</v>
      </c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85" t="str">
        <f aca="false">IF(AND(G466&lt;&gt;"",R466&lt;&gt;"",V466&lt;&gt;"",W466&lt;&gt;""),"COMPLETADO","OBSERVADO")</f>
        <v>OBSERVADO</v>
      </c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  <c r="Z467" s="185" t="str">
        <f aca="false">IF(AND(G467&lt;&gt;"",R467&lt;&gt;"",V467&lt;&gt;"",W467&lt;&gt;""),"COMPLETADO","OBSERVADO")</f>
        <v>OBSERVADO</v>
      </c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85" t="str">
        <f aca="false">IF(AND(G468&lt;&gt;"",R468&lt;&gt;"",V468&lt;&gt;"",W468&lt;&gt;""),"COMPLETADO","OBSERVADO")</f>
        <v>OBSERVADO</v>
      </c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  <c r="Z469" s="185" t="str">
        <f aca="false">IF(AND(G469&lt;&gt;"",R469&lt;&gt;"",V469&lt;&gt;"",W469&lt;&gt;""),"COMPLETADO","OBSERVADO")</f>
        <v>OBSERVADO</v>
      </c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85" t="str">
        <f aca="false">IF(AND(G470&lt;&gt;"",R470&lt;&gt;"",V470&lt;&gt;"",W470&lt;&gt;""),"COMPLETADO","OBSERVADO")</f>
        <v>OBSERVADO</v>
      </c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  <c r="Z471" s="185" t="str">
        <f aca="false">IF(AND(G471&lt;&gt;"",R471&lt;&gt;"",V471&lt;&gt;"",W471&lt;&gt;""),"COMPLETADO","OBSERVADO")</f>
        <v>OBSERVADO</v>
      </c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85" t="str">
        <f aca="false">IF(AND(G472&lt;&gt;"",R472&lt;&gt;"",V472&lt;&gt;"",W472&lt;&gt;""),"COMPLETADO","OBSERVADO")</f>
        <v>OBSERVADO</v>
      </c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  <c r="Z473" s="185" t="str">
        <f aca="false">IF(AND(G473&lt;&gt;"",R473&lt;&gt;"",V473&lt;&gt;"",W473&lt;&gt;""),"COMPLETADO","OBSERVADO")</f>
        <v>OBSERVADO</v>
      </c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85" t="str">
        <f aca="false">IF(AND(G474&lt;&gt;"",R474&lt;&gt;"",V474&lt;&gt;"",W474&lt;&gt;""),"COMPLETADO","OBSERVADO")</f>
        <v>OBSERVADO</v>
      </c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  <c r="Z475" s="185" t="str">
        <f aca="false">IF(AND(G475&lt;&gt;"",R475&lt;&gt;"",V475&lt;&gt;"",W475&lt;&gt;""),"COMPLETADO","OBSERVADO")</f>
        <v>OBSERVADO</v>
      </c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85" t="str">
        <f aca="false">IF(AND(G476&lt;&gt;"",R476&lt;&gt;"",V476&lt;&gt;"",W476&lt;&gt;""),"COMPLETADO","OBSERVADO")</f>
        <v>OBSERVADO</v>
      </c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  <c r="Z477" s="185" t="str">
        <f aca="false">IF(AND(G477&lt;&gt;"",R477&lt;&gt;"",V477&lt;&gt;"",W477&lt;&gt;""),"COMPLETADO","OBSERVADO")</f>
        <v>OBSERVADO</v>
      </c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85" t="str">
        <f aca="false">IF(AND(G478&lt;&gt;"",R478&lt;&gt;"",V478&lt;&gt;"",W478&lt;&gt;""),"COMPLETADO","OBSERVADO")</f>
        <v>OBSERVADO</v>
      </c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  <c r="Z479" s="185" t="str">
        <f aca="false">IF(AND(G479&lt;&gt;"",R479&lt;&gt;"",V479&lt;&gt;"",W479&lt;&gt;""),"COMPLETADO","OBSERVADO")</f>
        <v>OBSERVADO</v>
      </c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85" t="str">
        <f aca="false">IF(AND(G480&lt;&gt;"",R480&lt;&gt;"",V480&lt;&gt;"",W480&lt;&gt;""),"COMPLETADO","OBSERVADO")</f>
        <v>OBSERVADO</v>
      </c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  <c r="Z481" s="185" t="str">
        <f aca="false">IF(AND(G481&lt;&gt;"",R481&lt;&gt;"",V481&lt;&gt;"",W481&lt;&gt;""),"COMPLETADO","OBSERVADO")</f>
        <v>OBSERVADO</v>
      </c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85" t="str">
        <f aca="false">IF(AND(G482&lt;&gt;"",R482&lt;&gt;"",V482&lt;&gt;"",W482&lt;&gt;""),"COMPLETADO","OBSERVADO")</f>
        <v>OBSERVADO</v>
      </c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  <c r="Z483" s="185" t="str">
        <f aca="false">IF(AND(G483&lt;&gt;"",R483&lt;&gt;"",V483&lt;&gt;"",W483&lt;&gt;""),"COMPLETADO","OBSERVADO")</f>
        <v>OBSERVADO</v>
      </c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85" t="str">
        <f aca="false">IF(AND(G484&lt;&gt;"",R484&lt;&gt;"",V484&lt;&gt;"",W484&lt;&gt;""),"COMPLETADO","OBSERVADO")</f>
        <v>OBSERVADO</v>
      </c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  <c r="Z485" s="185" t="str">
        <f aca="false">IF(AND(G485&lt;&gt;"",R485&lt;&gt;"",V485&lt;&gt;"",W485&lt;&gt;""),"COMPLETADO","OBSERVADO")</f>
        <v>OBSERVADO</v>
      </c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85" t="str">
        <f aca="false">IF(AND(G486&lt;&gt;"",R486&lt;&gt;"",V486&lt;&gt;"",W486&lt;&gt;""),"COMPLETADO","OBSERVADO")</f>
        <v>OBSERVADO</v>
      </c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  <c r="Z487" s="185" t="str">
        <f aca="false">IF(AND(G487&lt;&gt;"",R487&lt;&gt;"",V487&lt;&gt;"",W487&lt;&gt;""),"COMPLETADO","OBSERVADO")</f>
        <v>OBSERVADO</v>
      </c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85" t="str">
        <f aca="false">IF(AND(G488&lt;&gt;"",R488&lt;&gt;"",V488&lt;&gt;"",W488&lt;&gt;""),"COMPLETADO","OBSERVADO")</f>
        <v>OBSERVADO</v>
      </c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  <c r="Z489" s="185" t="str">
        <f aca="false">IF(AND(G489&lt;&gt;"",R489&lt;&gt;"",V489&lt;&gt;"",W489&lt;&gt;""),"COMPLETADO","OBSERVADO")</f>
        <v>OBSERVADO</v>
      </c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85" t="str">
        <f aca="false">IF(AND(G490&lt;&gt;"",R490&lt;&gt;"",V490&lt;&gt;"",W490&lt;&gt;""),"COMPLETADO","OBSERVADO")</f>
        <v>OBSERVADO</v>
      </c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  <c r="Z491" s="185" t="str">
        <f aca="false">IF(AND(G491&lt;&gt;"",R491&lt;&gt;"",V491&lt;&gt;"",W491&lt;&gt;""),"COMPLETADO","OBSERVADO")</f>
        <v>OBSERVADO</v>
      </c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85" t="str">
        <f aca="false">IF(AND(G492&lt;&gt;"",R492&lt;&gt;"",V492&lt;&gt;"",W492&lt;&gt;""),"COMPLETADO","OBSERVADO")</f>
        <v>OBSERVADO</v>
      </c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  <c r="Z493" s="185" t="str">
        <f aca="false">IF(AND(G493&lt;&gt;"",R493&lt;&gt;"",V493&lt;&gt;"",W493&lt;&gt;""),"COMPLETADO","OBSERVADO")</f>
        <v>OBSERVADO</v>
      </c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85" t="str">
        <f aca="false">IF(AND(G494&lt;&gt;"",R494&lt;&gt;"",V494&lt;&gt;"",W494&lt;&gt;""),"COMPLETADO","OBSERVADO")</f>
        <v>OBSERVADO</v>
      </c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  <c r="Z495" s="185" t="str">
        <f aca="false">IF(AND(G495&lt;&gt;"",R495&lt;&gt;"",V495&lt;&gt;"",W495&lt;&gt;""),"COMPLETADO","OBSERVADO")</f>
        <v>OBSERVADO</v>
      </c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85" t="str">
        <f aca="false">IF(AND(G496&lt;&gt;"",R496&lt;&gt;"",V496&lt;&gt;"",W496&lt;&gt;""),"COMPLETADO","OBSERVADO")</f>
        <v>OBSERVADO</v>
      </c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  <c r="Z497" s="185" t="str">
        <f aca="false">IF(AND(G497&lt;&gt;"",R497&lt;&gt;"",V497&lt;&gt;"",W497&lt;&gt;""),"COMPLETADO","OBSERVADO")</f>
        <v>OBSERVADO</v>
      </c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85" t="str">
        <f aca="false">IF(AND(G498&lt;&gt;"",R498&lt;&gt;"",V498&lt;&gt;"",W498&lt;&gt;""),"COMPLETADO","OBSERVADO")</f>
        <v>OBSERVADO</v>
      </c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  <c r="Z499" s="185" t="str">
        <f aca="false">IF(AND(G499&lt;&gt;"",R499&lt;&gt;"",V499&lt;&gt;"",W499&lt;&gt;""),"COMPLETADO","OBSERVADO")</f>
        <v>OBSERVADO</v>
      </c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85" t="str">
        <f aca="false">IF(AND(G500&lt;&gt;"",R500&lt;&gt;"",V500&lt;&gt;"",W500&lt;&gt;""),"COMPLETADO","OBSERVADO")</f>
        <v>OBSERVADO</v>
      </c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  <c r="Z501" s="185" t="str">
        <f aca="false">IF(AND(G501&lt;&gt;"",R501&lt;&gt;"",V501&lt;&gt;"",W501&lt;&gt;""),"COMPLETADO","OBSERVADO")</f>
        <v>OBSERVADO</v>
      </c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85" t="str">
        <f aca="false">IF(AND(G502&lt;&gt;"",R502&lt;&gt;"",V502&lt;&gt;"",W502&lt;&gt;""),"COMPLETADO","OBSERVADO")</f>
        <v>OBSERVADO</v>
      </c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  <c r="Z503" s="185" t="str">
        <f aca="false">IF(AND(G503&lt;&gt;"",R503&lt;&gt;"",V503&lt;&gt;"",W503&lt;&gt;""),"COMPLETADO","OBSERVADO")</f>
        <v>OBSERVADO</v>
      </c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85" t="str">
        <f aca="false">IF(AND(G504&lt;&gt;"",R504&lt;&gt;"",V504&lt;&gt;"",W504&lt;&gt;""),"COMPLETADO","OBSERVADO")</f>
        <v>OBSERVADO</v>
      </c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  <c r="Z505" s="185" t="str">
        <f aca="false">IF(AND(G505&lt;&gt;"",R505&lt;&gt;"",V505&lt;&gt;"",W505&lt;&gt;""),"COMPLETADO","OBSERVADO")</f>
        <v>OBSERVADO</v>
      </c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0</v>
      </c>
      <c r="N506" s="153" t="n">
        <f aca="false">SUM(N6:N505)</f>
        <v>0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8:J8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T6:T110">
    <cfRule type="expression" priority="9" aboveAverage="0" equalAverage="0" bottom="0" percent="0" rank="0" text="" dxfId="0">
      <formula>EXACT(T6,"APROBADO")</formula>
    </cfRule>
    <cfRule type="expression" priority="10" aboveAverage="0" equalAverage="0" bottom="0" percent="0" rank="0" text="" dxfId="7">
      <formula>EXACT(T6,"OBSERVADO")</formula>
    </cfRule>
  </conditionalFormatting>
  <conditionalFormatting sqref="Z6:Z110">
    <cfRule type="expression" priority="11" aboveAverage="0" equalAverage="0" bottom="0" percent="0" rank="0" text="" dxfId="0">
      <formula>EXACT(Z6,"COMPLETADO")</formula>
    </cfRule>
    <cfRule type="expression" priority="12" aboveAverage="0" equalAverage="0" bottom="0" percent="0" rank="0" text="" dxfId="7">
      <formula>EXACT(Z6,"OBSERVADO")</formula>
    </cfRule>
    <cfRule type="expression" priority="13" aboveAverage="0" equalAverage="0" bottom="0" percent="0" rank="0" text="" dxfId="0">
      <formula>Z6="ENTREGADO"</formula>
    </cfRule>
    <cfRule type="expression" priority="14" aboveAverage="0" equalAverage="0" bottom="0" percent="0" rank="0" text="" dxfId="7">
      <formula>Z6="POR RECOGER"</formula>
    </cfRule>
  </conditionalFormatting>
  <conditionalFormatting sqref="Y6:Y110">
    <cfRule type="expression" priority="15" aboveAverage="0" equalAverage="0" bottom="0" percent="0" rank="0" text="" dxfId="9">
      <formula>Y6&lt;&gt;""</formula>
    </cfRule>
  </conditionalFormatting>
  <dataValidations count="5"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7 E9:E505" type="list">
      <formula1>"DNI,CE,PASAPORTE"</formula1>
      <formula2>0</formula2>
    </dataValidation>
    <dataValidation allowBlank="true" errorStyle="stop" operator="between" showDropDown="false" showErrorMessage="false" showInputMessage="false" sqref="T6:T110" type="list">
      <formula1>"APROBADO,OBSERVADO"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111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30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71" t="s">
        <v>5157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2"/>
      <c r="AA1" s="89"/>
    </row>
    <row r="2" customFormat="false" ht="21.75" hidden="false" customHeight="true" outlineLevel="0" collapsed="false">
      <c r="A2" s="123" t="s">
        <v>724</v>
      </c>
      <c r="B2" s="123"/>
      <c r="C2" s="123"/>
      <c r="D2" s="173" t="n">
        <f aca="false">IFERROR(SUMPRODUCT((K6:K110="PETROLEO")*ISNUMBER(M6:M110)*M6:M110),0)</f>
        <v>0</v>
      </c>
      <c r="E2" s="173"/>
      <c r="F2" s="173"/>
      <c r="G2" s="123" t="s">
        <v>725</v>
      </c>
      <c r="H2" s="123"/>
      <c r="I2" s="123"/>
      <c r="J2" s="173" t="n">
        <f aca="false">IFERROR(SUMPRODUCT((K6:K110="GASOLINA")*ISNUMBER(M6:M110)*M6:M110),0)</f>
        <v>0</v>
      </c>
      <c r="K2" s="173"/>
      <c r="L2" s="173"/>
      <c r="M2" s="123" t="s">
        <v>726</v>
      </c>
      <c r="N2" s="123"/>
      <c r="O2" s="123"/>
      <c r="P2" s="174" t="n">
        <f aca="false">IFERROR(SUMPRODUCT(ISNUMBER(M6:M110)*L6:L110*M6:M110),0)</f>
        <v>0</v>
      </c>
      <c r="Q2" s="174"/>
      <c r="R2" s="174"/>
      <c r="S2" s="123" t="s">
        <v>727</v>
      </c>
      <c r="T2" s="123"/>
      <c r="U2" s="175" t="n">
        <f aca="false">SUBTOTAL(2,A6:A110)</f>
        <v>0</v>
      </c>
      <c r="V2" s="175"/>
      <c r="W2" s="176"/>
      <c r="X2" s="176"/>
      <c r="Y2" s="176"/>
      <c r="Z2" s="176"/>
      <c r="AA2" s="176"/>
      <c r="AB2" s="176"/>
      <c r="AC2" s="176"/>
    </row>
    <row r="3" customFormat="false" ht="3.75" hidden="false" customHeight="true" outlineLevel="0" collapsed="false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89"/>
    </row>
    <row r="4" customFormat="false" ht="19.5" hidden="false" customHeight="true" outlineLevel="0" collapsed="false">
      <c r="A4" s="177" t="s">
        <v>730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8"/>
      <c r="AA4" s="89"/>
    </row>
    <row r="5" customFormat="false" ht="31.5" hidden="false" customHeight="true" outlineLevel="0" collapsed="false">
      <c r="A5" s="179" t="s">
        <v>97</v>
      </c>
      <c r="B5" s="179" t="s">
        <v>731</v>
      </c>
      <c r="C5" s="179" t="s">
        <v>732</v>
      </c>
      <c r="D5" s="179" t="s">
        <v>319</v>
      </c>
      <c r="E5" s="179" t="s">
        <v>733</v>
      </c>
      <c r="F5" s="179" t="s">
        <v>734</v>
      </c>
      <c r="G5" s="179" t="s">
        <v>735</v>
      </c>
      <c r="H5" s="179" t="s">
        <v>736</v>
      </c>
      <c r="I5" s="180" t="s">
        <v>737</v>
      </c>
      <c r="J5" s="179" t="s">
        <v>738</v>
      </c>
      <c r="K5" s="180" t="s">
        <v>739</v>
      </c>
      <c r="L5" s="179" t="s">
        <v>740</v>
      </c>
      <c r="M5" s="179" t="s">
        <v>4</v>
      </c>
      <c r="N5" s="180" t="s">
        <v>741</v>
      </c>
      <c r="O5" s="179" t="s">
        <v>742</v>
      </c>
      <c r="P5" s="180" t="s">
        <v>4527</v>
      </c>
      <c r="Q5" s="180" t="s">
        <v>104</v>
      </c>
      <c r="R5" s="179" t="s">
        <v>743</v>
      </c>
      <c r="S5" s="179" t="s">
        <v>744</v>
      </c>
      <c r="T5" s="179" t="s">
        <v>745</v>
      </c>
      <c r="U5" s="179" t="s">
        <v>746</v>
      </c>
      <c r="V5" s="179" t="s">
        <v>747</v>
      </c>
      <c r="W5" s="179" t="s">
        <v>748</v>
      </c>
      <c r="X5" s="179" t="s">
        <v>749</v>
      </c>
      <c r="Y5" s="129" t="s">
        <v>729</v>
      </c>
      <c r="Z5" s="181" t="s">
        <v>4528</v>
      </c>
      <c r="AA5" s="89"/>
    </row>
    <row r="6" customFormat="false" ht="15.75" hidden="false" customHeight="true" outlineLevel="0" collapsed="false">
      <c r="A6" s="140"/>
      <c r="B6" s="140"/>
      <c r="C6" s="140"/>
      <c r="D6" s="140"/>
      <c r="E6" s="140"/>
      <c r="F6" s="140"/>
      <c r="G6" s="140"/>
      <c r="H6" s="140"/>
      <c r="I6" s="138" t="str">
        <f aca="false">IFERROR(VLOOKUP(TEXT(H6,"0"),IPRESS!$A$3:$B$212,2,0),"")</f>
        <v/>
      </c>
      <c r="J6" s="140"/>
      <c r="K6" s="138" t="str">
        <f aca="false">IFERROR(VLOOKUP(TEXT(O6,"0"),CONDUCTORES!$A$3:$G$54,7,0),"")</f>
        <v/>
      </c>
      <c r="L6" s="140"/>
      <c r="M6" s="140"/>
      <c r="N6" s="139" t="str">
        <f aca="false">IFERROR(IF(L6*M6=0,"",L6*M6),"")</f>
        <v/>
      </c>
      <c r="O6" s="140"/>
      <c r="P6" s="138" t="str">
        <f aca="false">IFERROR(VLOOKUP(TEXT(O6,"0"),CONDUCTORES!$A$3:$G$54,2,0),"")</f>
        <v/>
      </c>
      <c r="Q6" s="138" t="str">
        <f aca="false">IFERROR(VLOOKUP(TEXT(O6,"0"),CONDUCTORES!$A$3:$H$54,6,0),"")</f>
        <v/>
      </c>
      <c r="R6" s="140"/>
      <c r="S6" s="140"/>
      <c r="T6" s="140"/>
      <c r="U6" s="140"/>
      <c r="V6" s="140"/>
      <c r="W6" s="140"/>
      <c r="X6" s="140"/>
      <c r="Y6" s="140"/>
      <c r="Z6" s="47" t="str">
        <f aca="false">IF(AND(G6&lt;&gt;"",R6&lt;&gt;"",V6&lt;&gt;"",W6&lt;&gt;""),"COMPLETADO","OBSERVADO")</f>
        <v>OBSERVADO</v>
      </c>
      <c r="AA6" s="89"/>
    </row>
    <row r="7" customFormat="false" ht="15.75" hidden="false" customHeight="true" outlineLevel="0" collapsed="false">
      <c r="A7" s="85"/>
      <c r="B7" s="85"/>
      <c r="C7" s="85"/>
      <c r="D7" s="85"/>
      <c r="E7" s="85"/>
      <c r="F7" s="85"/>
      <c r="G7" s="85"/>
      <c r="H7" s="85"/>
      <c r="I7" s="138" t="str">
        <f aca="false">IFERROR(VLOOKUP(TEXT(H7,"0"),IPRESS!$A$3:$B$212,2,0),"")</f>
        <v/>
      </c>
      <c r="J7" s="85"/>
      <c r="K7" s="138" t="str">
        <f aca="false">IFERROR(VLOOKUP(TEXT(O7,"0"),CONDUCTORES!$A$3:$G$54,7,0),"")</f>
        <v/>
      </c>
      <c r="L7" s="85"/>
      <c r="M7" s="85"/>
      <c r="N7" s="139" t="str">
        <f aca="false">IFERROR(IF(L7*M7=0,"",L7*M7),"")</f>
        <v/>
      </c>
      <c r="O7" s="85"/>
      <c r="P7" s="138" t="str">
        <f aca="false">IFERROR(VLOOKUP(TEXT(O7,"0"),CONDUCTORES!$A$3:$G$54,2,0),"")</f>
        <v/>
      </c>
      <c r="Q7" s="138" t="str">
        <f aca="false">IFERROR(VLOOKUP(TEXT(O7,"0"),CONDUCTORES!$A$3:$H$54,6,0),"")</f>
        <v/>
      </c>
      <c r="R7" s="85"/>
      <c r="S7" s="85"/>
      <c r="T7" s="85"/>
      <c r="U7" s="85"/>
      <c r="V7" s="85"/>
      <c r="W7" s="85"/>
      <c r="X7" s="85"/>
      <c r="Y7" s="85"/>
      <c r="Z7" s="41" t="str">
        <f aca="false">IF(AND(G7&lt;&gt;"",R7&lt;&gt;"",V7&lt;&gt;"",W7&lt;&gt;""),"COMPLETADO","OBSERVADO")</f>
        <v>OBSERVADO</v>
      </c>
      <c r="AA7" s="89"/>
    </row>
    <row r="8" customFormat="false" ht="15.75" hidden="false" customHeight="true" outlineLevel="0" collapsed="false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38" t="str">
        <f aca="false">IFERROR(VLOOKUP(TEXT(O8,"0"),CONDUCTORES!$A$3:$G$54,7,0),"")</f>
        <v/>
      </c>
      <c r="L8" s="140"/>
      <c r="M8" s="183"/>
      <c r="N8" s="139" t="str">
        <f aca="false">IFERROR(IF(L8*M8=0,"",L8*M8),"")</f>
        <v/>
      </c>
      <c r="O8" s="140"/>
      <c r="P8" s="138" t="str">
        <f aca="false">IFERROR(VLOOKUP(TEXT(O8,"0"),CONDUCTORES!$A$3:$G$54,2,0),"")</f>
        <v/>
      </c>
      <c r="Q8" s="138" t="str">
        <f aca="false">IFERROR(VLOOKUP(TEXT(O8,"0"),CONDUCTORES!$A$3:$H$54,6,0),"")</f>
        <v/>
      </c>
      <c r="R8" s="140"/>
      <c r="S8" s="140"/>
      <c r="T8" s="140"/>
      <c r="U8" s="140"/>
      <c r="V8" s="140"/>
      <c r="W8" s="140"/>
      <c r="X8" s="140"/>
      <c r="Y8" s="140"/>
      <c r="Z8" s="47" t="str">
        <f aca="false">IF(AND(G8&lt;&gt;"",R8&lt;&gt;"",V8&lt;&gt;"",W8&lt;&gt;""),"COMPLETADO","OBSERVADO")</f>
        <v>OBSERVADO</v>
      </c>
      <c r="AA8" s="89"/>
    </row>
    <row r="9" customFormat="false" ht="15.75" hidden="false" customHeight="true" outlineLevel="0" collapsed="false">
      <c r="A9" s="85"/>
      <c r="B9" s="85"/>
      <c r="C9" s="85"/>
      <c r="D9" s="85"/>
      <c r="E9" s="85"/>
      <c r="F9" s="85"/>
      <c r="G9" s="85"/>
      <c r="H9" s="85"/>
      <c r="I9" s="138" t="str">
        <f aca="false">IFERROR(VLOOKUP(TEXT(H9,"0"),IPRESS!$A$3:$B$212,2,0),"")</f>
        <v/>
      </c>
      <c r="J9" s="85"/>
      <c r="K9" s="138" t="str">
        <f aca="false">IFERROR(VLOOKUP(TEXT(O9,"0"),CONDUCTORES!$A$3:$G$54,7,0),"")</f>
        <v/>
      </c>
      <c r="L9" s="85"/>
      <c r="M9" s="85"/>
      <c r="N9" s="139" t="str">
        <f aca="false">IFERROR(IF(L9*M9=0,"",L9*M9),"")</f>
        <v/>
      </c>
      <c r="O9" s="85"/>
      <c r="P9" s="138" t="str">
        <f aca="false">IFERROR(VLOOKUP(TEXT(O9,"0"),CONDUCTORES!$A$3:$G$54,2,0),"")</f>
        <v/>
      </c>
      <c r="Q9" s="138" t="str">
        <f aca="false">IFERROR(VLOOKUP(TEXT(O9,"0"),CONDUCTORES!$A$3:$H$54,6,0),"")</f>
        <v/>
      </c>
      <c r="R9" s="85"/>
      <c r="S9" s="85"/>
      <c r="T9" s="85"/>
      <c r="U9" s="85"/>
      <c r="V9" s="85"/>
      <c r="W9" s="85"/>
      <c r="X9" s="85"/>
      <c r="Y9" s="85"/>
      <c r="Z9" s="41" t="str">
        <f aca="false">IF(AND(G9&lt;&gt;"",R9&lt;&gt;"",V9&lt;&gt;"",W9&lt;&gt;""),"COMPLETADO","OBSERVADO")</f>
        <v>OBSERVADO</v>
      </c>
      <c r="AA9" s="89"/>
    </row>
    <row r="10" customFormat="false" ht="15.75" hidden="false" customHeight="true" outlineLevel="0" collapsed="false">
      <c r="A10" s="140"/>
      <c r="B10" s="140"/>
      <c r="C10" s="140"/>
      <c r="D10" s="140"/>
      <c r="E10" s="140"/>
      <c r="F10" s="140"/>
      <c r="G10" s="140"/>
      <c r="H10" s="140"/>
      <c r="I10" s="138" t="str">
        <f aca="false">IFERROR(VLOOKUP(TEXT(H10,"0"),IPRESS!$A$3:$B$212,2,0),"")</f>
        <v/>
      </c>
      <c r="J10" s="140"/>
      <c r="K10" s="138" t="str">
        <f aca="false">IFERROR(VLOOKUP(TEXT(O10,"0"),CONDUCTORES!$A$3:$G$54,7,0),"")</f>
        <v/>
      </c>
      <c r="L10" s="140"/>
      <c r="M10" s="140"/>
      <c r="N10" s="139" t="str">
        <f aca="false">IFERROR(IF(L10*M10=0,"",L10*M10),"")</f>
        <v/>
      </c>
      <c r="O10" s="140"/>
      <c r="P10" s="138" t="str">
        <f aca="false">IFERROR(VLOOKUP(TEXT(O10,"0"),CONDUCTORES!$A$3:$G$54,2,0),"")</f>
        <v/>
      </c>
      <c r="Q10" s="138" t="str">
        <f aca="false">IFERROR(VLOOKUP(TEXT(O10,"0"),CONDUCTORES!$A$3:$H$54,6,0),"")</f>
        <v/>
      </c>
      <c r="R10" s="140"/>
      <c r="S10" s="140"/>
      <c r="T10" s="140"/>
      <c r="U10" s="140"/>
      <c r="V10" s="140"/>
      <c r="W10" s="140"/>
      <c r="X10" s="140"/>
      <c r="Y10" s="140"/>
      <c r="Z10" s="47" t="str">
        <f aca="false">IF(AND(G10&lt;&gt;"",R10&lt;&gt;"",V10&lt;&gt;"",W10&lt;&gt;""),"COMPLETADO","OBSERVADO")</f>
        <v>OBSERVADO</v>
      </c>
      <c r="AA10" s="89"/>
    </row>
    <row r="11" customFormat="false" ht="15.75" hidden="false" customHeight="true" outlineLevel="0" collapsed="false">
      <c r="A11" s="85"/>
      <c r="B11" s="85"/>
      <c r="C11" s="85"/>
      <c r="D11" s="85"/>
      <c r="E11" s="85"/>
      <c r="F11" s="85"/>
      <c r="G11" s="85"/>
      <c r="H11" s="85"/>
      <c r="I11" s="138" t="str">
        <f aca="false">IFERROR(VLOOKUP(TEXT(H11,"0"),IPRESS!$A$3:$B$212,2,0),"")</f>
        <v/>
      </c>
      <c r="J11" s="85"/>
      <c r="K11" s="138" t="str">
        <f aca="false">IFERROR(VLOOKUP(TEXT(O11,"0"),CONDUCTORES!$A$3:$G$54,7,0),"")</f>
        <v/>
      </c>
      <c r="L11" s="85"/>
      <c r="M11" s="85"/>
      <c r="N11" s="139" t="str">
        <f aca="false">IFERROR(IF(L11*M11=0,"",L11*M11),"")</f>
        <v/>
      </c>
      <c r="O11" s="85"/>
      <c r="P11" s="138" t="str">
        <f aca="false">IFERROR(VLOOKUP(TEXT(O11,"0"),CONDUCTORES!$A$3:$G$54,2,0),"")</f>
        <v/>
      </c>
      <c r="Q11" s="138" t="str">
        <f aca="false">IFERROR(VLOOKUP(TEXT(O11,"0"),CONDUCTORES!$A$3:$H$54,6,0),"")</f>
        <v/>
      </c>
      <c r="R11" s="85"/>
      <c r="S11" s="85"/>
      <c r="T11" s="85"/>
      <c r="U11" s="85"/>
      <c r="V11" s="85"/>
      <c r="W11" s="85"/>
      <c r="X11" s="85"/>
      <c r="Y11" s="85"/>
      <c r="Z11" s="41" t="str">
        <f aca="false">IF(AND(G11&lt;&gt;"",R11&lt;&gt;"",V11&lt;&gt;"",W11&lt;&gt;""),"COMPLETADO","OBSERVADO")</f>
        <v>OBSERVADO</v>
      </c>
      <c r="AA11" s="89"/>
    </row>
    <row r="12" customFormat="false" ht="15.75" hidden="false" customHeight="true" outlineLevel="0" collapsed="false">
      <c r="A12" s="140"/>
      <c r="B12" s="140"/>
      <c r="C12" s="140"/>
      <c r="D12" s="140"/>
      <c r="E12" s="140"/>
      <c r="F12" s="140"/>
      <c r="G12" s="140"/>
      <c r="H12" s="140"/>
      <c r="I12" s="138" t="str">
        <f aca="false">IFERROR(VLOOKUP(TEXT(H12,"0"),IPRESS!$A$3:$B$212,2,0),"")</f>
        <v/>
      </c>
      <c r="J12" s="140"/>
      <c r="K12" s="138" t="str">
        <f aca="false">IFERROR(VLOOKUP(TEXT(O12,"0"),CONDUCTORES!$A$3:$G$54,7,0),"")</f>
        <v/>
      </c>
      <c r="L12" s="140"/>
      <c r="M12" s="140"/>
      <c r="N12" s="139" t="str">
        <f aca="false">IFERROR(IF(L12*M12=0,"",L12*M12),"")</f>
        <v/>
      </c>
      <c r="O12" s="140"/>
      <c r="P12" s="138" t="str">
        <f aca="false">IFERROR(VLOOKUP(TEXT(O12,"0"),CONDUCTORES!$A$3:$G$54,2,0),"")</f>
        <v/>
      </c>
      <c r="Q12" s="138" t="str">
        <f aca="false">IFERROR(VLOOKUP(TEXT(O12,"0"),CONDUCTORES!$A$3:$H$54,6,0),"")</f>
        <v/>
      </c>
      <c r="R12" s="140"/>
      <c r="S12" s="140"/>
      <c r="T12" s="140"/>
      <c r="U12" s="140"/>
      <c r="V12" s="140"/>
      <c r="W12" s="140"/>
      <c r="X12" s="140"/>
      <c r="Y12" s="140"/>
      <c r="Z12" s="47" t="str">
        <f aca="false">IF(AND(G12&lt;&gt;"",R12&lt;&gt;"",V12&lt;&gt;"",W12&lt;&gt;""),"COMPLETADO","OBSERVADO")</f>
        <v>OBSERVADO</v>
      </c>
      <c r="AA12" s="89"/>
    </row>
    <row r="13" customFormat="false" ht="15.75" hidden="false" customHeight="true" outlineLevel="0" collapsed="false">
      <c r="A13" s="85"/>
      <c r="B13" s="85"/>
      <c r="C13" s="85"/>
      <c r="D13" s="85"/>
      <c r="E13" s="85"/>
      <c r="F13" s="85"/>
      <c r="G13" s="85"/>
      <c r="H13" s="85"/>
      <c r="I13" s="138" t="str">
        <f aca="false">IFERROR(VLOOKUP(TEXT(H13,"0"),IPRESS!$A$3:$B$212,2,0),"")</f>
        <v/>
      </c>
      <c r="J13" s="85"/>
      <c r="K13" s="138" t="str">
        <f aca="false">IFERROR(VLOOKUP(TEXT(O13,"0"),CONDUCTORES!$A$3:$G$54,7,0),"")</f>
        <v/>
      </c>
      <c r="L13" s="85"/>
      <c r="M13" s="85"/>
      <c r="N13" s="139" t="str">
        <f aca="false">IFERROR(IF(L13*M13=0,"",L13*M13),"")</f>
        <v/>
      </c>
      <c r="O13" s="85"/>
      <c r="P13" s="138" t="str">
        <f aca="false">IFERROR(VLOOKUP(TEXT(O13,"0"),CONDUCTORES!$A$3:$G$54,2,0),"")</f>
        <v/>
      </c>
      <c r="Q13" s="138" t="str">
        <f aca="false">IFERROR(VLOOKUP(TEXT(O13,"0"),CONDUCTORES!$A$3:$H$54,6,0),"")</f>
        <v/>
      </c>
      <c r="R13" s="85"/>
      <c r="S13" s="85"/>
      <c r="T13" s="85"/>
      <c r="U13" s="85"/>
      <c r="V13" s="85"/>
      <c r="W13" s="85"/>
      <c r="X13" s="85"/>
      <c r="Y13" s="85"/>
      <c r="Z13" s="41" t="str">
        <f aca="false">IF(AND(G13&lt;&gt;"",R13&lt;&gt;"",V13&lt;&gt;"",W13&lt;&gt;""),"COMPLETADO","OBSERVADO")</f>
        <v>OBSERVADO</v>
      </c>
      <c r="AA13" s="89"/>
    </row>
    <row r="14" customFormat="false" ht="15.75" hidden="false" customHeight="true" outlineLevel="0" collapsed="false">
      <c r="A14" s="140"/>
      <c r="B14" s="140"/>
      <c r="C14" s="140"/>
      <c r="D14" s="140"/>
      <c r="E14" s="140"/>
      <c r="F14" s="140"/>
      <c r="G14" s="140"/>
      <c r="H14" s="140"/>
      <c r="I14" s="138" t="str">
        <f aca="false">IFERROR(VLOOKUP(TEXT(H14,"0"),IPRESS!$A$3:$B$212,2,0),"")</f>
        <v/>
      </c>
      <c r="J14" s="140"/>
      <c r="K14" s="138" t="str">
        <f aca="false">IFERROR(VLOOKUP(TEXT(O14,"0"),CONDUCTORES!$A$3:$G$54,7,0),"")</f>
        <v/>
      </c>
      <c r="L14" s="140"/>
      <c r="M14" s="140"/>
      <c r="N14" s="139" t="str">
        <f aca="false">IFERROR(IF(L14*M14=0,"",L14*M14),"")</f>
        <v/>
      </c>
      <c r="O14" s="140"/>
      <c r="P14" s="138" t="str">
        <f aca="false">IFERROR(VLOOKUP(TEXT(O14,"0"),CONDUCTORES!$A$3:$G$54,2,0),"")</f>
        <v/>
      </c>
      <c r="Q14" s="138" t="str">
        <f aca="false">IFERROR(VLOOKUP(TEXT(O14,"0"),CONDUCTORES!$A$3:$H$54,6,0),"")</f>
        <v/>
      </c>
      <c r="R14" s="140"/>
      <c r="S14" s="140"/>
      <c r="T14" s="140"/>
      <c r="U14" s="140"/>
      <c r="V14" s="140"/>
      <c r="W14" s="140"/>
      <c r="X14" s="140"/>
      <c r="Y14" s="140"/>
      <c r="Z14" s="47" t="str">
        <f aca="false">IF(AND(G14&lt;&gt;"",R14&lt;&gt;"",V14&lt;&gt;"",W14&lt;&gt;""),"COMPLETADO","OBSERVADO")</f>
        <v>OBSERVADO</v>
      </c>
      <c r="AA14" s="89"/>
    </row>
    <row r="15" customFormat="false" ht="15.75" hidden="false" customHeight="true" outlineLevel="0" collapsed="false">
      <c r="A15" s="85"/>
      <c r="B15" s="85"/>
      <c r="C15" s="85"/>
      <c r="D15" s="85"/>
      <c r="E15" s="85"/>
      <c r="F15" s="85"/>
      <c r="G15" s="85"/>
      <c r="H15" s="85"/>
      <c r="I15" s="138" t="str">
        <f aca="false">IFERROR(VLOOKUP(TEXT(H15,"0"),IPRESS!$A$3:$B$212,2,0),"")</f>
        <v/>
      </c>
      <c r="J15" s="85"/>
      <c r="K15" s="138" t="str">
        <f aca="false">IFERROR(VLOOKUP(TEXT(O15,"0"),CONDUCTORES!$A$3:$G$54,7,0),"")</f>
        <v/>
      </c>
      <c r="L15" s="85"/>
      <c r="M15" s="85"/>
      <c r="N15" s="139" t="str">
        <f aca="false">IFERROR(IF(L15*M15=0,"",L15*M15),"")</f>
        <v/>
      </c>
      <c r="O15" s="85"/>
      <c r="P15" s="138" t="str">
        <f aca="false">IFERROR(VLOOKUP(TEXT(O15,"0"),CONDUCTORES!$A$3:$G$54,2,0),"")</f>
        <v/>
      </c>
      <c r="Q15" s="138" t="str">
        <f aca="false">IFERROR(VLOOKUP(TEXT(O15,"0"),CONDUCTORES!$A$3:$H$54,6,0),"")</f>
        <v/>
      </c>
      <c r="R15" s="85"/>
      <c r="S15" s="85"/>
      <c r="T15" s="85"/>
      <c r="U15" s="85"/>
      <c r="V15" s="85"/>
      <c r="W15" s="85"/>
      <c r="X15" s="85"/>
      <c r="Y15" s="85"/>
      <c r="Z15" s="41" t="str">
        <f aca="false">IF(AND(G15&lt;&gt;"",R15&lt;&gt;"",V15&lt;&gt;"",W15&lt;&gt;""),"COMPLETADO","OBSERVADO")</f>
        <v>OBSERVADO</v>
      </c>
      <c r="AA15" s="89"/>
    </row>
    <row r="16" customFormat="false" ht="15.75" hidden="false" customHeight="true" outlineLevel="0" collapsed="false">
      <c r="A16" s="140"/>
      <c r="B16" s="140"/>
      <c r="C16" s="140"/>
      <c r="D16" s="140"/>
      <c r="E16" s="140"/>
      <c r="F16" s="140"/>
      <c r="G16" s="140"/>
      <c r="H16" s="140"/>
      <c r="I16" s="138" t="str">
        <f aca="false">IFERROR(VLOOKUP(TEXT(H16,"0"),IPRESS!$A$3:$B$212,2,0),"")</f>
        <v/>
      </c>
      <c r="J16" s="140"/>
      <c r="K16" s="138" t="str">
        <f aca="false">IFERROR(VLOOKUP(TEXT(O16,"0"),CONDUCTORES!$A$3:$G$54,7,0),"")</f>
        <v/>
      </c>
      <c r="L16" s="140"/>
      <c r="M16" s="140"/>
      <c r="N16" s="139" t="str">
        <f aca="false">IFERROR(IF(L16*M16=0,"",L16*M16),"")</f>
        <v/>
      </c>
      <c r="O16" s="140"/>
      <c r="P16" s="138" t="str">
        <f aca="false">IFERROR(VLOOKUP(TEXT(O16,"0"),CONDUCTORES!$A$3:$G$54,2,0),"")</f>
        <v/>
      </c>
      <c r="Q16" s="138" t="str">
        <f aca="false">IFERROR(VLOOKUP(TEXT(O16,"0"),CONDUCTORES!$A$3:$H$54,6,0),"")</f>
        <v/>
      </c>
      <c r="R16" s="140"/>
      <c r="S16" s="140"/>
      <c r="T16" s="140"/>
      <c r="U16" s="140"/>
      <c r="V16" s="140"/>
      <c r="W16" s="140"/>
      <c r="X16" s="140"/>
      <c r="Y16" s="140"/>
      <c r="Z16" s="47" t="str">
        <f aca="false">IF(AND(G16&lt;&gt;"",R16&lt;&gt;"",V16&lt;&gt;"",W16&lt;&gt;""),"COMPLETADO","OBSERVADO")</f>
        <v>OBSERVADO</v>
      </c>
      <c r="AA16" s="89"/>
    </row>
    <row r="17" customFormat="false" ht="15.75" hidden="false" customHeight="true" outlineLevel="0" collapsed="false">
      <c r="A17" s="85"/>
      <c r="B17" s="85"/>
      <c r="C17" s="85"/>
      <c r="D17" s="85"/>
      <c r="E17" s="85"/>
      <c r="F17" s="85"/>
      <c r="G17" s="85"/>
      <c r="H17" s="85"/>
      <c r="I17" s="138" t="str">
        <f aca="false">IFERROR(VLOOKUP(TEXT(H17,"0"),IPRESS!$A$3:$B$212,2,0),"")</f>
        <v/>
      </c>
      <c r="J17" s="85"/>
      <c r="K17" s="138" t="str">
        <f aca="false">IFERROR(VLOOKUP(TEXT(O17,"0"),CONDUCTORES!$A$3:$G$54,7,0),"")</f>
        <v/>
      </c>
      <c r="L17" s="85"/>
      <c r="M17" s="85"/>
      <c r="N17" s="139" t="str">
        <f aca="false">IFERROR(IF(L17*M17=0,"",L17*M17),"")</f>
        <v/>
      </c>
      <c r="O17" s="85"/>
      <c r="P17" s="138" t="str">
        <f aca="false">IFERROR(VLOOKUP(TEXT(O17,"0"),CONDUCTORES!$A$3:$G$54,2,0),"")</f>
        <v/>
      </c>
      <c r="Q17" s="138" t="str">
        <f aca="false">IFERROR(VLOOKUP(TEXT(O17,"0"),CONDUCTORES!$A$3:$H$54,6,0),"")</f>
        <v/>
      </c>
      <c r="R17" s="85"/>
      <c r="S17" s="85"/>
      <c r="T17" s="85"/>
      <c r="U17" s="85"/>
      <c r="V17" s="85"/>
      <c r="W17" s="85"/>
      <c r="X17" s="85"/>
      <c r="Y17" s="85"/>
      <c r="Z17" s="41" t="str">
        <f aca="false">IF(AND(G17&lt;&gt;"",R17&lt;&gt;"",V17&lt;&gt;"",W17&lt;&gt;""),"COMPLETADO","OBSERVADO")</f>
        <v>OBSERVADO</v>
      </c>
      <c r="AA17" s="89"/>
    </row>
    <row r="18" customFormat="false" ht="15.75" hidden="false" customHeight="true" outlineLevel="0" collapsed="false">
      <c r="A18" s="140"/>
      <c r="B18" s="140"/>
      <c r="C18" s="140"/>
      <c r="D18" s="140"/>
      <c r="E18" s="140"/>
      <c r="F18" s="140"/>
      <c r="G18" s="140"/>
      <c r="H18" s="140"/>
      <c r="I18" s="138" t="str">
        <f aca="false">IFERROR(VLOOKUP(TEXT(H18,"0"),IPRESS!$A$3:$B$212,2,0),"")</f>
        <v/>
      </c>
      <c r="J18" s="140"/>
      <c r="K18" s="138" t="str">
        <f aca="false">IFERROR(VLOOKUP(TEXT(O18,"0"),CONDUCTORES!$A$3:$G$54,7,0),"")</f>
        <v/>
      </c>
      <c r="L18" s="140"/>
      <c r="M18" s="140"/>
      <c r="N18" s="139" t="str">
        <f aca="false">IFERROR(IF(L18*M18=0,"",L18*M18),"")</f>
        <v/>
      </c>
      <c r="O18" s="140"/>
      <c r="P18" s="138" t="str">
        <f aca="false">IFERROR(VLOOKUP(TEXT(O18,"0"),CONDUCTORES!$A$3:$G$54,2,0),"")</f>
        <v/>
      </c>
      <c r="Q18" s="138" t="str">
        <f aca="false">IFERROR(VLOOKUP(TEXT(O18,"0"),CONDUCTORES!$A$3:$H$54,6,0),"")</f>
        <v/>
      </c>
      <c r="R18" s="140"/>
      <c r="S18" s="140"/>
      <c r="T18" s="140"/>
      <c r="U18" s="140"/>
      <c r="V18" s="140"/>
      <c r="W18" s="140"/>
      <c r="X18" s="140"/>
      <c r="Y18" s="140"/>
      <c r="Z18" s="47" t="str">
        <f aca="false">IF(AND(G18&lt;&gt;"",R18&lt;&gt;"",V18&lt;&gt;"",W18&lt;&gt;""),"COMPLETADO","OBSERVADO")</f>
        <v>OBSERVADO</v>
      </c>
      <c r="AA18" s="89"/>
    </row>
    <row r="19" customFormat="false" ht="15.75" hidden="false" customHeight="true" outlineLevel="0" collapsed="false">
      <c r="A19" s="85"/>
      <c r="B19" s="85"/>
      <c r="C19" s="85"/>
      <c r="D19" s="85"/>
      <c r="E19" s="85"/>
      <c r="F19" s="85"/>
      <c r="G19" s="85"/>
      <c r="H19" s="85"/>
      <c r="I19" s="138" t="str">
        <f aca="false">IFERROR(VLOOKUP(TEXT(H19,"0"),IPRESS!$A$3:$B$212,2,0),"")</f>
        <v/>
      </c>
      <c r="J19" s="85"/>
      <c r="K19" s="138" t="str">
        <f aca="false">IFERROR(VLOOKUP(TEXT(O19,"0"),CONDUCTORES!$A$3:$G$54,7,0),"")</f>
        <v/>
      </c>
      <c r="L19" s="85"/>
      <c r="M19" s="85"/>
      <c r="N19" s="139" t="str">
        <f aca="false">IFERROR(IF(L19*M19=0,"",L19*M19),"")</f>
        <v/>
      </c>
      <c r="O19" s="85"/>
      <c r="P19" s="138" t="str">
        <f aca="false">IFERROR(VLOOKUP(TEXT(O19,"0"),CONDUCTORES!$A$3:$G$54,2,0),"")</f>
        <v/>
      </c>
      <c r="Q19" s="138" t="str">
        <f aca="false">IFERROR(VLOOKUP(TEXT(O19,"0"),CONDUCTORES!$A$3:$H$54,6,0),"")</f>
        <v/>
      </c>
      <c r="R19" s="85"/>
      <c r="S19" s="85"/>
      <c r="T19" s="85"/>
      <c r="U19" s="85"/>
      <c r="V19" s="85"/>
      <c r="W19" s="85"/>
      <c r="X19" s="85"/>
      <c r="Y19" s="85"/>
      <c r="Z19" s="41" t="str">
        <f aca="false">IF(AND(G19&lt;&gt;"",R19&lt;&gt;"",V19&lt;&gt;"",W19&lt;&gt;""),"COMPLETADO","OBSERVADO")</f>
        <v>OBSERVADO</v>
      </c>
      <c r="AA19" s="89"/>
    </row>
    <row r="20" customFormat="false" ht="15.75" hidden="false" customHeight="true" outlineLevel="0" collapsed="false">
      <c r="A20" s="140"/>
      <c r="B20" s="140"/>
      <c r="C20" s="140"/>
      <c r="D20" s="140"/>
      <c r="E20" s="140"/>
      <c r="F20" s="140"/>
      <c r="G20" s="140"/>
      <c r="H20" s="140"/>
      <c r="I20" s="138" t="str">
        <f aca="false">IFERROR(VLOOKUP(TEXT(H20,"0"),IPRESS!$A$3:$B$212,2,0),"")</f>
        <v/>
      </c>
      <c r="J20" s="140"/>
      <c r="K20" s="138" t="str">
        <f aca="false">IFERROR(VLOOKUP(TEXT(O20,"0"),CONDUCTORES!$A$3:$G$54,7,0),"")</f>
        <v/>
      </c>
      <c r="L20" s="140"/>
      <c r="M20" s="140"/>
      <c r="N20" s="139" t="str">
        <f aca="false">IFERROR(IF(L20*M20=0,"",L20*M20),"")</f>
        <v/>
      </c>
      <c r="O20" s="140"/>
      <c r="P20" s="138" t="str">
        <f aca="false">IFERROR(VLOOKUP(TEXT(O20,"0"),CONDUCTORES!$A$3:$G$54,2,0),"")</f>
        <v/>
      </c>
      <c r="Q20" s="138" t="str">
        <f aca="false">IFERROR(VLOOKUP(TEXT(O20,"0"),CONDUCTORES!$A$3:$H$54,6,0),"")</f>
        <v/>
      </c>
      <c r="R20" s="140"/>
      <c r="S20" s="140"/>
      <c r="T20" s="140"/>
      <c r="U20" s="140"/>
      <c r="V20" s="140"/>
      <c r="W20" s="140"/>
      <c r="X20" s="140"/>
      <c r="Y20" s="140"/>
      <c r="Z20" s="47" t="str">
        <f aca="false">IF(AND(G20&lt;&gt;"",R20&lt;&gt;"",V20&lt;&gt;"",W20&lt;&gt;""),"COMPLETADO","OBSERVADO")</f>
        <v>OBSERVADO</v>
      </c>
      <c r="AA20" s="89"/>
    </row>
    <row r="21" customFormat="false" ht="15.75" hidden="false" customHeight="true" outlineLevel="0" collapsed="false">
      <c r="A21" s="85"/>
      <c r="B21" s="85"/>
      <c r="C21" s="85"/>
      <c r="D21" s="85"/>
      <c r="E21" s="85"/>
      <c r="F21" s="85"/>
      <c r="G21" s="85"/>
      <c r="H21" s="85"/>
      <c r="I21" s="138" t="str">
        <f aca="false">IFERROR(VLOOKUP(TEXT(H21,"0"),IPRESS!$A$3:$B$212,2,0),"")</f>
        <v/>
      </c>
      <c r="J21" s="85"/>
      <c r="K21" s="138" t="str">
        <f aca="false">IFERROR(VLOOKUP(TEXT(O21,"0"),CONDUCTORES!$A$3:$G$54,7,0),"")</f>
        <v/>
      </c>
      <c r="L21" s="85"/>
      <c r="M21" s="85"/>
      <c r="N21" s="139" t="str">
        <f aca="false">IFERROR(IF(L21*M21=0,"",L21*M21),"")</f>
        <v/>
      </c>
      <c r="O21" s="85"/>
      <c r="P21" s="138" t="str">
        <f aca="false">IFERROR(VLOOKUP(TEXT(O21,"0"),CONDUCTORES!$A$3:$G$54,2,0),"")</f>
        <v/>
      </c>
      <c r="Q21" s="138" t="str">
        <f aca="false">IFERROR(VLOOKUP(TEXT(O21,"0"),CONDUCTORES!$A$3:$H$54,6,0),"")</f>
        <v/>
      </c>
      <c r="R21" s="85"/>
      <c r="S21" s="85"/>
      <c r="T21" s="85"/>
      <c r="U21" s="85"/>
      <c r="V21" s="85"/>
      <c r="W21" s="85"/>
      <c r="X21" s="85"/>
      <c r="Y21" s="85"/>
      <c r="Z21" s="41" t="str">
        <f aca="false">IF(AND(G21&lt;&gt;"",R21&lt;&gt;"",V21&lt;&gt;"",W21&lt;&gt;""),"COMPLETADO","OBSERVADO")</f>
        <v>OBSERVADO</v>
      </c>
      <c r="AA21" s="89"/>
    </row>
    <row r="22" customFormat="false" ht="15.75" hidden="false" customHeight="true" outlineLevel="0" collapsed="false">
      <c r="A22" s="140"/>
      <c r="B22" s="140"/>
      <c r="C22" s="140"/>
      <c r="D22" s="140"/>
      <c r="E22" s="140"/>
      <c r="F22" s="140"/>
      <c r="G22" s="140"/>
      <c r="H22" s="140"/>
      <c r="I22" s="138" t="str">
        <f aca="false">IFERROR(VLOOKUP(TEXT(H22,"0"),IPRESS!$A$3:$B$212,2,0),"")</f>
        <v/>
      </c>
      <c r="J22" s="140"/>
      <c r="K22" s="138" t="str">
        <f aca="false">IFERROR(VLOOKUP(TEXT(O22,"0"),CONDUCTORES!$A$3:$G$54,7,0),"")</f>
        <v/>
      </c>
      <c r="L22" s="140"/>
      <c r="M22" s="140"/>
      <c r="N22" s="139" t="str">
        <f aca="false">IFERROR(IF(L22*M22=0,"",L22*M22),"")</f>
        <v/>
      </c>
      <c r="O22" s="140"/>
      <c r="P22" s="138" t="str">
        <f aca="false">IFERROR(VLOOKUP(TEXT(O22,"0"),CONDUCTORES!$A$3:$G$54,2,0),"")</f>
        <v/>
      </c>
      <c r="Q22" s="138" t="str">
        <f aca="false">IFERROR(VLOOKUP(TEXT(O22,"0"),CONDUCTORES!$A$3:$H$54,6,0),"")</f>
        <v/>
      </c>
      <c r="R22" s="140"/>
      <c r="S22" s="140"/>
      <c r="T22" s="140"/>
      <c r="U22" s="140"/>
      <c r="V22" s="140"/>
      <c r="W22" s="140"/>
      <c r="X22" s="140"/>
      <c r="Y22" s="140"/>
      <c r="Z22" s="47" t="str">
        <f aca="false">IF(AND(G22&lt;&gt;"",R22&lt;&gt;"",V22&lt;&gt;"",W22&lt;&gt;""),"COMPLETADO","OBSERVADO")</f>
        <v>OBSERVADO</v>
      </c>
      <c r="AA22" s="89"/>
    </row>
    <row r="23" customFormat="false" ht="15.75" hidden="false" customHeight="true" outlineLevel="0" collapsed="false">
      <c r="A23" s="85"/>
      <c r="B23" s="85"/>
      <c r="C23" s="85"/>
      <c r="D23" s="85"/>
      <c r="E23" s="85"/>
      <c r="F23" s="85"/>
      <c r="G23" s="85"/>
      <c r="H23" s="85"/>
      <c r="I23" s="138" t="str">
        <f aca="false">IFERROR(VLOOKUP(TEXT(H23,"0"),IPRESS!$A$3:$B$212,2,0),"")</f>
        <v/>
      </c>
      <c r="J23" s="85"/>
      <c r="K23" s="138" t="str">
        <f aca="false">IFERROR(VLOOKUP(TEXT(O23,"0"),CONDUCTORES!$A$3:$G$54,7,0),"")</f>
        <v/>
      </c>
      <c r="L23" s="85"/>
      <c r="M23" s="85"/>
      <c r="N23" s="139" t="str">
        <f aca="false">IFERROR(IF(L23*M23=0,"",L23*M23),"")</f>
        <v/>
      </c>
      <c r="O23" s="85"/>
      <c r="P23" s="138" t="str">
        <f aca="false">IFERROR(VLOOKUP(TEXT(O23,"0"),CONDUCTORES!$A$3:$G$54,2,0),"")</f>
        <v/>
      </c>
      <c r="Q23" s="138" t="str">
        <f aca="false">IFERROR(VLOOKUP(TEXT(O23,"0"),CONDUCTORES!$A$3:$H$54,6,0),"")</f>
        <v/>
      </c>
      <c r="R23" s="85"/>
      <c r="S23" s="85"/>
      <c r="T23" s="85"/>
      <c r="U23" s="85"/>
      <c r="V23" s="85"/>
      <c r="W23" s="85"/>
      <c r="X23" s="85"/>
      <c r="Y23" s="85"/>
      <c r="Z23" s="41" t="str">
        <f aca="false">IF(AND(G23&lt;&gt;"",R23&lt;&gt;"",V23&lt;&gt;"",W23&lt;&gt;""),"COMPLETADO","OBSERVADO")</f>
        <v>OBSERVADO</v>
      </c>
      <c r="AA23" s="89"/>
    </row>
    <row r="24" customFormat="false" ht="15.75" hidden="false" customHeight="true" outlineLevel="0" collapsed="false">
      <c r="A24" s="140"/>
      <c r="B24" s="140"/>
      <c r="C24" s="140"/>
      <c r="D24" s="140"/>
      <c r="E24" s="140"/>
      <c r="F24" s="140"/>
      <c r="G24" s="140"/>
      <c r="H24" s="140"/>
      <c r="I24" s="138" t="str">
        <f aca="false">IFERROR(VLOOKUP(TEXT(H24,"0"),IPRESS!$A$3:$B$212,2,0),"")</f>
        <v/>
      </c>
      <c r="J24" s="140"/>
      <c r="K24" s="138" t="str">
        <f aca="false">IFERROR(VLOOKUP(TEXT(O24,"0"),CONDUCTORES!$A$3:$G$54,7,0),"")</f>
        <v/>
      </c>
      <c r="L24" s="140"/>
      <c r="M24" s="140"/>
      <c r="N24" s="139" t="str">
        <f aca="false">IFERROR(IF(L24*M24=0,"",L24*M24),"")</f>
        <v/>
      </c>
      <c r="O24" s="140"/>
      <c r="P24" s="138" t="str">
        <f aca="false">IFERROR(VLOOKUP(TEXT(O24,"0"),CONDUCTORES!$A$3:$G$54,2,0),"")</f>
        <v/>
      </c>
      <c r="Q24" s="138" t="str">
        <f aca="false">IFERROR(VLOOKUP(TEXT(O24,"0"),CONDUCTORES!$A$3:$H$54,6,0),"")</f>
        <v/>
      </c>
      <c r="R24" s="140"/>
      <c r="S24" s="140"/>
      <c r="T24" s="140"/>
      <c r="U24" s="140"/>
      <c r="V24" s="140"/>
      <c r="W24" s="140"/>
      <c r="X24" s="140"/>
      <c r="Y24" s="140"/>
      <c r="Z24" s="47" t="str">
        <f aca="false">IF(AND(G24&lt;&gt;"",R24&lt;&gt;"",V24&lt;&gt;"",W24&lt;&gt;""),"COMPLETADO","OBSERVADO")</f>
        <v>OBSERVADO</v>
      </c>
      <c r="AA24" s="89"/>
    </row>
    <row r="25" customFormat="false" ht="15.75" hidden="false" customHeight="true" outlineLevel="0" collapsed="false">
      <c r="A25" s="85"/>
      <c r="B25" s="85"/>
      <c r="C25" s="85"/>
      <c r="D25" s="85"/>
      <c r="E25" s="85"/>
      <c r="F25" s="85"/>
      <c r="G25" s="85"/>
      <c r="H25" s="85"/>
      <c r="I25" s="138" t="str">
        <f aca="false">IFERROR(VLOOKUP(TEXT(H25,"0"),IPRESS!$A$3:$B$212,2,0),"")</f>
        <v/>
      </c>
      <c r="J25" s="85"/>
      <c r="K25" s="138" t="str">
        <f aca="false">IFERROR(VLOOKUP(TEXT(O25,"0"),CONDUCTORES!$A$3:$G$54,7,0),"")</f>
        <v/>
      </c>
      <c r="L25" s="85"/>
      <c r="M25" s="85"/>
      <c r="N25" s="139" t="str">
        <f aca="false">IFERROR(IF(L25*M25=0,"",L25*M25),"")</f>
        <v/>
      </c>
      <c r="O25" s="85"/>
      <c r="P25" s="138" t="str">
        <f aca="false">IFERROR(VLOOKUP(TEXT(O25,"0"),CONDUCTORES!$A$3:$G$54,2,0),"")</f>
        <v/>
      </c>
      <c r="Q25" s="138" t="str">
        <f aca="false">IFERROR(VLOOKUP(TEXT(O25,"0"),CONDUCTORES!$A$3:$H$54,6,0),"")</f>
        <v/>
      </c>
      <c r="R25" s="85"/>
      <c r="S25" s="85"/>
      <c r="T25" s="85"/>
      <c r="U25" s="85"/>
      <c r="V25" s="85"/>
      <c r="W25" s="85"/>
      <c r="X25" s="85"/>
      <c r="Y25" s="85"/>
      <c r="Z25" s="41" t="str">
        <f aca="false">IF(AND(G25&lt;&gt;"",R25&lt;&gt;"",V25&lt;&gt;"",W25&lt;&gt;""),"COMPLETADO","OBSERVADO")</f>
        <v>OBSERVADO</v>
      </c>
      <c r="AA25" s="89"/>
    </row>
    <row r="26" customFormat="false" ht="15.75" hidden="false" customHeight="true" outlineLevel="0" collapsed="false">
      <c r="A26" s="140"/>
      <c r="B26" s="140"/>
      <c r="C26" s="140"/>
      <c r="D26" s="140"/>
      <c r="E26" s="140"/>
      <c r="F26" s="140"/>
      <c r="G26" s="140"/>
      <c r="H26" s="140"/>
      <c r="I26" s="138" t="str">
        <f aca="false">IFERROR(VLOOKUP(TEXT(H26,"0"),IPRESS!$A$3:$B$212,2,0),"")</f>
        <v/>
      </c>
      <c r="J26" s="140"/>
      <c r="K26" s="138" t="str">
        <f aca="false">IFERROR(VLOOKUP(TEXT(O26,"0"),CONDUCTORES!$A$3:$G$54,7,0),"")</f>
        <v/>
      </c>
      <c r="L26" s="140"/>
      <c r="M26" s="140"/>
      <c r="N26" s="139" t="str">
        <f aca="false">IFERROR(IF(L26*M26=0,"",L26*M26),"")</f>
        <v/>
      </c>
      <c r="O26" s="140"/>
      <c r="P26" s="138" t="str">
        <f aca="false">IFERROR(VLOOKUP(TEXT(O26,"0"),CONDUCTORES!$A$3:$G$54,2,0),"")</f>
        <v/>
      </c>
      <c r="Q26" s="138" t="str">
        <f aca="false">IFERROR(VLOOKUP(TEXT(O26,"0"),CONDUCTORES!$A$3:$H$54,6,0),"")</f>
        <v/>
      </c>
      <c r="R26" s="140"/>
      <c r="S26" s="140"/>
      <c r="T26" s="140"/>
      <c r="U26" s="140"/>
      <c r="V26" s="140"/>
      <c r="W26" s="140"/>
      <c r="X26" s="140"/>
      <c r="Y26" s="140"/>
      <c r="Z26" s="47" t="str">
        <f aca="false">IF(AND(G26&lt;&gt;"",R26&lt;&gt;"",V26&lt;&gt;"",W26&lt;&gt;""),"COMPLETADO","OBSERVADO")</f>
        <v>OBSERVADO</v>
      </c>
      <c r="AA26" s="89"/>
    </row>
    <row r="27" customFormat="false" ht="15.75" hidden="false" customHeight="true" outlineLevel="0" collapsed="false">
      <c r="A27" s="85"/>
      <c r="B27" s="85"/>
      <c r="C27" s="85"/>
      <c r="D27" s="85"/>
      <c r="E27" s="85"/>
      <c r="F27" s="85"/>
      <c r="G27" s="85"/>
      <c r="H27" s="85"/>
      <c r="I27" s="138" t="str">
        <f aca="false">IFERROR(VLOOKUP(TEXT(H27,"0"),IPRESS!$A$3:$B$212,2,0),"")</f>
        <v/>
      </c>
      <c r="J27" s="85"/>
      <c r="K27" s="138" t="str">
        <f aca="false">IFERROR(VLOOKUP(TEXT(O27,"0"),CONDUCTORES!$A$3:$G$54,7,0),"")</f>
        <v/>
      </c>
      <c r="L27" s="85"/>
      <c r="M27" s="85"/>
      <c r="N27" s="139" t="str">
        <f aca="false">IFERROR(IF(L27*M27=0,"",L27*M27),"")</f>
        <v/>
      </c>
      <c r="O27" s="85"/>
      <c r="P27" s="138" t="str">
        <f aca="false">IFERROR(VLOOKUP(TEXT(O27,"0"),CONDUCTORES!$A$3:$G$54,2,0),"")</f>
        <v/>
      </c>
      <c r="Q27" s="138" t="str">
        <f aca="false">IFERROR(VLOOKUP(TEXT(O27,"0"),CONDUCTORES!$A$3:$H$54,6,0),"")</f>
        <v/>
      </c>
      <c r="R27" s="85"/>
      <c r="S27" s="85"/>
      <c r="T27" s="85"/>
      <c r="U27" s="85"/>
      <c r="V27" s="85"/>
      <c r="W27" s="85"/>
      <c r="X27" s="85"/>
      <c r="Y27" s="85"/>
      <c r="Z27" s="41" t="str">
        <f aca="false">IF(AND(G27&lt;&gt;"",R27&lt;&gt;"",V27&lt;&gt;"",W27&lt;&gt;""),"COMPLETADO","OBSERVADO")</f>
        <v>OBSERVADO</v>
      </c>
      <c r="AA27" s="89"/>
    </row>
    <row r="28" customFormat="false" ht="15.75" hidden="false" customHeight="true" outlineLevel="0" collapsed="false">
      <c r="A28" s="140"/>
      <c r="B28" s="140"/>
      <c r="C28" s="140"/>
      <c r="D28" s="140"/>
      <c r="E28" s="140"/>
      <c r="F28" s="140"/>
      <c r="G28" s="140"/>
      <c r="H28" s="140"/>
      <c r="I28" s="138" t="str">
        <f aca="false">IFERROR(VLOOKUP(TEXT(H28,"0"),IPRESS!$A$3:$B$212,2,0),"")</f>
        <v/>
      </c>
      <c r="J28" s="140"/>
      <c r="K28" s="138" t="str">
        <f aca="false">IFERROR(VLOOKUP(TEXT(O28,"0"),CONDUCTORES!$A$3:$G$54,7,0),"")</f>
        <v/>
      </c>
      <c r="L28" s="140"/>
      <c r="M28" s="140"/>
      <c r="N28" s="139" t="str">
        <f aca="false">IFERROR(IF(L28*M28=0,"",L28*M28),"")</f>
        <v/>
      </c>
      <c r="O28" s="140"/>
      <c r="P28" s="138" t="str">
        <f aca="false">IFERROR(VLOOKUP(TEXT(O28,"0"),CONDUCTORES!$A$3:$G$54,2,0),"")</f>
        <v/>
      </c>
      <c r="Q28" s="138" t="str">
        <f aca="false">IFERROR(VLOOKUP(TEXT(O28,"0"),CONDUCTORES!$A$3:$H$54,6,0),"")</f>
        <v/>
      </c>
      <c r="R28" s="140"/>
      <c r="S28" s="140"/>
      <c r="T28" s="140"/>
      <c r="U28" s="140"/>
      <c r="V28" s="140"/>
      <c r="W28" s="140"/>
      <c r="X28" s="140"/>
      <c r="Y28" s="140"/>
      <c r="Z28" s="47" t="str">
        <f aca="false">IF(AND(G28&lt;&gt;"",R28&lt;&gt;"",V28&lt;&gt;"",W28&lt;&gt;""),"COMPLETADO","OBSERVADO")</f>
        <v>OBSERVADO</v>
      </c>
      <c r="AA28" s="89"/>
    </row>
    <row r="29" customFormat="false" ht="15.75" hidden="false" customHeight="true" outlineLevel="0" collapsed="false">
      <c r="A29" s="85"/>
      <c r="B29" s="85"/>
      <c r="C29" s="85"/>
      <c r="D29" s="85"/>
      <c r="E29" s="85"/>
      <c r="F29" s="85"/>
      <c r="G29" s="85"/>
      <c r="H29" s="85"/>
      <c r="I29" s="138" t="str">
        <f aca="false">IFERROR(VLOOKUP(TEXT(H29,"0"),IPRESS!$A$3:$B$212,2,0),"")</f>
        <v/>
      </c>
      <c r="J29" s="85"/>
      <c r="K29" s="138" t="str">
        <f aca="false">IFERROR(VLOOKUP(TEXT(O29,"0"),CONDUCTORES!$A$3:$G$54,7,0),"")</f>
        <v/>
      </c>
      <c r="L29" s="85"/>
      <c r="M29" s="85"/>
      <c r="N29" s="139" t="str">
        <f aca="false">IFERROR(IF(L29*M29=0,"",L29*M29),"")</f>
        <v/>
      </c>
      <c r="O29" s="85"/>
      <c r="P29" s="138" t="str">
        <f aca="false">IFERROR(VLOOKUP(TEXT(O29,"0"),CONDUCTORES!$A$3:$G$54,2,0),"")</f>
        <v/>
      </c>
      <c r="Q29" s="138" t="str">
        <f aca="false">IFERROR(VLOOKUP(TEXT(O29,"0"),CONDUCTORES!$A$3:$H$54,6,0),"")</f>
        <v/>
      </c>
      <c r="R29" s="85"/>
      <c r="S29" s="85"/>
      <c r="T29" s="85"/>
      <c r="U29" s="85"/>
      <c r="V29" s="85"/>
      <c r="W29" s="85"/>
      <c r="X29" s="85"/>
      <c r="Y29" s="85"/>
      <c r="Z29" s="41" t="str">
        <f aca="false">IF(AND(G29&lt;&gt;"",R29&lt;&gt;"",V29&lt;&gt;"",W29&lt;&gt;""),"COMPLETADO","OBSERVADO")</f>
        <v>OBSERVADO</v>
      </c>
      <c r="AA29" s="89"/>
    </row>
    <row r="30" customFormat="false" ht="15.75" hidden="false" customHeight="true" outlineLevel="0" collapsed="false">
      <c r="A30" s="140"/>
      <c r="B30" s="140"/>
      <c r="C30" s="140"/>
      <c r="D30" s="140"/>
      <c r="E30" s="140"/>
      <c r="F30" s="140"/>
      <c r="G30" s="140"/>
      <c r="H30" s="140"/>
      <c r="I30" s="138" t="str">
        <f aca="false">IFERROR(VLOOKUP(TEXT(H30,"0"),IPRESS!$A$3:$B$212,2,0),"")</f>
        <v/>
      </c>
      <c r="J30" s="140"/>
      <c r="K30" s="138" t="str">
        <f aca="false">IFERROR(VLOOKUP(TEXT(O30,"0"),CONDUCTORES!$A$3:$G$54,7,0),"")</f>
        <v/>
      </c>
      <c r="L30" s="140"/>
      <c r="M30" s="140"/>
      <c r="N30" s="139" t="str">
        <f aca="false">IFERROR(IF(L30*M30=0,"",L30*M30),"")</f>
        <v/>
      </c>
      <c r="O30" s="140"/>
      <c r="P30" s="138" t="str">
        <f aca="false">IFERROR(VLOOKUP(TEXT(O30,"0"),CONDUCTORES!$A$3:$G$54,2,0),"")</f>
        <v/>
      </c>
      <c r="Q30" s="138" t="str">
        <f aca="false">IFERROR(VLOOKUP(TEXT(O30,"0"),CONDUCTORES!$A$3:$H$54,6,0),"")</f>
        <v/>
      </c>
      <c r="R30" s="140"/>
      <c r="S30" s="140"/>
      <c r="T30" s="140"/>
      <c r="U30" s="140"/>
      <c r="V30" s="140"/>
      <c r="W30" s="140"/>
      <c r="X30" s="140"/>
      <c r="Y30" s="140"/>
      <c r="Z30" s="47" t="str">
        <f aca="false">IF(AND(G30&lt;&gt;"",R30&lt;&gt;"",V30&lt;&gt;"",W30&lt;&gt;""),"COMPLETADO","OBSERVADO")</f>
        <v>OBSERVADO</v>
      </c>
      <c r="AA30" s="89"/>
    </row>
    <row r="31" customFormat="false" ht="15.75" hidden="false" customHeight="true" outlineLevel="0" collapsed="false">
      <c r="A31" s="85"/>
      <c r="B31" s="85"/>
      <c r="C31" s="85"/>
      <c r="D31" s="85"/>
      <c r="E31" s="85"/>
      <c r="F31" s="85"/>
      <c r="G31" s="85"/>
      <c r="H31" s="85"/>
      <c r="I31" s="138" t="str">
        <f aca="false">IFERROR(VLOOKUP(TEXT(H31,"0"),IPRESS!$A$3:$B$212,2,0),"")</f>
        <v/>
      </c>
      <c r="J31" s="85"/>
      <c r="K31" s="138" t="str">
        <f aca="false">IFERROR(VLOOKUP(TEXT(O31,"0"),CONDUCTORES!$A$3:$G$54,7,0),"")</f>
        <v/>
      </c>
      <c r="L31" s="85"/>
      <c r="M31" s="85"/>
      <c r="N31" s="139" t="str">
        <f aca="false">IFERROR(IF(L31*M31=0,"",L31*M31),"")</f>
        <v/>
      </c>
      <c r="O31" s="85"/>
      <c r="P31" s="138" t="str">
        <f aca="false">IFERROR(VLOOKUP(TEXT(O31,"0"),CONDUCTORES!$A$3:$G$54,2,0),"")</f>
        <v/>
      </c>
      <c r="Q31" s="138" t="str">
        <f aca="false">IFERROR(VLOOKUP(TEXT(O31,"0"),CONDUCTORES!$A$3:$H$54,6,0),"")</f>
        <v/>
      </c>
      <c r="R31" s="85"/>
      <c r="S31" s="85"/>
      <c r="T31" s="85"/>
      <c r="U31" s="85"/>
      <c r="V31" s="85"/>
      <c r="W31" s="85"/>
      <c r="X31" s="85"/>
      <c r="Y31" s="85"/>
      <c r="Z31" s="41" t="str">
        <f aca="false">IF(AND(G31&lt;&gt;"",R31&lt;&gt;"",V31&lt;&gt;"",W31&lt;&gt;""),"COMPLETADO","OBSERVADO")</f>
        <v>OBSERVADO</v>
      </c>
      <c r="AA31" s="89"/>
    </row>
    <row r="32" customFormat="false" ht="15.75" hidden="false" customHeight="true" outlineLevel="0" collapsed="false">
      <c r="A32" s="140"/>
      <c r="B32" s="140"/>
      <c r="C32" s="140"/>
      <c r="D32" s="140"/>
      <c r="E32" s="140"/>
      <c r="F32" s="140"/>
      <c r="G32" s="140"/>
      <c r="H32" s="140"/>
      <c r="I32" s="138" t="str">
        <f aca="false">IFERROR(VLOOKUP(TEXT(H32,"0"),IPRESS!$A$3:$B$212,2,0),"")</f>
        <v/>
      </c>
      <c r="J32" s="140"/>
      <c r="K32" s="138" t="str">
        <f aca="false">IFERROR(VLOOKUP(TEXT(O32,"0"),CONDUCTORES!$A$3:$G$54,7,0),"")</f>
        <v/>
      </c>
      <c r="L32" s="140"/>
      <c r="M32" s="140"/>
      <c r="N32" s="139" t="str">
        <f aca="false">IFERROR(IF(L32*M32=0,"",L32*M32),"")</f>
        <v/>
      </c>
      <c r="O32" s="140"/>
      <c r="P32" s="138" t="str">
        <f aca="false">IFERROR(VLOOKUP(TEXT(O32,"0"),CONDUCTORES!$A$3:$G$54,2,0),"")</f>
        <v/>
      </c>
      <c r="Q32" s="138" t="str">
        <f aca="false">IFERROR(VLOOKUP(TEXT(O32,"0"),CONDUCTORES!$A$3:$H$54,6,0),"")</f>
        <v/>
      </c>
      <c r="R32" s="140"/>
      <c r="S32" s="140"/>
      <c r="T32" s="140"/>
      <c r="U32" s="140"/>
      <c r="V32" s="140"/>
      <c r="W32" s="140"/>
      <c r="X32" s="140"/>
      <c r="Y32" s="140"/>
      <c r="Z32" s="47" t="str">
        <f aca="false">IF(AND(G32&lt;&gt;"",R32&lt;&gt;"",V32&lt;&gt;"",W32&lt;&gt;""),"COMPLETADO","OBSERVADO")</f>
        <v>OBSERVADO</v>
      </c>
      <c r="AA32" s="89"/>
    </row>
    <row r="33" customFormat="false" ht="15.75" hidden="false" customHeight="true" outlineLevel="0" collapsed="false">
      <c r="A33" s="85"/>
      <c r="B33" s="85"/>
      <c r="C33" s="85"/>
      <c r="D33" s="85"/>
      <c r="E33" s="85"/>
      <c r="F33" s="85"/>
      <c r="G33" s="85"/>
      <c r="H33" s="85"/>
      <c r="I33" s="138" t="str">
        <f aca="false">IFERROR(VLOOKUP(TEXT(H33,"0"),IPRESS!$A$3:$B$212,2,0),"")</f>
        <v/>
      </c>
      <c r="J33" s="85"/>
      <c r="K33" s="138" t="str">
        <f aca="false">IFERROR(VLOOKUP(TEXT(O33,"0"),CONDUCTORES!$A$3:$G$54,7,0),"")</f>
        <v/>
      </c>
      <c r="L33" s="85"/>
      <c r="M33" s="85"/>
      <c r="N33" s="139" t="str">
        <f aca="false">IFERROR(IF(L33*M33=0,"",L33*M33),"")</f>
        <v/>
      </c>
      <c r="O33" s="85"/>
      <c r="P33" s="138" t="str">
        <f aca="false">IFERROR(VLOOKUP(TEXT(O33,"0"),CONDUCTORES!$A$3:$G$54,2,0),"")</f>
        <v/>
      </c>
      <c r="Q33" s="138" t="str">
        <f aca="false">IFERROR(VLOOKUP(TEXT(O33,"0"),CONDUCTORES!$A$3:$H$54,6,0),"")</f>
        <v/>
      </c>
      <c r="R33" s="85"/>
      <c r="S33" s="85"/>
      <c r="T33" s="85"/>
      <c r="U33" s="85"/>
      <c r="V33" s="85"/>
      <c r="W33" s="85"/>
      <c r="X33" s="85"/>
      <c r="Y33" s="85"/>
      <c r="Z33" s="41" t="str">
        <f aca="false">IF(AND(G33&lt;&gt;"",R33&lt;&gt;"",V33&lt;&gt;"",W33&lt;&gt;""),"COMPLETADO","OBSERVADO")</f>
        <v>OBSERVADO</v>
      </c>
      <c r="AA33" s="89"/>
    </row>
    <row r="34" customFormat="false" ht="15.75" hidden="false" customHeight="true" outlineLevel="0" collapsed="false">
      <c r="A34" s="140"/>
      <c r="B34" s="140"/>
      <c r="C34" s="140"/>
      <c r="D34" s="140"/>
      <c r="E34" s="140"/>
      <c r="F34" s="140"/>
      <c r="G34" s="140"/>
      <c r="H34" s="140"/>
      <c r="I34" s="138" t="str">
        <f aca="false">IFERROR(VLOOKUP(TEXT(H34,"0"),IPRESS!$A$3:$B$212,2,0),"")</f>
        <v/>
      </c>
      <c r="J34" s="140"/>
      <c r="K34" s="138" t="str">
        <f aca="false">IFERROR(VLOOKUP(TEXT(O34,"0"),CONDUCTORES!$A$3:$G$54,7,0),"")</f>
        <v/>
      </c>
      <c r="L34" s="140"/>
      <c r="M34" s="140"/>
      <c r="N34" s="139" t="str">
        <f aca="false">IFERROR(IF(L34*M34=0,"",L34*M34),"")</f>
        <v/>
      </c>
      <c r="O34" s="140"/>
      <c r="P34" s="138" t="str">
        <f aca="false">IFERROR(VLOOKUP(TEXT(O34,"0"),CONDUCTORES!$A$3:$G$54,2,0),"")</f>
        <v/>
      </c>
      <c r="Q34" s="138" t="str">
        <f aca="false">IFERROR(VLOOKUP(TEXT(O34,"0"),CONDUCTORES!$A$3:$H$54,6,0),"")</f>
        <v/>
      </c>
      <c r="R34" s="140"/>
      <c r="S34" s="140"/>
      <c r="T34" s="140"/>
      <c r="U34" s="140"/>
      <c r="V34" s="140"/>
      <c r="W34" s="140"/>
      <c r="X34" s="140"/>
      <c r="Y34" s="140"/>
      <c r="Z34" s="47" t="str">
        <f aca="false">IF(AND(G34&lt;&gt;"",R34&lt;&gt;"",V34&lt;&gt;"",W34&lt;&gt;""),"COMPLETADO","OBSERVADO")</f>
        <v>OBSERVADO</v>
      </c>
      <c r="AA34" s="89"/>
    </row>
    <row r="35" customFormat="false" ht="15.75" hidden="false" customHeight="true" outlineLevel="0" collapsed="false">
      <c r="A35" s="85"/>
      <c r="B35" s="85"/>
      <c r="C35" s="85"/>
      <c r="D35" s="85"/>
      <c r="E35" s="85"/>
      <c r="F35" s="85"/>
      <c r="G35" s="85"/>
      <c r="H35" s="85"/>
      <c r="I35" s="138" t="str">
        <f aca="false">IFERROR(VLOOKUP(TEXT(H35,"0"),IPRESS!$A$3:$B$212,2,0),"")</f>
        <v/>
      </c>
      <c r="J35" s="85"/>
      <c r="K35" s="138" t="str">
        <f aca="false">IFERROR(VLOOKUP(TEXT(O35,"0"),CONDUCTORES!$A$3:$G$54,7,0),"")</f>
        <v/>
      </c>
      <c r="L35" s="85"/>
      <c r="M35" s="85"/>
      <c r="N35" s="139" t="str">
        <f aca="false">IFERROR(IF(L35*M35=0,"",L35*M35),"")</f>
        <v/>
      </c>
      <c r="O35" s="85"/>
      <c r="P35" s="138" t="str">
        <f aca="false">IFERROR(VLOOKUP(TEXT(O35,"0"),CONDUCTORES!$A$3:$G$54,2,0),"")</f>
        <v/>
      </c>
      <c r="Q35" s="138" t="str">
        <f aca="false">IFERROR(VLOOKUP(TEXT(O35,"0"),CONDUCTORES!$A$3:$H$54,6,0),"")</f>
        <v/>
      </c>
      <c r="R35" s="85"/>
      <c r="S35" s="85"/>
      <c r="T35" s="85"/>
      <c r="U35" s="85"/>
      <c r="V35" s="85"/>
      <c r="W35" s="85"/>
      <c r="X35" s="85"/>
      <c r="Y35" s="85"/>
      <c r="Z35" s="41" t="str">
        <f aca="false">IF(AND(G35&lt;&gt;"",R35&lt;&gt;"",V35&lt;&gt;"",W35&lt;&gt;""),"COMPLETADO","OBSERVADO")</f>
        <v>OBSERVADO</v>
      </c>
      <c r="AA35" s="89"/>
    </row>
    <row r="36" customFormat="false" ht="15.75" hidden="false" customHeight="true" outlineLevel="0" collapsed="false">
      <c r="A36" s="140"/>
      <c r="B36" s="140"/>
      <c r="C36" s="140"/>
      <c r="D36" s="140"/>
      <c r="E36" s="140"/>
      <c r="F36" s="140"/>
      <c r="G36" s="140"/>
      <c r="H36" s="140"/>
      <c r="I36" s="138" t="str">
        <f aca="false">IFERROR(VLOOKUP(TEXT(H36,"0"),IPRESS!$A$3:$B$212,2,0),"")</f>
        <v/>
      </c>
      <c r="J36" s="140"/>
      <c r="K36" s="138" t="str">
        <f aca="false">IFERROR(VLOOKUP(TEXT(O36,"0"),CONDUCTORES!$A$3:$G$54,7,0),"")</f>
        <v/>
      </c>
      <c r="L36" s="140"/>
      <c r="M36" s="140"/>
      <c r="N36" s="139" t="str">
        <f aca="false">IFERROR(IF(L36*M36=0,"",L36*M36),"")</f>
        <v/>
      </c>
      <c r="O36" s="140"/>
      <c r="P36" s="138" t="str">
        <f aca="false">IFERROR(VLOOKUP(TEXT(O36,"0"),CONDUCTORES!$A$3:$G$54,2,0),"")</f>
        <v/>
      </c>
      <c r="Q36" s="138" t="str">
        <f aca="false">IFERROR(VLOOKUP(TEXT(O36,"0"),CONDUCTORES!$A$3:$H$54,6,0),"")</f>
        <v/>
      </c>
      <c r="R36" s="140"/>
      <c r="S36" s="140"/>
      <c r="T36" s="140"/>
      <c r="U36" s="140"/>
      <c r="V36" s="140"/>
      <c r="W36" s="140"/>
      <c r="X36" s="140"/>
      <c r="Y36" s="140"/>
      <c r="Z36" s="47" t="str">
        <f aca="false">IF(AND(G36&lt;&gt;"",R36&lt;&gt;"",V36&lt;&gt;"",W36&lt;&gt;""),"COMPLETADO","OBSERVADO")</f>
        <v>OBSERVADO</v>
      </c>
      <c r="AA36" s="89"/>
    </row>
    <row r="37" customFormat="false" ht="15.75" hidden="false" customHeight="true" outlineLevel="0" collapsed="false">
      <c r="A37" s="85"/>
      <c r="B37" s="85"/>
      <c r="C37" s="85"/>
      <c r="D37" s="85"/>
      <c r="E37" s="85"/>
      <c r="F37" s="85"/>
      <c r="G37" s="85"/>
      <c r="H37" s="85"/>
      <c r="I37" s="138" t="str">
        <f aca="false">IFERROR(VLOOKUP(TEXT(H37,"0"),IPRESS!$A$3:$B$212,2,0),"")</f>
        <v/>
      </c>
      <c r="J37" s="85"/>
      <c r="K37" s="138" t="str">
        <f aca="false">IFERROR(VLOOKUP(TEXT(O37,"0"),CONDUCTORES!$A$3:$G$54,7,0),"")</f>
        <v/>
      </c>
      <c r="L37" s="85"/>
      <c r="M37" s="85"/>
      <c r="N37" s="139" t="str">
        <f aca="false">IFERROR(IF(L37*M37=0,"",L37*M37),"")</f>
        <v/>
      </c>
      <c r="O37" s="85"/>
      <c r="P37" s="138" t="str">
        <f aca="false">IFERROR(VLOOKUP(TEXT(O37,"0"),CONDUCTORES!$A$3:$G$54,2,0),"")</f>
        <v/>
      </c>
      <c r="Q37" s="138" t="str">
        <f aca="false">IFERROR(VLOOKUP(TEXT(O37,"0"),CONDUCTORES!$A$3:$H$54,6,0),"")</f>
        <v/>
      </c>
      <c r="R37" s="85"/>
      <c r="S37" s="85"/>
      <c r="T37" s="85"/>
      <c r="U37" s="85"/>
      <c r="V37" s="85"/>
      <c r="W37" s="85"/>
      <c r="X37" s="85"/>
      <c r="Y37" s="85"/>
      <c r="Z37" s="41" t="str">
        <f aca="false">IF(AND(G37&lt;&gt;"",R37&lt;&gt;"",V37&lt;&gt;"",W37&lt;&gt;""),"COMPLETADO","OBSERVADO")</f>
        <v>OBSERVADO</v>
      </c>
      <c r="AA37" s="89"/>
    </row>
    <row r="38" customFormat="false" ht="15.75" hidden="false" customHeight="true" outlineLevel="0" collapsed="false">
      <c r="A38" s="140"/>
      <c r="B38" s="140"/>
      <c r="C38" s="140"/>
      <c r="D38" s="140"/>
      <c r="E38" s="140"/>
      <c r="F38" s="140"/>
      <c r="G38" s="140"/>
      <c r="H38" s="140"/>
      <c r="I38" s="138" t="str">
        <f aca="false">IFERROR(VLOOKUP(TEXT(H38,"0"),IPRESS!$A$3:$B$212,2,0),"")</f>
        <v/>
      </c>
      <c r="J38" s="140"/>
      <c r="K38" s="138" t="str">
        <f aca="false">IFERROR(VLOOKUP(TEXT(O38,"0"),CONDUCTORES!$A$3:$G$54,7,0),"")</f>
        <v/>
      </c>
      <c r="L38" s="140"/>
      <c r="M38" s="140"/>
      <c r="N38" s="139" t="str">
        <f aca="false">IFERROR(IF(L38*M38=0,"",L38*M38),"")</f>
        <v/>
      </c>
      <c r="O38" s="140"/>
      <c r="P38" s="138" t="str">
        <f aca="false">IFERROR(VLOOKUP(TEXT(O38,"0"),CONDUCTORES!$A$3:$G$54,2,0),"")</f>
        <v/>
      </c>
      <c r="Q38" s="138" t="str">
        <f aca="false">IFERROR(VLOOKUP(TEXT(O38,"0"),CONDUCTORES!$A$3:$H$54,6,0),"")</f>
        <v/>
      </c>
      <c r="R38" s="140"/>
      <c r="S38" s="140"/>
      <c r="T38" s="140"/>
      <c r="U38" s="140"/>
      <c r="V38" s="140"/>
      <c r="W38" s="140"/>
      <c r="X38" s="140"/>
      <c r="Y38" s="140"/>
      <c r="Z38" s="47" t="str">
        <f aca="false">IF(AND(G38&lt;&gt;"",R38&lt;&gt;"",V38&lt;&gt;"",W38&lt;&gt;""),"COMPLETADO","OBSERVADO")</f>
        <v>OBSERVADO</v>
      </c>
      <c r="AA38" s="89"/>
    </row>
    <row r="39" customFormat="false" ht="15.75" hidden="false" customHeight="true" outlineLevel="0" collapsed="false">
      <c r="A39" s="85"/>
      <c r="B39" s="85"/>
      <c r="C39" s="85"/>
      <c r="D39" s="85"/>
      <c r="E39" s="85"/>
      <c r="F39" s="85"/>
      <c r="G39" s="85"/>
      <c r="H39" s="85"/>
      <c r="I39" s="138" t="str">
        <f aca="false">IFERROR(VLOOKUP(TEXT(H39,"0"),IPRESS!$A$3:$B$212,2,0),"")</f>
        <v/>
      </c>
      <c r="J39" s="85"/>
      <c r="K39" s="138" t="str">
        <f aca="false">IFERROR(VLOOKUP(TEXT(O39,"0"),CONDUCTORES!$A$3:$G$54,7,0),"")</f>
        <v/>
      </c>
      <c r="L39" s="85"/>
      <c r="M39" s="85"/>
      <c r="N39" s="139" t="str">
        <f aca="false">IFERROR(IF(L39*M39=0,"",L39*M39),"")</f>
        <v/>
      </c>
      <c r="O39" s="85"/>
      <c r="P39" s="138" t="str">
        <f aca="false">IFERROR(VLOOKUP(TEXT(O39,"0"),CONDUCTORES!$A$3:$G$54,2,0),"")</f>
        <v/>
      </c>
      <c r="Q39" s="138" t="str">
        <f aca="false">IFERROR(VLOOKUP(TEXT(O39,"0"),CONDUCTORES!$A$3:$H$54,6,0),"")</f>
        <v/>
      </c>
      <c r="R39" s="85"/>
      <c r="S39" s="85"/>
      <c r="T39" s="85"/>
      <c r="U39" s="85"/>
      <c r="V39" s="85"/>
      <c r="W39" s="85"/>
      <c r="X39" s="85"/>
      <c r="Y39" s="85"/>
      <c r="Z39" s="41" t="str">
        <f aca="false">IF(AND(G39&lt;&gt;"",R39&lt;&gt;"",V39&lt;&gt;"",W39&lt;&gt;""),"COMPLETADO","OBSERVADO")</f>
        <v>OBSERVADO</v>
      </c>
      <c r="AA39" s="89"/>
    </row>
    <row r="40" customFormat="false" ht="15.75" hidden="false" customHeight="true" outlineLevel="0" collapsed="false">
      <c r="A40" s="140"/>
      <c r="B40" s="140"/>
      <c r="C40" s="140"/>
      <c r="D40" s="140"/>
      <c r="E40" s="140"/>
      <c r="F40" s="140"/>
      <c r="G40" s="140"/>
      <c r="H40" s="140"/>
      <c r="I40" s="138" t="str">
        <f aca="false">IFERROR(VLOOKUP(TEXT(H40,"0"),IPRESS!$A$3:$B$212,2,0),"")</f>
        <v/>
      </c>
      <c r="J40" s="140"/>
      <c r="K40" s="138" t="str">
        <f aca="false">IFERROR(VLOOKUP(TEXT(O40,"0"),CONDUCTORES!$A$3:$G$54,7,0),"")</f>
        <v/>
      </c>
      <c r="L40" s="140"/>
      <c r="M40" s="140"/>
      <c r="N40" s="139" t="str">
        <f aca="false">IFERROR(IF(L40*M40=0,"",L40*M40),"")</f>
        <v/>
      </c>
      <c r="O40" s="140"/>
      <c r="P40" s="138" t="str">
        <f aca="false">IFERROR(VLOOKUP(TEXT(O40,"0"),CONDUCTORES!$A$3:$G$54,2,0),"")</f>
        <v/>
      </c>
      <c r="Q40" s="138" t="str">
        <f aca="false">IFERROR(VLOOKUP(TEXT(O40,"0"),CONDUCTORES!$A$3:$H$54,6,0),"")</f>
        <v/>
      </c>
      <c r="R40" s="140"/>
      <c r="S40" s="140"/>
      <c r="T40" s="140"/>
      <c r="U40" s="140"/>
      <c r="V40" s="140"/>
      <c r="W40" s="140"/>
      <c r="X40" s="140"/>
      <c r="Y40" s="140"/>
      <c r="Z40" s="47" t="str">
        <f aca="false">IF(AND(G40&lt;&gt;"",R40&lt;&gt;"",V40&lt;&gt;"",W40&lt;&gt;""),"COMPLETADO","OBSERVADO")</f>
        <v>OBSERVADO</v>
      </c>
      <c r="AA40" s="89"/>
    </row>
    <row r="41" customFormat="false" ht="15.75" hidden="false" customHeight="true" outlineLevel="0" collapsed="false">
      <c r="A41" s="85"/>
      <c r="B41" s="85"/>
      <c r="C41" s="85"/>
      <c r="D41" s="85"/>
      <c r="E41" s="85"/>
      <c r="F41" s="85"/>
      <c r="G41" s="85"/>
      <c r="H41" s="85"/>
      <c r="I41" s="138" t="str">
        <f aca="false">IFERROR(VLOOKUP(TEXT(H41,"0"),IPRESS!$A$3:$B$212,2,0),"")</f>
        <v/>
      </c>
      <c r="J41" s="85"/>
      <c r="K41" s="138" t="str">
        <f aca="false">IFERROR(VLOOKUP(TEXT(O41,"0"),CONDUCTORES!$A$3:$G$54,7,0),"")</f>
        <v/>
      </c>
      <c r="L41" s="85"/>
      <c r="M41" s="85"/>
      <c r="N41" s="139" t="str">
        <f aca="false">IFERROR(IF(L41*M41=0,"",L41*M41),"")</f>
        <v/>
      </c>
      <c r="O41" s="85"/>
      <c r="P41" s="138" t="str">
        <f aca="false">IFERROR(VLOOKUP(TEXT(O41,"0"),CONDUCTORES!$A$3:$G$54,2,0),"")</f>
        <v/>
      </c>
      <c r="Q41" s="138" t="str">
        <f aca="false">IFERROR(VLOOKUP(TEXT(O41,"0"),CONDUCTORES!$A$3:$H$54,6,0),"")</f>
        <v/>
      </c>
      <c r="R41" s="85"/>
      <c r="S41" s="85"/>
      <c r="T41" s="85"/>
      <c r="U41" s="85"/>
      <c r="V41" s="85"/>
      <c r="W41" s="85"/>
      <c r="X41" s="85"/>
      <c r="Y41" s="85"/>
      <c r="Z41" s="41" t="str">
        <f aca="false">IF(AND(G41&lt;&gt;"",R41&lt;&gt;"",V41&lt;&gt;"",W41&lt;&gt;""),"COMPLETADO","OBSERVADO")</f>
        <v>OBSERVADO</v>
      </c>
      <c r="AA41" s="89"/>
    </row>
    <row r="42" customFormat="false" ht="15.75" hidden="false" customHeight="true" outlineLevel="0" collapsed="false">
      <c r="A42" s="140"/>
      <c r="B42" s="140"/>
      <c r="C42" s="140"/>
      <c r="D42" s="140"/>
      <c r="E42" s="140"/>
      <c r="F42" s="140"/>
      <c r="G42" s="140"/>
      <c r="H42" s="140"/>
      <c r="I42" s="138" t="str">
        <f aca="false">IFERROR(VLOOKUP(TEXT(H42,"0"),IPRESS!$A$3:$B$212,2,0),"")</f>
        <v/>
      </c>
      <c r="J42" s="140"/>
      <c r="K42" s="138" t="str">
        <f aca="false">IFERROR(VLOOKUP(TEXT(O42,"0"),CONDUCTORES!$A$3:$G$54,7,0),"")</f>
        <v/>
      </c>
      <c r="L42" s="140"/>
      <c r="M42" s="140"/>
      <c r="N42" s="139" t="str">
        <f aca="false">IFERROR(IF(L42*M42=0,"",L42*M42),"")</f>
        <v/>
      </c>
      <c r="O42" s="140"/>
      <c r="P42" s="138" t="str">
        <f aca="false">IFERROR(VLOOKUP(TEXT(O42,"0"),CONDUCTORES!$A$3:$G$54,2,0),"")</f>
        <v/>
      </c>
      <c r="Q42" s="138" t="str">
        <f aca="false">IFERROR(VLOOKUP(TEXT(O42,"0"),CONDUCTORES!$A$3:$H$54,6,0),"")</f>
        <v/>
      </c>
      <c r="R42" s="140"/>
      <c r="S42" s="140"/>
      <c r="T42" s="140"/>
      <c r="U42" s="140"/>
      <c r="V42" s="140"/>
      <c r="W42" s="140"/>
      <c r="X42" s="140"/>
      <c r="Y42" s="140"/>
      <c r="Z42" s="47" t="str">
        <f aca="false">IF(AND(G42&lt;&gt;"",R42&lt;&gt;"",V42&lt;&gt;"",W42&lt;&gt;""),"COMPLETADO","OBSERVADO")</f>
        <v>OBSERVADO</v>
      </c>
      <c r="AA42" s="89"/>
    </row>
    <row r="43" customFormat="false" ht="15.75" hidden="false" customHeight="true" outlineLevel="0" collapsed="false">
      <c r="A43" s="85"/>
      <c r="B43" s="85"/>
      <c r="C43" s="85"/>
      <c r="D43" s="85"/>
      <c r="E43" s="85"/>
      <c r="F43" s="85"/>
      <c r="G43" s="85"/>
      <c r="H43" s="85"/>
      <c r="I43" s="138" t="str">
        <f aca="false">IFERROR(VLOOKUP(TEXT(H43,"0"),IPRESS!$A$3:$B$212,2,0),"")</f>
        <v/>
      </c>
      <c r="J43" s="85"/>
      <c r="K43" s="138" t="str">
        <f aca="false">IFERROR(VLOOKUP(TEXT(O43,"0"),CONDUCTORES!$A$3:$G$54,7,0),"")</f>
        <v/>
      </c>
      <c r="L43" s="85"/>
      <c r="M43" s="85"/>
      <c r="N43" s="139" t="str">
        <f aca="false">IFERROR(IF(L43*M43=0,"",L43*M43),"")</f>
        <v/>
      </c>
      <c r="O43" s="85"/>
      <c r="P43" s="138" t="str">
        <f aca="false">IFERROR(VLOOKUP(TEXT(O43,"0"),CONDUCTORES!$A$3:$G$54,2,0),"")</f>
        <v/>
      </c>
      <c r="Q43" s="138" t="str">
        <f aca="false">IFERROR(VLOOKUP(TEXT(O43,"0"),CONDUCTORES!$A$3:$H$54,6,0),"")</f>
        <v/>
      </c>
      <c r="R43" s="85"/>
      <c r="S43" s="85"/>
      <c r="T43" s="85"/>
      <c r="U43" s="85"/>
      <c r="V43" s="85"/>
      <c r="W43" s="85"/>
      <c r="X43" s="85"/>
      <c r="Y43" s="85"/>
      <c r="Z43" s="41" t="str">
        <f aca="false">IF(AND(G43&lt;&gt;"",R43&lt;&gt;"",V43&lt;&gt;"",W43&lt;&gt;""),"COMPLETADO","OBSERVADO")</f>
        <v>OBSERVADO</v>
      </c>
      <c r="AA43" s="89"/>
    </row>
    <row r="44" customFormat="false" ht="15.75" hidden="false" customHeight="true" outlineLevel="0" collapsed="false">
      <c r="A44" s="140"/>
      <c r="B44" s="140"/>
      <c r="C44" s="140"/>
      <c r="D44" s="140"/>
      <c r="E44" s="140"/>
      <c r="F44" s="140"/>
      <c r="G44" s="140"/>
      <c r="H44" s="140"/>
      <c r="I44" s="138" t="str">
        <f aca="false">IFERROR(VLOOKUP(TEXT(H44,"0"),IPRESS!$A$3:$B$212,2,0),"")</f>
        <v/>
      </c>
      <c r="J44" s="140"/>
      <c r="K44" s="138" t="str">
        <f aca="false">IFERROR(VLOOKUP(TEXT(O44,"0"),CONDUCTORES!$A$3:$G$54,7,0),"")</f>
        <v/>
      </c>
      <c r="L44" s="140"/>
      <c r="M44" s="140"/>
      <c r="N44" s="139" t="str">
        <f aca="false">IFERROR(IF(L44*M44=0,"",L44*M44),"")</f>
        <v/>
      </c>
      <c r="O44" s="140"/>
      <c r="P44" s="138" t="str">
        <f aca="false">IFERROR(VLOOKUP(TEXT(O44,"0"),CONDUCTORES!$A$3:$G$54,2,0),"")</f>
        <v/>
      </c>
      <c r="Q44" s="138" t="str">
        <f aca="false">IFERROR(VLOOKUP(TEXT(O44,"0"),CONDUCTORES!$A$3:$H$54,6,0),"")</f>
        <v/>
      </c>
      <c r="R44" s="140"/>
      <c r="S44" s="140"/>
      <c r="T44" s="140"/>
      <c r="U44" s="140"/>
      <c r="V44" s="140"/>
      <c r="W44" s="140"/>
      <c r="X44" s="140"/>
      <c r="Y44" s="140"/>
      <c r="Z44" s="47" t="str">
        <f aca="false">IF(AND(G44&lt;&gt;"",R44&lt;&gt;"",V44&lt;&gt;"",W44&lt;&gt;""),"COMPLETADO","OBSERVADO")</f>
        <v>OBSERVADO</v>
      </c>
      <c r="AA44" s="89"/>
    </row>
    <row r="45" customFormat="false" ht="15.75" hidden="false" customHeight="true" outlineLevel="0" collapsed="false">
      <c r="A45" s="85"/>
      <c r="B45" s="85"/>
      <c r="C45" s="85"/>
      <c r="D45" s="85"/>
      <c r="E45" s="85"/>
      <c r="F45" s="85"/>
      <c r="G45" s="85"/>
      <c r="H45" s="85"/>
      <c r="I45" s="138" t="str">
        <f aca="false">IFERROR(VLOOKUP(TEXT(H45,"0"),IPRESS!$A$3:$B$212,2,0),"")</f>
        <v/>
      </c>
      <c r="J45" s="85"/>
      <c r="K45" s="138" t="str">
        <f aca="false">IFERROR(VLOOKUP(TEXT(O45,"0"),CONDUCTORES!$A$3:$G$54,7,0),"")</f>
        <v/>
      </c>
      <c r="L45" s="85"/>
      <c r="M45" s="85"/>
      <c r="N45" s="139" t="str">
        <f aca="false">IFERROR(IF(L45*M45=0,"",L45*M45),"")</f>
        <v/>
      </c>
      <c r="O45" s="85"/>
      <c r="P45" s="138" t="str">
        <f aca="false">IFERROR(VLOOKUP(TEXT(O45,"0"),CONDUCTORES!$A$3:$G$54,2,0),"")</f>
        <v/>
      </c>
      <c r="Q45" s="138" t="str">
        <f aca="false">IFERROR(VLOOKUP(TEXT(O45,"0"),CONDUCTORES!$A$3:$H$54,6,0),"")</f>
        <v/>
      </c>
      <c r="R45" s="85"/>
      <c r="S45" s="85"/>
      <c r="T45" s="85"/>
      <c r="U45" s="85"/>
      <c r="V45" s="85"/>
      <c r="W45" s="85"/>
      <c r="X45" s="85"/>
      <c r="Y45" s="85"/>
      <c r="Z45" s="41" t="str">
        <f aca="false">IF(AND(G45&lt;&gt;"",R45&lt;&gt;"",V45&lt;&gt;"",W45&lt;&gt;""),"COMPLETADO","OBSERVADO")</f>
        <v>OBSERVADO</v>
      </c>
      <c r="AA45" s="89"/>
    </row>
    <row r="46" customFormat="false" ht="15.75" hidden="false" customHeight="true" outlineLevel="0" collapsed="false">
      <c r="A46" s="140"/>
      <c r="B46" s="140"/>
      <c r="C46" s="140"/>
      <c r="D46" s="140"/>
      <c r="E46" s="140"/>
      <c r="F46" s="140"/>
      <c r="G46" s="140"/>
      <c r="H46" s="140"/>
      <c r="I46" s="138" t="str">
        <f aca="false">IFERROR(VLOOKUP(TEXT(H46,"0"),IPRESS!$A$3:$B$212,2,0),"")</f>
        <v/>
      </c>
      <c r="J46" s="140"/>
      <c r="K46" s="138" t="str">
        <f aca="false">IFERROR(VLOOKUP(TEXT(O46,"0"),CONDUCTORES!$A$3:$G$54,7,0),"")</f>
        <v/>
      </c>
      <c r="L46" s="140"/>
      <c r="M46" s="140"/>
      <c r="N46" s="139" t="str">
        <f aca="false">IFERROR(IF(L46*M46=0,"",L46*M46),"")</f>
        <v/>
      </c>
      <c r="O46" s="140"/>
      <c r="P46" s="138" t="str">
        <f aca="false">IFERROR(VLOOKUP(TEXT(O46,"0"),CONDUCTORES!$A$3:$G$54,2,0),"")</f>
        <v/>
      </c>
      <c r="Q46" s="138" t="str">
        <f aca="false">IFERROR(VLOOKUP(TEXT(O46,"0"),CONDUCTORES!$A$3:$H$54,6,0),"")</f>
        <v/>
      </c>
      <c r="R46" s="140"/>
      <c r="S46" s="140"/>
      <c r="T46" s="140"/>
      <c r="U46" s="140"/>
      <c r="V46" s="140"/>
      <c r="W46" s="140"/>
      <c r="X46" s="140"/>
      <c r="Y46" s="140"/>
      <c r="Z46" s="47" t="str">
        <f aca="false">IF(AND(G46&lt;&gt;"",R46&lt;&gt;"",V46&lt;&gt;"",W46&lt;&gt;""),"COMPLETADO","OBSERVADO")</f>
        <v>OBSERVADO</v>
      </c>
      <c r="AA46" s="89"/>
    </row>
    <row r="47" customFormat="false" ht="15.75" hidden="false" customHeight="true" outlineLevel="0" collapsed="false">
      <c r="A47" s="85"/>
      <c r="B47" s="85"/>
      <c r="C47" s="85"/>
      <c r="D47" s="85"/>
      <c r="E47" s="85"/>
      <c r="F47" s="85"/>
      <c r="G47" s="85"/>
      <c r="H47" s="85"/>
      <c r="I47" s="138" t="str">
        <f aca="false">IFERROR(VLOOKUP(TEXT(H47,"0"),IPRESS!$A$3:$B$212,2,0),"")</f>
        <v/>
      </c>
      <c r="J47" s="85"/>
      <c r="K47" s="138" t="str">
        <f aca="false">IFERROR(VLOOKUP(TEXT(O47,"0"),CONDUCTORES!$A$3:$G$54,7,0),"")</f>
        <v/>
      </c>
      <c r="L47" s="85"/>
      <c r="M47" s="85"/>
      <c r="N47" s="139" t="str">
        <f aca="false">IFERROR(IF(L47*M47=0,"",L47*M47),"")</f>
        <v/>
      </c>
      <c r="O47" s="85"/>
      <c r="P47" s="138" t="str">
        <f aca="false">IFERROR(VLOOKUP(TEXT(O47,"0"),CONDUCTORES!$A$3:$G$54,2,0),"")</f>
        <v/>
      </c>
      <c r="Q47" s="138" t="str">
        <f aca="false">IFERROR(VLOOKUP(TEXT(O47,"0"),CONDUCTORES!$A$3:$H$54,6,0),"")</f>
        <v/>
      </c>
      <c r="R47" s="85"/>
      <c r="S47" s="85"/>
      <c r="T47" s="85"/>
      <c r="U47" s="85"/>
      <c r="V47" s="85"/>
      <c r="W47" s="85"/>
      <c r="X47" s="85"/>
      <c r="Y47" s="85"/>
      <c r="Z47" s="41" t="str">
        <f aca="false">IF(AND(G47&lt;&gt;"",R47&lt;&gt;"",V47&lt;&gt;"",W47&lt;&gt;""),"COMPLETADO","OBSERVADO")</f>
        <v>OBSERVADO</v>
      </c>
      <c r="AA47" s="89"/>
    </row>
    <row r="48" customFormat="false" ht="15.75" hidden="false" customHeight="true" outlineLevel="0" collapsed="false">
      <c r="A48" s="140"/>
      <c r="B48" s="140"/>
      <c r="C48" s="140"/>
      <c r="D48" s="140"/>
      <c r="E48" s="140"/>
      <c r="F48" s="140"/>
      <c r="G48" s="140"/>
      <c r="H48" s="140"/>
      <c r="I48" s="138" t="str">
        <f aca="false">IFERROR(VLOOKUP(TEXT(H48,"0"),IPRESS!$A$3:$B$212,2,0),"")</f>
        <v/>
      </c>
      <c r="J48" s="140"/>
      <c r="K48" s="138" t="str">
        <f aca="false">IFERROR(VLOOKUP(TEXT(O48,"0"),CONDUCTORES!$A$3:$G$54,7,0),"")</f>
        <v/>
      </c>
      <c r="L48" s="140"/>
      <c r="M48" s="140"/>
      <c r="N48" s="139" t="str">
        <f aca="false">IFERROR(IF(L48*M48=0,"",L48*M48),"")</f>
        <v/>
      </c>
      <c r="O48" s="140"/>
      <c r="P48" s="138" t="str">
        <f aca="false">IFERROR(VLOOKUP(TEXT(O48,"0"),CONDUCTORES!$A$3:$G$54,2,0),"")</f>
        <v/>
      </c>
      <c r="Q48" s="138" t="str">
        <f aca="false">IFERROR(VLOOKUP(TEXT(O48,"0"),CONDUCTORES!$A$3:$H$54,6,0),"")</f>
        <v/>
      </c>
      <c r="R48" s="140"/>
      <c r="S48" s="140"/>
      <c r="T48" s="140"/>
      <c r="U48" s="140"/>
      <c r="V48" s="140"/>
      <c r="W48" s="140"/>
      <c r="X48" s="140"/>
      <c r="Y48" s="140"/>
      <c r="Z48" s="47" t="str">
        <f aca="false">IF(AND(G48&lt;&gt;"",R48&lt;&gt;"",V48&lt;&gt;"",W48&lt;&gt;""),"COMPLETADO","OBSERVADO")</f>
        <v>OBSERVADO</v>
      </c>
      <c r="AA48" s="89"/>
    </row>
    <row r="49" customFormat="false" ht="15.75" hidden="false" customHeight="true" outlineLevel="0" collapsed="false">
      <c r="A49" s="85"/>
      <c r="B49" s="85"/>
      <c r="C49" s="85"/>
      <c r="D49" s="85"/>
      <c r="E49" s="85"/>
      <c r="F49" s="85"/>
      <c r="G49" s="85"/>
      <c r="H49" s="85"/>
      <c r="I49" s="138" t="str">
        <f aca="false">IFERROR(VLOOKUP(TEXT(H49,"0"),IPRESS!$A$3:$B$212,2,0),"")</f>
        <v/>
      </c>
      <c r="J49" s="85"/>
      <c r="K49" s="138" t="str">
        <f aca="false">IFERROR(VLOOKUP(TEXT(O49,"0"),CONDUCTORES!$A$3:$G$54,7,0),"")</f>
        <v/>
      </c>
      <c r="L49" s="85"/>
      <c r="M49" s="85"/>
      <c r="N49" s="139" t="str">
        <f aca="false">IFERROR(IF(L49*M49=0,"",L49*M49),"")</f>
        <v/>
      </c>
      <c r="O49" s="85"/>
      <c r="P49" s="138" t="str">
        <f aca="false">IFERROR(VLOOKUP(TEXT(O49,"0"),CONDUCTORES!$A$3:$G$54,2,0),"")</f>
        <v/>
      </c>
      <c r="Q49" s="138" t="str">
        <f aca="false">IFERROR(VLOOKUP(TEXT(O49,"0"),CONDUCTORES!$A$3:$H$54,6,0),"")</f>
        <v/>
      </c>
      <c r="R49" s="85"/>
      <c r="S49" s="85"/>
      <c r="T49" s="85"/>
      <c r="U49" s="85"/>
      <c r="V49" s="85"/>
      <c r="W49" s="85"/>
      <c r="X49" s="85"/>
      <c r="Y49" s="85"/>
      <c r="Z49" s="41" t="str">
        <f aca="false">IF(AND(G49&lt;&gt;"",R49&lt;&gt;"",V49&lt;&gt;"",W49&lt;&gt;""),"COMPLETADO","OBSERVADO")</f>
        <v>OBSERVADO</v>
      </c>
      <c r="AA49" s="89"/>
    </row>
    <row r="50" customFormat="false" ht="15.75" hidden="false" customHeight="true" outlineLevel="0" collapsed="false">
      <c r="A50" s="140"/>
      <c r="B50" s="140"/>
      <c r="C50" s="140"/>
      <c r="D50" s="140"/>
      <c r="E50" s="140"/>
      <c r="F50" s="140"/>
      <c r="G50" s="140"/>
      <c r="H50" s="140"/>
      <c r="I50" s="138" t="str">
        <f aca="false">IFERROR(VLOOKUP(TEXT(H50,"0"),IPRESS!$A$3:$B$212,2,0),"")</f>
        <v/>
      </c>
      <c r="J50" s="140"/>
      <c r="K50" s="138" t="str">
        <f aca="false">IFERROR(VLOOKUP(TEXT(O50,"0"),CONDUCTORES!$A$3:$G$54,7,0),"")</f>
        <v/>
      </c>
      <c r="L50" s="140"/>
      <c r="M50" s="140"/>
      <c r="N50" s="139" t="str">
        <f aca="false">IFERROR(IF(L50*M50=0,"",L50*M50),"")</f>
        <v/>
      </c>
      <c r="O50" s="140"/>
      <c r="P50" s="138" t="str">
        <f aca="false">IFERROR(VLOOKUP(TEXT(O50,"0"),CONDUCTORES!$A$3:$G$54,2,0),"")</f>
        <v/>
      </c>
      <c r="Q50" s="138" t="str">
        <f aca="false">IFERROR(VLOOKUP(TEXT(O50,"0"),CONDUCTORES!$A$3:$H$54,6,0),"")</f>
        <v/>
      </c>
      <c r="R50" s="140"/>
      <c r="S50" s="140"/>
      <c r="T50" s="140"/>
      <c r="U50" s="140"/>
      <c r="V50" s="140"/>
      <c r="W50" s="140"/>
      <c r="X50" s="140"/>
      <c r="Y50" s="140"/>
      <c r="Z50" s="47" t="str">
        <f aca="false">IF(AND(G50&lt;&gt;"",R50&lt;&gt;"",V50&lt;&gt;"",W50&lt;&gt;""),"COMPLETADO","OBSERVADO")</f>
        <v>OBSERVADO</v>
      </c>
      <c r="AA50" s="89"/>
    </row>
    <row r="51" customFormat="false" ht="15.75" hidden="false" customHeight="true" outlineLevel="0" collapsed="false">
      <c r="A51" s="85"/>
      <c r="B51" s="85"/>
      <c r="C51" s="85"/>
      <c r="D51" s="85"/>
      <c r="E51" s="85"/>
      <c r="F51" s="85"/>
      <c r="G51" s="85"/>
      <c r="H51" s="85"/>
      <c r="I51" s="138" t="str">
        <f aca="false">IFERROR(VLOOKUP(TEXT(H51,"0"),IPRESS!$A$3:$B$212,2,0),"")</f>
        <v/>
      </c>
      <c r="J51" s="85"/>
      <c r="K51" s="138" t="str">
        <f aca="false">IFERROR(VLOOKUP(TEXT(O51,"0"),CONDUCTORES!$A$3:$G$54,7,0),"")</f>
        <v/>
      </c>
      <c r="L51" s="85"/>
      <c r="M51" s="85"/>
      <c r="N51" s="139" t="str">
        <f aca="false">IFERROR(IF(L51*M51=0,"",L51*M51),"")</f>
        <v/>
      </c>
      <c r="O51" s="85"/>
      <c r="P51" s="138" t="str">
        <f aca="false">IFERROR(VLOOKUP(TEXT(O51,"0"),CONDUCTORES!$A$3:$G$54,2,0),"")</f>
        <v/>
      </c>
      <c r="Q51" s="138" t="str">
        <f aca="false">IFERROR(VLOOKUP(TEXT(O51,"0"),CONDUCTORES!$A$3:$H$54,6,0),"")</f>
        <v/>
      </c>
      <c r="R51" s="85"/>
      <c r="S51" s="85"/>
      <c r="T51" s="85"/>
      <c r="U51" s="85"/>
      <c r="V51" s="85"/>
      <c r="W51" s="85"/>
      <c r="X51" s="85"/>
      <c r="Y51" s="85"/>
      <c r="Z51" s="41" t="str">
        <f aca="false">IF(AND(G51&lt;&gt;"",R51&lt;&gt;"",V51&lt;&gt;"",W51&lt;&gt;""),"COMPLETADO","OBSERVADO")</f>
        <v>OBSERVADO</v>
      </c>
      <c r="AA51" s="89"/>
    </row>
    <row r="52" customFormat="false" ht="15.75" hidden="false" customHeight="true" outlineLevel="0" collapsed="false">
      <c r="A52" s="140"/>
      <c r="B52" s="140"/>
      <c r="C52" s="140"/>
      <c r="D52" s="140"/>
      <c r="E52" s="140"/>
      <c r="F52" s="140"/>
      <c r="G52" s="140"/>
      <c r="H52" s="140"/>
      <c r="I52" s="138" t="str">
        <f aca="false">IFERROR(VLOOKUP(TEXT(H52,"0"),IPRESS!$A$3:$B$212,2,0),"")</f>
        <v/>
      </c>
      <c r="J52" s="140"/>
      <c r="K52" s="138" t="str">
        <f aca="false">IFERROR(VLOOKUP(TEXT(O52,"0"),CONDUCTORES!$A$3:$G$54,7,0),"")</f>
        <v/>
      </c>
      <c r="L52" s="140"/>
      <c r="M52" s="140"/>
      <c r="N52" s="139" t="str">
        <f aca="false">IFERROR(IF(L52*M52=0,"",L52*M52),"")</f>
        <v/>
      </c>
      <c r="O52" s="140"/>
      <c r="P52" s="138" t="str">
        <f aca="false">IFERROR(VLOOKUP(TEXT(O52,"0"),CONDUCTORES!$A$3:$G$54,2,0),"")</f>
        <v/>
      </c>
      <c r="Q52" s="138" t="str">
        <f aca="false">IFERROR(VLOOKUP(TEXT(O52,"0"),CONDUCTORES!$A$3:$H$54,6,0),"")</f>
        <v/>
      </c>
      <c r="R52" s="140"/>
      <c r="S52" s="140"/>
      <c r="T52" s="140"/>
      <c r="U52" s="140"/>
      <c r="V52" s="140"/>
      <c r="W52" s="140"/>
      <c r="X52" s="140"/>
      <c r="Y52" s="140"/>
      <c r="Z52" s="47" t="str">
        <f aca="false">IF(AND(G52&lt;&gt;"",R52&lt;&gt;"",V52&lt;&gt;"",W52&lt;&gt;""),"COMPLETADO","OBSERVADO")</f>
        <v>OBSERVADO</v>
      </c>
      <c r="AA52" s="89"/>
    </row>
    <row r="53" customFormat="false" ht="15.75" hidden="false" customHeight="true" outlineLevel="0" collapsed="false">
      <c r="A53" s="85"/>
      <c r="B53" s="85"/>
      <c r="C53" s="85"/>
      <c r="D53" s="85"/>
      <c r="E53" s="85"/>
      <c r="F53" s="85"/>
      <c r="G53" s="85"/>
      <c r="H53" s="85"/>
      <c r="I53" s="138" t="str">
        <f aca="false">IFERROR(VLOOKUP(TEXT(H53,"0"),IPRESS!$A$3:$B$212,2,0),"")</f>
        <v/>
      </c>
      <c r="J53" s="85"/>
      <c r="K53" s="138" t="str">
        <f aca="false">IFERROR(VLOOKUP(TEXT(O53,"0"),CONDUCTORES!$A$3:$G$54,7,0),"")</f>
        <v/>
      </c>
      <c r="L53" s="85"/>
      <c r="M53" s="85"/>
      <c r="N53" s="139" t="str">
        <f aca="false">IFERROR(IF(L53*M53=0,"",L53*M53),"")</f>
        <v/>
      </c>
      <c r="O53" s="85"/>
      <c r="P53" s="138" t="str">
        <f aca="false">IFERROR(VLOOKUP(TEXT(O53,"0"),CONDUCTORES!$A$3:$G$54,2,0),"")</f>
        <v/>
      </c>
      <c r="Q53" s="138" t="str">
        <f aca="false">IFERROR(VLOOKUP(TEXT(O53,"0"),CONDUCTORES!$A$3:$H$54,6,0),"")</f>
        <v/>
      </c>
      <c r="R53" s="85"/>
      <c r="S53" s="85"/>
      <c r="T53" s="85"/>
      <c r="U53" s="85"/>
      <c r="V53" s="85"/>
      <c r="W53" s="85"/>
      <c r="X53" s="85"/>
      <c r="Y53" s="85"/>
      <c r="Z53" s="41" t="str">
        <f aca="false">IF(AND(G53&lt;&gt;"",R53&lt;&gt;"",V53&lt;&gt;"",W53&lt;&gt;""),"COMPLETADO","OBSERVADO")</f>
        <v>OBSERVADO</v>
      </c>
      <c r="AA53" s="89"/>
    </row>
    <row r="54" customFormat="false" ht="15.75" hidden="false" customHeight="true" outlineLevel="0" collapsed="false">
      <c r="A54" s="140"/>
      <c r="B54" s="140"/>
      <c r="C54" s="140"/>
      <c r="D54" s="140"/>
      <c r="E54" s="140"/>
      <c r="F54" s="140"/>
      <c r="G54" s="140"/>
      <c r="H54" s="140"/>
      <c r="I54" s="138" t="str">
        <f aca="false">IFERROR(VLOOKUP(TEXT(H54,"0"),IPRESS!$A$3:$B$212,2,0),"")</f>
        <v/>
      </c>
      <c r="J54" s="140"/>
      <c r="K54" s="138" t="str">
        <f aca="false">IFERROR(VLOOKUP(TEXT(O54,"0"),CONDUCTORES!$A$3:$G$54,7,0),"")</f>
        <v/>
      </c>
      <c r="L54" s="140"/>
      <c r="M54" s="140"/>
      <c r="N54" s="139" t="str">
        <f aca="false">IFERROR(IF(L54*M54=0,"",L54*M54),"")</f>
        <v/>
      </c>
      <c r="O54" s="140"/>
      <c r="P54" s="138" t="str">
        <f aca="false">IFERROR(VLOOKUP(TEXT(O54,"0"),CONDUCTORES!$A$3:$G$54,2,0),"")</f>
        <v/>
      </c>
      <c r="Q54" s="138" t="str">
        <f aca="false">IFERROR(VLOOKUP(TEXT(O54,"0"),CONDUCTORES!$A$3:$H$54,6,0),"")</f>
        <v/>
      </c>
      <c r="R54" s="140"/>
      <c r="S54" s="140"/>
      <c r="T54" s="140"/>
      <c r="U54" s="140"/>
      <c r="V54" s="140"/>
      <c r="W54" s="140"/>
      <c r="X54" s="140"/>
      <c r="Y54" s="140"/>
      <c r="Z54" s="47" t="str">
        <f aca="false">IF(AND(G54&lt;&gt;"",R54&lt;&gt;"",V54&lt;&gt;"",W54&lt;&gt;""),"COMPLETADO","OBSERVADO")</f>
        <v>OBSERVADO</v>
      </c>
      <c r="AA54" s="89"/>
    </row>
    <row r="55" customFormat="false" ht="15.75" hidden="false" customHeight="true" outlineLevel="0" collapsed="false">
      <c r="A55" s="85"/>
      <c r="B55" s="85"/>
      <c r="C55" s="85"/>
      <c r="D55" s="85"/>
      <c r="E55" s="85"/>
      <c r="F55" s="85"/>
      <c r="G55" s="85"/>
      <c r="H55" s="85"/>
      <c r="I55" s="138" t="str">
        <f aca="false">IFERROR(VLOOKUP(TEXT(H55,"0"),IPRESS!$A$3:$B$212,2,0),"")</f>
        <v/>
      </c>
      <c r="J55" s="85"/>
      <c r="K55" s="138" t="str">
        <f aca="false">IFERROR(VLOOKUP(TEXT(O55,"0"),CONDUCTORES!$A$3:$G$54,7,0),"")</f>
        <v/>
      </c>
      <c r="L55" s="85"/>
      <c r="M55" s="85"/>
      <c r="N55" s="139" t="str">
        <f aca="false">IFERROR(IF(L55*M55=0,"",L55*M55),"")</f>
        <v/>
      </c>
      <c r="O55" s="85"/>
      <c r="P55" s="138" t="str">
        <f aca="false">IFERROR(VLOOKUP(TEXT(O55,"0"),CONDUCTORES!$A$3:$G$54,2,0),"")</f>
        <v/>
      </c>
      <c r="Q55" s="138" t="str">
        <f aca="false">IFERROR(VLOOKUP(TEXT(O55,"0"),CONDUCTORES!$A$3:$H$54,6,0),"")</f>
        <v/>
      </c>
      <c r="R55" s="85"/>
      <c r="S55" s="85"/>
      <c r="T55" s="85"/>
      <c r="U55" s="85"/>
      <c r="V55" s="85"/>
      <c r="W55" s="85"/>
      <c r="X55" s="85"/>
      <c r="Y55" s="85"/>
      <c r="Z55" s="41" t="str">
        <f aca="false">IF(AND(G55&lt;&gt;"",R55&lt;&gt;"",V55&lt;&gt;"",W55&lt;&gt;""),"COMPLETADO","OBSERVADO")</f>
        <v>OBSERVADO</v>
      </c>
      <c r="AA55" s="89"/>
    </row>
    <row r="56" customFormat="false" ht="15.75" hidden="false" customHeight="true" outlineLevel="0" collapsed="false">
      <c r="A56" s="140"/>
      <c r="B56" s="140"/>
      <c r="C56" s="140"/>
      <c r="D56" s="140"/>
      <c r="E56" s="140"/>
      <c r="F56" s="140"/>
      <c r="G56" s="140"/>
      <c r="H56" s="140"/>
      <c r="I56" s="138" t="str">
        <f aca="false">IFERROR(VLOOKUP(TEXT(H56,"0"),IPRESS!$A$3:$B$212,2,0),"")</f>
        <v/>
      </c>
      <c r="J56" s="140"/>
      <c r="K56" s="138" t="str">
        <f aca="false">IFERROR(VLOOKUP(TEXT(O56,"0"),CONDUCTORES!$A$3:$G$54,7,0),"")</f>
        <v/>
      </c>
      <c r="L56" s="140"/>
      <c r="M56" s="140"/>
      <c r="N56" s="139" t="str">
        <f aca="false">IFERROR(IF(L56*M56=0,"",L56*M56),"")</f>
        <v/>
      </c>
      <c r="O56" s="140"/>
      <c r="P56" s="138" t="str">
        <f aca="false">IFERROR(VLOOKUP(TEXT(O56,"0"),CONDUCTORES!$A$3:$G$54,2,0),"")</f>
        <v/>
      </c>
      <c r="Q56" s="138" t="str">
        <f aca="false">IFERROR(VLOOKUP(TEXT(O56,"0"),CONDUCTORES!$A$3:$H$54,6,0),"")</f>
        <v/>
      </c>
      <c r="R56" s="140"/>
      <c r="S56" s="140"/>
      <c r="T56" s="140"/>
      <c r="U56" s="140"/>
      <c r="V56" s="140"/>
      <c r="W56" s="140"/>
      <c r="X56" s="140"/>
      <c r="Y56" s="140"/>
      <c r="Z56" s="47" t="str">
        <f aca="false">IF(AND(G56&lt;&gt;"",R56&lt;&gt;"",V56&lt;&gt;"",W56&lt;&gt;""),"COMPLETADO","OBSERVADO")</f>
        <v>OBSERVADO</v>
      </c>
      <c r="AA56" s="89"/>
    </row>
    <row r="57" customFormat="false" ht="15.75" hidden="false" customHeight="true" outlineLevel="0" collapsed="false">
      <c r="A57" s="85"/>
      <c r="B57" s="85"/>
      <c r="C57" s="85"/>
      <c r="D57" s="85"/>
      <c r="E57" s="85"/>
      <c r="F57" s="85"/>
      <c r="G57" s="85"/>
      <c r="H57" s="85"/>
      <c r="I57" s="138" t="str">
        <f aca="false">IFERROR(VLOOKUP(TEXT(H57,"0"),IPRESS!$A$3:$B$212,2,0),"")</f>
        <v/>
      </c>
      <c r="J57" s="85"/>
      <c r="K57" s="138" t="str">
        <f aca="false">IFERROR(VLOOKUP(TEXT(O57,"0"),CONDUCTORES!$A$3:$G$54,7,0),"")</f>
        <v/>
      </c>
      <c r="L57" s="85"/>
      <c r="M57" s="85"/>
      <c r="N57" s="139" t="str">
        <f aca="false">IFERROR(IF(L57*M57=0,"",L57*M57),"")</f>
        <v/>
      </c>
      <c r="O57" s="85"/>
      <c r="P57" s="138" t="str">
        <f aca="false">IFERROR(VLOOKUP(TEXT(O57,"0"),CONDUCTORES!$A$3:$G$54,2,0),"")</f>
        <v/>
      </c>
      <c r="Q57" s="138" t="str">
        <f aca="false">IFERROR(VLOOKUP(TEXT(O57,"0"),CONDUCTORES!$A$3:$H$54,6,0),"")</f>
        <v/>
      </c>
      <c r="R57" s="85"/>
      <c r="S57" s="85"/>
      <c r="T57" s="85"/>
      <c r="U57" s="85"/>
      <c r="V57" s="85"/>
      <c r="W57" s="85"/>
      <c r="X57" s="85"/>
      <c r="Y57" s="85"/>
      <c r="Z57" s="41" t="str">
        <f aca="false">IF(AND(G57&lt;&gt;"",R57&lt;&gt;"",V57&lt;&gt;"",W57&lt;&gt;""),"COMPLETADO","OBSERVADO")</f>
        <v>OBSERVADO</v>
      </c>
      <c r="AA57" s="89"/>
    </row>
    <row r="58" customFormat="false" ht="15.75" hidden="false" customHeight="true" outlineLevel="0" collapsed="false">
      <c r="A58" s="140"/>
      <c r="B58" s="140"/>
      <c r="C58" s="140"/>
      <c r="D58" s="140"/>
      <c r="E58" s="140"/>
      <c r="F58" s="140"/>
      <c r="G58" s="140"/>
      <c r="H58" s="140"/>
      <c r="I58" s="138" t="str">
        <f aca="false">IFERROR(VLOOKUP(TEXT(H58,"0"),IPRESS!$A$3:$B$212,2,0),"")</f>
        <v/>
      </c>
      <c r="J58" s="140"/>
      <c r="K58" s="138" t="str">
        <f aca="false">IFERROR(VLOOKUP(TEXT(O58,"0"),CONDUCTORES!$A$3:$G$54,7,0),"")</f>
        <v/>
      </c>
      <c r="L58" s="140"/>
      <c r="M58" s="140"/>
      <c r="N58" s="139" t="str">
        <f aca="false">IFERROR(IF(L58*M58=0,"",L58*M58),"")</f>
        <v/>
      </c>
      <c r="O58" s="140"/>
      <c r="P58" s="138" t="str">
        <f aca="false">IFERROR(VLOOKUP(TEXT(O58,"0"),CONDUCTORES!$A$3:$G$54,2,0),"")</f>
        <v/>
      </c>
      <c r="Q58" s="138" t="str">
        <f aca="false">IFERROR(VLOOKUP(TEXT(O58,"0"),CONDUCTORES!$A$3:$H$54,6,0),"")</f>
        <v/>
      </c>
      <c r="R58" s="140"/>
      <c r="S58" s="140"/>
      <c r="T58" s="140"/>
      <c r="U58" s="140"/>
      <c r="V58" s="140"/>
      <c r="W58" s="140"/>
      <c r="X58" s="140"/>
      <c r="Y58" s="140"/>
      <c r="Z58" s="47" t="str">
        <f aca="false">IF(AND(G58&lt;&gt;"",R58&lt;&gt;"",V58&lt;&gt;"",W58&lt;&gt;""),"COMPLETADO","OBSERVADO")</f>
        <v>OBSERVADO</v>
      </c>
      <c r="AA58" s="89"/>
    </row>
    <row r="59" customFormat="false" ht="15.75" hidden="false" customHeight="true" outlineLevel="0" collapsed="false">
      <c r="A59" s="85"/>
      <c r="B59" s="85"/>
      <c r="C59" s="85"/>
      <c r="D59" s="85"/>
      <c r="E59" s="85"/>
      <c r="F59" s="85"/>
      <c r="G59" s="85"/>
      <c r="H59" s="85"/>
      <c r="I59" s="138" t="str">
        <f aca="false">IFERROR(VLOOKUP(TEXT(H59,"0"),IPRESS!$A$3:$B$212,2,0),"")</f>
        <v/>
      </c>
      <c r="J59" s="85"/>
      <c r="K59" s="138" t="str">
        <f aca="false">IFERROR(VLOOKUP(TEXT(O59,"0"),CONDUCTORES!$A$3:$G$54,7,0),"")</f>
        <v/>
      </c>
      <c r="L59" s="85"/>
      <c r="M59" s="85"/>
      <c r="N59" s="139" t="str">
        <f aca="false">IFERROR(IF(L59*M59=0,"",L59*M59),"")</f>
        <v/>
      </c>
      <c r="O59" s="85"/>
      <c r="P59" s="138" t="str">
        <f aca="false">IFERROR(VLOOKUP(TEXT(O59,"0"),CONDUCTORES!$A$3:$G$54,2,0),"")</f>
        <v/>
      </c>
      <c r="Q59" s="138" t="str">
        <f aca="false">IFERROR(VLOOKUP(TEXT(O59,"0"),CONDUCTORES!$A$3:$H$54,6,0),"")</f>
        <v/>
      </c>
      <c r="R59" s="85"/>
      <c r="S59" s="85"/>
      <c r="T59" s="85"/>
      <c r="U59" s="85"/>
      <c r="V59" s="85"/>
      <c r="W59" s="85"/>
      <c r="X59" s="85"/>
      <c r="Y59" s="85"/>
      <c r="Z59" s="41" t="str">
        <f aca="false">IF(AND(G59&lt;&gt;"",R59&lt;&gt;"",V59&lt;&gt;"",W59&lt;&gt;""),"COMPLETADO","OBSERVADO")</f>
        <v>OBSERVADO</v>
      </c>
      <c r="AA59" s="89"/>
    </row>
    <row r="60" customFormat="false" ht="15.75" hidden="false" customHeight="true" outlineLevel="0" collapsed="false">
      <c r="A60" s="140"/>
      <c r="B60" s="140"/>
      <c r="C60" s="140"/>
      <c r="D60" s="140"/>
      <c r="E60" s="140"/>
      <c r="F60" s="140"/>
      <c r="G60" s="140"/>
      <c r="H60" s="140"/>
      <c r="I60" s="138" t="str">
        <f aca="false">IFERROR(VLOOKUP(TEXT(H60,"0"),IPRESS!$A$3:$B$212,2,0),"")</f>
        <v/>
      </c>
      <c r="J60" s="140"/>
      <c r="K60" s="138" t="str">
        <f aca="false">IFERROR(VLOOKUP(TEXT(O60,"0"),CONDUCTORES!$A$3:$G$54,7,0),"")</f>
        <v/>
      </c>
      <c r="L60" s="140"/>
      <c r="M60" s="140"/>
      <c r="N60" s="139" t="str">
        <f aca="false">IFERROR(IF(L60*M60=0,"",L60*M60),"")</f>
        <v/>
      </c>
      <c r="O60" s="140"/>
      <c r="P60" s="138" t="str">
        <f aca="false">IFERROR(VLOOKUP(TEXT(O60,"0"),CONDUCTORES!$A$3:$G$54,2,0),"")</f>
        <v/>
      </c>
      <c r="Q60" s="138" t="str">
        <f aca="false">IFERROR(VLOOKUP(TEXT(O60,"0"),CONDUCTORES!$A$3:$H$54,6,0),"")</f>
        <v/>
      </c>
      <c r="R60" s="140"/>
      <c r="S60" s="140"/>
      <c r="T60" s="140"/>
      <c r="U60" s="140"/>
      <c r="V60" s="140"/>
      <c r="W60" s="140"/>
      <c r="X60" s="140"/>
      <c r="Y60" s="140"/>
      <c r="Z60" s="47" t="str">
        <f aca="false">IF(AND(G60&lt;&gt;"",R60&lt;&gt;"",V60&lt;&gt;"",W60&lt;&gt;""),"COMPLETADO","OBSERVADO")</f>
        <v>OBSERVADO</v>
      </c>
      <c r="AA60" s="89"/>
    </row>
    <row r="61" customFormat="false" ht="15.75" hidden="false" customHeight="true" outlineLevel="0" collapsed="false">
      <c r="A61" s="85"/>
      <c r="B61" s="85"/>
      <c r="C61" s="85"/>
      <c r="D61" s="85"/>
      <c r="E61" s="85"/>
      <c r="F61" s="85"/>
      <c r="G61" s="85"/>
      <c r="H61" s="85"/>
      <c r="I61" s="138" t="str">
        <f aca="false">IFERROR(VLOOKUP(TEXT(H61,"0"),IPRESS!$A$3:$B$212,2,0),"")</f>
        <v/>
      </c>
      <c r="J61" s="85"/>
      <c r="K61" s="138" t="str">
        <f aca="false">IFERROR(VLOOKUP(TEXT(O61,"0"),CONDUCTORES!$A$3:$G$54,7,0),"")</f>
        <v/>
      </c>
      <c r="L61" s="85"/>
      <c r="M61" s="85"/>
      <c r="N61" s="139" t="str">
        <f aca="false">IFERROR(IF(L61*M61=0,"",L61*M61),"")</f>
        <v/>
      </c>
      <c r="O61" s="85"/>
      <c r="P61" s="138" t="str">
        <f aca="false">IFERROR(VLOOKUP(TEXT(O61,"0"),CONDUCTORES!$A$3:$G$54,2,0),"")</f>
        <v/>
      </c>
      <c r="Q61" s="138" t="str">
        <f aca="false">IFERROR(VLOOKUP(TEXT(O61,"0"),CONDUCTORES!$A$3:$H$54,6,0),"")</f>
        <v/>
      </c>
      <c r="R61" s="85"/>
      <c r="S61" s="85"/>
      <c r="T61" s="85"/>
      <c r="U61" s="85"/>
      <c r="V61" s="85"/>
      <c r="W61" s="85"/>
      <c r="X61" s="85"/>
      <c r="Y61" s="85"/>
      <c r="Z61" s="41" t="str">
        <f aca="false">IF(AND(G61&lt;&gt;"",R61&lt;&gt;"",V61&lt;&gt;"",W61&lt;&gt;""),"COMPLETADO","OBSERVADO")</f>
        <v>OBSERVADO</v>
      </c>
      <c r="AA61" s="89"/>
    </row>
    <row r="62" customFormat="false" ht="15.75" hidden="false" customHeight="true" outlineLevel="0" collapsed="false">
      <c r="A62" s="140"/>
      <c r="B62" s="140"/>
      <c r="C62" s="140"/>
      <c r="D62" s="140"/>
      <c r="E62" s="140"/>
      <c r="F62" s="140"/>
      <c r="G62" s="140"/>
      <c r="H62" s="140"/>
      <c r="I62" s="138" t="str">
        <f aca="false">IFERROR(VLOOKUP(TEXT(H62,"0"),IPRESS!$A$3:$B$212,2,0),"")</f>
        <v/>
      </c>
      <c r="J62" s="140"/>
      <c r="K62" s="138" t="str">
        <f aca="false">IFERROR(VLOOKUP(TEXT(O62,"0"),CONDUCTORES!$A$3:$G$54,7,0),"")</f>
        <v/>
      </c>
      <c r="L62" s="140"/>
      <c r="M62" s="140"/>
      <c r="N62" s="139" t="str">
        <f aca="false">IFERROR(IF(L62*M62=0,"",L62*M62),"")</f>
        <v/>
      </c>
      <c r="O62" s="140"/>
      <c r="P62" s="138" t="str">
        <f aca="false">IFERROR(VLOOKUP(TEXT(O62,"0"),CONDUCTORES!$A$3:$G$54,2,0),"")</f>
        <v/>
      </c>
      <c r="Q62" s="138" t="str">
        <f aca="false">IFERROR(VLOOKUP(TEXT(O62,"0"),CONDUCTORES!$A$3:$H$54,6,0),"")</f>
        <v/>
      </c>
      <c r="R62" s="140"/>
      <c r="S62" s="140"/>
      <c r="T62" s="140"/>
      <c r="U62" s="140"/>
      <c r="V62" s="140"/>
      <c r="W62" s="140"/>
      <c r="X62" s="140"/>
      <c r="Y62" s="140"/>
      <c r="Z62" s="47" t="str">
        <f aca="false">IF(AND(G62&lt;&gt;"",R62&lt;&gt;"",V62&lt;&gt;"",W62&lt;&gt;""),"COMPLETADO","OBSERVADO")</f>
        <v>OBSERVADO</v>
      </c>
      <c r="AA62" s="89"/>
    </row>
    <row r="63" customFormat="false" ht="15.75" hidden="false" customHeight="true" outlineLevel="0" collapsed="false">
      <c r="A63" s="85"/>
      <c r="B63" s="85"/>
      <c r="C63" s="85"/>
      <c r="D63" s="85"/>
      <c r="E63" s="85"/>
      <c r="F63" s="85"/>
      <c r="G63" s="85"/>
      <c r="H63" s="85"/>
      <c r="I63" s="138" t="str">
        <f aca="false">IFERROR(VLOOKUP(TEXT(H63,"0"),IPRESS!$A$3:$B$212,2,0),"")</f>
        <v/>
      </c>
      <c r="J63" s="85"/>
      <c r="K63" s="138" t="str">
        <f aca="false">IFERROR(VLOOKUP(TEXT(O63,"0"),CONDUCTORES!$A$3:$G$54,7,0),"")</f>
        <v/>
      </c>
      <c r="L63" s="85"/>
      <c r="M63" s="85"/>
      <c r="N63" s="139" t="str">
        <f aca="false">IFERROR(IF(L63*M63=0,"",L63*M63),"")</f>
        <v/>
      </c>
      <c r="O63" s="85"/>
      <c r="P63" s="138" t="str">
        <f aca="false">IFERROR(VLOOKUP(TEXT(O63,"0"),CONDUCTORES!$A$3:$G$54,2,0),"")</f>
        <v/>
      </c>
      <c r="Q63" s="138" t="str">
        <f aca="false">IFERROR(VLOOKUP(TEXT(O63,"0"),CONDUCTORES!$A$3:$H$54,6,0),"")</f>
        <v/>
      </c>
      <c r="R63" s="85"/>
      <c r="S63" s="85"/>
      <c r="T63" s="85"/>
      <c r="U63" s="85"/>
      <c r="V63" s="85"/>
      <c r="W63" s="85"/>
      <c r="X63" s="85"/>
      <c r="Y63" s="85"/>
      <c r="Z63" s="41" t="str">
        <f aca="false">IF(AND(G63&lt;&gt;"",R63&lt;&gt;"",V63&lt;&gt;"",W63&lt;&gt;""),"COMPLETADO","OBSERVADO")</f>
        <v>OBSERVADO</v>
      </c>
      <c r="AA63" s="89"/>
    </row>
    <row r="64" customFormat="false" ht="15.75" hidden="false" customHeight="true" outlineLevel="0" collapsed="false">
      <c r="A64" s="140"/>
      <c r="B64" s="140"/>
      <c r="C64" s="140"/>
      <c r="D64" s="140"/>
      <c r="E64" s="140"/>
      <c r="F64" s="140"/>
      <c r="G64" s="140"/>
      <c r="H64" s="140"/>
      <c r="I64" s="138" t="str">
        <f aca="false">IFERROR(VLOOKUP(TEXT(H64,"0"),IPRESS!$A$3:$B$212,2,0),"")</f>
        <v/>
      </c>
      <c r="J64" s="140"/>
      <c r="K64" s="138" t="str">
        <f aca="false">IFERROR(VLOOKUP(TEXT(O64,"0"),CONDUCTORES!$A$3:$G$54,7,0),"")</f>
        <v/>
      </c>
      <c r="L64" s="140"/>
      <c r="M64" s="140"/>
      <c r="N64" s="139" t="str">
        <f aca="false">IFERROR(IF(L64*M64=0,"",L64*M64),"")</f>
        <v/>
      </c>
      <c r="O64" s="140"/>
      <c r="P64" s="138" t="str">
        <f aca="false">IFERROR(VLOOKUP(TEXT(O64,"0"),CONDUCTORES!$A$3:$G$54,2,0),"")</f>
        <v/>
      </c>
      <c r="Q64" s="138" t="str">
        <f aca="false">IFERROR(VLOOKUP(TEXT(O64,"0"),CONDUCTORES!$A$3:$H$54,6,0),"")</f>
        <v/>
      </c>
      <c r="R64" s="140"/>
      <c r="S64" s="140"/>
      <c r="T64" s="140"/>
      <c r="U64" s="140"/>
      <c r="V64" s="140"/>
      <c r="W64" s="140"/>
      <c r="X64" s="140"/>
      <c r="Y64" s="140"/>
      <c r="Z64" s="47" t="str">
        <f aca="false">IF(AND(G64&lt;&gt;"",R64&lt;&gt;"",V64&lt;&gt;"",W64&lt;&gt;""),"COMPLETADO","OBSERVADO")</f>
        <v>OBSERVADO</v>
      </c>
      <c r="AA64" s="89"/>
    </row>
    <row r="65" customFormat="false" ht="15.75" hidden="false" customHeight="true" outlineLevel="0" collapsed="false">
      <c r="A65" s="85"/>
      <c r="B65" s="85"/>
      <c r="C65" s="85"/>
      <c r="D65" s="85"/>
      <c r="E65" s="85"/>
      <c r="F65" s="85"/>
      <c r="G65" s="85"/>
      <c r="H65" s="85"/>
      <c r="I65" s="138" t="str">
        <f aca="false">IFERROR(VLOOKUP(TEXT(H65,"0"),IPRESS!$A$3:$B$212,2,0),"")</f>
        <v/>
      </c>
      <c r="J65" s="85"/>
      <c r="K65" s="138" t="str">
        <f aca="false">IFERROR(VLOOKUP(TEXT(O65,"0"),CONDUCTORES!$A$3:$G$54,7,0),"")</f>
        <v/>
      </c>
      <c r="L65" s="85"/>
      <c r="M65" s="85"/>
      <c r="N65" s="139" t="str">
        <f aca="false">IFERROR(IF(L65*M65=0,"",L65*M65),"")</f>
        <v/>
      </c>
      <c r="O65" s="85"/>
      <c r="P65" s="138" t="str">
        <f aca="false">IFERROR(VLOOKUP(TEXT(O65,"0"),CONDUCTORES!$A$3:$G$54,2,0),"")</f>
        <v/>
      </c>
      <c r="Q65" s="138" t="str">
        <f aca="false">IFERROR(VLOOKUP(TEXT(O65,"0"),CONDUCTORES!$A$3:$H$54,6,0),"")</f>
        <v/>
      </c>
      <c r="R65" s="85"/>
      <c r="S65" s="85"/>
      <c r="T65" s="85"/>
      <c r="U65" s="85"/>
      <c r="V65" s="85"/>
      <c r="W65" s="85"/>
      <c r="X65" s="85"/>
      <c r="Y65" s="85"/>
      <c r="Z65" s="41" t="str">
        <f aca="false">IF(AND(G65&lt;&gt;"",R65&lt;&gt;"",V65&lt;&gt;"",W65&lt;&gt;""),"COMPLETADO","OBSERVADO")</f>
        <v>OBSERVADO</v>
      </c>
      <c r="AA65" s="89"/>
    </row>
    <row r="66" customFormat="false" ht="15.75" hidden="false" customHeight="true" outlineLevel="0" collapsed="false">
      <c r="A66" s="140"/>
      <c r="B66" s="140"/>
      <c r="C66" s="140"/>
      <c r="D66" s="140"/>
      <c r="E66" s="140"/>
      <c r="F66" s="140"/>
      <c r="G66" s="140"/>
      <c r="H66" s="140"/>
      <c r="I66" s="138" t="str">
        <f aca="false">IFERROR(VLOOKUP(TEXT(H66,"0"),IPRESS!$A$3:$B$212,2,0),"")</f>
        <v/>
      </c>
      <c r="J66" s="140"/>
      <c r="K66" s="138" t="str">
        <f aca="false">IFERROR(VLOOKUP(TEXT(O66,"0"),CONDUCTORES!$A$3:$G$54,7,0),"")</f>
        <v/>
      </c>
      <c r="L66" s="140"/>
      <c r="M66" s="140"/>
      <c r="N66" s="139" t="str">
        <f aca="false">IFERROR(IF(L66*M66=0,"",L66*M66),"")</f>
        <v/>
      </c>
      <c r="O66" s="140"/>
      <c r="P66" s="138" t="str">
        <f aca="false">IFERROR(VLOOKUP(TEXT(O66,"0"),CONDUCTORES!$A$3:$G$54,2,0),"")</f>
        <v/>
      </c>
      <c r="Q66" s="138" t="str">
        <f aca="false">IFERROR(VLOOKUP(TEXT(O66,"0"),CONDUCTORES!$A$3:$H$54,6,0),"")</f>
        <v/>
      </c>
      <c r="R66" s="140"/>
      <c r="S66" s="140"/>
      <c r="T66" s="140"/>
      <c r="U66" s="140"/>
      <c r="V66" s="140"/>
      <c r="W66" s="140"/>
      <c r="X66" s="140"/>
      <c r="Y66" s="140"/>
      <c r="Z66" s="47" t="str">
        <f aca="false">IF(AND(G66&lt;&gt;"",R66&lt;&gt;"",V66&lt;&gt;"",W66&lt;&gt;""),"COMPLETADO","OBSERVADO")</f>
        <v>OBSERVADO</v>
      </c>
      <c r="AA66" s="89"/>
    </row>
    <row r="67" customFormat="false" ht="15.75" hidden="false" customHeight="true" outlineLevel="0" collapsed="false">
      <c r="A67" s="85"/>
      <c r="B67" s="85"/>
      <c r="C67" s="85"/>
      <c r="D67" s="85"/>
      <c r="E67" s="85"/>
      <c r="F67" s="85"/>
      <c r="G67" s="85"/>
      <c r="H67" s="85"/>
      <c r="I67" s="138" t="str">
        <f aca="false">IFERROR(VLOOKUP(TEXT(H67,"0"),IPRESS!$A$3:$B$212,2,0),"")</f>
        <v/>
      </c>
      <c r="J67" s="85"/>
      <c r="K67" s="138" t="str">
        <f aca="false">IFERROR(VLOOKUP(TEXT(O67,"0"),CONDUCTORES!$A$3:$G$54,7,0),"")</f>
        <v/>
      </c>
      <c r="L67" s="85"/>
      <c r="M67" s="85"/>
      <c r="N67" s="139" t="str">
        <f aca="false">IFERROR(IF(L67*M67=0,"",L67*M67),"")</f>
        <v/>
      </c>
      <c r="O67" s="85"/>
      <c r="P67" s="138" t="str">
        <f aca="false">IFERROR(VLOOKUP(TEXT(O67,"0"),CONDUCTORES!$A$3:$G$54,2,0),"")</f>
        <v/>
      </c>
      <c r="Q67" s="138" t="str">
        <f aca="false">IFERROR(VLOOKUP(TEXT(O67,"0"),CONDUCTORES!$A$3:$H$54,6,0),"")</f>
        <v/>
      </c>
      <c r="R67" s="85"/>
      <c r="S67" s="85"/>
      <c r="T67" s="85"/>
      <c r="U67" s="85"/>
      <c r="V67" s="85"/>
      <c r="W67" s="85"/>
      <c r="X67" s="85"/>
      <c r="Y67" s="85"/>
      <c r="Z67" s="41" t="str">
        <f aca="false">IF(AND(G67&lt;&gt;"",R67&lt;&gt;"",V67&lt;&gt;"",W67&lt;&gt;""),"COMPLETADO","OBSERVADO")</f>
        <v>OBSERVADO</v>
      </c>
      <c r="AA67" s="89"/>
    </row>
    <row r="68" customFormat="false" ht="15.75" hidden="false" customHeight="true" outlineLevel="0" collapsed="false">
      <c r="A68" s="140"/>
      <c r="B68" s="140"/>
      <c r="C68" s="140"/>
      <c r="D68" s="140"/>
      <c r="E68" s="140"/>
      <c r="F68" s="140"/>
      <c r="G68" s="140"/>
      <c r="H68" s="140"/>
      <c r="I68" s="138" t="str">
        <f aca="false">IFERROR(VLOOKUP(TEXT(H68,"0"),IPRESS!$A$3:$B$212,2,0),"")</f>
        <v/>
      </c>
      <c r="J68" s="140"/>
      <c r="K68" s="138" t="str">
        <f aca="false">IFERROR(VLOOKUP(TEXT(O68,"0"),CONDUCTORES!$A$3:$G$54,7,0),"")</f>
        <v/>
      </c>
      <c r="L68" s="140"/>
      <c r="M68" s="140"/>
      <c r="N68" s="139" t="str">
        <f aca="false">IFERROR(IF(L68*M68=0,"",L68*M68),"")</f>
        <v/>
      </c>
      <c r="O68" s="140"/>
      <c r="P68" s="138" t="str">
        <f aca="false">IFERROR(VLOOKUP(TEXT(O68,"0"),CONDUCTORES!$A$3:$G$54,2,0),"")</f>
        <v/>
      </c>
      <c r="Q68" s="138" t="str">
        <f aca="false">IFERROR(VLOOKUP(TEXT(O68,"0"),CONDUCTORES!$A$3:$H$54,6,0),"")</f>
        <v/>
      </c>
      <c r="R68" s="140"/>
      <c r="S68" s="140"/>
      <c r="T68" s="140"/>
      <c r="U68" s="140"/>
      <c r="V68" s="140"/>
      <c r="W68" s="140"/>
      <c r="X68" s="140"/>
      <c r="Y68" s="140"/>
      <c r="Z68" s="47" t="str">
        <f aca="false">IF(AND(G68&lt;&gt;"",R68&lt;&gt;"",V68&lt;&gt;"",W68&lt;&gt;""),"COMPLETADO","OBSERVADO")</f>
        <v>OBSERVADO</v>
      </c>
      <c r="AA68" s="89"/>
    </row>
    <row r="69" customFormat="false" ht="15.75" hidden="false" customHeight="true" outlineLevel="0" collapsed="false">
      <c r="A69" s="85"/>
      <c r="B69" s="85"/>
      <c r="C69" s="85"/>
      <c r="D69" s="85"/>
      <c r="E69" s="85"/>
      <c r="F69" s="85"/>
      <c r="G69" s="85"/>
      <c r="H69" s="85"/>
      <c r="I69" s="138" t="str">
        <f aca="false">IFERROR(VLOOKUP(TEXT(H69,"0"),IPRESS!$A$3:$B$212,2,0),"")</f>
        <v/>
      </c>
      <c r="J69" s="85"/>
      <c r="K69" s="138" t="str">
        <f aca="false">IFERROR(VLOOKUP(TEXT(O69,"0"),CONDUCTORES!$A$3:$G$54,7,0),"")</f>
        <v/>
      </c>
      <c r="L69" s="85"/>
      <c r="M69" s="85"/>
      <c r="N69" s="139" t="str">
        <f aca="false">IFERROR(IF(L69*M69=0,"",L69*M69),"")</f>
        <v/>
      </c>
      <c r="O69" s="85"/>
      <c r="P69" s="138" t="str">
        <f aca="false">IFERROR(VLOOKUP(TEXT(O69,"0"),CONDUCTORES!$A$3:$G$54,2,0),"")</f>
        <v/>
      </c>
      <c r="Q69" s="138" t="str">
        <f aca="false">IFERROR(VLOOKUP(TEXT(O69,"0"),CONDUCTORES!$A$3:$H$54,6,0),"")</f>
        <v/>
      </c>
      <c r="R69" s="85"/>
      <c r="S69" s="85"/>
      <c r="T69" s="85"/>
      <c r="U69" s="85"/>
      <c r="V69" s="85"/>
      <c r="W69" s="85"/>
      <c r="X69" s="85"/>
      <c r="Y69" s="85"/>
      <c r="Z69" s="41" t="str">
        <f aca="false">IF(AND(G69&lt;&gt;"",R69&lt;&gt;"",V69&lt;&gt;"",W69&lt;&gt;""),"COMPLETADO","OBSERVADO")</f>
        <v>OBSERVADO</v>
      </c>
      <c r="AA69" s="89"/>
    </row>
    <row r="70" customFormat="false" ht="15.75" hidden="false" customHeight="true" outlineLevel="0" collapsed="false">
      <c r="A70" s="140"/>
      <c r="B70" s="140"/>
      <c r="C70" s="140"/>
      <c r="D70" s="140"/>
      <c r="E70" s="140"/>
      <c r="F70" s="140"/>
      <c r="G70" s="140"/>
      <c r="H70" s="140"/>
      <c r="I70" s="138" t="str">
        <f aca="false">IFERROR(VLOOKUP(TEXT(H70,"0"),IPRESS!$A$3:$B$212,2,0),"")</f>
        <v/>
      </c>
      <c r="J70" s="140"/>
      <c r="K70" s="138" t="str">
        <f aca="false">IFERROR(VLOOKUP(TEXT(O70,"0"),CONDUCTORES!$A$3:$G$54,7,0),"")</f>
        <v/>
      </c>
      <c r="L70" s="140"/>
      <c r="M70" s="140"/>
      <c r="N70" s="139" t="str">
        <f aca="false">IFERROR(IF(L70*M70=0,"",L70*M70),"")</f>
        <v/>
      </c>
      <c r="O70" s="140"/>
      <c r="P70" s="138" t="str">
        <f aca="false">IFERROR(VLOOKUP(TEXT(O70,"0"),CONDUCTORES!$A$3:$G$54,2,0),"")</f>
        <v/>
      </c>
      <c r="Q70" s="138" t="str">
        <f aca="false">IFERROR(VLOOKUP(TEXT(O70,"0"),CONDUCTORES!$A$3:$H$54,6,0),"")</f>
        <v/>
      </c>
      <c r="R70" s="140"/>
      <c r="S70" s="140"/>
      <c r="T70" s="140"/>
      <c r="U70" s="140"/>
      <c r="V70" s="140"/>
      <c r="W70" s="140"/>
      <c r="X70" s="140"/>
      <c r="Y70" s="140"/>
      <c r="Z70" s="47" t="str">
        <f aca="false">IF(AND(G70&lt;&gt;"",R70&lt;&gt;"",V70&lt;&gt;"",W70&lt;&gt;""),"COMPLETADO","OBSERVADO")</f>
        <v>OBSERVADO</v>
      </c>
      <c r="AA70" s="89"/>
    </row>
    <row r="71" customFormat="false" ht="15.75" hidden="false" customHeight="true" outlineLevel="0" collapsed="false">
      <c r="A71" s="85"/>
      <c r="B71" s="85"/>
      <c r="C71" s="85"/>
      <c r="D71" s="85"/>
      <c r="E71" s="85"/>
      <c r="F71" s="85"/>
      <c r="G71" s="85"/>
      <c r="H71" s="85"/>
      <c r="I71" s="138" t="str">
        <f aca="false">IFERROR(VLOOKUP(TEXT(H71,"0"),IPRESS!$A$3:$B$212,2,0),"")</f>
        <v/>
      </c>
      <c r="J71" s="85"/>
      <c r="K71" s="138" t="str">
        <f aca="false">IFERROR(VLOOKUP(TEXT(O71,"0"),CONDUCTORES!$A$3:$G$54,7,0),"")</f>
        <v/>
      </c>
      <c r="L71" s="85"/>
      <c r="M71" s="85"/>
      <c r="N71" s="139" t="str">
        <f aca="false">IFERROR(IF(L71*M71=0,"",L71*M71),"")</f>
        <v/>
      </c>
      <c r="O71" s="85"/>
      <c r="P71" s="138" t="str">
        <f aca="false">IFERROR(VLOOKUP(TEXT(O71,"0"),CONDUCTORES!$A$3:$G$54,2,0),"")</f>
        <v/>
      </c>
      <c r="Q71" s="138" t="str">
        <f aca="false">IFERROR(VLOOKUP(TEXT(O71,"0"),CONDUCTORES!$A$3:$H$54,6,0),"")</f>
        <v/>
      </c>
      <c r="R71" s="85"/>
      <c r="S71" s="85"/>
      <c r="T71" s="85"/>
      <c r="U71" s="85"/>
      <c r="V71" s="85"/>
      <c r="W71" s="85"/>
      <c r="X71" s="85"/>
      <c r="Y71" s="85"/>
      <c r="Z71" s="41" t="str">
        <f aca="false">IF(AND(G71&lt;&gt;"",R71&lt;&gt;"",V71&lt;&gt;"",W71&lt;&gt;""),"COMPLETADO","OBSERVADO")</f>
        <v>OBSERVADO</v>
      </c>
      <c r="AA71" s="89"/>
    </row>
    <row r="72" customFormat="false" ht="15.75" hidden="false" customHeight="true" outlineLevel="0" collapsed="false">
      <c r="A72" s="140"/>
      <c r="B72" s="140"/>
      <c r="C72" s="140"/>
      <c r="D72" s="140"/>
      <c r="E72" s="140"/>
      <c r="F72" s="140"/>
      <c r="G72" s="140"/>
      <c r="H72" s="140"/>
      <c r="I72" s="138" t="str">
        <f aca="false">IFERROR(VLOOKUP(TEXT(H72,"0"),IPRESS!$A$3:$B$212,2,0),"")</f>
        <v/>
      </c>
      <c r="J72" s="140"/>
      <c r="K72" s="138" t="str">
        <f aca="false">IFERROR(VLOOKUP(TEXT(O72,"0"),CONDUCTORES!$A$3:$G$54,7,0),"")</f>
        <v/>
      </c>
      <c r="L72" s="140"/>
      <c r="M72" s="140"/>
      <c r="N72" s="139" t="str">
        <f aca="false">IFERROR(IF(L72*M72=0,"",L72*M72),"")</f>
        <v/>
      </c>
      <c r="O72" s="140"/>
      <c r="P72" s="138" t="str">
        <f aca="false">IFERROR(VLOOKUP(TEXT(O72,"0"),CONDUCTORES!$A$3:$G$54,2,0),"")</f>
        <v/>
      </c>
      <c r="Q72" s="138" t="str">
        <f aca="false">IFERROR(VLOOKUP(TEXT(O72,"0"),CONDUCTORES!$A$3:$H$54,6,0),"")</f>
        <v/>
      </c>
      <c r="R72" s="140"/>
      <c r="S72" s="140"/>
      <c r="T72" s="140"/>
      <c r="U72" s="140"/>
      <c r="V72" s="140"/>
      <c r="W72" s="140"/>
      <c r="X72" s="140"/>
      <c r="Y72" s="140"/>
      <c r="Z72" s="47" t="str">
        <f aca="false">IF(AND(G72&lt;&gt;"",R72&lt;&gt;"",V72&lt;&gt;"",W72&lt;&gt;""),"COMPLETADO","OBSERVADO")</f>
        <v>OBSERVADO</v>
      </c>
      <c r="AA72" s="89"/>
    </row>
    <row r="73" customFormat="false" ht="15.75" hidden="false" customHeight="true" outlineLevel="0" collapsed="false">
      <c r="A73" s="85"/>
      <c r="B73" s="85"/>
      <c r="C73" s="85"/>
      <c r="D73" s="85"/>
      <c r="E73" s="85"/>
      <c r="F73" s="85"/>
      <c r="G73" s="85"/>
      <c r="H73" s="85"/>
      <c r="I73" s="138" t="str">
        <f aca="false">IFERROR(VLOOKUP(TEXT(H73,"0"),IPRESS!$A$3:$B$212,2,0),"")</f>
        <v/>
      </c>
      <c r="J73" s="85"/>
      <c r="K73" s="138" t="str">
        <f aca="false">IFERROR(VLOOKUP(TEXT(O73,"0"),CONDUCTORES!$A$3:$G$54,7,0),"")</f>
        <v/>
      </c>
      <c r="L73" s="85"/>
      <c r="M73" s="85"/>
      <c r="N73" s="139" t="str">
        <f aca="false">IFERROR(IF(L73*M73=0,"",L73*M73),"")</f>
        <v/>
      </c>
      <c r="O73" s="85"/>
      <c r="P73" s="138" t="str">
        <f aca="false">IFERROR(VLOOKUP(TEXT(O73,"0"),CONDUCTORES!$A$3:$G$54,2,0),"")</f>
        <v/>
      </c>
      <c r="Q73" s="138" t="str">
        <f aca="false">IFERROR(VLOOKUP(TEXT(O73,"0"),CONDUCTORES!$A$3:$H$54,6,0),"")</f>
        <v/>
      </c>
      <c r="R73" s="85"/>
      <c r="S73" s="85"/>
      <c r="T73" s="85"/>
      <c r="U73" s="85"/>
      <c r="V73" s="85"/>
      <c r="W73" s="85"/>
      <c r="X73" s="85"/>
      <c r="Y73" s="85"/>
      <c r="Z73" s="41" t="str">
        <f aca="false">IF(AND(G73&lt;&gt;"",R73&lt;&gt;"",V73&lt;&gt;"",W73&lt;&gt;""),"COMPLETADO","OBSERVADO")</f>
        <v>OBSERVADO</v>
      </c>
      <c r="AA73" s="89"/>
    </row>
    <row r="74" customFormat="false" ht="15.75" hidden="false" customHeight="true" outlineLevel="0" collapsed="false">
      <c r="A74" s="140"/>
      <c r="B74" s="140"/>
      <c r="C74" s="140"/>
      <c r="D74" s="140"/>
      <c r="E74" s="140"/>
      <c r="F74" s="140"/>
      <c r="G74" s="140"/>
      <c r="H74" s="140"/>
      <c r="I74" s="138" t="str">
        <f aca="false">IFERROR(VLOOKUP(TEXT(H74,"0"),IPRESS!$A$3:$B$212,2,0),"")</f>
        <v/>
      </c>
      <c r="J74" s="140"/>
      <c r="K74" s="138" t="str">
        <f aca="false">IFERROR(VLOOKUP(TEXT(O74,"0"),CONDUCTORES!$A$3:$G$54,7,0),"")</f>
        <v/>
      </c>
      <c r="L74" s="140"/>
      <c r="M74" s="140"/>
      <c r="N74" s="139" t="str">
        <f aca="false">IFERROR(IF(L74*M74=0,"",L74*M74),"")</f>
        <v/>
      </c>
      <c r="O74" s="140"/>
      <c r="P74" s="138" t="str">
        <f aca="false">IFERROR(VLOOKUP(TEXT(O74,"0"),CONDUCTORES!$A$3:$G$54,2,0),"")</f>
        <v/>
      </c>
      <c r="Q74" s="138" t="str">
        <f aca="false">IFERROR(VLOOKUP(TEXT(O74,"0"),CONDUCTORES!$A$3:$H$54,6,0),"")</f>
        <v/>
      </c>
      <c r="R74" s="140"/>
      <c r="S74" s="140"/>
      <c r="T74" s="140"/>
      <c r="U74" s="140"/>
      <c r="V74" s="140"/>
      <c r="W74" s="140"/>
      <c r="X74" s="140"/>
      <c r="Y74" s="140"/>
      <c r="Z74" s="47" t="str">
        <f aca="false">IF(AND(G74&lt;&gt;"",R74&lt;&gt;"",V74&lt;&gt;"",W74&lt;&gt;""),"COMPLETADO","OBSERVADO")</f>
        <v>OBSERVADO</v>
      </c>
      <c r="AA74" s="89"/>
    </row>
    <row r="75" customFormat="false" ht="15.75" hidden="false" customHeight="true" outlineLevel="0" collapsed="false">
      <c r="A75" s="85"/>
      <c r="B75" s="85"/>
      <c r="C75" s="85"/>
      <c r="D75" s="85"/>
      <c r="E75" s="85"/>
      <c r="F75" s="85"/>
      <c r="G75" s="85"/>
      <c r="H75" s="85"/>
      <c r="I75" s="138" t="str">
        <f aca="false">IFERROR(VLOOKUP(TEXT(H75,"0"),IPRESS!$A$3:$B$212,2,0),"")</f>
        <v/>
      </c>
      <c r="J75" s="85"/>
      <c r="K75" s="138" t="str">
        <f aca="false">IFERROR(VLOOKUP(TEXT(O75,"0"),CONDUCTORES!$A$3:$G$54,7,0),"")</f>
        <v/>
      </c>
      <c r="L75" s="85"/>
      <c r="M75" s="85"/>
      <c r="N75" s="139" t="str">
        <f aca="false">IFERROR(IF(L75*M75=0,"",L75*M75),"")</f>
        <v/>
      </c>
      <c r="O75" s="85"/>
      <c r="P75" s="138" t="str">
        <f aca="false">IFERROR(VLOOKUP(TEXT(O75,"0"),CONDUCTORES!$A$3:$G$54,2,0),"")</f>
        <v/>
      </c>
      <c r="Q75" s="138" t="str">
        <f aca="false">IFERROR(VLOOKUP(TEXT(O75,"0"),CONDUCTORES!$A$3:$H$54,6,0),"")</f>
        <v/>
      </c>
      <c r="R75" s="85"/>
      <c r="S75" s="85"/>
      <c r="T75" s="85"/>
      <c r="U75" s="85"/>
      <c r="V75" s="85"/>
      <c r="W75" s="85"/>
      <c r="X75" s="85"/>
      <c r="Y75" s="85"/>
      <c r="Z75" s="41" t="str">
        <f aca="false">IF(AND(G75&lt;&gt;"",R75&lt;&gt;"",V75&lt;&gt;"",W75&lt;&gt;""),"COMPLETADO","OBSERVADO")</f>
        <v>OBSERVADO</v>
      </c>
      <c r="AA75" s="89"/>
    </row>
    <row r="76" customFormat="false" ht="15.75" hidden="false" customHeight="true" outlineLevel="0" collapsed="false">
      <c r="A76" s="140"/>
      <c r="B76" s="140"/>
      <c r="C76" s="140"/>
      <c r="D76" s="140"/>
      <c r="E76" s="140"/>
      <c r="F76" s="140"/>
      <c r="G76" s="140"/>
      <c r="H76" s="140"/>
      <c r="I76" s="138" t="str">
        <f aca="false">IFERROR(VLOOKUP(TEXT(H76,"0"),IPRESS!$A$3:$B$212,2,0),"")</f>
        <v/>
      </c>
      <c r="J76" s="140"/>
      <c r="K76" s="138" t="str">
        <f aca="false">IFERROR(VLOOKUP(TEXT(O76,"0"),CONDUCTORES!$A$3:$G$54,7,0),"")</f>
        <v/>
      </c>
      <c r="L76" s="140"/>
      <c r="M76" s="140"/>
      <c r="N76" s="139" t="str">
        <f aca="false">IFERROR(IF(L76*M76=0,"",L76*M76),"")</f>
        <v/>
      </c>
      <c r="O76" s="140"/>
      <c r="P76" s="138" t="str">
        <f aca="false">IFERROR(VLOOKUP(TEXT(O76,"0"),CONDUCTORES!$A$3:$G$54,2,0),"")</f>
        <v/>
      </c>
      <c r="Q76" s="138" t="str">
        <f aca="false">IFERROR(VLOOKUP(TEXT(O76,"0"),CONDUCTORES!$A$3:$H$54,6,0),"")</f>
        <v/>
      </c>
      <c r="R76" s="140"/>
      <c r="S76" s="140"/>
      <c r="T76" s="140"/>
      <c r="U76" s="140"/>
      <c r="V76" s="140"/>
      <c r="W76" s="140"/>
      <c r="X76" s="140"/>
      <c r="Y76" s="140"/>
      <c r="Z76" s="47" t="str">
        <f aca="false">IF(AND(G76&lt;&gt;"",R76&lt;&gt;"",V76&lt;&gt;"",W76&lt;&gt;""),"COMPLETADO","OBSERVADO")</f>
        <v>OBSERVADO</v>
      </c>
      <c r="AA76" s="89"/>
    </row>
    <row r="77" customFormat="false" ht="15.75" hidden="false" customHeight="true" outlineLevel="0" collapsed="false">
      <c r="A77" s="85"/>
      <c r="B77" s="85"/>
      <c r="C77" s="85"/>
      <c r="D77" s="85"/>
      <c r="E77" s="85"/>
      <c r="F77" s="85"/>
      <c r="G77" s="85"/>
      <c r="H77" s="85"/>
      <c r="I77" s="138" t="str">
        <f aca="false">IFERROR(VLOOKUP(TEXT(H77,"0"),IPRESS!$A$3:$B$212,2,0),"")</f>
        <v/>
      </c>
      <c r="J77" s="85"/>
      <c r="K77" s="138" t="str">
        <f aca="false">IFERROR(VLOOKUP(TEXT(O77,"0"),CONDUCTORES!$A$3:$G$54,7,0),"")</f>
        <v/>
      </c>
      <c r="L77" s="85"/>
      <c r="M77" s="85"/>
      <c r="N77" s="139" t="str">
        <f aca="false">IFERROR(IF(L77*M77=0,"",L77*M77),"")</f>
        <v/>
      </c>
      <c r="O77" s="85"/>
      <c r="P77" s="138" t="str">
        <f aca="false">IFERROR(VLOOKUP(TEXT(O77,"0"),CONDUCTORES!$A$3:$G$54,2,0),"")</f>
        <v/>
      </c>
      <c r="Q77" s="138" t="str">
        <f aca="false">IFERROR(VLOOKUP(TEXT(O77,"0"),CONDUCTORES!$A$3:$H$54,6,0),"")</f>
        <v/>
      </c>
      <c r="R77" s="85"/>
      <c r="S77" s="85"/>
      <c r="T77" s="85"/>
      <c r="U77" s="85"/>
      <c r="V77" s="85"/>
      <c r="W77" s="85"/>
      <c r="X77" s="85"/>
      <c r="Y77" s="85"/>
      <c r="Z77" s="41" t="str">
        <f aca="false">IF(AND(G77&lt;&gt;"",R77&lt;&gt;"",V77&lt;&gt;"",W77&lt;&gt;""),"COMPLETADO","OBSERVADO")</f>
        <v>OBSERVADO</v>
      </c>
      <c r="AA77" s="89"/>
    </row>
    <row r="78" customFormat="false" ht="15.75" hidden="false" customHeight="true" outlineLevel="0" collapsed="false">
      <c r="A78" s="140"/>
      <c r="B78" s="140"/>
      <c r="C78" s="140"/>
      <c r="D78" s="140"/>
      <c r="E78" s="140"/>
      <c r="F78" s="140"/>
      <c r="G78" s="140"/>
      <c r="H78" s="140"/>
      <c r="I78" s="138" t="str">
        <f aca="false">IFERROR(VLOOKUP(TEXT(H78,"0"),IPRESS!$A$3:$B$212,2,0),"")</f>
        <v/>
      </c>
      <c r="J78" s="140"/>
      <c r="K78" s="138" t="str">
        <f aca="false">IFERROR(VLOOKUP(TEXT(O78,"0"),CONDUCTORES!$A$3:$G$54,7,0),"")</f>
        <v/>
      </c>
      <c r="L78" s="140"/>
      <c r="M78" s="140"/>
      <c r="N78" s="139" t="str">
        <f aca="false">IFERROR(IF(L78*M78=0,"",L78*M78),"")</f>
        <v/>
      </c>
      <c r="O78" s="140"/>
      <c r="P78" s="138" t="str">
        <f aca="false">IFERROR(VLOOKUP(TEXT(O78,"0"),CONDUCTORES!$A$3:$G$54,2,0),"")</f>
        <v/>
      </c>
      <c r="Q78" s="138" t="str">
        <f aca="false">IFERROR(VLOOKUP(TEXT(O78,"0"),CONDUCTORES!$A$3:$H$54,6,0),"")</f>
        <v/>
      </c>
      <c r="R78" s="140"/>
      <c r="S78" s="140"/>
      <c r="T78" s="140"/>
      <c r="U78" s="140"/>
      <c r="V78" s="140"/>
      <c r="W78" s="140"/>
      <c r="X78" s="140"/>
      <c r="Y78" s="140"/>
      <c r="Z78" s="47" t="str">
        <f aca="false">IF(AND(G78&lt;&gt;"",R78&lt;&gt;"",V78&lt;&gt;"",W78&lt;&gt;""),"COMPLETADO","OBSERVADO")</f>
        <v>OBSERVADO</v>
      </c>
      <c r="AA78" s="89"/>
    </row>
    <row r="79" customFormat="false" ht="15.75" hidden="false" customHeight="true" outlineLevel="0" collapsed="false">
      <c r="A79" s="85"/>
      <c r="B79" s="85"/>
      <c r="C79" s="85"/>
      <c r="D79" s="85"/>
      <c r="E79" s="85"/>
      <c r="F79" s="85"/>
      <c r="G79" s="85"/>
      <c r="H79" s="85"/>
      <c r="I79" s="138" t="str">
        <f aca="false">IFERROR(VLOOKUP(TEXT(H79,"0"),IPRESS!$A$3:$B$212,2,0),"")</f>
        <v/>
      </c>
      <c r="J79" s="85"/>
      <c r="K79" s="138" t="str">
        <f aca="false">IFERROR(VLOOKUP(TEXT(O79,"0"),CONDUCTORES!$A$3:$G$54,7,0),"")</f>
        <v/>
      </c>
      <c r="L79" s="85"/>
      <c r="M79" s="85"/>
      <c r="N79" s="139" t="str">
        <f aca="false">IFERROR(IF(L79*M79=0,"",L79*M79),"")</f>
        <v/>
      </c>
      <c r="O79" s="85"/>
      <c r="P79" s="138" t="str">
        <f aca="false">IFERROR(VLOOKUP(TEXT(O79,"0"),CONDUCTORES!$A$3:$G$54,2,0),"")</f>
        <v/>
      </c>
      <c r="Q79" s="138" t="str">
        <f aca="false">IFERROR(VLOOKUP(TEXT(O79,"0"),CONDUCTORES!$A$3:$H$54,6,0),"")</f>
        <v/>
      </c>
      <c r="R79" s="85"/>
      <c r="S79" s="85"/>
      <c r="T79" s="85"/>
      <c r="U79" s="85"/>
      <c r="V79" s="85"/>
      <c r="W79" s="85"/>
      <c r="X79" s="85"/>
      <c r="Y79" s="85"/>
      <c r="Z79" s="41" t="str">
        <f aca="false">IF(AND(G79&lt;&gt;"",R79&lt;&gt;"",V79&lt;&gt;"",W79&lt;&gt;""),"COMPLETADO","OBSERVADO")</f>
        <v>OBSERVADO</v>
      </c>
      <c r="AA79" s="89"/>
    </row>
    <row r="80" customFormat="false" ht="15.75" hidden="false" customHeight="true" outlineLevel="0" collapsed="false">
      <c r="A80" s="140"/>
      <c r="B80" s="140"/>
      <c r="C80" s="140"/>
      <c r="D80" s="140"/>
      <c r="E80" s="140"/>
      <c r="F80" s="140"/>
      <c r="G80" s="140"/>
      <c r="H80" s="140"/>
      <c r="I80" s="138" t="str">
        <f aca="false">IFERROR(VLOOKUP(TEXT(H80,"0"),IPRESS!$A$3:$B$212,2,0),"")</f>
        <v/>
      </c>
      <c r="J80" s="140"/>
      <c r="K80" s="138" t="str">
        <f aca="false">IFERROR(VLOOKUP(TEXT(O80,"0"),CONDUCTORES!$A$3:$G$54,7,0),"")</f>
        <v/>
      </c>
      <c r="L80" s="140"/>
      <c r="M80" s="140"/>
      <c r="N80" s="139" t="str">
        <f aca="false">IFERROR(IF(L80*M80=0,"",L80*M80),"")</f>
        <v/>
      </c>
      <c r="O80" s="140"/>
      <c r="P80" s="138" t="str">
        <f aca="false">IFERROR(VLOOKUP(TEXT(O80,"0"),CONDUCTORES!$A$3:$G$54,2,0),"")</f>
        <v/>
      </c>
      <c r="Q80" s="138" t="str">
        <f aca="false">IFERROR(VLOOKUP(TEXT(O80,"0"),CONDUCTORES!$A$3:$H$54,6,0),"")</f>
        <v/>
      </c>
      <c r="R80" s="140"/>
      <c r="S80" s="140"/>
      <c r="T80" s="140"/>
      <c r="U80" s="140"/>
      <c r="V80" s="140"/>
      <c r="W80" s="140"/>
      <c r="X80" s="140"/>
      <c r="Y80" s="140"/>
      <c r="Z80" s="47" t="str">
        <f aca="false">IF(AND(G80&lt;&gt;"",R80&lt;&gt;"",V80&lt;&gt;"",W80&lt;&gt;""),"COMPLETADO","OBSERVADO")</f>
        <v>OBSERVADO</v>
      </c>
      <c r="AA80" s="89"/>
    </row>
    <row r="81" customFormat="false" ht="15.75" hidden="false" customHeight="true" outlineLevel="0" collapsed="false">
      <c r="A81" s="85"/>
      <c r="B81" s="85"/>
      <c r="C81" s="85"/>
      <c r="D81" s="85"/>
      <c r="E81" s="85"/>
      <c r="F81" s="85"/>
      <c r="G81" s="85"/>
      <c r="H81" s="85"/>
      <c r="I81" s="138" t="str">
        <f aca="false">IFERROR(VLOOKUP(TEXT(H81,"0"),IPRESS!$A$3:$B$212,2,0),"")</f>
        <v/>
      </c>
      <c r="J81" s="85"/>
      <c r="K81" s="138" t="str">
        <f aca="false">IFERROR(VLOOKUP(TEXT(O81,"0"),CONDUCTORES!$A$3:$G$54,7,0),"")</f>
        <v/>
      </c>
      <c r="L81" s="85"/>
      <c r="M81" s="85"/>
      <c r="N81" s="139" t="str">
        <f aca="false">IFERROR(IF(L81*M81=0,"",L81*M81),"")</f>
        <v/>
      </c>
      <c r="O81" s="85"/>
      <c r="P81" s="138" t="str">
        <f aca="false">IFERROR(VLOOKUP(TEXT(O81,"0"),CONDUCTORES!$A$3:$G$54,2,0),"")</f>
        <v/>
      </c>
      <c r="Q81" s="138" t="str">
        <f aca="false">IFERROR(VLOOKUP(TEXT(O81,"0"),CONDUCTORES!$A$3:$H$54,6,0),"")</f>
        <v/>
      </c>
      <c r="R81" s="85"/>
      <c r="S81" s="85"/>
      <c r="T81" s="85"/>
      <c r="U81" s="85"/>
      <c r="V81" s="85"/>
      <c r="W81" s="85"/>
      <c r="X81" s="85"/>
      <c r="Y81" s="85"/>
      <c r="Z81" s="41" t="str">
        <f aca="false">IF(AND(G81&lt;&gt;"",R81&lt;&gt;"",V81&lt;&gt;"",W81&lt;&gt;""),"COMPLETADO","OBSERVADO")</f>
        <v>OBSERVADO</v>
      </c>
      <c r="AA81" s="89"/>
    </row>
    <row r="82" customFormat="false" ht="15.75" hidden="false" customHeight="true" outlineLevel="0" collapsed="false">
      <c r="A82" s="140"/>
      <c r="B82" s="140"/>
      <c r="C82" s="140"/>
      <c r="D82" s="140"/>
      <c r="E82" s="140"/>
      <c r="F82" s="140"/>
      <c r="G82" s="140"/>
      <c r="H82" s="140"/>
      <c r="I82" s="138" t="str">
        <f aca="false">IFERROR(VLOOKUP(TEXT(H82,"0"),IPRESS!$A$3:$B$212,2,0),"")</f>
        <v/>
      </c>
      <c r="J82" s="140"/>
      <c r="K82" s="138" t="str">
        <f aca="false">IFERROR(VLOOKUP(TEXT(O82,"0"),CONDUCTORES!$A$3:$G$54,7,0),"")</f>
        <v/>
      </c>
      <c r="L82" s="140"/>
      <c r="M82" s="140"/>
      <c r="N82" s="139" t="str">
        <f aca="false">IFERROR(IF(L82*M82=0,"",L82*M82),"")</f>
        <v/>
      </c>
      <c r="O82" s="140"/>
      <c r="P82" s="138" t="str">
        <f aca="false">IFERROR(VLOOKUP(TEXT(O82,"0"),CONDUCTORES!$A$3:$G$54,2,0),"")</f>
        <v/>
      </c>
      <c r="Q82" s="138" t="str">
        <f aca="false">IFERROR(VLOOKUP(TEXT(O82,"0"),CONDUCTORES!$A$3:$H$54,6,0),"")</f>
        <v/>
      </c>
      <c r="R82" s="140"/>
      <c r="S82" s="140"/>
      <c r="T82" s="140"/>
      <c r="U82" s="140"/>
      <c r="V82" s="140"/>
      <c r="W82" s="140"/>
      <c r="X82" s="140"/>
      <c r="Y82" s="140"/>
      <c r="Z82" s="47" t="str">
        <f aca="false">IF(AND(G82&lt;&gt;"",R82&lt;&gt;"",V82&lt;&gt;"",W82&lt;&gt;""),"COMPLETADO","OBSERVADO")</f>
        <v>OBSERVADO</v>
      </c>
      <c r="AA82" s="89"/>
    </row>
    <row r="83" customFormat="false" ht="15.75" hidden="false" customHeight="true" outlineLevel="0" collapsed="false">
      <c r="A83" s="85"/>
      <c r="B83" s="85"/>
      <c r="C83" s="85"/>
      <c r="D83" s="85"/>
      <c r="E83" s="85"/>
      <c r="F83" s="85"/>
      <c r="G83" s="85"/>
      <c r="H83" s="85"/>
      <c r="I83" s="138" t="str">
        <f aca="false">IFERROR(VLOOKUP(TEXT(H83,"0"),IPRESS!$A$3:$B$212,2,0),"")</f>
        <v/>
      </c>
      <c r="J83" s="85"/>
      <c r="K83" s="138" t="str">
        <f aca="false">IFERROR(VLOOKUP(TEXT(O83,"0"),CONDUCTORES!$A$3:$G$54,7,0),"")</f>
        <v/>
      </c>
      <c r="L83" s="85"/>
      <c r="M83" s="85"/>
      <c r="N83" s="139" t="str">
        <f aca="false">IFERROR(IF(L83*M83=0,"",L83*M83),"")</f>
        <v/>
      </c>
      <c r="O83" s="85"/>
      <c r="P83" s="138" t="str">
        <f aca="false">IFERROR(VLOOKUP(TEXT(O83,"0"),CONDUCTORES!$A$3:$G$54,2,0),"")</f>
        <v/>
      </c>
      <c r="Q83" s="138" t="str">
        <f aca="false">IFERROR(VLOOKUP(TEXT(O83,"0"),CONDUCTORES!$A$3:$H$54,6,0),"")</f>
        <v/>
      </c>
      <c r="R83" s="85"/>
      <c r="S83" s="85"/>
      <c r="T83" s="85"/>
      <c r="U83" s="85"/>
      <c r="V83" s="85"/>
      <c r="W83" s="85"/>
      <c r="X83" s="85"/>
      <c r="Y83" s="85"/>
      <c r="Z83" s="41" t="str">
        <f aca="false">IF(AND(G83&lt;&gt;"",R83&lt;&gt;"",V83&lt;&gt;"",W83&lt;&gt;""),"COMPLETADO","OBSERVADO")</f>
        <v>OBSERVADO</v>
      </c>
      <c r="AA83" s="89"/>
    </row>
    <row r="84" customFormat="false" ht="15.75" hidden="false" customHeight="true" outlineLevel="0" collapsed="false">
      <c r="A84" s="140"/>
      <c r="B84" s="140"/>
      <c r="C84" s="140"/>
      <c r="D84" s="140"/>
      <c r="E84" s="140"/>
      <c r="F84" s="140"/>
      <c r="G84" s="140"/>
      <c r="H84" s="140"/>
      <c r="I84" s="138" t="str">
        <f aca="false">IFERROR(VLOOKUP(TEXT(H84,"0"),IPRESS!$A$3:$B$212,2,0),"")</f>
        <v/>
      </c>
      <c r="J84" s="140"/>
      <c r="K84" s="138" t="str">
        <f aca="false">IFERROR(VLOOKUP(TEXT(O84,"0"),CONDUCTORES!$A$3:$G$54,7,0),"")</f>
        <v/>
      </c>
      <c r="L84" s="140"/>
      <c r="M84" s="140"/>
      <c r="N84" s="139" t="str">
        <f aca="false">IFERROR(IF(L84*M84=0,"",L84*M84),"")</f>
        <v/>
      </c>
      <c r="O84" s="140"/>
      <c r="P84" s="138" t="str">
        <f aca="false">IFERROR(VLOOKUP(TEXT(O84,"0"),CONDUCTORES!$A$3:$G$54,2,0),"")</f>
        <v/>
      </c>
      <c r="Q84" s="138" t="str">
        <f aca="false">IFERROR(VLOOKUP(TEXT(O84,"0"),CONDUCTORES!$A$3:$H$54,6,0),"")</f>
        <v/>
      </c>
      <c r="R84" s="140"/>
      <c r="S84" s="140"/>
      <c r="T84" s="140"/>
      <c r="U84" s="140"/>
      <c r="V84" s="140"/>
      <c r="W84" s="140"/>
      <c r="X84" s="140"/>
      <c r="Y84" s="140"/>
      <c r="Z84" s="47" t="str">
        <f aca="false">IF(AND(G84&lt;&gt;"",R84&lt;&gt;"",V84&lt;&gt;"",W84&lt;&gt;""),"COMPLETADO","OBSERVADO")</f>
        <v>OBSERVADO</v>
      </c>
      <c r="AA84" s="89"/>
    </row>
    <row r="85" customFormat="false" ht="15.75" hidden="false" customHeight="true" outlineLevel="0" collapsed="false">
      <c r="A85" s="85"/>
      <c r="B85" s="85"/>
      <c r="C85" s="85"/>
      <c r="D85" s="85"/>
      <c r="E85" s="85"/>
      <c r="F85" s="85"/>
      <c r="G85" s="85"/>
      <c r="H85" s="85"/>
      <c r="I85" s="138" t="str">
        <f aca="false">IFERROR(VLOOKUP(TEXT(H85,"0"),IPRESS!$A$3:$B$212,2,0),"")</f>
        <v/>
      </c>
      <c r="J85" s="85"/>
      <c r="K85" s="138" t="str">
        <f aca="false">IFERROR(VLOOKUP(TEXT(O85,"0"),CONDUCTORES!$A$3:$G$54,7,0),"")</f>
        <v/>
      </c>
      <c r="L85" s="85"/>
      <c r="M85" s="85"/>
      <c r="N85" s="139" t="str">
        <f aca="false">IFERROR(IF(L85*M85=0,"",L85*M85),"")</f>
        <v/>
      </c>
      <c r="O85" s="85"/>
      <c r="P85" s="138" t="str">
        <f aca="false">IFERROR(VLOOKUP(TEXT(O85,"0"),CONDUCTORES!$A$3:$G$54,2,0),"")</f>
        <v/>
      </c>
      <c r="Q85" s="138" t="str">
        <f aca="false">IFERROR(VLOOKUP(TEXT(O85,"0"),CONDUCTORES!$A$3:$H$54,6,0),"")</f>
        <v/>
      </c>
      <c r="R85" s="85"/>
      <c r="S85" s="85"/>
      <c r="T85" s="85"/>
      <c r="U85" s="85"/>
      <c r="V85" s="85"/>
      <c r="W85" s="85"/>
      <c r="X85" s="85"/>
      <c r="Y85" s="85"/>
      <c r="Z85" s="41" t="str">
        <f aca="false">IF(AND(G85&lt;&gt;"",R85&lt;&gt;"",V85&lt;&gt;"",W85&lt;&gt;""),"COMPLETADO","OBSERVADO")</f>
        <v>OBSERVADO</v>
      </c>
      <c r="AA85" s="89"/>
    </row>
    <row r="86" customFormat="false" ht="15.75" hidden="false" customHeight="true" outlineLevel="0" collapsed="false">
      <c r="A86" s="140"/>
      <c r="B86" s="140"/>
      <c r="C86" s="140"/>
      <c r="D86" s="140"/>
      <c r="E86" s="140"/>
      <c r="F86" s="140"/>
      <c r="G86" s="140"/>
      <c r="H86" s="140"/>
      <c r="I86" s="138" t="str">
        <f aca="false">IFERROR(VLOOKUP(TEXT(H86,"0"),IPRESS!$A$3:$B$212,2,0),"")</f>
        <v/>
      </c>
      <c r="J86" s="140"/>
      <c r="K86" s="138" t="str">
        <f aca="false">IFERROR(VLOOKUP(TEXT(O86,"0"),CONDUCTORES!$A$3:$G$54,7,0),"")</f>
        <v/>
      </c>
      <c r="L86" s="140"/>
      <c r="M86" s="140"/>
      <c r="N86" s="139" t="str">
        <f aca="false">IFERROR(IF(L86*M86=0,"",L86*M86),"")</f>
        <v/>
      </c>
      <c r="O86" s="140"/>
      <c r="P86" s="138" t="str">
        <f aca="false">IFERROR(VLOOKUP(TEXT(O86,"0"),CONDUCTORES!$A$3:$G$54,2,0),"")</f>
        <v/>
      </c>
      <c r="Q86" s="138" t="str">
        <f aca="false">IFERROR(VLOOKUP(TEXT(O86,"0"),CONDUCTORES!$A$3:$H$54,6,0),"")</f>
        <v/>
      </c>
      <c r="R86" s="140"/>
      <c r="S86" s="140"/>
      <c r="T86" s="140"/>
      <c r="U86" s="140"/>
      <c r="V86" s="140"/>
      <c r="W86" s="140"/>
      <c r="X86" s="140"/>
      <c r="Y86" s="140"/>
      <c r="Z86" s="47" t="str">
        <f aca="false">IF(AND(G86&lt;&gt;"",R86&lt;&gt;"",V86&lt;&gt;"",W86&lt;&gt;""),"COMPLETADO","OBSERVADO")</f>
        <v>OBSERVADO</v>
      </c>
      <c r="AA86" s="89"/>
    </row>
    <row r="87" customFormat="false" ht="15.75" hidden="false" customHeight="true" outlineLevel="0" collapsed="false">
      <c r="A87" s="85"/>
      <c r="B87" s="85"/>
      <c r="C87" s="85"/>
      <c r="D87" s="85"/>
      <c r="E87" s="85"/>
      <c r="F87" s="85"/>
      <c r="G87" s="85"/>
      <c r="H87" s="85"/>
      <c r="I87" s="138" t="str">
        <f aca="false">IFERROR(VLOOKUP(TEXT(H87,"0"),IPRESS!$A$3:$B$212,2,0),"")</f>
        <v/>
      </c>
      <c r="J87" s="85"/>
      <c r="K87" s="138" t="str">
        <f aca="false">IFERROR(VLOOKUP(TEXT(O87,"0"),CONDUCTORES!$A$3:$G$54,7,0),"")</f>
        <v/>
      </c>
      <c r="L87" s="85"/>
      <c r="M87" s="85"/>
      <c r="N87" s="139" t="str">
        <f aca="false">IFERROR(IF(L87*M87=0,"",L87*M87),"")</f>
        <v/>
      </c>
      <c r="O87" s="85"/>
      <c r="P87" s="138" t="str">
        <f aca="false">IFERROR(VLOOKUP(TEXT(O87,"0"),CONDUCTORES!$A$3:$G$54,2,0),"")</f>
        <v/>
      </c>
      <c r="Q87" s="138" t="str">
        <f aca="false">IFERROR(VLOOKUP(TEXT(O87,"0"),CONDUCTORES!$A$3:$H$54,6,0),"")</f>
        <v/>
      </c>
      <c r="R87" s="85"/>
      <c r="S87" s="85"/>
      <c r="T87" s="85"/>
      <c r="U87" s="85"/>
      <c r="V87" s="85"/>
      <c r="W87" s="85"/>
      <c r="X87" s="85"/>
      <c r="Y87" s="85"/>
      <c r="Z87" s="41" t="str">
        <f aca="false">IF(AND(G87&lt;&gt;"",R87&lt;&gt;"",V87&lt;&gt;"",W87&lt;&gt;""),"COMPLETADO","OBSERVADO")</f>
        <v>OBSERVADO</v>
      </c>
      <c r="AA87" s="89"/>
    </row>
    <row r="88" customFormat="false" ht="15.75" hidden="false" customHeight="true" outlineLevel="0" collapsed="false">
      <c r="A88" s="140"/>
      <c r="B88" s="140"/>
      <c r="C88" s="140"/>
      <c r="D88" s="140"/>
      <c r="E88" s="140"/>
      <c r="F88" s="140"/>
      <c r="G88" s="140"/>
      <c r="H88" s="140"/>
      <c r="I88" s="138" t="str">
        <f aca="false">IFERROR(VLOOKUP(TEXT(H88,"0"),IPRESS!$A$3:$B$212,2,0),"")</f>
        <v/>
      </c>
      <c r="J88" s="140"/>
      <c r="K88" s="138" t="str">
        <f aca="false">IFERROR(VLOOKUP(TEXT(O88,"0"),CONDUCTORES!$A$3:$G$54,7,0),"")</f>
        <v/>
      </c>
      <c r="L88" s="140"/>
      <c r="M88" s="140"/>
      <c r="N88" s="139" t="str">
        <f aca="false">IFERROR(IF(L88*M88=0,"",L88*M88),"")</f>
        <v/>
      </c>
      <c r="O88" s="140"/>
      <c r="P88" s="138" t="str">
        <f aca="false">IFERROR(VLOOKUP(TEXT(O88,"0"),CONDUCTORES!$A$3:$G$54,2,0),"")</f>
        <v/>
      </c>
      <c r="Q88" s="138" t="str">
        <f aca="false">IFERROR(VLOOKUP(TEXT(O88,"0"),CONDUCTORES!$A$3:$H$54,6,0),"")</f>
        <v/>
      </c>
      <c r="R88" s="140"/>
      <c r="S88" s="140"/>
      <c r="T88" s="140"/>
      <c r="U88" s="140"/>
      <c r="V88" s="140"/>
      <c r="W88" s="140"/>
      <c r="X88" s="140"/>
      <c r="Y88" s="140"/>
      <c r="Z88" s="47" t="str">
        <f aca="false">IF(AND(G88&lt;&gt;"",R88&lt;&gt;"",V88&lt;&gt;"",W88&lt;&gt;""),"COMPLETADO","OBSERVADO")</f>
        <v>OBSERVADO</v>
      </c>
      <c r="AA88" s="89"/>
    </row>
    <row r="89" customFormat="false" ht="15.75" hidden="false" customHeight="true" outlineLevel="0" collapsed="false">
      <c r="A89" s="85"/>
      <c r="B89" s="85"/>
      <c r="C89" s="85"/>
      <c r="D89" s="85"/>
      <c r="E89" s="85"/>
      <c r="F89" s="85"/>
      <c r="G89" s="85"/>
      <c r="H89" s="85"/>
      <c r="I89" s="138" t="str">
        <f aca="false">IFERROR(VLOOKUP(TEXT(H89,"0"),IPRESS!$A$3:$B$212,2,0),"")</f>
        <v/>
      </c>
      <c r="J89" s="85"/>
      <c r="K89" s="138" t="str">
        <f aca="false">IFERROR(VLOOKUP(TEXT(O89,"0"),CONDUCTORES!$A$3:$G$54,7,0),"")</f>
        <v/>
      </c>
      <c r="L89" s="85"/>
      <c r="M89" s="85"/>
      <c r="N89" s="139" t="str">
        <f aca="false">IFERROR(IF(L89*M89=0,"",L89*M89),"")</f>
        <v/>
      </c>
      <c r="O89" s="85"/>
      <c r="P89" s="138" t="str">
        <f aca="false">IFERROR(VLOOKUP(TEXT(O89,"0"),CONDUCTORES!$A$3:$G$54,2,0),"")</f>
        <v/>
      </c>
      <c r="Q89" s="138" t="str">
        <f aca="false">IFERROR(VLOOKUP(TEXT(O89,"0"),CONDUCTORES!$A$3:$H$54,6,0),"")</f>
        <v/>
      </c>
      <c r="R89" s="85"/>
      <c r="S89" s="85"/>
      <c r="T89" s="85"/>
      <c r="U89" s="85"/>
      <c r="V89" s="85"/>
      <c r="W89" s="85"/>
      <c r="X89" s="85"/>
      <c r="Y89" s="85"/>
      <c r="Z89" s="41" t="str">
        <f aca="false">IF(AND(G89&lt;&gt;"",R89&lt;&gt;"",V89&lt;&gt;"",W89&lt;&gt;""),"COMPLETADO","OBSERVADO")</f>
        <v>OBSERVADO</v>
      </c>
      <c r="AA89" s="89"/>
    </row>
    <row r="90" customFormat="false" ht="15.75" hidden="false" customHeight="true" outlineLevel="0" collapsed="false">
      <c r="A90" s="140"/>
      <c r="B90" s="140"/>
      <c r="C90" s="140"/>
      <c r="D90" s="140"/>
      <c r="E90" s="140"/>
      <c r="F90" s="140"/>
      <c r="G90" s="140"/>
      <c r="H90" s="140"/>
      <c r="I90" s="138" t="str">
        <f aca="false">IFERROR(VLOOKUP(TEXT(H90,"0"),IPRESS!$A$3:$B$212,2,0),"")</f>
        <v/>
      </c>
      <c r="J90" s="140"/>
      <c r="K90" s="138" t="str">
        <f aca="false">IFERROR(VLOOKUP(TEXT(O90,"0"),CONDUCTORES!$A$3:$G$54,7,0),"")</f>
        <v/>
      </c>
      <c r="L90" s="140"/>
      <c r="M90" s="140"/>
      <c r="N90" s="139" t="str">
        <f aca="false">IFERROR(IF(L90*M90=0,"",L90*M90),"")</f>
        <v/>
      </c>
      <c r="O90" s="140"/>
      <c r="P90" s="138" t="str">
        <f aca="false">IFERROR(VLOOKUP(TEXT(O90,"0"),CONDUCTORES!$A$3:$G$54,2,0),"")</f>
        <v/>
      </c>
      <c r="Q90" s="138" t="str">
        <f aca="false">IFERROR(VLOOKUP(TEXT(O90,"0"),CONDUCTORES!$A$3:$H$54,6,0),"")</f>
        <v/>
      </c>
      <c r="R90" s="140"/>
      <c r="S90" s="140"/>
      <c r="T90" s="140"/>
      <c r="U90" s="140"/>
      <c r="V90" s="140"/>
      <c r="W90" s="140"/>
      <c r="X90" s="140"/>
      <c r="Y90" s="140"/>
      <c r="Z90" s="47" t="str">
        <f aca="false">IF(AND(G90&lt;&gt;"",R90&lt;&gt;"",V90&lt;&gt;"",W90&lt;&gt;""),"COMPLETADO","OBSERVADO")</f>
        <v>OBSERVADO</v>
      </c>
      <c r="AA90" s="89"/>
    </row>
    <row r="91" customFormat="false" ht="15.75" hidden="false" customHeight="true" outlineLevel="0" collapsed="false">
      <c r="A91" s="85"/>
      <c r="B91" s="85"/>
      <c r="C91" s="85"/>
      <c r="D91" s="85"/>
      <c r="E91" s="85"/>
      <c r="F91" s="85"/>
      <c r="G91" s="85"/>
      <c r="H91" s="85"/>
      <c r="I91" s="138" t="str">
        <f aca="false">IFERROR(VLOOKUP(TEXT(H91,"0"),IPRESS!$A$3:$B$212,2,0),"")</f>
        <v/>
      </c>
      <c r="J91" s="85"/>
      <c r="K91" s="138" t="str">
        <f aca="false">IFERROR(VLOOKUP(TEXT(O91,"0"),CONDUCTORES!$A$3:$G$54,7,0),"")</f>
        <v/>
      </c>
      <c r="L91" s="85"/>
      <c r="M91" s="85"/>
      <c r="N91" s="139" t="str">
        <f aca="false">IFERROR(IF(L91*M91=0,"",L91*M91),"")</f>
        <v/>
      </c>
      <c r="O91" s="85"/>
      <c r="P91" s="138" t="str">
        <f aca="false">IFERROR(VLOOKUP(TEXT(O91,"0"),CONDUCTORES!$A$3:$G$54,2,0),"")</f>
        <v/>
      </c>
      <c r="Q91" s="138" t="str">
        <f aca="false">IFERROR(VLOOKUP(TEXT(O91,"0"),CONDUCTORES!$A$3:$H$54,6,0),"")</f>
        <v/>
      </c>
      <c r="R91" s="85"/>
      <c r="S91" s="85"/>
      <c r="T91" s="85"/>
      <c r="U91" s="85"/>
      <c r="V91" s="85"/>
      <c r="W91" s="85"/>
      <c r="X91" s="85"/>
      <c r="Y91" s="85"/>
      <c r="Z91" s="41" t="str">
        <f aca="false">IF(AND(G91&lt;&gt;"",R91&lt;&gt;"",V91&lt;&gt;"",W91&lt;&gt;""),"COMPLETADO","OBSERVADO")</f>
        <v>OBSERVADO</v>
      </c>
      <c r="AA91" s="89"/>
    </row>
    <row r="92" customFormat="false" ht="15.75" hidden="false" customHeight="true" outlineLevel="0" collapsed="false">
      <c r="A92" s="140"/>
      <c r="B92" s="140"/>
      <c r="C92" s="140"/>
      <c r="D92" s="140"/>
      <c r="E92" s="140"/>
      <c r="F92" s="140"/>
      <c r="G92" s="140"/>
      <c r="H92" s="140"/>
      <c r="I92" s="138" t="str">
        <f aca="false">IFERROR(VLOOKUP(TEXT(H92,"0"),IPRESS!$A$3:$B$212,2,0),"")</f>
        <v/>
      </c>
      <c r="J92" s="140"/>
      <c r="K92" s="138" t="str">
        <f aca="false">IFERROR(VLOOKUP(TEXT(O92,"0"),CONDUCTORES!$A$3:$G$54,7,0),"")</f>
        <v/>
      </c>
      <c r="L92" s="140"/>
      <c r="M92" s="140"/>
      <c r="N92" s="139" t="str">
        <f aca="false">IFERROR(IF(L92*M92=0,"",L92*M92),"")</f>
        <v/>
      </c>
      <c r="O92" s="140"/>
      <c r="P92" s="138" t="str">
        <f aca="false">IFERROR(VLOOKUP(TEXT(O92,"0"),CONDUCTORES!$A$3:$G$54,2,0),"")</f>
        <v/>
      </c>
      <c r="Q92" s="138" t="str">
        <f aca="false">IFERROR(VLOOKUP(TEXT(O92,"0"),CONDUCTORES!$A$3:$H$54,6,0),"")</f>
        <v/>
      </c>
      <c r="R92" s="140"/>
      <c r="S92" s="140"/>
      <c r="T92" s="140"/>
      <c r="U92" s="140"/>
      <c r="V92" s="140"/>
      <c r="W92" s="140"/>
      <c r="X92" s="140"/>
      <c r="Y92" s="140"/>
      <c r="Z92" s="47" t="str">
        <f aca="false">IF(AND(G92&lt;&gt;"",R92&lt;&gt;"",V92&lt;&gt;"",W92&lt;&gt;""),"COMPLETADO","OBSERVADO")</f>
        <v>OBSERVADO</v>
      </c>
      <c r="AA92" s="89"/>
    </row>
    <row r="93" customFormat="false" ht="15.75" hidden="false" customHeight="true" outlineLevel="0" collapsed="false">
      <c r="A93" s="85"/>
      <c r="B93" s="85"/>
      <c r="C93" s="85"/>
      <c r="D93" s="85"/>
      <c r="E93" s="85"/>
      <c r="F93" s="85"/>
      <c r="G93" s="85"/>
      <c r="H93" s="85"/>
      <c r="I93" s="138" t="str">
        <f aca="false">IFERROR(VLOOKUP(TEXT(H93,"0"),IPRESS!$A$3:$B$212,2,0),"")</f>
        <v/>
      </c>
      <c r="J93" s="85"/>
      <c r="K93" s="138" t="str">
        <f aca="false">IFERROR(VLOOKUP(TEXT(O93,"0"),CONDUCTORES!$A$3:$G$54,7,0),"")</f>
        <v/>
      </c>
      <c r="L93" s="85"/>
      <c r="M93" s="85"/>
      <c r="N93" s="139" t="str">
        <f aca="false">IFERROR(IF(L93*M93=0,"",L93*M93),"")</f>
        <v/>
      </c>
      <c r="O93" s="85"/>
      <c r="P93" s="138" t="str">
        <f aca="false">IFERROR(VLOOKUP(TEXT(O93,"0"),CONDUCTORES!$A$3:$G$54,2,0),"")</f>
        <v/>
      </c>
      <c r="Q93" s="138" t="str">
        <f aca="false">IFERROR(VLOOKUP(TEXT(O93,"0"),CONDUCTORES!$A$3:$H$54,6,0),"")</f>
        <v/>
      </c>
      <c r="R93" s="85"/>
      <c r="S93" s="85"/>
      <c r="T93" s="85"/>
      <c r="U93" s="85"/>
      <c r="V93" s="85"/>
      <c r="W93" s="85"/>
      <c r="X93" s="85"/>
      <c r="Y93" s="85"/>
      <c r="Z93" s="41" t="str">
        <f aca="false">IF(AND(G93&lt;&gt;"",R93&lt;&gt;"",V93&lt;&gt;"",W93&lt;&gt;""),"COMPLETADO","OBSERVADO")</f>
        <v>OBSERVADO</v>
      </c>
      <c r="AA93" s="89"/>
    </row>
    <row r="94" customFormat="false" ht="15.75" hidden="false" customHeight="true" outlineLevel="0" collapsed="false">
      <c r="A94" s="140"/>
      <c r="B94" s="140"/>
      <c r="C94" s="140"/>
      <c r="D94" s="140"/>
      <c r="E94" s="140"/>
      <c r="F94" s="140"/>
      <c r="G94" s="140"/>
      <c r="H94" s="140"/>
      <c r="I94" s="138" t="str">
        <f aca="false">IFERROR(VLOOKUP(TEXT(H94,"0"),IPRESS!$A$3:$B$212,2,0),"")</f>
        <v/>
      </c>
      <c r="J94" s="140"/>
      <c r="K94" s="138" t="str">
        <f aca="false">IFERROR(VLOOKUP(TEXT(O94,"0"),CONDUCTORES!$A$3:$G$54,7,0),"")</f>
        <v/>
      </c>
      <c r="L94" s="140"/>
      <c r="M94" s="140"/>
      <c r="N94" s="139" t="str">
        <f aca="false">IFERROR(IF(L94*M94=0,"",L94*M94),"")</f>
        <v/>
      </c>
      <c r="O94" s="140"/>
      <c r="P94" s="138" t="str">
        <f aca="false">IFERROR(VLOOKUP(TEXT(O94,"0"),CONDUCTORES!$A$3:$G$54,2,0),"")</f>
        <v/>
      </c>
      <c r="Q94" s="138" t="str">
        <f aca="false">IFERROR(VLOOKUP(TEXT(O94,"0"),CONDUCTORES!$A$3:$H$54,6,0),"")</f>
        <v/>
      </c>
      <c r="R94" s="140"/>
      <c r="S94" s="140"/>
      <c r="T94" s="140"/>
      <c r="U94" s="140"/>
      <c r="V94" s="140"/>
      <c r="W94" s="140"/>
      <c r="X94" s="140"/>
      <c r="Y94" s="140"/>
      <c r="Z94" s="47" t="str">
        <f aca="false">IF(AND(G94&lt;&gt;"",R94&lt;&gt;"",V94&lt;&gt;"",W94&lt;&gt;""),"COMPLETADO","OBSERVADO")</f>
        <v>OBSERVADO</v>
      </c>
      <c r="AA94" s="89"/>
    </row>
    <row r="95" customFormat="false" ht="15.75" hidden="false" customHeight="true" outlineLevel="0" collapsed="false">
      <c r="A95" s="85"/>
      <c r="B95" s="85"/>
      <c r="C95" s="85"/>
      <c r="D95" s="85"/>
      <c r="E95" s="85"/>
      <c r="F95" s="85"/>
      <c r="G95" s="85"/>
      <c r="H95" s="85"/>
      <c r="I95" s="138" t="str">
        <f aca="false">IFERROR(VLOOKUP(TEXT(H95,"0"),IPRESS!$A$3:$B$212,2,0),"")</f>
        <v/>
      </c>
      <c r="J95" s="85"/>
      <c r="K95" s="138" t="str">
        <f aca="false">IFERROR(VLOOKUP(TEXT(O95,"0"),CONDUCTORES!$A$3:$G$54,7,0),"")</f>
        <v/>
      </c>
      <c r="L95" s="85"/>
      <c r="M95" s="85"/>
      <c r="N95" s="139" t="str">
        <f aca="false">IFERROR(IF(L95*M95=0,"",L95*M95),"")</f>
        <v/>
      </c>
      <c r="O95" s="85"/>
      <c r="P95" s="138" t="str">
        <f aca="false">IFERROR(VLOOKUP(TEXT(O95,"0"),CONDUCTORES!$A$3:$G$54,2,0),"")</f>
        <v/>
      </c>
      <c r="Q95" s="138" t="str">
        <f aca="false">IFERROR(VLOOKUP(TEXT(O95,"0"),CONDUCTORES!$A$3:$H$54,6,0),"")</f>
        <v/>
      </c>
      <c r="R95" s="85"/>
      <c r="S95" s="85"/>
      <c r="T95" s="85"/>
      <c r="U95" s="85"/>
      <c r="V95" s="85"/>
      <c r="W95" s="85"/>
      <c r="X95" s="85"/>
      <c r="Y95" s="85"/>
      <c r="Z95" s="41" t="str">
        <f aca="false">IF(AND(G95&lt;&gt;"",R95&lt;&gt;"",V95&lt;&gt;"",W95&lt;&gt;""),"COMPLETADO","OBSERVADO")</f>
        <v>OBSERVADO</v>
      </c>
      <c r="AA95" s="89"/>
    </row>
    <row r="96" customFormat="false" ht="15.75" hidden="false" customHeight="true" outlineLevel="0" collapsed="false">
      <c r="A96" s="140"/>
      <c r="B96" s="140"/>
      <c r="C96" s="140"/>
      <c r="D96" s="140"/>
      <c r="E96" s="140"/>
      <c r="F96" s="140"/>
      <c r="G96" s="140"/>
      <c r="H96" s="140"/>
      <c r="I96" s="138" t="str">
        <f aca="false">IFERROR(VLOOKUP(TEXT(H96,"0"),IPRESS!$A$3:$B$212,2,0),"")</f>
        <v/>
      </c>
      <c r="J96" s="140"/>
      <c r="K96" s="138" t="str">
        <f aca="false">IFERROR(VLOOKUP(TEXT(O96,"0"),CONDUCTORES!$A$3:$G$54,7,0),"")</f>
        <v/>
      </c>
      <c r="L96" s="140"/>
      <c r="M96" s="140"/>
      <c r="N96" s="139" t="str">
        <f aca="false">IFERROR(IF(L96*M96=0,"",L96*M96),"")</f>
        <v/>
      </c>
      <c r="O96" s="140"/>
      <c r="P96" s="138" t="str">
        <f aca="false">IFERROR(VLOOKUP(TEXT(O96,"0"),CONDUCTORES!$A$3:$G$54,2,0),"")</f>
        <v/>
      </c>
      <c r="Q96" s="138" t="str">
        <f aca="false">IFERROR(VLOOKUP(TEXT(O96,"0"),CONDUCTORES!$A$3:$H$54,6,0),"")</f>
        <v/>
      </c>
      <c r="R96" s="140"/>
      <c r="S96" s="140"/>
      <c r="T96" s="140"/>
      <c r="U96" s="140"/>
      <c r="V96" s="140"/>
      <c r="W96" s="140"/>
      <c r="X96" s="140"/>
      <c r="Y96" s="140"/>
      <c r="Z96" s="47" t="str">
        <f aca="false">IF(AND(G96&lt;&gt;"",R96&lt;&gt;"",V96&lt;&gt;"",W96&lt;&gt;""),"COMPLETADO","OBSERVADO")</f>
        <v>OBSERVADO</v>
      </c>
      <c r="AA96" s="89"/>
    </row>
    <row r="97" customFormat="false" ht="15.75" hidden="false" customHeight="true" outlineLevel="0" collapsed="false">
      <c r="A97" s="85"/>
      <c r="B97" s="85"/>
      <c r="C97" s="85"/>
      <c r="D97" s="85"/>
      <c r="E97" s="85"/>
      <c r="F97" s="85"/>
      <c r="G97" s="85"/>
      <c r="H97" s="85"/>
      <c r="I97" s="138" t="str">
        <f aca="false">IFERROR(VLOOKUP(TEXT(H97,"0"),IPRESS!$A$3:$B$212,2,0),"")</f>
        <v/>
      </c>
      <c r="J97" s="85"/>
      <c r="K97" s="138" t="str">
        <f aca="false">IFERROR(VLOOKUP(TEXT(O97,"0"),CONDUCTORES!$A$3:$G$54,7,0),"")</f>
        <v/>
      </c>
      <c r="L97" s="85"/>
      <c r="M97" s="85"/>
      <c r="N97" s="139" t="str">
        <f aca="false">IFERROR(IF(L97*M97=0,"",L97*M97),"")</f>
        <v/>
      </c>
      <c r="O97" s="85"/>
      <c r="P97" s="138" t="str">
        <f aca="false">IFERROR(VLOOKUP(TEXT(O97,"0"),CONDUCTORES!$A$3:$G$54,2,0),"")</f>
        <v/>
      </c>
      <c r="Q97" s="138" t="str">
        <f aca="false">IFERROR(VLOOKUP(TEXT(O97,"0"),CONDUCTORES!$A$3:$H$54,6,0),"")</f>
        <v/>
      </c>
      <c r="R97" s="85"/>
      <c r="S97" s="85"/>
      <c r="T97" s="85"/>
      <c r="U97" s="85"/>
      <c r="V97" s="85"/>
      <c r="W97" s="85"/>
      <c r="X97" s="85"/>
      <c r="Y97" s="85"/>
      <c r="Z97" s="41" t="str">
        <f aca="false">IF(AND(G97&lt;&gt;"",R97&lt;&gt;"",V97&lt;&gt;"",W97&lt;&gt;""),"COMPLETADO","OBSERVADO")</f>
        <v>OBSERVADO</v>
      </c>
      <c r="AA97" s="89"/>
    </row>
    <row r="98" customFormat="false" ht="15.75" hidden="false" customHeight="true" outlineLevel="0" collapsed="false">
      <c r="A98" s="140"/>
      <c r="B98" s="140"/>
      <c r="C98" s="140"/>
      <c r="D98" s="140"/>
      <c r="E98" s="140"/>
      <c r="F98" s="140"/>
      <c r="G98" s="140"/>
      <c r="H98" s="140"/>
      <c r="I98" s="138" t="str">
        <f aca="false">IFERROR(VLOOKUP(TEXT(H98,"0"),IPRESS!$A$3:$B$212,2,0),"")</f>
        <v/>
      </c>
      <c r="J98" s="140"/>
      <c r="K98" s="138" t="str">
        <f aca="false">IFERROR(VLOOKUP(TEXT(O98,"0"),CONDUCTORES!$A$3:$G$54,7,0),"")</f>
        <v/>
      </c>
      <c r="L98" s="140"/>
      <c r="M98" s="140"/>
      <c r="N98" s="139" t="str">
        <f aca="false">IFERROR(IF(L98*M98=0,"",L98*M98),"")</f>
        <v/>
      </c>
      <c r="O98" s="140"/>
      <c r="P98" s="138" t="str">
        <f aca="false">IFERROR(VLOOKUP(TEXT(O98,"0"),CONDUCTORES!$A$3:$G$54,2,0),"")</f>
        <v/>
      </c>
      <c r="Q98" s="138" t="str">
        <f aca="false">IFERROR(VLOOKUP(TEXT(O98,"0"),CONDUCTORES!$A$3:$H$54,6,0),"")</f>
        <v/>
      </c>
      <c r="R98" s="140"/>
      <c r="S98" s="140"/>
      <c r="T98" s="140"/>
      <c r="U98" s="140"/>
      <c r="V98" s="140"/>
      <c r="W98" s="140"/>
      <c r="X98" s="140"/>
      <c r="Y98" s="140"/>
      <c r="Z98" s="47" t="str">
        <f aca="false">IF(AND(G98&lt;&gt;"",R98&lt;&gt;"",V98&lt;&gt;"",W98&lt;&gt;""),"COMPLETADO","OBSERVADO")</f>
        <v>OBSERVADO</v>
      </c>
      <c r="AA98" s="89"/>
    </row>
    <row r="99" customFormat="false" ht="15.75" hidden="false" customHeight="true" outlineLevel="0" collapsed="false">
      <c r="A99" s="85"/>
      <c r="B99" s="85"/>
      <c r="C99" s="85"/>
      <c r="D99" s="85"/>
      <c r="E99" s="85"/>
      <c r="F99" s="85"/>
      <c r="G99" s="85"/>
      <c r="H99" s="85"/>
      <c r="I99" s="138" t="str">
        <f aca="false">IFERROR(VLOOKUP(TEXT(H99,"0"),IPRESS!$A$3:$B$212,2,0),"")</f>
        <v/>
      </c>
      <c r="J99" s="85"/>
      <c r="K99" s="138" t="str">
        <f aca="false">IFERROR(VLOOKUP(TEXT(O99,"0"),CONDUCTORES!$A$3:$G$54,7,0),"")</f>
        <v/>
      </c>
      <c r="L99" s="85"/>
      <c r="M99" s="85"/>
      <c r="N99" s="139" t="str">
        <f aca="false">IFERROR(IF(L99*M99=0,"",L99*M99),"")</f>
        <v/>
      </c>
      <c r="O99" s="85"/>
      <c r="P99" s="138" t="str">
        <f aca="false">IFERROR(VLOOKUP(TEXT(O99,"0"),CONDUCTORES!$A$3:$G$54,2,0),"")</f>
        <v/>
      </c>
      <c r="Q99" s="138" t="str">
        <f aca="false">IFERROR(VLOOKUP(TEXT(O99,"0"),CONDUCTORES!$A$3:$H$54,6,0),"")</f>
        <v/>
      </c>
      <c r="R99" s="85"/>
      <c r="S99" s="85"/>
      <c r="T99" s="85"/>
      <c r="U99" s="85"/>
      <c r="V99" s="85"/>
      <c r="W99" s="85"/>
      <c r="X99" s="85"/>
      <c r="Y99" s="85"/>
      <c r="Z99" s="41" t="str">
        <f aca="false">IF(AND(G99&lt;&gt;"",R99&lt;&gt;"",V99&lt;&gt;"",W99&lt;&gt;""),"COMPLETADO","OBSERVADO")</f>
        <v>OBSERVADO</v>
      </c>
      <c r="AA99" s="89"/>
    </row>
    <row r="100" customFormat="false" ht="15.75" hidden="false" customHeight="true" outlineLevel="0" collapsed="false">
      <c r="A100" s="140"/>
      <c r="B100" s="140"/>
      <c r="C100" s="140"/>
      <c r="D100" s="140"/>
      <c r="E100" s="140"/>
      <c r="F100" s="140"/>
      <c r="G100" s="140"/>
      <c r="H100" s="140"/>
      <c r="I100" s="138" t="str">
        <f aca="false">IFERROR(VLOOKUP(TEXT(H100,"0"),IPRESS!$A$3:$B$212,2,0),"")</f>
        <v/>
      </c>
      <c r="J100" s="140"/>
      <c r="K100" s="138" t="str">
        <f aca="false">IFERROR(VLOOKUP(TEXT(O100,"0"),CONDUCTORES!$A$3:$G$54,7,0),"")</f>
        <v/>
      </c>
      <c r="L100" s="140"/>
      <c r="M100" s="140"/>
      <c r="N100" s="139" t="str">
        <f aca="false">IFERROR(IF(L100*M100=0,"",L100*M100),"")</f>
        <v/>
      </c>
      <c r="O100" s="140"/>
      <c r="P100" s="138" t="str">
        <f aca="false">IFERROR(VLOOKUP(TEXT(O100,"0"),CONDUCTORES!$A$3:$G$54,2,0),"")</f>
        <v/>
      </c>
      <c r="Q100" s="138" t="str">
        <f aca="false">IFERROR(VLOOKUP(TEXT(O100,"0"),CONDUCTORES!$A$3:$H$54,6,0),"")</f>
        <v/>
      </c>
      <c r="R100" s="140"/>
      <c r="S100" s="140"/>
      <c r="T100" s="140"/>
      <c r="U100" s="140"/>
      <c r="V100" s="140"/>
      <c r="W100" s="140"/>
      <c r="X100" s="140"/>
      <c r="Y100" s="140"/>
      <c r="Z100" s="47" t="str">
        <f aca="false">IF(AND(G100&lt;&gt;"",R100&lt;&gt;"",V100&lt;&gt;"",W100&lt;&gt;""),"COMPLETADO","OBSERVADO")</f>
        <v>OBSERVADO</v>
      </c>
      <c r="AA100" s="89"/>
    </row>
    <row r="101" customFormat="false" ht="15.75" hidden="false" customHeight="true" outlineLevel="0" collapsed="false">
      <c r="A101" s="85"/>
      <c r="B101" s="85"/>
      <c r="C101" s="85"/>
      <c r="D101" s="85"/>
      <c r="E101" s="85"/>
      <c r="F101" s="85"/>
      <c r="G101" s="85"/>
      <c r="H101" s="85"/>
      <c r="I101" s="138" t="str">
        <f aca="false">IFERROR(VLOOKUP(TEXT(H101,"0"),IPRESS!$A$3:$B$212,2,0),"")</f>
        <v/>
      </c>
      <c r="J101" s="85"/>
      <c r="K101" s="138" t="str">
        <f aca="false">IFERROR(VLOOKUP(TEXT(O101,"0"),CONDUCTORES!$A$3:$G$54,7,0),"")</f>
        <v/>
      </c>
      <c r="L101" s="85"/>
      <c r="M101" s="85"/>
      <c r="N101" s="139" t="str">
        <f aca="false">IFERROR(IF(L101*M101=0,"",L101*M101),"")</f>
        <v/>
      </c>
      <c r="O101" s="85"/>
      <c r="P101" s="138" t="str">
        <f aca="false">IFERROR(VLOOKUP(TEXT(O101,"0"),CONDUCTORES!$A$3:$G$54,2,0),"")</f>
        <v/>
      </c>
      <c r="Q101" s="138" t="str">
        <f aca="false">IFERROR(VLOOKUP(TEXT(O101,"0"),CONDUCTORES!$A$3:$H$54,6,0),"")</f>
        <v/>
      </c>
      <c r="R101" s="85"/>
      <c r="S101" s="85"/>
      <c r="T101" s="85"/>
      <c r="U101" s="85"/>
      <c r="V101" s="85"/>
      <c r="W101" s="85"/>
      <c r="X101" s="85"/>
      <c r="Y101" s="85"/>
      <c r="Z101" s="41" t="str">
        <f aca="false">IF(AND(G101&lt;&gt;"",R101&lt;&gt;"",V101&lt;&gt;"",W101&lt;&gt;""),"COMPLETADO","OBSERVADO")</f>
        <v>OBSERVADO</v>
      </c>
      <c r="AA101" s="89"/>
    </row>
    <row r="102" customFormat="false" ht="15.75" hidden="false" customHeight="true" outlineLevel="0" collapsed="false">
      <c r="A102" s="140"/>
      <c r="B102" s="140"/>
      <c r="C102" s="140"/>
      <c r="D102" s="140"/>
      <c r="E102" s="140"/>
      <c r="F102" s="140"/>
      <c r="G102" s="140"/>
      <c r="H102" s="140"/>
      <c r="I102" s="138" t="str">
        <f aca="false">IFERROR(VLOOKUP(TEXT(H102,"0"),IPRESS!$A$3:$B$212,2,0),"")</f>
        <v/>
      </c>
      <c r="J102" s="140"/>
      <c r="K102" s="138" t="str">
        <f aca="false">IFERROR(VLOOKUP(TEXT(O102,"0"),CONDUCTORES!$A$3:$G$54,7,0),"")</f>
        <v/>
      </c>
      <c r="L102" s="140"/>
      <c r="M102" s="140"/>
      <c r="N102" s="139" t="str">
        <f aca="false">IFERROR(IF(L102*M102=0,"",L102*M102),"")</f>
        <v/>
      </c>
      <c r="O102" s="140"/>
      <c r="P102" s="138" t="str">
        <f aca="false">IFERROR(VLOOKUP(TEXT(O102,"0"),CONDUCTORES!$A$3:$G$54,2,0),"")</f>
        <v/>
      </c>
      <c r="Q102" s="138" t="str">
        <f aca="false">IFERROR(VLOOKUP(TEXT(O102,"0"),CONDUCTORES!$A$3:$H$54,6,0),"")</f>
        <v/>
      </c>
      <c r="R102" s="140"/>
      <c r="S102" s="140"/>
      <c r="T102" s="140"/>
      <c r="U102" s="140"/>
      <c r="V102" s="140"/>
      <c r="W102" s="140"/>
      <c r="X102" s="140"/>
      <c r="Y102" s="140"/>
      <c r="Z102" s="47" t="str">
        <f aca="false">IF(AND(G102&lt;&gt;"",R102&lt;&gt;"",V102&lt;&gt;"",W102&lt;&gt;""),"COMPLETADO","OBSERVADO")</f>
        <v>OBSERVADO</v>
      </c>
      <c r="AA102" s="89"/>
    </row>
    <row r="103" customFormat="false" ht="15.7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138" t="str">
        <f aca="false">IFERROR(VLOOKUP(TEXT(H103,"0"),IPRESS!$A$3:$B$212,2,0),"")</f>
        <v/>
      </c>
      <c r="J103" s="85"/>
      <c r="K103" s="138" t="str">
        <f aca="false">IFERROR(VLOOKUP(TEXT(O103,"0"),CONDUCTORES!$A$3:$G$54,7,0),"")</f>
        <v/>
      </c>
      <c r="L103" s="85"/>
      <c r="M103" s="85"/>
      <c r="N103" s="139" t="str">
        <f aca="false">IFERROR(IF(L103*M103=0,"",L103*M103),"")</f>
        <v/>
      </c>
      <c r="O103" s="85"/>
      <c r="P103" s="138" t="str">
        <f aca="false">IFERROR(VLOOKUP(TEXT(O103,"0"),CONDUCTORES!$A$3:$G$54,2,0),"")</f>
        <v/>
      </c>
      <c r="Q103" s="138" t="str">
        <f aca="false">IFERROR(VLOOKUP(TEXT(O103,"0"),CONDUCTORES!$A$3:$H$54,6,0),"")</f>
        <v/>
      </c>
      <c r="R103" s="85"/>
      <c r="S103" s="85"/>
      <c r="T103" s="85"/>
      <c r="U103" s="85"/>
      <c r="V103" s="85"/>
      <c r="W103" s="85"/>
      <c r="X103" s="85"/>
      <c r="Y103" s="85"/>
      <c r="Z103" s="41" t="str">
        <f aca="false">IF(AND(G103&lt;&gt;"",R103&lt;&gt;"",V103&lt;&gt;"",W103&lt;&gt;""),"COMPLETADO","OBSERVADO")</f>
        <v>OBSERVADO</v>
      </c>
      <c r="AA103" s="89"/>
    </row>
    <row r="104" customFormat="false" ht="15.75" hidden="false" customHeight="true" outlineLevel="0" collapsed="false">
      <c r="A104" s="140"/>
      <c r="B104" s="140"/>
      <c r="C104" s="140"/>
      <c r="D104" s="140"/>
      <c r="E104" s="140"/>
      <c r="F104" s="140"/>
      <c r="G104" s="140"/>
      <c r="H104" s="140"/>
      <c r="I104" s="138" t="str">
        <f aca="false">IFERROR(VLOOKUP(TEXT(H104,"0"),IPRESS!$A$3:$B$212,2,0),"")</f>
        <v/>
      </c>
      <c r="J104" s="140"/>
      <c r="K104" s="138" t="str">
        <f aca="false">IFERROR(VLOOKUP(TEXT(O104,"0"),CONDUCTORES!$A$3:$G$54,7,0),"")</f>
        <v/>
      </c>
      <c r="L104" s="140"/>
      <c r="M104" s="140"/>
      <c r="N104" s="139" t="str">
        <f aca="false">IFERROR(IF(L104*M104=0,"",L104*M104),"")</f>
        <v/>
      </c>
      <c r="O104" s="140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140"/>
      <c r="S104" s="140"/>
      <c r="T104" s="140"/>
      <c r="U104" s="140"/>
      <c r="V104" s="140"/>
      <c r="W104" s="140"/>
      <c r="X104" s="140"/>
      <c r="Y104" s="140"/>
      <c r="Z104" s="47" t="str">
        <f aca="false">IF(AND(G104&lt;&gt;"",R104&lt;&gt;"",V104&lt;&gt;"",W104&lt;&gt;""),"COMPLETADO","OBSERVADO")</f>
        <v>OBSERVADO</v>
      </c>
      <c r="AA104" s="89"/>
    </row>
    <row r="105" customFormat="false" ht="15.7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38" t="str">
        <f aca="false">IFERROR(VLOOKUP(TEXT(H105,"0"),IPRESS!$A$3:$B$212,2,0),"")</f>
        <v/>
      </c>
      <c r="J105" s="85"/>
      <c r="K105" s="138" t="str">
        <f aca="false">IFERROR(VLOOKUP(TEXT(O105,"0"),CONDUCTORES!$A$3:$G$54,7,0),"")</f>
        <v/>
      </c>
      <c r="L105" s="85"/>
      <c r="M105" s="85"/>
      <c r="N105" s="139" t="str">
        <f aca="false">IFERROR(IF(L105*M105=0,"",L105*M105),"")</f>
        <v/>
      </c>
      <c r="O105" s="85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85"/>
      <c r="S105" s="85"/>
      <c r="T105" s="85"/>
      <c r="U105" s="85"/>
      <c r="V105" s="85"/>
      <c r="W105" s="85"/>
      <c r="X105" s="85"/>
      <c r="Y105" s="85"/>
      <c r="Z105" s="41" t="str">
        <f aca="false">IF(AND(G105&lt;&gt;"",R105&lt;&gt;"",V105&lt;&gt;"",W105&lt;&gt;""),"COMPLETADO","OBSERVADO")</f>
        <v>OBSERVADO</v>
      </c>
      <c r="AA105" s="89"/>
    </row>
    <row r="106" customFormat="false" ht="15.75" hidden="false" customHeight="true" outlineLevel="0" collapsed="false">
      <c r="A106" s="140"/>
      <c r="B106" s="140"/>
      <c r="C106" s="140"/>
      <c r="D106" s="140"/>
      <c r="E106" s="140"/>
      <c r="F106" s="140"/>
      <c r="G106" s="140"/>
      <c r="H106" s="140"/>
      <c r="I106" s="138" t="str">
        <f aca="false">IFERROR(VLOOKUP(TEXT(H106,"0"),IPRESS!$A$3:$B$212,2,0),"")</f>
        <v/>
      </c>
      <c r="J106" s="140"/>
      <c r="K106" s="138" t="str">
        <f aca="false">IFERROR(VLOOKUP(TEXT(O106,"0"),CONDUCTORES!$A$3:$G$54,7,0),"")</f>
        <v/>
      </c>
      <c r="L106" s="140"/>
      <c r="M106" s="140"/>
      <c r="N106" s="139" t="str">
        <f aca="false">IFERROR(IF(L106*M106=0,"",L106*M106),"")</f>
        <v/>
      </c>
      <c r="O106" s="140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140"/>
      <c r="S106" s="140"/>
      <c r="T106" s="140"/>
      <c r="U106" s="140"/>
      <c r="V106" s="140"/>
      <c r="W106" s="140"/>
      <c r="X106" s="140"/>
      <c r="Y106" s="140"/>
      <c r="Z106" s="47" t="str">
        <f aca="false">IF(AND(G106&lt;&gt;"",R106&lt;&gt;"",V106&lt;&gt;"",W106&lt;&gt;""),"COMPLETADO","OBSERVADO")</f>
        <v>OBSERVADO</v>
      </c>
      <c r="AA106" s="89"/>
    </row>
    <row r="107" customFormat="false" ht="15.7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38" t="str">
        <f aca="false">IFERROR(VLOOKUP(TEXT(H107,"0"),IPRESS!$A$3:$B$212,2,0),"")</f>
        <v/>
      </c>
      <c r="J107" s="85"/>
      <c r="K107" s="138" t="str">
        <f aca="false">IFERROR(VLOOKUP(TEXT(O107,"0"),CONDUCTORES!$A$3:$G$54,7,0),"")</f>
        <v/>
      </c>
      <c r="L107" s="85"/>
      <c r="M107" s="85"/>
      <c r="N107" s="139" t="str">
        <f aca="false">IFERROR(IF(L107*M107=0,"",L107*M107),"")</f>
        <v/>
      </c>
      <c r="O107" s="85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85"/>
      <c r="S107" s="85"/>
      <c r="T107" s="85"/>
      <c r="U107" s="85"/>
      <c r="V107" s="85"/>
      <c r="W107" s="85"/>
      <c r="X107" s="85"/>
      <c r="Y107" s="85"/>
      <c r="Z107" s="41" t="str">
        <f aca="false">IF(AND(G107&lt;&gt;"",R107&lt;&gt;"",V107&lt;&gt;"",W107&lt;&gt;""),"COMPLETADO","OBSERVADO")</f>
        <v>OBSERVADO</v>
      </c>
      <c r="AA107" s="89"/>
    </row>
    <row r="108" customFormat="false" ht="15.75" hidden="false" customHeight="true" outlineLevel="0" collapsed="false">
      <c r="A108" s="140"/>
      <c r="B108" s="140"/>
      <c r="C108" s="140"/>
      <c r="D108" s="140"/>
      <c r="E108" s="140"/>
      <c r="F108" s="140"/>
      <c r="G108" s="140"/>
      <c r="H108" s="140"/>
      <c r="I108" s="138" t="str">
        <f aca="false">IFERROR(VLOOKUP(TEXT(H108,"0"),IPRESS!$A$3:$B$212,2,0),"")</f>
        <v/>
      </c>
      <c r="J108" s="140"/>
      <c r="K108" s="138" t="str">
        <f aca="false">IFERROR(VLOOKUP(TEXT(O108,"0"),CONDUCTORES!$A$3:$G$54,7,0),"")</f>
        <v/>
      </c>
      <c r="L108" s="140"/>
      <c r="M108" s="140"/>
      <c r="N108" s="139" t="str">
        <f aca="false">IFERROR(IF(L108*M108=0,"",L108*M108),"")</f>
        <v/>
      </c>
      <c r="O108" s="140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140"/>
      <c r="S108" s="140"/>
      <c r="T108" s="140"/>
      <c r="U108" s="140"/>
      <c r="V108" s="140"/>
      <c r="W108" s="140"/>
      <c r="X108" s="140"/>
      <c r="Y108" s="140"/>
      <c r="Z108" s="47" t="str">
        <f aca="false">IF(AND(G108&lt;&gt;"",R108&lt;&gt;"",V108&lt;&gt;"",W108&lt;&gt;""),"COMPLETADO","OBSERVADO")</f>
        <v>OBSERVADO</v>
      </c>
      <c r="AA108" s="89"/>
    </row>
    <row r="109" customFormat="false" ht="15.7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38" t="str">
        <f aca="false">IFERROR(VLOOKUP(TEXT(O109,"0"),CONDUCTORES!$A$3:$G$54,7,0),"")</f>
        <v/>
      </c>
      <c r="L109" s="85"/>
      <c r="M109" s="85"/>
      <c r="N109" s="139" t="str">
        <f aca="false">IFERROR(IF(L109*M109=0,"",L109*M109),"")</f>
        <v/>
      </c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41" t="str">
        <f aca="false">IF(AND(G109&lt;&gt;"",R109&lt;&gt;"",V109&lt;&gt;"",W109&lt;&gt;""),"COMPLETADO","OBSERVADO")</f>
        <v>OBSERVADO</v>
      </c>
      <c r="AA109" s="89"/>
    </row>
    <row r="110" customFormat="false" ht="15.75" hidden="false" customHeight="true" outlineLevel="0" collapsed="false">
      <c r="A110" s="140"/>
      <c r="B110" s="140"/>
      <c r="C110" s="140"/>
      <c r="D110" s="140"/>
      <c r="E110" s="140"/>
      <c r="F110" s="140"/>
      <c r="G110" s="140"/>
      <c r="H110" s="140"/>
      <c r="I110" s="138" t="str">
        <f aca="false">IFERROR(VLOOKUP(TEXT(H110,"0"),IPRESS!$A$3:$B$212,2,0),"")</f>
        <v/>
      </c>
      <c r="J110" s="140"/>
      <c r="K110" s="138" t="str">
        <f aca="false">IFERROR(VLOOKUP(TEXT(O110,"0"),CONDUCTORES!$A$3:$G$54,7,0),"")</f>
        <v/>
      </c>
      <c r="L110" s="140"/>
      <c r="M110" s="140"/>
      <c r="N110" s="139" t="str">
        <f aca="false">IFERROR(IF(L110*M110=0,"",L110*M110),"")</f>
        <v/>
      </c>
      <c r="O110" s="140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140"/>
      <c r="S110" s="140"/>
      <c r="T110" s="140"/>
      <c r="U110" s="140"/>
      <c r="V110" s="140"/>
      <c r="W110" s="140"/>
      <c r="X110" s="140"/>
      <c r="Y110" s="140"/>
      <c r="Z110" s="47" t="str">
        <f aca="false">IF(AND(G110&lt;&gt;"",R110&lt;&gt;"",V110&lt;&gt;"",W110&lt;&gt;""),"COMPLETADO","OBSERVADO")</f>
        <v>OBSERVADO</v>
      </c>
      <c r="AA110" s="89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184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9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184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9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184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9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184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9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184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9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184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9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184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9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184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9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184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9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85" t="str">
        <f aca="false">IF(AND(G120&lt;&gt;"",R120&lt;&gt;"",V120&lt;&gt;"",W120&lt;&gt;""),"COMPLETADO","OBSERVADO")</f>
        <v>OBSERVADO</v>
      </c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  <c r="Z121" s="185" t="str">
        <f aca="false">IF(AND(G121&lt;&gt;"",R121&lt;&gt;"",V121&lt;&gt;"",W121&lt;&gt;""),"COMPLETADO","OBSERVADO")</f>
        <v>OBSERVADO</v>
      </c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85" t="str">
        <f aca="false">IF(AND(G122&lt;&gt;"",R122&lt;&gt;"",V122&lt;&gt;"",W122&lt;&gt;""),"COMPLETADO","OBSERVADO")</f>
        <v>OBSERVADO</v>
      </c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  <c r="Z123" s="185" t="str">
        <f aca="false">IF(AND(G123&lt;&gt;"",R123&lt;&gt;"",V123&lt;&gt;"",W123&lt;&gt;""),"COMPLETADO","OBSERVADO")</f>
        <v>OBSERVADO</v>
      </c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85" t="str">
        <f aca="false">IF(AND(G124&lt;&gt;"",R124&lt;&gt;"",V124&lt;&gt;"",W124&lt;&gt;""),"COMPLETADO","OBSERVADO")</f>
        <v>OBSERVADO</v>
      </c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  <c r="Z125" s="185" t="str">
        <f aca="false">IF(AND(G125&lt;&gt;"",R125&lt;&gt;"",V125&lt;&gt;"",W125&lt;&gt;""),"COMPLETADO","OBSERVADO")</f>
        <v>OBSERVADO</v>
      </c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85" t="str">
        <f aca="false">IF(AND(G126&lt;&gt;"",R126&lt;&gt;"",V126&lt;&gt;"",W126&lt;&gt;""),"COMPLETADO","OBSERVADO")</f>
        <v>OBSERVADO</v>
      </c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  <c r="Z127" s="185" t="str">
        <f aca="false">IF(AND(G127&lt;&gt;"",R127&lt;&gt;"",V127&lt;&gt;"",W127&lt;&gt;""),"COMPLETADO","OBSERVADO")</f>
        <v>OBSERVADO</v>
      </c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85" t="str">
        <f aca="false">IF(AND(G128&lt;&gt;"",R128&lt;&gt;"",V128&lt;&gt;"",W128&lt;&gt;""),"COMPLETADO","OBSERVADO")</f>
        <v>OBSERVADO</v>
      </c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  <c r="Z129" s="185" t="str">
        <f aca="false">IF(AND(G129&lt;&gt;"",R129&lt;&gt;"",V129&lt;&gt;"",W129&lt;&gt;""),"COMPLETADO","OBSERVADO")</f>
        <v>OBSERVADO</v>
      </c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85" t="str">
        <f aca="false">IF(AND(G130&lt;&gt;"",R130&lt;&gt;"",V130&lt;&gt;"",W130&lt;&gt;""),"COMPLETADO","OBSERVADO")</f>
        <v>OBSERVADO</v>
      </c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  <c r="Z131" s="185" t="str">
        <f aca="false">IF(AND(G131&lt;&gt;"",R131&lt;&gt;"",V131&lt;&gt;"",W131&lt;&gt;""),"COMPLETADO","OBSERVADO")</f>
        <v>OBSERVADO</v>
      </c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85" t="str">
        <f aca="false">IF(AND(G132&lt;&gt;"",R132&lt;&gt;"",V132&lt;&gt;"",W132&lt;&gt;""),"COMPLETADO","OBSERVADO")</f>
        <v>OBSERVADO</v>
      </c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  <c r="Z133" s="185" t="str">
        <f aca="false">IF(AND(G133&lt;&gt;"",R133&lt;&gt;"",V133&lt;&gt;"",W133&lt;&gt;""),"COMPLETADO","OBSERVADO")</f>
        <v>OBSERVADO</v>
      </c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85" t="str">
        <f aca="false">IF(AND(G134&lt;&gt;"",R134&lt;&gt;"",V134&lt;&gt;"",W134&lt;&gt;""),"COMPLETADO","OBSERVADO")</f>
        <v>OBSERVADO</v>
      </c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  <c r="Z135" s="185" t="str">
        <f aca="false">IF(AND(G135&lt;&gt;"",R135&lt;&gt;"",V135&lt;&gt;"",W135&lt;&gt;""),"COMPLETADO","OBSERVADO")</f>
        <v>OBSERVADO</v>
      </c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85" t="str">
        <f aca="false">IF(AND(G136&lt;&gt;"",R136&lt;&gt;"",V136&lt;&gt;"",W136&lt;&gt;""),"COMPLETADO","OBSERVADO")</f>
        <v>OBSERVADO</v>
      </c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  <c r="Z137" s="185" t="str">
        <f aca="false">IF(AND(G137&lt;&gt;"",R137&lt;&gt;"",V137&lt;&gt;"",W137&lt;&gt;""),"COMPLETADO","OBSERVADO")</f>
        <v>OBSERVADO</v>
      </c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85" t="str">
        <f aca="false">IF(AND(G138&lt;&gt;"",R138&lt;&gt;"",V138&lt;&gt;"",W138&lt;&gt;""),"COMPLETADO","OBSERVADO")</f>
        <v>OBSERVADO</v>
      </c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  <c r="Z139" s="185" t="str">
        <f aca="false">IF(AND(G139&lt;&gt;"",R139&lt;&gt;"",V139&lt;&gt;"",W139&lt;&gt;""),"COMPLETADO","OBSERVADO")</f>
        <v>OBSERVADO</v>
      </c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85" t="str">
        <f aca="false">IF(AND(G140&lt;&gt;"",R140&lt;&gt;"",V140&lt;&gt;"",W140&lt;&gt;""),"COMPLETADO","OBSERVADO")</f>
        <v>OBSERVADO</v>
      </c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  <c r="Z141" s="185" t="str">
        <f aca="false">IF(AND(G141&lt;&gt;"",R141&lt;&gt;"",V141&lt;&gt;"",W141&lt;&gt;""),"COMPLETADO","OBSERVADO")</f>
        <v>OBSERVADO</v>
      </c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85" t="str">
        <f aca="false">IF(AND(G142&lt;&gt;"",R142&lt;&gt;"",V142&lt;&gt;"",W142&lt;&gt;""),"COMPLETADO","OBSERVADO")</f>
        <v>OBSERVADO</v>
      </c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  <c r="Z143" s="185" t="str">
        <f aca="false">IF(AND(G143&lt;&gt;"",R143&lt;&gt;"",V143&lt;&gt;"",W143&lt;&gt;""),"COMPLETADO","OBSERVADO")</f>
        <v>OBSERVADO</v>
      </c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85" t="str">
        <f aca="false">IF(AND(G144&lt;&gt;"",R144&lt;&gt;"",V144&lt;&gt;"",W144&lt;&gt;""),"COMPLETADO","OBSERVADO")</f>
        <v>OBSERVADO</v>
      </c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  <c r="Z145" s="185" t="str">
        <f aca="false">IF(AND(G145&lt;&gt;"",R145&lt;&gt;"",V145&lt;&gt;"",W145&lt;&gt;""),"COMPLETADO","OBSERVADO")</f>
        <v>OBSERVADO</v>
      </c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85" t="str">
        <f aca="false">IF(AND(G146&lt;&gt;"",R146&lt;&gt;"",V146&lt;&gt;"",W146&lt;&gt;""),"COMPLETADO","OBSERVADO")</f>
        <v>OBSERVADO</v>
      </c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  <c r="Z147" s="185" t="str">
        <f aca="false">IF(AND(G147&lt;&gt;"",R147&lt;&gt;"",V147&lt;&gt;"",W147&lt;&gt;""),"COMPLETADO","OBSERVADO")</f>
        <v>OBSERVADO</v>
      </c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85" t="str">
        <f aca="false">IF(AND(G148&lt;&gt;"",R148&lt;&gt;"",V148&lt;&gt;"",W148&lt;&gt;""),"COMPLETADO","OBSERVADO")</f>
        <v>OBSERVADO</v>
      </c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  <c r="Z149" s="185" t="str">
        <f aca="false">IF(AND(G149&lt;&gt;"",R149&lt;&gt;"",V149&lt;&gt;"",W149&lt;&gt;""),"COMPLETADO","OBSERVADO")</f>
        <v>OBSERVADO</v>
      </c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85" t="str">
        <f aca="false">IF(AND(G150&lt;&gt;"",R150&lt;&gt;"",V150&lt;&gt;"",W150&lt;&gt;""),"COMPLETADO","OBSERVADO")</f>
        <v>OBSERVADO</v>
      </c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  <c r="Z151" s="185" t="str">
        <f aca="false">IF(AND(G151&lt;&gt;"",R151&lt;&gt;"",V151&lt;&gt;"",W151&lt;&gt;""),"COMPLETADO","OBSERVADO")</f>
        <v>OBSERVADO</v>
      </c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85" t="str">
        <f aca="false">IF(AND(G152&lt;&gt;"",R152&lt;&gt;"",V152&lt;&gt;"",W152&lt;&gt;""),"COMPLETADO","OBSERVADO")</f>
        <v>OBSERVADO</v>
      </c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  <c r="Z153" s="185" t="str">
        <f aca="false">IF(AND(G153&lt;&gt;"",R153&lt;&gt;"",V153&lt;&gt;"",W153&lt;&gt;""),"COMPLETADO","OBSERVADO")</f>
        <v>OBSERVADO</v>
      </c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85" t="str">
        <f aca="false">IF(AND(G154&lt;&gt;"",R154&lt;&gt;"",V154&lt;&gt;"",W154&lt;&gt;""),"COMPLETADO","OBSERVADO")</f>
        <v>OBSERVADO</v>
      </c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  <c r="Z155" s="185" t="str">
        <f aca="false">IF(AND(G155&lt;&gt;"",R155&lt;&gt;"",V155&lt;&gt;"",W155&lt;&gt;""),"COMPLETADO","OBSERVADO")</f>
        <v>OBSERVADO</v>
      </c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85" t="str">
        <f aca="false">IF(AND(G156&lt;&gt;"",R156&lt;&gt;"",V156&lt;&gt;"",W156&lt;&gt;""),"COMPLETADO","OBSERVADO")</f>
        <v>OBSERVADO</v>
      </c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  <c r="Z157" s="185" t="str">
        <f aca="false">IF(AND(G157&lt;&gt;"",R157&lt;&gt;"",V157&lt;&gt;"",W157&lt;&gt;""),"COMPLETADO","OBSERVADO")</f>
        <v>OBSERVADO</v>
      </c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85" t="str">
        <f aca="false">IF(AND(G158&lt;&gt;"",R158&lt;&gt;"",V158&lt;&gt;"",W158&lt;&gt;""),"COMPLETADO","OBSERVADO")</f>
        <v>OBSERVADO</v>
      </c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  <c r="Z159" s="185" t="str">
        <f aca="false">IF(AND(G159&lt;&gt;"",R159&lt;&gt;"",V159&lt;&gt;"",W159&lt;&gt;""),"COMPLETADO","OBSERVADO")</f>
        <v>OBSERVADO</v>
      </c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85" t="str">
        <f aca="false">IF(AND(G160&lt;&gt;"",R160&lt;&gt;"",V160&lt;&gt;"",W160&lt;&gt;""),"COMPLETADO","OBSERVADO")</f>
        <v>OBSERVADO</v>
      </c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  <c r="Z161" s="185" t="str">
        <f aca="false">IF(AND(G161&lt;&gt;"",R161&lt;&gt;"",V161&lt;&gt;"",W161&lt;&gt;""),"COMPLETADO","OBSERVADO")</f>
        <v>OBSERVADO</v>
      </c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85" t="str">
        <f aca="false">IF(AND(G162&lt;&gt;"",R162&lt;&gt;"",V162&lt;&gt;"",W162&lt;&gt;""),"COMPLETADO","OBSERVADO")</f>
        <v>OBSERVADO</v>
      </c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  <c r="Z163" s="185" t="str">
        <f aca="false">IF(AND(G163&lt;&gt;"",R163&lt;&gt;"",V163&lt;&gt;"",W163&lt;&gt;""),"COMPLETADO","OBSERVADO")</f>
        <v>OBSERVADO</v>
      </c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85" t="str">
        <f aca="false">IF(AND(G164&lt;&gt;"",R164&lt;&gt;"",V164&lt;&gt;"",W164&lt;&gt;""),"COMPLETADO","OBSERVADO")</f>
        <v>OBSERVADO</v>
      </c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  <c r="Z165" s="185" t="str">
        <f aca="false">IF(AND(G165&lt;&gt;"",R165&lt;&gt;"",V165&lt;&gt;"",W165&lt;&gt;""),"COMPLETADO","OBSERVADO")</f>
        <v>OBSERVADO</v>
      </c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85" t="str">
        <f aca="false">IF(AND(G166&lt;&gt;"",R166&lt;&gt;"",V166&lt;&gt;"",W166&lt;&gt;""),"COMPLETADO","OBSERVADO")</f>
        <v>OBSERVADO</v>
      </c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  <c r="Z167" s="185" t="str">
        <f aca="false">IF(AND(G167&lt;&gt;"",R167&lt;&gt;"",V167&lt;&gt;"",W167&lt;&gt;""),"COMPLETADO","OBSERVADO")</f>
        <v>OBSERVADO</v>
      </c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85" t="str">
        <f aca="false">IF(AND(G168&lt;&gt;"",R168&lt;&gt;"",V168&lt;&gt;"",W168&lt;&gt;""),"COMPLETADO","OBSERVADO")</f>
        <v>OBSERVADO</v>
      </c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  <c r="Z169" s="185" t="str">
        <f aca="false">IF(AND(G169&lt;&gt;"",R169&lt;&gt;"",V169&lt;&gt;"",W169&lt;&gt;""),"COMPLETADO","OBSERVADO")</f>
        <v>OBSERVADO</v>
      </c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85" t="str">
        <f aca="false">IF(AND(G170&lt;&gt;"",R170&lt;&gt;"",V170&lt;&gt;"",W170&lt;&gt;""),"COMPLETADO","OBSERVADO")</f>
        <v>OBSERVADO</v>
      </c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  <c r="Z171" s="185" t="str">
        <f aca="false">IF(AND(G171&lt;&gt;"",R171&lt;&gt;"",V171&lt;&gt;"",W171&lt;&gt;""),"COMPLETADO","OBSERVADO")</f>
        <v>OBSERVADO</v>
      </c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85" t="str">
        <f aca="false">IF(AND(G172&lt;&gt;"",R172&lt;&gt;"",V172&lt;&gt;"",W172&lt;&gt;""),"COMPLETADO","OBSERVADO")</f>
        <v>OBSERVADO</v>
      </c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  <c r="Z173" s="185" t="str">
        <f aca="false">IF(AND(G173&lt;&gt;"",R173&lt;&gt;"",V173&lt;&gt;"",W173&lt;&gt;""),"COMPLETADO","OBSERVADO")</f>
        <v>OBSERVADO</v>
      </c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85" t="str">
        <f aca="false">IF(AND(G174&lt;&gt;"",R174&lt;&gt;"",V174&lt;&gt;"",W174&lt;&gt;""),"COMPLETADO","OBSERVADO")</f>
        <v>OBSERVADO</v>
      </c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  <c r="Z175" s="185" t="str">
        <f aca="false">IF(AND(G175&lt;&gt;"",R175&lt;&gt;"",V175&lt;&gt;"",W175&lt;&gt;""),"COMPLETADO","OBSERVADO")</f>
        <v>OBSERVADO</v>
      </c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85" t="str">
        <f aca="false">IF(AND(G176&lt;&gt;"",R176&lt;&gt;"",V176&lt;&gt;"",W176&lt;&gt;""),"COMPLETADO","OBSERVADO")</f>
        <v>OBSERVADO</v>
      </c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  <c r="Z177" s="185" t="str">
        <f aca="false">IF(AND(G177&lt;&gt;"",R177&lt;&gt;"",V177&lt;&gt;"",W177&lt;&gt;""),"COMPLETADO","OBSERVADO")</f>
        <v>OBSERVADO</v>
      </c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85" t="str">
        <f aca="false">IF(AND(G178&lt;&gt;"",R178&lt;&gt;"",V178&lt;&gt;"",W178&lt;&gt;""),"COMPLETADO","OBSERVADO")</f>
        <v>OBSERVADO</v>
      </c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  <c r="Z179" s="185" t="str">
        <f aca="false">IF(AND(G179&lt;&gt;"",R179&lt;&gt;"",V179&lt;&gt;"",W179&lt;&gt;""),"COMPLETADO","OBSERVADO")</f>
        <v>OBSERVADO</v>
      </c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85" t="str">
        <f aca="false">IF(AND(G180&lt;&gt;"",R180&lt;&gt;"",V180&lt;&gt;"",W180&lt;&gt;""),"COMPLETADO","OBSERVADO")</f>
        <v>OBSERVADO</v>
      </c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  <c r="Z181" s="185" t="str">
        <f aca="false">IF(AND(G181&lt;&gt;"",R181&lt;&gt;"",V181&lt;&gt;"",W181&lt;&gt;""),"COMPLETADO","OBSERVADO")</f>
        <v>OBSERVADO</v>
      </c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85" t="str">
        <f aca="false">IF(AND(G182&lt;&gt;"",R182&lt;&gt;"",V182&lt;&gt;"",W182&lt;&gt;""),"COMPLETADO","OBSERVADO")</f>
        <v>OBSERVADO</v>
      </c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  <c r="Z183" s="185" t="str">
        <f aca="false">IF(AND(G183&lt;&gt;"",R183&lt;&gt;"",V183&lt;&gt;"",W183&lt;&gt;""),"COMPLETADO","OBSERVADO")</f>
        <v>OBSERVADO</v>
      </c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85" t="str">
        <f aca="false">IF(AND(G184&lt;&gt;"",R184&lt;&gt;"",V184&lt;&gt;"",W184&lt;&gt;""),"COMPLETADO","OBSERVADO")</f>
        <v>OBSERVADO</v>
      </c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  <c r="Z185" s="185" t="str">
        <f aca="false">IF(AND(G185&lt;&gt;"",R185&lt;&gt;"",V185&lt;&gt;"",W185&lt;&gt;""),"COMPLETADO","OBSERVADO")</f>
        <v>OBSERVADO</v>
      </c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85" t="str">
        <f aca="false">IF(AND(G186&lt;&gt;"",R186&lt;&gt;"",V186&lt;&gt;"",W186&lt;&gt;""),"COMPLETADO","OBSERVADO")</f>
        <v>OBSERVADO</v>
      </c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  <c r="Z187" s="185" t="str">
        <f aca="false">IF(AND(G187&lt;&gt;"",R187&lt;&gt;"",V187&lt;&gt;"",W187&lt;&gt;""),"COMPLETADO","OBSERVADO")</f>
        <v>OBSERVADO</v>
      </c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85" t="str">
        <f aca="false">IF(AND(G188&lt;&gt;"",R188&lt;&gt;"",V188&lt;&gt;"",W188&lt;&gt;""),"COMPLETADO","OBSERVADO")</f>
        <v>OBSERVADO</v>
      </c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  <c r="Z189" s="185" t="str">
        <f aca="false">IF(AND(G189&lt;&gt;"",R189&lt;&gt;"",V189&lt;&gt;"",W189&lt;&gt;""),"COMPLETADO","OBSERVADO")</f>
        <v>OBSERVADO</v>
      </c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85" t="str">
        <f aca="false">IF(AND(G190&lt;&gt;"",R190&lt;&gt;"",V190&lt;&gt;"",W190&lt;&gt;""),"COMPLETADO","OBSERVADO")</f>
        <v>OBSERVADO</v>
      </c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  <c r="Z191" s="185" t="str">
        <f aca="false">IF(AND(G191&lt;&gt;"",R191&lt;&gt;"",V191&lt;&gt;"",W191&lt;&gt;""),"COMPLETADO","OBSERVADO")</f>
        <v>OBSERVADO</v>
      </c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85" t="str">
        <f aca="false">IF(AND(G192&lt;&gt;"",R192&lt;&gt;"",V192&lt;&gt;"",W192&lt;&gt;""),"COMPLETADO","OBSERVADO")</f>
        <v>OBSERVADO</v>
      </c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  <c r="Z193" s="185" t="str">
        <f aca="false">IF(AND(G193&lt;&gt;"",R193&lt;&gt;"",V193&lt;&gt;"",W193&lt;&gt;""),"COMPLETADO","OBSERVADO")</f>
        <v>OBSERVADO</v>
      </c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85" t="str">
        <f aca="false">IF(AND(G194&lt;&gt;"",R194&lt;&gt;"",V194&lt;&gt;"",W194&lt;&gt;""),"COMPLETADO","OBSERVADO")</f>
        <v>OBSERVADO</v>
      </c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  <c r="Z195" s="185" t="str">
        <f aca="false">IF(AND(G195&lt;&gt;"",R195&lt;&gt;"",V195&lt;&gt;"",W195&lt;&gt;""),"COMPLETADO","OBSERVADO")</f>
        <v>OBSERVADO</v>
      </c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85" t="str">
        <f aca="false">IF(AND(G196&lt;&gt;"",R196&lt;&gt;"",V196&lt;&gt;"",W196&lt;&gt;""),"COMPLETADO","OBSERVADO")</f>
        <v>OBSERVADO</v>
      </c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  <c r="Z197" s="185" t="str">
        <f aca="false">IF(AND(G197&lt;&gt;"",R197&lt;&gt;"",V197&lt;&gt;"",W197&lt;&gt;""),"COMPLETADO","OBSERVADO")</f>
        <v>OBSERVADO</v>
      </c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85" t="str">
        <f aca="false">IF(AND(G198&lt;&gt;"",R198&lt;&gt;"",V198&lt;&gt;"",W198&lt;&gt;""),"COMPLETADO","OBSERVADO")</f>
        <v>OBSERVADO</v>
      </c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  <c r="Z199" s="185" t="str">
        <f aca="false">IF(AND(G199&lt;&gt;"",R199&lt;&gt;"",V199&lt;&gt;"",W199&lt;&gt;""),"COMPLETADO","OBSERVADO")</f>
        <v>OBSERVADO</v>
      </c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85" t="str">
        <f aca="false">IF(AND(G200&lt;&gt;"",R200&lt;&gt;"",V200&lt;&gt;"",W200&lt;&gt;""),"COMPLETADO","OBSERVADO")</f>
        <v>OBSERVADO</v>
      </c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  <c r="Z201" s="185" t="str">
        <f aca="false">IF(AND(G201&lt;&gt;"",R201&lt;&gt;"",V201&lt;&gt;"",W201&lt;&gt;""),"COMPLETADO","OBSERVADO")</f>
        <v>OBSERVADO</v>
      </c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85" t="str">
        <f aca="false">IF(AND(G202&lt;&gt;"",R202&lt;&gt;"",V202&lt;&gt;"",W202&lt;&gt;""),"COMPLETADO","OBSERVADO")</f>
        <v>OBSERVADO</v>
      </c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  <c r="Z203" s="185" t="str">
        <f aca="false">IF(AND(G203&lt;&gt;"",R203&lt;&gt;"",V203&lt;&gt;"",W203&lt;&gt;""),"COMPLETADO","OBSERVADO")</f>
        <v>OBSERVADO</v>
      </c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85" t="str">
        <f aca="false">IF(AND(G204&lt;&gt;"",R204&lt;&gt;"",V204&lt;&gt;"",W204&lt;&gt;""),"COMPLETADO","OBSERVADO")</f>
        <v>OBSERVADO</v>
      </c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  <c r="Z205" s="185" t="str">
        <f aca="false">IF(AND(G205&lt;&gt;"",R205&lt;&gt;"",V205&lt;&gt;"",W205&lt;&gt;""),"COMPLETADO","OBSERVADO")</f>
        <v>OBSERVADO</v>
      </c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85" t="str">
        <f aca="false">IF(AND(G206&lt;&gt;"",R206&lt;&gt;"",V206&lt;&gt;"",W206&lt;&gt;""),"COMPLETADO","OBSERVADO")</f>
        <v>OBSERVADO</v>
      </c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  <c r="Z207" s="185" t="str">
        <f aca="false">IF(AND(G207&lt;&gt;"",R207&lt;&gt;"",V207&lt;&gt;"",W207&lt;&gt;""),"COMPLETADO","OBSERVADO")</f>
        <v>OBSERVADO</v>
      </c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85" t="str">
        <f aca="false">IF(AND(G208&lt;&gt;"",R208&lt;&gt;"",V208&lt;&gt;"",W208&lt;&gt;""),"COMPLETADO","OBSERVADO")</f>
        <v>OBSERVADO</v>
      </c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  <c r="Z209" s="185" t="str">
        <f aca="false">IF(AND(G209&lt;&gt;"",R209&lt;&gt;"",V209&lt;&gt;"",W209&lt;&gt;""),"COMPLETADO","OBSERVADO")</f>
        <v>OBSERVADO</v>
      </c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85" t="str">
        <f aca="false">IF(AND(G210&lt;&gt;"",R210&lt;&gt;"",V210&lt;&gt;"",W210&lt;&gt;""),"COMPLETADO","OBSERVADO")</f>
        <v>OBSERVADO</v>
      </c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  <c r="Z211" s="185" t="str">
        <f aca="false">IF(AND(G211&lt;&gt;"",R211&lt;&gt;"",V211&lt;&gt;"",W211&lt;&gt;""),"COMPLETADO","OBSERVADO")</f>
        <v>OBSERVADO</v>
      </c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85" t="str">
        <f aca="false">IF(AND(G212&lt;&gt;"",R212&lt;&gt;"",V212&lt;&gt;"",W212&lt;&gt;""),"COMPLETADO","OBSERVADO")</f>
        <v>OBSERVADO</v>
      </c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  <c r="Z213" s="185" t="str">
        <f aca="false">IF(AND(G213&lt;&gt;"",R213&lt;&gt;"",V213&lt;&gt;"",W213&lt;&gt;""),"COMPLETADO","OBSERVADO")</f>
        <v>OBSERVADO</v>
      </c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85" t="str">
        <f aca="false">IF(AND(G214&lt;&gt;"",R214&lt;&gt;"",V214&lt;&gt;"",W214&lt;&gt;""),"COMPLETADO","OBSERVADO")</f>
        <v>OBSERVADO</v>
      </c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  <c r="Z215" s="185" t="str">
        <f aca="false">IF(AND(G215&lt;&gt;"",R215&lt;&gt;"",V215&lt;&gt;"",W215&lt;&gt;""),"COMPLETADO","OBSERVADO")</f>
        <v>OBSERVADO</v>
      </c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85" t="str">
        <f aca="false">IF(AND(G216&lt;&gt;"",R216&lt;&gt;"",V216&lt;&gt;"",W216&lt;&gt;""),"COMPLETADO","OBSERVADO")</f>
        <v>OBSERVADO</v>
      </c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  <c r="Z217" s="185" t="str">
        <f aca="false">IF(AND(G217&lt;&gt;"",R217&lt;&gt;"",V217&lt;&gt;"",W217&lt;&gt;""),"COMPLETADO","OBSERVADO")</f>
        <v>OBSERVADO</v>
      </c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85" t="str">
        <f aca="false">IF(AND(G218&lt;&gt;"",R218&lt;&gt;"",V218&lt;&gt;"",W218&lt;&gt;""),"COMPLETADO","OBSERVADO")</f>
        <v>OBSERVADO</v>
      </c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  <c r="Z219" s="185" t="str">
        <f aca="false">IF(AND(G219&lt;&gt;"",R219&lt;&gt;"",V219&lt;&gt;"",W219&lt;&gt;""),"COMPLETADO","OBSERVADO")</f>
        <v>OBSERVADO</v>
      </c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85" t="str">
        <f aca="false">IF(AND(G220&lt;&gt;"",R220&lt;&gt;"",V220&lt;&gt;"",W220&lt;&gt;""),"COMPLETADO","OBSERVADO")</f>
        <v>OBSERVADO</v>
      </c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  <c r="Z221" s="185" t="str">
        <f aca="false">IF(AND(G221&lt;&gt;"",R221&lt;&gt;"",V221&lt;&gt;"",W221&lt;&gt;""),"COMPLETADO","OBSERVADO")</f>
        <v>OBSERVADO</v>
      </c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85" t="str">
        <f aca="false">IF(AND(G222&lt;&gt;"",R222&lt;&gt;"",V222&lt;&gt;"",W222&lt;&gt;""),"COMPLETADO","OBSERVADO")</f>
        <v>OBSERVADO</v>
      </c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  <c r="Z223" s="185" t="str">
        <f aca="false">IF(AND(G223&lt;&gt;"",R223&lt;&gt;"",V223&lt;&gt;"",W223&lt;&gt;""),"COMPLETADO","OBSERVADO")</f>
        <v>OBSERVADO</v>
      </c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85" t="str">
        <f aca="false">IF(AND(G224&lt;&gt;"",R224&lt;&gt;"",V224&lt;&gt;"",W224&lt;&gt;""),"COMPLETADO","OBSERVADO")</f>
        <v>OBSERVADO</v>
      </c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  <c r="Z225" s="185" t="str">
        <f aca="false">IF(AND(G225&lt;&gt;"",R225&lt;&gt;"",V225&lt;&gt;"",W225&lt;&gt;""),"COMPLETADO","OBSERVADO")</f>
        <v>OBSERVADO</v>
      </c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85" t="str">
        <f aca="false">IF(AND(G226&lt;&gt;"",R226&lt;&gt;"",V226&lt;&gt;"",W226&lt;&gt;""),"COMPLETADO","OBSERVADO")</f>
        <v>OBSERVADO</v>
      </c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  <c r="Z227" s="185" t="str">
        <f aca="false">IF(AND(G227&lt;&gt;"",R227&lt;&gt;"",V227&lt;&gt;"",W227&lt;&gt;""),"COMPLETADO","OBSERVADO")</f>
        <v>OBSERVADO</v>
      </c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85" t="str">
        <f aca="false">IF(AND(G228&lt;&gt;"",R228&lt;&gt;"",V228&lt;&gt;"",W228&lt;&gt;""),"COMPLETADO","OBSERVADO")</f>
        <v>OBSERVADO</v>
      </c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  <c r="Z229" s="185" t="str">
        <f aca="false">IF(AND(G229&lt;&gt;"",R229&lt;&gt;"",V229&lt;&gt;"",W229&lt;&gt;""),"COMPLETADO","OBSERVADO")</f>
        <v>OBSERVADO</v>
      </c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85" t="str">
        <f aca="false">IF(AND(G230&lt;&gt;"",R230&lt;&gt;"",V230&lt;&gt;"",W230&lt;&gt;""),"COMPLETADO","OBSERVADO")</f>
        <v>OBSERVADO</v>
      </c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  <c r="Z231" s="185" t="str">
        <f aca="false">IF(AND(G231&lt;&gt;"",R231&lt;&gt;"",V231&lt;&gt;"",W231&lt;&gt;""),"COMPLETADO","OBSERVADO")</f>
        <v>OBSERVADO</v>
      </c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85" t="str">
        <f aca="false">IF(AND(G232&lt;&gt;"",R232&lt;&gt;"",V232&lt;&gt;"",W232&lt;&gt;""),"COMPLETADO","OBSERVADO")</f>
        <v>OBSERVADO</v>
      </c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  <c r="Z233" s="185" t="str">
        <f aca="false">IF(AND(G233&lt;&gt;"",R233&lt;&gt;"",V233&lt;&gt;"",W233&lt;&gt;""),"COMPLETADO","OBSERVADO")</f>
        <v>OBSERVADO</v>
      </c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85" t="str">
        <f aca="false">IF(AND(G234&lt;&gt;"",R234&lt;&gt;"",V234&lt;&gt;"",W234&lt;&gt;""),"COMPLETADO","OBSERVADO")</f>
        <v>OBSERVADO</v>
      </c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  <c r="Z235" s="185" t="str">
        <f aca="false">IF(AND(G235&lt;&gt;"",R235&lt;&gt;"",V235&lt;&gt;"",W235&lt;&gt;""),"COMPLETADO","OBSERVADO")</f>
        <v>OBSERVADO</v>
      </c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85" t="str">
        <f aca="false">IF(AND(G236&lt;&gt;"",R236&lt;&gt;"",V236&lt;&gt;"",W236&lt;&gt;""),"COMPLETADO","OBSERVADO")</f>
        <v>OBSERVADO</v>
      </c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  <c r="Z237" s="185" t="str">
        <f aca="false">IF(AND(G237&lt;&gt;"",R237&lt;&gt;"",V237&lt;&gt;"",W237&lt;&gt;""),"COMPLETADO","OBSERVADO")</f>
        <v>OBSERVADO</v>
      </c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85" t="str">
        <f aca="false">IF(AND(G238&lt;&gt;"",R238&lt;&gt;"",V238&lt;&gt;"",W238&lt;&gt;""),"COMPLETADO","OBSERVADO")</f>
        <v>OBSERVADO</v>
      </c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  <c r="Z239" s="185" t="str">
        <f aca="false">IF(AND(G239&lt;&gt;"",R239&lt;&gt;"",V239&lt;&gt;"",W239&lt;&gt;""),"COMPLETADO","OBSERVADO")</f>
        <v>OBSERVADO</v>
      </c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85" t="str">
        <f aca="false">IF(AND(G240&lt;&gt;"",R240&lt;&gt;"",V240&lt;&gt;"",W240&lt;&gt;""),"COMPLETADO","OBSERVADO")</f>
        <v>OBSERVADO</v>
      </c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  <c r="Z241" s="185" t="str">
        <f aca="false">IF(AND(G241&lt;&gt;"",R241&lt;&gt;"",V241&lt;&gt;"",W241&lt;&gt;""),"COMPLETADO","OBSERVADO")</f>
        <v>OBSERVADO</v>
      </c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85" t="str">
        <f aca="false">IF(AND(G242&lt;&gt;"",R242&lt;&gt;"",V242&lt;&gt;"",W242&lt;&gt;""),"COMPLETADO","OBSERVADO")</f>
        <v>OBSERVADO</v>
      </c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  <c r="Z243" s="185" t="str">
        <f aca="false">IF(AND(G243&lt;&gt;"",R243&lt;&gt;"",V243&lt;&gt;"",W243&lt;&gt;""),"COMPLETADO","OBSERVADO")</f>
        <v>OBSERVADO</v>
      </c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85" t="str">
        <f aca="false">IF(AND(G244&lt;&gt;"",R244&lt;&gt;"",V244&lt;&gt;"",W244&lt;&gt;""),"COMPLETADO","OBSERVADO")</f>
        <v>OBSERVADO</v>
      </c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  <c r="Z245" s="185" t="str">
        <f aca="false">IF(AND(G245&lt;&gt;"",R245&lt;&gt;"",V245&lt;&gt;"",W245&lt;&gt;""),"COMPLETADO","OBSERVADO")</f>
        <v>OBSERVADO</v>
      </c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85" t="str">
        <f aca="false">IF(AND(G246&lt;&gt;"",R246&lt;&gt;"",V246&lt;&gt;"",W246&lt;&gt;""),"COMPLETADO","OBSERVADO")</f>
        <v>OBSERVADO</v>
      </c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  <c r="Z247" s="185" t="str">
        <f aca="false">IF(AND(G247&lt;&gt;"",R247&lt;&gt;"",V247&lt;&gt;"",W247&lt;&gt;""),"COMPLETADO","OBSERVADO")</f>
        <v>OBSERVADO</v>
      </c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85" t="str">
        <f aca="false">IF(AND(G248&lt;&gt;"",R248&lt;&gt;"",V248&lt;&gt;"",W248&lt;&gt;""),"COMPLETADO","OBSERVADO")</f>
        <v>OBSERVADO</v>
      </c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  <c r="Z249" s="185" t="str">
        <f aca="false">IF(AND(G249&lt;&gt;"",R249&lt;&gt;"",V249&lt;&gt;"",W249&lt;&gt;""),"COMPLETADO","OBSERVADO")</f>
        <v>OBSERVADO</v>
      </c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85" t="str">
        <f aca="false">IF(AND(G250&lt;&gt;"",R250&lt;&gt;"",V250&lt;&gt;"",W250&lt;&gt;""),"COMPLETADO","OBSERVADO")</f>
        <v>OBSERVADO</v>
      </c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  <c r="Z251" s="185" t="str">
        <f aca="false">IF(AND(G251&lt;&gt;"",R251&lt;&gt;"",V251&lt;&gt;"",W251&lt;&gt;""),"COMPLETADO","OBSERVADO")</f>
        <v>OBSERVADO</v>
      </c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85" t="str">
        <f aca="false">IF(AND(G252&lt;&gt;"",R252&lt;&gt;"",V252&lt;&gt;"",W252&lt;&gt;""),"COMPLETADO","OBSERVADO")</f>
        <v>OBSERVADO</v>
      </c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  <c r="Z253" s="185" t="str">
        <f aca="false">IF(AND(G253&lt;&gt;"",R253&lt;&gt;"",V253&lt;&gt;"",W253&lt;&gt;""),"COMPLETADO","OBSERVADO")</f>
        <v>OBSERVADO</v>
      </c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85" t="str">
        <f aca="false">IF(AND(G254&lt;&gt;"",R254&lt;&gt;"",V254&lt;&gt;"",W254&lt;&gt;""),"COMPLETADO","OBSERVADO")</f>
        <v>OBSERVADO</v>
      </c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  <c r="Z255" s="185" t="str">
        <f aca="false">IF(AND(G255&lt;&gt;"",R255&lt;&gt;"",V255&lt;&gt;"",W255&lt;&gt;""),"COMPLETADO","OBSERVADO")</f>
        <v>OBSERVADO</v>
      </c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85" t="str">
        <f aca="false">IF(AND(G256&lt;&gt;"",R256&lt;&gt;"",V256&lt;&gt;"",W256&lt;&gt;""),"COMPLETADO","OBSERVADO")</f>
        <v>OBSERVADO</v>
      </c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  <c r="Z257" s="185" t="str">
        <f aca="false">IF(AND(G257&lt;&gt;"",R257&lt;&gt;"",V257&lt;&gt;"",W257&lt;&gt;""),"COMPLETADO","OBSERVADO")</f>
        <v>OBSERVADO</v>
      </c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85" t="str">
        <f aca="false">IF(AND(G258&lt;&gt;"",R258&lt;&gt;"",V258&lt;&gt;"",W258&lt;&gt;""),"COMPLETADO","OBSERVADO")</f>
        <v>OBSERVADO</v>
      </c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  <c r="Z259" s="185" t="str">
        <f aca="false">IF(AND(G259&lt;&gt;"",R259&lt;&gt;"",V259&lt;&gt;"",W259&lt;&gt;""),"COMPLETADO","OBSERVADO")</f>
        <v>OBSERVADO</v>
      </c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85" t="str">
        <f aca="false">IF(AND(G260&lt;&gt;"",R260&lt;&gt;"",V260&lt;&gt;"",W260&lt;&gt;""),"COMPLETADO","OBSERVADO")</f>
        <v>OBSERVADO</v>
      </c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  <c r="Z261" s="185" t="str">
        <f aca="false">IF(AND(G261&lt;&gt;"",R261&lt;&gt;"",V261&lt;&gt;"",W261&lt;&gt;""),"COMPLETADO","OBSERVADO")</f>
        <v>OBSERVADO</v>
      </c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85" t="str">
        <f aca="false">IF(AND(G262&lt;&gt;"",R262&lt;&gt;"",V262&lt;&gt;"",W262&lt;&gt;""),"COMPLETADO","OBSERVADO")</f>
        <v>OBSERVADO</v>
      </c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  <c r="Z263" s="185" t="str">
        <f aca="false">IF(AND(G263&lt;&gt;"",R263&lt;&gt;"",V263&lt;&gt;"",W263&lt;&gt;""),"COMPLETADO","OBSERVADO")</f>
        <v>OBSERVADO</v>
      </c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85" t="str">
        <f aca="false">IF(AND(G264&lt;&gt;"",R264&lt;&gt;"",V264&lt;&gt;"",W264&lt;&gt;""),"COMPLETADO","OBSERVADO")</f>
        <v>OBSERVADO</v>
      </c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  <c r="Z265" s="185" t="str">
        <f aca="false">IF(AND(G265&lt;&gt;"",R265&lt;&gt;"",V265&lt;&gt;"",W265&lt;&gt;""),"COMPLETADO","OBSERVADO")</f>
        <v>OBSERVADO</v>
      </c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85" t="str">
        <f aca="false">IF(AND(G266&lt;&gt;"",R266&lt;&gt;"",V266&lt;&gt;"",W266&lt;&gt;""),"COMPLETADO","OBSERVADO")</f>
        <v>OBSERVADO</v>
      </c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  <c r="Z267" s="185" t="str">
        <f aca="false">IF(AND(G267&lt;&gt;"",R267&lt;&gt;"",V267&lt;&gt;"",W267&lt;&gt;""),"COMPLETADO","OBSERVADO")</f>
        <v>OBSERVADO</v>
      </c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85" t="str">
        <f aca="false">IF(AND(G268&lt;&gt;"",R268&lt;&gt;"",V268&lt;&gt;"",W268&lt;&gt;""),"COMPLETADO","OBSERVADO")</f>
        <v>OBSERVADO</v>
      </c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  <c r="Z269" s="185" t="str">
        <f aca="false">IF(AND(G269&lt;&gt;"",R269&lt;&gt;"",V269&lt;&gt;"",W269&lt;&gt;""),"COMPLETADO","OBSERVADO")</f>
        <v>OBSERVADO</v>
      </c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85" t="str">
        <f aca="false">IF(AND(G270&lt;&gt;"",R270&lt;&gt;"",V270&lt;&gt;"",W270&lt;&gt;""),"COMPLETADO","OBSERVADO")</f>
        <v>OBSERVADO</v>
      </c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  <c r="Z271" s="185" t="str">
        <f aca="false">IF(AND(G271&lt;&gt;"",R271&lt;&gt;"",V271&lt;&gt;"",W271&lt;&gt;""),"COMPLETADO","OBSERVADO")</f>
        <v>OBSERVADO</v>
      </c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85" t="str">
        <f aca="false">IF(AND(G272&lt;&gt;"",R272&lt;&gt;"",V272&lt;&gt;"",W272&lt;&gt;""),"COMPLETADO","OBSERVADO")</f>
        <v>OBSERVADO</v>
      </c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  <c r="Z273" s="185" t="str">
        <f aca="false">IF(AND(G273&lt;&gt;"",R273&lt;&gt;"",V273&lt;&gt;"",W273&lt;&gt;""),"COMPLETADO","OBSERVADO")</f>
        <v>OBSERVADO</v>
      </c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85" t="str">
        <f aca="false">IF(AND(G274&lt;&gt;"",R274&lt;&gt;"",V274&lt;&gt;"",W274&lt;&gt;""),"COMPLETADO","OBSERVADO")</f>
        <v>OBSERVADO</v>
      </c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  <c r="Z275" s="185" t="str">
        <f aca="false">IF(AND(G275&lt;&gt;"",R275&lt;&gt;"",V275&lt;&gt;"",W275&lt;&gt;""),"COMPLETADO","OBSERVADO")</f>
        <v>OBSERVADO</v>
      </c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85" t="str">
        <f aca="false">IF(AND(G276&lt;&gt;"",R276&lt;&gt;"",V276&lt;&gt;"",W276&lt;&gt;""),"COMPLETADO","OBSERVADO")</f>
        <v>OBSERVADO</v>
      </c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  <c r="Z277" s="185" t="str">
        <f aca="false">IF(AND(G277&lt;&gt;"",R277&lt;&gt;"",V277&lt;&gt;"",W277&lt;&gt;""),"COMPLETADO","OBSERVADO")</f>
        <v>OBSERVADO</v>
      </c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85" t="str">
        <f aca="false">IF(AND(G278&lt;&gt;"",R278&lt;&gt;"",V278&lt;&gt;"",W278&lt;&gt;""),"COMPLETADO","OBSERVADO")</f>
        <v>OBSERVADO</v>
      </c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  <c r="Z279" s="185" t="str">
        <f aca="false">IF(AND(G279&lt;&gt;"",R279&lt;&gt;"",V279&lt;&gt;"",W279&lt;&gt;""),"COMPLETADO","OBSERVADO")</f>
        <v>OBSERVADO</v>
      </c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85" t="str">
        <f aca="false">IF(AND(G280&lt;&gt;"",R280&lt;&gt;"",V280&lt;&gt;"",W280&lt;&gt;""),"COMPLETADO","OBSERVADO")</f>
        <v>OBSERVADO</v>
      </c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  <c r="Z281" s="185" t="str">
        <f aca="false">IF(AND(G281&lt;&gt;"",R281&lt;&gt;"",V281&lt;&gt;"",W281&lt;&gt;""),"COMPLETADO","OBSERVADO")</f>
        <v>OBSERVADO</v>
      </c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85" t="str">
        <f aca="false">IF(AND(G282&lt;&gt;"",R282&lt;&gt;"",V282&lt;&gt;"",W282&lt;&gt;""),"COMPLETADO","OBSERVADO")</f>
        <v>OBSERVADO</v>
      </c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  <c r="Z283" s="185" t="str">
        <f aca="false">IF(AND(G283&lt;&gt;"",R283&lt;&gt;"",V283&lt;&gt;"",W283&lt;&gt;""),"COMPLETADO","OBSERVADO")</f>
        <v>OBSERVADO</v>
      </c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85" t="str">
        <f aca="false">IF(AND(G284&lt;&gt;"",R284&lt;&gt;"",V284&lt;&gt;"",W284&lt;&gt;""),"COMPLETADO","OBSERVADO")</f>
        <v>OBSERVADO</v>
      </c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  <c r="Z285" s="185" t="str">
        <f aca="false">IF(AND(G285&lt;&gt;"",R285&lt;&gt;"",V285&lt;&gt;"",W285&lt;&gt;""),"COMPLETADO","OBSERVADO")</f>
        <v>OBSERVADO</v>
      </c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85" t="str">
        <f aca="false">IF(AND(G286&lt;&gt;"",R286&lt;&gt;"",V286&lt;&gt;"",W286&lt;&gt;""),"COMPLETADO","OBSERVADO")</f>
        <v>OBSERVADO</v>
      </c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  <c r="Z287" s="185" t="str">
        <f aca="false">IF(AND(G287&lt;&gt;"",R287&lt;&gt;"",V287&lt;&gt;"",W287&lt;&gt;""),"COMPLETADO","OBSERVADO")</f>
        <v>OBSERVADO</v>
      </c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85" t="str">
        <f aca="false">IF(AND(G288&lt;&gt;"",R288&lt;&gt;"",V288&lt;&gt;"",W288&lt;&gt;""),"COMPLETADO","OBSERVADO")</f>
        <v>OBSERVADO</v>
      </c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  <c r="Z289" s="185" t="str">
        <f aca="false">IF(AND(G289&lt;&gt;"",R289&lt;&gt;"",V289&lt;&gt;"",W289&lt;&gt;""),"COMPLETADO","OBSERVADO")</f>
        <v>OBSERVADO</v>
      </c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85" t="str">
        <f aca="false">IF(AND(G290&lt;&gt;"",R290&lt;&gt;"",V290&lt;&gt;"",W290&lt;&gt;""),"COMPLETADO","OBSERVADO")</f>
        <v>OBSERVADO</v>
      </c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  <c r="Z291" s="185" t="str">
        <f aca="false">IF(AND(G291&lt;&gt;"",R291&lt;&gt;"",V291&lt;&gt;"",W291&lt;&gt;""),"COMPLETADO","OBSERVADO")</f>
        <v>OBSERVADO</v>
      </c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85" t="str">
        <f aca="false">IF(AND(G292&lt;&gt;"",R292&lt;&gt;"",V292&lt;&gt;"",W292&lt;&gt;""),"COMPLETADO","OBSERVADO")</f>
        <v>OBSERVADO</v>
      </c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  <c r="Z293" s="185" t="str">
        <f aca="false">IF(AND(G293&lt;&gt;"",R293&lt;&gt;"",V293&lt;&gt;"",W293&lt;&gt;""),"COMPLETADO","OBSERVADO")</f>
        <v>OBSERVADO</v>
      </c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85" t="str">
        <f aca="false">IF(AND(G294&lt;&gt;"",R294&lt;&gt;"",V294&lt;&gt;"",W294&lt;&gt;""),"COMPLETADO","OBSERVADO")</f>
        <v>OBSERVADO</v>
      </c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  <c r="Z295" s="185" t="str">
        <f aca="false">IF(AND(G295&lt;&gt;"",R295&lt;&gt;"",V295&lt;&gt;"",W295&lt;&gt;""),"COMPLETADO","OBSERVADO")</f>
        <v>OBSERVADO</v>
      </c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85" t="str">
        <f aca="false">IF(AND(G296&lt;&gt;"",R296&lt;&gt;"",V296&lt;&gt;"",W296&lt;&gt;""),"COMPLETADO","OBSERVADO")</f>
        <v>OBSERVADO</v>
      </c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  <c r="Z297" s="185" t="str">
        <f aca="false">IF(AND(G297&lt;&gt;"",R297&lt;&gt;"",V297&lt;&gt;"",W297&lt;&gt;""),"COMPLETADO","OBSERVADO")</f>
        <v>OBSERVADO</v>
      </c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85" t="str">
        <f aca="false">IF(AND(G298&lt;&gt;"",R298&lt;&gt;"",V298&lt;&gt;"",W298&lt;&gt;""),"COMPLETADO","OBSERVADO")</f>
        <v>OBSERVADO</v>
      </c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  <c r="Z299" s="185" t="str">
        <f aca="false">IF(AND(G299&lt;&gt;"",R299&lt;&gt;"",V299&lt;&gt;"",W299&lt;&gt;""),"COMPLETADO","OBSERVADO")</f>
        <v>OBSERVADO</v>
      </c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85" t="str">
        <f aca="false">IF(AND(G300&lt;&gt;"",R300&lt;&gt;"",V300&lt;&gt;"",W300&lt;&gt;""),"COMPLETADO","OBSERVADO")</f>
        <v>OBSERVADO</v>
      </c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  <c r="Z301" s="185" t="str">
        <f aca="false">IF(AND(G301&lt;&gt;"",R301&lt;&gt;"",V301&lt;&gt;"",W301&lt;&gt;""),"COMPLETADO","OBSERVADO")</f>
        <v>OBSERVADO</v>
      </c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85" t="str">
        <f aca="false">IF(AND(G302&lt;&gt;"",R302&lt;&gt;"",V302&lt;&gt;"",W302&lt;&gt;""),"COMPLETADO","OBSERVADO")</f>
        <v>OBSERVADO</v>
      </c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  <c r="Z303" s="185" t="str">
        <f aca="false">IF(AND(G303&lt;&gt;"",R303&lt;&gt;"",V303&lt;&gt;"",W303&lt;&gt;""),"COMPLETADO","OBSERVADO")</f>
        <v>OBSERVADO</v>
      </c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85" t="str">
        <f aca="false">IF(AND(G304&lt;&gt;"",R304&lt;&gt;"",V304&lt;&gt;"",W304&lt;&gt;""),"COMPLETADO","OBSERVADO")</f>
        <v>OBSERVADO</v>
      </c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  <c r="Z305" s="185" t="str">
        <f aca="false">IF(AND(G305&lt;&gt;"",R305&lt;&gt;"",V305&lt;&gt;"",W305&lt;&gt;""),"COMPLETADO","OBSERVADO")</f>
        <v>OBSERVADO</v>
      </c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85" t="str">
        <f aca="false">IF(AND(G306&lt;&gt;"",R306&lt;&gt;"",V306&lt;&gt;"",W306&lt;&gt;""),"COMPLETADO","OBSERVADO")</f>
        <v>OBSERVADO</v>
      </c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  <c r="Z307" s="185" t="str">
        <f aca="false">IF(AND(G307&lt;&gt;"",R307&lt;&gt;"",V307&lt;&gt;"",W307&lt;&gt;""),"COMPLETADO","OBSERVADO")</f>
        <v>OBSERVADO</v>
      </c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85" t="str">
        <f aca="false">IF(AND(G308&lt;&gt;"",R308&lt;&gt;"",V308&lt;&gt;"",W308&lt;&gt;""),"COMPLETADO","OBSERVADO")</f>
        <v>OBSERVADO</v>
      </c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  <c r="Z309" s="185" t="str">
        <f aca="false">IF(AND(G309&lt;&gt;"",R309&lt;&gt;"",V309&lt;&gt;"",W309&lt;&gt;""),"COMPLETADO","OBSERVADO")</f>
        <v>OBSERVADO</v>
      </c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85" t="str">
        <f aca="false">IF(AND(G310&lt;&gt;"",R310&lt;&gt;"",V310&lt;&gt;"",W310&lt;&gt;""),"COMPLETADO","OBSERVADO")</f>
        <v>OBSERVADO</v>
      </c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  <c r="Z311" s="185" t="str">
        <f aca="false">IF(AND(G311&lt;&gt;"",R311&lt;&gt;"",V311&lt;&gt;"",W311&lt;&gt;""),"COMPLETADO","OBSERVADO")</f>
        <v>OBSERVADO</v>
      </c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85" t="str">
        <f aca="false">IF(AND(G312&lt;&gt;"",R312&lt;&gt;"",V312&lt;&gt;"",W312&lt;&gt;""),"COMPLETADO","OBSERVADO")</f>
        <v>OBSERVADO</v>
      </c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  <c r="Z313" s="185" t="str">
        <f aca="false">IF(AND(G313&lt;&gt;"",R313&lt;&gt;"",V313&lt;&gt;"",W313&lt;&gt;""),"COMPLETADO","OBSERVADO")</f>
        <v>OBSERVADO</v>
      </c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85" t="str">
        <f aca="false">IF(AND(G314&lt;&gt;"",R314&lt;&gt;"",V314&lt;&gt;"",W314&lt;&gt;""),"COMPLETADO","OBSERVADO")</f>
        <v>OBSERVADO</v>
      </c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  <c r="Z315" s="185" t="str">
        <f aca="false">IF(AND(G315&lt;&gt;"",R315&lt;&gt;"",V315&lt;&gt;"",W315&lt;&gt;""),"COMPLETADO","OBSERVADO")</f>
        <v>OBSERVADO</v>
      </c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85" t="str">
        <f aca="false">IF(AND(G316&lt;&gt;"",R316&lt;&gt;"",V316&lt;&gt;"",W316&lt;&gt;""),"COMPLETADO","OBSERVADO")</f>
        <v>OBSERVADO</v>
      </c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  <c r="Z317" s="185" t="str">
        <f aca="false">IF(AND(G317&lt;&gt;"",R317&lt;&gt;"",V317&lt;&gt;"",W317&lt;&gt;""),"COMPLETADO","OBSERVADO")</f>
        <v>OBSERVADO</v>
      </c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85" t="str">
        <f aca="false">IF(AND(G318&lt;&gt;"",R318&lt;&gt;"",V318&lt;&gt;"",W318&lt;&gt;""),"COMPLETADO","OBSERVADO")</f>
        <v>OBSERVADO</v>
      </c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  <c r="Z319" s="185" t="str">
        <f aca="false">IF(AND(G319&lt;&gt;"",R319&lt;&gt;"",V319&lt;&gt;"",W319&lt;&gt;""),"COMPLETADO","OBSERVADO")</f>
        <v>OBSERVADO</v>
      </c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85" t="str">
        <f aca="false">IF(AND(G320&lt;&gt;"",R320&lt;&gt;"",V320&lt;&gt;"",W320&lt;&gt;""),"COMPLETADO","OBSERVADO")</f>
        <v>OBSERVADO</v>
      </c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  <c r="Z321" s="185" t="str">
        <f aca="false">IF(AND(G321&lt;&gt;"",R321&lt;&gt;"",V321&lt;&gt;"",W321&lt;&gt;""),"COMPLETADO","OBSERVADO")</f>
        <v>OBSERVADO</v>
      </c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85" t="str">
        <f aca="false">IF(AND(G322&lt;&gt;"",R322&lt;&gt;"",V322&lt;&gt;"",W322&lt;&gt;""),"COMPLETADO","OBSERVADO")</f>
        <v>OBSERVADO</v>
      </c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  <c r="Z323" s="185" t="str">
        <f aca="false">IF(AND(G323&lt;&gt;"",R323&lt;&gt;"",V323&lt;&gt;"",W323&lt;&gt;""),"COMPLETADO","OBSERVADO")</f>
        <v>OBSERVADO</v>
      </c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85" t="str">
        <f aca="false">IF(AND(G324&lt;&gt;"",R324&lt;&gt;"",V324&lt;&gt;"",W324&lt;&gt;""),"COMPLETADO","OBSERVADO")</f>
        <v>OBSERVADO</v>
      </c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  <c r="Z325" s="185" t="str">
        <f aca="false">IF(AND(G325&lt;&gt;"",R325&lt;&gt;"",V325&lt;&gt;"",W325&lt;&gt;""),"COMPLETADO","OBSERVADO")</f>
        <v>OBSERVADO</v>
      </c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85" t="str">
        <f aca="false">IF(AND(G326&lt;&gt;"",R326&lt;&gt;"",V326&lt;&gt;"",W326&lt;&gt;""),"COMPLETADO","OBSERVADO")</f>
        <v>OBSERVADO</v>
      </c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  <c r="Z327" s="185" t="str">
        <f aca="false">IF(AND(G327&lt;&gt;"",R327&lt;&gt;"",V327&lt;&gt;"",W327&lt;&gt;""),"COMPLETADO","OBSERVADO")</f>
        <v>OBSERVADO</v>
      </c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85" t="str">
        <f aca="false">IF(AND(G328&lt;&gt;"",R328&lt;&gt;"",V328&lt;&gt;"",W328&lt;&gt;""),"COMPLETADO","OBSERVADO")</f>
        <v>OBSERVADO</v>
      </c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  <c r="Z329" s="185" t="str">
        <f aca="false">IF(AND(G329&lt;&gt;"",R329&lt;&gt;"",V329&lt;&gt;"",W329&lt;&gt;""),"COMPLETADO","OBSERVADO")</f>
        <v>OBSERVADO</v>
      </c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85" t="str">
        <f aca="false">IF(AND(G330&lt;&gt;"",R330&lt;&gt;"",V330&lt;&gt;"",W330&lt;&gt;""),"COMPLETADO","OBSERVADO")</f>
        <v>OBSERVADO</v>
      </c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  <c r="Z331" s="185" t="str">
        <f aca="false">IF(AND(G331&lt;&gt;"",R331&lt;&gt;"",V331&lt;&gt;"",W331&lt;&gt;""),"COMPLETADO","OBSERVADO")</f>
        <v>OBSERVADO</v>
      </c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85" t="str">
        <f aca="false">IF(AND(G332&lt;&gt;"",R332&lt;&gt;"",V332&lt;&gt;"",W332&lt;&gt;""),"COMPLETADO","OBSERVADO")</f>
        <v>OBSERVADO</v>
      </c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  <c r="Z333" s="185" t="str">
        <f aca="false">IF(AND(G333&lt;&gt;"",R333&lt;&gt;"",V333&lt;&gt;"",W333&lt;&gt;""),"COMPLETADO","OBSERVADO")</f>
        <v>OBSERVADO</v>
      </c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85" t="str">
        <f aca="false">IF(AND(G334&lt;&gt;"",R334&lt;&gt;"",V334&lt;&gt;"",W334&lt;&gt;""),"COMPLETADO","OBSERVADO")</f>
        <v>OBSERVADO</v>
      </c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  <c r="Z335" s="185" t="str">
        <f aca="false">IF(AND(G335&lt;&gt;"",R335&lt;&gt;"",V335&lt;&gt;"",W335&lt;&gt;""),"COMPLETADO","OBSERVADO")</f>
        <v>OBSERVADO</v>
      </c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85" t="str">
        <f aca="false">IF(AND(G336&lt;&gt;"",R336&lt;&gt;"",V336&lt;&gt;"",W336&lt;&gt;""),"COMPLETADO","OBSERVADO")</f>
        <v>OBSERVADO</v>
      </c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  <c r="Z337" s="185" t="str">
        <f aca="false">IF(AND(G337&lt;&gt;"",R337&lt;&gt;"",V337&lt;&gt;"",W337&lt;&gt;""),"COMPLETADO","OBSERVADO")</f>
        <v>OBSERVADO</v>
      </c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85" t="str">
        <f aca="false">IF(AND(G338&lt;&gt;"",R338&lt;&gt;"",V338&lt;&gt;"",W338&lt;&gt;""),"COMPLETADO","OBSERVADO")</f>
        <v>OBSERVADO</v>
      </c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  <c r="Z339" s="185" t="str">
        <f aca="false">IF(AND(G339&lt;&gt;"",R339&lt;&gt;"",V339&lt;&gt;"",W339&lt;&gt;""),"COMPLETADO","OBSERVADO")</f>
        <v>OBSERVADO</v>
      </c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85" t="str">
        <f aca="false">IF(AND(G340&lt;&gt;"",R340&lt;&gt;"",V340&lt;&gt;"",W340&lt;&gt;""),"COMPLETADO","OBSERVADO")</f>
        <v>OBSERVADO</v>
      </c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  <c r="Z341" s="185" t="str">
        <f aca="false">IF(AND(G341&lt;&gt;"",R341&lt;&gt;"",V341&lt;&gt;"",W341&lt;&gt;""),"COMPLETADO","OBSERVADO")</f>
        <v>OBSERVADO</v>
      </c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85" t="str">
        <f aca="false">IF(AND(G342&lt;&gt;"",R342&lt;&gt;"",V342&lt;&gt;"",W342&lt;&gt;""),"COMPLETADO","OBSERVADO")</f>
        <v>OBSERVADO</v>
      </c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  <c r="Z343" s="185" t="str">
        <f aca="false">IF(AND(G343&lt;&gt;"",R343&lt;&gt;"",V343&lt;&gt;"",W343&lt;&gt;""),"COMPLETADO","OBSERVADO")</f>
        <v>OBSERVADO</v>
      </c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85" t="str">
        <f aca="false">IF(AND(G344&lt;&gt;"",R344&lt;&gt;"",V344&lt;&gt;"",W344&lt;&gt;""),"COMPLETADO","OBSERVADO")</f>
        <v>OBSERVADO</v>
      </c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  <c r="Z345" s="185" t="str">
        <f aca="false">IF(AND(G345&lt;&gt;"",R345&lt;&gt;"",V345&lt;&gt;"",W345&lt;&gt;""),"COMPLETADO","OBSERVADO")</f>
        <v>OBSERVADO</v>
      </c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85" t="str">
        <f aca="false">IF(AND(G346&lt;&gt;"",R346&lt;&gt;"",V346&lt;&gt;"",W346&lt;&gt;""),"COMPLETADO","OBSERVADO")</f>
        <v>OBSERVADO</v>
      </c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  <c r="Z347" s="185" t="str">
        <f aca="false">IF(AND(G347&lt;&gt;"",R347&lt;&gt;"",V347&lt;&gt;"",W347&lt;&gt;""),"COMPLETADO","OBSERVADO")</f>
        <v>OBSERVADO</v>
      </c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85" t="str">
        <f aca="false">IF(AND(G348&lt;&gt;"",R348&lt;&gt;"",V348&lt;&gt;"",W348&lt;&gt;""),"COMPLETADO","OBSERVADO")</f>
        <v>OBSERVADO</v>
      </c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  <c r="Z349" s="185" t="str">
        <f aca="false">IF(AND(G349&lt;&gt;"",R349&lt;&gt;"",V349&lt;&gt;"",W349&lt;&gt;""),"COMPLETADO","OBSERVADO")</f>
        <v>OBSERVADO</v>
      </c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85" t="str">
        <f aca="false">IF(AND(G350&lt;&gt;"",R350&lt;&gt;"",V350&lt;&gt;"",W350&lt;&gt;""),"COMPLETADO","OBSERVADO")</f>
        <v>OBSERVADO</v>
      </c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  <c r="Z351" s="185" t="str">
        <f aca="false">IF(AND(G351&lt;&gt;"",R351&lt;&gt;"",V351&lt;&gt;"",W351&lt;&gt;""),"COMPLETADO","OBSERVADO")</f>
        <v>OBSERVADO</v>
      </c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85" t="str">
        <f aca="false">IF(AND(G352&lt;&gt;"",R352&lt;&gt;"",V352&lt;&gt;"",W352&lt;&gt;""),"COMPLETADO","OBSERVADO")</f>
        <v>OBSERVADO</v>
      </c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  <c r="Z353" s="185" t="str">
        <f aca="false">IF(AND(G353&lt;&gt;"",R353&lt;&gt;"",V353&lt;&gt;"",W353&lt;&gt;""),"COMPLETADO","OBSERVADO")</f>
        <v>OBSERVADO</v>
      </c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85" t="str">
        <f aca="false">IF(AND(G354&lt;&gt;"",R354&lt;&gt;"",V354&lt;&gt;"",W354&lt;&gt;""),"COMPLETADO","OBSERVADO")</f>
        <v>OBSERVADO</v>
      </c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  <c r="Z355" s="185" t="str">
        <f aca="false">IF(AND(G355&lt;&gt;"",R355&lt;&gt;"",V355&lt;&gt;"",W355&lt;&gt;""),"COMPLETADO","OBSERVADO")</f>
        <v>OBSERVADO</v>
      </c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85" t="str">
        <f aca="false">IF(AND(G356&lt;&gt;"",R356&lt;&gt;"",V356&lt;&gt;"",W356&lt;&gt;""),"COMPLETADO","OBSERVADO")</f>
        <v>OBSERVADO</v>
      </c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  <c r="Z357" s="185" t="str">
        <f aca="false">IF(AND(G357&lt;&gt;"",R357&lt;&gt;"",V357&lt;&gt;"",W357&lt;&gt;""),"COMPLETADO","OBSERVADO")</f>
        <v>OBSERVADO</v>
      </c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85" t="str">
        <f aca="false">IF(AND(G358&lt;&gt;"",R358&lt;&gt;"",V358&lt;&gt;"",W358&lt;&gt;""),"COMPLETADO","OBSERVADO")</f>
        <v>OBSERVADO</v>
      </c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  <c r="Z359" s="185" t="str">
        <f aca="false">IF(AND(G359&lt;&gt;"",R359&lt;&gt;"",V359&lt;&gt;"",W359&lt;&gt;""),"COMPLETADO","OBSERVADO")</f>
        <v>OBSERVADO</v>
      </c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85" t="str">
        <f aca="false">IF(AND(G360&lt;&gt;"",R360&lt;&gt;"",V360&lt;&gt;"",W360&lt;&gt;""),"COMPLETADO","OBSERVADO")</f>
        <v>OBSERVADO</v>
      </c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  <c r="Z361" s="185" t="str">
        <f aca="false">IF(AND(G361&lt;&gt;"",R361&lt;&gt;"",V361&lt;&gt;"",W361&lt;&gt;""),"COMPLETADO","OBSERVADO")</f>
        <v>OBSERVADO</v>
      </c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85" t="str">
        <f aca="false">IF(AND(G362&lt;&gt;"",R362&lt;&gt;"",V362&lt;&gt;"",W362&lt;&gt;""),"COMPLETADO","OBSERVADO")</f>
        <v>OBSERVADO</v>
      </c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  <c r="Z363" s="185" t="str">
        <f aca="false">IF(AND(G363&lt;&gt;"",R363&lt;&gt;"",V363&lt;&gt;"",W363&lt;&gt;""),"COMPLETADO","OBSERVADO")</f>
        <v>OBSERVADO</v>
      </c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85" t="str">
        <f aca="false">IF(AND(G364&lt;&gt;"",R364&lt;&gt;"",V364&lt;&gt;"",W364&lt;&gt;""),"COMPLETADO","OBSERVADO")</f>
        <v>OBSERVADO</v>
      </c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  <c r="Z365" s="185" t="str">
        <f aca="false">IF(AND(G365&lt;&gt;"",R365&lt;&gt;"",V365&lt;&gt;"",W365&lt;&gt;""),"COMPLETADO","OBSERVADO")</f>
        <v>OBSERVADO</v>
      </c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85" t="str">
        <f aca="false">IF(AND(G366&lt;&gt;"",R366&lt;&gt;"",V366&lt;&gt;"",W366&lt;&gt;""),"COMPLETADO","OBSERVADO")</f>
        <v>OBSERVADO</v>
      </c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  <c r="Z367" s="185" t="str">
        <f aca="false">IF(AND(G367&lt;&gt;"",R367&lt;&gt;"",V367&lt;&gt;"",W367&lt;&gt;""),"COMPLETADO","OBSERVADO")</f>
        <v>OBSERVADO</v>
      </c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85" t="str">
        <f aca="false">IF(AND(G368&lt;&gt;"",R368&lt;&gt;"",V368&lt;&gt;"",W368&lt;&gt;""),"COMPLETADO","OBSERVADO")</f>
        <v>OBSERVADO</v>
      </c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  <c r="Z369" s="185" t="str">
        <f aca="false">IF(AND(G369&lt;&gt;"",R369&lt;&gt;"",V369&lt;&gt;"",W369&lt;&gt;""),"COMPLETADO","OBSERVADO")</f>
        <v>OBSERVADO</v>
      </c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85" t="str">
        <f aca="false">IF(AND(G370&lt;&gt;"",R370&lt;&gt;"",V370&lt;&gt;"",W370&lt;&gt;""),"COMPLETADO","OBSERVADO")</f>
        <v>OBSERVADO</v>
      </c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  <c r="Z371" s="185" t="str">
        <f aca="false">IF(AND(G371&lt;&gt;"",R371&lt;&gt;"",V371&lt;&gt;"",W371&lt;&gt;""),"COMPLETADO","OBSERVADO")</f>
        <v>OBSERVADO</v>
      </c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85" t="str">
        <f aca="false">IF(AND(G372&lt;&gt;"",R372&lt;&gt;"",V372&lt;&gt;"",W372&lt;&gt;""),"COMPLETADO","OBSERVADO")</f>
        <v>OBSERVADO</v>
      </c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  <c r="Z373" s="185" t="str">
        <f aca="false">IF(AND(G373&lt;&gt;"",R373&lt;&gt;"",V373&lt;&gt;"",W373&lt;&gt;""),"COMPLETADO","OBSERVADO")</f>
        <v>OBSERVADO</v>
      </c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85" t="str">
        <f aca="false">IF(AND(G374&lt;&gt;"",R374&lt;&gt;"",V374&lt;&gt;"",W374&lt;&gt;""),"COMPLETADO","OBSERVADO")</f>
        <v>OBSERVADO</v>
      </c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  <c r="Z375" s="185" t="str">
        <f aca="false">IF(AND(G375&lt;&gt;"",R375&lt;&gt;"",V375&lt;&gt;"",W375&lt;&gt;""),"COMPLETADO","OBSERVADO")</f>
        <v>OBSERVADO</v>
      </c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85" t="str">
        <f aca="false">IF(AND(G376&lt;&gt;"",R376&lt;&gt;"",V376&lt;&gt;"",W376&lt;&gt;""),"COMPLETADO","OBSERVADO")</f>
        <v>OBSERVADO</v>
      </c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  <c r="Z377" s="185" t="str">
        <f aca="false">IF(AND(G377&lt;&gt;"",R377&lt;&gt;"",V377&lt;&gt;"",W377&lt;&gt;""),"COMPLETADO","OBSERVADO")</f>
        <v>OBSERVADO</v>
      </c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85" t="str">
        <f aca="false">IF(AND(G378&lt;&gt;"",R378&lt;&gt;"",V378&lt;&gt;"",W378&lt;&gt;""),"COMPLETADO","OBSERVADO")</f>
        <v>OBSERVADO</v>
      </c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  <c r="Z379" s="185" t="str">
        <f aca="false">IF(AND(G379&lt;&gt;"",R379&lt;&gt;"",V379&lt;&gt;"",W379&lt;&gt;""),"COMPLETADO","OBSERVADO")</f>
        <v>OBSERVADO</v>
      </c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85" t="str">
        <f aca="false">IF(AND(G380&lt;&gt;"",R380&lt;&gt;"",V380&lt;&gt;"",W380&lt;&gt;""),"COMPLETADO","OBSERVADO")</f>
        <v>OBSERVADO</v>
      </c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  <c r="Z381" s="185" t="str">
        <f aca="false">IF(AND(G381&lt;&gt;"",R381&lt;&gt;"",V381&lt;&gt;"",W381&lt;&gt;""),"COMPLETADO","OBSERVADO")</f>
        <v>OBSERVADO</v>
      </c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85" t="str">
        <f aca="false">IF(AND(G382&lt;&gt;"",R382&lt;&gt;"",V382&lt;&gt;"",W382&lt;&gt;""),"COMPLETADO","OBSERVADO")</f>
        <v>OBSERVADO</v>
      </c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  <c r="Z383" s="185" t="str">
        <f aca="false">IF(AND(G383&lt;&gt;"",R383&lt;&gt;"",V383&lt;&gt;"",W383&lt;&gt;""),"COMPLETADO","OBSERVADO")</f>
        <v>OBSERVADO</v>
      </c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85" t="str">
        <f aca="false">IF(AND(G384&lt;&gt;"",R384&lt;&gt;"",V384&lt;&gt;"",W384&lt;&gt;""),"COMPLETADO","OBSERVADO")</f>
        <v>OBSERVADO</v>
      </c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  <c r="Z385" s="185" t="str">
        <f aca="false">IF(AND(G385&lt;&gt;"",R385&lt;&gt;"",V385&lt;&gt;"",W385&lt;&gt;""),"COMPLETADO","OBSERVADO")</f>
        <v>OBSERVADO</v>
      </c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85" t="str">
        <f aca="false">IF(AND(G386&lt;&gt;"",R386&lt;&gt;"",V386&lt;&gt;"",W386&lt;&gt;""),"COMPLETADO","OBSERVADO")</f>
        <v>OBSERVADO</v>
      </c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  <c r="Z387" s="185" t="str">
        <f aca="false">IF(AND(G387&lt;&gt;"",R387&lt;&gt;"",V387&lt;&gt;"",W387&lt;&gt;""),"COMPLETADO","OBSERVADO")</f>
        <v>OBSERVADO</v>
      </c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85" t="str">
        <f aca="false">IF(AND(G388&lt;&gt;"",R388&lt;&gt;"",V388&lt;&gt;"",W388&lt;&gt;""),"COMPLETADO","OBSERVADO")</f>
        <v>OBSERVADO</v>
      </c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  <c r="Z389" s="185" t="str">
        <f aca="false">IF(AND(G389&lt;&gt;"",R389&lt;&gt;"",V389&lt;&gt;"",W389&lt;&gt;""),"COMPLETADO","OBSERVADO")</f>
        <v>OBSERVADO</v>
      </c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85" t="str">
        <f aca="false">IF(AND(G390&lt;&gt;"",R390&lt;&gt;"",V390&lt;&gt;"",W390&lt;&gt;""),"COMPLETADO","OBSERVADO")</f>
        <v>OBSERVADO</v>
      </c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  <c r="Z391" s="185" t="str">
        <f aca="false">IF(AND(G391&lt;&gt;"",R391&lt;&gt;"",V391&lt;&gt;"",W391&lt;&gt;""),"COMPLETADO","OBSERVADO")</f>
        <v>OBSERVADO</v>
      </c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85" t="str">
        <f aca="false">IF(AND(G392&lt;&gt;"",R392&lt;&gt;"",V392&lt;&gt;"",W392&lt;&gt;""),"COMPLETADO","OBSERVADO")</f>
        <v>OBSERVADO</v>
      </c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  <c r="Z393" s="185" t="str">
        <f aca="false">IF(AND(G393&lt;&gt;"",R393&lt;&gt;"",V393&lt;&gt;"",W393&lt;&gt;""),"COMPLETADO","OBSERVADO")</f>
        <v>OBSERVADO</v>
      </c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85" t="str">
        <f aca="false">IF(AND(G394&lt;&gt;"",R394&lt;&gt;"",V394&lt;&gt;"",W394&lt;&gt;""),"COMPLETADO","OBSERVADO")</f>
        <v>OBSERVADO</v>
      </c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  <c r="Z395" s="185" t="str">
        <f aca="false">IF(AND(G395&lt;&gt;"",R395&lt;&gt;"",V395&lt;&gt;"",W395&lt;&gt;""),"COMPLETADO","OBSERVADO")</f>
        <v>OBSERVADO</v>
      </c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85" t="str">
        <f aca="false">IF(AND(G396&lt;&gt;"",R396&lt;&gt;"",V396&lt;&gt;"",W396&lt;&gt;""),"COMPLETADO","OBSERVADO")</f>
        <v>OBSERVADO</v>
      </c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  <c r="Z397" s="185" t="str">
        <f aca="false">IF(AND(G397&lt;&gt;"",R397&lt;&gt;"",V397&lt;&gt;"",W397&lt;&gt;""),"COMPLETADO","OBSERVADO")</f>
        <v>OBSERVADO</v>
      </c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85" t="str">
        <f aca="false">IF(AND(G398&lt;&gt;"",R398&lt;&gt;"",V398&lt;&gt;"",W398&lt;&gt;""),"COMPLETADO","OBSERVADO")</f>
        <v>OBSERVADO</v>
      </c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  <c r="Z399" s="185" t="str">
        <f aca="false">IF(AND(G399&lt;&gt;"",R399&lt;&gt;"",V399&lt;&gt;"",W399&lt;&gt;""),"COMPLETADO","OBSERVADO")</f>
        <v>OBSERVADO</v>
      </c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85" t="str">
        <f aca="false">IF(AND(G400&lt;&gt;"",R400&lt;&gt;"",V400&lt;&gt;"",W400&lt;&gt;""),"COMPLETADO","OBSERVADO")</f>
        <v>OBSERVADO</v>
      </c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  <c r="Z401" s="185" t="str">
        <f aca="false">IF(AND(G401&lt;&gt;"",R401&lt;&gt;"",V401&lt;&gt;"",W401&lt;&gt;""),"COMPLETADO","OBSERVADO")</f>
        <v>OBSERVADO</v>
      </c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85" t="str">
        <f aca="false">IF(AND(G402&lt;&gt;"",R402&lt;&gt;"",V402&lt;&gt;"",W402&lt;&gt;""),"COMPLETADO","OBSERVADO")</f>
        <v>OBSERVADO</v>
      </c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  <c r="Z403" s="185" t="str">
        <f aca="false">IF(AND(G403&lt;&gt;"",R403&lt;&gt;"",V403&lt;&gt;"",W403&lt;&gt;""),"COMPLETADO","OBSERVADO")</f>
        <v>OBSERVADO</v>
      </c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85" t="str">
        <f aca="false">IF(AND(G404&lt;&gt;"",R404&lt;&gt;"",V404&lt;&gt;"",W404&lt;&gt;""),"COMPLETADO","OBSERVADO")</f>
        <v>OBSERVADO</v>
      </c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  <c r="Z405" s="185" t="str">
        <f aca="false">IF(AND(G405&lt;&gt;"",R405&lt;&gt;"",V405&lt;&gt;"",W405&lt;&gt;""),"COMPLETADO","OBSERVADO")</f>
        <v>OBSERVADO</v>
      </c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85" t="str">
        <f aca="false">IF(AND(G406&lt;&gt;"",R406&lt;&gt;"",V406&lt;&gt;"",W406&lt;&gt;""),"COMPLETADO","OBSERVADO")</f>
        <v>OBSERVADO</v>
      </c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  <c r="Z407" s="185" t="str">
        <f aca="false">IF(AND(G407&lt;&gt;"",R407&lt;&gt;"",V407&lt;&gt;"",W407&lt;&gt;""),"COMPLETADO","OBSERVADO")</f>
        <v>OBSERVADO</v>
      </c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85" t="str">
        <f aca="false">IF(AND(G408&lt;&gt;"",R408&lt;&gt;"",V408&lt;&gt;"",W408&lt;&gt;""),"COMPLETADO","OBSERVADO")</f>
        <v>OBSERVADO</v>
      </c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  <c r="Z409" s="185" t="str">
        <f aca="false">IF(AND(G409&lt;&gt;"",R409&lt;&gt;"",V409&lt;&gt;"",W409&lt;&gt;""),"COMPLETADO","OBSERVADO")</f>
        <v>OBSERVADO</v>
      </c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85" t="str">
        <f aca="false">IF(AND(G410&lt;&gt;"",R410&lt;&gt;"",V410&lt;&gt;"",W410&lt;&gt;""),"COMPLETADO","OBSERVADO")</f>
        <v>OBSERVADO</v>
      </c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  <c r="Z411" s="185" t="str">
        <f aca="false">IF(AND(G411&lt;&gt;"",R411&lt;&gt;"",V411&lt;&gt;"",W411&lt;&gt;""),"COMPLETADO","OBSERVADO")</f>
        <v>OBSERVADO</v>
      </c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85" t="str">
        <f aca="false">IF(AND(G412&lt;&gt;"",R412&lt;&gt;"",V412&lt;&gt;"",W412&lt;&gt;""),"COMPLETADO","OBSERVADO")</f>
        <v>OBSERVADO</v>
      </c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  <c r="Z413" s="185" t="str">
        <f aca="false">IF(AND(G413&lt;&gt;"",R413&lt;&gt;"",V413&lt;&gt;"",W413&lt;&gt;""),"COMPLETADO","OBSERVADO")</f>
        <v>OBSERVADO</v>
      </c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85" t="str">
        <f aca="false">IF(AND(G414&lt;&gt;"",R414&lt;&gt;"",V414&lt;&gt;"",W414&lt;&gt;""),"COMPLETADO","OBSERVADO")</f>
        <v>OBSERVADO</v>
      </c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  <c r="Z415" s="185" t="str">
        <f aca="false">IF(AND(G415&lt;&gt;"",R415&lt;&gt;"",V415&lt;&gt;"",W415&lt;&gt;""),"COMPLETADO","OBSERVADO")</f>
        <v>OBSERVADO</v>
      </c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85" t="str">
        <f aca="false">IF(AND(G416&lt;&gt;"",R416&lt;&gt;"",V416&lt;&gt;"",W416&lt;&gt;""),"COMPLETADO","OBSERVADO")</f>
        <v>OBSERVADO</v>
      </c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  <c r="Z417" s="185" t="str">
        <f aca="false">IF(AND(G417&lt;&gt;"",R417&lt;&gt;"",V417&lt;&gt;"",W417&lt;&gt;""),"COMPLETADO","OBSERVADO")</f>
        <v>OBSERVADO</v>
      </c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85" t="str">
        <f aca="false">IF(AND(G418&lt;&gt;"",R418&lt;&gt;"",V418&lt;&gt;"",W418&lt;&gt;""),"COMPLETADO","OBSERVADO")</f>
        <v>OBSERVADO</v>
      </c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  <c r="Z419" s="185" t="str">
        <f aca="false">IF(AND(G419&lt;&gt;"",R419&lt;&gt;"",V419&lt;&gt;"",W419&lt;&gt;""),"COMPLETADO","OBSERVADO")</f>
        <v>OBSERVADO</v>
      </c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85" t="str">
        <f aca="false">IF(AND(G420&lt;&gt;"",R420&lt;&gt;"",V420&lt;&gt;"",W420&lt;&gt;""),"COMPLETADO","OBSERVADO")</f>
        <v>OBSERVADO</v>
      </c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  <c r="Z421" s="185" t="str">
        <f aca="false">IF(AND(G421&lt;&gt;"",R421&lt;&gt;"",V421&lt;&gt;"",W421&lt;&gt;""),"COMPLETADO","OBSERVADO")</f>
        <v>OBSERVADO</v>
      </c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85" t="str">
        <f aca="false">IF(AND(G422&lt;&gt;"",R422&lt;&gt;"",V422&lt;&gt;"",W422&lt;&gt;""),"COMPLETADO","OBSERVADO")</f>
        <v>OBSERVADO</v>
      </c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  <c r="Z423" s="185" t="str">
        <f aca="false">IF(AND(G423&lt;&gt;"",R423&lt;&gt;"",V423&lt;&gt;"",W423&lt;&gt;""),"COMPLETADO","OBSERVADO")</f>
        <v>OBSERVADO</v>
      </c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85" t="str">
        <f aca="false">IF(AND(G424&lt;&gt;"",R424&lt;&gt;"",V424&lt;&gt;"",W424&lt;&gt;""),"COMPLETADO","OBSERVADO")</f>
        <v>OBSERVADO</v>
      </c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  <c r="Z425" s="185" t="str">
        <f aca="false">IF(AND(G425&lt;&gt;"",R425&lt;&gt;"",V425&lt;&gt;"",W425&lt;&gt;""),"COMPLETADO","OBSERVADO")</f>
        <v>OBSERVADO</v>
      </c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85" t="str">
        <f aca="false">IF(AND(G426&lt;&gt;"",R426&lt;&gt;"",V426&lt;&gt;"",W426&lt;&gt;""),"COMPLETADO","OBSERVADO")</f>
        <v>OBSERVADO</v>
      </c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  <c r="Z427" s="185" t="str">
        <f aca="false">IF(AND(G427&lt;&gt;"",R427&lt;&gt;"",V427&lt;&gt;"",W427&lt;&gt;""),"COMPLETADO","OBSERVADO")</f>
        <v>OBSERVADO</v>
      </c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85" t="str">
        <f aca="false">IF(AND(G428&lt;&gt;"",R428&lt;&gt;"",V428&lt;&gt;"",W428&lt;&gt;""),"COMPLETADO","OBSERVADO")</f>
        <v>OBSERVADO</v>
      </c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  <c r="Z429" s="185" t="str">
        <f aca="false">IF(AND(G429&lt;&gt;"",R429&lt;&gt;"",V429&lt;&gt;"",W429&lt;&gt;""),"COMPLETADO","OBSERVADO")</f>
        <v>OBSERVADO</v>
      </c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85" t="str">
        <f aca="false">IF(AND(G430&lt;&gt;"",R430&lt;&gt;"",V430&lt;&gt;"",W430&lt;&gt;""),"COMPLETADO","OBSERVADO")</f>
        <v>OBSERVADO</v>
      </c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  <c r="Z431" s="185" t="str">
        <f aca="false">IF(AND(G431&lt;&gt;"",R431&lt;&gt;"",V431&lt;&gt;"",W431&lt;&gt;""),"COMPLETADO","OBSERVADO")</f>
        <v>OBSERVADO</v>
      </c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85" t="str">
        <f aca="false">IF(AND(G432&lt;&gt;"",R432&lt;&gt;"",V432&lt;&gt;"",W432&lt;&gt;""),"COMPLETADO","OBSERVADO")</f>
        <v>OBSERVADO</v>
      </c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  <c r="Z433" s="185" t="str">
        <f aca="false">IF(AND(G433&lt;&gt;"",R433&lt;&gt;"",V433&lt;&gt;"",W433&lt;&gt;""),"COMPLETADO","OBSERVADO")</f>
        <v>OBSERVADO</v>
      </c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85" t="str">
        <f aca="false">IF(AND(G434&lt;&gt;"",R434&lt;&gt;"",V434&lt;&gt;"",W434&lt;&gt;""),"COMPLETADO","OBSERVADO")</f>
        <v>OBSERVADO</v>
      </c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  <c r="Z435" s="185" t="str">
        <f aca="false">IF(AND(G435&lt;&gt;"",R435&lt;&gt;"",V435&lt;&gt;"",W435&lt;&gt;""),"COMPLETADO","OBSERVADO")</f>
        <v>OBSERVADO</v>
      </c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85" t="str">
        <f aca="false">IF(AND(G436&lt;&gt;"",R436&lt;&gt;"",V436&lt;&gt;"",W436&lt;&gt;""),"COMPLETADO","OBSERVADO")</f>
        <v>OBSERVADO</v>
      </c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  <c r="Z437" s="185" t="str">
        <f aca="false">IF(AND(G437&lt;&gt;"",R437&lt;&gt;"",V437&lt;&gt;"",W437&lt;&gt;""),"COMPLETADO","OBSERVADO")</f>
        <v>OBSERVADO</v>
      </c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85" t="str">
        <f aca="false">IF(AND(G438&lt;&gt;"",R438&lt;&gt;"",V438&lt;&gt;"",W438&lt;&gt;""),"COMPLETADO","OBSERVADO")</f>
        <v>OBSERVADO</v>
      </c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  <c r="Z439" s="185" t="str">
        <f aca="false">IF(AND(G439&lt;&gt;"",R439&lt;&gt;"",V439&lt;&gt;"",W439&lt;&gt;""),"COMPLETADO","OBSERVADO")</f>
        <v>OBSERVADO</v>
      </c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85" t="str">
        <f aca="false">IF(AND(G440&lt;&gt;"",R440&lt;&gt;"",V440&lt;&gt;"",W440&lt;&gt;""),"COMPLETADO","OBSERVADO")</f>
        <v>OBSERVADO</v>
      </c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  <c r="Z441" s="185" t="str">
        <f aca="false">IF(AND(G441&lt;&gt;"",R441&lt;&gt;"",V441&lt;&gt;"",W441&lt;&gt;""),"COMPLETADO","OBSERVADO")</f>
        <v>OBSERVADO</v>
      </c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85" t="str">
        <f aca="false">IF(AND(G442&lt;&gt;"",R442&lt;&gt;"",V442&lt;&gt;"",W442&lt;&gt;""),"COMPLETADO","OBSERVADO")</f>
        <v>OBSERVADO</v>
      </c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  <c r="Z443" s="185" t="str">
        <f aca="false">IF(AND(G443&lt;&gt;"",R443&lt;&gt;"",V443&lt;&gt;"",W443&lt;&gt;""),"COMPLETADO","OBSERVADO")</f>
        <v>OBSERVADO</v>
      </c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85" t="str">
        <f aca="false">IF(AND(G444&lt;&gt;"",R444&lt;&gt;"",V444&lt;&gt;"",W444&lt;&gt;""),"COMPLETADO","OBSERVADO")</f>
        <v>OBSERVADO</v>
      </c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  <c r="Z445" s="185" t="str">
        <f aca="false">IF(AND(G445&lt;&gt;"",R445&lt;&gt;"",V445&lt;&gt;"",W445&lt;&gt;""),"COMPLETADO","OBSERVADO")</f>
        <v>OBSERVADO</v>
      </c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85" t="str">
        <f aca="false">IF(AND(G446&lt;&gt;"",R446&lt;&gt;"",V446&lt;&gt;"",W446&lt;&gt;""),"COMPLETADO","OBSERVADO")</f>
        <v>OBSERVADO</v>
      </c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  <c r="Z447" s="185" t="str">
        <f aca="false">IF(AND(G447&lt;&gt;"",R447&lt;&gt;"",V447&lt;&gt;"",W447&lt;&gt;""),"COMPLETADO","OBSERVADO")</f>
        <v>OBSERVADO</v>
      </c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85" t="str">
        <f aca="false">IF(AND(G448&lt;&gt;"",R448&lt;&gt;"",V448&lt;&gt;"",W448&lt;&gt;""),"COMPLETADO","OBSERVADO")</f>
        <v>OBSERVADO</v>
      </c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  <c r="Z449" s="185" t="str">
        <f aca="false">IF(AND(G449&lt;&gt;"",R449&lt;&gt;"",V449&lt;&gt;"",W449&lt;&gt;""),"COMPLETADO","OBSERVADO")</f>
        <v>OBSERVADO</v>
      </c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85" t="str">
        <f aca="false">IF(AND(G450&lt;&gt;"",R450&lt;&gt;"",V450&lt;&gt;"",W450&lt;&gt;""),"COMPLETADO","OBSERVADO")</f>
        <v>OBSERVADO</v>
      </c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  <c r="Z451" s="185" t="str">
        <f aca="false">IF(AND(G451&lt;&gt;"",R451&lt;&gt;"",V451&lt;&gt;"",W451&lt;&gt;""),"COMPLETADO","OBSERVADO")</f>
        <v>OBSERVADO</v>
      </c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85" t="str">
        <f aca="false">IF(AND(G452&lt;&gt;"",R452&lt;&gt;"",V452&lt;&gt;"",W452&lt;&gt;""),"COMPLETADO","OBSERVADO")</f>
        <v>OBSERVADO</v>
      </c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  <c r="Z453" s="185" t="str">
        <f aca="false">IF(AND(G453&lt;&gt;"",R453&lt;&gt;"",V453&lt;&gt;"",W453&lt;&gt;""),"COMPLETADO","OBSERVADO")</f>
        <v>OBSERVADO</v>
      </c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85" t="str">
        <f aca="false">IF(AND(G454&lt;&gt;"",R454&lt;&gt;"",V454&lt;&gt;"",W454&lt;&gt;""),"COMPLETADO","OBSERVADO")</f>
        <v>OBSERVADO</v>
      </c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  <c r="Z455" s="185" t="str">
        <f aca="false">IF(AND(G455&lt;&gt;"",R455&lt;&gt;"",V455&lt;&gt;"",W455&lt;&gt;""),"COMPLETADO","OBSERVADO")</f>
        <v>OBSERVADO</v>
      </c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85" t="str">
        <f aca="false">IF(AND(G456&lt;&gt;"",R456&lt;&gt;"",V456&lt;&gt;"",W456&lt;&gt;""),"COMPLETADO","OBSERVADO")</f>
        <v>OBSERVADO</v>
      </c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  <c r="Z457" s="185" t="str">
        <f aca="false">IF(AND(G457&lt;&gt;"",R457&lt;&gt;"",V457&lt;&gt;"",W457&lt;&gt;""),"COMPLETADO","OBSERVADO")</f>
        <v>OBSERVADO</v>
      </c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85" t="str">
        <f aca="false">IF(AND(G458&lt;&gt;"",R458&lt;&gt;"",V458&lt;&gt;"",W458&lt;&gt;""),"COMPLETADO","OBSERVADO")</f>
        <v>OBSERVADO</v>
      </c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  <c r="Z459" s="185" t="str">
        <f aca="false">IF(AND(G459&lt;&gt;"",R459&lt;&gt;"",V459&lt;&gt;"",W459&lt;&gt;""),"COMPLETADO","OBSERVADO")</f>
        <v>OBSERVADO</v>
      </c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85" t="str">
        <f aca="false">IF(AND(G460&lt;&gt;"",R460&lt;&gt;"",V460&lt;&gt;"",W460&lt;&gt;""),"COMPLETADO","OBSERVADO")</f>
        <v>OBSERVADO</v>
      </c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  <c r="Z461" s="185" t="str">
        <f aca="false">IF(AND(G461&lt;&gt;"",R461&lt;&gt;"",V461&lt;&gt;"",W461&lt;&gt;""),"COMPLETADO","OBSERVADO")</f>
        <v>OBSERVADO</v>
      </c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85" t="str">
        <f aca="false">IF(AND(G462&lt;&gt;"",R462&lt;&gt;"",V462&lt;&gt;"",W462&lt;&gt;""),"COMPLETADO","OBSERVADO")</f>
        <v>OBSERVADO</v>
      </c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  <c r="Z463" s="185" t="str">
        <f aca="false">IF(AND(G463&lt;&gt;"",R463&lt;&gt;"",V463&lt;&gt;"",W463&lt;&gt;""),"COMPLETADO","OBSERVADO")</f>
        <v>OBSERVADO</v>
      </c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85" t="str">
        <f aca="false">IF(AND(G464&lt;&gt;"",R464&lt;&gt;"",V464&lt;&gt;"",W464&lt;&gt;""),"COMPLETADO","OBSERVADO")</f>
        <v>OBSERVADO</v>
      </c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  <c r="Z465" s="185" t="str">
        <f aca="false">IF(AND(G465&lt;&gt;"",R465&lt;&gt;"",V465&lt;&gt;"",W465&lt;&gt;""),"COMPLETADO","OBSERVADO")</f>
        <v>OBSERVADO</v>
      </c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85" t="str">
        <f aca="false">IF(AND(G466&lt;&gt;"",R466&lt;&gt;"",V466&lt;&gt;"",W466&lt;&gt;""),"COMPLETADO","OBSERVADO")</f>
        <v>OBSERVADO</v>
      </c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  <c r="Z467" s="185" t="str">
        <f aca="false">IF(AND(G467&lt;&gt;"",R467&lt;&gt;"",V467&lt;&gt;"",W467&lt;&gt;""),"COMPLETADO","OBSERVADO")</f>
        <v>OBSERVADO</v>
      </c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85" t="str">
        <f aca="false">IF(AND(G468&lt;&gt;"",R468&lt;&gt;"",V468&lt;&gt;"",W468&lt;&gt;""),"COMPLETADO","OBSERVADO")</f>
        <v>OBSERVADO</v>
      </c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  <c r="Z469" s="185" t="str">
        <f aca="false">IF(AND(G469&lt;&gt;"",R469&lt;&gt;"",V469&lt;&gt;"",W469&lt;&gt;""),"COMPLETADO","OBSERVADO")</f>
        <v>OBSERVADO</v>
      </c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85" t="str">
        <f aca="false">IF(AND(G470&lt;&gt;"",R470&lt;&gt;"",V470&lt;&gt;"",W470&lt;&gt;""),"COMPLETADO","OBSERVADO")</f>
        <v>OBSERVADO</v>
      </c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  <c r="Z471" s="185" t="str">
        <f aca="false">IF(AND(G471&lt;&gt;"",R471&lt;&gt;"",V471&lt;&gt;"",W471&lt;&gt;""),"COMPLETADO","OBSERVADO")</f>
        <v>OBSERVADO</v>
      </c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85" t="str">
        <f aca="false">IF(AND(G472&lt;&gt;"",R472&lt;&gt;"",V472&lt;&gt;"",W472&lt;&gt;""),"COMPLETADO","OBSERVADO")</f>
        <v>OBSERVADO</v>
      </c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  <c r="Z473" s="185" t="str">
        <f aca="false">IF(AND(G473&lt;&gt;"",R473&lt;&gt;"",V473&lt;&gt;"",W473&lt;&gt;""),"COMPLETADO","OBSERVADO")</f>
        <v>OBSERVADO</v>
      </c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85" t="str">
        <f aca="false">IF(AND(G474&lt;&gt;"",R474&lt;&gt;"",V474&lt;&gt;"",W474&lt;&gt;""),"COMPLETADO","OBSERVADO")</f>
        <v>OBSERVADO</v>
      </c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  <c r="Z475" s="185" t="str">
        <f aca="false">IF(AND(G475&lt;&gt;"",R475&lt;&gt;"",V475&lt;&gt;"",W475&lt;&gt;""),"COMPLETADO","OBSERVADO")</f>
        <v>OBSERVADO</v>
      </c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85" t="str">
        <f aca="false">IF(AND(G476&lt;&gt;"",R476&lt;&gt;"",V476&lt;&gt;"",W476&lt;&gt;""),"COMPLETADO","OBSERVADO")</f>
        <v>OBSERVADO</v>
      </c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  <c r="Z477" s="185" t="str">
        <f aca="false">IF(AND(G477&lt;&gt;"",R477&lt;&gt;"",V477&lt;&gt;"",W477&lt;&gt;""),"COMPLETADO","OBSERVADO")</f>
        <v>OBSERVADO</v>
      </c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85" t="str">
        <f aca="false">IF(AND(G478&lt;&gt;"",R478&lt;&gt;"",V478&lt;&gt;"",W478&lt;&gt;""),"COMPLETADO","OBSERVADO")</f>
        <v>OBSERVADO</v>
      </c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  <c r="Z479" s="185" t="str">
        <f aca="false">IF(AND(G479&lt;&gt;"",R479&lt;&gt;"",V479&lt;&gt;"",W479&lt;&gt;""),"COMPLETADO","OBSERVADO")</f>
        <v>OBSERVADO</v>
      </c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85" t="str">
        <f aca="false">IF(AND(G480&lt;&gt;"",R480&lt;&gt;"",V480&lt;&gt;"",W480&lt;&gt;""),"COMPLETADO","OBSERVADO")</f>
        <v>OBSERVADO</v>
      </c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  <c r="Z481" s="185" t="str">
        <f aca="false">IF(AND(G481&lt;&gt;"",R481&lt;&gt;"",V481&lt;&gt;"",W481&lt;&gt;""),"COMPLETADO","OBSERVADO")</f>
        <v>OBSERVADO</v>
      </c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85" t="str">
        <f aca="false">IF(AND(G482&lt;&gt;"",R482&lt;&gt;"",V482&lt;&gt;"",W482&lt;&gt;""),"COMPLETADO","OBSERVADO")</f>
        <v>OBSERVADO</v>
      </c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  <c r="Z483" s="185" t="str">
        <f aca="false">IF(AND(G483&lt;&gt;"",R483&lt;&gt;"",V483&lt;&gt;"",W483&lt;&gt;""),"COMPLETADO","OBSERVADO")</f>
        <v>OBSERVADO</v>
      </c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85" t="str">
        <f aca="false">IF(AND(G484&lt;&gt;"",R484&lt;&gt;"",V484&lt;&gt;"",W484&lt;&gt;""),"COMPLETADO","OBSERVADO")</f>
        <v>OBSERVADO</v>
      </c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  <c r="Z485" s="185" t="str">
        <f aca="false">IF(AND(G485&lt;&gt;"",R485&lt;&gt;"",V485&lt;&gt;"",W485&lt;&gt;""),"COMPLETADO","OBSERVADO")</f>
        <v>OBSERVADO</v>
      </c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85" t="str">
        <f aca="false">IF(AND(G486&lt;&gt;"",R486&lt;&gt;"",V486&lt;&gt;"",W486&lt;&gt;""),"COMPLETADO","OBSERVADO")</f>
        <v>OBSERVADO</v>
      </c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  <c r="Z487" s="185" t="str">
        <f aca="false">IF(AND(G487&lt;&gt;"",R487&lt;&gt;"",V487&lt;&gt;"",W487&lt;&gt;""),"COMPLETADO","OBSERVADO")</f>
        <v>OBSERVADO</v>
      </c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85" t="str">
        <f aca="false">IF(AND(G488&lt;&gt;"",R488&lt;&gt;"",V488&lt;&gt;"",W488&lt;&gt;""),"COMPLETADO","OBSERVADO")</f>
        <v>OBSERVADO</v>
      </c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  <c r="Z489" s="185" t="str">
        <f aca="false">IF(AND(G489&lt;&gt;"",R489&lt;&gt;"",V489&lt;&gt;"",W489&lt;&gt;""),"COMPLETADO","OBSERVADO")</f>
        <v>OBSERVADO</v>
      </c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85" t="str">
        <f aca="false">IF(AND(G490&lt;&gt;"",R490&lt;&gt;"",V490&lt;&gt;"",W490&lt;&gt;""),"COMPLETADO","OBSERVADO")</f>
        <v>OBSERVADO</v>
      </c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  <c r="Z491" s="185" t="str">
        <f aca="false">IF(AND(G491&lt;&gt;"",R491&lt;&gt;"",V491&lt;&gt;"",W491&lt;&gt;""),"COMPLETADO","OBSERVADO")</f>
        <v>OBSERVADO</v>
      </c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85" t="str">
        <f aca="false">IF(AND(G492&lt;&gt;"",R492&lt;&gt;"",V492&lt;&gt;"",W492&lt;&gt;""),"COMPLETADO","OBSERVADO")</f>
        <v>OBSERVADO</v>
      </c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  <c r="Z493" s="185" t="str">
        <f aca="false">IF(AND(G493&lt;&gt;"",R493&lt;&gt;"",V493&lt;&gt;"",W493&lt;&gt;""),"COMPLETADO","OBSERVADO")</f>
        <v>OBSERVADO</v>
      </c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85" t="str">
        <f aca="false">IF(AND(G494&lt;&gt;"",R494&lt;&gt;"",V494&lt;&gt;"",W494&lt;&gt;""),"COMPLETADO","OBSERVADO")</f>
        <v>OBSERVADO</v>
      </c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  <c r="Z495" s="185" t="str">
        <f aca="false">IF(AND(G495&lt;&gt;"",R495&lt;&gt;"",V495&lt;&gt;"",W495&lt;&gt;""),"COMPLETADO","OBSERVADO")</f>
        <v>OBSERVADO</v>
      </c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85" t="str">
        <f aca="false">IF(AND(G496&lt;&gt;"",R496&lt;&gt;"",V496&lt;&gt;"",W496&lt;&gt;""),"COMPLETADO","OBSERVADO")</f>
        <v>OBSERVADO</v>
      </c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  <c r="Z497" s="185" t="str">
        <f aca="false">IF(AND(G497&lt;&gt;"",R497&lt;&gt;"",V497&lt;&gt;"",W497&lt;&gt;""),"COMPLETADO","OBSERVADO")</f>
        <v>OBSERVADO</v>
      </c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85" t="str">
        <f aca="false">IF(AND(G498&lt;&gt;"",R498&lt;&gt;"",V498&lt;&gt;"",W498&lt;&gt;""),"COMPLETADO","OBSERVADO")</f>
        <v>OBSERVADO</v>
      </c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  <c r="Z499" s="185" t="str">
        <f aca="false">IF(AND(G499&lt;&gt;"",R499&lt;&gt;"",V499&lt;&gt;"",W499&lt;&gt;""),"COMPLETADO","OBSERVADO")</f>
        <v>OBSERVADO</v>
      </c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85" t="str">
        <f aca="false">IF(AND(G500&lt;&gt;"",R500&lt;&gt;"",V500&lt;&gt;"",W500&lt;&gt;""),"COMPLETADO","OBSERVADO")</f>
        <v>OBSERVADO</v>
      </c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  <c r="Z501" s="185" t="str">
        <f aca="false">IF(AND(G501&lt;&gt;"",R501&lt;&gt;"",V501&lt;&gt;"",W501&lt;&gt;""),"COMPLETADO","OBSERVADO")</f>
        <v>OBSERVADO</v>
      </c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85" t="str">
        <f aca="false">IF(AND(G502&lt;&gt;"",R502&lt;&gt;"",V502&lt;&gt;"",W502&lt;&gt;""),"COMPLETADO","OBSERVADO")</f>
        <v>OBSERVADO</v>
      </c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  <c r="Z503" s="185" t="str">
        <f aca="false">IF(AND(G503&lt;&gt;"",R503&lt;&gt;"",V503&lt;&gt;"",W503&lt;&gt;""),"COMPLETADO","OBSERVADO")</f>
        <v>OBSERVADO</v>
      </c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85" t="str">
        <f aca="false">IF(AND(G504&lt;&gt;"",R504&lt;&gt;"",V504&lt;&gt;"",W504&lt;&gt;""),"COMPLETADO","OBSERVADO")</f>
        <v>OBSERVADO</v>
      </c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  <c r="Z505" s="185" t="str">
        <f aca="false">IF(AND(G505&lt;&gt;"",R505&lt;&gt;"",V505&lt;&gt;"",W505&lt;&gt;""),"COMPLETADO","OBSERVADO")</f>
        <v>OBSERVADO</v>
      </c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0</v>
      </c>
      <c r="N506" s="153" t="n">
        <f aca="false">SUM(N6:N505)</f>
        <v>0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8:J8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T6:T110">
    <cfRule type="expression" priority="9" aboveAverage="0" equalAverage="0" bottom="0" percent="0" rank="0" text="" dxfId="0">
      <formula>EXACT(T6,"APROBADO")</formula>
    </cfRule>
    <cfRule type="expression" priority="10" aboveAverage="0" equalAverage="0" bottom="0" percent="0" rank="0" text="" dxfId="7">
      <formula>EXACT(T6,"OBSERVADO")</formula>
    </cfRule>
  </conditionalFormatting>
  <conditionalFormatting sqref="Z6:Z110">
    <cfRule type="expression" priority="11" aboveAverage="0" equalAverage="0" bottom="0" percent="0" rank="0" text="" dxfId="0">
      <formula>EXACT(Z6,"COMPLETADO")</formula>
    </cfRule>
    <cfRule type="expression" priority="12" aboveAverage="0" equalAverage="0" bottom="0" percent="0" rank="0" text="" dxfId="7">
      <formula>EXACT(Z6,"OBSERVADO")</formula>
    </cfRule>
    <cfRule type="expression" priority="13" aboveAverage="0" equalAverage="0" bottom="0" percent="0" rank="0" text="" dxfId="0">
      <formula>Z6="ENTREGADO"</formula>
    </cfRule>
    <cfRule type="expression" priority="14" aboveAverage="0" equalAverage="0" bottom="0" percent="0" rank="0" text="" dxfId="7">
      <formula>Z6="POR RECOGER"</formula>
    </cfRule>
  </conditionalFormatting>
  <conditionalFormatting sqref="Y6:Y110">
    <cfRule type="expression" priority="15" aboveAverage="0" equalAverage="0" bottom="0" percent="0" rank="0" text="" dxfId="9">
      <formula>Y6&lt;&gt;""</formula>
    </cfRule>
  </conditionalFormatting>
  <dataValidations count="5"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7 E9:E505" type="list">
      <formula1>"DNI,CE,PASAPORTE"</formula1>
      <formula2>0</formula2>
    </dataValidation>
    <dataValidation allowBlank="true" errorStyle="stop" operator="between" showDropDown="false" showErrorMessage="false" showInputMessage="false" sqref="T6:T110" type="list">
      <formula1>"APROBADO,OBSERVADO"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111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30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71" t="s">
        <v>5158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2"/>
      <c r="AA1" s="89"/>
    </row>
    <row r="2" customFormat="false" ht="21.75" hidden="false" customHeight="true" outlineLevel="0" collapsed="false">
      <c r="A2" s="123" t="s">
        <v>724</v>
      </c>
      <c r="B2" s="123"/>
      <c r="C2" s="123"/>
      <c r="D2" s="173" t="n">
        <f aca="false">IFERROR(SUMPRODUCT((K6:K110="PETROLEO")*ISNUMBER(M6:M110)*M6:M110),0)</f>
        <v>0</v>
      </c>
      <c r="E2" s="173"/>
      <c r="F2" s="173"/>
      <c r="G2" s="123" t="s">
        <v>725</v>
      </c>
      <c r="H2" s="123"/>
      <c r="I2" s="123"/>
      <c r="J2" s="173" t="n">
        <f aca="false">IFERROR(SUMPRODUCT((K6:K110="GASOLINA")*ISNUMBER(M6:M110)*M6:M110),0)</f>
        <v>0</v>
      </c>
      <c r="K2" s="173"/>
      <c r="L2" s="173"/>
      <c r="M2" s="123" t="s">
        <v>726</v>
      </c>
      <c r="N2" s="123"/>
      <c r="O2" s="123"/>
      <c r="P2" s="174" t="n">
        <f aca="false">IFERROR(SUMPRODUCT(ISNUMBER(M6:M110)*L6:L110*M6:M110),0)</f>
        <v>0</v>
      </c>
      <c r="Q2" s="174"/>
      <c r="R2" s="174"/>
      <c r="S2" s="123" t="s">
        <v>727</v>
      </c>
      <c r="T2" s="123"/>
      <c r="U2" s="175" t="n">
        <f aca="false">SUBTOTAL(2,A6:A110)</f>
        <v>0</v>
      </c>
      <c r="V2" s="175"/>
      <c r="W2" s="176"/>
      <c r="X2" s="176"/>
      <c r="Y2" s="176"/>
      <c r="Z2" s="176"/>
      <c r="AA2" s="176"/>
      <c r="AB2" s="176"/>
      <c r="AC2" s="176"/>
    </row>
    <row r="3" customFormat="false" ht="3.75" hidden="false" customHeight="true" outlineLevel="0" collapsed="false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89"/>
    </row>
    <row r="4" customFormat="false" ht="19.5" hidden="false" customHeight="true" outlineLevel="0" collapsed="false">
      <c r="A4" s="177" t="s">
        <v>730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8"/>
      <c r="AA4" s="89"/>
    </row>
    <row r="5" customFormat="false" ht="31.5" hidden="false" customHeight="true" outlineLevel="0" collapsed="false">
      <c r="A5" s="179" t="s">
        <v>97</v>
      </c>
      <c r="B5" s="179" t="s">
        <v>731</v>
      </c>
      <c r="C5" s="179" t="s">
        <v>732</v>
      </c>
      <c r="D5" s="179" t="s">
        <v>319</v>
      </c>
      <c r="E5" s="179" t="s">
        <v>733</v>
      </c>
      <c r="F5" s="179" t="s">
        <v>734</v>
      </c>
      <c r="G5" s="179" t="s">
        <v>735</v>
      </c>
      <c r="H5" s="179" t="s">
        <v>736</v>
      </c>
      <c r="I5" s="180" t="s">
        <v>737</v>
      </c>
      <c r="J5" s="179" t="s">
        <v>738</v>
      </c>
      <c r="K5" s="180" t="s">
        <v>739</v>
      </c>
      <c r="L5" s="179" t="s">
        <v>740</v>
      </c>
      <c r="M5" s="179" t="s">
        <v>4</v>
      </c>
      <c r="N5" s="180" t="s">
        <v>741</v>
      </c>
      <c r="O5" s="179" t="s">
        <v>742</v>
      </c>
      <c r="P5" s="180" t="s">
        <v>4527</v>
      </c>
      <c r="Q5" s="180" t="s">
        <v>104</v>
      </c>
      <c r="R5" s="179" t="s">
        <v>743</v>
      </c>
      <c r="S5" s="179" t="s">
        <v>744</v>
      </c>
      <c r="T5" s="179" t="s">
        <v>745</v>
      </c>
      <c r="U5" s="179" t="s">
        <v>746</v>
      </c>
      <c r="V5" s="179" t="s">
        <v>747</v>
      </c>
      <c r="W5" s="179" t="s">
        <v>748</v>
      </c>
      <c r="X5" s="179" t="s">
        <v>749</v>
      </c>
      <c r="Y5" s="129" t="s">
        <v>729</v>
      </c>
      <c r="Z5" s="181" t="s">
        <v>4528</v>
      </c>
      <c r="AA5" s="89"/>
    </row>
    <row r="6" customFormat="false" ht="15.75" hidden="false" customHeight="true" outlineLevel="0" collapsed="false">
      <c r="A6" s="140"/>
      <c r="B6" s="140"/>
      <c r="C6" s="140"/>
      <c r="D6" s="140"/>
      <c r="E6" s="140"/>
      <c r="F6" s="140"/>
      <c r="G6" s="140"/>
      <c r="H6" s="140"/>
      <c r="I6" s="138" t="str">
        <f aca="false">IFERROR(VLOOKUP(TEXT(H6,"0"),IPRESS!$A$3:$B$212,2,0),"")</f>
        <v/>
      </c>
      <c r="J6" s="140"/>
      <c r="K6" s="138" t="str">
        <f aca="false">IFERROR(VLOOKUP(TEXT(O6,"0"),CONDUCTORES!$A$3:$G$54,7,0),"")</f>
        <v/>
      </c>
      <c r="L6" s="140"/>
      <c r="M6" s="140"/>
      <c r="N6" s="139" t="str">
        <f aca="false">IFERROR(IF(L6*M6=0,"",L6*M6),"")</f>
        <v/>
      </c>
      <c r="O6" s="140"/>
      <c r="P6" s="138" t="str">
        <f aca="false">IFERROR(VLOOKUP(TEXT(O6,"0"),CONDUCTORES!$A$3:$G$54,2,0),"")</f>
        <v/>
      </c>
      <c r="Q6" s="138" t="str">
        <f aca="false">IFERROR(VLOOKUP(TEXT(O6,"0"),CONDUCTORES!$A$3:$H$54,6,0),"")</f>
        <v/>
      </c>
      <c r="R6" s="140"/>
      <c r="S6" s="140"/>
      <c r="T6" s="140"/>
      <c r="U6" s="140"/>
      <c r="V6" s="140"/>
      <c r="W6" s="140"/>
      <c r="X6" s="140"/>
      <c r="Y6" s="140"/>
      <c r="Z6" s="47" t="str">
        <f aca="false">IF(AND(G6&lt;&gt;"",R6&lt;&gt;"",V6&lt;&gt;"",W6&lt;&gt;""),"COMPLETADO","OBSERVADO")</f>
        <v>OBSERVADO</v>
      </c>
      <c r="AA6" s="89"/>
    </row>
    <row r="7" customFormat="false" ht="15.75" hidden="false" customHeight="true" outlineLevel="0" collapsed="false">
      <c r="A7" s="85"/>
      <c r="B7" s="85"/>
      <c r="C7" s="85"/>
      <c r="D7" s="85"/>
      <c r="E7" s="85"/>
      <c r="F7" s="85"/>
      <c r="G7" s="85"/>
      <c r="H7" s="85"/>
      <c r="I7" s="138" t="str">
        <f aca="false">IFERROR(VLOOKUP(TEXT(H7,"0"),IPRESS!$A$3:$B$212,2,0),"")</f>
        <v/>
      </c>
      <c r="J7" s="85"/>
      <c r="K7" s="138" t="str">
        <f aca="false">IFERROR(VLOOKUP(TEXT(O7,"0"),CONDUCTORES!$A$3:$G$54,7,0),"")</f>
        <v/>
      </c>
      <c r="L7" s="85"/>
      <c r="M7" s="85"/>
      <c r="N7" s="139" t="str">
        <f aca="false">IFERROR(IF(L7*M7=0,"",L7*M7),"")</f>
        <v/>
      </c>
      <c r="O7" s="85"/>
      <c r="P7" s="138" t="str">
        <f aca="false">IFERROR(VLOOKUP(TEXT(O7,"0"),CONDUCTORES!$A$3:$G$54,2,0),"")</f>
        <v/>
      </c>
      <c r="Q7" s="138" t="str">
        <f aca="false">IFERROR(VLOOKUP(TEXT(O7,"0"),CONDUCTORES!$A$3:$H$54,6,0),"")</f>
        <v/>
      </c>
      <c r="R7" s="85"/>
      <c r="S7" s="85"/>
      <c r="T7" s="85"/>
      <c r="U7" s="85"/>
      <c r="V7" s="85"/>
      <c r="W7" s="85"/>
      <c r="X7" s="85"/>
      <c r="Y7" s="85"/>
      <c r="Z7" s="41" t="str">
        <f aca="false">IF(AND(G7&lt;&gt;"",R7&lt;&gt;"",V7&lt;&gt;"",W7&lt;&gt;""),"COMPLETADO","OBSERVADO")</f>
        <v>OBSERVADO</v>
      </c>
      <c r="AA7" s="89"/>
    </row>
    <row r="8" customFormat="false" ht="15.75" hidden="false" customHeight="true" outlineLevel="0" collapsed="false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38" t="str">
        <f aca="false">IFERROR(VLOOKUP(TEXT(O8,"0"),CONDUCTORES!$A$3:$G$54,7,0),"")</f>
        <v/>
      </c>
      <c r="L8" s="140"/>
      <c r="M8" s="183"/>
      <c r="N8" s="139" t="str">
        <f aca="false">IFERROR(IF(L8*M8=0,"",L8*M8),"")</f>
        <v/>
      </c>
      <c r="O8" s="140"/>
      <c r="P8" s="138" t="str">
        <f aca="false">IFERROR(VLOOKUP(TEXT(O8,"0"),CONDUCTORES!$A$3:$G$54,2,0),"")</f>
        <v/>
      </c>
      <c r="Q8" s="138" t="str">
        <f aca="false">IFERROR(VLOOKUP(TEXT(O8,"0"),CONDUCTORES!$A$3:$H$54,6,0),"")</f>
        <v/>
      </c>
      <c r="R8" s="140"/>
      <c r="S8" s="140"/>
      <c r="T8" s="140"/>
      <c r="U8" s="140"/>
      <c r="V8" s="140"/>
      <c r="W8" s="140"/>
      <c r="X8" s="140"/>
      <c r="Y8" s="140"/>
      <c r="Z8" s="47" t="str">
        <f aca="false">IF(AND(G8&lt;&gt;"",R8&lt;&gt;"",V8&lt;&gt;"",W8&lt;&gt;""),"COMPLETADO","OBSERVADO")</f>
        <v>OBSERVADO</v>
      </c>
      <c r="AA8" s="89"/>
    </row>
    <row r="9" customFormat="false" ht="15.75" hidden="false" customHeight="true" outlineLevel="0" collapsed="false">
      <c r="A9" s="85"/>
      <c r="B9" s="85"/>
      <c r="C9" s="85"/>
      <c r="D9" s="85"/>
      <c r="E9" s="85"/>
      <c r="F9" s="85"/>
      <c r="G9" s="85"/>
      <c r="H9" s="85"/>
      <c r="I9" s="138" t="str">
        <f aca="false">IFERROR(VLOOKUP(TEXT(H9,"0"),IPRESS!$A$3:$B$212,2,0),"")</f>
        <v/>
      </c>
      <c r="J9" s="85"/>
      <c r="K9" s="138" t="str">
        <f aca="false">IFERROR(VLOOKUP(TEXT(O9,"0"),CONDUCTORES!$A$3:$G$54,7,0),"")</f>
        <v/>
      </c>
      <c r="L9" s="85"/>
      <c r="M9" s="85"/>
      <c r="N9" s="139" t="str">
        <f aca="false">IFERROR(IF(L9*M9=0,"",L9*M9),"")</f>
        <v/>
      </c>
      <c r="O9" s="85"/>
      <c r="P9" s="138" t="str">
        <f aca="false">IFERROR(VLOOKUP(TEXT(O9,"0"),CONDUCTORES!$A$3:$G$54,2,0),"")</f>
        <v/>
      </c>
      <c r="Q9" s="138" t="str">
        <f aca="false">IFERROR(VLOOKUP(TEXT(O9,"0"),CONDUCTORES!$A$3:$H$54,6,0),"")</f>
        <v/>
      </c>
      <c r="R9" s="85"/>
      <c r="S9" s="85"/>
      <c r="T9" s="85"/>
      <c r="U9" s="85"/>
      <c r="V9" s="85"/>
      <c r="W9" s="85"/>
      <c r="X9" s="85"/>
      <c r="Y9" s="85"/>
      <c r="Z9" s="41" t="str">
        <f aca="false">IF(AND(G9&lt;&gt;"",R9&lt;&gt;"",V9&lt;&gt;"",W9&lt;&gt;""),"COMPLETADO","OBSERVADO")</f>
        <v>OBSERVADO</v>
      </c>
      <c r="AA9" s="89"/>
    </row>
    <row r="10" customFormat="false" ht="15.75" hidden="false" customHeight="true" outlineLevel="0" collapsed="false">
      <c r="A10" s="140"/>
      <c r="B10" s="140"/>
      <c r="C10" s="140"/>
      <c r="D10" s="140"/>
      <c r="E10" s="140"/>
      <c r="F10" s="140"/>
      <c r="G10" s="140"/>
      <c r="H10" s="140"/>
      <c r="I10" s="138" t="str">
        <f aca="false">IFERROR(VLOOKUP(TEXT(H10,"0"),IPRESS!$A$3:$B$212,2,0),"")</f>
        <v/>
      </c>
      <c r="J10" s="140"/>
      <c r="K10" s="138" t="str">
        <f aca="false">IFERROR(VLOOKUP(TEXT(O10,"0"),CONDUCTORES!$A$3:$G$54,7,0),"")</f>
        <v/>
      </c>
      <c r="L10" s="140"/>
      <c r="M10" s="140"/>
      <c r="N10" s="139" t="str">
        <f aca="false">IFERROR(IF(L10*M10=0,"",L10*M10),"")</f>
        <v/>
      </c>
      <c r="O10" s="140"/>
      <c r="P10" s="138" t="str">
        <f aca="false">IFERROR(VLOOKUP(TEXT(O10,"0"),CONDUCTORES!$A$3:$G$54,2,0),"")</f>
        <v/>
      </c>
      <c r="Q10" s="138" t="str">
        <f aca="false">IFERROR(VLOOKUP(TEXT(O10,"0"),CONDUCTORES!$A$3:$H$54,6,0),"")</f>
        <v/>
      </c>
      <c r="R10" s="140"/>
      <c r="S10" s="140"/>
      <c r="T10" s="140"/>
      <c r="U10" s="140"/>
      <c r="V10" s="140"/>
      <c r="W10" s="140"/>
      <c r="X10" s="140"/>
      <c r="Y10" s="140"/>
      <c r="Z10" s="47" t="str">
        <f aca="false">IF(AND(G10&lt;&gt;"",R10&lt;&gt;"",V10&lt;&gt;"",W10&lt;&gt;""),"COMPLETADO","OBSERVADO")</f>
        <v>OBSERVADO</v>
      </c>
      <c r="AA10" s="89"/>
    </row>
    <row r="11" customFormat="false" ht="15.75" hidden="false" customHeight="true" outlineLevel="0" collapsed="false">
      <c r="A11" s="85"/>
      <c r="B11" s="85"/>
      <c r="C11" s="85"/>
      <c r="D11" s="85"/>
      <c r="E11" s="85"/>
      <c r="F11" s="85"/>
      <c r="G11" s="85"/>
      <c r="H11" s="85"/>
      <c r="I11" s="138" t="str">
        <f aca="false">IFERROR(VLOOKUP(TEXT(H11,"0"),IPRESS!$A$3:$B$212,2,0),"")</f>
        <v/>
      </c>
      <c r="J11" s="85"/>
      <c r="K11" s="138" t="str">
        <f aca="false">IFERROR(VLOOKUP(TEXT(O11,"0"),CONDUCTORES!$A$3:$G$54,7,0),"")</f>
        <v/>
      </c>
      <c r="L11" s="85"/>
      <c r="M11" s="85"/>
      <c r="N11" s="139" t="str">
        <f aca="false">IFERROR(IF(L11*M11=0,"",L11*M11),"")</f>
        <v/>
      </c>
      <c r="O11" s="85"/>
      <c r="P11" s="138" t="str">
        <f aca="false">IFERROR(VLOOKUP(TEXT(O11,"0"),CONDUCTORES!$A$3:$G$54,2,0),"")</f>
        <v/>
      </c>
      <c r="Q11" s="138" t="str">
        <f aca="false">IFERROR(VLOOKUP(TEXT(O11,"0"),CONDUCTORES!$A$3:$H$54,6,0),"")</f>
        <v/>
      </c>
      <c r="R11" s="85"/>
      <c r="S11" s="85"/>
      <c r="T11" s="85"/>
      <c r="U11" s="85"/>
      <c r="V11" s="85"/>
      <c r="W11" s="85"/>
      <c r="X11" s="85"/>
      <c r="Y11" s="85"/>
      <c r="Z11" s="41" t="str">
        <f aca="false">IF(AND(G11&lt;&gt;"",R11&lt;&gt;"",V11&lt;&gt;"",W11&lt;&gt;""),"COMPLETADO","OBSERVADO")</f>
        <v>OBSERVADO</v>
      </c>
      <c r="AA11" s="89"/>
    </row>
    <row r="12" customFormat="false" ht="15.75" hidden="false" customHeight="true" outlineLevel="0" collapsed="false">
      <c r="A12" s="140"/>
      <c r="B12" s="140"/>
      <c r="C12" s="140"/>
      <c r="D12" s="140"/>
      <c r="E12" s="140"/>
      <c r="F12" s="140"/>
      <c r="G12" s="140"/>
      <c r="H12" s="140"/>
      <c r="I12" s="138" t="str">
        <f aca="false">IFERROR(VLOOKUP(TEXT(H12,"0"),IPRESS!$A$3:$B$212,2,0),"")</f>
        <v/>
      </c>
      <c r="J12" s="140"/>
      <c r="K12" s="138" t="str">
        <f aca="false">IFERROR(VLOOKUP(TEXT(O12,"0"),CONDUCTORES!$A$3:$G$54,7,0),"")</f>
        <v/>
      </c>
      <c r="L12" s="140"/>
      <c r="M12" s="140"/>
      <c r="N12" s="139" t="str">
        <f aca="false">IFERROR(IF(L12*M12=0,"",L12*M12),"")</f>
        <v/>
      </c>
      <c r="O12" s="140"/>
      <c r="P12" s="138" t="str">
        <f aca="false">IFERROR(VLOOKUP(TEXT(O12,"0"),CONDUCTORES!$A$3:$G$54,2,0),"")</f>
        <v/>
      </c>
      <c r="Q12" s="138" t="str">
        <f aca="false">IFERROR(VLOOKUP(TEXT(O12,"0"),CONDUCTORES!$A$3:$H$54,6,0),"")</f>
        <v/>
      </c>
      <c r="R12" s="140"/>
      <c r="S12" s="140"/>
      <c r="T12" s="140"/>
      <c r="U12" s="140"/>
      <c r="V12" s="140"/>
      <c r="W12" s="140"/>
      <c r="X12" s="140"/>
      <c r="Y12" s="140"/>
      <c r="Z12" s="47" t="str">
        <f aca="false">IF(AND(G12&lt;&gt;"",R12&lt;&gt;"",V12&lt;&gt;"",W12&lt;&gt;""),"COMPLETADO","OBSERVADO")</f>
        <v>OBSERVADO</v>
      </c>
      <c r="AA12" s="89"/>
    </row>
    <row r="13" customFormat="false" ht="15.75" hidden="false" customHeight="true" outlineLevel="0" collapsed="false">
      <c r="A13" s="85"/>
      <c r="B13" s="85"/>
      <c r="C13" s="85"/>
      <c r="D13" s="85"/>
      <c r="E13" s="85"/>
      <c r="F13" s="85"/>
      <c r="G13" s="85"/>
      <c r="H13" s="85"/>
      <c r="I13" s="138" t="str">
        <f aca="false">IFERROR(VLOOKUP(TEXT(H13,"0"),IPRESS!$A$3:$B$212,2,0),"")</f>
        <v/>
      </c>
      <c r="J13" s="85"/>
      <c r="K13" s="138" t="str">
        <f aca="false">IFERROR(VLOOKUP(TEXT(O13,"0"),CONDUCTORES!$A$3:$G$54,7,0),"")</f>
        <v/>
      </c>
      <c r="L13" s="85"/>
      <c r="M13" s="85"/>
      <c r="N13" s="139" t="str">
        <f aca="false">IFERROR(IF(L13*M13=0,"",L13*M13),"")</f>
        <v/>
      </c>
      <c r="O13" s="85"/>
      <c r="P13" s="138" t="str">
        <f aca="false">IFERROR(VLOOKUP(TEXT(O13,"0"),CONDUCTORES!$A$3:$G$54,2,0),"")</f>
        <v/>
      </c>
      <c r="Q13" s="138" t="str">
        <f aca="false">IFERROR(VLOOKUP(TEXT(O13,"0"),CONDUCTORES!$A$3:$H$54,6,0),"")</f>
        <v/>
      </c>
      <c r="R13" s="85"/>
      <c r="S13" s="85"/>
      <c r="T13" s="85"/>
      <c r="U13" s="85"/>
      <c r="V13" s="85"/>
      <c r="W13" s="85"/>
      <c r="X13" s="85"/>
      <c r="Y13" s="85"/>
      <c r="Z13" s="41" t="str">
        <f aca="false">IF(AND(G13&lt;&gt;"",R13&lt;&gt;"",V13&lt;&gt;"",W13&lt;&gt;""),"COMPLETADO","OBSERVADO")</f>
        <v>OBSERVADO</v>
      </c>
      <c r="AA13" s="89"/>
    </row>
    <row r="14" customFormat="false" ht="15.75" hidden="false" customHeight="true" outlineLevel="0" collapsed="false">
      <c r="A14" s="140"/>
      <c r="B14" s="140"/>
      <c r="C14" s="140"/>
      <c r="D14" s="140"/>
      <c r="E14" s="140"/>
      <c r="F14" s="140"/>
      <c r="G14" s="140"/>
      <c r="H14" s="140"/>
      <c r="I14" s="138" t="str">
        <f aca="false">IFERROR(VLOOKUP(TEXT(H14,"0"),IPRESS!$A$3:$B$212,2,0),"")</f>
        <v/>
      </c>
      <c r="J14" s="140"/>
      <c r="K14" s="138" t="str">
        <f aca="false">IFERROR(VLOOKUP(TEXT(O14,"0"),CONDUCTORES!$A$3:$G$54,7,0),"")</f>
        <v/>
      </c>
      <c r="L14" s="140"/>
      <c r="M14" s="140"/>
      <c r="N14" s="139" t="str">
        <f aca="false">IFERROR(IF(L14*M14=0,"",L14*M14),"")</f>
        <v/>
      </c>
      <c r="O14" s="140"/>
      <c r="P14" s="138" t="str">
        <f aca="false">IFERROR(VLOOKUP(TEXT(O14,"0"),CONDUCTORES!$A$3:$G$54,2,0),"")</f>
        <v/>
      </c>
      <c r="Q14" s="138" t="str">
        <f aca="false">IFERROR(VLOOKUP(TEXT(O14,"0"),CONDUCTORES!$A$3:$H$54,6,0),"")</f>
        <v/>
      </c>
      <c r="R14" s="140"/>
      <c r="S14" s="140"/>
      <c r="T14" s="140"/>
      <c r="U14" s="140"/>
      <c r="V14" s="140"/>
      <c r="W14" s="140"/>
      <c r="X14" s="140"/>
      <c r="Y14" s="140"/>
      <c r="Z14" s="47" t="str">
        <f aca="false">IF(AND(G14&lt;&gt;"",R14&lt;&gt;"",V14&lt;&gt;"",W14&lt;&gt;""),"COMPLETADO","OBSERVADO")</f>
        <v>OBSERVADO</v>
      </c>
      <c r="AA14" s="89"/>
    </row>
    <row r="15" customFormat="false" ht="15.75" hidden="false" customHeight="true" outlineLevel="0" collapsed="false">
      <c r="A15" s="85"/>
      <c r="B15" s="85"/>
      <c r="C15" s="85"/>
      <c r="D15" s="85"/>
      <c r="E15" s="85"/>
      <c r="F15" s="85"/>
      <c r="G15" s="85"/>
      <c r="H15" s="85"/>
      <c r="I15" s="138" t="str">
        <f aca="false">IFERROR(VLOOKUP(TEXT(H15,"0"),IPRESS!$A$3:$B$212,2,0),"")</f>
        <v/>
      </c>
      <c r="J15" s="85"/>
      <c r="K15" s="138" t="str">
        <f aca="false">IFERROR(VLOOKUP(TEXT(O15,"0"),CONDUCTORES!$A$3:$G$54,7,0),"")</f>
        <v/>
      </c>
      <c r="L15" s="85"/>
      <c r="M15" s="85"/>
      <c r="N15" s="139" t="str">
        <f aca="false">IFERROR(IF(L15*M15=0,"",L15*M15),"")</f>
        <v/>
      </c>
      <c r="O15" s="85"/>
      <c r="P15" s="138" t="str">
        <f aca="false">IFERROR(VLOOKUP(TEXT(O15,"0"),CONDUCTORES!$A$3:$G$54,2,0),"")</f>
        <v/>
      </c>
      <c r="Q15" s="138" t="str">
        <f aca="false">IFERROR(VLOOKUP(TEXT(O15,"0"),CONDUCTORES!$A$3:$H$54,6,0),"")</f>
        <v/>
      </c>
      <c r="R15" s="85"/>
      <c r="S15" s="85"/>
      <c r="T15" s="85"/>
      <c r="U15" s="85"/>
      <c r="V15" s="85"/>
      <c r="W15" s="85"/>
      <c r="X15" s="85"/>
      <c r="Y15" s="85"/>
      <c r="Z15" s="41" t="str">
        <f aca="false">IF(AND(G15&lt;&gt;"",R15&lt;&gt;"",V15&lt;&gt;"",W15&lt;&gt;""),"COMPLETADO","OBSERVADO")</f>
        <v>OBSERVADO</v>
      </c>
      <c r="AA15" s="89"/>
    </row>
    <row r="16" customFormat="false" ht="15.75" hidden="false" customHeight="true" outlineLevel="0" collapsed="false">
      <c r="A16" s="140"/>
      <c r="B16" s="140"/>
      <c r="C16" s="140"/>
      <c r="D16" s="140"/>
      <c r="E16" s="140"/>
      <c r="F16" s="140"/>
      <c r="G16" s="140"/>
      <c r="H16" s="140"/>
      <c r="I16" s="138" t="str">
        <f aca="false">IFERROR(VLOOKUP(TEXT(H16,"0"),IPRESS!$A$3:$B$212,2,0),"")</f>
        <v/>
      </c>
      <c r="J16" s="140"/>
      <c r="K16" s="138" t="str">
        <f aca="false">IFERROR(VLOOKUP(TEXT(O16,"0"),CONDUCTORES!$A$3:$G$54,7,0),"")</f>
        <v/>
      </c>
      <c r="L16" s="140"/>
      <c r="M16" s="140"/>
      <c r="N16" s="139" t="str">
        <f aca="false">IFERROR(IF(L16*M16=0,"",L16*M16),"")</f>
        <v/>
      </c>
      <c r="O16" s="140"/>
      <c r="P16" s="138" t="str">
        <f aca="false">IFERROR(VLOOKUP(TEXT(O16,"0"),CONDUCTORES!$A$3:$G$54,2,0),"")</f>
        <v/>
      </c>
      <c r="Q16" s="138" t="str">
        <f aca="false">IFERROR(VLOOKUP(TEXT(O16,"0"),CONDUCTORES!$A$3:$H$54,6,0),"")</f>
        <v/>
      </c>
      <c r="R16" s="140"/>
      <c r="S16" s="140"/>
      <c r="T16" s="140"/>
      <c r="U16" s="140"/>
      <c r="V16" s="140"/>
      <c r="W16" s="140"/>
      <c r="X16" s="140"/>
      <c r="Y16" s="140"/>
      <c r="Z16" s="47" t="str">
        <f aca="false">IF(AND(G16&lt;&gt;"",R16&lt;&gt;"",V16&lt;&gt;"",W16&lt;&gt;""),"COMPLETADO","OBSERVADO")</f>
        <v>OBSERVADO</v>
      </c>
      <c r="AA16" s="89"/>
    </row>
    <row r="17" customFormat="false" ht="15.75" hidden="false" customHeight="true" outlineLevel="0" collapsed="false">
      <c r="A17" s="85"/>
      <c r="B17" s="85"/>
      <c r="C17" s="85"/>
      <c r="D17" s="85"/>
      <c r="E17" s="85"/>
      <c r="F17" s="85"/>
      <c r="G17" s="85"/>
      <c r="H17" s="85"/>
      <c r="I17" s="138" t="str">
        <f aca="false">IFERROR(VLOOKUP(TEXT(H17,"0"),IPRESS!$A$3:$B$212,2,0),"")</f>
        <v/>
      </c>
      <c r="J17" s="85"/>
      <c r="K17" s="138" t="str">
        <f aca="false">IFERROR(VLOOKUP(TEXT(O17,"0"),CONDUCTORES!$A$3:$G$54,7,0),"")</f>
        <v/>
      </c>
      <c r="L17" s="85"/>
      <c r="M17" s="85"/>
      <c r="N17" s="139" t="str">
        <f aca="false">IFERROR(IF(L17*M17=0,"",L17*M17),"")</f>
        <v/>
      </c>
      <c r="O17" s="85"/>
      <c r="P17" s="138" t="str">
        <f aca="false">IFERROR(VLOOKUP(TEXT(O17,"0"),CONDUCTORES!$A$3:$G$54,2,0),"")</f>
        <v/>
      </c>
      <c r="Q17" s="138" t="str">
        <f aca="false">IFERROR(VLOOKUP(TEXT(O17,"0"),CONDUCTORES!$A$3:$H$54,6,0),"")</f>
        <v/>
      </c>
      <c r="R17" s="85"/>
      <c r="S17" s="85"/>
      <c r="T17" s="85"/>
      <c r="U17" s="85"/>
      <c r="V17" s="85"/>
      <c r="W17" s="85"/>
      <c r="X17" s="85"/>
      <c r="Y17" s="85"/>
      <c r="Z17" s="41" t="str">
        <f aca="false">IF(AND(G17&lt;&gt;"",R17&lt;&gt;"",V17&lt;&gt;"",W17&lt;&gt;""),"COMPLETADO","OBSERVADO")</f>
        <v>OBSERVADO</v>
      </c>
      <c r="AA17" s="89"/>
    </row>
    <row r="18" customFormat="false" ht="15.75" hidden="false" customHeight="true" outlineLevel="0" collapsed="false">
      <c r="A18" s="140"/>
      <c r="B18" s="140"/>
      <c r="C18" s="140"/>
      <c r="D18" s="140"/>
      <c r="E18" s="140"/>
      <c r="F18" s="140"/>
      <c r="G18" s="140"/>
      <c r="H18" s="140"/>
      <c r="I18" s="138" t="str">
        <f aca="false">IFERROR(VLOOKUP(TEXT(H18,"0"),IPRESS!$A$3:$B$212,2,0),"")</f>
        <v/>
      </c>
      <c r="J18" s="140"/>
      <c r="K18" s="138" t="str">
        <f aca="false">IFERROR(VLOOKUP(TEXT(O18,"0"),CONDUCTORES!$A$3:$G$54,7,0),"")</f>
        <v/>
      </c>
      <c r="L18" s="140"/>
      <c r="M18" s="140"/>
      <c r="N18" s="139" t="str">
        <f aca="false">IFERROR(IF(L18*M18=0,"",L18*M18),"")</f>
        <v/>
      </c>
      <c r="O18" s="140"/>
      <c r="P18" s="138" t="str">
        <f aca="false">IFERROR(VLOOKUP(TEXT(O18,"0"),CONDUCTORES!$A$3:$G$54,2,0),"")</f>
        <v/>
      </c>
      <c r="Q18" s="138" t="str">
        <f aca="false">IFERROR(VLOOKUP(TEXT(O18,"0"),CONDUCTORES!$A$3:$H$54,6,0),"")</f>
        <v/>
      </c>
      <c r="R18" s="140"/>
      <c r="S18" s="140"/>
      <c r="T18" s="140"/>
      <c r="U18" s="140"/>
      <c r="V18" s="140"/>
      <c r="W18" s="140"/>
      <c r="X18" s="140"/>
      <c r="Y18" s="140"/>
      <c r="Z18" s="47" t="str">
        <f aca="false">IF(AND(G18&lt;&gt;"",R18&lt;&gt;"",V18&lt;&gt;"",W18&lt;&gt;""),"COMPLETADO","OBSERVADO")</f>
        <v>OBSERVADO</v>
      </c>
      <c r="AA18" s="89"/>
    </row>
    <row r="19" customFormat="false" ht="15.75" hidden="false" customHeight="true" outlineLevel="0" collapsed="false">
      <c r="A19" s="85"/>
      <c r="B19" s="85"/>
      <c r="C19" s="85"/>
      <c r="D19" s="85"/>
      <c r="E19" s="85"/>
      <c r="F19" s="85"/>
      <c r="G19" s="85"/>
      <c r="H19" s="85"/>
      <c r="I19" s="138" t="str">
        <f aca="false">IFERROR(VLOOKUP(TEXT(H19,"0"),IPRESS!$A$3:$B$212,2,0),"")</f>
        <v/>
      </c>
      <c r="J19" s="85"/>
      <c r="K19" s="138" t="str">
        <f aca="false">IFERROR(VLOOKUP(TEXT(O19,"0"),CONDUCTORES!$A$3:$G$54,7,0),"")</f>
        <v/>
      </c>
      <c r="L19" s="85"/>
      <c r="M19" s="85"/>
      <c r="N19" s="139" t="str">
        <f aca="false">IFERROR(IF(L19*M19=0,"",L19*M19),"")</f>
        <v/>
      </c>
      <c r="O19" s="85"/>
      <c r="P19" s="138" t="str">
        <f aca="false">IFERROR(VLOOKUP(TEXT(O19,"0"),CONDUCTORES!$A$3:$G$54,2,0),"")</f>
        <v/>
      </c>
      <c r="Q19" s="138" t="str">
        <f aca="false">IFERROR(VLOOKUP(TEXT(O19,"0"),CONDUCTORES!$A$3:$H$54,6,0),"")</f>
        <v/>
      </c>
      <c r="R19" s="85"/>
      <c r="S19" s="85"/>
      <c r="T19" s="85"/>
      <c r="U19" s="85"/>
      <c r="V19" s="85"/>
      <c r="W19" s="85"/>
      <c r="X19" s="85"/>
      <c r="Y19" s="85"/>
      <c r="Z19" s="41" t="str">
        <f aca="false">IF(AND(G19&lt;&gt;"",R19&lt;&gt;"",V19&lt;&gt;"",W19&lt;&gt;""),"COMPLETADO","OBSERVADO")</f>
        <v>OBSERVADO</v>
      </c>
      <c r="AA19" s="89"/>
    </row>
    <row r="20" customFormat="false" ht="15.75" hidden="false" customHeight="true" outlineLevel="0" collapsed="false">
      <c r="A20" s="140"/>
      <c r="B20" s="140"/>
      <c r="C20" s="140"/>
      <c r="D20" s="140"/>
      <c r="E20" s="140"/>
      <c r="F20" s="140"/>
      <c r="G20" s="140"/>
      <c r="H20" s="140"/>
      <c r="I20" s="138" t="str">
        <f aca="false">IFERROR(VLOOKUP(TEXT(H20,"0"),IPRESS!$A$3:$B$212,2,0),"")</f>
        <v/>
      </c>
      <c r="J20" s="140"/>
      <c r="K20" s="138" t="str">
        <f aca="false">IFERROR(VLOOKUP(TEXT(O20,"0"),CONDUCTORES!$A$3:$G$54,7,0),"")</f>
        <v/>
      </c>
      <c r="L20" s="140"/>
      <c r="M20" s="140"/>
      <c r="N20" s="139" t="str">
        <f aca="false">IFERROR(IF(L20*M20=0,"",L20*M20),"")</f>
        <v/>
      </c>
      <c r="O20" s="140"/>
      <c r="P20" s="138" t="str">
        <f aca="false">IFERROR(VLOOKUP(TEXT(O20,"0"),CONDUCTORES!$A$3:$G$54,2,0),"")</f>
        <v/>
      </c>
      <c r="Q20" s="138" t="str">
        <f aca="false">IFERROR(VLOOKUP(TEXT(O20,"0"),CONDUCTORES!$A$3:$H$54,6,0),"")</f>
        <v/>
      </c>
      <c r="R20" s="140"/>
      <c r="S20" s="140"/>
      <c r="T20" s="140"/>
      <c r="U20" s="140"/>
      <c r="V20" s="140"/>
      <c r="W20" s="140"/>
      <c r="X20" s="140"/>
      <c r="Y20" s="140"/>
      <c r="Z20" s="47" t="str">
        <f aca="false">IF(AND(G20&lt;&gt;"",R20&lt;&gt;"",V20&lt;&gt;"",W20&lt;&gt;""),"COMPLETADO","OBSERVADO")</f>
        <v>OBSERVADO</v>
      </c>
      <c r="AA20" s="89"/>
    </row>
    <row r="21" customFormat="false" ht="15.75" hidden="false" customHeight="true" outlineLevel="0" collapsed="false">
      <c r="A21" s="85"/>
      <c r="B21" s="85"/>
      <c r="C21" s="85"/>
      <c r="D21" s="85"/>
      <c r="E21" s="85"/>
      <c r="F21" s="85"/>
      <c r="G21" s="85"/>
      <c r="H21" s="85"/>
      <c r="I21" s="138" t="str">
        <f aca="false">IFERROR(VLOOKUP(TEXT(H21,"0"),IPRESS!$A$3:$B$212,2,0),"")</f>
        <v/>
      </c>
      <c r="J21" s="85"/>
      <c r="K21" s="138" t="str">
        <f aca="false">IFERROR(VLOOKUP(TEXT(O21,"0"),CONDUCTORES!$A$3:$G$54,7,0),"")</f>
        <v/>
      </c>
      <c r="L21" s="85"/>
      <c r="M21" s="85"/>
      <c r="N21" s="139" t="str">
        <f aca="false">IFERROR(IF(L21*M21=0,"",L21*M21),"")</f>
        <v/>
      </c>
      <c r="O21" s="85"/>
      <c r="P21" s="138" t="str">
        <f aca="false">IFERROR(VLOOKUP(TEXT(O21,"0"),CONDUCTORES!$A$3:$G$54,2,0),"")</f>
        <v/>
      </c>
      <c r="Q21" s="138" t="str">
        <f aca="false">IFERROR(VLOOKUP(TEXT(O21,"0"),CONDUCTORES!$A$3:$H$54,6,0),"")</f>
        <v/>
      </c>
      <c r="R21" s="85"/>
      <c r="S21" s="85"/>
      <c r="T21" s="85"/>
      <c r="U21" s="85"/>
      <c r="V21" s="85"/>
      <c r="W21" s="85"/>
      <c r="X21" s="85"/>
      <c r="Y21" s="85"/>
      <c r="Z21" s="41" t="str">
        <f aca="false">IF(AND(G21&lt;&gt;"",R21&lt;&gt;"",V21&lt;&gt;"",W21&lt;&gt;""),"COMPLETADO","OBSERVADO")</f>
        <v>OBSERVADO</v>
      </c>
      <c r="AA21" s="89"/>
    </row>
    <row r="22" customFormat="false" ht="15.75" hidden="false" customHeight="true" outlineLevel="0" collapsed="false">
      <c r="A22" s="140"/>
      <c r="B22" s="140"/>
      <c r="C22" s="140"/>
      <c r="D22" s="140"/>
      <c r="E22" s="140"/>
      <c r="F22" s="140"/>
      <c r="G22" s="140"/>
      <c r="H22" s="140"/>
      <c r="I22" s="138" t="str">
        <f aca="false">IFERROR(VLOOKUP(TEXT(H22,"0"),IPRESS!$A$3:$B$212,2,0),"")</f>
        <v/>
      </c>
      <c r="J22" s="140"/>
      <c r="K22" s="138" t="str">
        <f aca="false">IFERROR(VLOOKUP(TEXT(O22,"0"),CONDUCTORES!$A$3:$G$54,7,0),"")</f>
        <v/>
      </c>
      <c r="L22" s="140"/>
      <c r="M22" s="140"/>
      <c r="N22" s="139" t="str">
        <f aca="false">IFERROR(IF(L22*M22=0,"",L22*M22),"")</f>
        <v/>
      </c>
      <c r="O22" s="140"/>
      <c r="P22" s="138" t="str">
        <f aca="false">IFERROR(VLOOKUP(TEXT(O22,"0"),CONDUCTORES!$A$3:$G$54,2,0),"")</f>
        <v/>
      </c>
      <c r="Q22" s="138" t="str">
        <f aca="false">IFERROR(VLOOKUP(TEXT(O22,"0"),CONDUCTORES!$A$3:$H$54,6,0),"")</f>
        <v/>
      </c>
      <c r="R22" s="140"/>
      <c r="S22" s="140"/>
      <c r="T22" s="140"/>
      <c r="U22" s="140"/>
      <c r="V22" s="140"/>
      <c r="W22" s="140"/>
      <c r="X22" s="140"/>
      <c r="Y22" s="140"/>
      <c r="Z22" s="47" t="str">
        <f aca="false">IF(AND(G22&lt;&gt;"",R22&lt;&gt;"",V22&lt;&gt;"",W22&lt;&gt;""),"COMPLETADO","OBSERVADO")</f>
        <v>OBSERVADO</v>
      </c>
      <c r="AA22" s="89"/>
    </row>
    <row r="23" customFormat="false" ht="15.75" hidden="false" customHeight="true" outlineLevel="0" collapsed="false">
      <c r="A23" s="85"/>
      <c r="B23" s="85"/>
      <c r="C23" s="85"/>
      <c r="D23" s="85"/>
      <c r="E23" s="85"/>
      <c r="F23" s="85"/>
      <c r="G23" s="85"/>
      <c r="H23" s="85"/>
      <c r="I23" s="138" t="str">
        <f aca="false">IFERROR(VLOOKUP(TEXT(H23,"0"),IPRESS!$A$3:$B$212,2,0),"")</f>
        <v/>
      </c>
      <c r="J23" s="85"/>
      <c r="K23" s="138" t="str">
        <f aca="false">IFERROR(VLOOKUP(TEXT(O23,"0"),CONDUCTORES!$A$3:$G$54,7,0),"")</f>
        <v/>
      </c>
      <c r="L23" s="85"/>
      <c r="M23" s="85"/>
      <c r="N23" s="139" t="str">
        <f aca="false">IFERROR(IF(L23*M23=0,"",L23*M23),"")</f>
        <v/>
      </c>
      <c r="O23" s="85"/>
      <c r="P23" s="138" t="str">
        <f aca="false">IFERROR(VLOOKUP(TEXT(O23,"0"),CONDUCTORES!$A$3:$G$54,2,0),"")</f>
        <v/>
      </c>
      <c r="Q23" s="138" t="str">
        <f aca="false">IFERROR(VLOOKUP(TEXT(O23,"0"),CONDUCTORES!$A$3:$H$54,6,0),"")</f>
        <v/>
      </c>
      <c r="R23" s="85"/>
      <c r="S23" s="85"/>
      <c r="T23" s="85"/>
      <c r="U23" s="85"/>
      <c r="V23" s="85"/>
      <c r="W23" s="85"/>
      <c r="X23" s="85"/>
      <c r="Y23" s="85"/>
      <c r="Z23" s="41" t="str">
        <f aca="false">IF(AND(G23&lt;&gt;"",R23&lt;&gt;"",V23&lt;&gt;"",W23&lt;&gt;""),"COMPLETADO","OBSERVADO")</f>
        <v>OBSERVADO</v>
      </c>
      <c r="AA23" s="89"/>
    </row>
    <row r="24" customFormat="false" ht="15.75" hidden="false" customHeight="true" outlineLevel="0" collapsed="false">
      <c r="A24" s="140"/>
      <c r="B24" s="140"/>
      <c r="C24" s="140"/>
      <c r="D24" s="140"/>
      <c r="E24" s="140"/>
      <c r="F24" s="140"/>
      <c r="G24" s="140"/>
      <c r="H24" s="140"/>
      <c r="I24" s="138" t="str">
        <f aca="false">IFERROR(VLOOKUP(TEXT(H24,"0"),IPRESS!$A$3:$B$212,2,0),"")</f>
        <v/>
      </c>
      <c r="J24" s="140"/>
      <c r="K24" s="138" t="str">
        <f aca="false">IFERROR(VLOOKUP(TEXT(O24,"0"),CONDUCTORES!$A$3:$G$54,7,0),"")</f>
        <v/>
      </c>
      <c r="L24" s="140"/>
      <c r="M24" s="140"/>
      <c r="N24" s="139" t="str">
        <f aca="false">IFERROR(IF(L24*M24=0,"",L24*M24),"")</f>
        <v/>
      </c>
      <c r="O24" s="140"/>
      <c r="P24" s="138" t="str">
        <f aca="false">IFERROR(VLOOKUP(TEXT(O24,"0"),CONDUCTORES!$A$3:$G$54,2,0),"")</f>
        <v/>
      </c>
      <c r="Q24" s="138" t="str">
        <f aca="false">IFERROR(VLOOKUP(TEXT(O24,"0"),CONDUCTORES!$A$3:$H$54,6,0),"")</f>
        <v/>
      </c>
      <c r="R24" s="140"/>
      <c r="S24" s="140"/>
      <c r="T24" s="140"/>
      <c r="U24" s="140"/>
      <c r="V24" s="140"/>
      <c r="W24" s="140"/>
      <c r="X24" s="140"/>
      <c r="Y24" s="140"/>
      <c r="Z24" s="47" t="str">
        <f aca="false">IF(AND(G24&lt;&gt;"",R24&lt;&gt;"",V24&lt;&gt;"",W24&lt;&gt;""),"COMPLETADO","OBSERVADO")</f>
        <v>OBSERVADO</v>
      </c>
      <c r="AA24" s="89"/>
    </row>
    <row r="25" customFormat="false" ht="15.75" hidden="false" customHeight="true" outlineLevel="0" collapsed="false">
      <c r="A25" s="85"/>
      <c r="B25" s="85"/>
      <c r="C25" s="85"/>
      <c r="D25" s="85"/>
      <c r="E25" s="85"/>
      <c r="F25" s="85"/>
      <c r="G25" s="85"/>
      <c r="H25" s="85"/>
      <c r="I25" s="138" t="str">
        <f aca="false">IFERROR(VLOOKUP(TEXT(H25,"0"),IPRESS!$A$3:$B$212,2,0),"")</f>
        <v/>
      </c>
      <c r="J25" s="85"/>
      <c r="K25" s="138" t="str">
        <f aca="false">IFERROR(VLOOKUP(TEXT(O25,"0"),CONDUCTORES!$A$3:$G$54,7,0),"")</f>
        <v/>
      </c>
      <c r="L25" s="85"/>
      <c r="M25" s="85"/>
      <c r="N25" s="139" t="str">
        <f aca="false">IFERROR(IF(L25*M25=0,"",L25*M25),"")</f>
        <v/>
      </c>
      <c r="O25" s="85"/>
      <c r="P25" s="138" t="str">
        <f aca="false">IFERROR(VLOOKUP(TEXT(O25,"0"),CONDUCTORES!$A$3:$G$54,2,0),"")</f>
        <v/>
      </c>
      <c r="Q25" s="138" t="str">
        <f aca="false">IFERROR(VLOOKUP(TEXT(O25,"0"),CONDUCTORES!$A$3:$H$54,6,0),"")</f>
        <v/>
      </c>
      <c r="R25" s="85"/>
      <c r="S25" s="85"/>
      <c r="T25" s="85"/>
      <c r="U25" s="85"/>
      <c r="V25" s="85"/>
      <c r="W25" s="85"/>
      <c r="X25" s="85"/>
      <c r="Y25" s="85"/>
      <c r="Z25" s="41" t="str">
        <f aca="false">IF(AND(G25&lt;&gt;"",R25&lt;&gt;"",V25&lt;&gt;"",W25&lt;&gt;""),"COMPLETADO","OBSERVADO")</f>
        <v>OBSERVADO</v>
      </c>
      <c r="AA25" s="89"/>
    </row>
    <row r="26" customFormat="false" ht="15.75" hidden="false" customHeight="true" outlineLevel="0" collapsed="false">
      <c r="A26" s="140"/>
      <c r="B26" s="140"/>
      <c r="C26" s="140"/>
      <c r="D26" s="140"/>
      <c r="E26" s="140"/>
      <c r="F26" s="140"/>
      <c r="G26" s="140"/>
      <c r="H26" s="140"/>
      <c r="I26" s="138" t="str">
        <f aca="false">IFERROR(VLOOKUP(TEXT(H26,"0"),IPRESS!$A$3:$B$212,2,0),"")</f>
        <v/>
      </c>
      <c r="J26" s="140"/>
      <c r="K26" s="138" t="str">
        <f aca="false">IFERROR(VLOOKUP(TEXT(O26,"0"),CONDUCTORES!$A$3:$G$54,7,0),"")</f>
        <v/>
      </c>
      <c r="L26" s="140"/>
      <c r="M26" s="140"/>
      <c r="N26" s="139" t="str">
        <f aca="false">IFERROR(IF(L26*M26=0,"",L26*M26),"")</f>
        <v/>
      </c>
      <c r="O26" s="140"/>
      <c r="P26" s="138" t="str">
        <f aca="false">IFERROR(VLOOKUP(TEXT(O26,"0"),CONDUCTORES!$A$3:$G$54,2,0),"")</f>
        <v/>
      </c>
      <c r="Q26" s="138" t="str">
        <f aca="false">IFERROR(VLOOKUP(TEXT(O26,"0"),CONDUCTORES!$A$3:$H$54,6,0),"")</f>
        <v/>
      </c>
      <c r="R26" s="140"/>
      <c r="S26" s="140"/>
      <c r="T26" s="140"/>
      <c r="U26" s="140"/>
      <c r="V26" s="140"/>
      <c r="W26" s="140"/>
      <c r="X26" s="140"/>
      <c r="Y26" s="140"/>
      <c r="Z26" s="47" t="str">
        <f aca="false">IF(AND(G26&lt;&gt;"",R26&lt;&gt;"",V26&lt;&gt;"",W26&lt;&gt;""),"COMPLETADO","OBSERVADO")</f>
        <v>OBSERVADO</v>
      </c>
      <c r="AA26" s="89"/>
    </row>
    <row r="27" customFormat="false" ht="15.75" hidden="false" customHeight="true" outlineLevel="0" collapsed="false">
      <c r="A27" s="85"/>
      <c r="B27" s="85"/>
      <c r="C27" s="85"/>
      <c r="D27" s="85"/>
      <c r="E27" s="85"/>
      <c r="F27" s="85"/>
      <c r="G27" s="85"/>
      <c r="H27" s="85"/>
      <c r="I27" s="138" t="str">
        <f aca="false">IFERROR(VLOOKUP(TEXT(H27,"0"),IPRESS!$A$3:$B$212,2,0),"")</f>
        <v/>
      </c>
      <c r="J27" s="85"/>
      <c r="K27" s="138" t="str">
        <f aca="false">IFERROR(VLOOKUP(TEXT(O27,"0"),CONDUCTORES!$A$3:$G$54,7,0),"")</f>
        <v/>
      </c>
      <c r="L27" s="85"/>
      <c r="M27" s="85"/>
      <c r="N27" s="139" t="str">
        <f aca="false">IFERROR(IF(L27*M27=0,"",L27*M27),"")</f>
        <v/>
      </c>
      <c r="O27" s="85"/>
      <c r="P27" s="138" t="str">
        <f aca="false">IFERROR(VLOOKUP(TEXT(O27,"0"),CONDUCTORES!$A$3:$G$54,2,0),"")</f>
        <v/>
      </c>
      <c r="Q27" s="138" t="str">
        <f aca="false">IFERROR(VLOOKUP(TEXT(O27,"0"),CONDUCTORES!$A$3:$H$54,6,0),"")</f>
        <v/>
      </c>
      <c r="R27" s="85"/>
      <c r="S27" s="85"/>
      <c r="T27" s="85"/>
      <c r="U27" s="85"/>
      <c r="V27" s="85"/>
      <c r="W27" s="85"/>
      <c r="X27" s="85"/>
      <c r="Y27" s="85"/>
      <c r="Z27" s="41" t="str">
        <f aca="false">IF(AND(G27&lt;&gt;"",R27&lt;&gt;"",V27&lt;&gt;"",W27&lt;&gt;""),"COMPLETADO","OBSERVADO")</f>
        <v>OBSERVADO</v>
      </c>
      <c r="AA27" s="89"/>
    </row>
    <row r="28" customFormat="false" ht="15.75" hidden="false" customHeight="true" outlineLevel="0" collapsed="false">
      <c r="A28" s="140"/>
      <c r="B28" s="140"/>
      <c r="C28" s="140"/>
      <c r="D28" s="140"/>
      <c r="E28" s="140"/>
      <c r="F28" s="140"/>
      <c r="G28" s="140"/>
      <c r="H28" s="140"/>
      <c r="I28" s="138" t="str">
        <f aca="false">IFERROR(VLOOKUP(TEXT(H28,"0"),IPRESS!$A$3:$B$212,2,0),"")</f>
        <v/>
      </c>
      <c r="J28" s="140"/>
      <c r="K28" s="138" t="str">
        <f aca="false">IFERROR(VLOOKUP(TEXT(O28,"0"),CONDUCTORES!$A$3:$G$54,7,0),"")</f>
        <v/>
      </c>
      <c r="L28" s="140"/>
      <c r="M28" s="140"/>
      <c r="N28" s="139" t="str">
        <f aca="false">IFERROR(IF(L28*M28=0,"",L28*M28),"")</f>
        <v/>
      </c>
      <c r="O28" s="140"/>
      <c r="P28" s="138" t="str">
        <f aca="false">IFERROR(VLOOKUP(TEXT(O28,"0"),CONDUCTORES!$A$3:$G$54,2,0),"")</f>
        <v/>
      </c>
      <c r="Q28" s="138" t="str">
        <f aca="false">IFERROR(VLOOKUP(TEXT(O28,"0"),CONDUCTORES!$A$3:$H$54,6,0),"")</f>
        <v/>
      </c>
      <c r="R28" s="140"/>
      <c r="S28" s="140"/>
      <c r="T28" s="140"/>
      <c r="U28" s="140"/>
      <c r="V28" s="140"/>
      <c r="W28" s="140"/>
      <c r="X28" s="140"/>
      <c r="Y28" s="140"/>
      <c r="Z28" s="47" t="str">
        <f aca="false">IF(AND(G28&lt;&gt;"",R28&lt;&gt;"",V28&lt;&gt;"",W28&lt;&gt;""),"COMPLETADO","OBSERVADO")</f>
        <v>OBSERVADO</v>
      </c>
      <c r="AA28" s="89"/>
    </row>
    <row r="29" customFormat="false" ht="15.75" hidden="false" customHeight="true" outlineLevel="0" collapsed="false">
      <c r="A29" s="85"/>
      <c r="B29" s="85"/>
      <c r="C29" s="85"/>
      <c r="D29" s="85"/>
      <c r="E29" s="85"/>
      <c r="F29" s="85"/>
      <c r="G29" s="85"/>
      <c r="H29" s="85"/>
      <c r="I29" s="138" t="str">
        <f aca="false">IFERROR(VLOOKUP(TEXT(H29,"0"),IPRESS!$A$3:$B$212,2,0),"")</f>
        <v/>
      </c>
      <c r="J29" s="85"/>
      <c r="K29" s="138" t="str">
        <f aca="false">IFERROR(VLOOKUP(TEXT(O29,"0"),CONDUCTORES!$A$3:$G$54,7,0),"")</f>
        <v/>
      </c>
      <c r="L29" s="85"/>
      <c r="M29" s="85"/>
      <c r="N29" s="139" t="str">
        <f aca="false">IFERROR(IF(L29*M29=0,"",L29*M29),"")</f>
        <v/>
      </c>
      <c r="O29" s="85"/>
      <c r="P29" s="138" t="str">
        <f aca="false">IFERROR(VLOOKUP(TEXT(O29,"0"),CONDUCTORES!$A$3:$G$54,2,0),"")</f>
        <v/>
      </c>
      <c r="Q29" s="138" t="str">
        <f aca="false">IFERROR(VLOOKUP(TEXT(O29,"0"),CONDUCTORES!$A$3:$H$54,6,0),"")</f>
        <v/>
      </c>
      <c r="R29" s="85"/>
      <c r="S29" s="85"/>
      <c r="T29" s="85"/>
      <c r="U29" s="85"/>
      <c r="V29" s="85"/>
      <c r="W29" s="85"/>
      <c r="X29" s="85"/>
      <c r="Y29" s="85"/>
      <c r="Z29" s="41" t="str">
        <f aca="false">IF(AND(G29&lt;&gt;"",R29&lt;&gt;"",V29&lt;&gt;"",W29&lt;&gt;""),"COMPLETADO","OBSERVADO")</f>
        <v>OBSERVADO</v>
      </c>
      <c r="AA29" s="89"/>
    </row>
    <row r="30" customFormat="false" ht="15.75" hidden="false" customHeight="true" outlineLevel="0" collapsed="false">
      <c r="A30" s="140"/>
      <c r="B30" s="140"/>
      <c r="C30" s="140"/>
      <c r="D30" s="140"/>
      <c r="E30" s="140"/>
      <c r="F30" s="140"/>
      <c r="G30" s="140"/>
      <c r="H30" s="140"/>
      <c r="I30" s="138" t="str">
        <f aca="false">IFERROR(VLOOKUP(TEXT(H30,"0"),IPRESS!$A$3:$B$212,2,0),"")</f>
        <v/>
      </c>
      <c r="J30" s="140"/>
      <c r="K30" s="138" t="str">
        <f aca="false">IFERROR(VLOOKUP(TEXT(O30,"0"),CONDUCTORES!$A$3:$G$54,7,0),"")</f>
        <v/>
      </c>
      <c r="L30" s="140"/>
      <c r="M30" s="140"/>
      <c r="N30" s="139" t="str">
        <f aca="false">IFERROR(IF(L30*M30=0,"",L30*M30),"")</f>
        <v/>
      </c>
      <c r="O30" s="140"/>
      <c r="P30" s="138" t="str">
        <f aca="false">IFERROR(VLOOKUP(TEXT(O30,"0"),CONDUCTORES!$A$3:$G$54,2,0),"")</f>
        <v/>
      </c>
      <c r="Q30" s="138" t="str">
        <f aca="false">IFERROR(VLOOKUP(TEXT(O30,"0"),CONDUCTORES!$A$3:$H$54,6,0),"")</f>
        <v/>
      </c>
      <c r="R30" s="140"/>
      <c r="S30" s="140"/>
      <c r="T30" s="140"/>
      <c r="U30" s="140"/>
      <c r="V30" s="140"/>
      <c r="W30" s="140"/>
      <c r="X30" s="140"/>
      <c r="Y30" s="140"/>
      <c r="Z30" s="47" t="str">
        <f aca="false">IF(AND(G30&lt;&gt;"",R30&lt;&gt;"",V30&lt;&gt;"",W30&lt;&gt;""),"COMPLETADO","OBSERVADO")</f>
        <v>OBSERVADO</v>
      </c>
      <c r="AA30" s="89"/>
    </row>
    <row r="31" customFormat="false" ht="15.75" hidden="false" customHeight="true" outlineLevel="0" collapsed="false">
      <c r="A31" s="85"/>
      <c r="B31" s="85"/>
      <c r="C31" s="85"/>
      <c r="D31" s="85"/>
      <c r="E31" s="85"/>
      <c r="F31" s="85"/>
      <c r="G31" s="85"/>
      <c r="H31" s="85"/>
      <c r="I31" s="138" t="str">
        <f aca="false">IFERROR(VLOOKUP(TEXT(H31,"0"),IPRESS!$A$3:$B$212,2,0),"")</f>
        <v/>
      </c>
      <c r="J31" s="85"/>
      <c r="K31" s="138" t="str">
        <f aca="false">IFERROR(VLOOKUP(TEXT(O31,"0"),CONDUCTORES!$A$3:$G$54,7,0),"")</f>
        <v/>
      </c>
      <c r="L31" s="85"/>
      <c r="M31" s="85"/>
      <c r="N31" s="139" t="str">
        <f aca="false">IFERROR(IF(L31*M31=0,"",L31*M31),"")</f>
        <v/>
      </c>
      <c r="O31" s="85"/>
      <c r="P31" s="138" t="str">
        <f aca="false">IFERROR(VLOOKUP(TEXT(O31,"0"),CONDUCTORES!$A$3:$G$54,2,0),"")</f>
        <v/>
      </c>
      <c r="Q31" s="138" t="str">
        <f aca="false">IFERROR(VLOOKUP(TEXT(O31,"0"),CONDUCTORES!$A$3:$H$54,6,0),"")</f>
        <v/>
      </c>
      <c r="R31" s="85"/>
      <c r="S31" s="85"/>
      <c r="T31" s="85"/>
      <c r="U31" s="85"/>
      <c r="V31" s="85"/>
      <c r="W31" s="85"/>
      <c r="X31" s="85"/>
      <c r="Y31" s="85"/>
      <c r="Z31" s="41" t="str">
        <f aca="false">IF(AND(G31&lt;&gt;"",R31&lt;&gt;"",V31&lt;&gt;"",W31&lt;&gt;""),"COMPLETADO","OBSERVADO")</f>
        <v>OBSERVADO</v>
      </c>
      <c r="AA31" s="89"/>
    </row>
    <row r="32" customFormat="false" ht="15.75" hidden="false" customHeight="true" outlineLevel="0" collapsed="false">
      <c r="A32" s="140"/>
      <c r="B32" s="140"/>
      <c r="C32" s="140"/>
      <c r="D32" s="140"/>
      <c r="E32" s="140"/>
      <c r="F32" s="140"/>
      <c r="G32" s="140"/>
      <c r="H32" s="140"/>
      <c r="I32" s="138" t="str">
        <f aca="false">IFERROR(VLOOKUP(TEXT(H32,"0"),IPRESS!$A$3:$B$212,2,0),"")</f>
        <v/>
      </c>
      <c r="J32" s="140"/>
      <c r="K32" s="138" t="str">
        <f aca="false">IFERROR(VLOOKUP(TEXT(O32,"0"),CONDUCTORES!$A$3:$G$54,7,0),"")</f>
        <v/>
      </c>
      <c r="L32" s="140"/>
      <c r="M32" s="140"/>
      <c r="N32" s="139" t="str">
        <f aca="false">IFERROR(IF(L32*M32=0,"",L32*M32),"")</f>
        <v/>
      </c>
      <c r="O32" s="140"/>
      <c r="P32" s="138" t="str">
        <f aca="false">IFERROR(VLOOKUP(TEXT(O32,"0"),CONDUCTORES!$A$3:$G$54,2,0),"")</f>
        <v/>
      </c>
      <c r="Q32" s="138" t="str">
        <f aca="false">IFERROR(VLOOKUP(TEXT(O32,"0"),CONDUCTORES!$A$3:$H$54,6,0),"")</f>
        <v/>
      </c>
      <c r="R32" s="140"/>
      <c r="S32" s="140"/>
      <c r="T32" s="140"/>
      <c r="U32" s="140"/>
      <c r="V32" s="140"/>
      <c r="W32" s="140"/>
      <c r="X32" s="140"/>
      <c r="Y32" s="140"/>
      <c r="Z32" s="47" t="str">
        <f aca="false">IF(AND(G32&lt;&gt;"",R32&lt;&gt;"",V32&lt;&gt;"",W32&lt;&gt;""),"COMPLETADO","OBSERVADO")</f>
        <v>OBSERVADO</v>
      </c>
      <c r="AA32" s="89"/>
    </row>
    <row r="33" customFormat="false" ht="15.75" hidden="false" customHeight="true" outlineLevel="0" collapsed="false">
      <c r="A33" s="85"/>
      <c r="B33" s="85"/>
      <c r="C33" s="85"/>
      <c r="D33" s="85"/>
      <c r="E33" s="85"/>
      <c r="F33" s="85"/>
      <c r="G33" s="85"/>
      <c r="H33" s="85"/>
      <c r="I33" s="138" t="str">
        <f aca="false">IFERROR(VLOOKUP(TEXT(H33,"0"),IPRESS!$A$3:$B$212,2,0),"")</f>
        <v/>
      </c>
      <c r="J33" s="85"/>
      <c r="K33" s="138" t="str">
        <f aca="false">IFERROR(VLOOKUP(TEXT(O33,"0"),CONDUCTORES!$A$3:$G$54,7,0),"")</f>
        <v/>
      </c>
      <c r="L33" s="85"/>
      <c r="M33" s="85"/>
      <c r="N33" s="139" t="str">
        <f aca="false">IFERROR(IF(L33*M33=0,"",L33*M33),"")</f>
        <v/>
      </c>
      <c r="O33" s="85"/>
      <c r="P33" s="138" t="str">
        <f aca="false">IFERROR(VLOOKUP(TEXT(O33,"0"),CONDUCTORES!$A$3:$G$54,2,0),"")</f>
        <v/>
      </c>
      <c r="Q33" s="138" t="str">
        <f aca="false">IFERROR(VLOOKUP(TEXT(O33,"0"),CONDUCTORES!$A$3:$H$54,6,0),"")</f>
        <v/>
      </c>
      <c r="R33" s="85"/>
      <c r="S33" s="85"/>
      <c r="T33" s="85"/>
      <c r="U33" s="85"/>
      <c r="V33" s="85"/>
      <c r="W33" s="85"/>
      <c r="X33" s="85"/>
      <c r="Y33" s="85"/>
      <c r="Z33" s="41" t="str">
        <f aca="false">IF(AND(G33&lt;&gt;"",R33&lt;&gt;"",V33&lt;&gt;"",W33&lt;&gt;""),"COMPLETADO","OBSERVADO")</f>
        <v>OBSERVADO</v>
      </c>
      <c r="AA33" s="89"/>
    </row>
    <row r="34" customFormat="false" ht="15.75" hidden="false" customHeight="true" outlineLevel="0" collapsed="false">
      <c r="A34" s="140"/>
      <c r="B34" s="140"/>
      <c r="C34" s="140"/>
      <c r="D34" s="140"/>
      <c r="E34" s="140"/>
      <c r="F34" s="140"/>
      <c r="G34" s="140"/>
      <c r="H34" s="140"/>
      <c r="I34" s="138" t="str">
        <f aca="false">IFERROR(VLOOKUP(TEXT(H34,"0"),IPRESS!$A$3:$B$212,2,0),"")</f>
        <v/>
      </c>
      <c r="J34" s="140"/>
      <c r="K34" s="138" t="str">
        <f aca="false">IFERROR(VLOOKUP(TEXT(O34,"0"),CONDUCTORES!$A$3:$G$54,7,0),"")</f>
        <v/>
      </c>
      <c r="L34" s="140"/>
      <c r="M34" s="140"/>
      <c r="N34" s="139" t="str">
        <f aca="false">IFERROR(IF(L34*M34=0,"",L34*M34),"")</f>
        <v/>
      </c>
      <c r="O34" s="140"/>
      <c r="P34" s="138" t="str">
        <f aca="false">IFERROR(VLOOKUP(TEXT(O34,"0"),CONDUCTORES!$A$3:$G$54,2,0),"")</f>
        <v/>
      </c>
      <c r="Q34" s="138" t="str">
        <f aca="false">IFERROR(VLOOKUP(TEXT(O34,"0"),CONDUCTORES!$A$3:$H$54,6,0),"")</f>
        <v/>
      </c>
      <c r="R34" s="140"/>
      <c r="S34" s="140"/>
      <c r="T34" s="140"/>
      <c r="U34" s="140"/>
      <c r="V34" s="140"/>
      <c r="W34" s="140"/>
      <c r="X34" s="140"/>
      <c r="Y34" s="140"/>
      <c r="Z34" s="47" t="str">
        <f aca="false">IF(AND(G34&lt;&gt;"",R34&lt;&gt;"",V34&lt;&gt;"",W34&lt;&gt;""),"COMPLETADO","OBSERVADO")</f>
        <v>OBSERVADO</v>
      </c>
      <c r="AA34" s="89"/>
    </row>
    <row r="35" customFormat="false" ht="15.75" hidden="false" customHeight="true" outlineLevel="0" collapsed="false">
      <c r="A35" s="85"/>
      <c r="B35" s="85"/>
      <c r="C35" s="85"/>
      <c r="D35" s="85"/>
      <c r="E35" s="85"/>
      <c r="F35" s="85"/>
      <c r="G35" s="85"/>
      <c r="H35" s="85"/>
      <c r="I35" s="138" t="str">
        <f aca="false">IFERROR(VLOOKUP(TEXT(H35,"0"),IPRESS!$A$3:$B$212,2,0),"")</f>
        <v/>
      </c>
      <c r="J35" s="85"/>
      <c r="K35" s="138" t="str">
        <f aca="false">IFERROR(VLOOKUP(TEXT(O35,"0"),CONDUCTORES!$A$3:$G$54,7,0),"")</f>
        <v/>
      </c>
      <c r="L35" s="85"/>
      <c r="M35" s="85"/>
      <c r="N35" s="139" t="str">
        <f aca="false">IFERROR(IF(L35*M35=0,"",L35*M35),"")</f>
        <v/>
      </c>
      <c r="O35" s="85"/>
      <c r="P35" s="138" t="str">
        <f aca="false">IFERROR(VLOOKUP(TEXT(O35,"0"),CONDUCTORES!$A$3:$G$54,2,0),"")</f>
        <v/>
      </c>
      <c r="Q35" s="138" t="str">
        <f aca="false">IFERROR(VLOOKUP(TEXT(O35,"0"),CONDUCTORES!$A$3:$H$54,6,0),"")</f>
        <v/>
      </c>
      <c r="R35" s="85"/>
      <c r="S35" s="85"/>
      <c r="T35" s="85"/>
      <c r="U35" s="85"/>
      <c r="V35" s="85"/>
      <c r="W35" s="85"/>
      <c r="X35" s="85"/>
      <c r="Y35" s="85"/>
      <c r="Z35" s="41" t="str">
        <f aca="false">IF(AND(G35&lt;&gt;"",R35&lt;&gt;"",V35&lt;&gt;"",W35&lt;&gt;""),"COMPLETADO","OBSERVADO")</f>
        <v>OBSERVADO</v>
      </c>
      <c r="AA35" s="89"/>
    </row>
    <row r="36" customFormat="false" ht="15.75" hidden="false" customHeight="true" outlineLevel="0" collapsed="false">
      <c r="A36" s="140"/>
      <c r="B36" s="140"/>
      <c r="C36" s="140"/>
      <c r="D36" s="140"/>
      <c r="E36" s="140"/>
      <c r="F36" s="140"/>
      <c r="G36" s="140"/>
      <c r="H36" s="140"/>
      <c r="I36" s="138" t="str">
        <f aca="false">IFERROR(VLOOKUP(TEXT(H36,"0"),IPRESS!$A$3:$B$212,2,0),"")</f>
        <v/>
      </c>
      <c r="J36" s="140"/>
      <c r="K36" s="138" t="str">
        <f aca="false">IFERROR(VLOOKUP(TEXT(O36,"0"),CONDUCTORES!$A$3:$G$54,7,0),"")</f>
        <v/>
      </c>
      <c r="L36" s="140"/>
      <c r="M36" s="140"/>
      <c r="N36" s="139" t="str">
        <f aca="false">IFERROR(IF(L36*M36=0,"",L36*M36),"")</f>
        <v/>
      </c>
      <c r="O36" s="140"/>
      <c r="P36" s="138" t="str">
        <f aca="false">IFERROR(VLOOKUP(TEXT(O36,"0"),CONDUCTORES!$A$3:$G$54,2,0),"")</f>
        <v/>
      </c>
      <c r="Q36" s="138" t="str">
        <f aca="false">IFERROR(VLOOKUP(TEXT(O36,"0"),CONDUCTORES!$A$3:$H$54,6,0),"")</f>
        <v/>
      </c>
      <c r="R36" s="140"/>
      <c r="S36" s="140"/>
      <c r="T36" s="140"/>
      <c r="U36" s="140"/>
      <c r="V36" s="140"/>
      <c r="W36" s="140"/>
      <c r="X36" s="140"/>
      <c r="Y36" s="140"/>
      <c r="Z36" s="47" t="str">
        <f aca="false">IF(AND(G36&lt;&gt;"",R36&lt;&gt;"",V36&lt;&gt;"",W36&lt;&gt;""),"COMPLETADO","OBSERVADO")</f>
        <v>OBSERVADO</v>
      </c>
      <c r="AA36" s="89"/>
    </row>
    <row r="37" customFormat="false" ht="15.75" hidden="false" customHeight="true" outlineLevel="0" collapsed="false">
      <c r="A37" s="85"/>
      <c r="B37" s="85"/>
      <c r="C37" s="85"/>
      <c r="D37" s="85"/>
      <c r="E37" s="85"/>
      <c r="F37" s="85"/>
      <c r="G37" s="85"/>
      <c r="H37" s="85"/>
      <c r="I37" s="138" t="str">
        <f aca="false">IFERROR(VLOOKUP(TEXT(H37,"0"),IPRESS!$A$3:$B$212,2,0),"")</f>
        <v/>
      </c>
      <c r="J37" s="85"/>
      <c r="K37" s="138" t="str">
        <f aca="false">IFERROR(VLOOKUP(TEXT(O37,"0"),CONDUCTORES!$A$3:$G$54,7,0),"")</f>
        <v/>
      </c>
      <c r="L37" s="85"/>
      <c r="M37" s="85"/>
      <c r="N37" s="139" t="str">
        <f aca="false">IFERROR(IF(L37*M37=0,"",L37*M37),"")</f>
        <v/>
      </c>
      <c r="O37" s="85"/>
      <c r="P37" s="138" t="str">
        <f aca="false">IFERROR(VLOOKUP(TEXT(O37,"0"),CONDUCTORES!$A$3:$G$54,2,0),"")</f>
        <v/>
      </c>
      <c r="Q37" s="138" t="str">
        <f aca="false">IFERROR(VLOOKUP(TEXT(O37,"0"),CONDUCTORES!$A$3:$H$54,6,0),"")</f>
        <v/>
      </c>
      <c r="R37" s="85"/>
      <c r="S37" s="85"/>
      <c r="T37" s="85"/>
      <c r="U37" s="85"/>
      <c r="V37" s="85"/>
      <c r="W37" s="85"/>
      <c r="X37" s="85"/>
      <c r="Y37" s="85"/>
      <c r="Z37" s="41" t="str">
        <f aca="false">IF(AND(G37&lt;&gt;"",R37&lt;&gt;"",V37&lt;&gt;"",W37&lt;&gt;""),"COMPLETADO","OBSERVADO")</f>
        <v>OBSERVADO</v>
      </c>
      <c r="AA37" s="89"/>
    </row>
    <row r="38" customFormat="false" ht="15.75" hidden="false" customHeight="true" outlineLevel="0" collapsed="false">
      <c r="A38" s="140"/>
      <c r="B38" s="140"/>
      <c r="C38" s="140"/>
      <c r="D38" s="140"/>
      <c r="E38" s="140"/>
      <c r="F38" s="140"/>
      <c r="G38" s="140"/>
      <c r="H38" s="140"/>
      <c r="I38" s="138" t="str">
        <f aca="false">IFERROR(VLOOKUP(TEXT(H38,"0"),IPRESS!$A$3:$B$212,2,0),"")</f>
        <v/>
      </c>
      <c r="J38" s="140"/>
      <c r="K38" s="138" t="str">
        <f aca="false">IFERROR(VLOOKUP(TEXT(O38,"0"),CONDUCTORES!$A$3:$G$54,7,0),"")</f>
        <v/>
      </c>
      <c r="L38" s="140"/>
      <c r="M38" s="140"/>
      <c r="N38" s="139" t="str">
        <f aca="false">IFERROR(IF(L38*M38=0,"",L38*M38),"")</f>
        <v/>
      </c>
      <c r="O38" s="140"/>
      <c r="P38" s="138" t="str">
        <f aca="false">IFERROR(VLOOKUP(TEXT(O38,"0"),CONDUCTORES!$A$3:$G$54,2,0),"")</f>
        <v/>
      </c>
      <c r="Q38" s="138" t="str">
        <f aca="false">IFERROR(VLOOKUP(TEXT(O38,"0"),CONDUCTORES!$A$3:$H$54,6,0),"")</f>
        <v/>
      </c>
      <c r="R38" s="140"/>
      <c r="S38" s="140"/>
      <c r="T38" s="140"/>
      <c r="U38" s="140"/>
      <c r="V38" s="140"/>
      <c r="W38" s="140"/>
      <c r="X38" s="140"/>
      <c r="Y38" s="140"/>
      <c r="Z38" s="47" t="str">
        <f aca="false">IF(AND(G38&lt;&gt;"",R38&lt;&gt;"",V38&lt;&gt;"",W38&lt;&gt;""),"COMPLETADO","OBSERVADO")</f>
        <v>OBSERVADO</v>
      </c>
      <c r="AA38" s="89"/>
    </row>
    <row r="39" customFormat="false" ht="15.75" hidden="false" customHeight="true" outlineLevel="0" collapsed="false">
      <c r="A39" s="85"/>
      <c r="B39" s="85"/>
      <c r="C39" s="85"/>
      <c r="D39" s="85"/>
      <c r="E39" s="85"/>
      <c r="F39" s="85"/>
      <c r="G39" s="85"/>
      <c r="H39" s="85"/>
      <c r="I39" s="138" t="str">
        <f aca="false">IFERROR(VLOOKUP(TEXT(H39,"0"),IPRESS!$A$3:$B$212,2,0),"")</f>
        <v/>
      </c>
      <c r="J39" s="85"/>
      <c r="K39" s="138" t="str">
        <f aca="false">IFERROR(VLOOKUP(TEXT(O39,"0"),CONDUCTORES!$A$3:$G$54,7,0),"")</f>
        <v/>
      </c>
      <c r="L39" s="85"/>
      <c r="M39" s="85"/>
      <c r="N39" s="139" t="str">
        <f aca="false">IFERROR(IF(L39*M39=0,"",L39*M39),"")</f>
        <v/>
      </c>
      <c r="O39" s="85"/>
      <c r="P39" s="138" t="str">
        <f aca="false">IFERROR(VLOOKUP(TEXT(O39,"0"),CONDUCTORES!$A$3:$G$54,2,0),"")</f>
        <v/>
      </c>
      <c r="Q39" s="138" t="str">
        <f aca="false">IFERROR(VLOOKUP(TEXT(O39,"0"),CONDUCTORES!$A$3:$H$54,6,0),"")</f>
        <v/>
      </c>
      <c r="R39" s="85"/>
      <c r="S39" s="85"/>
      <c r="T39" s="85"/>
      <c r="U39" s="85"/>
      <c r="V39" s="85"/>
      <c r="W39" s="85"/>
      <c r="X39" s="85"/>
      <c r="Y39" s="85"/>
      <c r="Z39" s="41" t="str">
        <f aca="false">IF(AND(G39&lt;&gt;"",R39&lt;&gt;"",V39&lt;&gt;"",W39&lt;&gt;""),"COMPLETADO","OBSERVADO")</f>
        <v>OBSERVADO</v>
      </c>
      <c r="AA39" s="89"/>
    </row>
    <row r="40" customFormat="false" ht="15.75" hidden="false" customHeight="true" outlineLevel="0" collapsed="false">
      <c r="A40" s="140"/>
      <c r="B40" s="140"/>
      <c r="C40" s="140"/>
      <c r="D40" s="140"/>
      <c r="E40" s="140"/>
      <c r="F40" s="140"/>
      <c r="G40" s="140"/>
      <c r="H40" s="140"/>
      <c r="I40" s="138" t="str">
        <f aca="false">IFERROR(VLOOKUP(TEXT(H40,"0"),IPRESS!$A$3:$B$212,2,0),"")</f>
        <v/>
      </c>
      <c r="J40" s="140"/>
      <c r="K40" s="138" t="str">
        <f aca="false">IFERROR(VLOOKUP(TEXT(O40,"0"),CONDUCTORES!$A$3:$G$54,7,0),"")</f>
        <v/>
      </c>
      <c r="L40" s="140"/>
      <c r="M40" s="140"/>
      <c r="N40" s="139" t="str">
        <f aca="false">IFERROR(IF(L40*M40=0,"",L40*M40),"")</f>
        <v/>
      </c>
      <c r="O40" s="140"/>
      <c r="P40" s="138" t="str">
        <f aca="false">IFERROR(VLOOKUP(TEXT(O40,"0"),CONDUCTORES!$A$3:$G$54,2,0),"")</f>
        <v/>
      </c>
      <c r="Q40" s="138" t="str">
        <f aca="false">IFERROR(VLOOKUP(TEXT(O40,"0"),CONDUCTORES!$A$3:$H$54,6,0),"")</f>
        <v/>
      </c>
      <c r="R40" s="140"/>
      <c r="S40" s="140"/>
      <c r="T40" s="140"/>
      <c r="U40" s="140"/>
      <c r="V40" s="140"/>
      <c r="W40" s="140"/>
      <c r="X40" s="140"/>
      <c r="Y40" s="140"/>
      <c r="Z40" s="47" t="str">
        <f aca="false">IF(AND(G40&lt;&gt;"",R40&lt;&gt;"",V40&lt;&gt;"",W40&lt;&gt;""),"COMPLETADO","OBSERVADO")</f>
        <v>OBSERVADO</v>
      </c>
      <c r="AA40" s="89"/>
    </row>
    <row r="41" customFormat="false" ht="15.75" hidden="false" customHeight="true" outlineLevel="0" collapsed="false">
      <c r="A41" s="85"/>
      <c r="B41" s="85"/>
      <c r="C41" s="85"/>
      <c r="D41" s="85"/>
      <c r="E41" s="85"/>
      <c r="F41" s="85"/>
      <c r="G41" s="85"/>
      <c r="H41" s="85"/>
      <c r="I41" s="138" t="str">
        <f aca="false">IFERROR(VLOOKUP(TEXT(H41,"0"),IPRESS!$A$3:$B$212,2,0),"")</f>
        <v/>
      </c>
      <c r="J41" s="85"/>
      <c r="K41" s="138" t="str">
        <f aca="false">IFERROR(VLOOKUP(TEXT(O41,"0"),CONDUCTORES!$A$3:$G$54,7,0),"")</f>
        <v/>
      </c>
      <c r="L41" s="85"/>
      <c r="M41" s="85"/>
      <c r="N41" s="139" t="str">
        <f aca="false">IFERROR(IF(L41*M41=0,"",L41*M41),"")</f>
        <v/>
      </c>
      <c r="O41" s="85"/>
      <c r="P41" s="138" t="str">
        <f aca="false">IFERROR(VLOOKUP(TEXT(O41,"0"),CONDUCTORES!$A$3:$G$54,2,0),"")</f>
        <v/>
      </c>
      <c r="Q41" s="138" t="str">
        <f aca="false">IFERROR(VLOOKUP(TEXT(O41,"0"),CONDUCTORES!$A$3:$H$54,6,0),"")</f>
        <v/>
      </c>
      <c r="R41" s="85"/>
      <c r="S41" s="85"/>
      <c r="T41" s="85"/>
      <c r="U41" s="85"/>
      <c r="V41" s="85"/>
      <c r="W41" s="85"/>
      <c r="X41" s="85"/>
      <c r="Y41" s="85"/>
      <c r="Z41" s="41" t="str">
        <f aca="false">IF(AND(G41&lt;&gt;"",R41&lt;&gt;"",V41&lt;&gt;"",W41&lt;&gt;""),"COMPLETADO","OBSERVADO")</f>
        <v>OBSERVADO</v>
      </c>
      <c r="AA41" s="89"/>
    </row>
    <row r="42" customFormat="false" ht="15.75" hidden="false" customHeight="true" outlineLevel="0" collapsed="false">
      <c r="A42" s="140"/>
      <c r="B42" s="140"/>
      <c r="C42" s="140"/>
      <c r="D42" s="140"/>
      <c r="E42" s="140"/>
      <c r="F42" s="140"/>
      <c r="G42" s="140"/>
      <c r="H42" s="140"/>
      <c r="I42" s="138" t="str">
        <f aca="false">IFERROR(VLOOKUP(TEXT(H42,"0"),IPRESS!$A$3:$B$212,2,0),"")</f>
        <v/>
      </c>
      <c r="J42" s="140"/>
      <c r="K42" s="138" t="str">
        <f aca="false">IFERROR(VLOOKUP(TEXT(O42,"0"),CONDUCTORES!$A$3:$G$54,7,0),"")</f>
        <v/>
      </c>
      <c r="L42" s="140"/>
      <c r="M42" s="140"/>
      <c r="N42" s="139" t="str">
        <f aca="false">IFERROR(IF(L42*M42=0,"",L42*M42),"")</f>
        <v/>
      </c>
      <c r="O42" s="140"/>
      <c r="P42" s="138" t="str">
        <f aca="false">IFERROR(VLOOKUP(TEXT(O42,"0"),CONDUCTORES!$A$3:$G$54,2,0),"")</f>
        <v/>
      </c>
      <c r="Q42" s="138" t="str">
        <f aca="false">IFERROR(VLOOKUP(TEXT(O42,"0"),CONDUCTORES!$A$3:$H$54,6,0),"")</f>
        <v/>
      </c>
      <c r="R42" s="140"/>
      <c r="S42" s="140"/>
      <c r="T42" s="140"/>
      <c r="U42" s="140"/>
      <c r="V42" s="140"/>
      <c r="W42" s="140"/>
      <c r="X42" s="140"/>
      <c r="Y42" s="140"/>
      <c r="Z42" s="47" t="str">
        <f aca="false">IF(AND(G42&lt;&gt;"",R42&lt;&gt;"",V42&lt;&gt;"",W42&lt;&gt;""),"COMPLETADO","OBSERVADO")</f>
        <v>OBSERVADO</v>
      </c>
      <c r="AA42" s="89"/>
    </row>
    <row r="43" customFormat="false" ht="15.75" hidden="false" customHeight="true" outlineLevel="0" collapsed="false">
      <c r="A43" s="85"/>
      <c r="B43" s="85"/>
      <c r="C43" s="85"/>
      <c r="D43" s="85"/>
      <c r="E43" s="85"/>
      <c r="F43" s="85"/>
      <c r="G43" s="85"/>
      <c r="H43" s="85"/>
      <c r="I43" s="138" t="str">
        <f aca="false">IFERROR(VLOOKUP(TEXT(H43,"0"),IPRESS!$A$3:$B$212,2,0),"")</f>
        <v/>
      </c>
      <c r="J43" s="85"/>
      <c r="K43" s="138" t="str">
        <f aca="false">IFERROR(VLOOKUP(TEXT(O43,"0"),CONDUCTORES!$A$3:$G$54,7,0),"")</f>
        <v/>
      </c>
      <c r="L43" s="85"/>
      <c r="M43" s="85"/>
      <c r="N43" s="139" t="str">
        <f aca="false">IFERROR(IF(L43*M43=0,"",L43*M43),"")</f>
        <v/>
      </c>
      <c r="O43" s="85"/>
      <c r="P43" s="138" t="str">
        <f aca="false">IFERROR(VLOOKUP(TEXT(O43,"0"),CONDUCTORES!$A$3:$G$54,2,0),"")</f>
        <v/>
      </c>
      <c r="Q43" s="138" t="str">
        <f aca="false">IFERROR(VLOOKUP(TEXT(O43,"0"),CONDUCTORES!$A$3:$H$54,6,0),"")</f>
        <v/>
      </c>
      <c r="R43" s="85"/>
      <c r="S43" s="85"/>
      <c r="T43" s="85"/>
      <c r="U43" s="85"/>
      <c r="V43" s="85"/>
      <c r="W43" s="85"/>
      <c r="X43" s="85"/>
      <c r="Y43" s="85"/>
      <c r="Z43" s="41" t="str">
        <f aca="false">IF(AND(G43&lt;&gt;"",R43&lt;&gt;"",V43&lt;&gt;"",W43&lt;&gt;""),"COMPLETADO","OBSERVADO")</f>
        <v>OBSERVADO</v>
      </c>
      <c r="AA43" s="89"/>
    </row>
    <row r="44" customFormat="false" ht="15.75" hidden="false" customHeight="true" outlineLevel="0" collapsed="false">
      <c r="A44" s="140"/>
      <c r="B44" s="140"/>
      <c r="C44" s="140"/>
      <c r="D44" s="140"/>
      <c r="E44" s="140"/>
      <c r="F44" s="140"/>
      <c r="G44" s="140"/>
      <c r="H44" s="140"/>
      <c r="I44" s="138" t="str">
        <f aca="false">IFERROR(VLOOKUP(TEXT(H44,"0"),IPRESS!$A$3:$B$212,2,0),"")</f>
        <v/>
      </c>
      <c r="J44" s="140"/>
      <c r="K44" s="138" t="str">
        <f aca="false">IFERROR(VLOOKUP(TEXT(O44,"0"),CONDUCTORES!$A$3:$G$54,7,0),"")</f>
        <v/>
      </c>
      <c r="L44" s="140"/>
      <c r="M44" s="140"/>
      <c r="N44" s="139" t="str">
        <f aca="false">IFERROR(IF(L44*M44=0,"",L44*M44),"")</f>
        <v/>
      </c>
      <c r="O44" s="140"/>
      <c r="P44" s="138" t="str">
        <f aca="false">IFERROR(VLOOKUP(TEXT(O44,"0"),CONDUCTORES!$A$3:$G$54,2,0),"")</f>
        <v/>
      </c>
      <c r="Q44" s="138" t="str">
        <f aca="false">IFERROR(VLOOKUP(TEXT(O44,"0"),CONDUCTORES!$A$3:$H$54,6,0),"")</f>
        <v/>
      </c>
      <c r="R44" s="140"/>
      <c r="S44" s="140"/>
      <c r="T44" s="140"/>
      <c r="U44" s="140"/>
      <c r="V44" s="140"/>
      <c r="W44" s="140"/>
      <c r="X44" s="140"/>
      <c r="Y44" s="140"/>
      <c r="Z44" s="47" t="str">
        <f aca="false">IF(AND(G44&lt;&gt;"",R44&lt;&gt;"",V44&lt;&gt;"",W44&lt;&gt;""),"COMPLETADO","OBSERVADO")</f>
        <v>OBSERVADO</v>
      </c>
      <c r="AA44" s="89"/>
    </row>
    <row r="45" customFormat="false" ht="15.75" hidden="false" customHeight="true" outlineLevel="0" collapsed="false">
      <c r="A45" s="85"/>
      <c r="B45" s="85"/>
      <c r="C45" s="85"/>
      <c r="D45" s="85"/>
      <c r="E45" s="85"/>
      <c r="F45" s="85"/>
      <c r="G45" s="85"/>
      <c r="H45" s="85"/>
      <c r="I45" s="138" t="str">
        <f aca="false">IFERROR(VLOOKUP(TEXT(H45,"0"),IPRESS!$A$3:$B$212,2,0),"")</f>
        <v/>
      </c>
      <c r="J45" s="85"/>
      <c r="K45" s="138" t="str">
        <f aca="false">IFERROR(VLOOKUP(TEXT(O45,"0"),CONDUCTORES!$A$3:$G$54,7,0),"")</f>
        <v/>
      </c>
      <c r="L45" s="85"/>
      <c r="M45" s="85"/>
      <c r="N45" s="139" t="str">
        <f aca="false">IFERROR(IF(L45*M45=0,"",L45*M45),"")</f>
        <v/>
      </c>
      <c r="O45" s="85"/>
      <c r="P45" s="138" t="str">
        <f aca="false">IFERROR(VLOOKUP(TEXT(O45,"0"),CONDUCTORES!$A$3:$G$54,2,0),"")</f>
        <v/>
      </c>
      <c r="Q45" s="138" t="str">
        <f aca="false">IFERROR(VLOOKUP(TEXT(O45,"0"),CONDUCTORES!$A$3:$H$54,6,0),"")</f>
        <v/>
      </c>
      <c r="R45" s="85"/>
      <c r="S45" s="85"/>
      <c r="T45" s="85"/>
      <c r="U45" s="85"/>
      <c r="V45" s="85"/>
      <c r="W45" s="85"/>
      <c r="X45" s="85"/>
      <c r="Y45" s="85"/>
      <c r="Z45" s="41" t="str">
        <f aca="false">IF(AND(G45&lt;&gt;"",R45&lt;&gt;"",V45&lt;&gt;"",W45&lt;&gt;""),"COMPLETADO","OBSERVADO")</f>
        <v>OBSERVADO</v>
      </c>
      <c r="AA45" s="89"/>
    </row>
    <row r="46" customFormat="false" ht="15.75" hidden="false" customHeight="true" outlineLevel="0" collapsed="false">
      <c r="A46" s="140"/>
      <c r="B46" s="140"/>
      <c r="C46" s="140"/>
      <c r="D46" s="140"/>
      <c r="E46" s="140"/>
      <c r="F46" s="140"/>
      <c r="G46" s="140"/>
      <c r="H46" s="140"/>
      <c r="I46" s="138" t="str">
        <f aca="false">IFERROR(VLOOKUP(TEXT(H46,"0"),IPRESS!$A$3:$B$212,2,0),"")</f>
        <v/>
      </c>
      <c r="J46" s="140"/>
      <c r="K46" s="138" t="str">
        <f aca="false">IFERROR(VLOOKUP(TEXT(O46,"0"),CONDUCTORES!$A$3:$G$54,7,0),"")</f>
        <v/>
      </c>
      <c r="L46" s="140"/>
      <c r="M46" s="140"/>
      <c r="N46" s="139" t="str">
        <f aca="false">IFERROR(IF(L46*M46=0,"",L46*M46),"")</f>
        <v/>
      </c>
      <c r="O46" s="140"/>
      <c r="P46" s="138" t="str">
        <f aca="false">IFERROR(VLOOKUP(TEXT(O46,"0"),CONDUCTORES!$A$3:$G$54,2,0),"")</f>
        <v/>
      </c>
      <c r="Q46" s="138" t="str">
        <f aca="false">IFERROR(VLOOKUP(TEXT(O46,"0"),CONDUCTORES!$A$3:$H$54,6,0),"")</f>
        <v/>
      </c>
      <c r="R46" s="140"/>
      <c r="S46" s="140"/>
      <c r="T46" s="140"/>
      <c r="U46" s="140"/>
      <c r="V46" s="140"/>
      <c r="W46" s="140"/>
      <c r="X46" s="140"/>
      <c r="Y46" s="140"/>
      <c r="Z46" s="47" t="str">
        <f aca="false">IF(AND(G46&lt;&gt;"",R46&lt;&gt;"",V46&lt;&gt;"",W46&lt;&gt;""),"COMPLETADO","OBSERVADO")</f>
        <v>OBSERVADO</v>
      </c>
      <c r="AA46" s="89"/>
    </row>
    <row r="47" customFormat="false" ht="15.75" hidden="false" customHeight="true" outlineLevel="0" collapsed="false">
      <c r="A47" s="85"/>
      <c r="B47" s="85"/>
      <c r="C47" s="85"/>
      <c r="D47" s="85"/>
      <c r="E47" s="85"/>
      <c r="F47" s="85"/>
      <c r="G47" s="85"/>
      <c r="H47" s="85"/>
      <c r="I47" s="138" t="str">
        <f aca="false">IFERROR(VLOOKUP(TEXT(H47,"0"),IPRESS!$A$3:$B$212,2,0),"")</f>
        <v/>
      </c>
      <c r="J47" s="85"/>
      <c r="K47" s="138" t="str">
        <f aca="false">IFERROR(VLOOKUP(TEXT(O47,"0"),CONDUCTORES!$A$3:$G$54,7,0),"")</f>
        <v/>
      </c>
      <c r="L47" s="85"/>
      <c r="M47" s="85"/>
      <c r="N47" s="139" t="str">
        <f aca="false">IFERROR(IF(L47*M47=0,"",L47*M47),"")</f>
        <v/>
      </c>
      <c r="O47" s="85"/>
      <c r="P47" s="138" t="str">
        <f aca="false">IFERROR(VLOOKUP(TEXT(O47,"0"),CONDUCTORES!$A$3:$G$54,2,0),"")</f>
        <v/>
      </c>
      <c r="Q47" s="138" t="str">
        <f aca="false">IFERROR(VLOOKUP(TEXT(O47,"0"),CONDUCTORES!$A$3:$H$54,6,0),"")</f>
        <v/>
      </c>
      <c r="R47" s="85"/>
      <c r="S47" s="85"/>
      <c r="T47" s="85"/>
      <c r="U47" s="85"/>
      <c r="V47" s="85"/>
      <c r="W47" s="85"/>
      <c r="X47" s="85"/>
      <c r="Y47" s="85"/>
      <c r="Z47" s="41" t="str">
        <f aca="false">IF(AND(G47&lt;&gt;"",R47&lt;&gt;"",V47&lt;&gt;"",W47&lt;&gt;""),"COMPLETADO","OBSERVADO")</f>
        <v>OBSERVADO</v>
      </c>
      <c r="AA47" s="89"/>
    </row>
    <row r="48" customFormat="false" ht="15.75" hidden="false" customHeight="true" outlineLevel="0" collapsed="false">
      <c r="A48" s="140"/>
      <c r="B48" s="140"/>
      <c r="C48" s="140"/>
      <c r="D48" s="140"/>
      <c r="E48" s="140"/>
      <c r="F48" s="140"/>
      <c r="G48" s="140"/>
      <c r="H48" s="140"/>
      <c r="I48" s="138" t="str">
        <f aca="false">IFERROR(VLOOKUP(TEXT(H48,"0"),IPRESS!$A$3:$B$212,2,0),"")</f>
        <v/>
      </c>
      <c r="J48" s="140"/>
      <c r="K48" s="138" t="str">
        <f aca="false">IFERROR(VLOOKUP(TEXT(O48,"0"),CONDUCTORES!$A$3:$G$54,7,0),"")</f>
        <v/>
      </c>
      <c r="L48" s="140"/>
      <c r="M48" s="140"/>
      <c r="N48" s="139" t="str">
        <f aca="false">IFERROR(IF(L48*M48=0,"",L48*M48),"")</f>
        <v/>
      </c>
      <c r="O48" s="140"/>
      <c r="P48" s="138" t="str">
        <f aca="false">IFERROR(VLOOKUP(TEXT(O48,"0"),CONDUCTORES!$A$3:$G$54,2,0),"")</f>
        <v/>
      </c>
      <c r="Q48" s="138" t="str">
        <f aca="false">IFERROR(VLOOKUP(TEXT(O48,"0"),CONDUCTORES!$A$3:$H$54,6,0),"")</f>
        <v/>
      </c>
      <c r="R48" s="140"/>
      <c r="S48" s="140"/>
      <c r="T48" s="140"/>
      <c r="U48" s="140"/>
      <c r="V48" s="140"/>
      <c r="W48" s="140"/>
      <c r="X48" s="140"/>
      <c r="Y48" s="140"/>
      <c r="Z48" s="47" t="str">
        <f aca="false">IF(AND(G48&lt;&gt;"",R48&lt;&gt;"",V48&lt;&gt;"",W48&lt;&gt;""),"COMPLETADO","OBSERVADO")</f>
        <v>OBSERVADO</v>
      </c>
      <c r="AA48" s="89"/>
    </row>
    <row r="49" customFormat="false" ht="15.75" hidden="false" customHeight="true" outlineLevel="0" collapsed="false">
      <c r="A49" s="85"/>
      <c r="B49" s="85"/>
      <c r="C49" s="85"/>
      <c r="D49" s="85"/>
      <c r="E49" s="85"/>
      <c r="F49" s="85"/>
      <c r="G49" s="85"/>
      <c r="H49" s="85"/>
      <c r="I49" s="138" t="str">
        <f aca="false">IFERROR(VLOOKUP(TEXT(H49,"0"),IPRESS!$A$3:$B$212,2,0),"")</f>
        <v/>
      </c>
      <c r="J49" s="85"/>
      <c r="K49" s="138" t="str">
        <f aca="false">IFERROR(VLOOKUP(TEXT(O49,"0"),CONDUCTORES!$A$3:$G$54,7,0),"")</f>
        <v/>
      </c>
      <c r="L49" s="85"/>
      <c r="M49" s="85"/>
      <c r="N49" s="139" t="str">
        <f aca="false">IFERROR(IF(L49*M49=0,"",L49*M49),"")</f>
        <v/>
      </c>
      <c r="O49" s="85"/>
      <c r="P49" s="138" t="str">
        <f aca="false">IFERROR(VLOOKUP(TEXT(O49,"0"),CONDUCTORES!$A$3:$G$54,2,0),"")</f>
        <v/>
      </c>
      <c r="Q49" s="138" t="str">
        <f aca="false">IFERROR(VLOOKUP(TEXT(O49,"0"),CONDUCTORES!$A$3:$H$54,6,0),"")</f>
        <v/>
      </c>
      <c r="R49" s="85"/>
      <c r="S49" s="85"/>
      <c r="T49" s="85"/>
      <c r="U49" s="85"/>
      <c r="V49" s="85"/>
      <c r="W49" s="85"/>
      <c r="X49" s="85"/>
      <c r="Y49" s="85"/>
      <c r="Z49" s="41" t="str">
        <f aca="false">IF(AND(G49&lt;&gt;"",R49&lt;&gt;"",V49&lt;&gt;"",W49&lt;&gt;""),"COMPLETADO","OBSERVADO")</f>
        <v>OBSERVADO</v>
      </c>
      <c r="AA49" s="89"/>
    </row>
    <row r="50" customFormat="false" ht="15.75" hidden="false" customHeight="true" outlineLevel="0" collapsed="false">
      <c r="A50" s="140"/>
      <c r="B50" s="140"/>
      <c r="C50" s="140"/>
      <c r="D50" s="140"/>
      <c r="E50" s="140"/>
      <c r="F50" s="140"/>
      <c r="G50" s="140"/>
      <c r="H50" s="140"/>
      <c r="I50" s="138" t="str">
        <f aca="false">IFERROR(VLOOKUP(TEXT(H50,"0"),IPRESS!$A$3:$B$212,2,0),"")</f>
        <v/>
      </c>
      <c r="J50" s="140"/>
      <c r="K50" s="138" t="str">
        <f aca="false">IFERROR(VLOOKUP(TEXT(O50,"0"),CONDUCTORES!$A$3:$G$54,7,0),"")</f>
        <v/>
      </c>
      <c r="L50" s="140"/>
      <c r="M50" s="140"/>
      <c r="N50" s="139" t="str">
        <f aca="false">IFERROR(IF(L50*M50=0,"",L50*M50),"")</f>
        <v/>
      </c>
      <c r="O50" s="140"/>
      <c r="P50" s="138" t="str">
        <f aca="false">IFERROR(VLOOKUP(TEXT(O50,"0"),CONDUCTORES!$A$3:$G$54,2,0),"")</f>
        <v/>
      </c>
      <c r="Q50" s="138" t="str">
        <f aca="false">IFERROR(VLOOKUP(TEXT(O50,"0"),CONDUCTORES!$A$3:$H$54,6,0),"")</f>
        <v/>
      </c>
      <c r="R50" s="140"/>
      <c r="S50" s="140"/>
      <c r="T50" s="140"/>
      <c r="U50" s="140"/>
      <c r="V50" s="140"/>
      <c r="W50" s="140"/>
      <c r="X50" s="140"/>
      <c r="Y50" s="140"/>
      <c r="Z50" s="47" t="str">
        <f aca="false">IF(AND(G50&lt;&gt;"",R50&lt;&gt;"",V50&lt;&gt;"",W50&lt;&gt;""),"COMPLETADO","OBSERVADO")</f>
        <v>OBSERVADO</v>
      </c>
      <c r="AA50" s="89"/>
    </row>
    <row r="51" customFormat="false" ht="15.75" hidden="false" customHeight="true" outlineLevel="0" collapsed="false">
      <c r="A51" s="85"/>
      <c r="B51" s="85"/>
      <c r="C51" s="85"/>
      <c r="D51" s="85"/>
      <c r="E51" s="85"/>
      <c r="F51" s="85"/>
      <c r="G51" s="85"/>
      <c r="H51" s="85"/>
      <c r="I51" s="138" t="str">
        <f aca="false">IFERROR(VLOOKUP(TEXT(H51,"0"),IPRESS!$A$3:$B$212,2,0),"")</f>
        <v/>
      </c>
      <c r="J51" s="85"/>
      <c r="K51" s="138" t="str">
        <f aca="false">IFERROR(VLOOKUP(TEXT(O51,"0"),CONDUCTORES!$A$3:$G$54,7,0),"")</f>
        <v/>
      </c>
      <c r="L51" s="85"/>
      <c r="M51" s="85"/>
      <c r="N51" s="139" t="str">
        <f aca="false">IFERROR(IF(L51*M51=0,"",L51*M51),"")</f>
        <v/>
      </c>
      <c r="O51" s="85"/>
      <c r="P51" s="138" t="str">
        <f aca="false">IFERROR(VLOOKUP(TEXT(O51,"0"),CONDUCTORES!$A$3:$G$54,2,0),"")</f>
        <v/>
      </c>
      <c r="Q51" s="138" t="str">
        <f aca="false">IFERROR(VLOOKUP(TEXT(O51,"0"),CONDUCTORES!$A$3:$H$54,6,0),"")</f>
        <v/>
      </c>
      <c r="R51" s="85"/>
      <c r="S51" s="85"/>
      <c r="T51" s="85"/>
      <c r="U51" s="85"/>
      <c r="V51" s="85"/>
      <c r="W51" s="85"/>
      <c r="X51" s="85"/>
      <c r="Y51" s="85"/>
      <c r="Z51" s="41" t="str">
        <f aca="false">IF(AND(G51&lt;&gt;"",R51&lt;&gt;"",V51&lt;&gt;"",W51&lt;&gt;""),"COMPLETADO","OBSERVADO")</f>
        <v>OBSERVADO</v>
      </c>
      <c r="AA51" s="89"/>
    </row>
    <row r="52" customFormat="false" ht="15.75" hidden="false" customHeight="true" outlineLevel="0" collapsed="false">
      <c r="A52" s="140"/>
      <c r="B52" s="140"/>
      <c r="C52" s="140"/>
      <c r="D52" s="140"/>
      <c r="E52" s="140"/>
      <c r="F52" s="140"/>
      <c r="G52" s="140"/>
      <c r="H52" s="140"/>
      <c r="I52" s="138" t="str">
        <f aca="false">IFERROR(VLOOKUP(TEXT(H52,"0"),IPRESS!$A$3:$B$212,2,0),"")</f>
        <v/>
      </c>
      <c r="J52" s="140"/>
      <c r="K52" s="138" t="str">
        <f aca="false">IFERROR(VLOOKUP(TEXT(O52,"0"),CONDUCTORES!$A$3:$G$54,7,0),"")</f>
        <v/>
      </c>
      <c r="L52" s="140"/>
      <c r="M52" s="140"/>
      <c r="N52" s="139" t="str">
        <f aca="false">IFERROR(IF(L52*M52=0,"",L52*M52),"")</f>
        <v/>
      </c>
      <c r="O52" s="140"/>
      <c r="P52" s="138" t="str">
        <f aca="false">IFERROR(VLOOKUP(TEXT(O52,"0"),CONDUCTORES!$A$3:$G$54,2,0),"")</f>
        <v/>
      </c>
      <c r="Q52" s="138" t="str">
        <f aca="false">IFERROR(VLOOKUP(TEXT(O52,"0"),CONDUCTORES!$A$3:$H$54,6,0),"")</f>
        <v/>
      </c>
      <c r="R52" s="140"/>
      <c r="S52" s="140"/>
      <c r="T52" s="140"/>
      <c r="U52" s="140"/>
      <c r="V52" s="140"/>
      <c r="W52" s="140"/>
      <c r="X52" s="140"/>
      <c r="Y52" s="140"/>
      <c r="Z52" s="47" t="str">
        <f aca="false">IF(AND(G52&lt;&gt;"",R52&lt;&gt;"",V52&lt;&gt;"",W52&lt;&gt;""),"COMPLETADO","OBSERVADO")</f>
        <v>OBSERVADO</v>
      </c>
      <c r="AA52" s="89"/>
    </row>
    <row r="53" customFormat="false" ht="15.75" hidden="false" customHeight="true" outlineLevel="0" collapsed="false">
      <c r="A53" s="85"/>
      <c r="B53" s="85"/>
      <c r="C53" s="85"/>
      <c r="D53" s="85"/>
      <c r="E53" s="85"/>
      <c r="F53" s="85"/>
      <c r="G53" s="85"/>
      <c r="H53" s="85"/>
      <c r="I53" s="138" t="str">
        <f aca="false">IFERROR(VLOOKUP(TEXT(H53,"0"),IPRESS!$A$3:$B$212,2,0),"")</f>
        <v/>
      </c>
      <c r="J53" s="85"/>
      <c r="K53" s="138" t="str">
        <f aca="false">IFERROR(VLOOKUP(TEXT(O53,"0"),CONDUCTORES!$A$3:$G$54,7,0),"")</f>
        <v/>
      </c>
      <c r="L53" s="85"/>
      <c r="M53" s="85"/>
      <c r="N53" s="139" t="str">
        <f aca="false">IFERROR(IF(L53*M53=0,"",L53*M53),"")</f>
        <v/>
      </c>
      <c r="O53" s="85"/>
      <c r="P53" s="138" t="str">
        <f aca="false">IFERROR(VLOOKUP(TEXT(O53,"0"),CONDUCTORES!$A$3:$G$54,2,0),"")</f>
        <v/>
      </c>
      <c r="Q53" s="138" t="str">
        <f aca="false">IFERROR(VLOOKUP(TEXT(O53,"0"),CONDUCTORES!$A$3:$H$54,6,0),"")</f>
        <v/>
      </c>
      <c r="R53" s="85"/>
      <c r="S53" s="85"/>
      <c r="T53" s="85"/>
      <c r="U53" s="85"/>
      <c r="V53" s="85"/>
      <c r="W53" s="85"/>
      <c r="X53" s="85"/>
      <c r="Y53" s="85"/>
      <c r="Z53" s="41" t="str">
        <f aca="false">IF(AND(G53&lt;&gt;"",R53&lt;&gt;"",V53&lt;&gt;"",W53&lt;&gt;""),"COMPLETADO","OBSERVADO")</f>
        <v>OBSERVADO</v>
      </c>
      <c r="AA53" s="89"/>
    </row>
    <row r="54" customFormat="false" ht="15.75" hidden="false" customHeight="true" outlineLevel="0" collapsed="false">
      <c r="A54" s="140"/>
      <c r="B54" s="140"/>
      <c r="C54" s="140"/>
      <c r="D54" s="140"/>
      <c r="E54" s="140"/>
      <c r="F54" s="140"/>
      <c r="G54" s="140"/>
      <c r="H54" s="140"/>
      <c r="I54" s="138" t="str">
        <f aca="false">IFERROR(VLOOKUP(TEXT(H54,"0"),IPRESS!$A$3:$B$212,2,0),"")</f>
        <v/>
      </c>
      <c r="J54" s="140"/>
      <c r="K54" s="138" t="str">
        <f aca="false">IFERROR(VLOOKUP(TEXT(O54,"0"),CONDUCTORES!$A$3:$G$54,7,0),"")</f>
        <v/>
      </c>
      <c r="L54" s="140"/>
      <c r="M54" s="140"/>
      <c r="N54" s="139" t="str">
        <f aca="false">IFERROR(IF(L54*M54=0,"",L54*M54),"")</f>
        <v/>
      </c>
      <c r="O54" s="140"/>
      <c r="P54" s="138" t="str">
        <f aca="false">IFERROR(VLOOKUP(TEXT(O54,"0"),CONDUCTORES!$A$3:$G$54,2,0),"")</f>
        <v/>
      </c>
      <c r="Q54" s="138" t="str">
        <f aca="false">IFERROR(VLOOKUP(TEXT(O54,"0"),CONDUCTORES!$A$3:$H$54,6,0),"")</f>
        <v/>
      </c>
      <c r="R54" s="140"/>
      <c r="S54" s="140"/>
      <c r="T54" s="140"/>
      <c r="U54" s="140"/>
      <c r="V54" s="140"/>
      <c r="W54" s="140"/>
      <c r="X54" s="140"/>
      <c r="Y54" s="140"/>
      <c r="Z54" s="47" t="str">
        <f aca="false">IF(AND(G54&lt;&gt;"",R54&lt;&gt;"",V54&lt;&gt;"",W54&lt;&gt;""),"COMPLETADO","OBSERVADO")</f>
        <v>OBSERVADO</v>
      </c>
      <c r="AA54" s="89"/>
    </row>
    <row r="55" customFormat="false" ht="15.75" hidden="false" customHeight="true" outlineLevel="0" collapsed="false">
      <c r="A55" s="85"/>
      <c r="B55" s="85"/>
      <c r="C55" s="85"/>
      <c r="D55" s="85"/>
      <c r="E55" s="85"/>
      <c r="F55" s="85"/>
      <c r="G55" s="85"/>
      <c r="H55" s="85"/>
      <c r="I55" s="138" t="str">
        <f aca="false">IFERROR(VLOOKUP(TEXT(H55,"0"),IPRESS!$A$3:$B$212,2,0),"")</f>
        <v/>
      </c>
      <c r="J55" s="85"/>
      <c r="K55" s="138" t="str">
        <f aca="false">IFERROR(VLOOKUP(TEXT(O55,"0"),CONDUCTORES!$A$3:$G$54,7,0),"")</f>
        <v/>
      </c>
      <c r="L55" s="85"/>
      <c r="M55" s="85"/>
      <c r="N55" s="139" t="str">
        <f aca="false">IFERROR(IF(L55*M55=0,"",L55*M55),"")</f>
        <v/>
      </c>
      <c r="O55" s="85"/>
      <c r="P55" s="138" t="str">
        <f aca="false">IFERROR(VLOOKUP(TEXT(O55,"0"),CONDUCTORES!$A$3:$G$54,2,0),"")</f>
        <v/>
      </c>
      <c r="Q55" s="138" t="str">
        <f aca="false">IFERROR(VLOOKUP(TEXT(O55,"0"),CONDUCTORES!$A$3:$H$54,6,0),"")</f>
        <v/>
      </c>
      <c r="R55" s="85"/>
      <c r="S55" s="85"/>
      <c r="T55" s="85"/>
      <c r="U55" s="85"/>
      <c r="V55" s="85"/>
      <c r="W55" s="85"/>
      <c r="X55" s="85"/>
      <c r="Y55" s="85"/>
      <c r="Z55" s="41" t="str">
        <f aca="false">IF(AND(G55&lt;&gt;"",R55&lt;&gt;"",V55&lt;&gt;"",W55&lt;&gt;""),"COMPLETADO","OBSERVADO")</f>
        <v>OBSERVADO</v>
      </c>
      <c r="AA55" s="89"/>
    </row>
    <row r="56" customFormat="false" ht="15.75" hidden="false" customHeight="true" outlineLevel="0" collapsed="false">
      <c r="A56" s="140"/>
      <c r="B56" s="140"/>
      <c r="C56" s="140"/>
      <c r="D56" s="140"/>
      <c r="E56" s="140"/>
      <c r="F56" s="140"/>
      <c r="G56" s="140"/>
      <c r="H56" s="140"/>
      <c r="I56" s="138" t="str">
        <f aca="false">IFERROR(VLOOKUP(TEXT(H56,"0"),IPRESS!$A$3:$B$212,2,0),"")</f>
        <v/>
      </c>
      <c r="J56" s="140"/>
      <c r="K56" s="138" t="str">
        <f aca="false">IFERROR(VLOOKUP(TEXT(O56,"0"),CONDUCTORES!$A$3:$G$54,7,0),"")</f>
        <v/>
      </c>
      <c r="L56" s="140"/>
      <c r="M56" s="140"/>
      <c r="N56" s="139" t="str">
        <f aca="false">IFERROR(IF(L56*M56=0,"",L56*M56),"")</f>
        <v/>
      </c>
      <c r="O56" s="140"/>
      <c r="P56" s="138" t="str">
        <f aca="false">IFERROR(VLOOKUP(TEXT(O56,"0"),CONDUCTORES!$A$3:$G$54,2,0),"")</f>
        <v/>
      </c>
      <c r="Q56" s="138" t="str">
        <f aca="false">IFERROR(VLOOKUP(TEXT(O56,"0"),CONDUCTORES!$A$3:$H$54,6,0),"")</f>
        <v/>
      </c>
      <c r="R56" s="140"/>
      <c r="S56" s="140"/>
      <c r="T56" s="140"/>
      <c r="U56" s="140"/>
      <c r="V56" s="140"/>
      <c r="W56" s="140"/>
      <c r="X56" s="140"/>
      <c r="Y56" s="140"/>
      <c r="Z56" s="47" t="str">
        <f aca="false">IF(AND(G56&lt;&gt;"",R56&lt;&gt;"",V56&lt;&gt;"",W56&lt;&gt;""),"COMPLETADO","OBSERVADO")</f>
        <v>OBSERVADO</v>
      </c>
      <c r="AA56" s="89"/>
    </row>
    <row r="57" customFormat="false" ht="15.75" hidden="false" customHeight="true" outlineLevel="0" collapsed="false">
      <c r="A57" s="85"/>
      <c r="B57" s="85"/>
      <c r="C57" s="85"/>
      <c r="D57" s="85"/>
      <c r="E57" s="85"/>
      <c r="F57" s="85"/>
      <c r="G57" s="85"/>
      <c r="H57" s="85"/>
      <c r="I57" s="138" t="str">
        <f aca="false">IFERROR(VLOOKUP(TEXT(H57,"0"),IPRESS!$A$3:$B$212,2,0),"")</f>
        <v/>
      </c>
      <c r="J57" s="85"/>
      <c r="K57" s="138" t="str">
        <f aca="false">IFERROR(VLOOKUP(TEXT(O57,"0"),CONDUCTORES!$A$3:$G$54,7,0),"")</f>
        <v/>
      </c>
      <c r="L57" s="85"/>
      <c r="M57" s="85"/>
      <c r="N57" s="139" t="str">
        <f aca="false">IFERROR(IF(L57*M57=0,"",L57*M57),"")</f>
        <v/>
      </c>
      <c r="O57" s="85"/>
      <c r="P57" s="138" t="str">
        <f aca="false">IFERROR(VLOOKUP(TEXT(O57,"0"),CONDUCTORES!$A$3:$G$54,2,0),"")</f>
        <v/>
      </c>
      <c r="Q57" s="138" t="str">
        <f aca="false">IFERROR(VLOOKUP(TEXT(O57,"0"),CONDUCTORES!$A$3:$H$54,6,0),"")</f>
        <v/>
      </c>
      <c r="R57" s="85"/>
      <c r="S57" s="85"/>
      <c r="T57" s="85"/>
      <c r="U57" s="85"/>
      <c r="V57" s="85"/>
      <c r="W57" s="85"/>
      <c r="X57" s="85"/>
      <c r="Y57" s="85"/>
      <c r="Z57" s="41" t="str">
        <f aca="false">IF(AND(G57&lt;&gt;"",R57&lt;&gt;"",V57&lt;&gt;"",W57&lt;&gt;""),"COMPLETADO","OBSERVADO")</f>
        <v>OBSERVADO</v>
      </c>
      <c r="AA57" s="89"/>
    </row>
    <row r="58" customFormat="false" ht="15.75" hidden="false" customHeight="true" outlineLevel="0" collapsed="false">
      <c r="A58" s="140"/>
      <c r="B58" s="140"/>
      <c r="C58" s="140"/>
      <c r="D58" s="140"/>
      <c r="E58" s="140"/>
      <c r="F58" s="140"/>
      <c r="G58" s="140"/>
      <c r="H58" s="140"/>
      <c r="I58" s="138" t="str">
        <f aca="false">IFERROR(VLOOKUP(TEXT(H58,"0"),IPRESS!$A$3:$B$212,2,0),"")</f>
        <v/>
      </c>
      <c r="J58" s="140"/>
      <c r="K58" s="138" t="str">
        <f aca="false">IFERROR(VLOOKUP(TEXT(O58,"0"),CONDUCTORES!$A$3:$G$54,7,0),"")</f>
        <v/>
      </c>
      <c r="L58" s="140"/>
      <c r="M58" s="140"/>
      <c r="N58" s="139" t="str">
        <f aca="false">IFERROR(IF(L58*M58=0,"",L58*M58),"")</f>
        <v/>
      </c>
      <c r="O58" s="140"/>
      <c r="P58" s="138" t="str">
        <f aca="false">IFERROR(VLOOKUP(TEXT(O58,"0"),CONDUCTORES!$A$3:$G$54,2,0),"")</f>
        <v/>
      </c>
      <c r="Q58" s="138" t="str">
        <f aca="false">IFERROR(VLOOKUP(TEXT(O58,"0"),CONDUCTORES!$A$3:$H$54,6,0),"")</f>
        <v/>
      </c>
      <c r="R58" s="140"/>
      <c r="S58" s="140"/>
      <c r="T58" s="140"/>
      <c r="U58" s="140"/>
      <c r="V58" s="140"/>
      <c r="W58" s="140"/>
      <c r="X58" s="140"/>
      <c r="Y58" s="140"/>
      <c r="Z58" s="47" t="str">
        <f aca="false">IF(AND(G58&lt;&gt;"",R58&lt;&gt;"",V58&lt;&gt;"",W58&lt;&gt;""),"COMPLETADO","OBSERVADO")</f>
        <v>OBSERVADO</v>
      </c>
      <c r="AA58" s="89"/>
    </row>
    <row r="59" customFormat="false" ht="15.75" hidden="false" customHeight="true" outlineLevel="0" collapsed="false">
      <c r="A59" s="85"/>
      <c r="B59" s="85"/>
      <c r="C59" s="85"/>
      <c r="D59" s="85"/>
      <c r="E59" s="85"/>
      <c r="F59" s="85"/>
      <c r="G59" s="85"/>
      <c r="H59" s="85"/>
      <c r="I59" s="138" t="str">
        <f aca="false">IFERROR(VLOOKUP(TEXT(H59,"0"),IPRESS!$A$3:$B$212,2,0),"")</f>
        <v/>
      </c>
      <c r="J59" s="85"/>
      <c r="K59" s="138" t="str">
        <f aca="false">IFERROR(VLOOKUP(TEXT(O59,"0"),CONDUCTORES!$A$3:$G$54,7,0),"")</f>
        <v/>
      </c>
      <c r="L59" s="85"/>
      <c r="M59" s="85"/>
      <c r="N59" s="139" t="str">
        <f aca="false">IFERROR(IF(L59*M59=0,"",L59*M59),"")</f>
        <v/>
      </c>
      <c r="O59" s="85"/>
      <c r="P59" s="138" t="str">
        <f aca="false">IFERROR(VLOOKUP(TEXT(O59,"0"),CONDUCTORES!$A$3:$G$54,2,0),"")</f>
        <v/>
      </c>
      <c r="Q59" s="138" t="str">
        <f aca="false">IFERROR(VLOOKUP(TEXT(O59,"0"),CONDUCTORES!$A$3:$H$54,6,0),"")</f>
        <v/>
      </c>
      <c r="R59" s="85"/>
      <c r="S59" s="85"/>
      <c r="T59" s="85"/>
      <c r="U59" s="85"/>
      <c r="V59" s="85"/>
      <c r="W59" s="85"/>
      <c r="X59" s="85"/>
      <c r="Y59" s="85"/>
      <c r="Z59" s="41" t="str">
        <f aca="false">IF(AND(G59&lt;&gt;"",R59&lt;&gt;"",V59&lt;&gt;"",W59&lt;&gt;""),"COMPLETADO","OBSERVADO")</f>
        <v>OBSERVADO</v>
      </c>
      <c r="AA59" s="89"/>
    </row>
    <row r="60" customFormat="false" ht="15.75" hidden="false" customHeight="true" outlineLevel="0" collapsed="false">
      <c r="A60" s="140"/>
      <c r="B60" s="140"/>
      <c r="C60" s="140"/>
      <c r="D60" s="140"/>
      <c r="E60" s="140"/>
      <c r="F60" s="140"/>
      <c r="G60" s="140"/>
      <c r="H60" s="140"/>
      <c r="I60" s="138" t="str">
        <f aca="false">IFERROR(VLOOKUP(TEXT(H60,"0"),IPRESS!$A$3:$B$212,2,0),"")</f>
        <v/>
      </c>
      <c r="J60" s="140"/>
      <c r="K60" s="138" t="str">
        <f aca="false">IFERROR(VLOOKUP(TEXT(O60,"0"),CONDUCTORES!$A$3:$G$54,7,0),"")</f>
        <v/>
      </c>
      <c r="L60" s="140"/>
      <c r="M60" s="140"/>
      <c r="N60" s="139" t="str">
        <f aca="false">IFERROR(IF(L60*M60=0,"",L60*M60),"")</f>
        <v/>
      </c>
      <c r="O60" s="140"/>
      <c r="P60" s="138" t="str">
        <f aca="false">IFERROR(VLOOKUP(TEXT(O60,"0"),CONDUCTORES!$A$3:$G$54,2,0),"")</f>
        <v/>
      </c>
      <c r="Q60" s="138" t="str">
        <f aca="false">IFERROR(VLOOKUP(TEXT(O60,"0"),CONDUCTORES!$A$3:$H$54,6,0),"")</f>
        <v/>
      </c>
      <c r="R60" s="140"/>
      <c r="S60" s="140"/>
      <c r="T60" s="140"/>
      <c r="U60" s="140"/>
      <c r="V60" s="140"/>
      <c r="W60" s="140"/>
      <c r="X60" s="140"/>
      <c r="Y60" s="140"/>
      <c r="Z60" s="47" t="str">
        <f aca="false">IF(AND(G60&lt;&gt;"",R60&lt;&gt;"",V60&lt;&gt;"",W60&lt;&gt;""),"COMPLETADO","OBSERVADO")</f>
        <v>OBSERVADO</v>
      </c>
      <c r="AA60" s="89"/>
    </row>
    <row r="61" customFormat="false" ht="15.75" hidden="false" customHeight="true" outlineLevel="0" collapsed="false">
      <c r="A61" s="85"/>
      <c r="B61" s="85"/>
      <c r="C61" s="85"/>
      <c r="D61" s="85"/>
      <c r="E61" s="85"/>
      <c r="F61" s="85"/>
      <c r="G61" s="85"/>
      <c r="H61" s="85"/>
      <c r="I61" s="138" t="str">
        <f aca="false">IFERROR(VLOOKUP(TEXT(H61,"0"),IPRESS!$A$3:$B$212,2,0),"")</f>
        <v/>
      </c>
      <c r="J61" s="85"/>
      <c r="K61" s="138" t="str">
        <f aca="false">IFERROR(VLOOKUP(TEXT(O61,"0"),CONDUCTORES!$A$3:$G$54,7,0),"")</f>
        <v/>
      </c>
      <c r="L61" s="85"/>
      <c r="M61" s="85"/>
      <c r="N61" s="139" t="str">
        <f aca="false">IFERROR(IF(L61*M61=0,"",L61*M61),"")</f>
        <v/>
      </c>
      <c r="O61" s="85"/>
      <c r="P61" s="138" t="str">
        <f aca="false">IFERROR(VLOOKUP(TEXT(O61,"0"),CONDUCTORES!$A$3:$G$54,2,0),"")</f>
        <v/>
      </c>
      <c r="Q61" s="138" t="str">
        <f aca="false">IFERROR(VLOOKUP(TEXT(O61,"0"),CONDUCTORES!$A$3:$H$54,6,0),"")</f>
        <v/>
      </c>
      <c r="R61" s="85"/>
      <c r="S61" s="85"/>
      <c r="T61" s="85"/>
      <c r="U61" s="85"/>
      <c r="V61" s="85"/>
      <c r="W61" s="85"/>
      <c r="X61" s="85"/>
      <c r="Y61" s="85"/>
      <c r="Z61" s="41" t="str">
        <f aca="false">IF(AND(G61&lt;&gt;"",R61&lt;&gt;"",V61&lt;&gt;"",W61&lt;&gt;""),"COMPLETADO","OBSERVADO")</f>
        <v>OBSERVADO</v>
      </c>
      <c r="AA61" s="89"/>
    </row>
    <row r="62" customFormat="false" ht="15.75" hidden="false" customHeight="true" outlineLevel="0" collapsed="false">
      <c r="A62" s="140"/>
      <c r="B62" s="140"/>
      <c r="C62" s="140"/>
      <c r="D62" s="140"/>
      <c r="E62" s="140"/>
      <c r="F62" s="140"/>
      <c r="G62" s="140"/>
      <c r="H62" s="140"/>
      <c r="I62" s="138" t="str">
        <f aca="false">IFERROR(VLOOKUP(TEXT(H62,"0"),IPRESS!$A$3:$B$212,2,0),"")</f>
        <v/>
      </c>
      <c r="J62" s="140"/>
      <c r="K62" s="138" t="str">
        <f aca="false">IFERROR(VLOOKUP(TEXT(O62,"0"),CONDUCTORES!$A$3:$G$54,7,0),"")</f>
        <v/>
      </c>
      <c r="L62" s="140"/>
      <c r="M62" s="140"/>
      <c r="N62" s="139" t="str">
        <f aca="false">IFERROR(IF(L62*M62=0,"",L62*M62),"")</f>
        <v/>
      </c>
      <c r="O62" s="140"/>
      <c r="P62" s="138" t="str">
        <f aca="false">IFERROR(VLOOKUP(TEXT(O62,"0"),CONDUCTORES!$A$3:$G$54,2,0),"")</f>
        <v/>
      </c>
      <c r="Q62" s="138" t="str">
        <f aca="false">IFERROR(VLOOKUP(TEXT(O62,"0"),CONDUCTORES!$A$3:$H$54,6,0),"")</f>
        <v/>
      </c>
      <c r="R62" s="140"/>
      <c r="S62" s="140"/>
      <c r="T62" s="140"/>
      <c r="U62" s="140"/>
      <c r="V62" s="140"/>
      <c r="W62" s="140"/>
      <c r="X62" s="140"/>
      <c r="Y62" s="140"/>
      <c r="Z62" s="47" t="str">
        <f aca="false">IF(AND(G62&lt;&gt;"",R62&lt;&gt;"",V62&lt;&gt;"",W62&lt;&gt;""),"COMPLETADO","OBSERVADO")</f>
        <v>OBSERVADO</v>
      </c>
      <c r="AA62" s="89"/>
    </row>
    <row r="63" customFormat="false" ht="15.75" hidden="false" customHeight="true" outlineLevel="0" collapsed="false">
      <c r="A63" s="85"/>
      <c r="B63" s="85"/>
      <c r="C63" s="85"/>
      <c r="D63" s="85"/>
      <c r="E63" s="85"/>
      <c r="F63" s="85"/>
      <c r="G63" s="85"/>
      <c r="H63" s="85"/>
      <c r="I63" s="138" t="str">
        <f aca="false">IFERROR(VLOOKUP(TEXT(H63,"0"),IPRESS!$A$3:$B$212,2,0),"")</f>
        <v/>
      </c>
      <c r="J63" s="85"/>
      <c r="K63" s="138" t="str">
        <f aca="false">IFERROR(VLOOKUP(TEXT(O63,"0"),CONDUCTORES!$A$3:$G$54,7,0),"")</f>
        <v/>
      </c>
      <c r="L63" s="85"/>
      <c r="M63" s="85"/>
      <c r="N63" s="139" t="str">
        <f aca="false">IFERROR(IF(L63*M63=0,"",L63*M63),"")</f>
        <v/>
      </c>
      <c r="O63" s="85"/>
      <c r="P63" s="138" t="str">
        <f aca="false">IFERROR(VLOOKUP(TEXT(O63,"0"),CONDUCTORES!$A$3:$G$54,2,0),"")</f>
        <v/>
      </c>
      <c r="Q63" s="138" t="str">
        <f aca="false">IFERROR(VLOOKUP(TEXT(O63,"0"),CONDUCTORES!$A$3:$H$54,6,0),"")</f>
        <v/>
      </c>
      <c r="R63" s="85"/>
      <c r="S63" s="85"/>
      <c r="T63" s="85"/>
      <c r="U63" s="85"/>
      <c r="V63" s="85"/>
      <c r="W63" s="85"/>
      <c r="X63" s="85"/>
      <c r="Y63" s="85"/>
      <c r="Z63" s="41" t="str">
        <f aca="false">IF(AND(G63&lt;&gt;"",R63&lt;&gt;"",V63&lt;&gt;"",W63&lt;&gt;""),"COMPLETADO","OBSERVADO")</f>
        <v>OBSERVADO</v>
      </c>
      <c r="AA63" s="89"/>
    </row>
    <row r="64" customFormat="false" ht="15.75" hidden="false" customHeight="true" outlineLevel="0" collapsed="false">
      <c r="A64" s="140"/>
      <c r="B64" s="140"/>
      <c r="C64" s="140"/>
      <c r="D64" s="140"/>
      <c r="E64" s="140"/>
      <c r="F64" s="140"/>
      <c r="G64" s="140"/>
      <c r="H64" s="140"/>
      <c r="I64" s="138" t="str">
        <f aca="false">IFERROR(VLOOKUP(TEXT(H64,"0"),IPRESS!$A$3:$B$212,2,0),"")</f>
        <v/>
      </c>
      <c r="J64" s="140"/>
      <c r="K64" s="138" t="str">
        <f aca="false">IFERROR(VLOOKUP(TEXT(O64,"0"),CONDUCTORES!$A$3:$G$54,7,0),"")</f>
        <v/>
      </c>
      <c r="L64" s="140"/>
      <c r="M64" s="140"/>
      <c r="N64" s="139" t="str">
        <f aca="false">IFERROR(IF(L64*M64=0,"",L64*M64),"")</f>
        <v/>
      </c>
      <c r="O64" s="140"/>
      <c r="P64" s="138" t="str">
        <f aca="false">IFERROR(VLOOKUP(TEXT(O64,"0"),CONDUCTORES!$A$3:$G$54,2,0),"")</f>
        <v/>
      </c>
      <c r="Q64" s="138" t="str">
        <f aca="false">IFERROR(VLOOKUP(TEXT(O64,"0"),CONDUCTORES!$A$3:$H$54,6,0),"")</f>
        <v/>
      </c>
      <c r="R64" s="140"/>
      <c r="S64" s="140"/>
      <c r="T64" s="140"/>
      <c r="U64" s="140"/>
      <c r="V64" s="140"/>
      <c r="W64" s="140"/>
      <c r="X64" s="140"/>
      <c r="Y64" s="140"/>
      <c r="Z64" s="47" t="str">
        <f aca="false">IF(AND(G64&lt;&gt;"",R64&lt;&gt;"",V64&lt;&gt;"",W64&lt;&gt;""),"COMPLETADO","OBSERVADO")</f>
        <v>OBSERVADO</v>
      </c>
      <c r="AA64" s="89"/>
    </row>
    <row r="65" customFormat="false" ht="15.75" hidden="false" customHeight="true" outlineLevel="0" collapsed="false">
      <c r="A65" s="85"/>
      <c r="B65" s="85"/>
      <c r="C65" s="85"/>
      <c r="D65" s="85"/>
      <c r="E65" s="85"/>
      <c r="F65" s="85"/>
      <c r="G65" s="85"/>
      <c r="H65" s="85"/>
      <c r="I65" s="138" t="str">
        <f aca="false">IFERROR(VLOOKUP(TEXT(H65,"0"),IPRESS!$A$3:$B$212,2,0),"")</f>
        <v/>
      </c>
      <c r="J65" s="85"/>
      <c r="K65" s="138" t="str">
        <f aca="false">IFERROR(VLOOKUP(TEXT(O65,"0"),CONDUCTORES!$A$3:$G$54,7,0),"")</f>
        <v/>
      </c>
      <c r="L65" s="85"/>
      <c r="M65" s="85"/>
      <c r="N65" s="139" t="str">
        <f aca="false">IFERROR(IF(L65*M65=0,"",L65*M65),"")</f>
        <v/>
      </c>
      <c r="O65" s="85"/>
      <c r="P65" s="138" t="str">
        <f aca="false">IFERROR(VLOOKUP(TEXT(O65,"0"),CONDUCTORES!$A$3:$G$54,2,0),"")</f>
        <v/>
      </c>
      <c r="Q65" s="138" t="str">
        <f aca="false">IFERROR(VLOOKUP(TEXT(O65,"0"),CONDUCTORES!$A$3:$H$54,6,0),"")</f>
        <v/>
      </c>
      <c r="R65" s="85"/>
      <c r="S65" s="85"/>
      <c r="T65" s="85"/>
      <c r="U65" s="85"/>
      <c r="V65" s="85"/>
      <c r="W65" s="85"/>
      <c r="X65" s="85"/>
      <c r="Y65" s="85"/>
      <c r="Z65" s="41" t="str">
        <f aca="false">IF(AND(G65&lt;&gt;"",R65&lt;&gt;"",V65&lt;&gt;"",W65&lt;&gt;""),"COMPLETADO","OBSERVADO")</f>
        <v>OBSERVADO</v>
      </c>
      <c r="AA65" s="89"/>
    </row>
    <row r="66" customFormat="false" ht="15.75" hidden="false" customHeight="true" outlineLevel="0" collapsed="false">
      <c r="A66" s="140"/>
      <c r="B66" s="140"/>
      <c r="C66" s="140"/>
      <c r="D66" s="140"/>
      <c r="E66" s="140"/>
      <c r="F66" s="140"/>
      <c r="G66" s="140"/>
      <c r="H66" s="140"/>
      <c r="I66" s="138" t="str">
        <f aca="false">IFERROR(VLOOKUP(TEXT(H66,"0"),IPRESS!$A$3:$B$212,2,0),"")</f>
        <v/>
      </c>
      <c r="J66" s="140"/>
      <c r="K66" s="138" t="str">
        <f aca="false">IFERROR(VLOOKUP(TEXT(O66,"0"),CONDUCTORES!$A$3:$G$54,7,0),"")</f>
        <v/>
      </c>
      <c r="L66" s="140"/>
      <c r="M66" s="140"/>
      <c r="N66" s="139" t="str">
        <f aca="false">IFERROR(IF(L66*M66=0,"",L66*M66),"")</f>
        <v/>
      </c>
      <c r="O66" s="140"/>
      <c r="P66" s="138" t="str">
        <f aca="false">IFERROR(VLOOKUP(TEXT(O66,"0"),CONDUCTORES!$A$3:$G$54,2,0),"")</f>
        <v/>
      </c>
      <c r="Q66" s="138" t="str">
        <f aca="false">IFERROR(VLOOKUP(TEXT(O66,"0"),CONDUCTORES!$A$3:$H$54,6,0),"")</f>
        <v/>
      </c>
      <c r="R66" s="140"/>
      <c r="S66" s="140"/>
      <c r="T66" s="140"/>
      <c r="U66" s="140"/>
      <c r="V66" s="140"/>
      <c r="W66" s="140"/>
      <c r="X66" s="140"/>
      <c r="Y66" s="140"/>
      <c r="Z66" s="47" t="str">
        <f aca="false">IF(AND(G66&lt;&gt;"",R66&lt;&gt;"",V66&lt;&gt;"",W66&lt;&gt;""),"COMPLETADO","OBSERVADO")</f>
        <v>OBSERVADO</v>
      </c>
      <c r="AA66" s="89"/>
    </row>
    <row r="67" customFormat="false" ht="15.75" hidden="false" customHeight="true" outlineLevel="0" collapsed="false">
      <c r="A67" s="85"/>
      <c r="B67" s="85"/>
      <c r="C67" s="85"/>
      <c r="D67" s="85"/>
      <c r="E67" s="85"/>
      <c r="F67" s="85"/>
      <c r="G67" s="85"/>
      <c r="H67" s="85"/>
      <c r="I67" s="138" t="str">
        <f aca="false">IFERROR(VLOOKUP(TEXT(H67,"0"),IPRESS!$A$3:$B$212,2,0),"")</f>
        <v/>
      </c>
      <c r="J67" s="85"/>
      <c r="K67" s="138" t="str">
        <f aca="false">IFERROR(VLOOKUP(TEXT(O67,"0"),CONDUCTORES!$A$3:$G$54,7,0),"")</f>
        <v/>
      </c>
      <c r="L67" s="85"/>
      <c r="M67" s="85"/>
      <c r="N67" s="139" t="str">
        <f aca="false">IFERROR(IF(L67*M67=0,"",L67*M67),"")</f>
        <v/>
      </c>
      <c r="O67" s="85"/>
      <c r="P67" s="138" t="str">
        <f aca="false">IFERROR(VLOOKUP(TEXT(O67,"0"),CONDUCTORES!$A$3:$G$54,2,0),"")</f>
        <v/>
      </c>
      <c r="Q67" s="138" t="str">
        <f aca="false">IFERROR(VLOOKUP(TEXT(O67,"0"),CONDUCTORES!$A$3:$H$54,6,0),"")</f>
        <v/>
      </c>
      <c r="R67" s="85"/>
      <c r="S67" s="85"/>
      <c r="T67" s="85"/>
      <c r="U67" s="85"/>
      <c r="V67" s="85"/>
      <c r="W67" s="85"/>
      <c r="X67" s="85"/>
      <c r="Y67" s="85"/>
      <c r="Z67" s="41" t="str">
        <f aca="false">IF(AND(G67&lt;&gt;"",R67&lt;&gt;"",V67&lt;&gt;"",W67&lt;&gt;""),"COMPLETADO","OBSERVADO")</f>
        <v>OBSERVADO</v>
      </c>
      <c r="AA67" s="89"/>
    </row>
    <row r="68" customFormat="false" ht="15.75" hidden="false" customHeight="true" outlineLevel="0" collapsed="false">
      <c r="A68" s="140"/>
      <c r="B68" s="140"/>
      <c r="C68" s="140"/>
      <c r="D68" s="140"/>
      <c r="E68" s="140"/>
      <c r="F68" s="140"/>
      <c r="G68" s="140"/>
      <c r="H68" s="140"/>
      <c r="I68" s="138" t="str">
        <f aca="false">IFERROR(VLOOKUP(TEXT(H68,"0"),IPRESS!$A$3:$B$212,2,0),"")</f>
        <v/>
      </c>
      <c r="J68" s="140"/>
      <c r="K68" s="138" t="str">
        <f aca="false">IFERROR(VLOOKUP(TEXT(O68,"0"),CONDUCTORES!$A$3:$G$54,7,0),"")</f>
        <v/>
      </c>
      <c r="L68" s="140"/>
      <c r="M68" s="140"/>
      <c r="N68" s="139" t="str">
        <f aca="false">IFERROR(IF(L68*M68=0,"",L68*M68),"")</f>
        <v/>
      </c>
      <c r="O68" s="140"/>
      <c r="P68" s="138" t="str">
        <f aca="false">IFERROR(VLOOKUP(TEXT(O68,"0"),CONDUCTORES!$A$3:$G$54,2,0),"")</f>
        <v/>
      </c>
      <c r="Q68" s="138" t="str">
        <f aca="false">IFERROR(VLOOKUP(TEXT(O68,"0"),CONDUCTORES!$A$3:$H$54,6,0),"")</f>
        <v/>
      </c>
      <c r="R68" s="140"/>
      <c r="S68" s="140"/>
      <c r="T68" s="140"/>
      <c r="U68" s="140"/>
      <c r="V68" s="140"/>
      <c r="W68" s="140"/>
      <c r="X68" s="140"/>
      <c r="Y68" s="140"/>
      <c r="Z68" s="47" t="str">
        <f aca="false">IF(AND(G68&lt;&gt;"",R68&lt;&gt;"",V68&lt;&gt;"",W68&lt;&gt;""),"COMPLETADO","OBSERVADO")</f>
        <v>OBSERVADO</v>
      </c>
      <c r="AA68" s="89"/>
    </row>
    <row r="69" customFormat="false" ht="15.75" hidden="false" customHeight="true" outlineLevel="0" collapsed="false">
      <c r="A69" s="85"/>
      <c r="B69" s="85"/>
      <c r="C69" s="85"/>
      <c r="D69" s="85"/>
      <c r="E69" s="85"/>
      <c r="F69" s="85"/>
      <c r="G69" s="85"/>
      <c r="H69" s="85"/>
      <c r="I69" s="138" t="str">
        <f aca="false">IFERROR(VLOOKUP(TEXT(H69,"0"),IPRESS!$A$3:$B$212,2,0),"")</f>
        <v/>
      </c>
      <c r="J69" s="85"/>
      <c r="K69" s="138" t="str">
        <f aca="false">IFERROR(VLOOKUP(TEXT(O69,"0"),CONDUCTORES!$A$3:$G$54,7,0),"")</f>
        <v/>
      </c>
      <c r="L69" s="85"/>
      <c r="M69" s="85"/>
      <c r="N69" s="139" t="str">
        <f aca="false">IFERROR(IF(L69*M69=0,"",L69*M69),"")</f>
        <v/>
      </c>
      <c r="O69" s="85"/>
      <c r="P69" s="138" t="str">
        <f aca="false">IFERROR(VLOOKUP(TEXT(O69,"0"),CONDUCTORES!$A$3:$G$54,2,0),"")</f>
        <v/>
      </c>
      <c r="Q69" s="138" t="str">
        <f aca="false">IFERROR(VLOOKUP(TEXT(O69,"0"),CONDUCTORES!$A$3:$H$54,6,0),"")</f>
        <v/>
      </c>
      <c r="R69" s="85"/>
      <c r="S69" s="85"/>
      <c r="T69" s="85"/>
      <c r="U69" s="85"/>
      <c r="V69" s="85"/>
      <c r="W69" s="85"/>
      <c r="X69" s="85"/>
      <c r="Y69" s="85"/>
      <c r="Z69" s="41" t="str">
        <f aca="false">IF(AND(G69&lt;&gt;"",R69&lt;&gt;"",V69&lt;&gt;"",W69&lt;&gt;""),"COMPLETADO","OBSERVADO")</f>
        <v>OBSERVADO</v>
      </c>
      <c r="AA69" s="89"/>
    </row>
    <row r="70" customFormat="false" ht="15.75" hidden="false" customHeight="true" outlineLevel="0" collapsed="false">
      <c r="A70" s="140"/>
      <c r="B70" s="140"/>
      <c r="C70" s="140"/>
      <c r="D70" s="140"/>
      <c r="E70" s="140"/>
      <c r="F70" s="140"/>
      <c r="G70" s="140"/>
      <c r="H70" s="140"/>
      <c r="I70" s="138" t="str">
        <f aca="false">IFERROR(VLOOKUP(TEXT(H70,"0"),IPRESS!$A$3:$B$212,2,0),"")</f>
        <v/>
      </c>
      <c r="J70" s="140"/>
      <c r="K70" s="138" t="str">
        <f aca="false">IFERROR(VLOOKUP(TEXT(O70,"0"),CONDUCTORES!$A$3:$G$54,7,0),"")</f>
        <v/>
      </c>
      <c r="L70" s="140"/>
      <c r="M70" s="140"/>
      <c r="N70" s="139" t="str">
        <f aca="false">IFERROR(IF(L70*M70=0,"",L70*M70),"")</f>
        <v/>
      </c>
      <c r="O70" s="140"/>
      <c r="P70" s="138" t="str">
        <f aca="false">IFERROR(VLOOKUP(TEXT(O70,"0"),CONDUCTORES!$A$3:$G$54,2,0),"")</f>
        <v/>
      </c>
      <c r="Q70" s="138" t="str">
        <f aca="false">IFERROR(VLOOKUP(TEXT(O70,"0"),CONDUCTORES!$A$3:$H$54,6,0),"")</f>
        <v/>
      </c>
      <c r="R70" s="140"/>
      <c r="S70" s="140"/>
      <c r="T70" s="140"/>
      <c r="U70" s="140"/>
      <c r="V70" s="140"/>
      <c r="W70" s="140"/>
      <c r="X70" s="140"/>
      <c r="Y70" s="140"/>
      <c r="Z70" s="47" t="str">
        <f aca="false">IF(AND(G70&lt;&gt;"",R70&lt;&gt;"",V70&lt;&gt;"",W70&lt;&gt;""),"COMPLETADO","OBSERVADO")</f>
        <v>OBSERVADO</v>
      </c>
      <c r="AA70" s="89"/>
    </row>
    <row r="71" customFormat="false" ht="15.75" hidden="false" customHeight="true" outlineLevel="0" collapsed="false">
      <c r="A71" s="85"/>
      <c r="B71" s="85"/>
      <c r="C71" s="85"/>
      <c r="D71" s="85"/>
      <c r="E71" s="85"/>
      <c r="F71" s="85"/>
      <c r="G71" s="85"/>
      <c r="H71" s="85"/>
      <c r="I71" s="138" t="str">
        <f aca="false">IFERROR(VLOOKUP(TEXT(H71,"0"),IPRESS!$A$3:$B$212,2,0),"")</f>
        <v/>
      </c>
      <c r="J71" s="85"/>
      <c r="K71" s="138" t="str">
        <f aca="false">IFERROR(VLOOKUP(TEXT(O71,"0"),CONDUCTORES!$A$3:$G$54,7,0),"")</f>
        <v/>
      </c>
      <c r="L71" s="85"/>
      <c r="M71" s="85"/>
      <c r="N71" s="139" t="str">
        <f aca="false">IFERROR(IF(L71*M71=0,"",L71*M71),"")</f>
        <v/>
      </c>
      <c r="O71" s="85"/>
      <c r="P71" s="138" t="str">
        <f aca="false">IFERROR(VLOOKUP(TEXT(O71,"0"),CONDUCTORES!$A$3:$G$54,2,0),"")</f>
        <v/>
      </c>
      <c r="Q71" s="138" t="str">
        <f aca="false">IFERROR(VLOOKUP(TEXT(O71,"0"),CONDUCTORES!$A$3:$H$54,6,0),"")</f>
        <v/>
      </c>
      <c r="R71" s="85"/>
      <c r="S71" s="85"/>
      <c r="T71" s="85"/>
      <c r="U71" s="85"/>
      <c r="V71" s="85"/>
      <c r="W71" s="85"/>
      <c r="X71" s="85"/>
      <c r="Y71" s="85"/>
      <c r="Z71" s="41" t="str">
        <f aca="false">IF(AND(G71&lt;&gt;"",R71&lt;&gt;"",V71&lt;&gt;"",W71&lt;&gt;""),"COMPLETADO","OBSERVADO")</f>
        <v>OBSERVADO</v>
      </c>
      <c r="AA71" s="89"/>
    </row>
    <row r="72" customFormat="false" ht="15.75" hidden="false" customHeight="true" outlineLevel="0" collapsed="false">
      <c r="A72" s="140"/>
      <c r="B72" s="140"/>
      <c r="C72" s="140"/>
      <c r="D72" s="140"/>
      <c r="E72" s="140"/>
      <c r="F72" s="140"/>
      <c r="G72" s="140"/>
      <c r="H72" s="140"/>
      <c r="I72" s="138" t="str">
        <f aca="false">IFERROR(VLOOKUP(TEXT(H72,"0"),IPRESS!$A$3:$B$212,2,0),"")</f>
        <v/>
      </c>
      <c r="J72" s="140"/>
      <c r="K72" s="138" t="str">
        <f aca="false">IFERROR(VLOOKUP(TEXT(O72,"0"),CONDUCTORES!$A$3:$G$54,7,0),"")</f>
        <v/>
      </c>
      <c r="L72" s="140"/>
      <c r="M72" s="140"/>
      <c r="N72" s="139" t="str">
        <f aca="false">IFERROR(IF(L72*M72=0,"",L72*M72),"")</f>
        <v/>
      </c>
      <c r="O72" s="140"/>
      <c r="P72" s="138" t="str">
        <f aca="false">IFERROR(VLOOKUP(TEXT(O72,"0"),CONDUCTORES!$A$3:$G$54,2,0),"")</f>
        <v/>
      </c>
      <c r="Q72" s="138" t="str">
        <f aca="false">IFERROR(VLOOKUP(TEXT(O72,"0"),CONDUCTORES!$A$3:$H$54,6,0),"")</f>
        <v/>
      </c>
      <c r="R72" s="140"/>
      <c r="S72" s="140"/>
      <c r="T72" s="140"/>
      <c r="U72" s="140"/>
      <c r="V72" s="140"/>
      <c r="W72" s="140"/>
      <c r="X72" s="140"/>
      <c r="Y72" s="140"/>
      <c r="Z72" s="47" t="str">
        <f aca="false">IF(AND(G72&lt;&gt;"",R72&lt;&gt;"",V72&lt;&gt;"",W72&lt;&gt;""),"COMPLETADO","OBSERVADO")</f>
        <v>OBSERVADO</v>
      </c>
      <c r="AA72" s="89"/>
    </row>
    <row r="73" customFormat="false" ht="15.75" hidden="false" customHeight="true" outlineLevel="0" collapsed="false">
      <c r="A73" s="85"/>
      <c r="B73" s="85"/>
      <c r="C73" s="85"/>
      <c r="D73" s="85"/>
      <c r="E73" s="85"/>
      <c r="F73" s="85"/>
      <c r="G73" s="85"/>
      <c r="H73" s="85"/>
      <c r="I73" s="138" t="str">
        <f aca="false">IFERROR(VLOOKUP(TEXT(H73,"0"),IPRESS!$A$3:$B$212,2,0),"")</f>
        <v/>
      </c>
      <c r="J73" s="85"/>
      <c r="K73" s="138" t="str">
        <f aca="false">IFERROR(VLOOKUP(TEXT(O73,"0"),CONDUCTORES!$A$3:$G$54,7,0),"")</f>
        <v/>
      </c>
      <c r="L73" s="85"/>
      <c r="M73" s="85"/>
      <c r="N73" s="139" t="str">
        <f aca="false">IFERROR(IF(L73*M73=0,"",L73*M73),"")</f>
        <v/>
      </c>
      <c r="O73" s="85"/>
      <c r="P73" s="138" t="str">
        <f aca="false">IFERROR(VLOOKUP(TEXT(O73,"0"),CONDUCTORES!$A$3:$G$54,2,0),"")</f>
        <v/>
      </c>
      <c r="Q73" s="138" t="str">
        <f aca="false">IFERROR(VLOOKUP(TEXT(O73,"0"),CONDUCTORES!$A$3:$H$54,6,0),"")</f>
        <v/>
      </c>
      <c r="R73" s="85"/>
      <c r="S73" s="85"/>
      <c r="T73" s="85"/>
      <c r="U73" s="85"/>
      <c r="V73" s="85"/>
      <c r="W73" s="85"/>
      <c r="X73" s="85"/>
      <c r="Y73" s="85"/>
      <c r="Z73" s="41" t="str">
        <f aca="false">IF(AND(G73&lt;&gt;"",R73&lt;&gt;"",V73&lt;&gt;"",W73&lt;&gt;""),"COMPLETADO","OBSERVADO")</f>
        <v>OBSERVADO</v>
      </c>
      <c r="AA73" s="89"/>
    </row>
    <row r="74" customFormat="false" ht="15.75" hidden="false" customHeight="true" outlineLevel="0" collapsed="false">
      <c r="A74" s="140"/>
      <c r="B74" s="140"/>
      <c r="C74" s="140"/>
      <c r="D74" s="140"/>
      <c r="E74" s="140"/>
      <c r="F74" s="140"/>
      <c r="G74" s="140"/>
      <c r="H74" s="140"/>
      <c r="I74" s="138" t="str">
        <f aca="false">IFERROR(VLOOKUP(TEXT(H74,"0"),IPRESS!$A$3:$B$212,2,0),"")</f>
        <v/>
      </c>
      <c r="J74" s="140"/>
      <c r="K74" s="138" t="str">
        <f aca="false">IFERROR(VLOOKUP(TEXT(O74,"0"),CONDUCTORES!$A$3:$G$54,7,0),"")</f>
        <v/>
      </c>
      <c r="L74" s="140"/>
      <c r="M74" s="140"/>
      <c r="N74" s="139" t="str">
        <f aca="false">IFERROR(IF(L74*M74=0,"",L74*M74),"")</f>
        <v/>
      </c>
      <c r="O74" s="140"/>
      <c r="P74" s="138" t="str">
        <f aca="false">IFERROR(VLOOKUP(TEXT(O74,"0"),CONDUCTORES!$A$3:$G$54,2,0),"")</f>
        <v/>
      </c>
      <c r="Q74" s="138" t="str">
        <f aca="false">IFERROR(VLOOKUP(TEXT(O74,"0"),CONDUCTORES!$A$3:$H$54,6,0),"")</f>
        <v/>
      </c>
      <c r="R74" s="140"/>
      <c r="S74" s="140"/>
      <c r="T74" s="140"/>
      <c r="U74" s="140"/>
      <c r="V74" s="140"/>
      <c r="W74" s="140"/>
      <c r="X74" s="140"/>
      <c r="Y74" s="140"/>
      <c r="Z74" s="47" t="str">
        <f aca="false">IF(AND(G74&lt;&gt;"",R74&lt;&gt;"",V74&lt;&gt;"",W74&lt;&gt;""),"COMPLETADO","OBSERVADO")</f>
        <v>OBSERVADO</v>
      </c>
      <c r="AA74" s="89"/>
    </row>
    <row r="75" customFormat="false" ht="15.75" hidden="false" customHeight="true" outlineLevel="0" collapsed="false">
      <c r="A75" s="85"/>
      <c r="B75" s="85"/>
      <c r="C75" s="85"/>
      <c r="D75" s="85"/>
      <c r="E75" s="85"/>
      <c r="F75" s="85"/>
      <c r="G75" s="85"/>
      <c r="H75" s="85"/>
      <c r="I75" s="138" t="str">
        <f aca="false">IFERROR(VLOOKUP(TEXT(H75,"0"),IPRESS!$A$3:$B$212,2,0),"")</f>
        <v/>
      </c>
      <c r="J75" s="85"/>
      <c r="K75" s="138" t="str">
        <f aca="false">IFERROR(VLOOKUP(TEXT(O75,"0"),CONDUCTORES!$A$3:$G$54,7,0),"")</f>
        <v/>
      </c>
      <c r="L75" s="85"/>
      <c r="M75" s="85"/>
      <c r="N75" s="139" t="str">
        <f aca="false">IFERROR(IF(L75*M75=0,"",L75*M75),"")</f>
        <v/>
      </c>
      <c r="O75" s="85"/>
      <c r="P75" s="138" t="str">
        <f aca="false">IFERROR(VLOOKUP(TEXT(O75,"0"),CONDUCTORES!$A$3:$G$54,2,0),"")</f>
        <v/>
      </c>
      <c r="Q75" s="138" t="str">
        <f aca="false">IFERROR(VLOOKUP(TEXT(O75,"0"),CONDUCTORES!$A$3:$H$54,6,0),"")</f>
        <v/>
      </c>
      <c r="R75" s="85"/>
      <c r="S75" s="85"/>
      <c r="T75" s="85"/>
      <c r="U75" s="85"/>
      <c r="V75" s="85"/>
      <c r="W75" s="85"/>
      <c r="X75" s="85"/>
      <c r="Y75" s="85"/>
      <c r="Z75" s="41" t="str">
        <f aca="false">IF(AND(G75&lt;&gt;"",R75&lt;&gt;"",V75&lt;&gt;"",W75&lt;&gt;""),"COMPLETADO","OBSERVADO")</f>
        <v>OBSERVADO</v>
      </c>
      <c r="AA75" s="89"/>
    </row>
    <row r="76" customFormat="false" ht="15.75" hidden="false" customHeight="true" outlineLevel="0" collapsed="false">
      <c r="A76" s="140"/>
      <c r="B76" s="140"/>
      <c r="C76" s="140"/>
      <c r="D76" s="140"/>
      <c r="E76" s="140"/>
      <c r="F76" s="140"/>
      <c r="G76" s="140"/>
      <c r="H76" s="140"/>
      <c r="I76" s="138" t="str">
        <f aca="false">IFERROR(VLOOKUP(TEXT(H76,"0"),IPRESS!$A$3:$B$212,2,0),"")</f>
        <v/>
      </c>
      <c r="J76" s="140"/>
      <c r="K76" s="138" t="str">
        <f aca="false">IFERROR(VLOOKUP(TEXT(O76,"0"),CONDUCTORES!$A$3:$G$54,7,0),"")</f>
        <v/>
      </c>
      <c r="L76" s="140"/>
      <c r="M76" s="140"/>
      <c r="N76" s="139" t="str">
        <f aca="false">IFERROR(IF(L76*M76=0,"",L76*M76),"")</f>
        <v/>
      </c>
      <c r="O76" s="140"/>
      <c r="P76" s="138" t="str">
        <f aca="false">IFERROR(VLOOKUP(TEXT(O76,"0"),CONDUCTORES!$A$3:$G$54,2,0),"")</f>
        <v/>
      </c>
      <c r="Q76" s="138" t="str">
        <f aca="false">IFERROR(VLOOKUP(TEXT(O76,"0"),CONDUCTORES!$A$3:$H$54,6,0),"")</f>
        <v/>
      </c>
      <c r="R76" s="140"/>
      <c r="S76" s="140"/>
      <c r="T76" s="140"/>
      <c r="U76" s="140"/>
      <c r="V76" s="140"/>
      <c r="W76" s="140"/>
      <c r="X76" s="140"/>
      <c r="Y76" s="140"/>
      <c r="Z76" s="47" t="str">
        <f aca="false">IF(AND(G76&lt;&gt;"",R76&lt;&gt;"",V76&lt;&gt;"",W76&lt;&gt;""),"COMPLETADO","OBSERVADO")</f>
        <v>OBSERVADO</v>
      </c>
      <c r="AA76" s="89"/>
    </row>
    <row r="77" customFormat="false" ht="15.75" hidden="false" customHeight="true" outlineLevel="0" collapsed="false">
      <c r="A77" s="85"/>
      <c r="B77" s="85"/>
      <c r="C77" s="85"/>
      <c r="D77" s="85"/>
      <c r="E77" s="85"/>
      <c r="F77" s="85"/>
      <c r="G77" s="85"/>
      <c r="H77" s="85"/>
      <c r="I77" s="138" t="str">
        <f aca="false">IFERROR(VLOOKUP(TEXT(H77,"0"),IPRESS!$A$3:$B$212,2,0),"")</f>
        <v/>
      </c>
      <c r="J77" s="85"/>
      <c r="K77" s="138" t="str">
        <f aca="false">IFERROR(VLOOKUP(TEXT(O77,"0"),CONDUCTORES!$A$3:$G$54,7,0),"")</f>
        <v/>
      </c>
      <c r="L77" s="85"/>
      <c r="M77" s="85"/>
      <c r="N77" s="139" t="str">
        <f aca="false">IFERROR(IF(L77*M77=0,"",L77*M77),"")</f>
        <v/>
      </c>
      <c r="O77" s="85"/>
      <c r="P77" s="138" t="str">
        <f aca="false">IFERROR(VLOOKUP(TEXT(O77,"0"),CONDUCTORES!$A$3:$G$54,2,0),"")</f>
        <v/>
      </c>
      <c r="Q77" s="138" t="str">
        <f aca="false">IFERROR(VLOOKUP(TEXT(O77,"0"),CONDUCTORES!$A$3:$H$54,6,0),"")</f>
        <v/>
      </c>
      <c r="R77" s="85"/>
      <c r="S77" s="85"/>
      <c r="T77" s="85"/>
      <c r="U77" s="85"/>
      <c r="V77" s="85"/>
      <c r="W77" s="85"/>
      <c r="X77" s="85"/>
      <c r="Y77" s="85"/>
      <c r="Z77" s="41" t="str">
        <f aca="false">IF(AND(G77&lt;&gt;"",R77&lt;&gt;"",V77&lt;&gt;"",W77&lt;&gt;""),"COMPLETADO","OBSERVADO")</f>
        <v>OBSERVADO</v>
      </c>
      <c r="AA77" s="89"/>
    </row>
    <row r="78" customFormat="false" ht="15.75" hidden="false" customHeight="true" outlineLevel="0" collapsed="false">
      <c r="A78" s="140"/>
      <c r="B78" s="140"/>
      <c r="C78" s="140"/>
      <c r="D78" s="140"/>
      <c r="E78" s="140"/>
      <c r="F78" s="140"/>
      <c r="G78" s="140"/>
      <c r="H78" s="140"/>
      <c r="I78" s="138" t="str">
        <f aca="false">IFERROR(VLOOKUP(TEXT(H78,"0"),IPRESS!$A$3:$B$212,2,0),"")</f>
        <v/>
      </c>
      <c r="J78" s="140"/>
      <c r="K78" s="138" t="str">
        <f aca="false">IFERROR(VLOOKUP(TEXT(O78,"0"),CONDUCTORES!$A$3:$G$54,7,0),"")</f>
        <v/>
      </c>
      <c r="L78" s="140"/>
      <c r="M78" s="140"/>
      <c r="N78" s="139" t="str">
        <f aca="false">IFERROR(IF(L78*M78=0,"",L78*M78),"")</f>
        <v/>
      </c>
      <c r="O78" s="140"/>
      <c r="P78" s="138" t="str">
        <f aca="false">IFERROR(VLOOKUP(TEXT(O78,"0"),CONDUCTORES!$A$3:$G$54,2,0),"")</f>
        <v/>
      </c>
      <c r="Q78" s="138" t="str">
        <f aca="false">IFERROR(VLOOKUP(TEXT(O78,"0"),CONDUCTORES!$A$3:$H$54,6,0),"")</f>
        <v/>
      </c>
      <c r="R78" s="140"/>
      <c r="S78" s="140"/>
      <c r="T78" s="140"/>
      <c r="U78" s="140"/>
      <c r="V78" s="140"/>
      <c r="W78" s="140"/>
      <c r="X78" s="140"/>
      <c r="Y78" s="140"/>
      <c r="Z78" s="47" t="str">
        <f aca="false">IF(AND(G78&lt;&gt;"",R78&lt;&gt;"",V78&lt;&gt;"",W78&lt;&gt;""),"COMPLETADO","OBSERVADO")</f>
        <v>OBSERVADO</v>
      </c>
      <c r="AA78" s="89"/>
    </row>
    <row r="79" customFormat="false" ht="15.75" hidden="false" customHeight="true" outlineLevel="0" collapsed="false">
      <c r="A79" s="85"/>
      <c r="B79" s="85"/>
      <c r="C79" s="85"/>
      <c r="D79" s="85"/>
      <c r="E79" s="85"/>
      <c r="F79" s="85"/>
      <c r="G79" s="85"/>
      <c r="H79" s="85"/>
      <c r="I79" s="138" t="str">
        <f aca="false">IFERROR(VLOOKUP(TEXT(H79,"0"),IPRESS!$A$3:$B$212,2,0),"")</f>
        <v/>
      </c>
      <c r="J79" s="85"/>
      <c r="K79" s="138" t="str">
        <f aca="false">IFERROR(VLOOKUP(TEXT(O79,"0"),CONDUCTORES!$A$3:$G$54,7,0),"")</f>
        <v/>
      </c>
      <c r="L79" s="85"/>
      <c r="M79" s="85"/>
      <c r="N79" s="139" t="str">
        <f aca="false">IFERROR(IF(L79*M79=0,"",L79*M79),"")</f>
        <v/>
      </c>
      <c r="O79" s="85"/>
      <c r="P79" s="138" t="str">
        <f aca="false">IFERROR(VLOOKUP(TEXT(O79,"0"),CONDUCTORES!$A$3:$G$54,2,0),"")</f>
        <v/>
      </c>
      <c r="Q79" s="138" t="str">
        <f aca="false">IFERROR(VLOOKUP(TEXT(O79,"0"),CONDUCTORES!$A$3:$H$54,6,0),"")</f>
        <v/>
      </c>
      <c r="R79" s="85"/>
      <c r="S79" s="85"/>
      <c r="T79" s="85"/>
      <c r="U79" s="85"/>
      <c r="V79" s="85"/>
      <c r="W79" s="85"/>
      <c r="X79" s="85"/>
      <c r="Y79" s="85"/>
      <c r="Z79" s="41" t="str">
        <f aca="false">IF(AND(G79&lt;&gt;"",R79&lt;&gt;"",V79&lt;&gt;"",W79&lt;&gt;""),"COMPLETADO","OBSERVADO")</f>
        <v>OBSERVADO</v>
      </c>
      <c r="AA79" s="89"/>
    </row>
    <row r="80" customFormat="false" ht="15.75" hidden="false" customHeight="true" outlineLevel="0" collapsed="false">
      <c r="A80" s="140"/>
      <c r="B80" s="140"/>
      <c r="C80" s="140"/>
      <c r="D80" s="140"/>
      <c r="E80" s="140"/>
      <c r="F80" s="140"/>
      <c r="G80" s="140"/>
      <c r="H80" s="140"/>
      <c r="I80" s="138" t="str">
        <f aca="false">IFERROR(VLOOKUP(TEXT(H80,"0"),IPRESS!$A$3:$B$212,2,0),"")</f>
        <v/>
      </c>
      <c r="J80" s="140"/>
      <c r="K80" s="138" t="str">
        <f aca="false">IFERROR(VLOOKUP(TEXT(O80,"0"),CONDUCTORES!$A$3:$G$54,7,0),"")</f>
        <v/>
      </c>
      <c r="L80" s="140"/>
      <c r="M80" s="140"/>
      <c r="N80" s="139" t="str">
        <f aca="false">IFERROR(IF(L80*M80=0,"",L80*M80),"")</f>
        <v/>
      </c>
      <c r="O80" s="140"/>
      <c r="P80" s="138" t="str">
        <f aca="false">IFERROR(VLOOKUP(TEXT(O80,"0"),CONDUCTORES!$A$3:$G$54,2,0),"")</f>
        <v/>
      </c>
      <c r="Q80" s="138" t="str">
        <f aca="false">IFERROR(VLOOKUP(TEXT(O80,"0"),CONDUCTORES!$A$3:$H$54,6,0),"")</f>
        <v/>
      </c>
      <c r="R80" s="140"/>
      <c r="S80" s="140"/>
      <c r="T80" s="140"/>
      <c r="U80" s="140"/>
      <c r="V80" s="140"/>
      <c r="W80" s="140"/>
      <c r="X80" s="140"/>
      <c r="Y80" s="140"/>
      <c r="Z80" s="47" t="str">
        <f aca="false">IF(AND(G80&lt;&gt;"",R80&lt;&gt;"",V80&lt;&gt;"",W80&lt;&gt;""),"COMPLETADO","OBSERVADO")</f>
        <v>OBSERVADO</v>
      </c>
      <c r="AA80" s="89"/>
    </row>
    <row r="81" customFormat="false" ht="15.75" hidden="false" customHeight="true" outlineLevel="0" collapsed="false">
      <c r="A81" s="85"/>
      <c r="B81" s="85"/>
      <c r="C81" s="85"/>
      <c r="D81" s="85"/>
      <c r="E81" s="85"/>
      <c r="F81" s="85"/>
      <c r="G81" s="85"/>
      <c r="H81" s="85"/>
      <c r="I81" s="138" t="str">
        <f aca="false">IFERROR(VLOOKUP(TEXT(H81,"0"),IPRESS!$A$3:$B$212,2,0),"")</f>
        <v/>
      </c>
      <c r="J81" s="85"/>
      <c r="K81" s="138" t="str">
        <f aca="false">IFERROR(VLOOKUP(TEXT(O81,"0"),CONDUCTORES!$A$3:$G$54,7,0),"")</f>
        <v/>
      </c>
      <c r="L81" s="85"/>
      <c r="M81" s="85"/>
      <c r="N81" s="139" t="str">
        <f aca="false">IFERROR(IF(L81*M81=0,"",L81*M81),"")</f>
        <v/>
      </c>
      <c r="O81" s="85"/>
      <c r="P81" s="138" t="str">
        <f aca="false">IFERROR(VLOOKUP(TEXT(O81,"0"),CONDUCTORES!$A$3:$G$54,2,0),"")</f>
        <v/>
      </c>
      <c r="Q81" s="138" t="str">
        <f aca="false">IFERROR(VLOOKUP(TEXT(O81,"0"),CONDUCTORES!$A$3:$H$54,6,0),"")</f>
        <v/>
      </c>
      <c r="R81" s="85"/>
      <c r="S81" s="85"/>
      <c r="T81" s="85"/>
      <c r="U81" s="85"/>
      <c r="V81" s="85"/>
      <c r="W81" s="85"/>
      <c r="X81" s="85"/>
      <c r="Y81" s="85"/>
      <c r="Z81" s="41" t="str">
        <f aca="false">IF(AND(G81&lt;&gt;"",R81&lt;&gt;"",V81&lt;&gt;"",W81&lt;&gt;""),"COMPLETADO","OBSERVADO")</f>
        <v>OBSERVADO</v>
      </c>
      <c r="AA81" s="89"/>
    </row>
    <row r="82" customFormat="false" ht="15.75" hidden="false" customHeight="true" outlineLevel="0" collapsed="false">
      <c r="A82" s="140"/>
      <c r="B82" s="140"/>
      <c r="C82" s="140"/>
      <c r="D82" s="140"/>
      <c r="E82" s="140"/>
      <c r="F82" s="140"/>
      <c r="G82" s="140"/>
      <c r="H82" s="140"/>
      <c r="I82" s="138" t="str">
        <f aca="false">IFERROR(VLOOKUP(TEXT(H82,"0"),IPRESS!$A$3:$B$212,2,0),"")</f>
        <v/>
      </c>
      <c r="J82" s="140"/>
      <c r="K82" s="138" t="str">
        <f aca="false">IFERROR(VLOOKUP(TEXT(O82,"0"),CONDUCTORES!$A$3:$G$54,7,0),"")</f>
        <v/>
      </c>
      <c r="L82" s="140"/>
      <c r="M82" s="140"/>
      <c r="N82" s="139" t="str">
        <f aca="false">IFERROR(IF(L82*M82=0,"",L82*M82),"")</f>
        <v/>
      </c>
      <c r="O82" s="140"/>
      <c r="P82" s="138" t="str">
        <f aca="false">IFERROR(VLOOKUP(TEXT(O82,"0"),CONDUCTORES!$A$3:$G$54,2,0),"")</f>
        <v/>
      </c>
      <c r="Q82" s="138" t="str">
        <f aca="false">IFERROR(VLOOKUP(TEXT(O82,"0"),CONDUCTORES!$A$3:$H$54,6,0),"")</f>
        <v/>
      </c>
      <c r="R82" s="140"/>
      <c r="S82" s="140"/>
      <c r="T82" s="140"/>
      <c r="U82" s="140"/>
      <c r="V82" s="140"/>
      <c r="W82" s="140"/>
      <c r="X82" s="140"/>
      <c r="Y82" s="140"/>
      <c r="Z82" s="47" t="str">
        <f aca="false">IF(AND(G82&lt;&gt;"",R82&lt;&gt;"",V82&lt;&gt;"",W82&lt;&gt;""),"COMPLETADO","OBSERVADO")</f>
        <v>OBSERVADO</v>
      </c>
      <c r="AA82" s="89"/>
    </row>
    <row r="83" customFormat="false" ht="15.75" hidden="false" customHeight="true" outlineLevel="0" collapsed="false">
      <c r="A83" s="85"/>
      <c r="B83" s="85"/>
      <c r="C83" s="85"/>
      <c r="D83" s="85"/>
      <c r="E83" s="85"/>
      <c r="F83" s="85"/>
      <c r="G83" s="85"/>
      <c r="H83" s="85"/>
      <c r="I83" s="138" t="str">
        <f aca="false">IFERROR(VLOOKUP(TEXT(H83,"0"),IPRESS!$A$3:$B$212,2,0),"")</f>
        <v/>
      </c>
      <c r="J83" s="85"/>
      <c r="K83" s="138" t="str">
        <f aca="false">IFERROR(VLOOKUP(TEXT(O83,"0"),CONDUCTORES!$A$3:$G$54,7,0),"")</f>
        <v/>
      </c>
      <c r="L83" s="85"/>
      <c r="M83" s="85"/>
      <c r="N83" s="139" t="str">
        <f aca="false">IFERROR(IF(L83*M83=0,"",L83*M83),"")</f>
        <v/>
      </c>
      <c r="O83" s="85"/>
      <c r="P83" s="138" t="str">
        <f aca="false">IFERROR(VLOOKUP(TEXT(O83,"0"),CONDUCTORES!$A$3:$G$54,2,0),"")</f>
        <v/>
      </c>
      <c r="Q83" s="138" t="str">
        <f aca="false">IFERROR(VLOOKUP(TEXT(O83,"0"),CONDUCTORES!$A$3:$H$54,6,0),"")</f>
        <v/>
      </c>
      <c r="R83" s="85"/>
      <c r="S83" s="85"/>
      <c r="T83" s="85"/>
      <c r="U83" s="85"/>
      <c r="V83" s="85"/>
      <c r="W83" s="85"/>
      <c r="X83" s="85"/>
      <c r="Y83" s="85"/>
      <c r="Z83" s="41" t="str">
        <f aca="false">IF(AND(G83&lt;&gt;"",R83&lt;&gt;"",V83&lt;&gt;"",W83&lt;&gt;""),"COMPLETADO","OBSERVADO")</f>
        <v>OBSERVADO</v>
      </c>
      <c r="AA83" s="89"/>
    </row>
    <row r="84" customFormat="false" ht="15.75" hidden="false" customHeight="true" outlineLevel="0" collapsed="false">
      <c r="A84" s="140"/>
      <c r="B84" s="140"/>
      <c r="C84" s="140"/>
      <c r="D84" s="140"/>
      <c r="E84" s="140"/>
      <c r="F84" s="140"/>
      <c r="G84" s="140"/>
      <c r="H84" s="140"/>
      <c r="I84" s="138" t="str">
        <f aca="false">IFERROR(VLOOKUP(TEXT(H84,"0"),IPRESS!$A$3:$B$212,2,0),"")</f>
        <v/>
      </c>
      <c r="J84" s="140"/>
      <c r="K84" s="138" t="str">
        <f aca="false">IFERROR(VLOOKUP(TEXT(O84,"0"),CONDUCTORES!$A$3:$G$54,7,0),"")</f>
        <v/>
      </c>
      <c r="L84" s="140"/>
      <c r="M84" s="140"/>
      <c r="N84" s="139" t="str">
        <f aca="false">IFERROR(IF(L84*M84=0,"",L84*M84),"")</f>
        <v/>
      </c>
      <c r="O84" s="140"/>
      <c r="P84" s="138" t="str">
        <f aca="false">IFERROR(VLOOKUP(TEXT(O84,"0"),CONDUCTORES!$A$3:$G$54,2,0),"")</f>
        <v/>
      </c>
      <c r="Q84" s="138" t="str">
        <f aca="false">IFERROR(VLOOKUP(TEXT(O84,"0"),CONDUCTORES!$A$3:$H$54,6,0),"")</f>
        <v/>
      </c>
      <c r="R84" s="140"/>
      <c r="S84" s="140"/>
      <c r="T84" s="140"/>
      <c r="U84" s="140"/>
      <c r="V84" s="140"/>
      <c r="W84" s="140"/>
      <c r="X84" s="140"/>
      <c r="Y84" s="140"/>
      <c r="Z84" s="47" t="str">
        <f aca="false">IF(AND(G84&lt;&gt;"",R84&lt;&gt;"",V84&lt;&gt;"",W84&lt;&gt;""),"COMPLETADO","OBSERVADO")</f>
        <v>OBSERVADO</v>
      </c>
      <c r="AA84" s="89"/>
    </row>
    <row r="85" customFormat="false" ht="15.75" hidden="false" customHeight="true" outlineLevel="0" collapsed="false">
      <c r="A85" s="85"/>
      <c r="B85" s="85"/>
      <c r="C85" s="85"/>
      <c r="D85" s="85"/>
      <c r="E85" s="85"/>
      <c r="F85" s="85"/>
      <c r="G85" s="85"/>
      <c r="H85" s="85"/>
      <c r="I85" s="138" t="str">
        <f aca="false">IFERROR(VLOOKUP(TEXT(H85,"0"),IPRESS!$A$3:$B$212,2,0),"")</f>
        <v/>
      </c>
      <c r="J85" s="85"/>
      <c r="K85" s="138" t="str">
        <f aca="false">IFERROR(VLOOKUP(TEXT(O85,"0"),CONDUCTORES!$A$3:$G$54,7,0),"")</f>
        <v/>
      </c>
      <c r="L85" s="85"/>
      <c r="M85" s="85"/>
      <c r="N85" s="139" t="str">
        <f aca="false">IFERROR(IF(L85*M85=0,"",L85*M85),"")</f>
        <v/>
      </c>
      <c r="O85" s="85"/>
      <c r="P85" s="138" t="str">
        <f aca="false">IFERROR(VLOOKUP(TEXT(O85,"0"),CONDUCTORES!$A$3:$G$54,2,0),"")</f>
        <v/>
      </c>
      <c r="Q85" s="138" t="str">
        <f aca="false">IFERROR(VLOOKUP(TEXT(O85,"0"),CONDUCTORES!$A$3:$H$54,6,0),"")</f>
        <v/>
      </c>
      <c r="R85" s="85"/>
      <c r="S85" s="85"/>
      <c r="T85" s="85"/>
      <c r="U85" s="85"/>
      <c r="V85" s="85"/>
      <c r="W85" s="85"/>
      <c r="X85" s="85"/>
      <c r="Y85" s="85"/>
      <c r="Z85" s="41" t="str">
        <f aca="false">IF(AND(G85&lt;&gt;"",R85&lt;&gt;"",V85&lt;&gt;"",W85&lt;&gt;""),"COMPLETADO","OBSERVADO")</f>
        <v>OBSERVADO</v>
      </c>
      <c r="AA85" s="89"/>
    </row>
    <row r="86" customFormat="false" ht="15.75" hidden="false" customHeight="true" outlineLevel="0" collapsed="false">
      <c r="A86" s="140"/>
      <c r="B86" s="140"/>
      <c r="C86" s="140"/>
      <c r="D86" s="140"/>
      <c r="E86" s="140"/>
      <c r="F86" s="140"/>
      <c r="G86" s="140"/>
      <c r="H86" s="140"/>
      <c r="I86" s="138" t="str">
        <f aca="false">IFERROR(VLOOKUP(TEXT(H86,"0"),IPRESS!$A$3:$B$212,2,0),"")</f>
        <v/>
      </c>
      <c r="J86" s="140"/>
      <c r="K86" s="138" t="str">
        <f aca="false">IFERROR(VLOOKUP(TEXT(O86,"0"),CONDUCTORES!$A$3:$G$54,7,0),"")</f>
        <v/>
      </c>
      <c r="L86" s="140"/>
      <c r="M86" s="140"/>
      <c r="N86" s="139" t="str">
        <f aca="false">IFERROR(IF(L86*M86=0,"",L86*M86),"")</f>
        <v/>
      </c>
      <c r="O86" s="140"/>
      <c r="P86" s="138" t="str">
        <f aca="false">IFERROR(VLOOKUP(TEXT(O86,"0"),CONDUCTORES!$A$3:$G$54,2,0),"")</f>
        <v/>
      </c>
      <c r="Q86" s="138" t="str">
        <f aca="false">IFERROR(VLOOKUP(TEXT(O86,"0"),CONDUCTORES!$A$3:$H$54,6,0),"")</f>
        <v/>
      </c>
      <c r="R86" s="140"/>
      <c r="S86" s="140"/>
      <c r="T86" s="140"/>
      <c r="U86" s="140"/>
      <c r="V86" s="140"/>
      <c r="W86" s="140"/>
      <c r="X86" s="140"/>
      <c r="Y86" s="140"/>
      <c r="Z86" s="47" t="str">
        <f aca="false">IF(AND(G86&lt;&gt;"",R86&lt;&gt;"",V86&lt;&gt;"",W86&lt;&gt;""),"COMPLETADO","OBSERVADO")</f>
        <v>OBSERVADO</v>
      </c>
      <c r="AA86" s="89"/>
    </row>
    <row r="87" customFormat="false" ht="15.75" hidden="false" customHeight="true" outlineLevel="0" collapsed="false">
      <c r="A87" s="85"/>
      <c r="B87" s="85"/>
      <c r="C87" s="85"/>
      <c r="D87" s="85"/>
      <c r="E87" s="85"/>
      <c r="F87" s="85"/>
      <c r="G87" s="85"/>
      <c r="H87" s="85"/>
      <c r="I87" s="138" t="str">
        <f aca="false">IFERROR(VLOOKUP(TEXT(H87,"0"),IPRESS!$A$3:$B$212,2,0),"")</f>
        <v/>
      </c>
      <c r="J87" s="85"/>
      <c r="K87" s="138" t="str">
        <f aca="false">IFERROR(VLOOKUP(TEXT(O87,"0"),CONDUCTORES!$A$3:$G$54,7,0),"")</f>
        <v/>
      </c>
      <c r="L87" s="85"/>
      <c r="M87" s="85"/>
      <c r="N87" s="139" t="str">
        <f aca="false">IFERROR(IF(L87*M87=0,"",L87*M87),"")</f>
        <v/>
      </c>
      <c r="O87" s="85"/>
      <c r="P87" s="138" t="str">
        <f aca="false">IFERROR(VLOOKUP(TEXT(O87,"0"),CONDUCTORES!$A$3:$G$54,2,0),"")</f>
        <v/>
      </c>
      <c r="Q87" s="138" t="str">
        <f aca="false">IFERROR(VLOOKUP(TEXT(O87,"0"),CONDUCTORES!$A$3:$H$54,6,0),"")</f>
        <v/>
      </c>
      <c r="R87" s="85"/>
      <c r="S87" s="85"/>
      <c r="T87" s="85"/>
      <c r="U87" s="85"/>
      <c r="V87" s="85"/>
      <c r="W87" s="85"/>
      <c r="X87" s="85"/>
      <c r="Y87" s="85"/>
      <c r="Z87" s="41" t="str">
        <f aca="false">IF(AND(G87&lt;&gt;"",R87&lt;&gt;"",V87&lt;&gt;"",W87&lt;&gt;""),"COMPLETADO","OBSERVADO")</f>
        <v>OBSERVADO</v>
      </c>
      <c r="AA87" s="89"/>
    </row>
    <row r="88" customFormat="false" ht="15.75" hidden="false" customHeight="true" outlineLevel="0" collapsed="false">
      <c r="A88" s="140"/>
      <c r="B88" s="140"/>
      <c r="C88" s="140"/>
      <c r="D88" s="140"/>
      <c r="E88" s="140"/>
      <c r="F88" s="140"/>
      <c r="G88" s="140"/>
      <c r="H88" s="140"/>
      <c r="I88" s="138" t="str">
        <f aca="false">IFERROR(VLOOKUP(TEXT(H88,"0"),IPRESS!$A$3:$B$212,2,0),"")</f>
        <v/>
      </c>
      <c r="J88" s="140"/>
      <c r="K88" s="138" t="str">
        <f aca="false">IFERROR(VLOOKUP(TEXT(O88,"0"),CONDUCTORES!$A$3:$G$54,7,0),"")</f>
        <v/>
      </c>
      <c r="L88" s="140"/>
      <c r="M88" s="140"/>
      <c r="N88" s="139" t="str">
        <f aca="false">IFERROR(IF(L88*M88=0,"",L88*M88),"")</f>
        <v/>
      </c>
      <c r="O88" s="140"/>
      <c r="P88" s="138" t="str">
        <f aca="false">IFERROR(VLOOKUP(TEXT(O88,"0"),CONDUCTORES!$A$3:$G$54,2,0),"")</f>
        <v/>
      </c>
      <c r="Q88" s="138" t="str">
        <f aca="false">IFERROR(VLOOKUP(TEXT(O88,"0"),CONDUCTORES!$A$3:$H$54,6,0),"")</f>
        <v/>
      </c>
      <c r="R88" s="140"/>
      <c r="S88" s="140"/>
      <c r="T88" s="140"/>
      <c r="U88" s="140"/>
      <c r="V88" s="140"/>
      <c r="W88" s="140"/>
      <c r="X88" s="140"/>
      <c r="Y88" s="140"/>
      <c r="Z88" s="47" t="str">
        <f aca="false">IF(AND(G88&lt;&gt;"",R88&lt;&gt;"",V88&lt;&gt;"",W88&lt;&gt;""),"COMPLETADO","OBSERVADO")</f>
        <v>OBSERVADO</v>
      </c>
      <c r="AA88" s="89"/>
    </row>
    <row r="89" customFormat="false" ht="15.75" hidden="false" customHeight="true" outlineLevel="0" collapsed="false">
      <c r="A89" s="85"/>
      <c r="B89" s="85"/>
      <c r="C89" s="85"/>
      <c r="D89" s="85"/>
      <c r="E89" s="85"/>
      <c r="F89" s="85"/>
      <c r="G89" s="85"/>
      <c r="H89" s="85"/>
      <c r="I89" s="138" t="str">
        <f aca="false">IFERROR(VLOOKUP(TEXT(H89,"0"),IPRESS!$A$3:$B$212,2,0),"")</f>
        <v/>
      </c>
      <c r="J89" s="85"/>
      <c r="K89" s="138" t="str">
        <f aca="false">IFERROR(VLOOKUP(TEXT(O89,"0"),CONDUCTORES!$A$3:$G$54,7,0),"")</f>
        <v/>
      </c>
      <c r="L89" s="85"/>
      <c r="M89" s="85"/>
      <c r="N89" s="139" t="str">
        <f aca="false">IFERROR(IF(L89*M89=0,"",L89*M89),"")</f>
        <v/>
      </c>
      <c r="O89" s="85"/>
      <c r="P89" s="138" t="str">
        <f aca="false">IFERROR(VLOOKUP(TEXT(O89,"0"),CONDUCTORES!$A$3:$G$54,2,0),"")</f>
        <v/>
      </c>
      <c r="Q89" s="138" t="str">
        <f aca="false">IFERROR(VLOOKUP(TEXT(O89,"0"),CONDUCTORES!$A$3:$H$54,6,0),"")</f>
        <v/>
      </c>
      <c r="R89" s="85"/>
      <c r="S89" s="85"/>
      <c r="T89" s="85"/>
      <c r="U89" s="85"/>
      <c r="V89" s="85"/>
      <c r="W89" s="85"/>
      <c r="X89" s="85"/>
      <c r="Y89" s="85"/>
      <c r="Z89" s="41" t="str">
        <f aca="false">IF(AND(G89&lt;&gt;"",R89&lt;&gt;"",V89&lt;&gt;"",W89&lt;&gt;""),"COMPLETADO","OBSERVADO")</f>
        <v>OBSERVADO</v>
      </c>
      <c r="AA89" s="89"/>
    </row>
    <row r="90" customFormat="false" ht="15.75" hidden="false" customHeight="true" outlineLevel="0" collapsed="false">
      <c r="A90" s="140"/>
      <c r="B90" s="140"/>
      <c r="C90" s="140"/>
      <c r="D90" s="140"/>
      <c r="E90" s="140"/>
      <c r="F90" s="140"/>
      <c r="G90" s="140"/>
      <c r="H90" s="140"/>
      <c r="I90" s="138" t="str">
        <f aca="false">IFERROR(VLOOKUP(TEXT(H90,"0"),IPRESS!$A$3:$B$212,2,0),"")</f>
        <v/>
      </c>
      <c r="J90" s="140"/>
      <c r="K90" s="138" t="str">
        <f aca="false">IFERROR(VLOOKUP(TEXT(O90,"0"),CONDUCTORES!$A$3:$G$54,7,0),"")</f>
        <v/>
      </c>
      <c r="L90" s="140"/>
      <c r="M90" s="140"/>
      <c r="N90" s="139" t="str">
        <f aca="false">IFERROR(IF(L90*M90=0,"",L90*M90),"")</f>
        <v/>
      </c>
      <c r="O90" s="140"/>
      <c r="P90" s="138" t="str">
        <f aca="false">IFERROR(VLOOKUP(TEXT(O90,"0"),CONDUCTORES!$A$3:$G$54,2,0),"")</f>
        <v/>
      </c>
      <c r="Q90" s="138" t="str">
        <f aca="false">IFERROR(VLOOKUP(TEXT(O90,"0"),CONDUCTORES!$A$3:$H$54,6,0),"")</f>
        <v/>
      </c>
      <c r="R90" s="140"/>
      <c r="S90" s="140"/>
      <c r="T90" s="140"/>
      <c r="U90" s="140"/>
      <c r="V90" s="140"/>
      <c r="W90" s="140"/>
      <c r="X90" s="140"/>
      <c r="Y90" s="140"/>
      <c r="Z90" s="47" t="str">
        <f aca="false">IF(AND(G90&lt;&gt;"",R90&lt;&gt;"",V90&lt;&gt;"",W90&lt;&gt;""),"COMPLETADO","OBSERVADO")</f>
        <v>OBSERVADO</v>
      </c>
      <c r="AA90" s="89"/>
    </row>
    <row r="91" customFormat="false" ht="15.75" hidden="false" customHeight="true" outlineLevel="0" collapsed="false">
      <c r="A91" s="85"/>
      <c r="B91" s="85"/>
      <c r="C91" s="85"/>
      <c r="D91" s="85"/>
      <c r="E91" s="85"/>
      <c r="F91" s="85"/>
      <c r="G91" s="85"/>
      <c r="H91" s="85"/>
      <c r="I91" s="138" t="str">
        <f aca="false">IFERROR(VLOOKUP(TEXT(H91,"0"),IPRESS!$A$3:$B$212,2,0),"")</f>
        <v/>
      </c>
      <c r="J91" s="85"/>
      <c r="K91" s="138" t="str">
        <f aca="false">IFERROR(VLOOKUP(TEXT(O91,"0"),CONDUCTORES!$A$3:$G$54,7,0),"")</f>
        <v/>
      </c>
      <c r="L91" s="85"/>
      <c r="M91" s="85"/>
      <c r="N91" s="139" t="str">
        <f aca="false">IFERROR(IF(L91*M91=0,"",L91*M91),"")</f>
        <v/>
      </c>
      <c r="O91" s="85"/>
      <c r="P91" s="138" t="str">
        <f aca="false">IFERROR(VLOOKUP(TEXT(O91,"0"),CONDUCTORES!$A$3:$G$54,2,0),"")</f>
        <v/>
      </c>
      <c r="Q91" s="138" t="str">
        <f aca="false">IFERROR(VLOOKUP(TEXT(O91,"0"),CONDUCTORES!$A$3:$H$54,6,0),"")</f>
        <v/>
      </c>
      <c r="R91" s="85"/>
      <c r="S91" s="85"/>
      <c r="T91" s="85"/>
      <c r="U91" s="85"/>
      <c r="V91" s="85"/>
      <c r="W91" s="85"/>
      <c r="X91" s="85"/>
      <c r="Y91" s="85"/>
      <c r="Z91" s="41" t="str">
        <f aca="false">IF(AND(G91&lt;&gt;"",R91&lt;&gt;"",V91&lt;&gt;"",W91&lt;&gt;""),"COMPLETADO","OBSERVADO")</f>
        <v>OBSERVADO</v>
      </c>
      <c r="AA91" s="89"/>
    </row>
    <row r="92" customFormat="false" ht="15.75" hidden="false" customHeight="true" outlineLevel="0" collapsed="false">
      <c r="A92" s="140"/>
      <c r="B92" s="140"/>
      <c r="C92" s="140"/>
      <c r="D92" s="140"/>
      <c r="E92" s="140"/>
      <c r="F92" s="140"/>
      <c r="G92" s="140"/>
      <c r="H92" s="140"/>
      <c r="I92" s="138" t="str">
        <f aca="false">IFERROR(VLOOKUP(TEXT(H92,"0"),IPRESS!$A$3:$B$212,2,0),"")</f>
        <v/>
      </c>
      <c r="J92" s="140"/>
      <c r="K92" s="138" t="str">
        <f aca="false">IFERROR(VLOOKUP(TEXT(O92,"0"),CONDUCTORES!$A$3:$G$54,7,0),"")</f>
        <v/>
      </c>
      <c r="L92" s="140"/>
      <c r="M92" s="140"/>
      <c r="N92" s="139" t="str">
        <f aca="false">IFERROR(IF(L92*M92=0,"",L92*M92),"")</f>
        <v/>
      </c>
      <c r="O92" s="140"/>
      <c r="P92" s="138" t="str">
        <f aca="false">IFERROR(VLOOKUP(TEXT(O92,"0"),CONDUCTORES!$A$3:$G$54,2,0),"")</f>
        <v/>
      </c>
      <c r="Q92" s="138" t="str">
        <f aca="false">IFERROR(VLOOKUP(TEXT(O92,"0"),CONDUCTORES!$A$3:$H$54,6,0),"")</f>
        <v/>
      </c>
      <c r="R92" s="140"/>
      <c r="S92" s="140"/>
      <c r="T92" s="140"/>
      <c r="U92" s="140"/>
      <c r="V92" s="140"/>
      <c r="W92" s="140"/>
      <c r="X92" s="140"/>
      <c r="Y92" s="140"/>
      <c r="Z92" s="47" t="str">
        <f aca="false">IF(AND(G92&lt;&gt;"",R92&lt;&gt;"",V92&lt;&gt;"",W92&lt;&gt;""),"COMPLETADO","OBSERVADO")</f>
        <v>OBSERVADO</v>
      </c>
      <c r="AA92" s="89"/>
    </row>
    <row r="93" customFormat="false" ht="15.75" hidden="false" customHeight="true" outlineLevel="0" collapsed="false">
      <c r="A93" s="85"/>
      <c r="B93" s="85"/>
      <c r="C93" s="85"/>
      <c r="D93" s="85"/>
      <c r="E93" s="85"/>
      <c r="F93" s="85"/>
      <c r="G93" s="85"/>
      <c r="H93" s="85"/>
      <c r="I93" s="138" t="str">
        <f aca="false">IFERROR(VLOOKUP(TEXT(H93,"0"),IPRESS!$A$3:$B$212,2,0),"")</f>
        <v/>
      </c>
      <c r="J93" s="85"/>
      <c r="K93" s="138" t="str">
        <f aca="false">IFERROR(VLOOKUP(TEXT(O93,"0"),CONDUCTORES!$A$3:$G$54,7,0),"")</f>
        <v/>
      </c>
      <c r="L93" s="85"/>
      <c r="M93" s="85"/>
      <c r="N93" s="139" t="str">
        <f aca="false">IFERROR(IF(L93*M93=0,"",L93*M93),"")</f>
        <v/>
      </c>
      <c r="O93" s="85"/>
      <c r="P93" s="138" t="str">
        <f aca="false">IFERROR(VLOOKUP(TEXT(O93,"0"),CONDUCTORES!$A$3:$G$54,2,0),"")</f>
        <v/>
      </c>
      <c r="Q93" s="138" t="str">
        <f aca="false">IFERROR(VLOOKUP(TEXT(O93,"0"),CONDUCTORES!$A$3:$H$54,6,0),"")</f>
        <v/>
      </c>
      <c r="R93" s="85"/>
      <c r="S93" s="85"/>
      <c r="T93" s="85"/>
      <c r="U93" s="85"/>
      <c r="V93" s="85"/>
      <c r="W93" s="85"/>
      <c r="X93" s="85"/>
      <c r="Y93" s="85"/>
      <c r="Z93" s="41" t="str">
        <f aca="false">IF(AND(G93&lt;&gt;"",R93&lt;&gt;"",V93&lt;&gt;"",W93&lt;&gt;""),"COMPLETADO","OBSERVADO")</f>
        <v>OBSERVADO</v>
      </c>
      <c r="AA93" s="89"/>
    </row>
    <row r="94" customFormat="false" ht="15.75" hidden="false" customHeight="true" outlineLevel="0" collapsed="false">
      <c r="A94" s="140"/>
      <c r="B94" s="140"/>
      <c r="C94" s="140"/>
      <c r="D94" s="140"/>
      <c r="E94" s="140"/>
      <c r="F94" s="140"/>
      <c r="G94" s="140"/>
      <c r="H94" s="140"/>
      <c r="I94" s="138" t="str">
        <f aca="false">IFERROR(VLOOKUP(TEXT(H94,"0"),IPRESS!$A$3:$B$212,2,0),"")</f>
        <v/>
      </c>
      <c r="J94" s="140"/>
      <c r="K94" s="138" t="str">
        <f aca="false">IFERROR(VLOOKUP(TEXT(O94,"0"),CONDUCTORES!$A$3:$G$54,7,0),"")</f>
        <v/>
      </c>
      <c r="L94" s="140"/>
      <c r="M94" s="140"/>
      <c r="N94" s="139" t="str">
        <f aca="false">IFERROR(IF(L94*M94=0,"",L94*M94),"")</f>
        <v/>
      </c>
      <c r="O94" s="140"/>
      <c r="P94" s="138" t="str">
        <f aca="false">IFERROR(VLOOKUP(TEXT(O94,"0"),CONDUCTORES!$A$3:$G$54,2,0),"")</f>
        <v/>
      </c>
      <c r="Q94" s="138" t="str">
        <f aca="false">IFERROR(VLOOKUP(TEXT(O94,"0"),CONDUCTORES!$A$3:$H$54,6,0),"")</f>
        <v/>
      </c>
      <c r="R94" s="140"/>
      <c r="S94" s="140"/>
      <c r="T94" s="140"/>
      <c r="U94" s="140"/>
      <c r="V94" s="140"/>
      <c r="W94" s="140"/>
      <c r="X94" s="140"/>
      <c r="Y94" s="140"/>
      <c r="Z94" s="47" t="str">
        <f aca="false">IF(AND(G94&lt;&gt;"",R94&lt;&gt;"",V94&lt;&gt;"",W94&lt;&gt;""),"COMPLETADO","OBSERVADO")</f>
        <v>OBSERVADO</v>
      </c>
      <c r="AA94" s="89"/>
    </row>
    <row r="95" customFormat="false" ht="15.75" hidden="false" customHeight="true" outlineLevel="0" collapsed="false">
      <c r="A95" s="85"/>
      <c r="B95" s="85"/>
      <c r="C95" s="85"/>
      <c r="D95" s="85"/>
      <c r="E95" s="85"/>
      <c r="F95" s="85"/>
      <c r="G95" s="85"/>
      <c r="H95" s="85"/>
      <c r="I95" s="138" t="str">
        <f aca="false">IFERROR(VLOOKUP(TEXT(H95,"0"),IPRESS!$A$3:$B$212,2,0),"")</f>
        <v/>
      </c>
      <c r="J95" s="85"/>
      <c r="K95" s="138" t="str">
        <f aca="false">IFERROR(VLOOKUP(TEXT(O95,"0"),CONDUCTORES!$A$3:$G$54,7,0),"")</f>
        <v/>
      </c>
      <c r="L95" s="85"/>
      <c r="M95" s="85"/>
      <c r="N95" s="139" t="str">
        <f aca="false">IFERROR(IF(L95*M95=0,"",L95*M95),"")</f>
        <v/>
      </c>
      <c r="O95" s="85"/>
      <c r="P95" s="138" t="str">
        <f aca="false">IFERROR(VLOOKUP(TEXT(O95,"0"),CONDUCTORES!$A$3:$G$54,2,0),"")</f>
        <v/>
      </c>
      <c r="Q95" s="138" t="str">
        <f aca="false">IFERROR(VLOOKUP(TEXT(O95,"0"),CONDUCTORES!$A$3:$H$54,6,0),"")</f>
        <v/>
      </c>
      <c r="R95" s="85"/>
      <c r="S95" s="85"/>
      <c r="T95" s="85"/>
      <c r="U95" s="85"/>
      <c r="V95" s="85"/>
      <c r="W95" s="85"/>
      <c r="X95" s="85"/>
      <c r="Y95" s="85"/>
      <c r="Z95" s="41" t="str">
        <f aca="false">IF(AND(G95&lt;&gt;"",R95&lt;&gt;"",V95&lt;&gt;"",W95&lt;&gt;""),"COMPLETADO","OBSERVADO")</f>
        <v>OBSERVADO</v>
      </c>
      <c r="AA95" s="89"/>
    </row>
    <row r="96" customFormat="false" ht="15.75" hidden="false" customHeight="true" outlineLevel="0" collapsed="false">
      <c r="A96" s="140"/>
      <c r="B96" s="140"/>
      <c r="C96" s="140"/>
      <c r="D96" s="140"/>
      <c r="E96" s="140"/>
      <c r="F96" s="140"/>
      <c r="G96" s="140"/>
      <c r="H96" s="140"/>
      <c r="I96" s="138" t="str">
        <f aca="false">IFERROR(VLOOKUP(TEXT(H96,"0"),IPRESS!$A$3:$B$212,2,0),"")</f>
        <v/>
      </c>
      <c r="J96" s="140"/>
      <c r="K96" s="138" t="str">
        <f aca="false">IFERROR(VLOOKUP(TEXT(O96,"0"),CONDUCTORES!$A$3:$G$54,7,0),"")</f>
        <v/>
      </c>
      <c r="L96" s="140"/>
      <c r="M96" s="140"/>
      <c r="N96" s="139" t="str">
        <f aca="false">IFERROR(IF(L96*M96=0,"",L96*M96),"")</f>
        <v/>
      </c>
      <c r="O96" s="140"/>
      <c r="P96" s="138" t="str">
        <f aca="false">IFERROR(VLOOKUP(TEXT(O96,"0"),CONDUCTORES!$A$3:$G$54,2,0),"")</f>
        <v/>
      </c>
      <c r="Q96" s="138" t="str">
        <f aca="false">IFERROR(VLOOKUP(TEXT(O96,"0"),CONDUCTORES!$A$3:$H$54,6,0),"")</f>
        <v/>
      </c>
      <c r="R96" s="140"/>
      <c r="S96" s="140"/>
      <c r="T96" s="140"/>
      <c r="U96" s="140"/>
      <c r="V96" s="140"/>
      <c r="W96" s="140"/>
      <c r="X96" s="140"/>
      <c r="Y96" s="140"/>
      <c r="Z96" s="47" t="str">
        <f aca="false">IF(AND(G96&lt;&gt;"",R96&lt;&gt;"",V96&lt;&gt;"",W96&lt;&gt;""),"COMPLETADO","OBSERVADO")</f>
        <v>OBSERVADO</v>
      </c>
      <c r="AA96" s="89"/>
    </row>
    <row r="97" customFormat="false" ht="15.75" hidden="false" customHeight="true" outlineLevel="0" collapsed="false">
      <c r="A97" s="85"/>
      <c r="B97" s="85"/>
      <c r="C97" s="85"/>
      <c r="D97" s="85"/>
      <c r="E97" s="85"/>
      <c r="F97" s="85"/>
      <c r="G97" s="85"/>
      <c r="H97" s="85"/>
      <c r="I97" s="138" t="str">
        <f aca="false">IFERROR(VLOOKUP(TEXT(H97,"0"),IPRESS!$A$3:$B$212,2,0),"")</f>
        <v/>
      </c>
      <c r="J97" s="85"/>
      <c r="K97" s="138" t="str">
        <f aca="false">IFERROR(VLOOKUP(TEXT(O97,"0"),CONDUCTORES!$A$3:$G$54,7,0),"")</f>
        <v/>
      </c>
      <c r="L97" s="85"/>
      <c r="M97" s="85"/>
      <c r="N97" s="139" t="str">
        <f aca="false">IFERROR(IF(L97*M97=0,"",L97*M97),"")</f>
        <v/>
      </c>
      <c r="O97" s="85"/>
      <c r="P97" s="138" t="str">
        <f aca="false">IFERROR(VLOOKUP(TEXT(O97,"0"),CONDUCTORES!$A$3:$G$54,2,0),"")</f>
        <v/>
      </c>
      <c r="Q97" s="138" t="str">
        <f aca="false">IFERROR(VLOOKUP(TEXT(O97,"0"),CONDUCTORES!$A$3:$H$54,6,0),"")</f>
        <v/>
      </c>
      <c r="R97" s="85"/>
      <c r="S97" s="85"/>
      <c r="T97" s="85"/>
      <c r="U97" s="85"/>
      <c r="V97" s="85"/>
      <c r="W97" s="85"/>
      <c r="X97" s="85"/>
      <c r="Y97" s="85"/>
      <c r="Z97" s="41" t="str">
        <f aca="false">IF(AND(G97&lt;&gt;"",R97&lt;&gt;"",V97&lt;&gt;"",W97&lt;&gt;""),"COMPLETADO","OBSERVADO")</f>
        <v>OBSERVADO</v>
      </c>
      <c r="AA97" s="89"/>
    </row>
    <row r="98" customFormat="false" ht="15.75" hidden="false" customHeight="true" outlineLevel="0" collapsed="false">
      <c r="A98" s="140"/>
      <c r="B98" s="140"/>
      <c r="C98" s="140"/>
      <c r="D98" s="140"/>
      <c r="E98" s="140"/>
      <c r="F98" s="140"/>
      <c r="G98" s="140"/>
      <c r="H98" s="140"/>
      <c r="I98" s="138" t="str">
        <f aca="false">IFERROR(VLOOKUP(TEXT(H98,"0"),IPRESS!$A$3:$B$212,2,0),"")</f>
        <v/>
      </c>
      <c r="J98" s="140"/>
      <c r="K98" s="138" t="str">
        <f aca="false">IFERROR(VLOOKUP(TEXT(O98,"0"),CONDUCTORES!$A$3:$G$54,7,0),"")</f>
        <v/>
      </c>
      <c r="L98" s="140"/>
      <c r="M98" s="140"/>
      <c r="N98" s="139" t="str">
        <f aca="false">IFERROR(IF(L98*M98=0,"",L98*M98),"")</f>
        <v/>
      </c>
      <c r="O98" s="140"/>
      <c r="P98" s="138" t="str">
        <f aca="false">IFERROR(VLOOKUP(TEXT(O98,"0"),CONDUCTORES!$A$3:$G$54,2,0),"")</f>
        <v/>
      </c>
      <c r="Q98" s="138" t="str">
        <f aca="false">IFERROR(VLOOKUP(TEXT(O98,"0"),CONDUCTORES!$A$3:$H$54,6,0),"")</f>
        <v/>
      </c>
      <c r="R98" s="140"/>
      <c r="S98" s="140"/>
      <c r="T98" s="140"/>
      <c r="U98" s="140"/>
      <c r="V98" s="140"/>
      <c r="W98" s="140"/>
      <c r="X98" s="140"/>
      <c r="Y98" s="140"/>
      <c r="Z98" s="47" t="str">
        <f aca="false">IF(AND(G98&lt;&gt;"",R98&lt;&gt;"",V98&lt;&gt;"",W98&lt;&gt;""),"COMPLETADO","OBSERVADO")</f>
        <v>OBSERVADO</v>
      </c>
      <c r="AA98" s="89"/>
    </row>
    <row r="99" customFormat="false" ht="15.75" hidden="false" customHeight="true" outlineLevel="0" collapsed="false">
      <c r="A99" s="85"/>
      <c r="B99" s="85"/>
      <c r="C99" s="85"/>
      <c r="D99" s="85"/>
      <c r="E99" s="85"/>
      <c r="F99" s="85"/>
      <c r="G99" s="85"/>
      <c r="H99" s="85"/>
      <c r="I99" s="138" t="str">
        <f aca="false">IFERROR(VLOOKUP(TEXT(H99,"0"),IPRESS!$A$3:$B$212,2,0),"")</f>
        <v/>
      </c>
      <c r="J99" s="85"/>
      <c r="K99" s="138" t="str">
        <f aca="false">IFERROR(VLOOKUP(TEXT(O99,"0"),CONDUCTORES!$A$3:$G$54,7,0),"")</f>
        <v/>
      </c>
      <c r="L99" s="85"/>
      <c r="M99" s="85"/>
      <c r="N99" s="139" t="str">
        <f aca="false">IFERROR(IF(L99*M99=0,"",L99*M99),"")</f>
        <v/>
      </c>
      <c r="O99" s="85"/>
      <c r="P99" s="138" t="str">
        <f aca="false">IFERROR(VLOOKUP(TEXT(O99,"0"),CONDUCTORES!$A$3:$G$54,2,0),"")</f>
        <v/>
      </c>
      <c r="Q99" s="138" t="str">
        <f aca="false">IFERROR(VLOOKUP(TEXT(O99,"0"),CONDUCTORES!$A$3:$H$54,6,0),"")</f>
        <v/>
      </c>
      <c r="R99" s="85"/>
      <c r="S99" s="85"/>
      <c r="T99" s="85"/>
      <c r="U99" s="85"/>
      <c r="V99" s="85"/>
      <c r="W99" s="85"/>
      <c r="X99" s="85"/>
      <c r="Y99" s="85"/>
      <c r="Z99" s="41" t="str">
        <f aca="false">IF(AND(G99&lt;&gt;"",R99&lt;&gt;"",V99&lt;&gt;"",W99&lt;&gt;""),"COMPLETADO","OBSERVADO")</f>
        <v>OBSERVADO</v>
      </c>
      <c r="AA99" s="89"/>
    </row>
    <row r="100" customFormat="false" ht="15.75" hidden="false" customHeight="true" outlineLevel="0" collapsed="false">
      <c r="A100" s="140"/>
      <c r="B100" s="140"/>
      <c r="C100" s="140"/>
      <c r="D100" s="140"/>
      <c r="E100" s="140"/>
      <c r="F100" s="140"/>
      <c r="G100" s="140"/>
      <c r="H100" s="140"/>
      <c r="I100" s="138" t="str">
        <f aca="false">IFERROR(VLOOKUP(TEXT(H100,"0"),IPRESS!$A$3:$B$212,2,0),"")</f>
        <v/>
      </c>
      <c r="J100" s="140"/>
      <c r="K100" s="138" t="str">
        <f aca="false">IFERROR(VLOOKUP(TEXT(O100,"0"),CONDUCTORES!$A$3:$G$54,7,0),"")</f>
        <v/>
      </c>
      <c r="L100" s="140"/>
      <c r="M100" s="140"/>
      <c r="N100" s="139" t="str">
        <f aca="false">IFERROR(IF(L100*M100=0,"",L100*M100),"")</f>
        <v/>
      </c>
      <c r="O100" s="140"/>
      <c r="P100" s="138" t="str">
        <f aca="false">IFERROR(VLOOKUP(TEXT(O100,"0"),CONDUCTORES!$A$3:$G$54,2,0),"")</f>
        <v/>
      </c>
      <c r="Q100" s="138" t="str">
        <f aca="false">IFERROR(VLOOKUP(TEXT(O100,"0"),CONDUCTORES!$A$3:$H$54,6,0),"")</f>
        <v/>
      </c>
      <c r="R100" s="140"/>
      <c r="S100" s="140"/>
      <c r="T100" s="140"/>
      <c r="U100" s="140"/>
      <c r="V100" s="140"/>
      <c r="W100" s="140"/>
      <c r="X100" s="140"/>
      <c r="Y100" s="140"/>
      <c r="Z100" s="47" t="str">
        <f aca="false">IF(AND(G100&lt;&gt;"",R100&lt;&gt;"",V100&lt;&gt;"",W100&lt;&gt;""),"COMPLETADO","OBSERVADO")</f>
        <v>OBSERVADO</v>
      </c>
      <c r="AA100" s="89"/>
    </row>
    <row r="101" customFormat="false" ht="15.75" hidden="false" customHeight="true" outlineLevel="0" collapsed="false">
      <c r="A101" s="85"/>
      <c r="B101" s="85"/>
      <c r="C101" s="85"/>
      <c r="D101" s="85"/>
      <c r="E101" s="85"/>
      <c r="F101" s="85"/>
      <c r="G101" s="85"/>
      <c r="H101" s="85"/>
      <c r="I101" s="138" t="str">
        <f aca="false">IFERROR(VLOOKUP(TEXT(H101,"0"),IPRESS!$A$3:$B$212,2,0),"")</f>
        <v/>
      </c>
      <c r="J101" s="85"/>
      <c r="K101" s="138" t="str">
        <f aca="false">IFERROR(VLOOKUP(TEXT(O101,"0"),CONDUCTORES!$A$3:$G$54,7,0),"")</f>
        <v/>
      </c>
      <c r="L101" s="85"/>
      <c r="M101" s="85"/>
      <c r="N101" s="139" t="str">
        <f aca="false">IFERROR(IF(L101*M101=0,"",L101*M101),"")</f>
        <v/>
      </c>
      <c r="O101" s="85"/>
      <c r="P101" s="138" t="str">
        <f aca="false">IFERROR(VLOOKUP(TEXT(O101,"0"),CONDUCTORES!$A$3:$G$54,2,0),"")</f>
        <v/>
      </c>
      <c r="Q101" s="138" t="str">
        <f aca="false">IFERROR(VLOOKUP(TEXT(O101,"0"),CONDUCTORES!$A$3:$H$54,6,0),"")</f>
        <v/>
      </c>
      <c r="R101" s="85"/>
      <c r="S101" s="85"/>
      <c r="T101" s="85"/>
      <c r="U101" s="85"/>
      <c r="V101" s="85"/>
      <c r="W101" s="85"/>
      <c r="X101" s="85"/>
      <c r="Y101" s="85"/>
      <c r="Z101" s="41" t="str">
        <f aca="false">IF(AND(G101&lt;&gt;"",R101&lt;&gt;"",V101&lt;&gt;"",W101&lt;&gt;""),"COMPLETADO","OBSERVADO")</f>
        <v>OBSERVADO</v>
      </c>
      <c r="AA101" s="89"/>
    </row>
    <row r="102" customFormat="false" ht="15.75" hidden="false" customHeight="true" outlineLevel="0" collapsed="false">
      <c r="A102" s="140"/>
      <c r="B102" s="140"/>
      <c r="C102" s="140"/>
      <c r="D102" s="140"/>
      <c r="E102" s="140"/>
      <c r="F102" s="140"/>
      <c r="G102" s="140"/>
      <c r="H102" s="140"/>
      <c r="I102" s="138" t="str">
        <f aca="false">IFERROR(VLOOKUP(TEXT(H102,"0"),IPRESS!$A$3:$B$212,2,0),"")</f>
        <v/>
      </c>
      <c r="J102" s="140"/>
      <c r="K102" s="138" t="str">
        <f aca="false">IFERROR(VLOOKUP(TEXT(O102,"0"),CONDUCTORES!$A$3:$G$54,7,0),"")</f>
        <v/>
      </c>
      <c r="L102" s="140"/>
      <c r="M102" s="140"/>
      <c r="N102" s="139" t="str">
        <f aca="false">IFERROR(IF(L102*M102=0,"",L102*M102),"")</f>
        <v/>
      </c>
      <c r="O102" s="140"/>
      <c r="P102" s="138" t="str">
        <f aca="false">IFERROR(VLOOKUP(TEXT(O102,"0"),CONDUCTORES!$A$3:$G$54,2,0),"")</f>
        <v/>
      </c>
      <c r="Q102" s="138" t="str">
        <f aca="false">IFERROR(VLOOKUP(TEXT(O102,"0"),CONDUCTORES!$A$3:$H$54,6,0),"")</f>
        <v/>
      </c>
      <c r="R102" s="140"/>
      <c r="S102" s="140"/>
      <c r="T102" s="140"/>
      <c r="U102" s="140"/>
      <c r="V102" s="140"/>
      <c r="W102" s="140"/>
      <c r="X102" s="140"/>
      <c r="Y102" s="140"/>
      <c r="Z102" s="47" t="str">
        <f aca="false">IF(AND(G102&lt;&gt;"",R102&lt;&gt;"",V102&lt;&gt;"",W102&lt;&gt;""),"COMPLETADO","OBSERVADO")</f>
        <v>OBSERVADO</v>
      </c>
      <c r="AA102" s="89"/>
    </row>
    <row r="103" customFormat="false" ht="15.7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138" t="str">
        <f aca="false">IFERROR(VLOOKUP(TEXT(H103,"0"),IPRESS!$A$3:$B$212,2,0),"")</f>
        <v/>
      </c>
      <c r="J103" s="85"/>
      <c r="K103" s="138" t="str">
        <f aca="false">IFERROR(VLOOKUP(TEXT(O103,"0"),CONDUCTORES!$A$3:$G$54,7,0),"")</f>
        <v/>
      </c>
      <c r="L103" s="85"/>
      <c r="M103" s="85"/>
      <c r="N103" s="139" t="str">
        <f aca="false">IFERROR(IF(L103*M103=0,"",L103*M103),"")</f>
        <v/>
      </c>
      <c r="O103" s="85"/>
      <c r="P103" s="138" t="str">
        <f aca="false">IFERROR(VLOOKUP(TEXT(O103,"0"),CONDUCTORES!$A$3:$G$54,2,0),"")</f>
        <v/>
      </c>
      <c r="Q103" s="138" t="str">
        <f aca="false">IFERROR(VLOOKUP(TEXT(O103,"0"),CONDUCTORES!$A$3:$H$54,6,0),"")</f>
        <v/>
      </c>
      <c r="R103" s="85"/>
      <c r="S103" s="85"/>
      <c r="T103" s="85"/>
      <c r="U103" s="85"/>
      <c r="V103" s="85"/>
      <c r="W103" s="85"/>
      <c r="X103" s="85"/>
      <c r="Y103" s="85"/>
      <c r="Z103" s="41" t="str">
        <f aca="false">IF(AND(G103&lt;&gt;"",R103&lt;&gt;"",V103&lt;&gt;"",W103&lt;&gt;""),"COMPLETADO","OBSERVADO")</f>
        <v>OBSERVADO</v>
      </c>
      <c r="AA103" s="89"/>
    </row>
    <row r="104" customFormat="false" ht="15.75" hidden="false" customHeight="true" outlineLevel="0" collapsed="false">
      <c r="A104" s="140"/>
      <c r="B104" s="140"/>
      <c r="C104" s="140"/>
      <c r="D104" s="140"/>
      <c r="E104" s="140"/>
      <c r="F104" s="140"/>
      <c r="G104" s="140"/>
      <c r="H104" s="140"/>
      <c r="I104" s="138" t="str">
        <f aca="false">IFERROR(VLOOKUP(TEXT(H104,"0"),IPRESS!$A$3:$B$212,2,0),"")</f>
        <v/>
      </c>
      <c r="J104" s="140"/>
      <c r="K104" s="138" t="str">
        <f aca="false">IFERROR(VLOOKUP(TEXT(O104,"0"),CONDUCTORES!$A$3:$G$54,7,0),"")</f>
        <v/>
      </c>
      <c r="L104" s="140"/>
      <c r="M104" s="140"/>
      <c r="N104" s="139" t="str">
        <f aca="false">IFERROR(IF(L104*M104=0,"",L104*M104),"")</f>
        <v/>
      </c>
      <c r="O104" s="140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140"/>
      <c r="S104" s="140"/>
      <c r="T104" s="140"/>
      <c r="U104" s="140"/>
      <c r="V104" s="140"/>
      <c r="W104" s="140"/>
      <c r="X104" s="140"/>
      <c r="Y104" s="140"/>
      <c r="Z104" s="47" t="str">
        <f aca="false">IF(AND(G104&lt;&gt;"",R104&lt;&gt;"",V104&lt;&gt;"",W104&lt;&gt;""),"COMPLETADO","OBSERVADO")</f>
        <v>OBSERVADO</v>
      </c>
      <c r="AA104" s="89"/>
    </row>
    <row r="105" customFormat="false" ht="15.7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38" t="str">
        <f aca="false">IFERROR(VLOOKUP(TEXT(H105,"0"),IPRESS!$A$3:$B$212,2,0),"")</f>
        <v/>
      </c>
      <c r="J105" s="85"/>
      <c r="K105" s="138" t="str">
        <f aca="false">IFERROR(VLOOKUP(TEXT(O105,"0"),CONDUCTORES!$A$3:$G$54,7,0),"")</f>
        <v/>
      </c>
      <c r="L105" s="85"/>
      <c r="M105" s="85"/>
      <c r="N105" s="139" t="str">
        <f aca="false">IFERROR(IF(L105*M105=0,"",L105*M105),"")</f>
        <v/>
      </c>
      <c r="O105" s="85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85"/>
      <c r="S105" s="85"/>
      <c r="T105" s="85"/>
      <c r="U105" s="85"/>
      <c r="V105" s="85"/>
      <c r="W105" s="85"/>
      <c r="X105" s="85"/>
      <c r="Y105" s="85"/>
      <c r="Z105" s="41" t="str">
        <f aca="false">IF(AND(G105&lt;&gt;"",R105&lt;&gt;"",V105&lt;&gt;"",W105&lt;&gt;""),"COMPLETADO","OBSERVADO")</f>
        <v>OBSERVADO</v>
      </c>
      <c r="AA105" s="89"/>
    </row>
    <row r="106" customFormat="false" ht="15.75" hidden="false" customHeight="true" outlineLevel="0" collapsed="false">
      <c r="A106" s="140"/>
      <c r="B106" s="140"/>
      <c r="C106" s="140"/>
      <c r="D106" s="140"/>
      <c r="E106" s="140"/>
      <c r="F106" s="140"/>
      <c r="G106" s="140"/>
      <c r="H106" s="140"/>
      <c r="I106" s="138" t="str">
        <f aca="false">IFERROR(VLOOKUP(TEXT(H106,"0"),IPRESS!$A$3:$B$212,2,0),"")</f>
        <v/>
      </c>
      <c r="J106" s="140"/>
      <c r="K106" s="138" t="str">
        <f aca="false">IFERROR(VLOOKUP(TEXT(O106,"0"),CONDUCTORES!$A$3:$G$54,7,0),"")</f>
        <v/>
      </c>
      <c r="L106" s="140"/>
      <c r="M106" s="140"/>
      <c r="N106" s="139" t="str">
        <f aca="false">IFERROR(IF(L106*M106=0,"",L106*M106),"")</f>
        <v/>
      </c>
      <c r="O106" s="140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140"/>
      <c r="S106" s="140"/>
      <c r="T106" s="140"/>
      <c r="U106" s="140"/>
      <c r="V106" s="140"/>
      <c r="W106" s="140"/>
      <c r="X106" s="140"/>
      <c r="Y106" s="140"/>
      <c r="Z106" s="47" t="str">
        <f aca="false">IF(AND(G106&lt;&gt;"",R106&lt;&gt;"",V106&lt;&gt;"",W106&lt;&gt;""),"COMPLETADO","OBSERVADO")</f>
        <v>OBSERVADO</v>
      </c>
      <c r="AA106" s="89"/>
    </row>
    <row r="107" customFormat="false" ht="15.7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38" t="str">
        <f aca="false">IFERROR(VLOOKUP(TEXT(H107,"0"),IPRESS!$A$3:$B$212,2,0),"")</f>
        <v/>
      </c>
      <c r="J107" s="85"/>
      <c r="K107" s="138" t="str">
        <f aca="false">IFERROR(VLOOKUP(TEXT(O107,"0"),CONDUCTORES!$A$3:$G$54,7,0),"")</f>
        <v/>
      </c>
      <c r="L107" s="85"/>
      <c r="M107" s="85"/>
      <c r="N107" s="139" t="str">
        <f aca="false">IFERROR(IF(L107*M107=0,"",L107*M107),"")</f>
        <v/>
      </c>
      <c r="O107" s="85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85"/>
      <c r="S107" s="85"/>
      <c r="T107" s="85"/>
      <c r="U107" s="85"/>
      <c r="V107" s="85"/>
      <c r="W107" s="85"/>
      <c r="X107" s="85"/>
      <c r="Y107" s="85"/>
      <c r="Z107" s="41" t="str">
        <f aca="false">IF(AND(G107&lt;&gt;"",R107&lt;&gt;"",V107&lt;&gt;"",W107&lt;&gt;""),"COMPLETADO","OBSERVADO")</f>
        <v>OBSERVADO</v>
      </c>
      <c r="AA107" s="89"/>
    </row>
    <row r="108" customFormat="false" ht="15.75" hidden="false" customHeight="true" outlineLevel="0" collapsed="false">
      <c r="A108" s="140"/>
      <c r="B108" s="140"/>
      <c r="C108" s="140"/>
      <c r="D108" s="140"/>
      <c r="E108" s="140"/>
      <c r="F108" s="140"/>
      <c r="G108" s="140"/>
      <c r="H108" s="140"/>
      <c r="I108" s="138" t="str">
        <f aca="false">IFERROR(VLOOKUP(TEXT(H108,"0"),IPRESS!$A$3:$B$212,2,0),"")</f>
        <v/>
      </c>
      <c r="J108" s="140"/>
      <c r="K108" s="138" t="str">
        <f aca="false">IFERROR(VLOOKUP(TEXT(O108,"0"),CONDUCTORES!$A$3:$G$54,7,0),"")</f>
        <v/>
      </c>
      <c r="L108" s="140"/>
      <c r="M108" s="140"/>
      <c r="N108" s="139" t="str">
        <f aca="false">IFERROR(IF(L108*M108=0,"",L108*M108),"")</f>
        <v/>
      </c>
      <c r="O108" s="140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140"/>
      <c r="S108" s="140"/>
      <c r="T108" s="140"/>
      <c r="U108" s="140"/>
      <c r="V108" s="140"/>
      <c r="W108" s="140"/>
      <c r="X108" s="140"/>
      <c r="Y108" s="140"/>
      <c r="Z108" s="47" t="str">
        <f aca="false">IF(AND(G108&lt;&gt;"",R108&lt;&gt;"",V108&lt;&gt;"",W108&lt;&gt;""),"COMPLETADO","OBSERVADO")</f>
        <v>OBSERVADO</v>
      </c>
      <c r="AA108" s="89"/>
    </row>
    <row r="109" customFormat="false" ht="15.7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38" t="str">
        <f aca="false">IFERROR(VLOOKUP(TEXT(O109,"0"),CONDUCTORES!$A$3:$G$54,7,0),"")</f>
        <v/>
      </c>
      <c r="L109" s="85"/>
      <c r="M109" s="85"/>
      <c r="N109" s="139" t="str">
        <f aca="false">IFERROR(IF(L109*M109=0,"",L109*M109),"")</f>
        <v/>
      </c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41" t="str">
        <f aca="false">IF(AND(G109&lt;&gt;"",R109&lt;&gt;"",V109&lt;&gt;"",W109&lt;&gt;""),"COMPLETADO","OBSERVADO")</f>
        <v>OBSERVADO</v>
      </c>
      <c r="AA109" s="89"/>
    </row>
    <row r="110" customFormat="false" ht="15.75" hidden="false" customHeight="true" outlineLevel="0" collapsed="false">
      <c r="A110" s="140"/>
      <c r="B110" s="140"/>
      <c r="C110" s="140"/>
      <c r="D110" s="140"/>
      <c r="E110" s="140"/>
      <c r="F110" s="140"/>
      <c r="G110" s="140"/>
      <c r="H110" s="140"/>
      <c r="I110" s="138" t="str">
        <f aca="false">IFERROR(VLOOKUP(TEXT(H110,"0"),IPRESS!$A$3:$B$212,2,0),"")</f>
        <v/>
      </c>
      <c r="J110" s="140"/>
      <c r="K110" s="138" t="str">
        <f aca="false">IFERROR(VLOOKUP(TEXT(O110,"0"),CONDUCTORES!$A$3:$G$54,7,0),"")</f>
        <v/>
      </c>
      <c r="L110" s="140"/>
      <c r="M110" s="140"/>
      <c r="N110" s="139" t="str">
        <f aca="false">IFERROR(IF(L110*M110=0,"",L110*M110),"")</f>
        <v/>
      </c>
      <c r="O110" s="140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140"/>
      <c r="S110" s="140"/>
      <c r="T110" s="140"/>
      <c r="U110" s="140"/>
      <c r="V110" s="140"/>
      <c r="W110" s="140"/>
      <c r="X110" s="140"/>
      <c r="Y110" s="140"/>
      <c r="Z110" s="47" t="str">
        <f aca="false">IF(AND(G110&lt;&gt;"",R110&lt;&gt;"",V110&lt;&gt;"",W110&lt;&gt;""),"COMPLETADO","OBSERVADO")</f>
        <v>OBSERVADO</v>
      </c>
      <c r="AA110" s="89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184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9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184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9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184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9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184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9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184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9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184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9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184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9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184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9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184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9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85" t="str">
        <f aca="false">IF(AND(G120&lt;&gt;"",R120&lt;&gt;"",V120&lt;&gt;"",W120&lt;&gt;""),"COMPLETADO","OBSERVADO")</f>
        <v>OBSERVADO</v>
      </c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  <c r="Z121" s="185" t="str">
        <f aca="false">IF(AND(G121&lt;&gt;"",R121&lt;&gt;"",V121&lt;&gt;"",W121&lt;&gt;""),"COMPLETADO","OBSERVADO")</f>
        <v>OBSERVADO</v>
      </c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85" t="str">
        <f aca="false">IF(AND(G122&lt;&gt;"",R122&lt;&gt;"",V122&lt;&gt;"",W122&lt;&gt;""),"COMPLETADO","OBSERVADO")</f>
        <v>OBSERVADO</v>
      </c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  <c r="Z123" s="185" t="str">
        <f aca="false">IF(AND(G123&lt;&gt;"",R123&lt;&gt;"",V123&lt;&gt;"",W123&lt;&gt;""),"COMPLETADO","OBSERVADO")</f>
        <v>OBSERVADO</v>
      </c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85" t="str">
        <f aca="false">IF(AND(G124&lt;&gt;"",R124&lt;&gt;"",V124&lt;&gt;"",W124&lt;&gt;""),"COMPLETADO","OBSERVADO")</f>
        <v>OBSERVADO</v>
      </c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  <c r="Z125" s="185" t="str">
        <f aca="false">IF(AND(G125&lt;&gt;"",R125&lt;&gt;"",V125&lt;&gt;"",W125&lt;&gt;""),"COMPLETADO","OBSERVADO")</f>
        <v>OBSERVADO</v>
      </c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85" t="str">
        <f aca="false">IF(AND(G126&lt;&gt;"",R126&lt;&gt;"",V126&lt;&gt;"",W126&lt;&gt;""),"COMPLETADO","OBSERVADO")</f>
        <v>OBSERVADO</v>
      </c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  <c r="Z127" s="185" t="str">
        <f aca="false">IF(AND(G127&lt;&gt;"",R127&lt;&gt;"",V127&lt;&gt;"",W127&lt;&gt;""),"COMPLETADO","OBSERVADO")</f>
        <v>OBSERVADO</v>
      </c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85" t="str">
        <f aca="false">IF(AND(G128&lt;&gt;"",R128&lt;&gt;"",V128&lt;&gt;"",W128&lt;&gt;""),"COMPLETADO","OBSERVADO")</f>
        <v>OBSERVADO</v>
      </c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  <c r="Z129" s="185" t="str">
        <f aca="false">IF(AND(G129&lt;&gt;"",R129&lt;&gt;"",V129&lt;&gt;"",W129&lt;&gt;""),"COMPLETADO","OBSERVADO")</f>
        <v>OBSERVADO</v>
      </c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85" t="str">
        <f aca="false">IF(AND(G130&lt;&gt;"",R130&lt;&gt;"",V130&lt;&gt;"",W130&lt;&gt;""),"COMPLETADO","OBSERVADO")</f>
        <v>OBSERVADO</v>
      </c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  <c r="Z131" s="185" t="str">
        <f aca="false">IF(AND(G131&lt;&gt;"",R131&lt;&gt;"",V131&lt;&gt;"",W131&lt;&gt;""),"COMPLETADO","OBSERVADO")</f>
        <v>OBSERVADO</v>
      </c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85" t="str">
        <f aca="false">IF(AND(G132&lt;&gt;"",R132&lt;&gt;"",V132&lt;&gt;"",W132&lt;&gt;""),"COMPLETADO","OBSERVADO")</f>
        <v>OBSERVADO</v>
      </c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  <c r="Z133" s="185" t="str">
        <f aca="false">IF(AND(G133&lt;&gt;"",R133&lt;&gt;"",V133&lt;&gt;"",W133&lt;&gt;""),"COMPLETADO","OBSERVADO")</f>
        <v>OBSERVADO</v>
      </c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85" t="str">
        <f aca="false">IF(AND(G134&lt;&gt;"",R134&lt;&gt;"",V134&lt;&gt;"",W134&lt;&gt;""),"COMPLETADO","OBSERVADO")</f>
        <v>OBSERVADO</v>
      </c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  <c r="Z135" s="185" t="str">
        <f aca="false">IF(AND(G135&lt;&gt;"",R135&lt;&gt;"",V135&lt;&gt;"",W135&lt;&gt;""),"COMPLETADO","OBSERVADO")</f>
        <v>OBSERVADO</v>
      </c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85" t="str">
        <f aca="false">IF(AND(G136&lt;&gt;"",R136&lt;&gt;"",V136&lt;&gt;"",W136&lt;&gt;""),"COMPLETADO","OBSERVADO")</f>
        <v>OBSERVADO</v>
      </c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  <c r="Z137" s="185" t="str">
        <f aca="false">IF(AND(G137&lt;&gt;"",R137&lt;&gt;"",V137&lt;&gt;"",W137&lt;&gt;""),"COMPLETADO","OBSERVADO")</f>
        <v>OBSERVADO</v>
      </c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85" t="str">
        <f aca="false">IF(AND(G138&lt;&gt;"",R138&lt;&gt;"",V138&lt;&gt;"",W138&lt;&gt;""),"COMPLETADO","OBSERVADO")</f>
        <v>OBSERVADO</v>
      </c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  <c r="Z139" s="185" t="str">
        <f aca="false">IF(AND(G139&lt;&gt;"",R139&lt;&gt;"",V139&lt;&gt;"",W139&lt;&gt;""),"COMPLETADO","OBSERVADO")</f>
        <v>OBSERVADO</v>
      </c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85" t="str">
        <f aca="false">IF(AND(G140&lt;&gt;"",R140&lt;&gt;"",V140&lt;&gt;"",W140&lt;&gt;""),"COMPLETADO","OBSERVADO")</f>
        <v>OBSERVADO</v>
      </c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  <c r="Z141" s="185" t="str">
        <f aca="false">IF(AND(G141&lt;&gt;"",R141&lt;&gt;"",V141&lt;&gt;"",W141&lt;&gt;""),"COMPLETADO","OBSERVADO")</f>
        <v>OBSERVADO</v>
      </c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85" t="str">
        <f aca="false">IF(AND(G142&lt;&gt;"",R142&lt;&gt;"",V142&lt;&gt;"",W142&lt;&gt;""),"COMPLETADO","OBSERVADO")</f>
        <v>OBSERVADO</v>
      </c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  <c r="Z143" s="185" t="str">
        <f aca="false">IF(AND(G143&lt;&gt;"",R143&lt;&gt;"",V143&lt;&gt;"",W143&lt;&gt;""),"COMPLETADO","OBSERVADO")</f>
        <v>OBSERVADO</v>
      </c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85" t="str">
        <f aca="false">IF(AND(G144&lt;&gt;"",R144&lt;&gt;"",V144&lt;&gt;"",W144&lt;&gt;""),"COMPLETADO","OBSERVADO")</f>
        <v>OBSERVADO</v>
      </c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  <c r="Z145" s="185" t="str">
        <f aca="false">IF(AND(G145&lt;&gt;"",R145&lt;&gt;"",V145&lt;&gt;"",W145&lt;&gt;""),"COMPLETADO","OBSERVADO")</f>
        <v>OBSERVADO</v>
      </c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85" t="str">
        <f aca="false">IF(AND(G146&lt;&gt;"",R146&lt;&gt;"",V146&lt;&gt;"",W146&lt;&gt;""),"COMPLETADO","OBSERVADO")</f>
        <v>OBSERVADO</v>
      </c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  <c r="Z147" s="185" t="str">
        <f aca="false">IF(AND(G147&lt;&gt;"",R147&lt;&gt;"",V147&lt;&gt;"",W147&lt;&gt;""),"COMPLETADO","OBSERVADO")</f>
        <v>OBSERVADO</v>
      </c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85" t="str">
        <f aca="false">IF(AND(G148&lt;&gt;"",R148&lt;&gt;"",V148&lt;&gt;"",W148&lt;&gt;""),"COMPLETADO","OBSERVADO")</f>
        <v>OBSERVADO</v>
      </c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  <c r="Z149" s="185" t="str">
        <f aca="false">IF(AND(G149&lt;&gt;"",R149&lt;&gt;"",V149&lt;&gt;"",W149&lt;&gt;""),"COMPLETADO","OBSERVADO")</f>
        <v>OBSERVADO</v>
      </c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85" t="str">
        <f aca="false">IF(AND(G150&lt;&gt;"",R150&lt;&gt;"",V150&lt;&gt;"",W150&lt;&gt;""),"COMPLETADO","OBSERVADO")</f>
        <v>OBSERVADO</v>
      </c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  <c r="Z151" s="185" t="str">
        <f aca="false">IF(AND(G151&lt;&gt;"",R151&lt;&gt;"",V151&lt;&gt;"",W151&lt;&gt;""),"COMPLETADO","OBSERVADO")</f>
        <v>OBSERVADO</v>
      </c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85" t="str">
        <f aca="false">IF(AND(G152&lt;&gt;"",R152&lt;&gt;"",V152&lt;&gt;"",W152&lt;&gt;""),"COMPLETADO","OBSERVADO")</f>
        <v>OBSERVADO</v>
      </c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  <c r="Z153" s="185" t="str">
        <f aca="false">IF(AND(G153&lt;&gt;"",R153&lt;&gt;"",V153&lt;&gt;"",W153&lt;&gt;""),"COMPLETADO","OBSERVADO")</f>
        <v>OBSERVADO</v>
      </c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85" t="str">
        <f aca="false">IF(AND(G154&lt;&gt;"",R154&lt;&gt;"",V154&lt;&gt;"",W154&lt;&gt;""),"COMPLETADO","OBSERVADO")</f>
        <v>OBSERVADO</v>
      </c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  <c r="Z155" s="185" t="str">
        <f aca="false">IF(AND(G155&lt;&gt;"",R155&lt;&gt;"",V155&lt;&gt;"",W155&lt;&gt;""),"COMPLETADO","OBSERVADO")</f>
        <v>OBSERVADO</v>
      </c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85" t="str">
        <f aca="false">IF(AND(G156&lt;&gt;"",R156&lt;&gt;"",V156&lt;&gt;"",W156&lt;&gt;""),"COMPLETADO","OBSERVADO")</f>
        <v>OBSERVADO</v>
      </c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  <c r="Z157" s="185" t="str">
        <f aca="false">IF(AND(G157&lt;&gt;"",R157&lt;&gt;"",V157&lt;&gt;"",W157&lt;&gt;""),"COMPLETADO","OBSERVADO")</f>
        <v>OBSERVADO</v>
      </c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85" t="str">
        <f aca="false">IF(AND(G158&lt;&gt;"",R158&lt;&gt;"",V158&lt;&gt;"",W158&lt;&gt;""),"COMPLETADO","OBSERVADO")</f>
        <v>OBSERVADO</v>
      </c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  <c r="Z159" s="185" t="str">
        <f aca="false">IF(AND(G159&lt;&gt;"",R159&lt;&gt;"",V159&lt;&gt;"",W159&lt;&gt;""),"COMPLETADO","OBSERVADO")</f>
        <v>OBSERVADO</v>
      </c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85" t="str">
        <f aca="false">IF(AND(G160&lt;&gt;"",R160&lt;&gt;"",V160&lt;&gt;"",W160&lt;&gt;""),"COMPLETADO","OBSERVADO")</f>
        <v>OBSERVADO</v>
      </c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  <c r="Z161" s="185" t="str">
        <f aca="false">IF(AND(G161&lt;&gt;"",R161&lt;&gt;"",V161&lt;&gt;"",W161&lt;&gt;""),"COMPLETADO","OBSERVADO")</f>
        <v>OBSERVADO</v>
      </c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85" t="str">
        <f aca="false">IF(AND(G162&lt;&gt;"",R162&lt;&gt;"",V162&lt;&gt;"",W162&lt;&gt;""),"COMPLETADO","OBSERVADO")</f>
        <v>OBSERVADO</v>
      </c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  <c r="Z163" s="185" t="str">
        <f aca="false">IF(AND(G163&lt;&gt;"",R163&lt;&gt;"",V163&lt;&gt;"",W163&lt;&gt;""),"COMPLETADO","OBSERVADO")</f>
        <v>OBSERVADO</v>
      </c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85" t="str">
        <f aca="false">IF(AND(G164&lt;&gt;"",R164&lt;&gt;"",V164&lt;&gt;"",W164&lt;&gt;""),"COMPLETADO","OBSERVADO")</f>
        <v>OBSERVADO</v>
      </c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  <c r="Z165" s="185" t="str">
        <f aca="false">IF(AND(G165&lt;&gt;"",R165&lt;&gt;"",V165&lt;&gt;"",W165&lt;&gt;""),"COMPLETADO","OBSERVADO")</f>
        <v>OBSERVADO</v>
      </c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85" t="str">
        <f aca="false">IF(AND(G166&lt;&gt;"",R166&lt;&gt;"",V166&lt;&gt;"",W166&lt;&gt;""),"COMPLETADO","OBSERVADO")</f>
        <v>OBSERVADO</v>
      </c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  <c r="Z167" s="185" t="str">
        <f aca="false">IF(AND(G167&lt;&gt;"",R167&lt;&gt;"",V167&lt;&gt;"",W167&lt;&gt;""),"COMPLETADO","OBSERVADO")</f>
        <v>OBSERVADO</v>
      </c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85" t="str">
        <f aca="false">IF(AND(G168&lt;&gt;"",R168&lt;&gt;"",V168&lt;&gt;"",W168&lt;&gt;""),"COMPLETADO","OBSERVADO")</f>
        <v>OBSERVADO</v>
      </c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  <c r="Z169" s="185" t="str">
        <f aca="false">IF(AND(G169&lt;&gt;"",R169&lt;&gt;"",V169&lt;&gt;"",W169&lt;&gt;""),"COMPLETADO","OBSERVADO")</f>
        <v>OBSERVADO</v>
      </c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85" t="str">
        <f aca="false">IF(AND(G170&lt;&gt;"",R170&lt;&gt;"",V170&lt;&gt;"",W170&lt;&gt;""),"COMPLETADO","OBSERVADO")</f>
        <v>OBSERVADO</v>
      </c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  <c r="Z171" s="185" t="str">
        <f aca="false">IF(AND(G171&lt;&gt;"",R171&lt;&gt;"",V171&lt;&gt;"",W171&lt;&gt;""),"COMPLETADO","OBSERVADO")</f>
        <v>OBSERVADO</v>
      </c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85" t="str">
        <f aca="false">IF(AND(G172&lt;&gt;"",R172&lt;&gt;"",V172&lt;&gt;"",W172&lt;&gt;""),"COMPLETADO","OBSERVADO")</f>
        <v>OBSERVADO</v>
      </c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  <c r="Z173" s="185" t="str">
        <f aca="false">IF(AND(G173&lt;&gt;"",R173&lt;&gt;"",V173&lt;&gt;"",W173&lt;&gt;""),"COMPLETADO","OBSERVADO")</f>
        <v>OBSERVADO</v>
      </c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85" t="str">
        <f aca="false">IF(AND(G174&lt;&gt;"",R174&lt;&gt;"",V174&lt;&gt;"",W174&lt;&gt;""),"COMPLETADO","OBSERVADO")</f>
        <v>OBSERVADO</v>
      </c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  <c r="Z175" s="185" t="str">
        <f aca="false">IF(AND(G175&lt;&gt;"",R175&lt;&gt;"",V175&lt;&gt;"",W175&lt;&gt;""),"COMPLETADO","OBSERVADO")</f>
        <v>OBSERVADO</v>
      </c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85" t="str">
        <f aca="false">IF(AND(G176&lt;&gt;"",R176&lt;&gt;"",V176&lt;&gt;"",W176&lt;&gt;""),"COMPLETADO","OBSERVADO")</f>
        <v>OBSERVADO</v>
      </c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  <c r="Z177" s="185" t="str">
        <f aca="false">IF(AND(G177&lt;&gt;"",R177&lt;&gt;"",V177&lt;&gt;"",W177&lt;&gt;""),"COMPLETADO","OBSERVADO")</f>
        <v>OBSERVADO</v>
      </c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85" t="str">
        <f aca="false">IF(AND(G178&lt;&gt;"",R178&lt;&gt;"",V178&lt;&gt;"",W178&lt;&gt;""),"COMPLETADO","OBSERVADO")</f>
        <v>OBSERVADO</v>
      </c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  <c r="Z179" s="185" t="str">
        <f aca="false">IF(AND(G179&lt;&gt;"",R179&lt;&gt;"",V179&lt;&gt;"",W179&lt;&gt;""),"COMPLETADO","OBSERVADO")</f>
        <v>OBSERVADO</v>
      </c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85" t="str">
        <f aca="false">IF(AND(G180&lt;&gt;"",R180&lt;&gt;"",V180&lt;&gt;"",W180&lt;&gt;""),"COMPLETADO","OBSERVADO")</f>
        <v>OBSERVADO</v>
      </c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  <c r="Z181" s="185" t="str">
        <f aca="false">IF(AND(G181&lt;&gt;"",R181&lt;&gt;"",V181&lt;&gt;"",W181&lt;&gt;""),"COMPLETADO","OBSERVADO")</f>
        <v>OBSERVADO</v>
      </c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85" t="str">
        <f aca="false">IF(AND(G182&lt;&gt;"",R182&lt;&gt;"",V182&lt;&gt;"",W182&lt;&gt;""),"COMPLETADO","OBSERVADO")</f>
        <v>OBSERVADO</v>
      </c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  <c r="Z183" s="185" t="str">
        <f aca="false">IF(AND(G183&lt;&gt;"",R183&lt;&gt;"",V183&lt;&gt;"",W183&lt;&gt;""),"COMPLETADO","OBSERVADO")</f>
        <v>OBSERVADO</v>
      </c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85" t="str">
        <f aca="false">IF(AND(G184&lt;&gt;"",R184&lt;&gt;"",V184&lt;&gt;"",W184&lt;&gt;""),"COMPLETADO","OBSERVADO")</f>
        <v>OBSERVADO</v>
      </c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  <c r="Z185" s="185" t="str">
        <f aca="false">IF(AND(G185&lt;&gt;"",R185&lt;&gt;"",V185&lt;&gt;"",W185&lt;&gt;""),"COMPLETADO","OBSERVADO")</f>
        <v>OBSERVADO</v>
      </c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85" t="str">
        <f aca="false">IF(AND(G186&lt;&gt;"",R186&lt;&gt;"",V186&lt;&gt;"",W186&lt;&gt;""),"COMPLETADO","OBSERVADO")</f>
        <v>OBSERVADO</v>
      </c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  <c r="Z187" s="185" t="str">
        <f aca="false">IF(AND(G187&lt;&gt;"",R187&lt;&gt;"",V187&lt;&gt;"",W187&lt;&gt;""),"COMPLETADO","OBSERVADO")</f>
        <v>OBSERVADO</v>
      </c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85" t="str">
        <f aca="false">IF(AND(G188&lt;&gt;"",R188&lt;&gt;"",V188&lt;&gt;"",W188&lt;&gt;""),"COMPLETADO","OBSERVADO")</f>
        <v>OBSERVADO</v>
      </c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  <c r="Z189" s="185" t="str">
        <f aca="false">IF(AND(G189&lt;&gt;"",R189&lt;&gt;"",V189&lt;&gt;"",W189&lt;&gt;""),"COMPLETADO","OBSERVADO")</f>
        <v>OBSERVADO</v>
      </c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85" t="str">
        <f aca="false">IF(AND(G190&lt;&gt;"",R190&lt;&gt;"",V190&lt;&gt;"",W190&lt;&gt;""),"COMPLETADO","OBSERVADO")</f>
        <v>OBSERVADO</v>
      </c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  <c r="Z191" s="185" t="str">
        <f aca="false">IF(AND(G191&lt;&gt;"",R191&lt;&gt;"",V191&lt;&gt;"",W191&lt;&gt;""),"COMPLETADO","OBSERVADO")</f>
        <v>OBSERVADO</v>
      </c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85" t="str">
        <f aca="false">IF(AND(G192&lt;&gt;"",R192&lt;&gt;"",V192&lt;&gt;"",W192&lt;&gt;""),"COMPLETADO","OBSERVADO")</f>
        <v>OBSERVADO</v>
      </c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  <c r="Z193" s="185" t="str">
        <f aca="false">IF(AND(G193&lt;&gt;"",R193&lt;&gt;"",V193&lt;&gt;"",W193&lt;&gt;""),"COMPLETADO","OBSERVADO")</f>
        <v>OBSERVADO</v>
      </c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85" t="str">
        <f aca="false">IF(AND(G194&lt;&gt;"",R194&lt;&gt;"",V194&lt;&gt;"",W194&lt;&gt;""),"COMPLETADO","OBSERVADO")</f>
        <v>OBSERVADO</v>
      </c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  <c r="Z195" s="185" t="str">
        <f aca="false">IF(AND(G195&lt;&gt;"",R195&lt;&gt;"",V195&lt;&gt;"",W195&lt;&gt;""),"COMPLETADO","OBSERVADO")</f>
        <v>OBSERVADO</v>
      </c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85" t="str">
        <f aca="false">IF(AND(G196&lt;&gt;"",R196&lt;&gt;"",V196&lt;&gt;"",W196&lt;&gt;""),"COMPLETADO","OBSERVADO")</f>
        <v>OBSERVADO</v>
      </c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  <c r="Z197" s="185" t="str">
        <f aca="false">IF(AND(G197&lt;&gt;"",R197&lt;&gt;"",V197&lt;&gt;"",W197&lt;&gt;""),"COMPLETADO","OBSERVADO")</f>
        <v>OBSERVADO</v>
      </c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85" t="str">
        <f aca="false">IF(AND(G198&lt;&gt;"",R198&lt;&gt;"",V198&lt;&gt;"",W198&lt;&gt;""),"COMPLETADO","OBSERVADO")</f>
        <v>OBSERVADO</v>
      </c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  <c r="Z199" s="185" t="str">
        <f aca="false">IF(AND(G199&lt;&gt;"",R199&lt;&gt;"",V199&lt;&gt;"",W199&lt;&gt;""),"COMPLETADO","OBSERVADO")</f>
        <v>OBSERVADO</v>
      </c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85" t="str">
        <f aca="false">IF(AND(G200&lt;&gt;"",R200&lt;&gt;"",V200&lt;&gt;"",W200&lt;&gt;""),"COMPLETADO","OBSERVADO")</f>
        <v>OBSERVADO</v>
      </c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  <c r="Z201" s="185" t="str">
        <f aca="false">IF(AND(G201&lt;&gt;"",R201&lt;&gt;"",V201&lt;&gt;"",W201&lt;&gt;""),"COMPLETADO","OBSERVADO")</f>
        <v>OBSERVADO</v>
      </c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85" t="str">
        <f aca="false">IF(AND(G202&lt;&gt;"",R202&lt;&gt;"",V202&lt;&gt;"",W202&lt;&gt;""),"COMPLETADO","OBSERVADO")</f>
        <v>OBSERVADO</v>
      </c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  <c r="Z203" s="185" t="str">
        <f aca="false">IF(AND(G203&lt;&gt;"",R203&lt;&gt;"",V203&lt;&gt;"",W203&lt;&gt;""),"COMPLETADO","OBSERVADO")</f>
        <v>OBSERVADO</v>
      </c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85" t="str">
        <f aca="false">IF(AND(G204&lt;&gt;"",R204&lt;&gt;"",V204&lt;&gt;"",W204&lt;&gt;""),"COMPLETADO","OBSERVADO")</f>
        <v>OBSERVADO</v>
      </c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  <c r="Z205" s="185" t="str">
        <f aca="false">IF(AND(G205&lt;&gt;"",R205&lt;&gt;"",V205&lt;&gt;"",W205&lt;&gt;""),"COMPLETADO","OBSERVADO")</f>
        <v>OBSERVADO</v>
      </c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85" t="str">
        <f aca="false">IF(AND(G206&lt;&gt;"",R206&lt;&gt;"",V206&lt;&gt;"",W206&lt;&gt;""),"COMPLETADO","OBSERVADO")</f>
        <v>OBSERVADO</v>
      </c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  <c r="Z207" s="185" t="str">
        <f aca="false">IF(AND(G207&lt;&gt;"",R207&lt;&gt;"",V207&lt;&gt;"",W207&lt;&gt;""),"COMPLETADO","OBSERVADO")</f>
        <v>OBSERVADO</v>
      </c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85" t="str">
        <f aca="false">IF(AND(G208&lt;&gt;"",R208&lt;&gt;"",V208&lt;&gt;"",W208&lt;&gt;""),"COMPLETADO","OBSERVADO")</f>
        <v>OBSERVADO</v>
      </c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  <c r="Z209" s="185" t="str">
        <f aca="false">IF(AND(G209&lt;&gt;"",R209&lt;&gt;"",V209&lt;&gt;"",W209&lt;&gt;""),"COMPLETADO","OBSERVADO")</f>
        <v>OBSERVADO</v>
      </c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85" t="str">
        <f aca="false">IF(AND(G210&lt;&gt;"",R210&lt;&gt;"",V210&lt;&gt;"",W210&lt;&gt;""),"COMPLETADO","OBSERVADO")</f>
        <v>OBSERVADO</v>
      </c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  <c r="Z211" s="185" t="str">
        <f aca="false">IF(AND(G211&lt;&gt;"",R211&lt;&gt;"",V211&lt;&gt;"",W211&lt;&gt;""),"COMPLETADO","OBSERVADO")</f>
        <v>OBSERVADO</v>
      </c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85" t="str">
        <f aca="false">IF(AND(G212&lt;&gt;"",R212&lt;&gt;"",V212&lt;&gt;"",W212&lt;&gt;""),"COMPLETADO","OBSERVADO")</f>
        <v>OBSERVADO</v>
      </c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  <c r="Z213" s="185" t="str">
        <f aca="false">IF(AND(G213&lt;&gt;"",R213&lt;&gt;"",V213&lt;&gt;"",W213&lt;&gt;""),"COMPLETADO","OBSERVADO")</f>
        <v>OBSERVADO</v>
      </c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85" t="str">
        <f aca="false">IF(AND(G214&lt;&gt;"",R214&lt;&gt;"",V214&lt;&gt;"",W214&lt;&gt;""),"COMPLETADO","OBSERVADO")</f>
        <v>OBSERVADO</v>
      </c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  <c r="Z215" s="185" t="str">
        <f aca="false">IF(AND(G215&lt;&gt;"",R215&lt;&gt;"",V215&lt;&gt;"",W215&lt;&gt;""),"COMPLETADO","OBSERVADO")</f>
        <v>OBSERVADO</v>
      </c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85" t="str">
        <f aca="false">IF(AND(G216&lt;&gt;"",R216&lt;&gt;"",V216&lt;&gt;"",W216&lt;&gt;""),"COMPLETADO","OBSERVADO")</f>
        <v>OBSERVADO</v>
      </c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  <c r="Z217" s="185" t="str">
        <f aca="false">IF(AND(G217&lt;&gt;"",R217&lt;&gt;"",V217&lt;&gt;"",W217&lt;&gt;""),"COMPLETADO","OBSERVADO")</f>
        <v>OBSERVADO</v>
      </c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85" t="str">
        <f aca="false">IF(AND(G218&lt;&gt;"",R218&lt;&gt;"",V218&lt;&gt;"",W218&lt;&gt;""),"COMPLETADO","OBSERVADO")</f>
        <v>OBSERVADO</v>
      </c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  <c r="Z219" s="185" t="str">
        <f aca="false">IF(AND(G219&lt;&gt;"",R219&lt;&gt;"",V219&lt;&gt;"",W219&lt;&gt;""),"COMPLETADO","OBSERVADO")</f>
        <v>OBSERVADO</v>
      </c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85" t="str">
        <f aca="false">IF(AND(G220&lt;&gt;"",R220&lt;&gt;"",V220&lt;&gt;"",W220&lt;&gt;""),"COMPLETADO","OBSERVADO")</f>
        <v>OBSERVADO</v>
      </c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  <c r="Z221" s="185" t="str">
        <f aca="false">IF(AND(G221&lt;&gt;"",R221&lt;&gt;"",V221&lt;&gt;"",W221&lt;&gt;""),"COMPLETADO","OBSERVADO")</f>
        <v>OBSERVADO</v>
      </c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85" t="str">
        <f aca="false">IF(AND(G222&lt;&gt;"",R222&lt;&gt;"",V222&lt;&gt;"",W222&lt;&gt;""),"COMPLETADO","OBSERVADO")</f>
        <v>OBSERVADO</v>
      </c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  <c r="Z223" s="185" t="str">
        <f aca="false">IF(AND(G223&lt;&gt;"",R223&lt;&gt;"",V223&lt;&gt;"",W223&lt;&gt;""),"COMPLETADO","OBSERVADO")</f>
        <v>OBSERVADO</v>
      </c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85" t="str">
        <f aca="false">IF(AND(G224&lt;&gt;"",R224&lt;&gt;"",V224&lt;&gt;"",W224&lt;&gt;""),"COMPLETADO","OBSERVADO")</f>
        <v>OBSERVADO</v>
      </c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  <c r="Z225" s="185" t="str">
        <f aca="false">IF(AND(G225&lt;&gt;"",R225&lt;&gt;"",V225&lt;&gt;"",W225&lt;&gt;""),"COMPLETADO","OBSERVADO")</f>
        <v>OBSERVADO</v>
      </c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85" t="str">
        <f aca="false">IF(AND(G226&lt;&gt;"",R226&lt;&gt;"",V226&lt;&gt;"",W226&lt;&gt;""),"COMPLETADO","OBSERVADO")</f>
        <v>OBSERVADO</v>
      </c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  <c r="Z227" s="185" t="str">
        <f aca="false">IF(AND(G227&lt;&gt;"",R227&lt;&gt;"",V227&lt;&gt;"",W227&lt;&gt;""),"COMPLETADO","OBSERVADO")</f>
        <v>OBSERVADO</v>
      </c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85" t="str">
        <f aca="false">IF(AND(G228&lt;&gt;"",R228&lt;&gt;"",V228&lt;&gt;"",W228&lt;&gt;""),"COMPLETADO","OBSERVADO")</f>
        <v>OBSERVADO</v>
      </c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  <c r="Z229" s="185" t="str">
        <f aca="false">IF(AND(G229&lt;&gt;"",R229&lt;&gt;"",V229&lt;&gt;"",W229&lt;&gt;""),"COMPLETADO","OBSERVADO")</f>
        <v>OBSERVADO</v>
      </c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85" t="str">
        <f aca="false">IF(AND(G230&lt;&gt;"",R230&lt;&gt;"",V230&lt;&gt;"",W230&lt;&gt;""),"COMPLETADO","OBSERVADO")</f>
        <v>OBSERVADO</v>
      </c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  <c r="Z231" s="185" t="str">
        <f aca="false">IF(AND(G231&lt;&gt;"",R231&lt;&gt;"",V231&lt;&gt;"",W231&lt;&gt;""),"COMPLETADO","OBSERVADO")</f>
        <v>OBSERVADO</v>
      </c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85" t="str">
        <f aca="false">IF(AND(G232&lt;&gt;"",R232&lt;&gt;"",V232&lt;&gt;"",W232&lt;&gt;""),"COMPLETADO","OBSERVADO")</f>
        <v>OBSERVADO</v>
      </c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  <c r="Z233" s="185" t="str">
        <f aca="false">IF(AND(G233&lt;&gt;"",R233&lt;&gt;"",V233&lt;&gt;"",W233&lt;&gt;""),"COMPLETADO","OBSERVADO")</f>
        <v>OBSERVADO</v>
      </c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85" t="str">
        <f aca="false">IF(AND(G234&lt;&gt;"",R234&lt;&gt;"",V234&lt;&gt;"",W234&lt;&gt;""),"COMPLETADO","OBSERVADO")</f>
        <v>OBSERVADO</v>
      </c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  <c r="Z235" s="185" t="str">
        <f aca="false">IF(AND(G235&lt;&gt;"",R235&lt;&gt;"",V235&lt;&gt;"",W235&lt;&gt;""),"COMPLETADO","OBSERVADO")</f>
        <v>OBSERVADO</v>
      </c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85" t="str">
        <f aca="false">IF(AND(G236&lt;&gt;"",R236&lt;&gt;"",V236&lt;&gt;"",W236&lt;&gt;""),"COMPLETADO","OBSERVADO")</f>
        <v>OBSERVADO</v>
      </c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  <c r="Z237" s="185" t="str">
        <f aca="false">IF(AND(G237&lt;&gt;"",R237&lt;&gt;"",V237&lt;&gt;"",W237&lt;&gt;""),"COMPLETADO","OBSERVADO")</f>
        <v>OBSERVADO</v>
      </c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85" t="str">
        <f aca="false">IF(AND(G238&lt;&gt;"",R238&lt;&gt;"",V238&lt;&gt;"",W238&lt;&gt;""),"COMPLETADO","OBSERVADO")</f>
        <v>OBSERVADO</v>
      </c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  <c r="Z239" s="185" t="str">
        <f aca="false">IF(AND(G239&lt;&gt;"",R239&lt;&gt;"",V239&lt;&gt;"",W239&lt;&gt;""),"COMPLETADO","OBSERVADO")</f>
        <v>OBSERVADO</v>
      </c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85" t="str">
        <f aca="false">IF(AND(G240&lt;&gt;"",R240&lt;&gt;"",V240&lt;&gt;"",W240&lt;&gt;""),"COMPLETADO","OBSERVADO")</f>
        <v>OBSERVADO</v>
      </c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  <c r="Z241" s="185" t="str">
        <f aca="false">IF(AND(G241&lt;&gt;"",R241&lt;&gt;"",V241&lt;&gt;"",W241&lt;&gt;""),"COMPLETADO","OBSERVADO")</f>
        <v>OBSERVADO</v>
      </c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85" t="str">
        <f aca="false">IF(AND(G242&lt;&gt;"",R242&lt;&gt;"",V242&lt;&gt;"",W242&lt;&gt;""),"COMPLETADO","OBSERVADO")</f>
        <v>OBSERVADO</v>
      </c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  <c r="Z243" s="185" t="str">
        <f aca="false">IF(AND(G243&lt;&gt;"",R243&lt;&gt;"",V243&lt;&gt;"",W243&lt;&gt;""),"COMPLETADO","OBSERVADO")</f>
        <v>OBSERVADO</v>
      </c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85" t="str">
        <f aca="false">IF(AND(G244&lt;&gt;"",R244&lt;&gt;"",V244&lt;&gt;"",W244&lt;&gt;""),"COMPLETADO","OBSERVADO")</f>
        <v>OBSERVADO</v>
      </c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  <c r="Z245" s="185" t="str">
        <f aca="false">IF(AND(G245&lt;&gt;"",R245&lt;&gt;"",V245&lt;&gt;"",W245&lt;&gt;""),"COMPLETADO","OBSERVADO")</f>
        <v>OBSERVADO</v>
      </c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85" t="str">
        <f aca="false">IF(AND(G246&lt;&gt;"",R246&lt;&gt;"",V246&lt;&gt;"",W246&lt;&gt;""),"COMPLETADO","OBSERVADO")</f>
        <v>OBSERVADO</v>
      </c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  <c r="Z247" s="185" t="str">
        <f aca="false">IF(AND(G247&lt;&gt;"",R247&lt;&gt;"",V247&lt;&gt;"",W247&lt;&gt;""),"COMPLETADO","OBSERVADO")</f>
        <v>OBSERVADO</v>
      </c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85" t="str">
        <f aca="false">IF(AND(G248&lt;&gt;"",R248&lt;&gt;"",V248&lt;&gt;"",W248&lt;&gt;""),"COMPLETADO","OBSERVADO")</f>
        <v>OBSERVADO</v>
      </c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  <c r="Z249" s="185" t="str">
        <f aca="false">IF(AND(G249&lt;&gt;"",R249&lt;&gt;"",V249&lt;&gt;"",W249&lt;&gt;""),"COMPLETADO","OBSERVADO")</f>
        <v>OBSERVADO</v>
      </c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85" t="str">
        <f aca="false">IF(AND(G250&lt;&gt;"",R250&lt;&gt;"",V250&lt;&gt;"",W250&lt;&gt;""),"COMPLETADO","OBSERVADO")</f>
        <v>OBSERVADO</v>
      </c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  <c r="Z251" s="185" t="str">
        <f aca="false">IF(AND(G251&lt;&gt;"",R251&lt;&gt;"",V251&lt;&gt;"",W251&lt;&gt;""),"COMPLETADO","OBSERVADO")</f>
        <v>OBSERVADO</v>
      </c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85" t="str">
        <f aca="false">IF(AND(G252&lt;&gt;"",R252&lt;&gt;"",V252&lt;&gt;"",W252&lt;&gt;""),"COMPLETADO","OBSERVADO")</f>
        <v>OBSERVADO</v>
      </c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  <c r="Z253" s="185" t="str">
        <f aca="false">IF(AND(G253&lt;&gt;"",R253&lt;&gt;"",V253&lt;&gt;"",W253&lt;&gt;""),"COMPLETADO","OBSERVADO")</f>
        <v>OBSERVADO</v>
      </c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85" t="str">
        <f aca="false">IF(AND(G254&lt;&gt;"",R254&lt;&gt;"",V254&lt;&gt;"",W254&lt;&gt;""),"COMPLETADO","OBSERVADO")</f>
        <v>OBSERVADO</v>
      </c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  <c r="Z255" s="185" t="str">
        <f aca="false">IF(AND(G255&lt;&gt;"",R255&lt;&gt;"",V255&lt;&gt;"",W255&lt;&gt;""),"COMPLETADO","OBSERVADO")</f>
        <v>OBSERVADO</v>
      </c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85" t="str">
        <f aca="false">IF(AND(G256&lt;&gt;"",R256&lt;&gt;"",V256&lt;&gt;"",W256&lt;&gt;""),"COMPLETADO","OBSERVADO")</f>
        <v>OBSERVADO</v>
      </c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  <c r="Z257" s="185" t="str">
        <f aca="false">IF(AND(G257&lt;&gt;"",R257&lt;&gt;"",V257&lt;&gt;"",W257&lt;&gt;""),"COMPLETADO","OBSERVADO")</f>
        <v>OBSERVADO</v>
      </c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85" t="str">
        <f aca="false">IF(AND(G258&lt;&gt;"",R258&lt;&gt;"",V258&lt;&gt;"",W258&lt;&gt;""),"COMPLETADO","OBSERVADO")</f>
        <v>OBSERVADO</v>
      </c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  <c r="Z259" s="185" t="str">
        <f aca="false">IF(AND(G259&lt;&gt;"",R259&lt;&gt;"",V259&lt;&gt;"",W259&lt;&gt;""),"COMPLETADO","OBSERVADO")</f>
        <v>OBSERVADO</v>
      </c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85" t="str">
        <f aca="false">IF(AND(G260&lt;&gt;"",R260&lt;&gt;"",V260&lt;&gt;"",W260&lt;&gt;""),"COMPLETADO","OBSERVADO")</f>
        <v>OBSERVADO</v>
      </c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  <c r="Z261" s="185" t="str">
        <f aca="false">IF(AND(G261&lt;&gt;"",R261&lt;&gt;"",V261&lt;&gt;"",W261&lt;&gt;""),"COMPLETADO","OBSERVADO")</f>
        <v>OBSERVADO</v>
      </c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85" t="str">
        <f aca="false">IF(AND(G262&lt;&gt;"",R262&lt;&gt;"",V262&lt;&gt;"",W262&lt;&gt;""),"COMPLETADO","OBSERVADO")</f>
        <v>OBSERVADO</v>
      </c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  <c r="Z263" s="185" t="str">
        <f aca="false">IF(AND(G263&lt;&gt;"",R263&lt;&gt;"",V263&lt;&gt;"",W263&lt;&gt;""),"COMPLETADO","OBSERVADO")</f>
        <v>OBSERVADO</v>
      </c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85" t="str">
        <f aca="false">IF(AND(G264&lt;&gt;"",R264&lt;&gt;"",V264&lt;&gt;"",W264&lt;&gt;""),"COMPLETADO","OBSERVADO")</f>
        <v>OBSERVADO</v>
      </c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  <c r="Z265" s="185" t="str">
        <f aca="false">IF(AND(G265&lt;&gt;"",R265&lt;&gt;"",V265&lt;&gt;"",W265&lt;&gt;""),"COMPLETADO","OBSERVADO")</f>
        <v>OBSERVADO</v>
      </c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85" t="str">
        <f aca="false">IF(AND(G266&lt;&gt;"",R266&lt;&gt;"",V266&lt;&gt;"",W266&lt;&gt;""),"COMPLETADO","OBSERVADO")</f>
        <v>OBSERVADO</v>
      </c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  <c r="Z267" s="185" t="str">
        <f aca="false">IF(AND(G267&lt;&gt;"",R267&lt;&gt;"",V267&lt;&gt;"",W267&lt;&gt;""),"COMPLETADO","OBSERVADO")</f>
        <v>OBSERVADO</v>
      </c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85" t="str">
        <f aca="false">IF(AND(G268&lt;&gt;"",R268&lt;&gt;"",V268&lt;&gt;"",W268&lt;&gt;""),"COMPLETADO","OBSERVADO")</f>
        <v>OBSERVADO</v>
      </c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  <c r="Z269" s="185" t="str">
        <f aca="false">IF(AND(G269&lt;&gt;"",R269&lt;&gt;"",V269&lt;&gt;"",W269&lt;&gt;""),"COMPLETADO","OBSERVADO")</f>
        <v>OBSERVADO</v>
      </c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85" t="str">
        <f aca="false">IF(AND(G270&lt;&gt;"",R270&lt;&gt;"",V270&lt;&gt;"",W270&lt;&gt;""),"COMPLETADO","OBSERVADO")</f>
        <v>OBSERVADO</v>
      </c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  <c r="Z271" s="185" t="str">
        <f aca="false">IF(AND(G271&lt;&gt;"",R271&lt;&gt;"",V271&lt;&gt;"",W271&lt;&gt;""),"COMPLETADO","OBSERVADO")</f>
        <v>OBSERVADO</v>
      </c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85" t="str">
        <f aca="false">IF(AND(G272&lt;&gt;"",R272&lt;&gt;"",V272&lt;&gt;"",W272&lt;&gt;""),"COMPLETADO","OBSERVADO")</f>
        <v>OBSERVADO</v>
      </c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  <c r="Z273" s="185" t="str">
        <f aca="false">IF(AND(G273&lt;&gt;"",R273&lt;&gt;"",V273&lt;&gt;"",W273&lt;&gt;""),"COMPLETADO","OBSERVADO")</f>
        <v>OBSERVADO</v>
      </c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85" t="str">
        <f aca="false">IF(AND(G274&lt;&gt;"",R274&lt;&gt;"",V274&lt;&gt;"",W274&lt;&gt;""),"COMPLETADO","OBSERVADO")</f>
        <v>OBSERVADO</v>
      </c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  <c r="Z275" s="185" t="str">
        <f aca="false">IF(AND(G275&lt;&gt;"",R275&lt;&gt;"",V275&lt;&gt;"",W275&lt;&gt;""),"COMPLETADO","OBSERVADO")</f>
        <v>OBSERVADO</v>
      </c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85" t="str">
        <f aca="false">IF(AND(G276&lt;&gt;"",R276&lt;&gt;"",V276&lt;&gt;"",W276&lt;&gt;""),"COMPLETADO","OBSERVADO")</f>
        <v>OBSERVADO</v>
      </c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  <c r="Z277" s="185" t="str">
        <f aca="false">IF(AND(G277&lt;&gt;"",R277&lt;&gt;"",V277&lt;&gt;"",W277&lt;&gt;""),"COMPLETADO","OBSERVADO")</f>
        <v>OBSERVADO</v>
      </c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85" t="str">
        <f aca="false">IF(AND(G278&lt;&gt;"",R278&lt;&gt;"",V278&lt;&gt;"",W278&lt;&gt;""),"COMPLETADO","OBSERVADO")</f>
        <v>OBSERVADO</v>
      </c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  <c r="Z279" s="185" t="str">
        <f aca="false">IF(AND(G279&lt;&gt;"",R279&lt;&gt;"",V279&lt;&gt;"",W279&lt;&gt;""),"COMPLETADO","OBSERVADO")</f>
        <v>OBSERVADO</v>
      </c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85" t="str">
        <f aca="false">IF(AND(G280&lt;&gt;"",R280&lt;&gt;"",V280&lt;&gt;"",W280&lt;&gt;""),"COMPLETADO","OBSERVADO")</f>
        <v>OBSERVADO</v>
      </c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  <c r="Z281" s="185" t="str">
        <f aca="false">IF(AND(G281&lt;&gt;"",R281&lt;&gt;"",V281&lt;&gt;"",W281&lt;&gt;""),"COMPLETADO","OBSERVADO")</f>
        <v>OBSERVADO</v>
      </c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85" t="str">
        <f aca="false">IF(AND(G282&lt;&gt;"",R282&lt;&gt;"",V282&lt;&gt;"",W282&lt;&gt;""),"COMPLETADO","OBSERVADO")</f>
        <v>OBSERVADO</v>
      </c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  <c r="Z283" s="185" t="str">
        <f aca="false">IF(AND(G283&lt;&gt;"",R283&lt;&gt;"",V283&lt;&gt;"",W283&lt;&gt;""),"COMPLETADO","OBSERVADO")</f>
        <v>OBSERVADO</v>
      </c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85" t="str">
        <f aca="false">IF(AND(G284&lt;&gt;"",R284&lt;&gt;"",V284&lt;&gt;"",W284&lt;&gt;""),"COMPLETADO","OBSERVADO")</f>
        <v>OBSERVADO</v>
      </c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  <c r="Z285" s="185" t="str">
        <f aca="false">IF(AND(G285&lt;&gt;"",R285&lt;&gt;"",V285&lt;&gt;"",W285&lt;&gt;""),"COMPLETADO","OBSERVADO")</f>
        <v>OBSERVADO</v>
      </c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85" t="str">
        <f aca="false">IF(AND(G286&lt;&gt;"",R286&lt;&gt;"",V286&lt;&gt;"",W286&lt;&gt;""),"COMPLETADO","OBSERVADO")</f>
        <v>OBSERVADO</v>
      </c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  <c r="Z287" s="185" t="str">
        <f aca="false">IF(AND(G287&lt;&gt;"",R287&lt;&gt;"",V287&lt;&gt;"",W287&lt;&gt;""),"COMPLETADO","OBSERVADO")</f>
        <v>OBSERVADO</v>
      </c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85" t="str">
        <f aca="false">IF(AND(G288&lt;&gt;"",R288&lt;&gt;"",V288&lt;&gt;"",W288&lt;&gt;""),"COMPLETADO","OBSERVADO")</f>
        <v>OBSERVADO</v>
      </c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  <c r="Z289" s="185" t="str">
        <f aca="false">IF(AND(G289&lt;&gt;"",R289&lt;&gt;"",V289&lt;&gt;"",W289&lt;&gt;""),"COMPLETADO","OBSERVADO")</f>
        <v>OBSERVADO</v>
      </c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85" t="str">
        <f aca="false">IF(AND(G290&lt;&gt;"",R290&lt;&gt;"",V290&lt;&gt;"",W290&lt;&gt;""),"COMPLETADO","OBSERVADO")</f>
        <v>OBSERVADO</v>
      </c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  <c r="Z291" s="185" t="str">
        <f aca="false">IF(AND(G291&lt;&gt;"",R291&lt;&gt;"",V291&lt;&gt;"",W291&lt;&gt;""),"COMPLETADO","OBSERVADO")</f>
        <v>OBSERVADO</v>
      </c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85" t="str">
        <f aca="false">IF(AND(G292&lt;&gt;"",R292&lt;&gt;"",V292&lt;&gt;"",W292&lt;&gt;""),"COMPLETADO","OBSERVADO")</f>
        <v>OBSERVADO</v>
      </c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  <c r="Z293" s="185" t="str">
        <f aca="false">IF(AND(G293&lt;&gt;"",R293&lt;&gt;"",V293&lt;&gt;"",W293&lt;&gt;""),"COMPLETADO","OBSERVADO")</f>
        <v>OBSERVADO</v>
      </c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85" t="str">
        <f aca="false">IF(AND(G294&lt;&gt;"",R294&lt;&gt;"",V294&lt;&gt;"",W294&lt;&gt;""),"COMPLETADO","OBSERVADO")</f>
        <v>OBSERVADO</v>
      </c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  <c r="Z295" s="185" t="str">
        <f aca="false">IF(AND(G295&lt;&gt;"",R295&lt;&gt;"",V295&lt;&gt;"",W295&lt;&gt;""),"COMPLETADO","OBSERVADO")</f>
        <v>OBSERVADO</v>
      </c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85" t="str">
        <f aca="false">IF(AND(G296&lt;&gt;"",R296&lt;&gt;"",V296&lt;&gt;"",W296&lt;&gt;""),"COMPLETADO","OBSERVADO")</f>
        <v>OBSERVADO</v>
      </c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  <c r="Z297" s="185" t="str">
        <f aca="false">IF(AND(G297&lt;&gt;"",R297&lt;&gt;"",V297&lt;&gt;"",W297&lt;&gt;""),"COMPLETADO","OBSERVADO")</f>
        <v>OBSERVADO</v>
      </c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85" t="str">
        <f aca="false">IF(AND(G298&lt;&gt;"",R298&lt;&gt;"",V298&lt;&gt;"",W298&lt;&gt;""),"COMPLETADO","OBSERVADO")</f>
        <v>OBSERVADO</v>
      </c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  <c r="Z299" s="185" t="str">
        <f aca="false">IF(AND(G299&lt;&gt;"",R299&lt;&gt;"",V299&lt;&gt;"",W299&lt;&gt;""),"COMPLETADO","OBSERVADO")</f>
        <v>OBSERVADO</v>
      </c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85" t="str">
        <f aca="false">IF(AND(G300&lt;&gt;"",R300&lt;&gt;"",V300&lt;&gt;"",W300&lt;&gt;""),"COMPLETADO","OBSERVADO")</f>
        <v>OBSERVADO</v>
      </c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  <c r="Z301" s="185" t="str">
        <f aca="false">IF(AND(G301&lt;&gt;"",R301&lt;&gt;"",V301&lt;&gt;"",W301&lt;&gt;""),"COMPLETADO","OBSERVADO")</f>
        <v>OBSERVADO</v>
      </c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85" t="str">
        <f aca="false">IF(AND(G302&lt;&gt;"",R302&lt;&gt;"",V302&lt;&gt;"",W302&lt;&gt;""),"COMPLETADO","OBSERVADO")</f>
        <v>OBSERVADO</v>
      </c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  <c r="Z303" s="185" t="str">
        <f aca="false">IF(AND(G303&lt;&gt;"",R303&lt;&gt;"",V303&lt;&gt;"",W303&lt;&gt;""),"COMPLETADO","OBSERVADO")</f>
        <v>OBSERVADO</v>
      </c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85" t="str">
        <f aca="false">IF(AND(G304&lt;&gt;"",R304&lt;&gt;"",V304&lt;&gt;"",W304&lt;&gt;""),"COMPLETADO","OBSERVADO")</f>
        <v>OBSERVADO</v>
      </c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  <c r="Z305" s="185" t="str">
        <f aca="false">IF(AND(G305&lt;&gt;"",R305&lt;&gt;"",V305&lt;&gt;"",W305&lt;&gt;""),"COMPLETADO","OBSERVADO")</f>
        <v>OBSERVADO</v>
      </c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85" t="str">
        <f aca="false">IF(AND(G306&lt;&gt;"",R306&lt;&gt;"",V306&lt;&gt;"",W306&lt;&gt;""),"COMPLETADO","OBSERVADO")</f>
        <v>OBSERVADO</v>
      </c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  <c r="Z307" s="185" t="str">
        <f aca="false">IF(AND(G307&lt;&gt;"",R307&lt;&gt;"",V307&lt;&gt;"",W307&lt;&gt;""),"COMPLETADO","OBSERVADO")</f>
        <v>OBSERVADO</v>
      </c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85" t="str">
        <f aca="false">IF(AND(G308&lt;&gt;"",R308&lt;&gt;"",V308&lt;&gt;"",W308&lt;&gt;""),"COMPLETADO","OBSERVADO")</f>
        <v>OBSERVADO</v>
      </c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  <c r="Z309" s="185" t="str">
        <f aca="false">IF(AND(G309&lt;&gt;"",R309&lt;&gt;"",V309&lt;&gt;"",W309&lt;&gt;""),"COMPLETADO","OBSERVADO")</f>
        <v>OBSERVADO</v>
      </c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85" t="str">
        <f aca="false">IF(AND(G310&lt;&gt;"",R310&lt;&gt;"",V310&lt;&gt;"",W310&lt;&gt;""),"COMPLETADO","OBSERVADO")</f>
        <v>OBSERVADO</v>
      </c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  <c r="Z311" s="185" t="str">
        <f aca="false">IF(AND(G311&lt;&gt;"",R311&lt;&gt;"",V311&lt;&gt;"",W311&lt;&gt;""),"COMPLETADO","OBSERVADO")</f>
        <v>OBSERVADO</v>
      </c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85" t="str">
        <f aca="false">IF(AND(G312&lt;&gt;"",R312&lt;&gt;"",V312&lt;&gt;"",W312&lt;&gt;""),"COMPLETADO","OBSERVADO")</f>
        <v>OBSERVADO</v>
      </c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  <c r="Z313" s="185" t="str">
        <f aca="false">IF(AND(G313&lt;&gt;"",R313&lt;&gt;"",V313&lt;&gt;"",W313&lt;&gt;""),"COMPLETADO","OBSERVADO")</f>
        <v>OBSERVADO</v>
      </c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85" t="str">
        <f aca="false">IF(AND(G314&lt;&gt;"",R314&lt;&gt;"",V314&lt;&gt;"",W314&lt;&gt;""),"COMPLETADO","OBSERVADO")</f>
        <v>OBSERVADO</v>
      </c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  <c r="Z315" s="185" t="str">
        <f aca="false">IF(AND(G315&lt;&gt;"",R315&lt;&gt;"",V315&lt;&gt;"",W315&lt;&gt;""),"COMPLETADO","OBSERVADO")</f>
        <v>OBSERVADO</v>
      </c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85" t="str">
        <f aca="false">IF(AND(G316&lt;&gt;"",R316&lt;&gt;"",V316&lt;&gt;"",W316&lt;&gt;""),"COMPLETADO","OBSERVADO")</f>
        <v>OBSERVADO</v>
      </c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  <c r="Z317" s="185" t="str">
        <f aca="false">IF(AND(G317&lt;&gt;"",R317&lt;&gt;"",V317&lt;&gt;"",W317&lt;&gt;""),"COMPLETADO","OBSERVADO")</f>
        <v>OBSERVADO</v>
      </c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85" t="str">
        <f aca="false">IF(AND(G318&lt;&gt;"",R318&lt;&gt;"",V318&lt;&gt;"",W318&lt;&gt;""),"COMPLETADO","OBSERVADO")</f>
        <v>OBSERVADO</v>
      </c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  <c r="Z319" s="185" t="str">
        <f aca="false">IF(AND(G319&lt;&gt;"",R319&lt;&gt;"",V319&lt;&gt;"",W319&lt;&gt;""),"COMPLETADO","OBSERVADO")</f>
        <v>OBSERVADO</v>
      </c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85" t="str">
        <f aca="false">IF(AND(G320&lt;&gt;"",R320&lt;&gt;"",V320&lt;&gt;"",W320&lt;&gt;""),"COMPLETADO","OBSERVADO")</f>
        <v>OBSERVADO</v>
      </c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  <c r="Z321" s="185" t="str">
        <f aca="false">IF(AND(G321&lt;&gt;"",R321&lt;&gt;"",V321&lt;&gt;"",W321&lt;&gt;""),"COMPLETADO","OBSERVADO")</f>
        <v>OBSERVADO</v>
      </c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85" t="str">
        <f aca="false">IF(AND(G322&lt;&gt;"",R322&lt;&gt;"",V322&lt;&gt;"",W322&lt;&gt;""),"COMPLETADO","OBSERVADO")</f>
        <v>OBSERVADO</v>
      </c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  <c r="Z323" s="185" t="str">
        <f aca="false">IF(AND(G323&lt;&gt;"",R323&lt;&gt;"",V323&lt;&gt;"",W323&lt;&gt;""),"COMPLETADO","OBSERVADO")</f>
        <v>OBSERVADO</v>
      </c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85" t="str">
        <f aca="false">IF(AND(G324&lt;&gt;"",R324&lt;&gt;"",V324&lt;&gt;"",W324&lt;&gt;""),"COMPLETADO","OBSERVADO")</f>
        <v>OBSERVADO</v>
      </c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  <c r="Z325" s="185" t="str">
        <f aca="false">IF(AND(G325&lt;&gt;"",R325&lt;&gt;"",V325&lt;&gt;"",W325&lt;&gt;""),"COMPLETADO","OBSERVADO")</f>
        <v>OBSERVADO</v>
      </c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85" t="str">
        <f aca="false">IF(AND(G326&lt;&gt;"",R326&lt;&gt;"",V326&lt;&gt;"",W326&lt;&gt;""),"COMPLETADO","OBSERVADO")</f>
        <v>OBSERVADO</v>
      </c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  <c r="Z327" s="185" t="str">
        <f aca="false">IF(AND(G327&lt;&gt;"",R327&lt;&gt;"",V327&lt;&gt;"",W327&lt;&gt;""),"COMPLETADO","OBSERVADO")</f>
        <v>OBSERVADO</v>
      </c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85" t="str">
        <f aca="false">IF(AND(G328&lt;&gt;"",R328&lt;&gt;"",V328&lt;&gt;"",W328&lt;&gt;""),"COMPLETADO","OBSERVADO")</f>
        <v>OBSERVADO</v>
      </c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  <c r="Z329" s="185" t="str">
        <f aca="false">IF(AND(G329&lt;&gt;"",R329&lt;&gt;"",V329&lt;&gt;"",W329&lt;&gt;""),"COMPLETADO","OBSERVADO")</f>
        <v>OBSERVADO</v>
      </c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85" t="str">
        <f aca="false">IF(AND(G330&lt;&gt;"",R330&lt;&gt;"",V330&lt;&gt;"",W330&lt;&gt;""),"COMPLETADO","OBSERVADO")</f>
        <v>OBSERVADO</v>
      </c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  <c r="Z331" s="185" t="str">
        <f aca="false">IF(AND(G331&lt;&gt;"",R331&lt;&gt;"",V331&lt;&gt;"",W331&lt;&gt;""),"COMPLETADO","OBSERVADO")</f>
        <v>OBSERVADO</v>
      </c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85" t="str">
        <f aca="false">IF(AND(G332&lt;&gt;"",R332&lt;&gt;"",V332&lt;&gt;"",W332&lt;&gt;""),"COMPLETADO","OBSERVADO")</f>
        <v>OBSERVADO</v>
      </c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  <c r="Z333" s="185" t="str">
        <f aca="false">IF(AND(G333&lt;&gt;"",R333&lt;&gt;"",V333&lt;&gt;"",W333&lt;&gt;""),"COMPLETADO","OBSERVADO")</f>
        <v>OBSERVADO</v>
      </c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85" t="str">
        <f aca="false">IF(AND(G334&lt;&gt;"",R334&lt;&gt;"",V334&lt;&gt;"",W334&lt;&gt;""),"COMPLETADO","OBSERVADO")</f>
        <v>OBSERVADO</v>
      </c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  <c r="Z335" s="185" t="str">
        <f aca="false">IF(AND(G335&lt;&gt;"",R335&lt;&gt;"",V335&lt;&gt;"",W335&lt;&gt;""),"COMPLETADO","OBSERVADO")</f>
        <v>OBSERVADO</v>
      </c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85" t="str">
        <f aca="false">IF(AND(G336&lt;&gt;"",R336&lt;&gt;"",V336&lt;&gt;"",W336&lt;&gt;""),"COMPLETADO","OBSERVADO")</f>
        <v>OBSERVADO</v>
      </c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  <c r="Z337" s="185" t="str">
        <f aca="false">IF(AND(G337&lt;&gt;"",R337&lt;&gt;"",V337&lt;&gt;"",W337&lt;&gt;""),"COMPLETADO","OBSERVADO")</f>
        <v>OBSERVADO</v>
      </c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85" t="str">
        <f aca="false">IF(AND(G338&lt;&gt;"",R338&lt;&gt;"",V338&lt;&gt;"",W338&lt;&gt;""),"COMPLETADO","OBSERVADO")</f>
        <v>OBSERVADO</v>
      </c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  <c r="Z339" s="185" t="str">
        <f aca="false">IF(AND(G339&lt;&gt;"",R339&lt;&gt;"",V339&lt;&gt;"",W339&lt;&gt;""),"COMPLETADO","OBSERVADO")</f>
        <v>OBSERVADO</v>
      </c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85" t="str">
        <f aca="false">IF(AND(G340&lt;&gt;"",R340&lt;&gt;"",V340&lt;&gt;"",W340&lt;&gt;""),"COMPLETADO","OBSERVADO")</f>
        <v>OBSERVADO</v>
      </c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  <c r="Z341" s="185" t="str">
        <f aca="false">IF(AND(G341&lt;&gt;"",R341&lt;&gt;"",V341&lt;&gt;"",W341&lt;&gt;""),"COMPLETADO","OBSERVADO")</f>
        <v>OBSERVADO</v>
      </c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85" t="str">
        <f aca="false">IF(AND(G342&lt;&gt;"",R342&lt;&gt;"",V342&lt;&gt;"",W342&lt;&gt;""),"COMPLETADO","OBSERVADO")</f>
        <v>OBSERVADO</v>
      </c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  <c r="Z343" s="185" t="str">
        <f aca="false">IF(AND(G343&lt;&gt;"",R343&lt;&gt;"",V343&lt;&gt;"",W343&lt;&gt;""),"COMPLETADO","OBSERVADO")</f>
        <v>OBSERVADO</v>
      </c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85" t="str">
        <f aca="false">IF(AND(G344&lt;&gt;"",R344&lt;&gt;"",V344&lt;&gt;"",W344&lt;&gt;""),"COMPLETADO","OBSERVADO")</f>
        <v>OBSERVADO</v>
      </c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  <c r="Z345" s="185" t="str">
        <f aca="false">IF(AND(G345&lt;&gt;"",R345&lt;&gt;"",V345&lt;&gt;"",W345&lt;&gt;""),"COMPLETADO","OBSERVADO")</f>
        <v>OBSERVADO</v>
      </c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85" t="str">
        <f aca="false">IF(AND(G346&lt;&gt;"",R346&lt;&gt;"",V346&lt;&gt;"",W346&lt;&gt;""),"COMPLETADO","OBSERVADO")</f>
        <v>OBSERVADO</v>
      </c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  <c r="Z347" s="185" t="str">
        <f aca="false">IF(AND(G347&lt;&gt;"",R347&lt;&gt;"",V347&lt;&gt;"",W347&lt;&gt;""),"COMPLETADO","OBSERVADO")</f>
        <v>OBSERVADO</v>
      </c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85" t="str">
        <f aca="false">IF(AND(G348&lt;&gt;"",R348&lt;&gt;"",V348&lt;&gt;"",W348&lt;&gt;""),"COMPLETADO","OBSERVADO")</f>
        <v>OBSERVADO</v>
      </c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  <c r="Z349" s="185" t="str">
        <f aca="false">IF(AND(G349&lt;&gt;"",R349&lt;&gt;"",V349&lt;&gt;"",W349&lt;&gt;""),"COMPLETADO","OBSERVADO")</f>
        <v>OBSERVADO</v>
      </c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85" t="str">
        <f aca="false">IF(AND(G350&lt;&gt;"",R350&lt;&gt;"",V350&lt;&gt;"",W350&lt;&gt;""),"COMPLETADO","OBSERVADO")</f>
        <v>OBSERVADO</v>
      </c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  <c r="Z351" s="185" t="str">
        <f aca="false">IF(AND(G351&lt;&gt;"",R351&lt;&gt;"",V351&lt;&gt;"",W351&lt;&gt;""),"COMPLETADO","OBSERVADO")</f>
        <v>OBSERVADO</v>
      </c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85" t="str">
        <f aca="false">IF(AND(G352&lt;&gt;"",R352&lt;&gt;"",V352&lt;&gt;"",W352&lt;&gt;""),"COMPLETADO","OBSERVADO")</f>
        <v>OBSERVADO</v>
      </c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  <c r="Z353" s="185" t="str">
        <f aca="false">IF(AND(G353&lt;&gt;"",R353&lt;&gt;"",V353&lt;&gt;"",W353&lt;&gt;""),"COMPLETADO","OBSERVADO")</f>
        <v>OBSERVADO</v>
      </c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85" t="str">
        <f aca="false">IF(AND(G354&lt;&gt;"",R354&lt;&gt;"",V354&lt;&gt;"",W354&lt;&gt;""),"COMPLETADO","OBSERVADO")</f>
        <v>OBSERVADO</v>
      </c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  <c r="Z355" s="185" t="str">
        <f aca="false">IF(AND(G355&lt;&gt;"",R355&lt;&gt;"",V355&lt;&gt;"",W355&lt;&gt;""),"COMPLETADO","OBSERVADO")</f>
        <v>OBSERVADO</v>
      </c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85" t="str">
        <f aca="false">IF(AND(G356&lt;&gt;"",R356&lt;&gt;"",V356&lt;&gt;"",W356&lt;&gt;""),"COMPLETADO","OBSERVADO")</f>
        <v>OBSERVADO</v>
      </c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  <c r="Z357" s="185" t="str">
        <f aca="false">IF(AND(G357&lt;&gt;"",R357&lt;&gt;"",V357&lt;&gt;"",W357&lt;&gt;""),"COMPLETADO","OBSERVADO")</f>
        <v>OBSERVADO</v>
      </c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85" t="str">
        <f aca="false">IF(AND(G358&lt;&gt;"",R358&lt;&gt;"",V358&lt;&gt;"",W358&lt;&gt;""),"COMPLETADO","OBSERVADO")</f>
        <v>OBSERVADO</v>
      </c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  <c r="Z359" s="185" t="str">
        <f aca="false">IF(AND(G359&lt;&gt;"",R359&lt;&gt;"",V359&lt;&gt;"",W359&lt;&gt;""),"COMPLETADO","OBSERVADO")</f>
        <v>OBSERVADO</v>
      </c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85" t="str">
        <f aca="false">IF(AND(G360&lt;&gt;"",R360&lt;&gt;"",V360&lt;&gt;"",W360&lt;&gt;""),"COMPLETADO","OBSERVADO")</f>
        <v>OBSERVADO</v>
      </c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  <c r="Z361" s="185" t="str">
        <f aca="false">IF(AND(G361&lt;&gt;"",R361&lt;&gt;"",V361&lt;&gt;"",W361&lt;&gt;""),"COMPLETADO","OBSERVADO")</f>
        <v>OBSERVADO</v>
      </c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85" t="str">
        <f aca="false">IF(AND(G362&lt;&gt;"",R362&lt;&gt;"",V362&lt;&gt;"",W362&lt;&gt;""),"COMPLETADO","OBSERVADO")</f>
        <v>OBSERVADO</v>
      </c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  <c r="Z363" s="185" t="str">
        <f aca="false">IF(AND(G363&lt;&gt;"",R363&lt;&gt;"",V363&lt;&gt;"",W363&lt;&gt;""),"COMPLETADO","OBSERVADO")</f>
        <v>OBSERVADO</v>
      </c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85" t="str">
        <f aca="false">IF(AND(G364&lt;&gt;"",R364&lt;&gt;"",V364&lt;&gt;"",W364&lt;&gt;""),"COMPLETADO","OBSERVADO")</f>
        <v>OBSERVADO</v>
      </c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  <c r="Z365" s="185" t="str">
        <f aca="false">IF(AND(G365&lt;&gt;"",R365&lt;&gt;"",V365&lt;&gt;"",W365&lt;&gt;""),"COMPLETADO","OBSERVADO")</f>
        <v>OBSERVADO</v>
      </c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85" t="str">
        <f aca="false">IF(AND(G366&lt;&gt;"",R366&lt;&gt;"",V366&lt;&gt;"",W366&lt;&gt;""),"COMPLETADO","OBSERVADO")</f>
        <v>OBSERVADO</v>
      </c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  <c r="Z367" s="185" t="str">
        <f aca="false">IF(AND(G367&lt;&gt;"",R367&lt;&gt;"",V367&lt;&gt;"",W367&lt;&gt;""),"COMPLETADO","OBSERVADO")</f>
        <v>OBSERVADO</v>
      </c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85" t="str">
        <f aca="false">IF(AND(G368&lt;&gt;"",R368&lt;&gt;"",V368&lt;&gt;"",W368&lt;&gt;""),"COMPLETADO","OBSERVADO")</f>
        <v>OBSERVADO</v>
      </c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  <c r="Z369" s="185" t="str">
        <f aca="false">IF(AND(G369&lt;&gt;"",R369&lt;&gt;"",V369&lt;&gt;"",W369&lt;&gt;""),"COMPLETADO","OBSERVADO")</f>
        <v>OBSERVADO</v>
      </c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85" t="str">
        <f aca="false">IF(AND(G370&lt;&gt;"",R370&lt;&gt;"",V370&lt;&gt;"",W370&lt;&gt;""),"COMPLETADO","OBSERVADO")</f>
        <v>OBSERVADO</v>
      </c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  <c r="Z371" s="185" t="str">
        <f aca="false">IF(AND(G371&lt;&gt;"",R371&lt;&gt;"",V371&lt;&gt;"",W371&lt;&gt;""),"COMPLETADO","OBSERVADO")</f>
        <v>OBSERVADO</v>
      </c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85" t="str">
        <f aca="false">IF(AND(G372&lt;&gt;"",R372&lt;&gt;"",V372&lt;&gt;"",W372&lt;&gt;""),"COMPLETADO","OBSERVADO")</f>
        <v>OBSERVADO</v>
      </c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  <c r="Z373" s="185" t="str">
        <f aca="false">IF(AND(G373&lt;&gt;"",R373&lt;&gt;"",V373&lt;&gt;"",W373&lt;&gt;""),"COMPLETADO","OBSERVADO")</f>
        <v>OBSERVADO</v>
      </c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85" t="str">
        <f aca="false">IF(AND(G374&lt;&gt;"",R374&lt;&gt;"",V374&lt;&gt;"",W374&lt;&gt;""),"COMPLETADO","OBSERVADO")</f>
        <v>OBSERVADO</v>
      </c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  <c r="Z375" s="185" t="str">
        <f aca="false">IF(AND(G375&lt;&gt;"",R375&lt;&gt;"",V375&lt;&gt;"",W375&lt;&gt;""),"COMPLETADO","OBSERVADO")</f>
        <v>OBSERVADO</v>
      </c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85" t="str">
        <f aca="false">IF(AND(G376&lt;&gt;"",R376&lt;&gt;"",V376&lt;&gt;"",W376&lt;&gt;""),"COMPLETADO","OBSERVADO")</f>
        <v>OBSERVADO</v>
      </c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  <c r="Z377" s="185" t="str">
        <f aca="false">IF(AND(G377&lt;&gt;"",R377&lt;&gt;"",V377&lt;&gt;"",W377&lt;&gt;""),"COMPLETADO","OBSERVADO")</f>
        <v>OBSERVADO</v>
      </c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85" t="str">
        <f aca="false">IF(AND(G378&lt;&gt;"",R378&lt;&gt;"",V378&lt;&gt;"",W378&lt;&gt;""),"COMPLETADO","OBSERVADO")</f>
        <v>OBSERVADO</v>
      </c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  <c r="Z379" s="185" t="str">
        <f aca="false">IF(AND(G379&lt;&gt;"",R379&lt;&gt;"",V379&lt;&gt;"",W379&lt;&gt;""),"COMPLETADO","OBSERVADO")</f>
        <v>OBSERVADO</v>
      </c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85" t="str">
        <f aca="false">IF(AND(G380&lt;&gt;"",R380&lt;&gt;"",V380&lt;&gt;"",W380&lt;&gt;""),"COMPLETADO","OBSERVADO")</f>
        <v>OBSERVADO</v>
      </c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  <c r="Z381" s="185" t="str">
        <f aca="false">IF(AND(G381&lt;&gt;"",R381&lt;&gt;"",V381&lt;&gt;"",W381&lt;&gt;""),"COMPLETADO","OBSERVADO")</f>
        <v>OBSERVADO</v>
      </c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85" t="str">
        <f aca="false">IF(AND(G382&lt;&gt;"",R382&lt;&gt;"",V382&lt;&gt;"",W382&lt;&gt;""),"COMPLETADO","OBSERVADO")</f>
        <v>OBSERVADO</v>
      </c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  <c r="Z383" s="185" t="str">
        <f aca="false">IF(AND(G383&lt;&gt;"",R383&lt;&gt;"",V383&lt;&gt;"",W383&lt;&gt;""),"COMPLETADO","OBSERVADO")</f>
        <v>OBSERVADO</v>
      </c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85" t="str">
        <f aca="false">IF(AND(G384&lt;&gt;"",R384&lt;&gt;"",V384&lt;&gt;"",W384&lt;&gt;""),"COMPLETADO","OBSERVADO")</f>
        <v>OBSERVADO</v>
      </c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  <c r="Z385" s="185" t="str">
        <f aca="false">IF(AND(G385&lt;&gt;"",R385&lt;&gt;"",V385&lt;&gt;"",W385&lt;&gt;""),"COMPLETADO","OBSERVADO")</f>
        <v>OBSERVADO</v>
      </c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85" t="str">
        <f aca="false">IF(AND(G386&lt;&gt;"",R386&lt;&gt;"",V386&lt;&gt;"",W386&lt;&gt;""),"COMPLETADO","OBSERVADO")</f>
        <v>OBSERVADO</v>
      </c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  <c r="Z387" s="185" t="str">
        <f aca="false">IF(AND(G387&lt;&gt;"",R387&lt;&gt;"",V387&lt;&gt;"",W387&lt;&gt;""),"COMPLETADO","OBSERVADO")</f>
        <v>OBSERVADO</v>
      </c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85" t="str">
        <f aca="false">IF(AND(G388&lt;&gt;"",R388&lt;&gt;"",V388&lt;&gt;"",W388&lt;&gt;""),"COMPLETADO","OBSERVADO")</f>
        <v>OBSERVADO</v>
      </c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  <c r="Z389" s="185" t="str">
        <f aca="false">IF(AND(G389&lt;&gt;"",R389&lt;&gt;"",V389&lt;&gt;"",W389&lt;&gt;""),"COMPLETADO","OBSERVADO")</f>
        <v>OBSERVADO</v>
      </c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85" t="str">
        <f aca="false">IF(AND(G390&lt;&gt;"",R390&lt;&gt;"",V390&lt;&gt;"",W390&lt;&gt;""),"COMPLETADO","OBSERVADO")</f>
        <v>OBSERVADO</v>
      </c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  <c r="Z391" s="185" t="str">
        <f aca="false">IF(AND(G391&lt;&gt;"",R391&lt;&gt;"",V391&lt;&gt;"",W391&lt;&gt;""),"COMPLETADO","OBSERVADO")</f>
        <v>OBSERVADO</v>
      </c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85" t="str">
        <f aca="false">IF(AND(G392&lt;&gt;"",R392&lt;&gt;"",V392&lt;&gt;"",W392&lt;&gt;""),"COMPLETADO","OBSERVADO")</f>
        <v>OBSERVADO</v>
      </c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  <c r="Z393" s="185" t="str">
        <f aca="false">IF(AND(G393&lt;&gt;"",R393&lt;&gt;"",V393&lt;&gt;"",W393&lt;&gt;""),"COMPLETADO","OBSERVADO")</f>
        <v>OBSERVADO</v>
      </c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85" t="str">
        <f aca="false">IF(AND(G394&lt;&gt;"",R394&lt;&gt;"",V394&lt;&gt;"",W394&lt;&gt;""),"COMPLETADO","OBSERVADO")</f>
        <v>OBSERVADO</v>
      </c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  <c r="Z395" s="185" t="str">
        <f aca="false">IF(AND(G395&lt;&gt;"",R395&lt;&gt;"",V395&lt;&gt;"",W395&lt;&gt;""),"COMPLETADO","OBSERVADO")</f>
        <v>OBSERVADO</v>
      </c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85" t="str">
        <f aca="false">IF(AND(G396&lt;&gt;"",R396&lt;&gt;"",V396&lt;&gt;"",W396&lt;&gt;""),"COMPLETADO","OBSERVADO")</f>
        <v>OBSERVADO</v>
      </c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  <c r="Z397" s="185" t="str">
        <f aca="false">IF(AND(G397&lt;&gt;"",R397&lt;&gt;"",V397&lt;&gt;"",W397&lt;&gt;""),"COMPLETADO","OBSERVADO")</f>
        <v>OBSERVADO</v>
      </c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85" t="str">
        <f aca="false">IF(AND(G398&lt;&gt;"",R398&lt;&gt;"",V398&lt;&gt;"",W398&lt;&gt;""),"COMPLETADO","OBSERVADO")</f>
        <v>OBSERVADO</v>
      </c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  <c r="Z399" s="185" t="str">
        <f aca="false">IF(AND(G399&lt;&gt;"",R399&lt;&gt;"",V399&lt;&gt;"",W399&lt;&gt;""),"COMPLETADO","OBSERVADO")</f>
        <v>OBSERVADO</v>
      </c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85" t="str">
        <f aca="false">IF(AND(G400&lt;&gt;"",R400&lt;&gt;"",V400&lt;&gt;"",W400&lt;&gt;""),"COMPLETADO","OBSERVADO")</f>
        <v>OBSERVADO</v>
      </c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  <c r="Z401" s="185" t="str">
        <f aca="false">IF(AND(G401&lt;&gt;"",R401&lt;&gt;"",V401&lt;&gt;"",W401&lt;&gt;""),"COMPLETADO","OBSERVADO")</f>
        <v>OBSERVADO</v>
      </c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85" t="str">
        <f aca="false">IF(AND(G402&lt;&gt;"",R402&lt;&gt;"",V402&lt;&gt;"",W402&lt;&gt;""),"COMPLETADO","OBSERVADO")</f>
        <v>OBSERVADO</v>
      </c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  <c r="Z403" s="185" t="str">
        <f aca="false">IF(AND(G403&lt;&gt;"",R403&lt;&gt;"",V403&lt;&gt;"",W403&lt;&gt;""),"COMPLETADO","OBSERVADO")</f>
        <v>OBSERVADO</v>
      </c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85" t="str">
        <f aca="false">IF(AND(G404&lt;&gt;"",R404&lt;&gt;"",V404&lt;&gt;"",W404&lt;&gt;""),"COMPLETADO","OBSERVADO")</f>
        <v>OBSERVADO</v>
      </c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  <c r="Z405" s="185" t="str">
        <f aca="false">IF(AND(G405&lt;&gt;"",R405&lt;&gt;"",V405&lt;&gt;"",W405&lt;&gt;""),"COMPLETADO","OBSERVADO")</f>
        <v>OBSERVADO</v>
      </c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85" t="str">
        <f aca="false">IF(AND(G406&lt;&gt;"",R406&lt;&gt;"",V406&lt;&gt;"",W406&lt;&gt;""),"COMPLETADO","OBSERVADO")</f>
        <v>OBSERVADO</v>
      </c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  <c r="Z407" s="185" t="str">
        <f aca="false">IF(AND(G407&lt;&gt;"",R407&lt;&gt;"",V407&lt;&gt;"",W407&lt;&gt;""),"COMPLETADO","OBSERVADO")</f>
        <v>OBSERVADO</v>
      </c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85" t="str">
        <f aca="false">IF(AND(G408&lt;&gt;"",R408&lt;&gt;"",V408&lt;&gt;"",W408&lt;&gt;""),"COMPLETADO","OBSERVADO")</f>
        <v>OBSERVADO</v>
      </c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  <c r="Z409" s="185" t="str">
        <f aca="false">IF(AND(G409&lt;&gt;"",R409&lt;&gt;"",V409&lt;&gt;"",W409&lt;&gt;""),"COMPLETADO","OBSERVADO")</f>
        <v>OBSERVADO</v>
      </c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85" t="str">
        <f aca="false">IF(AND(G410&lt;&gt;"",R410&lt;&gt;"",V410&lt;&gt;"",W410&lt;&gt;""),"COMPLETADO","OBSERVADO")</f>
        <v>OBSERVADO</v>
      </c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  <c r="Z411" s="185" t="str">
        <f aca="false">IF(AND(G411&lt;&gt;"",R411&lt;&gt;"",V411&lt;&gt;"",W411&lt;&gt;""),"COMPLETADO","OBSERVADO")</f>
        <v>OBSERVADO</v>
      </c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85" t="str">
        <f aca="false">IF(AND(G412&lt;&gt;"",R412&lt;&gt;"",V412&lt;&gt;"",W412&lt;&gt;""),"COMPLETADO","OBSERVADO")</f>
        <v>OBSERVADO</v>
      </c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  <c r="Z413" s="185" t="str">
        <f aca="false">IF(AND(G413&lt;&gt;"",R413&lt;&gt;"",V413&lt;&gt;"",W413&lt;&gt;""),"COMPLETADO","OBSERVADO")</f>
        <v>OBSERVADO</v>
      </c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85" t="str">
        <f aca="false">IF(AND(G414&lt;&gt;"",R414&lt;&gt;"",V414&lt;&gt;"",W414&lt;&gt;""),"COMPLETADO","OBSERVADO")</f>
        <v>OBSERVADO</v>
      </c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  <c r="Z415" s="185" t="str">
        <f aca="false">IF(AND(G415&lt;&gt;"",R415&lt;&gt;"",V415&lt;&gt;"",W415&lt;&gt;""),"COMPLETADO","OBSERVADO")</f>
        <v>OBSERVADO</v>
      </c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85" t="str">
        <f aca="false">IF(AND(G416&lt;&gt;"",R416&lt;&gt;"",V416&lt;&gt;"",W416&lt;&gt;""),"COMPLETADO","OBSERVADO")</f>
        <v>OBSERVADO</v>
      </c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  <c r="Z417" s="185" t="str">
        <f aca="false">IF(AND(G417&lt;&gt;"",R417&lt;&gt;"",V417&lt;&gt;"",W417&lt;&gt;""),"COMPLETADO","OBSERVADO")</f>
        <v>OBSERVADO</v>
      </c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85" t="str">
        <f aca="false">IF(AND(G418&lt;&gt;"",R418&lt;&gt;"",V418&lt;&gt;"",W418&lt;&gt;""),"COMPLETADO","OBSERVADO")</f>
        <v>OBSERVADO</v>
      </c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  <c r="Z419" s="185" t="str">
        <f aca="false">IF(AND(G419&lt;&gt;"",R419&lt;&gt;"",V419&lt;&gt;"",W419&lt;&gt;""),"COMPLETADO","OBSERVADO")</f>
        <v>OBSERVADO</v>
      </c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85" t="str">
        <f aca="false">IF(AND(G420&lt;&gt;"",R420&lt;&gt;"",V420&lt;&gt;"",W420&lt;&gt;""),"COMPLETADO","OBSERVADO")</f>
        <v>OBSERVADO</v>
      </c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  <c r="Z421" s="185" t="str">
        <f aca="false">IF(AND(G421&lt;&gt;"",R421&lt;&gt;"",V421&lt;&gt;"",W421&lt;&gt;""),"COMPLETADO","OBSERVADO")</f>
        <v>OBSERVADO</v>
      </c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85" t="str">
        <f aca="false">IF(AND(G422&lt;&gt;"",R422&lt;&gt;"",V422&lt;&gt;"",W422&lt;&gt;""),"COMPLETADO","OBSERVADO")</f>
        <v>OBSERVADO</v>
      </c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  <c r="Z423" s="185" t="str">
        <f aca="false">IF(AND(G423&lt;&gt;"",R423&lt;&gt;"",V423&lt;&gt;"",W423&lt;&gt;""),"COMPLETADO","OBSERVADO")</f>
        <v>OBSERVADO</v>
      </c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85" t="str">
        <f aca="false">IF(AND(G424&lt;&gt;"",R424&lt;&gt;"",V424&lt;&gt;"",W424&lt;&gt;""),"COMPLETADO","OBSERVADO")</f>
        <v>OBSERVADO</v>
      </c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  <c r="Z425" s="185" t="str">
        <f aca="false">IF(AND(G425&lt;&gt;"",R425&lt;&gt;"",V425&lt;&gt;"",W425&lt;&gt;""),"COMPLETADO","OBSERVADO")</f>
        <v>OBSERVADO</v>
      </c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85" t="str">
        <f aca="false">IF(AND(G426&lt;&gt;"",R426&lt;&gt;"",V426&lt;&gt;"",W426&lt;&gt;""),"COMPLETADO","OBSERVADO")</f>
        <v>OBSERVADO</v>
      </c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  <c r="Z427" s="185" t="str">
        <f aca="false">IF(AND(G427&lt;&gt;"",R427&lt;&gt;"",V427&lt;&gt;"",W427&lt;&gt;""),"COMPLETADO","OBSERVADO")</f>
        <v>OBSERVADO</v>
      </c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85" t="str">
        <f aca="false">IF(AND(G428&lt;&gt;"",R428&lt;&gt;"",V428&lt;&gt;"",W428&lt;&gt;""),"COMPLETADO","OBSERVADO")</f>
        <v>OBSERVADO</v>
      </c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  <c r="Z429" s="185" t="str">
        <f aca="false">IF(AND(G429&lt;&gt;"",R429&lt;&gt;"",V429&lt;&gt;"",W429&lt;&gt;""),"COMPLETADO","OBSERVADO")</f>
        <v>OBSERVADO</v>
      </c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85" t="str">
        <f aca="false">IF(AND(G430&lt;&gt;"",R430&lt;&gt;"",V430&lt;&gt;"",W430&lt;&gt;""),"COMPLETADO","OBSERVADO")</f>
        <v>OBSERVADO</v>
      </c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  <c r="Z431" s="185" t="str">
        <f aca="false">IF(AND(G431&lt;&gt;"",R431&lt;&gt;"",V431&lt;&gt;"",W431&lt;&gt;""),"COMPLETADO","OBSERVADO")</f>
        <v>OBSERVADO</v>
      </c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85" t="str">
        <f aca="false">IF(AND(G432&lt;&gt;"",R432&lt;&gt;"",V432&lt;&gt;"",W432&lt;&gt;""),"COMPLETADO","OBSERVADO")</f>
        <v>OBSERVADO</v>
      </c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  <c r="Z433" s="185" t="str">
        <f aca="false">IF(AND(G433&lt;&gt;"",R433&lt;&gt;"",V433&lt;&gt;"",W433&lt;&gt;""),"COMPLETADO","OBSERVADO")</f>
        <v>OBSERVADO</v>
      </c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85" t="str">
        <f aca="false">IF(AND(G434&lt;&gt;"",R434&lt;&gt;"",V434&lt;&gt;"",W434&lt;&gt;""),"COMPLETADO","OBSERVADO")</f>
        <v>OBSERVADO</v>
      </c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  <c r="Z435" s="185" t="str">
        <f aca="false">IF(AND(G435&lt;&gt;"",R435&lt;&gt;"",V435&lt;&gt;"",W435&lt;&gt;""),"COMPLETADO","OBSERVADO")</f>
        <v>OBSERVADO</v>
      </c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85" t="str">
        <f aca="false">IF(AND(G436&lt;&gt;"",R436&lt;&gt;"",V436&lt;&gt;"",W436&lt;&gt;""),"COMPLETADO","OBSERVADO")</f>
        <v>OBSERVADO</v>
      </c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  <c r="Z437" s="185" t="str">
        <f aca="false">IF(AND(G437&lt;&gt;"",R437&lt;&gt;"",V437&lt;&gt;"",W437&lt;&gt;""),"COMPLETADO","OBSERVADO")</f>
        <v>OBSERVADO</v>
      </c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85" t="str">
        <f aca="false">IF(AND(G438&lt;&gt;"",R438&lt;&gt;"",V438&lt;&gt;"",W438&lt;&gt;""),"COMPLETADO","OBSERVADO")</f>
        <v>OBSERVADO</v>
      </c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  <c r="Z439" s="185" t="str">
        <f aca="false">IF(AND(G439&lt;&gt;"",R439&lt;&gt;"",V439&lt;&gt;"",W439&lt;&gt;""),"COMPLETADO","OBSERVADO")</f>
        <v>OBSERVADO</v>
      </c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85" t="str">
        <f aca="false">IF(AND(G440&lt;&gt;"",R440&lt;&gt;"",V440&lt;&gt;"",W440&lt;&gt;""),"COMPLETADO","OBSERVADO")</f>
        <v>OBSERVADO</v>
      </c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  <c r="Z441" s="185" t="str">
        <f aca="false">IF(AND(G441&lt;&gt;"",R441&lt;&gt;"",V441&lt;&gt;"",W441&lt;&gt;""),"COMPLETADO","OBSERVADO")</f>
        <v>OBSERVADO</v>
      </c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85" t="str">
        <f aca="false">IF(AND(G442&lt;&gt;"",R442&lt;&gt;"",V442&lt;&gt;"",W442&lt;&gt;""),"COMPLETADO","OBSERVADO")</f>
        <v>OBSERVADO</v>
      </c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  <c r="Z443" s="185" t="str">
        <f aca="false">IF(AND(G443&lt;&gt;"",R443&lt;&gt;"",V443&lt;&gt;"",W443&lt;&gt;""),"COMPLETADO","OBSERVADO")</f>
        <v>OBSERVADO</v>
      </c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85" t="str">
        <f aca="false">IF(AND(G444&lt;&gt;"",R444&lt;&gt;"",V444&lt;&gt;"",W444&lt;&gt;""),"COMPLETADO","OBSERVADO")</f>
        <v>OBSERVADO</v>
      </c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  <c r="Z445" s="185" t="str">
        <f aca="false">IF(AND(G445&lt;&gt;"",R445&lt;&gt;"",V445&lt;&gt;"",W445&lt;&gt;""),"COMPLETADO","OBSERVADO")</f>
        <v>OBSERVADO</v>
      </c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85" t="str">
        <f aca="false">IF(AND(G446&lt;&gt;"",R446&lt;&gt;"",V446&lt;&gt;"",W446&lt;&gt;""),"COMPLETADO","OBSERVADO")</f>
        <v>OBSERVADO</v>
      </c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  <c r="Z447" s="185" t="str">
        <f aca="false">IF(AND(G447&lt;&gt;"",R447&lt;&gt;"",V447&lt;&gt;"",W447&lt;&gt;""),"COMPLETADO","OBSERVADO")</f>
        <v>OBSERVADO</v>
      </c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85" t="str">
        <f aca="false">IF(AND(G448&lt;&gt;"",R448&lt;&gt;"",V448&lt;&gt;"",W448&lt;&gt;""),"COMPLETADO","OBSERVADO")</f>
        <v>OBSERVADO</v>
      </c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  <c r="Z449" s="185" t="str">
        <f aca="false">IF(AND(G449&lt;&gt;"",R449&lt;&gt;"",V449&lt;&gt;"",W449&lt;&gt;""),"COMPLETADO","OBSERVADO")</f>
        <v>OBSERVADO</v>
      </c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85" t="str">
        <f aca="false">IF(AND(G450&lt;&gt;"",R450&lt;&gt;"",V450&lt;&gt;"",W450&lt;&gt;""),"COMPLETADO","OBSERVADO")</f>
        <v>OBSERVADO</v>
      </c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  <c r="Z451" s="185" t="str">
        <f aca="false">IF(AND(G451&lt;&gt;"",R451&lt;&gt;"",V451&lt;&gt;"",W451&lt;&gt;""),"COMPLETADO","OBSERVADO")</f>
        <v>OBSERVADO</v>
      </c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85" t="str">
        <f aca="false">IF(AND(G452&lt;&gt;"",R452&lt;&gt;"",V452&lt;&gt;"",W452&lt;&gt;""),"COMPLETADO","OBSERVADO")</f>
        <v>OBSERVADO</v>
      </c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  <c r="Z453" s="185" t="str">
        <f aca="false">IF(AND(G453&lt;&gt;"",R453&lt;&gt;"",V453&lt;&gt;"",W453&lt;&gt;""),"COMPLETADO","OBSERVADO")</f>
        <v>OBSERVADO</v>
      </c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85" t="str">
        <f aca="false">IF(AND(G454&lt;&gt;"",R454&lt;&gt;"",V454&lt;&gt;"",W454&lt;&gt;""),"COMPLETADO","OBSERVADO")</f>
        <v>OBSERVADO</v>
      </c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  <c r="Z455" s="185" t="str">
        <f aca="false">IF(AND(G455&lt;&gt;"",R455&lt;&gt;"",V455&lt;&gt;"",W455&lt;&gt;""),"COMPLETADO","OBSERVADO")</f>
        <v>OBSERVADO</v>
      </c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85" t="str">
        <f aca="false">IF(AND(G456&lt;&gt;"",R456&lt;&gt;"",V456&lt;&gt;"",W456&lt;&gt;""),"COMPLETADO","OBSERVADO")</f>
        <v>OBSERVADO</v>
      </c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  <c r="Z457" s="185" t="str">
        <f aca="false">IF(AND(G457&lt;&gt;"",R457&lt;&gt;"",V457&lt;&gt;"",W457&lt;&gt;""),"COMPLETADO","OBSERVADO")</f>
        <v>OBSERVADO</v>
      </c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85" t="str">
        <f aca="false">IF(AND(G458&lt;&gt;"",R458&lt;&gt;"",V458&lt;&gt;"",W458&lt;&gt;""),"COMPLETADO","OBSERVADO")</f>
        <v>OBSERVADO</v>
      </c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  <c r="Z459" s="185" t="str">
        <f aca="false">IF(AND(G459&lt;&gt;"",R459&lt;&gt;"",V459&lt;&gt;"",W459&lt;&gt;""),"COMPLETADO","OBSERVADO")</f>
        <v>OBSERVADO</v>
      </c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85" t="str">
        <f aca="false">IF(AND(G460&lt;&gt;"",R460&lt;&gt;"",V460&lt;&gt;"",W460&lt;&gt;""),"COMPLETADO","OBSERVADO")</f>
        <v>OBSERVADO</v>
      </c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  <c r="Z461" s="185" t="str">
        <f aca="false">IF(AND(G461&lt;&gt;"",R461&lt;&gt;"",V461&lt;&gt;"",W461&lt;&gt;""),"COMPLETADO","OBSERVADO")</f>
        <v>OBSERVADO</v>
      </c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85" t="str">
        <f aca="false">IF(AND(G462&lt;&gt;"",R462&lt;&gt;"",V462&lt;&gt;"",W462&lt;&gt;""),"COMPLETADO","OBSERVADO")</f>
        <v>OBSERVADO</v>
      </c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  <c r="Z463" s="185" t="str">
        <f aca="false">IF(AND(G463&lt;&gt;"",R463&lt;&gt;"",V463&lt;&gt;"",W463&lt;&gt;""),"COMPLETADO","OBSERVADO")</f>
        <v>OBSERVADO</v>
      </c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85" t="str">
        <f aca="false">IF(AND(G464&lt;&gt;"",R464&lt;&gt;"",V464&lt;&gt;"",W464&lt;&gt;""),"COMPLETADO","OBSERVADO")</f>
        <v>OBSERVADO</v>
      </c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  <c r="Z465" s="185" t="str">
        <f aca="false">IF(AND(G465&lt;&gt;"",R465&lt;&gt;"",V465&lt;&gt;"",W465&lt;&gt;""),"COMPLETADO","OBSERVADO")</f>
        <v>OBSERVADO</v>
      </c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85" t="str">
        <f aca="false">IF(AND(G466&lt;&gt;"",R466&lt;&gt;"",V466&lt;&gt;"",W466&lt;&gt;""),"COMPLETADO","OBSERVADO")</f>
        <v>OBSERVADO</v>
      </c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  <c r="Z467" s="185" t="str">
        <f aca="false">IF(AND(G467&lt;&gt;"",R467&lt;&gt;"",V467&lt;&gt;"",W467&lt;&gt;""),"COMPLETADO","OBSERVADO")</f>
        <v>OBSERVADO</v>
      </c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85" t="str">
        <f aca="false">IF(AND(G468&lt;&gt;"",R468&lt;&gt;"",V468&lt;&gt;"",W468&lt;&gt;""),"COMPLETADO","OBSERVADO")</f>
        <v>OBSERVADO</v>
      </c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  <c r="Z469" s="185" t="str">
        <f aca="false">IF(AND(G469&lt;&gt;"",R469&lt;&gt;"",V469&lt;&gt;"",W469&lt;&gt;""),"COMPLETADO","OBSERVADO")</f>
        <v>OBSERVADO</v>
      </c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85" t="str">
        <f aca="false">IF(AND(G470&lt;&gt;"",R470&lt;&gt;"",V470&lt;&gt;"",W470&lt;&gt;""),"COMPLETADO","OBSERVADO")</f>
        <v>OBSERVADO</v>
      </c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  <c r="Z471" s="185" t="str">
        <f aca="false">IF(AND(G471&lt;&gt;"",R471&lt;&gt;"",V471&lt;&gt;"",W471&lt;&gt;""),"COMPLETADO","OBSERVADO")</f>
        <v>OBSERVADO</v>
      </c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85" t="str">
        <f aca="false">IF(AND(G472&lt;&gt;"",R472&lt;&gt;"",V472&lt;&gt;"",W472&lt;&gt;""),"COMPLETADO","OBSERVADO")</f>
        <v>OBSERVADO</v>
      </c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  <c r="Z473" s="185" t="str">
        <f aca="false">IF(AND(G473&lt;&gt;"",R473&lt;&gt;"",V473&lt;&gt;"",W473&lt;&gt;""),"COMPLETADO","OBSERVADO")</f>
        <v>OBSERVADO</v>
      </c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85" t="str">
        <f aca="false">IF(AND(G474&lt;&gt;"",R474&lt;&gt;"",V474&lt;&gt;"",W474&lt;&gt;""),"COMPLETADO","OBSERVADO")</f>
        <v>OBSERVADO</v>
      </c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  <c r="Z475" s="185" t="str">
        <f aca="false">IF(AND(G475&lt;&gt;"",R475&lt;&gt;"",V475&lt;&gt;"",W475&lt;&gt;""),"COMPLETADO","OBSERVADO")</f>
        <v>OBSERVADO</v>
      </c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85" t="str">
        <f aca="false">IF(AND(G476&lt;&gt;"",R476&lt;&gt;"",V476&lt;&gt;"",W476&lt;&gt;""),"COMPLETADO","OBSERVADO")</f>
        <v>OBSERVADO</v>
      </c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  <c r="Z477" s="185" t="str">
        <f aca="false">IF(AND(G477&lt;&gt;"",R477&lt;&gt;"",V477&lt;&gt;"",W477&lt;&gt;""),"COMPLETADO","OBSERVADO")</f>
        <v>OBSERVADO</v>
      </c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85" t="str">
        <f aca="false">IF(AND(G478&lt;&gt;"",R478&lt;&gt;"",V478&lt;&gt;"",W478&lt;&gt;""),"COMPLETADO","OBSERVADO")</f>
        <v>OBSERVADO</v>
      </c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  <c r="Z479" s="185" t="str">
        <f aca="false">IF(AND(G479&lt;&gt;"",R479&lt;&gt;"",V479&lt;&gt;"",W479&lt;&gt;""),"COMPLETADO","OBSERVADO")</f>
        <v>OBSERVADO</v>
      </c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85" t="str">
        <f aca="false">IF(AND(G480&lt;&gt;"",R480&lt;&gt;"",V480&lt;&gt;"",W480&lt;&gt;""),"COMPLETADO","OBSERVADO")</f>
        <v>OBSERVADO</v>
      </c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  <c r="Z481" s="185" t="str">
        <f aca="false">IF(AND(G481&lt;&gt;"",R481&lt;&gt;"",V481&lt;&gt;"",W481&lt;&gt;""),"COMPLETADO","OBSERVADO")</f>
        <v>OBSERVADO</v>
      </c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85" t="str">
        <f aca="false">IF(AND(G482&lt;&gt;"",R482&lt;&gt;"",V482&lt;&gt;"",W482&lt;&gt;""),"COMPLETADO","OBSERVADO")</f>
        <v>OBSERVADO</v>
      </c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  <c r="Z483" s="185" t="str">
        <f aca="false">IF(AND(G483&lt;&gt;"",R483&lt;&gt;"",V483&lt;&gt;"",W483&lt;&gt;""),"COMPLETADO","OBSERVADO")</f>
        <v>OBSERVADO</v>
      </c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85" t="str">
        <f aca="false">IF(AND(G484&lt;&gt;"",R484&lt;&gt;"",V484&lt;&gt;"",W484&lt;&gt;""),"COMPLETADO","OBSERVADO")</f>
        <v>OBSERVADO</v>
      </c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  <c r="Z485" s="185" t="str">
        <f aca="false">IF(AND(G485&lt;&gt;"",R485&lt;&gt;"",V485&lt;&gt;"",W485&lt;&gt;""),"COMPLETADO","OBSERVADO")</f>
        <v>OBSERVADO</v>
      </c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85" t="str">
        <f aca="false">IF(AND(G486&lt;&gt;"",R486&lt;&gt;"",V486&lt;&gt;"",W486&lt;&gt;""),"COMPLETADO","OBSERVADO")</f>
        <v>OBSERVADO</v>
      </c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  <c r="Z487" s="185" t="str">
        <f aca="false">IF(AND(G487&lt;&gt;"",R487&lt;&gt;"",V487&lt;&gt;"",W487&lt;&gt;""),"COMPLETADO","OBSERVADO")</f>
        <v>OBSERVADO</v>
      </c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85" t="str">
        <f aca="false">IF(AND(G488&lt;&gt;"",R488&lt;&gt;"",V488&lt;&gt;"",W488&lt;&gt;""),"COMPLETADO","OBSERVADO")</f>
        <v>OBSERVADO</v>
      </c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  <c r="Z489" s="185" t="str">
        <f aca="false">IF(AND(G489&lt;&gt;"",R489&lt;&gt;"",V489&lt;&gt;"",W489&lt;&gt;""),"COMPLETADO","OBSERVADO")</f>
        <v>OBSERVADO</v>
      </c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85" t="str">
        <f aca="false">IF(AND(G490&lt;&gt;"",R490&lt;&gt;"",V490&lt;&gt;"",W490&lt;&gt;""),"COMPLETADO","OBSERVADO")</f>
        <v>OBSERVADO</v>
      </c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  <c r="Z491" s="185" t="str">
        <f aca="false">IF(AND(G491&lt;&gt;"",R491&lt;&gt;"",V491&lt;&gt;"",W491&lt;&gt;""),"COMPLETADO","OBSERVADO")</f>
        <v>OBSERVADO</v>
      </c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85" t="str">
        <f aca="false">IF(AND(G492&lt;&gt;"",R492&lt;&gt;"",V492&lt;&gt;"",W492&lt;&gt;""),"COMPLETADO","OBSERVADO")</f>
        <v>OBSERVADO</v>
      </c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  <c r="Z493" s="185" t="str">
        <f aca="false">IF(AND(G493&lt;&gt;"",R493&lt;&gt;"",V493&lt;&gt;"",W493&lt;&gt;""),"COMPLETADO","OBSERVADO")</f>
        <v>OBSERVADO</v>
      </c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85" t="str">
        <f aca="false">IF(AND(G494&lt;&gt;"",R494&lt;&gt;"",V494&lt;&gt;"",W494&lt;&gt;""),"COMPLETADO","OBSERVADO")</f>
        <v>OBSERVADO</v>
      </c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  <c r="Z495" s="185" t="str">
        <f aca="false">IF(AND(G495&lt;&gt;"",R495&lt;&gt;"",V495&lt;&gt;"",W495&lt;&gt;""),"COMPLETADO","OBSERVADO")</f>
        <v>OBSERVADO</v>
      </c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85" t="str">
        <f aca="false">IF(AND(G496&lt;&gt;"",R496&lt;&gt;"",V496&lt;&gt;"",W496&lt;&gt;""),"COMPLETADO","OBSERVADO")</f>
        <v>OBSERVADO</v>
      </c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  <c r="Z497" s="185" t="str">
        <f aca="false">IF(AND(G497&lt;&gt;"",R497&lt;&gt;"",V497&lt;&gt;"",W497&lt;&gt;""),"COMPLETADO","OBSERVADO")</f>
        <v>OBSERVADO</v>
      </c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85" t="str">
        <f aca="false">IF(AND(G498&lt;&gt;"",R498&lt;&gt;"",V498&lt;&gt;"",W498&lt;&gt;""),"COMPLETADO","OBSERVADO")</f>
        <v>OBSERVADO</v>
      </c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  <c r="Z499" s="185" t="str">
        <f aca="false">IF(AND(G499&lt;&gt;"",R499&lt;&gt;"",V499&lt;&gt;"",W499&lt;&gt;""),"COMPLETADO","OBSERVADO")</f>
        <v>OBSERVADO</v>
      </c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85" t="str">
        <f aca="false">IF(AND(G500&lt;&gt;"",R500&lt;&gt;"",V500&lt;&gt;"",W500&lt;&gt;""),"COMPLETADO","OBSERVADO")</f>
        <v>OBSERVADO</v>
      </c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  <c r="Z501" s="185" t="str">
        <f aca="false">IF(AND(G501&lt;&gt;"",R501&lt;&gt;"",V501&lt;&gt;"",W501&lt;&gt;""),"COMPLETADO","OBSERVADO")</f>
        <v>OBSERVADO</v>
      </c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85" t="str">
        <f aca="false">IF(AND(G502&lt;&gt;"",R502&lt;&gt;"",V502&lt;&gt;"",W502&lt;&gt;""),"COMPLETADO","OBSERVADO")</f>
        <v>OBSERVADO</v>
      </c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  <c r="Z503" s="185" t="str">
        <f aca="false">IF(AND(G503&lt;&gt;"",R503&lt;&gt;"",V503&lt;&gt;"",W503&lt;&gt;""),"COMPLETADO","OBSERVADO")</f>
        <v>OBSERVADO</v>
      </c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85" t="str">
        <f aca="false">IF(AND(G504&lt;&gt;"",R504&lt;&gt;"",V504&lt;&gt;"",W504&lt;&gt;""),"COMPLETADO","OBSERVADO")</f>
        <v>OBSERVADO</v>
      </c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  <c r="Z505" s="185" t="str">
        <f aca="false">IF(AND(G505&lt;&gt;"",R505&lt;&gt;"",V505&lt;&gt;"",W505&lt;&gt;""),"COMPLETADO","OBSERVADO")</f>
        <v>OBSERVADO</v>
      </c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0</v>
      </c>
      <c r="N506" s="153" t="n">
        <f aca="false">SUM(N6:N505)</f>
        <v>0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8:J8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T6:T110">
    <cfRule type="expression" priority="9" aboveAverage="0" equalAverage="0" bottom="0" percent="0" rank="0" text="" dxfId="0">
      <formula>EXACT(T6,"APROBADO")</formula>
    </cfRule>
    <cfRule type="expression" priority="10" aboveAverage="0" equalAverage="0" bottom="0" percent="0" rank="0" text="" dxfId="7">
      <formula>EXACT(T6,"OBSERVADO")</formula>
    </cfRule>
  </conditionalFormatting>
  <conditionalFormatting sqref="Z6:Z110">
    <cfRule type="expression" priority="11" aboveAverage="0" equalAverage="0" bottom="0" percent="0" rank="0" text="" dxfId="0">
      <formula>EXACT(Z6,"COMPLETADO")</formula>
    </cfRule>
    <cfRule type="expression" priority="12" aboveAverage="0" equalAverage="0" bottom="0" percent="0" rank="0" text="" dxfId="7">
      <formula>EXACT(Z6,"OBSERVADO")</formula>
    </cfRule>
    <cfRule type="expression" priority="13" aboveAverage="0" equalAverage="0" bottom="0" percent="0" rank="0" text="" dxfId="0">
      <formula>Z6="ENTREGADO"</formula>
    </cfRule>
    <cfRule type="expression" priority="14" aboveAverage="0" equalAverage="0" bottom="0" percent="0" rank="0" text="" dxfId="7">
      <formula>Z6="POR RECOGER"</formula>
    </cfRule>
  </conditionalFormatting>
  <conditionalFormatting sqref="Y6:Y110">
    <cfRule type="expression" priority="15" aboveAverage="0" equalAverage="0" bottom="0" percent="0" rank="0" text="" dxfId="9">
      <formula>Y6&lt;&gt;""</formula>
    </cfRule>
  </conditionalFormatting>
  <dataValidations count="5"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7 E9:E505" type="list">
      <formula1>"DNI,CE,PASAPORTE"</formula1>
      <formula2>0</formula2>
    </dataValidation>
    <dataValidation allowBlank="true" errorStyle="stop" operator="between" showDropDown="false" showErrorMessage="false" showInputMessage="false" sqref="T6:T110" type="list">
      <formula1>"APROBADO,OBSERVADO"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111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30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71" t="s">
        <v>5159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2"/>
      <c r="AA1" s="89"/>
    </row>
    <row r="2" customFormat="false" ht="21.75" hidden="false" customHeight="true" outlineLevel="0" collapsed="false">
      <c r="A2" s="123" t="s">
        <v>724</v>
      </c>
      <c r="B2" s="123"/>
      <c r="C2" s="123"/>
      <c r="D2" s="173" t="n">
        <f aca="false">IFERROR(SUMPRODUCT((K6:K110="PETROLEO")*ISNUMBER(M6:M110)*M6:M110),0)</f>
        <v>0</v>
      </c>
      <c r="E2" s="173"/>
      <c r="F2" s="173"/>
      <c r="G2" s="123" t="s">
        <v>725</v>
      </c>
      <c r="H2" s="123"/>
      <c r="I2" s="123"/>
      <c r="J2" s="173" t="n">
        <f aca="false">IFERROR(SUMPRODUCT((K6:K110="GASOLINA")*ISNUMBER(M6:M110)*M6:M110),0)</f>
        <v>0</v>
      </c>
      <c r="K2" s="173"/>
      <c r="L2" s="173"/>
      <c r="M2" s="123" t="s">
        <v>726</v>
      </c>
      <c r="N2" s="123"/>
      <c r="O2" s="123"/>
      <c r="P2" s="174" t="n">
        <f aca="false">IFERROR(SUMPRODUCT(ISNUMBER(M6:M110)*L6:L110*M6:M110),0)</f>
        <v>0</v>
      </c>
      <c r="Q2" s="174"/>
      <c r="R2" s="174"/>
      <c r="S2" s="123" t="s">
        <v>727</v>
      </c>
      <c r="T2" s="123"/>
      <c r="U2" s="175" t="n">
        <f aca="false">SUBTOTAL(2,A6:A110)</f>
        <v>0</v>
      </c>
      <c r="V2" s="175"/>
      <c r="W2" s="176"/>
      <c r="X2" s="176"/>
      <c r="Y2" s="176"/>
      <c r="Z2" s="176"/>
      <c r="AA2" s="176"/>
      <c r="AB2" s="176"/>
      <c r="AC2" s="176"/>
    </row>
    <row r="3" customFormat="false" ht="3.75" hidden="false" customHeight="true" outlineLevel="0" collapsed="false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89"/>
    </row>
    <row r="4" customFormat="false" ht="19.5" hidden="false" customHeight="true" outlineLevel="0" collapsed="false">
      <c r="A4" s="177" t="s">
        <v>730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8"/>
      <c r="AA4" s="89"/>
    </row>
    <row r="5" customFormat="false" ht="31.5" hidden="false" customHeight="true" outlineLevel="0" collapsed="false">
      <c r="A5" s="179" t="s">
        <v>97</v>
      </c>
      <c r="B5" s="179" t="s">
        <v>731</v>
      </c>
      <c r="C5" s="179" t="s">
        <v>732</v>
      </c>
      <c r="D5" s="179" t="s">
        <v>319</v>
      </c>
      <c r="E5" s="179" t="s">
        <v>733</v>
      </c>
      <c r="F5" s="179" t="s">
        <v>734</v>
      </c>
      <c r="G5" s="179" t="s">
        <v>735</v>
      </c>
      <c r="H5" s="179" t="s">
        <v>736</v>
      </c>
      <c r="I5" s="180" t="s">
        <v>737</v>
      </c>
      <c r="J5" s="179" t="s">
        <v>738</v>
      </c>
      <c r="K5" s="180" t="s">
        <v>739</v>
      </c>
      <c r="L5" s="179" t="s">
        <v>740</v>
      </c>
      <c r="M5" s="179" t="s">
        <v>4</v>
      </c>
      <c r="N5" s="180" t="s">
        <v>741</v>
      </c>
      <c r="O5" s="179" t="s">
        <v>742</v>
      </c>
      <c r="P5" s="180" t="s">
        <v>4527</v>
      </c>
      <c r="Q5" s="180" t="s">
        <v>104</v>
      </c>
      <c r="R5" s="179" t="s">
        <v>743</v>
      </c>
      <c r="S5" s="179" t="s">
        <v>744</v>
      </c>
      <c r="T5" s="179" t="s">
        <v>745</v>
      </c>
      <c r="U5" s="179" t="s">
        <v>746</v>
      </c>
      <c r="V5" s="179" t="s">
        <v>747</v>
      </c>
      <c r="W5" s="179" t="s">
        <v>748</v>
      </c>
      <c r="X5" s="179" t="s">
        <v>749</v>
      </c>
      <c r="Y5" s="129" t="s">
        <v>729</v>
      </c>
      <c r="Z5" s="181" t="s">
        <v>4528</v>
      </c>
      <c r="AA5" s="89"/>
    </row>
    <row r="6" customFormat="false" ht="15.75" hidden="false" customHeight="true" outlineLevel="0" collapsed="false">
      <c r="A6" s="140"/>
      <c r="B6" s="140"/>
      <c r="C6" s="140"/>
      <c r="D6" s="140"/>
      <c r="E6" s="140"/>
      <c r="F6" s="140"/>
      <c r="G6" s="140"/>
      <c r="H6" s="140"/>
      <c r="I6" s="138" t="str">
        <f aca="false">IFERROR(VLOOKUP(TEXT(H6,"0"),IPRESS!$A$3:$B$212,2,0),"")</f>
        <v/>
      </c>
      <c r="J6" s="140"/>
      <c r="K6" s="138" t="str">
        <f aca="false">IFERROR(VLOOKUP(TEXT(O6,"0"),CONDUCTORES!$A$3:$G$54,7,0),"")</f>
        <v/>
      </c>
      <c r="L6" s="140"/>
      <c r="M6" s="140"/>
      <c r="N6" s="139" t="str">
        <f aca="false">IFERROR(IF(L6*M6=0,"",L6*M6),"")</f>
        <v/>
      </c>
      <c r="O6" s="140"/>
      <c r="P6" s="138" t="str">
        <f aca="false">IFERROR(VLOOKUP(TEXT(O6,"0"),CONDUCTORES!$A$3:$G$54,2,0),"")</f>
        <v/>
      </c>
      <c r="Q6" s="138" t="str">
        <f aca="false">IFERROR(VLOOKUP(TEXT(O6,"0"),CONDUCTORES!$A$3:$H$54,6,0),"")</f>
        <v/>
      </c>
      <c r="R6" s="140"/>
      <c r="S6" s="140"/>
      <c r="T6" s="140"/>
      <c r="U6" s="140"/>
      <c r="V6" s="140"/>
      <c r="W6" s="140"/>
      <c r="X6" s="140"/>
      <c r="Y6" s="140"/>
      <c r="Z6" s="47" t="str">
        <f aca="false">IF(AND(G6&lt;&gt;"",R6&lt;&gt;"",V6&lt;&gt;"",W6&lt;&gt;""),"COMPLETADO","OBSERVADO")</f>
        <v>OBSERVADO</v>
      </c>
      <c r="AA6" s="89"/>
    </row>
    <row r="7" customFormat="false" ht="15.75" hidden="false" customHeight="true" outlineLevel="0" collapsed="false">
      <c r="A7" s="85"/>
      <c r="B7" s="85"/>
      <c r="C7" s="85"/>
      <c r="D7" s="85"/>
      <c r="E7" s="85"/>
      <c r="F7" s="85"/>
      <c r="G7" s="85"/>
      <c r="H7" s="85"/>
      <c r="I7" s="138" t="str">
        <f aca="false">IFERROR(VLOOKUP(TEXT(H7,"0"),IPRESS!$A$3:$B$212,2,0),"")</f>
        <v/>
      </c>
      <c r="J7" s="85"/>
      <c r="K7" s="138" t="str">
        <f aca="false">IFERROR(VLOOKUP(TEXT(O7,"0"),CONDUCTORES!$A$3:$G$54,7,0),"")</f>
        <v/>
      </c>
      <c r="L7" s="85"/>
      <c r="M7" s="85"/>
      <c r="N7" s="139" t="str">
        <f aca="false">IFERROR(IF(L7*M7=0,"",L7*M7),"")</f>
        <v/>
      </c>
      <c r="O7" s="85"/>
      <c r="P7" s="138" t="str">
        <f aca="false">IFERROR(VLOOKUP(TEXT(O7,"0"),CONDUCTORES!$A$3:$G$54,2,0),"")</f>
        <v/>
      </c>
      <c r="Q7" s="138" t="str">
        <f aca="false">IFERROR(VLOOKUP(TEXT(O7,"0"),CONDUCTORES!$A$3:$H$54,6,0),"")</f>
        <v/>
      </c>
      <c r="R7" s="85"/>
      <c r="S7" s="85"/>
      <c r="T7" s="85"/>
      <c r="U7" s="85"/>
      <c r="V7" s="85"/>
      <c r="W7" s="85"/>
      <c r="X7" s="85"/>
      <c r="Y7" s="85"/>
      <c r="Z7" s="41" t="str">
        <f aca="false">IF(AND(G7&lt;&gt;"",R7&lt;&gt;"",V7&lt;&gt;"",W7&lt;&gt;""),"COMPLETADO","OBSERVADO")</f>
        <v>OBSERVADO</v>
      </c>
      <c r="AA7" s="89"/>
    </row>
    <row r="8" customFormat="false" ht="15.75" hidden="false" customHeight="true" outlineLevel="0" collapsed="false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38" t="str">
        <f aca="false">IFERROR(VLOOKUP(TEXT(O8,"0"),CONDUCTORES!$A$3:$G$54,7,0),"")</f>
        <v/>
      </c>
      <c r="L8" s="140"/>
      <c r="M8" s="183"/>
      <c r="N8" s="139" t="str">
        <f aca="false">IFERROR(IF(L8*M8=0,"",L8*M8),"")</f>
        <v/>
      </c>
      <c r="O8" s="140"/>
      <c r="P8" s="138" t="str">
        <f aca="false">IFERROR(VLOOKUP(TEXT(O8,"0"),CONDUCTORES!$A$3:$G$54,2,0),"")</f>
        <v/>
      </c>
      <c r="Q8" s="138" t="str">
        <f aca="false">IFERROR(VLOOKUP(TEXT(O8,"0"),CONDUCTORES!$A$3:$H$54,6,0),"")</f>
        <v/>
      </c>
      <c r="R8" s="140"/>
      <c r="S8" s="140"/>
      <c r="T8" s="140"/>
      <c r="U8" s="140"/>
      <c r="V8" s="140"/>
      <c r="W8" s="140"/>
      <c r="X8" s="140"/>
      <c r="Y8" s="140"/>
      <c r="Z8" s="47" t="str">
        <f aca="false">IF(AND(G8&lt;&gt;"",R8&lt;&gt;"",V8&lt;&gt;"",W8&lt;&gt;""),"COMPLETADO","OBSERVADO")</f>
        <v>OBSERVADO</v>
      </c>
      <c r="AA8" s="89"/>
    </row>
    <row r="9" customFormat="false" ht="15.75" hidden="false" customHeight="true" outlineLevel="0" collapsed="false">
      <c r="A9" s="85"/>
      <c r="B9" s="85"/>
      <c r="C9" s="85"/>
      <c r="D9" s="85"/>
      <c r="E9" s="85"/>
      <c r="F9" s="85"/>
      <c r="G9" s="85"/>
      <c r="H9" s="85"/>
      <c r="I9" s="138" t="str">
        <f aca="false">IFERROR(VLOOKUP(TEXT(H9,"0"),IPRESS!$A$3:$B$212,2,0),"")</f>
        <v/>
      </c>
      <c r="J9" s="85"/>
      <c r="K9" s="138" t="str">
        <f aca="false">IFERROR(VLOOKUP(TEXT(O9,"0"),CONDUCTORES!$A$3:$G$54,7,0),"")</f>
        <v/>
      </c>
      <c r="L9" s="85"/>
      <c r="M9" s="85"/>
      <c r="N9" s="139" t="str">
        <f aca="false">IFERROR(IF(L9*M9=0,"",L9*M9),"")</f>
        <v/>
      </c>
      <c r="O9" s="85"/>
      <c r="P9" s="138" t="str">
        <f aca="false">IFERROR(VLOOKUP(TEXT(O9,"0"),CONDUCTORES!$A$3:$G$54,2,0),"")</f>
        <v/>
      </c>
      <c r="Q9" s="138" t="str">
        <f aca="false">IFERROR(VLOOKUP(TEXT(O9,"0"),CONDUCTORES!$A$3:$H$54,6,0),"")</f>
        <v/>
      </c>
      <c r="R9" s="85"/>
      <c r="S9" s="85"/>
      <c r="T9" s="85"/>
      <c r="U9" s="85"/>
      <c r="V9" s="85"/>
      <c r="W9" s="85"/>
      <c r="X9" s="85"/>
      <c r="Y9" s="85"/>
      <c r="Z9" s="41" t="str">
        <f aca="false">IF(AND(G9&lt;&gt;"",R9&lt;&gt;"",V9&lt;&gt;"",W9&lt;&gt;""),"COMPLETADO","OBSERVADO")</f>
        <v>OBSERVADO</v>
      </c>
      <c r="AA9" s="89"/>
    </row>
    <row r="10" customFormat="false" ht="15.75" hidden="false" customHeight="true" outlineLevel="0" collapsed="false">
      <c r="A10" s="140"/>
      <c r="B10" s="140"/>
      <c r="C10" s="140"/>
      <c r="D10" s="140"/>
      <c r="E10" s="140"/>
      <c r="F10" s="140"/>
      <c r="G10" s="140"/>
      <c r="H10" s="140"/>
      <c r="I10" s="138" t="str">
        <f aca="false">IFERROR(VLOOKUP(TEXT(H10,"0"),IPRESS!$A$3:$B$212,2,0),"")</f>
        <v/>
      </c>
      <c r="J10" s="140"/>
      <c r="K10" s="138" t="str">
        <f aca="false">IFERROR(VLOOKUP(TEXT(O10,"0"),CONDUCTORES!$A$3:$G$54,7,0),"")</f>
        <v/>
      </c>
      <c r="L10" s="140"/>
      <c r="M10" s="140"/>
      <c r="N10" s="139" t="str">
        <f aca="false">IFERROR(IF(L10*M10=0,"",L10*M10),"")</f>
        <v/>
      </c>
      <c r="O10" s="140"/>
      <c r="P10" s="138" t="str">
        <f aca="false">IFERROR(VLOOKUP(TEXT(O10,"0"),CONDUCTORES!$A$3:$G$54,2,0),"")</f>
        <v/>
      </c>
      <c r="Q10" s="138" t="str">
        <f aca="false">IFERROR(VLOOKUP(TEXT(O10,"0"),CONDUCTORES!$A$3:$H$54,6,0),"")</f>
        <v/>
      </c>
      <c r="R10" s="140"/>
      <c r="S10" s="140"/>
      <c r="T10" s="140"/>
      <c r="U10" s="140"/>
      <c r="V10" s="140"/>
      <c r="W10" s="140"/>
      <c r="X10" s="140"/>
      <c r="Y10" s="140"/>
      <c r="Z10" s="47" t="str">
        <f aca="false">IF(AND(G10&lt;&gt;"",R10&lt;&gt;"",V10&lt;&gt;"",W10&lt;&gt;""),"COMPLETADO","OBSERVADO")</f>
        <v>OBSERVADO</v>
      </c>
      <c r="AA10" s="89"/>
    </row>
    <row r="11" customFormat="false" ht="15.75" hidden="false" customHeight="true" outlineLevel="0" collapsed="false">
      <c r="A11" s="85"/>
      <c r="B11" s="85"/>
      <c r="C11" s="85"/>
      <c r="D11" s="85"/>
      <c r="E11" s="85"/>
      <c r="F11" s="85"/>
      <c r="G11" s="85"/>
      <c r="H11" s="85"/>
      <c r="I11" s="138" t="str">
        <f aca="false">IFERROR(VLOOKUP(TEXT(H11,"0"),IPRESS!$A$3:$B$212,2,0),"")</f>
        <v/>
      </c>
      <c r="J11" s="85"/>
      <c r="K11" s="138" t="str">
        <f aca="false">IFERROR(VLOOKUP(TEXT(O11,"0"),CONDUCTORES!$A$3:$G$54,7,0),"")</f>
        <v/>
      </c>
      <c r="L11" s="85"/>
      <c r="M11" s="85"/>
      <c r="N11" s="139" t="str">
        <f aca="false">IFERROR(IF(L11*M11=0,"",L11*M11),"")</f>
        <v/>
      </c>
      <c r="O11" s="85"/>
      <c r="P11" s="138" t="str">
        <f aca="false">IFERROR(VLOOKUP(TEXT(O11,"0"),CONDUCTORES!$A$3:$G$54,2,0),"")</f>
        <v/>
      </c>
      <c r="Q11" s="138" t="str">
        <f aca="false">IFERROR(VLOOKUP(TEXT(O11,"0"),CONDUCTORES!$A$3:$H$54,6,0),"")</f>
        <v/>
      </c>
      <c r="R11" s="85"/>
      <c r="S11" s="85"/>
      <c r="T11" s="85"/>
      <c r="U11" s="85"/>
      <c r="V11" s="85"/>
      <c r="W11" s="85"/>
      <c r="X11" s="85"/>
      <c r="Y11" s="85"/>
      <c r="Z11" s="41" t="str">
        <f aca="false">IF(AND(G11&lt;&gt;"",R11&lt;&gt;"",V11&lt;&gt;"",W11&lt;&gt;""),"COMPLETADO","OBSERVADO")</f>
        <v>OBSERVADO</v>
      </c>
      <c r="AA11" s="89"/>
    </row>
    <row r="12" customFormat="false" ht="15.75" hidden="false" customHeight="true" outlineLevel="0" collapsed="false">
      <c r="A12" s="140"/>
      <c r="B12" s="140"/>
      <c r="C12" s="140"/>
      <c r="D12" s="140"/>
      <c r="E12" s="140"/>
      <c r="F12" s="140"/>
      <c r="G12" s="140"/>
      <c r="H12" s="140"/>
      <c r="I12" s="138" t="str">
        <f aca="false">IFERROR(VLOOKUP(TEXT(H12,"0"),IPRESS!$A$3:$B$212,2,0),"")</f>
        <v/>
      </c>
      <c r="J12" s="140"/>
      <c r="K12" s="138" t="str">
        <f aca="false">IFERROR(VLOOKUP(TEXT(O12,"0"),CONDUCTORES!$A$3:$G$54,7,0),"")</f>
        <v/>
      </c>
      <c r="L12" s="140"/>
      <c r="M12" s="140"/>
      <c r="N12" s="139" t="str">
        <f aca="false">IFERROR(IF(L12*M12=0,"",L12*M12),"")</f>
        <v/>
      </c>
      <c r="O12" s="140"/>
      <c r="P12" s="138" t="str">
        <f aca="false">IFERROR(VLOOKUP(TEXT(O12,"0"),CONDUCTORES!$A$3:$G$54,2,0),"")</f>
        <v/>
      </c>
      <c r="Q12" s="138" t="str">
        <f aca="false">IFERROR(VLOOKUP(TEXT(O12,"0"),CONDUCTORES!$A$3:$H$54,6,0),"")</f>
        <v/>
      </c>
      <c r="R12" s="140"/>
      <c r="S12" s="140"/>
      <c r="T12" s="140"/>
      <c r="U12" s="140"/>
      <c r="V12" s="140"/>
      <c r="W12" s="140"/>
      <c r="X12" s="140"/>
      <c r="Y12" s="140"/>
      <c r="Z12" s="47" t="str">
        <f aca="false">IF(AND(G12&lt;&gt;"",R12&lt;&gt;"",V12&lt;&gt;"",W12&lt;&gt;""),"COMPLETADO","OBSERVADO")</f>
        <v>OBSERVADO</v>
      </c>
      <c r="AA12" s="89"/>
    </row>
    <row r="13" customFormat="false" ht="15.75" hidden="false" customHeight="true" outlineLevel="0" collapsed="false">
      <c r="A13" s="85"/>
      <c r="B13" s="85"/>
      <c r="C13" s="85"/>
      <c r="D13" s="85"/>
      <c r="E13" s="85"/>
      <c r="F13" s="85"/>
      <c r="G13" s="85"/>
      <c r="H13" s="85"/>
      <c r="I13" s="138" t="str">
        <f aca="false">IFERROR(VLOOKUP(TEXT(H13,"0"),IPRESS!$A$3:$B$212,2,0),"")</f>
        <v/>
      </c>
      <c r="J13" s="85"/>
      <c r="K13" s="138" t="str">
        <f aca="false">IFERROR(VLOOKUP(TEXT(O13,"0"),CONDUCTORES!$A$3:$G$54,7,0),"")</f>
        <v/>
      </c>
      <c r="L13" s="85"/>
      <c r="M13" s="85"/>
      <c r="N13" s="139" t="str">
        <f aca="false">IFERROR(IF(L13*M13=0,"",L13*M13),"")</f>
        <v/>
      </c>
      <c r="O13" s="85"/>
      <c r="P13" s="138" t="str">
        <f aca="false">IFERROR(VLOOKUP(TEXT(O13,"0"),CONDUCTORES!$A$3:$G$54,2,0),"")</f>
        <v/>
      </c>
      <c r="Q13" s="138" t="str">
        <f aca="false">IFERROR(VLOOKUP(TEXT(O13,"0"),CONDUCTORES!$A$3:$H$54,6,0),"")</f>
        <v/>
      </c>
      <c r="R13" s="85"/>
      <c r="S13" s="85"/>
      <c r="T13" s="85"/>
      <c r="U13" s="85"/>
      <c r="V13" s="85"/>
      <c r="W13" s="85"/>
      <c r="X13" s="85"/>
      <c r="Y13" s="85"/>
      <c r="Z13" s="41" t="str">
        <f aca="false">IF(AND(G13&lt;&gt;"",R13&lt;&gt;"",V13&lt;&gt;"",W13&lt;&gt;""),"COMPLETADO","OBSERVADO")</f>
        <v>OBSERVADO</v>
      </c>
      <c r="AA13" s="89"/>
    </row>
    <row r="14" customFormat="false" ht="15.75" hidden="false" customHeight="true" outlineLevel="0" collapsed="false">
      <c r="A14" s="140"/>
      <c r="B14" s="140"/>
      <c r="C14" s="140"/>
      <c r="D14" s="140"/>
      <c r="E14" s="140"/>
      <c r="F14" s="140"/>
      <c r="G14" s="140"/>
      <c r="H14" s="140"/>
      <c r="I14" s="138" t="str">
        <f aca="false">IFERROR(VLOOKUP(TEXT(H14,"0"),IPRESS!$A$3:$B$212,2,0),"")</f>
        <v/>
      </c>
      <c r="J14" s="140"/>
      <c r="K14" s="138" t="str">
        <f aca="false">IFERROR(VLOOKUP(TEXT(O14,"0"),CONDUCTORES!$A$3:$G$54,7,0),"")</f>
        <v/>
      </c>
      <c r="L14" s="140"/>
      <c r="M14" s="140"/>
      <c r="N14" s="139" t="str">
        <f aca="false">IFERROR(IF(L14*M14=0,"",L14*M14),"")</f>
        <v/>
      </c>
      <c r="O14" s="140"/>
      <c r="P14" s="138" t="str">
        <f aca="false">IFERROR(VLOOKUP(TEXT(O14,"0"),CONDUCTORES!$A$3:$G$54,2,0),"")</f>
        <v/>
      </c>
      <c r="Q14" s="138" t="str">
        <f aca="false">IFERROR(VLOOKUP(TEXT(O14,"0"),CONDUCTORES!$A$3:$H$54,6,0),"")</f>
        <v/>
      </c>
      <c r="R14" s="140"/>
      <c r="S14" s="140"/>
      <c r="T14" s="140"/>
      <c r="U14" s="140"/>
      <c r="V14" s="140"/>
      <c r="W14" s="140"/>
      <c r="X14" s="140"/>
      <c r="Y14" s="140"/>
      <c r="Z14" s="47" t="str">
        <f aca="false">IF(AND(G14&lt;&gt;"",R14&lt;&gt;"",V14&lt;&gt;"",W14&lt;&gt;""),"COMPLETADO","OBSERVADO")</f>
        <v>OBSERVADO</v>
      </c>
      <c r="AA14" s="89"/>
    </row>
    <row r="15" customFormat="false" ht="15.75" hidden="false" customHeight="true" outlineLevel="0" collapsed="false">
      <c r="A15" s="85"/>
      <c r="B15" s="85"/>
      <c r="C15" s="85"/>
      <c r="D15" s="85"/>
      <c r="E15" s="85"/>
      <c r="F15" s="85"/>
      <c r="G15" s="85"/>
      <c r="H15" s="85"/>
      <c r="I15" s="138" t="str">
        <f aca="false">IFERROR(VLOOKUP(TEXT(H15,"0"),IPRESS!$A$3:$B$212,2,0),"")</f>
        <v/>
      </c>
      <c r="J15" s="85"/>
      <c r="K15" s="138" t="str">
        <f aca="false">IFERROR(VLOOKUP(TEXT(O15,"0"),CONDUCTORES!$A$3:$G$54,7,0),"")</f>
        <v/>
      </c>
      <c r="L15" s="85"/>
      <c r="M15" s="85"/>
      <c r="N15" s="139" t="str">
        <f aca="false">IFERROR(IF(L15*M15=0,"",L15*M15),"")</f>
        <v/>
      </c>
      <c r="O15" s="85"/>
      <c r="P15" s="138" t="str">
        <f aca="false">IFERROR(VLOOKUP(TEXT(O15,"0"),CONDUCTORES!$A$3:$G$54,2,0),"")</f>
        <v/>
      </c>
      <c r="Q15" s="138" t="str">
        <f aca="false">IFERROR(VLOOKUP(TEXT(O15,"0"),CONDUCTORES!$A$3:$H$54,6,0),"")</f>
        <v/>
      </c>
      <c r="R15" s="85"/>
      <c r="S15" s="85"/>
      <c r="T15" s="85"/>
      <c r="U15" s="85"/>
      <c r="V15" s="85"/>
      <c r="W15" s="85"/>
      <c r="X15" s="85"/>
      <c r="Y15" s="85"/>
      <c r="Z15" s="41" t="str">
        <f aca="false">IF(AND(G15&lt;&gt;"",R15&lt;&gt;"",V15&lt;&gt;"",W15&lt;&gt;""),"COMPLETADO","OBSERVADO")</f>
        <v>OBSERVADO</v>
      </c>
      <c r="AA15" s="89"/>
    </row>
    <row r="16" customFormat="false" ht="15.75" hidden="false" customHeight="true" outlineLevel="0" collapsed="false">
      <c r="A16" s="140"/>
      <c r="B16" s="140"/>
      <c r="C16" s="140"/>
      <c r="D16" s="140"/>
      <c r="E16" s="140"/>
      <c r="F16" s="140"/>
      <c r="G16" s="140"/>
      <c r="H16" s="140"/>
      <c r="I16" s="138" t="str">
        <f aca="false">IFERROR(VLOOKUP(TEXT(H16,"0"),IPRESS!$A$3:$B$212,2,0),"")</f>
        <v/>
      </c>
      <c r="J16" s="140"/>
      <c r="K16" s="138" t="str">
        <f aca="false">IFERROR(VLOOKUP(TEXT(O16,"0"),CONDUCTORES!$A$3:$G$54,7,0),"")</f>
        <v/>
      </c>
      <c r="L16" s="140"/>
      <c r="M16" s="140"/>
      <c r="N16" s="139" t="str">
        <f aca="false">IFERROR(IF(L16*M16=0,"",L16*M16),"")</f>
        <v/>
      </c>
      <c r="O16" s="140"/>
      <c r="P16" s="138" t="str">
        <f aca="false">IFERROR(VLOOKUP(TEXT(O16,"0"),CONDUCTORES!$A$3:$G$54,2,0),"")</f>
        <v/>
      </c>
      <c r="Q16" s="138" t="str">
        <f aca="false">IFERROR(VLOOKUP(TEXT(O16,"0"),CONDUCTORES!$A$3:$H$54,6,0),"")</f>
        <v/>
      </c>
      <c r="R16" s="140"/>
      <c r="S16" s="140"/>
      <c r="T16" s="140"/>
      <c r="U16" s="140"/>
      <c r="V16" s="140"/>
      <c r="W16" s="140"/>
      <c r="X16" s="140"/>
      <c r="Y16" s="140"/>
      <c r="Z16" s="47" t="str">
        <f aca="false">IF(AND(G16&lt;&gt;"",R16&lt;&gt;"",V16&lt;&gt;"",W16&lt;&gt;""),"COMPLETADO","OBSERVADO")</f>
        <v>OBSERVADO</v>
      </c>
      <c r="AA16" s="89"/>
    </row>
    <row r="17" customFormat="false" ht="15.75" hidden="false" customHeight="true" outlineLevel="0" collapsed="false">
      <c r="A17" s="85"/>
      <c r="B17" s="85"/>
      <c r="C17" s="85"/>
      <c r="D17" s="85"/>
      <c r="E17" s="85"/>
      <c r="F17" s="85"/>
      <c r="G17" s="85"/>
      <c r="H17" s="85"/>
      <c r="I17" s="138" t="str">
        <f aca="false">IFERROR(VLOOKUP(TEXT(H17,"0"),IPRESS!$A$3:$B$212,2,0),"")</f>
        <v/>
      </c>
      <c r="J17" s="85"/>
      <c r="K17" s="138" t="str">
        <f aca="false">IFERROR(VLOOKUP(TEXT(O17,"0"),CONDUCTORES!$A$3:$G$54,7,0),"")</f>
        <v/>
      </c>
      <c r="L17" s="85"/>
      <c r="M17" s="85"/>
      <c r="N17" s="139" t="str">
        <f aca="false">IFERROR(IF(L17*M17=0,"",L17*M17),"")</f>
        <v/>
      </c>
      <c r="O17" s="85"/>
      <c r="P17" s="138" t="str">
        <f aca="false">IFERROR(VLOOKUP(TEXT(O17,"0"),CONDUCTORES!$A$3:$G$54,2,0),"")</f>
        <v/>
      </c>
      <c r="Q17" s="138" t="str">
        <f aca="false">IFERROR(VLOOKUP(TEXT(O17,"0"),CONDUCTORES!$A$3:$H$54,6,0),"")</f>
        <v/>
      </c>
      <c r="R17" s="85"/>
      <c r="S17" s="85"/>
      <c r="T17" s="85"/>
      <c r="U17" s="85"/>
      <c r="V17" s="85"/>
      <c r="W17" s="85"/>
      <c r="X17" s="85"/>
      <c r="Y17" s="85"/>
      <c r="Z17" s="41" t="str">
        <f aca="false">IF(AND(G17&lt;&gt;"",R17&lt;&gt;"",V17&lt;&gt;"",W17&lt;&gt;""),"COMPLETADO","OBSERVADO")</f>
        <v>OBSERVADO</v>
      </c>
      <c r="AA17" s="89"/>
    </row>
    <row r="18" customFormat="false" ht="15.75" hidden="false" customHeight="true" outlineLevel="0" collapsed="false">
      <c r="A18" s="140"/>
      <c r="B18" s="140"/>
      <c r="C18" s="140"/>
      <c r="D18" s="140"/>
      <c r="E18" s="140"/>
      <c r="F18" s="140"/>
      <c r="G18" s="140"/>
      <c r="H18" s="140"/>
      <c r="I18" s="138" t="str">
        <f aca="false">IFERROR(VLOOKUP(TEXT(H18,"0"),IPRESS!$A$3:$B$212,2,0),"")</f>
        <v/>
      </c>
      <c r="J18" s="140"/>
      <c r="K18" s="138" t="str">
        <f aca="false">IFERROR(VLOOKUP(TEXT(O18,"0"),CONDUCTORES!$A$3:$G$54,7,0),"")</f>
        <v/>
      </c>
      <c r="L18" s="140"/>
      <c r="M18" s="140"/>
      <c r="N18" s="139" t="str">
        <f aca="false">IFERROR(IF(L18*M18=0,"",L18*M18),"")</f>
        <v/>
      </c>
      <c r="O18" s="140"/>
      <c r="P18" s="138" t="str">
        <f aca="false">IFERROR(VLOOKUP(TEXT(O18,"0"),CONDUCTORES!$A$3:$G$54,2,0),"")</f>
        <v/>
      </c>
      <c r="Q18" s="138" t="str">
        <f aca="false">IFERROR(VLOOKUP(TEXT(O18,"0"),CONDUCTORES!$A$3:$H$54,6,0),"")</f>
        <v/>
      </c>
      <c r="R18" s="140"/>
      <c r="S18" s="140"/>
      <c r="T18" s="140"/>
      <c r="U18" s="140"/>
      <c r="V18" s="140"/>
      <c r="W18" s="140"/>
      <c r="X18" s="140"/>
      <c r="Y18" s="140"/>
      <c r="Z18" s="47" t="str">
        <f aca="false">IF(AND(G18&lt;&gt;"",R18&lt;&gt;"",V18&lt;&gt;"",W18&lt;&gt;""),"COMPLETADO","OBSERVADO")</f>
        <v>OBSERVADO</v>
      </c>
      <c r="AA18" s="89"/>
    </row>
    <row r="19" customFormat="false" ht="15.75" hidden="false" customHeight="true" outlineLevel="0" collapsed="false">
      <c r="A19" s="85"/>
      <c r="B19" s="85"/>
      <c r="C19" s="85"/>
      <c r="D19" s="85"/>
      <c r="E19" s="85"/>
      <c r="F19" s="85"/>
      <c r="G19" s="85"/>
      <c r="H19" s="85"/>
      <c r="I19" s="138" t="str">
        <f aca="false">IFERROR(VLOOKUP(TEXT(H19,"0"),IPRESS!$A$3:$B$212,2,0),"")</f>
        <v/>
      </c>
      <c r="J19" s="85"/>
      <c r="K19" s="138" t="str">
        <f aca="false">IFERROR(VLOOKUP(TEXT(O19,"0"),CONDUCTORES!$A$3:$G$54,7,0),"")</f>
        <v/>
      </c>
      <c r="L19" s="85"/>
      <c r="M19" s="85"/>
      <c r="N19" s="139" t="str">
        <f aca="false">IFERROR(IF(L19*M19=0,"",L19*M19),"")</f>
        <v/>
      </c>
      <c r="O19" s="85"/>
      <c r="P19" s="138" t="str">
        <f aca="false">IFERROR(VLOOKUP(TEXT(O19,"0"),CONDUCTORES!$A$3:$G$54,2,0),"")</f>
        <v/>
      </c>
      <c r="Q19" s="138" t="str">
        <f aca="false">IFERROR(VLOOKUP(TEXT(O19,"0"),CONDUCTORES!$A$3:$H$54,6,0),"")</f>
        <v/>
      </c>
      <c r="R19" s="85"/>
      <c r="S19" s="85"/>
      <c r="T19" s="85"/>
      <c r="U19" s="85"/>
      <c r="V19" s="85"/>
      <c r="W19" s="85"/>
      <c r="X19" s="85"/>
      <c r="Y19" s="85"/>
      <c r="Z19" s="41" t="str">
        <f aca="false">IF(AND(G19&lt;&gt;"",R19&lt;&gt;"",V19&lt;&gt;"",W19&lt;&gt;""),"COMPLETADO","OBSERVADO")</f>
        <v>OBSERVADO</v>
      </c>
      <c r="AA19" s="89"/>
    </row>
    <row r="20" customFormat="false" ht="15.75" hidden="false" customHeight="true" outlineLevel="0" collapsed="false">
      <c r="A20" s="140"/>
      <c r="B20" s="140"/>
      <c r="C20" s="140"/>
      <c r="D20" s="140"/>
      <c r="E20" s="140"/>
      <c r="F20" s="140"/>
      <c r="G20" s="140"/>
      <c r="H20" s="140"/>
      <c r="I20" s="138" t="str">
        <f aca="false">IFERROR(VLOOKUP(TEXT(H20,"0"),IPRESS!$A$3:$B$212,2,0),"")</f>
        <v/>
      </c>
      <c r="J20" s="140"/>
      <c r="K20" s="138" t="str">
        <f aca="false">IFERROR(VLOOKUP(TEXT(O20,"0"),CONDUCTORES!$A$3:$G$54,7,0),"")</f>
        <v/>
      </c>
      <c r="L20" s="140"/>
      <c r="M20" s="140"/>
      <c r="N20" s="139" t="str">
        <f aca="false">IFERROR(IF(L20*M20=0,"",L20*M20),"")</f>
        <v/>
      </c>
      <c r="O20" s="140"/>
      <c r="P20" s="138" t="str">
        <f aca="false">IFERROR(VLOOKUP(TEXT(O20,"0"),CONDUCTORES!$A$3:$G$54,2,0),"")</f>
        <v/>
      </c>
      <c r="Q20" s="138" t="str">
        <f aca="false">IFERROR(VLOOKUP(TEXT(O20,"0"),CONDUCTORES!$A$3:$H$54,6,0),"")</f>
        <v/>
      </c>
      <c r="R20" s="140"/>
      <c r="S20" s="140"/>
      <c r="T20" s="140"/>
      <c r="U20" s="140"/>
      <c r="V20" s="140"/>
      <c r="W20" s="140"/>
      <c r="X20" s="140"/>
      <c r="Y20" s="140"/>
      <c r="Z20" s="47" t="str">
        <f aca="false">IF(AND(G20&lt;&gt;"",R20&lt;&gt;"",V20&lt;&gt;"",W20&lt;&gt;""),"COMPLETADO","OBSERVADO")</f>
        <v>OBSERVADO</v>
      </c>
      <c r="AA20" s="89"/>
    </row>
    <row r="21" customFormat="false" ht="15.75" hidden="false" customHeight="true" outlineLevel="0" collapsed="false">
      <c r="A21" s="85"/>
      <c r="B21" s="85"/>
      <c r="C21" s="85"/>
      <c r="D21" s="85"/>
      <c r="E21" s="85"/>
      <c r="F21" s="85"/>
      <c r="G21" s="85"/>
      <c r="H21" s="85"/>
      <c r="I21" s="138" t="str">
        <f aca="false">IFERROR(VLOOKUP(TEXT(H21,"0"),IPRESS!$A$3:$B$212,2,0),"")</f>
        <v/>
      </c>
      <c r="J21" s="85"/>
      <c r="K21" s="138" t="str">
        <f aca="false">IFERROR(VLOOKUP(TEXT(O21,"0"),CONDUCTORES!$A$3:$G$54,7,0),"")</f>
        <v/>
      </c>
      <c r="L21" s="85"/>
      <c r="M21" s="85"/>
      <c r="N21" s="139" t="str">
        <f aca="false">IFERROR(IF(L21*M21=0,"",L21*M21),"")</f>
        <v/>
      </c>
      <c r="O21" s="85"/>
      <c r="P21" s="138" t="str">
        <f aca="false">IFERROR(VLOOKUP(TEXT(O21,"0"),CONDUCTORES!$A$3:$G$54,2,0),"")</f>
        <v/>
      </c>
      <c r="Q21" s="138" t="str">
        <f aca="false">IFERROR(VLOOKUP(TEXT(O21,"0"),CONDUCTORES!$A$3:$H$54,6,0),"")</f>
        <v/>
      </c>
      <c r="R21" s="85"/>
      <c r="S21" s="85"/>
      <c r="T21" s="85"/>
      <c r="U21" s="85"/>
      <c r="V21" s="85"/>
      <c r="W21" s="85"/>
      <c r="X21" s="85"/>
      <c r="Y21" s="85"/>
      <c r="Z21" s="41" t="str">
        <f aca="false">IF(AND(G21&lt;&gt;"",R21&lt;&gt;"",V21&lt;&gt;"",W21&lt;&gt;""),"COMPLETADO","OBSERVADO")</f>
        <v>OBSERVADO</v>
      </c>
      <c r="AA21" s="89"/>
    </row>
    <row r="22" customFormat="false" ht="15.75" hidden="false" customHeight="true" outlineLevel="0" collapsed="false">
      <c r="A22" s="140"/>
      <c r="B22" s="140"/>
      <c r="C22" s="140"/>
      <c r="D22" s="140"/>
      <c r="E22" s="140"/>
      <c r="F22" s="140"/>
      <c r="G22" s="140"/>
      <c r="H22" s="140"/>
      <c r="I22" s="138" t="str">
        <f aca="false">IFERROR(VLOOKUP(TEXT(H22,"0"),IPRESS!$A$3:$B$212,2,0),"")</f>
        <v/>
      </c>
      <c r="J22" s="140"/>
      <c r="K22" s="138" t="str">
        <f aca="false">IFERROR(VLOOKUP(TEXT(O22,"0"),CONDUCTORES!$A$3:$G$54,7,0),"")</f>
        <v/>
      </c>
      <c r="L22" s="140"/>
      <c r="M22" s="140"/>
      <c r="N22" s="139" t="str">
        <f aca="false">IFERROR(IF(L22*M22=0,"",L22*M22),"")</f>
        <v/>
      </c>
      <c r="O22" s="140"/>
      <c r="P22" s="138" t="str">
        <f aca="false">IFERROR(VLOOKUP(TEXT(O22,"0"),CONDUCTORES!$A$3:$G$54,2,0),"")</f>
        <v/>
      </c>
      <c r="Q22" s="138" t="str">
        <f aca="false">IFERROR(VLOOKUP(TEXT(O22,"0"),CONDUCTORES!$A$3:$H$54,6,0),"")</f>
        <v/>
      </c>
      <c r="R22" s="140"/>
      <c r="S22" s="140"/>
      <c r="T22" s="140"/>
      <c r="U22" s="140"/>
      <c r="V22" s="140"/>
      <c r="W22" s="140"/>
      <c r="X22" s="140"/>
      <c r="Y22" s="140"/>
      <c r="Z22" s="47" t="str">
        <f aca="false">IF(AND(G22&lt;&gt;"",R22&lt;&gt;"",V22&lt;&gt;"",W22&lt;&gt;""),"COMPLETADO","OBSERVADO")</f>
        <v>OBSERVADO</v>
      </c>
      <c r="AA22" s="89"/>
    </row>
    <row r="23" customFormat="false" ht="15.75" hidden="false" customHeight="true" outlineLevel="0" collapsed="false">
      <c r="A23" s="85"/>
      <c r="B23" s="85"/>
      <c r="C23" s="85"/>
      <c r="D23" s="85"/>
      <c r="E23" s="85"/>
      <c r="F23" s="85"/>
      <c r="G23" s="85"/>
      <c r="H23" s="85"/>
      <c r="I23" s="138" t="str">
        <f aca="false">IFERROR(VLOOKUP(TEXT(H23,"0"),IPRESS!$A$3:$B$212,2,0),"")</f>
        <v/>
      </c>
      <c r="J23" s="85"/>
      <c r="K23" s="138" t="str">
        <f aca="false">IFERROR(VLOOKUP(TEXT(O23,"0"),CONDUCTORES!$A$3:$G$54,7,0),"")</f>
        <v/>
      </c>
      <c r="L23" s="85"/>
      <c r="M23" s="85"/>
      <c r="N23" s="139" t="str">
        <f aca="false">IFERROR(IF(L23*M23=0,"",L23*M23),"")</f>
        <v/>
      </c>
      <c r="O23" s="85"/>
      <c r="P23" s="138" t="str">
        <f aca="false">IFERROR(VLOOKUP(TEXT(O23,"0"),CONDUCTORES!$A$3:$G$54,2,0),"")</f>
        <v/>
      </c>
      <c r="Q23" s="138" t="str">
        <f aca="false">IFERROR(VLOOKUP(TEXT(O23,"0"),CONDUCTORES!$A$3:$H$54,6,0),"")</f>
        <v/>
      </c>
      <c r="R23" s="85"/>
      <c r="S23" s="85"/>
      <c r="T23" s="85"/>
      <c r="U23" s="85"/>
      <c r="V23" s="85"/>
      <c r="W23" s="85"/>
      <c r="X23" s="85"/>
      <c r="Y23" s="85"/>
      <c r="Z23" s="41" t="str">
        <f aca="false">IF(AND(G23&lt;&gt;"",R23&lt;&gt;"",V23&lt;&gt;"",W23&lt;&gt;""),"COMPLETADO","OBSERVADO")</f>
        <v>OBSERVADO</v>
      </c>
      <c r="AA23" s="89"/>
    </row>
    <row r="24" customFormat="false" ht="15.75" hidden="false" customHeight="true" outlineLevel="0" collapsed="false">
      <c r="A24" s="140"/>
      <c r="B24" s="140"/>
      <c r="C24" s="140"/>
      <c r="D24" s="140"/>
      <c r="E24" s="140"/>
      <c r="F24" s="140"/>
      <c r="G24" s="140"/>
      <c r="H24" s="140"/>
      <c r="I24" s="138" t="str">
        <f aca="false">IFERROR(VLOOKUP(TEXT(H24,"0"),IPRESS!$A$3:$B$212,2,0),"")</f>
        <v/>
      </c>
      <c r="J24" s="140"/>
      <c r="K24" s="138" t="str">
        <f aca="false">IFERROR(VLOOKUP(TEXT(O24,"0"),CONDUCTORES!$A$3:$G$54,7,0),"")</f>
        <v/>
      </c>
      <c r="L24" s="140"/>
      <c r="M24" s="140"/>
      <c r="N24" s="139" t="str">
        <f aca="false">IFERROR(IF(L24*M24=0,"",L24*M24),"")</f>
        <v/>
      </c>
      <c r="O24" s="140"/>
      <c r="P24" s="138" t="str">
        <f aca="false">IFERROR(VLOOKUP(TEXT(O24,"0"),CONDUCTORES!$A$3:$G$54,2,0),"")</f>
        <v/>
      </c>
      <c r="Q24" s="138" t="str">
        <f aca="false">IFERROR(VLOOKUP(TEXT(O24,"0"),CONDUCTORES!$A$3:$H$54,6,0),"")</f>
        <v/>
      </c>
      <c r="R24" s="140"/>
      <c r="S24" s="140"/>
      <c r="T24" s="140"/>
      <c r="U24" s="140"/>
      <c r="V24" s="140"/>
      <c r="W24" s="140"/>
      <c r="X24" s="140"/>
      <c r="Y24" s="140"/>
      <c r="Z24" s="47" t="str">
        <f aca="false">IF(AND(G24&lt;&gt;"",R24&lt;&gt;"",V24&lt;&gt;"",W24&lt;&gt;""),"COMPLETADO","OBSERVADO")</f>
        <v>OBSERVADO</v>
      </c>
      <c r="AA24" s="89"/>
    </row>
    <row r="25" customFormat="false" ht="15.75" hidden="false" customHeight="true" outlineLevel="0" collapsed="false">
      <c r="A25" s="85"/>
      <c r="B25" s="85"/>
      <c r="C25" s="85"/>
      <c r="D25" s="85"/>
      <c r="E25" s="85"/>
      <c r="F25" s="85"/>
      <c r="G25" s="85"/>
      <c r="H25" s="85"/>
      <c r="I25" s="138" t="str">
        <f aca="false">IFERROR(VLOOKUP(TEXT(H25,"0"),IPRESS!$A$3:$B$212,2,0),"")</f>
        <v/>
      </c>
      <c r="J25" s="85"/>
      <c r="K25" s="138" t="str">
        <f aca="false">IFERROR(VLOOKUP(TEXT(O25,"0"),CONDUCTORES!$A$3:$G$54,7,0),"")</f>
        <v/>
      </c>
      <c r="L25" s="85"/>
      <c r="M25" s="85"/>
      <c r="N25" s="139" t="str">
        <f aca="false">IFERROR(IF(L25*M25=0,"",L25*M25),"")</f>
        <v/>
      </c>
      <c r="O25" s="85"/>
      <c r="P25" s="138" t="str">
        <f aca="false">IFERROR(VLOOKUP(TEXT(O25,"0"),CONDUCTORES!$A$3:$G$54,2,0),"")</f>
        <v/>
      </c>
      <c r="Q25" s="138" t="str">
        <f aca="false">IFERROR(VLOOKUP(TEXT(O25,"0"),CONDUCTORES!$A$3:$H$54,6,0),"")</f>
        <v/>
      </c>
      <c r="R25" s="85"/>
      <c r="S25" s="85"/>
      <c r="T25" s="85"/>
      <c r="U25" s="85"/>
      <c r="V25" s="85"/>
      <c r="W25" s="85"/>
      <c r="X25" s="85"/>
      <c r="Y25" s="85"/>
      <c r="Z25" s="41" t="str">
        <f aca="false">IF(AND(G25&lt;&gt;"",R25&lt;&gt;"",V25&lt;&gt;"",W25&lt;&gt;""),"COMPLETADO","OBSERVADO")</f>
        <v>OBSERVADO</v>
      </c>
      <c r="AA25" s="89"/>
    </row>
    <row r="26" customFormat="false" ht="15.75" hidden="false" customHeight="true" outlineLevel="0" collapsed="false">
      <c r="A26" s="140"/>
      <c r="B26" s="140"/>
      <c r="C26" s="140"/>
      <c r="D26" s="140"/>
      <c r="E26" s="140"/>
      <c r="F26" s="140"/>
      <c r="G26" s="140"/>
      <c r="H26" s="140"/>
      <c r="I26" s="138" t="str">
        <f aca="false">IFERROR(VLOOKUP(TEXT(H26,"0"),IPRESS!$A$3:$B$212,2,0),"")</f>
        <v/>
      </c>
      <c r="J26" s="140"/>
      <c r="K26" s="138" t="str">
        <f aca="false">IFERROR(VLOOKUP(TEXT(O26,"0"),CONDUCTORES!$A$3:$G$54,7,0),"")</f>
        <v/>
      </c>
      <c r="L26" s="140"/>
      <c r="M26" s="140"/>
      <c r="N26" s="139" t="str">
        <f aca="false">IFERROR(IF(L26*M26=0,"",L26*M26),"")</f>
        <v/>
      </c>
      <c r="O26" s="140"/>
      <c r="P26" s="138" t="str">
        <f aca="false">IFERROR(VLOOKUP(TEXT(O26,"0"),CONDUCTORES!$A$3:$G$54,2,0),"")</f>
        <v/>
      </c>
      <c r="Q26" s="138" t="str">
        <f aca="false">IFERROR(VLOOKUP(TEXT(O26,"0"),CONDUCTORES!$A$3:$H$54,6,0),"")</f>
        <v/>
      </c>
      <c r="R26" s="140"/>
      <c r="S26" s="140"/>
      <c r="T26" s="140"/>
      <c r="U26" s="140"/>
      <c r="V26" s="140"/>
      <c r="W26" s="140"/>
      <c r="X26" s="140"/>
      <c r="Y26" s="140"/>
      <c r="Z26" s="47" t="str">
        <f aca="false">IF(AND(G26&lt;&gt;"",R26&lt;&gt;"",V26&lt;&gt;"",W26&lt;&gt;""),"COMPLETADO","OBSERVADO")</f>
        <v>OBSERVADO</v>
      </c>
      <c r="AA26" s="89"/>
    </row>
    <row r="27" customFormat="false" ht="15.75" hidden="false" customHeight="true" outlineLevel="0" collapsed="false">
      <c r="A27" s="85"/>
      <c r="B27" s="85"/>
      <c r="C27" s="85"/>
      <c r="D27" s="85"/>
      <c r="E27" s="85"/>
      <c r="F27" s="85"/>
      <c r="G27" s="85"/>
      <c r="H27" s="85"/>
      <c r="I27" s="138" t="str">
        <f aca="false">IFERROR(VLOOKUP(TEXT(H27,"0"),IPRESS!$A$3:$B$212,2,0),"")</f>
        <v/>
      </c>
      <c r="J27" s="85"/>
      <c r="K27" s="138" t="str">
        <f aca="false">IFERROR(VLOOKUP(TEXT(O27,"0"),CONDUCTORES!$A$3:$G$54,7,0),"")</f>
        <v/>
      </c>
      <c r="L27" s="85"/>
      <c r="M27" s="85"/>
      <c r="N27" s="139" t="str">
        <f aca="false">IFERROR(IF(L27*M27=0,"",L27*M27),"")</f>
        <v/>
      </c>
      <c r="O27" s="85"/>
      <c r="P27" s="138" t="str">
        <f aca="false">IFERROR(VLOOKUP(TEXT(O27,"0"),CONDUCTORES!$A$3:$G$54,2,0),"")</f>
        <v/>
      </c>
      <c r="Q27" s="138" t="str">
        <f aca="false">IFERROR(VLOOKUP(TEXT(O27,"0"),CONDUCTORES!$A$3:$H$54,6,0),"")</f>
        <v/>
      </c>
      <c r="R27" s="85"/>
      <c r="S27" s="85"/>
      <c r="T27" s="85"/>
      <c r="U27" s="85"/>
      <c r="V27" s="85"/>
      <c r="W27" s="85"/>
      <c r="X27" s="85"/>
      <c r="Y27" s="85"/>
      <c r="Z27" s="41" t="str">
        <f aca="false">IF(AND(G27&lt;&gt;"",R27&lt;&gt;"",V27&lt;&gt;"",W27&lt;&gt;""),"COMPLETADO","OBSERVADO")</f>
        <v>OBSERVADO</v>
      </c>
      <c r="AA27" s="89"/>
    </row>
    <row r="28" customFormat="false" ht="15.75" hidden="false" customHeight="true" outlineLevel="0" collapsed="false">
      <c r="A28" s="140"/>
      <c r="B28" s="140"/>
      <c r="C28" s="140"/>
      <c r="D28" s="140"/>
      <c r="E28" s="140"/>
      <c r="F28" s="140"/>
      <c r="G28" s="140"/>
      <c r="H28" s="140"/>
      <c r="I28" s="138" t="str">
        <f aca="false">IFERROR(VLOOKUP(TEXT(H28,"0"),IPRESS!$A$3:$B$212,2,0),"")</f>
        <v/>
      </c>
      <c r="J28" s="140"/>
      <c r="K28" s="138" t="str">
        <f aca="false">IFERROR(VLOOKUP(TEXT(O28,"0"),CONDUCTORES!$A$3:$G$54,7,0),"")</f>
        <v/>
      </c>
      <c r="L28" s="140"/>
      <c r="M28" s="140"/>
      <c r="N28" s="139" t="str">
        <f aca="false">IFERROR(IF(L28*M28=0,"",L28*M28),"")</f>
        <v/>
      </c>
      <c r="O28" s="140"/>
      <c r="P28" s="138" t="str">
        <f aca="false">IFERROR(VLOOKUP(TEXT(O28,"0"),CONDUCTORES!$A$3:$G$54,2,0),"")</f>
        <v/>
      </c>
      <c r="Q28" s="138" t="str">
        <f aca="false">IFERROR(VLOOKUP(TEXT(O28,"0"),CONDUCTORES!$A$3:$H$54,6,0),"")</f>
        <v/>
      </c>
      <c r="R28" s="140"/>
      <c r="S28" s="140"/>
      <c r="T28" s="140"/>
      <c r="U28" s="140"/>
      <c r="V28" s="140"/>
      <c r="W28" s="140"/>
      <c r="X28" s="140"/>
      <c r="Y28" s="140"/>
      <c r="Z28" s="47" t="str">
        <f aca="false">IF(AND(G28&lt;&gt;"",R28&lt;&gt;"",V28&lt;&gt;"",W28&lt;&gt;""),"COMPLETADO","OBSERVADO")</f>
        <v>OBSERVADO</v>
      </c>
      <c r="AA28" s="89"/>
    </row>
    <row r="29" customFormat="false" ht="15.75" hidden="false" customHeight="true" outlineLevel="0" collapsed="false">
      <c r="A29" s="85"/>
      <c r="B29" s="85"/>
      <c r="C29" s="85"/>
      <c r="D29" s="85"/>
      <c r="E29" s="85"/>
      <c r="F29" s="85"/>
      <c r="G29" s="85"/>
      <c r="H29" s="85"/>
      <c r="I29" s="138" t="str">
        <f aca="false">IFERROR(VLOOKUP(TEXT(H29,"0"),IPRESS!$A$3:$B$212,2,0),"")</f>
        <v/>
      </c>
      <c r="J29" s="85"/>
      <c r="K29" s="138" t="str">
        <f aca="false">IFERROR(VLOOKUP(TEXT(O29,"0"),CONDUCTORES!$A$3:$G$54,7,0),"")</f>
        <v/>
      </c>
      <c r="L29" s="85"/>
      <c r="M29" s="85"/>
      <c r="N29" s="139" t="str">
        <f aca="false">IFERROR(IF(L29*M29=0,"",L29*M29),"")</f>
        <v/>
      </c>
      <c r="O29" s="85"/>
      <c r="P29" s="138" t="str">
        <f aca="false">IFERROR(VLOOKUP(TEXT(O29,"0"),CONDUCTORES!$A$3:$G$54,2,0),"")</f>
        <v/>
      </c>
      <c r="Q29" s="138" t="str">
        <f aca="false">IFERROR(VLOOKUP(TEXT(O29,"0"),CONDUCTORES!$A$3:$H$54,6,0),"")</f>
        <v/>
      </c>
      <c r="R29" s="85"/>
      <c r="S29" s="85"/>
      <c r="T29" s="85"/>
      <c r="U29" s="85"/>
      <c r="V29" s="85"/>
      <c r="W29" s="85"/>
      <c r="X29" s="85"/>
      <c r="Y29" s="85"/>
      <c r="Z29" s="41" t="str">
        <f aca="false">IF(AND(G29&lt;&gt;"",R29&lt;&gt;"",V29&lt;&gt;"",W29&lt;&gt;""),"COMPLETADO","OBSERVADO")</f>
        <v>OBSERVADO</v>
      </c>
      <c r="AA29" s="89"/>
    </row>
    <row r="30" customFormat="false" ht="15.75" hidden="false" customHeight="true" outlineLevel="0" collapsed="false">
      <c r="A30" s="140"/>
      <c r="B30" s="140"/>
      <c r="C30" s="140"/>
      <c r="D30" s="140"/>
      <c r="E30" s="140"/>
      <c r="F30" s="140"/>
      <c r="G30" s="140"/>
      <c r="H30" s="140"/>
      <c r="I30" s="138" t="str">
        <f aca="false">IFERROR(VLOOKUP(TEXT(H30,"0"),IPRESS!$A$3:$B$212,2,0),"")</f>
        <v/>
      </c>
      <c r="J30" s="140"/>
      <c r="K30" s="138" t="str">
        <f aca="false">IFERROR(VLOOKUP(TEXT(O30,"0"),CONDUCTORES!$A$3:$G$54,7,0),"")</f>
        <v/>
      </c>
      <c r="L30" s="140"/>
      <c r="M30" s="140"/>
      <c r="N30" s="139" t="str">
        <f aca="false">IFERROR(IF(L30*M30=0,"",L30*M30),"")</f>
        <v/>
      </c>
      <c r="O30" s="140"/>
      <c r="P30" s="138" t="str">
        <f aca="false">IFERROR(VLOOKUP(TEXT(O30,"0"),CONDUCTORES!$A$3:$G$54,2,0),"")</f>
        <v/>
      </c>
      <c r="Q30" s="138" t="str">
        <f aca="false">IFERROR(VLOOKUP(TEXT(O30,"0"),CONDUCTORES!$A$3:$H$54,6,0),"")</f>
        <v/>
      </c>
      <c r="R30" s="140"/>
      <c r="S30" s="140"/>
      <c r="T30" s="140"/>
      <c r="U30" s="140"/>
      <c r="V30" s="140"/>
      <c r="W30" s="140"/>
      <c r="X30" s="140"/>
      <c r="Y30" s="140"/>
      <c r="Z30" s="47" t="str">
        <f aca="false">IF(AND(G30&lt;&gt;"",R30&lt;&gt;"",V30&lt;&gt;"",W30&lt;&gt;""),"COMPLETADO","OBSERVADO")</f>
        <v>OBSERVADO</v>
      </c>
      <c r="AA30" s="89"/>
    </row>
    <row r="31" customFormat="false" ht="15.75" hidden="false" customHeight="true" outlineLevel="0" collapsed="false">
      <c r="A31" s="85"/>
      <c r="B31" s="85"/>
      <c r="C31" s="85"/>
      <c r="D31" s="85"/>
      <c r="E31" s="85"/>
      <c r="F31" s="85"/>
      <c r="G31" s="85"/>
      <c r="H31" s="85"/>
      <c r="I31" s="138" t="str">
        <f aca="false">IFERROR(VLOOKUP(TEXT(H31,"0"),IPRESS!$A$3:$B$212,2,0),"")</f>
        <v/>
      </c>
      <c r="J31" s="85"/>
      <c r="K31" s="138" t="str">
        <f aca="false">IFERROR(VLOOKUP(TEXT(O31,"0"),CONDUCTORES!$A$3:$G$54,7,0),"")</f>
        <v/>
      </c>
      <c r="L31" s="85"/>
      <c r="M31" s="85"/>
      <c r="N31" s="139" t="str">
        <f aca="false">IFERROR(IF(L31*M31=0,"",L31*M31),"")</f>
        <v/>
      </c>
      <c r="O31" s="85"/>
      <c r="P31" s="138" t="str">
        <f aca="false">IFERROR(VLOOKUP(TEXT(O31,"0"),CONDUCTORES!$A$3:$G$54,2,0),"")</f>
        <v/>
      </c>
      <c r="Q31" s="138" t="str">
        <f aca="false">IFERROR(VLOOKUP(TEXT(O31,"0"),CONDUCTORES!$A$3:$H$54,6,0),"")</f>
        <v/>
      </c>
      <c r="R31" s="85"/>
      <c r="S31" s="85"/>
      <c r="T31" s="85"/>
      <c r="U31" s="85"/>
      <c r="V31" s="85"/>
      <c r="W31" s="85"/>
      <c r="X31" s="85"/>
      <c r="Y31" s="85"/>
      <c r="Z31" s="41" t="str">
        <f aca="false">IF(AND(G31&lt;&gt;"",R31&lt;&gt;"",V31&lt;&gt;"",W31&lt;&gt;""),"COMPLETADO","OBSERVADO")</f>
        <v>OBSERVADO</v>
      </c>
      <c r="AA31" s="89"/>
    </row>
    <row r="32" customFormat="false" ht="15.75" hidden="false" customHeight="true" outlineLevel="0" collapsed="false">
      <c r="A32" s="140"/>
      <c r="B32" s="140"/>
      <c r="C32" s="140"/>
      <c r="D32" s="140"/>
      <c r="E32" s="140"/>
      <c r="F32" s="140"/>
      <c r="G32" s="140"/>
      <c r="H32" s="140"/>
      <c r="I32" s="138" t="str">
        <f aca="false">IFERROR(VLOOKUP(TEXT(H32,"0"),IPRESS!$A$3:$B$212,2,0),"")</f>
        <v/>
      </c>
      <c r="J32" s="140"/>
      <c r="K32" s="138" t="str">
        <f aca="false">IFERROR(VLOOKUP(TEXT(O32,"0"),CONDUCTORES!$A$3:$G$54,7,0),"")</f>
        <v/>
      </c>
      <c r="L32" s="140"/>
      <c r="M32" s="140"/>
      <c r="N32" s="139" t="str">
        <f aca="false">IFERROR(IF(L32*M32=0,"",L32*M32),"")</f>
        <v/>
      </c>
      <c r="O32" s="140"/>
      <c r="P32" s="138" t="str">
        <f aca="false">IFERROR(VLOOKUP(TEXT(O32,"0"),CONDUCTORES!$A$3:$G$54,2,0),"")</f>
        <v/>
      </c>
      <c r="Q32" s="138" t="str">
        <f aca="false">IFERROR(VLOOKUP(TEXT(O32,"0"),CONDUCTORES!$A$3:$H$54,6,0),"")</f>
        <v/>
      </c>
      <c r="R32" s="140"/>
      <c r="S32" s="140"/>
      <c r="T32" s="140"/>
      <c r="U32" s="140"/>
      <c r="V32" s="140"/>
      <c r="W32" s="140"/>
      <c r="X32" s="140"/>
      <c r="Y32" s="140"/>
      <c r="Z32" s="47" t="str">
        <f aca="false">IF(AND(G32&lt;&gt;"",R32&lt;&gt;"",V32&lt;&gt;"",W32&lt;&gt;""),"COMPLETADO","OBSERVADO")</f>
        <v>OBSERVADO</v>
      </c>
      <c r="AA32" s="89"/>
    </row>
    <row r="33" customFormat="false" ht="15.75" hidden="false" customHeight="true" outlineLevel="0" collapsed="false">
      <c r="A33" s="85"/>
      <c r="B33" s="85"/>
      <c r="C33" s="85"/>
      <c r="D33" s="85"/>
      <c r="E33" s="85"/>
      <c r="F33" s="85"/>
      <c r="G33" s="85"/>
      <c r="H33" s="85"/>
      <c r="I33" s="138" t="str">
        <f aca="false">IFERROR(VLOOKUP(TEXT(H33,"0"),IPRESS!$A$3:$B$212,2,0),"")</f>
        <v/>
      </c>
      <c r="J33" s="85"/>
      <c r="K33" s="138" t="str">
        <f aca="false">IFERROR(VLOOKUP(TEXT(O33,"0"),CONDUCTORES!$A$3:$G$54,7,0),"")</f>
        <v/>
      </c>
      <c r="L33" s="85"/>
      <c r="M33" s="85"/>
      <c r="N33" s="139" t="str">
        <f aca="false">IFERROR(IF(L33*M33=0,"",L33*M33),"")</f>
        <v/>
      </c>
      <c r="O33" s="85"/>
      <c r="P33" s="138" t="str">
        <f aca="false">IFERROR(VLOOKUP(TEXT(O33,"0"),CONDUCTORES!$A$3:$G$54,2,0),"")</f>
        <v/>
      </c>
      <c r="Q33" s="138" t="str">
        <f aca="false">IFERROR(VLOOKUP(TEXT(O33,"0"),CONDUCTORES!$A$3:$H$54,6,0),"")</f>
        <v/>
      </c>
      <c r="R33" s="85"/>
      <c r="S33" s="85"/>
      <c r="T33" s="85"/>
      <c r="U33" s="85"/>
      <c r="V33" s="85"/>
      <c r="W33" s="85"/>
      <c r="X33" s="85"/>
      <c r="Y33" s="85"/>
      <c r="Z33" s="41" t="str">
        <f aca="false">IF(AND(G33&lt;&gt;"",R33&lt;&gt;"",V33&lt;&gt;"",W33&lt;&gt;""),"COMPLETADO","OBSERVADO")</f>
        <v>OBSERVADO</v>
      </c>
      <c r="AA33" s="89"/>
    </row>
    <row r="34" customFormat="false" ht="15.75" hidden="false" customHeight="true" outlineLevel="0" collapsed="false">
      <c r="A34" s="140"/>
      <c r="B34" s="140"/>
      <c r="C34" s="140"/>
      <c r="D34" s="140"/>
      <c r="E34" s="140"/>
      <c r="F34" s="140"/>
      <c r="G34" s="140"/>
      <c r="H34" s="140"/>
      <c r="I34" s="138" t="str">
        <f aca="false">IFERROR(VLOOKUP(TEXT(H34,"0"),IPRESS!$A$3:$B$212,2,0),"")</f>
        <v/>
      </c>
      <c r="J34" s="140"/>
      <c r="K34" s="138" t="str">
        <f aca="false">IFERROR(VLOOKUP(TEXT(O34,"0"),CONDUCTORES!$A$3:$G$54,7,0),"")</f>
        <v/>
      </c>
      <c r="L34" s="140"/>
      <c r="M34" s="140"/>
      <c r="N34" s="139" t="str">
        <f aca="false">IFERROR(IF(L34*M34=0,"",L34*M34),"")</f>
        <v/>
      </c>
      <c r="O34" s="140"/>
      <c r="P34" s="138" t="str">
        <f aca="false">IFERROR(VLOOKUP(TEXT(O34,"0"),CONDUCTORES!$A$3:$G$54,2,0),"")</f>
        <v/>
      </c>
      <c r="Q34" s="138" t="str">
        <f aca="false">IFERROR(VLOOKUP(TEXT(O34,"0"),CONDUCTORES!$A$3:$H$54,6,0),"")</f>
        <v/>
      </c>
      <c r="R34" s="140"/>
      <c r="S34" s="140"/>
      <c r="T34" s="140"/>
      <c r="U34" s="140"/>
      <c r="V34" s="140"/>
      <c r="W34" s="140"/>
      <c r="X34" s="140"/>
      <c r="Y34" s="140"/>
      <c r="Z34" s="47" t="str">
        <f aca="false">IF(AND(G34&lt;&gt;"",R34&lt;&gt;"",V34&lt;&gt;"",W34&lt;&gt;""),"COMPLETADO","OBSERVADO")</f>
        <v>OBSERVADO</v>
      </c>
      <c r="AA34" s="89"/>
    </row>
    <row r="35" customFormat="false" ht="15.75" hidden="false" customHeight="true" outlineLevel="0" collapsed="false">
      <c r="A35" s="85"/>
      <c r="B35" s="85"/>
      <c r="C35" s="85"/>
      <c r="D35" s="85"/>
      <c r="E35" s="85"/>
      <c r="F35" s="85"/>
      <c r="G35" s="85"/>
      <c r="H35" s="85"/>
      <c r="I35" s="138" t="str">
        <f aca="false">IFERROR(VLOOKUP(TEXT(H35,"0"),IPRESS!$A$3:$B$212,2,0),"")</f>
        <v/>
      </c>
      <c r="J35" s="85"/>
      <c r="K35" s="138" t="str">
        <f aca="false">IFERROR(VLOOKUP(TEXT(O35,"0"),CONDUCTORES!$A$3:$G$54,7,0),"")</f>
        <v/>
      </c>
      <c r="L35" s="85"/>
      <c r="M35" s="85"/>
      <c r="N35" s="139" t="str">
        <f aca="false">IFERROR(IF(L35*M35=0,"",L35*M35),"")</f>
        <v/>
      </c>
      <c r="O35" s="85"/>
      <c r="P35" s="138" t="str">
        <f aca="false">IFERROR(VLOOKUP(TEXT(O35,"0"),CONDUCTORES!$A$3:$G$54,2,0),"")</f>
        <v/>
      </c>
      <c r="Q35" s="138" t="str">
        <f aca="false">IFERROR(VLOOKUP(TEXT(O35,"0"),CONDUCTORES!$A$3:$H$54,6,0),"")</f>
        <v/>
      </c>
      <c r="R35" s="85"/>
      <c r="S35" s="85"/>
      <c r="T35" s="85"/>
      <c r="U35" s="85"/>
      <c r="V35" s="85"/>
      <c r="W35" s="85"/>
      <c r="X35" s="85"/>
      <c r="Y35" s="85"/>
      <c r="Z35" s="41" t="str">
        <f aca="false">IF(AND(G35&lt;&gt;"",R35&lt;&gt;"",V35&lt;&gt;"",W35&lt;&gt;""),"COMPLETADO","OBSERVADO")</f>
        <v>OBSERVADO</v>
      </c>
      <c r="AA35" s="89"/>
    </row>
    <row r="36" customFormat="false" ht="15.75" hidden="false" customHeight="true" outlineLevel="0" collapsed="false">
      <c r="A36" s="140"/>
      <c r="B36" s="140"/>
      <c r="C36" s="140"/>
      <c r="D36" s="140"/>
      <c r="E36" s="140"/>
      <c r="F36" s="140"/>
      <c r="G36" s="140"/>
      <c r="H36" s="140"/>
      <c r="I36" s="138" t="str">
        <f aca="false">IFERROR(VLOOKUP(TEXT(H36,"0"),IPRESS!$A$3:$B$212,2,0),"")</f>
        <v/>
      </c>
      <c r="J36" s="140"/>
      <c r="K36" s="138" t="str">
        <f aca="false">IFERROR(VLOOKUP(TEXT(O36,"0"),CONDUCTORES!$A$3:$G$54,7,0),"")</f>
        <v/>
      </c>
      <c r="L36" s="140"/>
      <c r="M36" s="140"/>
      <c r="N36" s="139" t="str">
        <f aca="false">IFERROR(IF(L36*M36=0,"",L36*M36),"")</f>
        <v/>
      </c>
      <c r="O36" s="140"/>
      <c r="P36" s="138" t="str">
        <f aca="false">IFERROR(VLOOKUP(TEXT(O36,"0"),CONDUCTORES!$A$3:$G$54,2,0),"")</f>
        <v/>
      </c>
      <c r="Q36" s="138" t="str">
        <f aca="false">IFERROR(VLOOKUP(TEXT(O36,"0"),CONDUCTORES!$A$3:$H$54,6,0),"")</f>
        <v/>
      </c>
      <c r="R36" s="140"/>
      <c r="S36" s="140"/>
      <c r="T36" s="140"/>
      <c r="U36" s="140"/>
      <c r="V36" s="140"/>
      <c r="W36" s="140"/>
      <c r="X36" s="140"/>
      <c r="Y36" s="140"/>
      <c r="Z36" s="47" t="str">
        <f aca="false">IF(AND(G36&lt;&gt;"",R36&lt;&gt;"",V36&lt;&gt;"",W36&lt;&gt;""),"COMPLETADO","OBSERVADO")</f>
        <v>OBSERVADO</v>
      </c>
      <c r="AA36" s="89"/>
    </row>
    <row r="37" customFormat="false" ht="15.75" hidden="false" customHeight="true" outlineLevel="0" collapsed="false">
      <c r="A37" s="85"/>
      <c r="B37" s="85"/>
      <c r="C37" s="85"/>
      <c r="D37" s="85"/>
      <c r="E37" s="85"/>
      <c r="F37" s="85"/>
      <c r="G37" s="85"/>
      <c r="H37" s="85"/>
      <c r="I37" s="138" t="str">
        <f aca="false">IFERROR(VLOOKUP(TEXT(H37,"0"),IPRESS!$A$3:$B$212,2,0),"")</f>
        <v/>
      </c>
      <c r="J37" s="85"/>
      <c r="K37" s="138" t="str">
        <f aca="false">IFERROR(VLOOKUP(TEXT(O37,"0"),CONDUCTORES!$A$3:$G$54,7,0),"")</f>
        <v/>
      </c>
      <c r="L37" s="85"/>
      <c r="M37" s="85"/>
      <c r="N37" s="139" t="str">
        <f aca="false">IFERROR(IF(L37*M37=0,"",L37*M37),"")</f>
        <v/>
      </c>
      <c r="O37" s="85"/>
      <c r="P37" s="138" t="str">
        <f aca="false">IFERROR(VLOOKUP(TEXT(O37,"0"),CONDUCTORES!$A$3:$G$54,2,0),"")</f>
        <v/>
      </c>
      <c r="Q37" s="138" t="str">
        <f aca="false">IFERROR(VLOOKUP(TEXT(O37,"0"),CONDUCTORES!$A$3:$H$54,6,0),"")</f>
        <v/>
      </c>
      <c r="R37" s="85"/>
      <c r="S37" s="85"/>
      <c r="T37" s="85"/>
      <c r="U37" s="85"/>
      <c r="V37" s="85"/>
      <c r="W37" s="85"/>
      <c r="X37" s="85"/>
      <c r="Y37" s="85"/>
      <c r="Z37" s="41" t="str">
        <f aca="false">IF(AND(G37&lt;&gt;"",R37&lt;&gt;"",V37&lt;&gt;"",W37&lt;&gt;""),"COMPLETADO","OBSERVADO")</f>
        <v>OBSERVADO</v>
      </c>
      <c r="AA37" s="89"/>
    </row>
    <row r="38" customFormat="false" ht="15.75" hidden="false" customHeight="true" outlineLevel="0" collapsed="false">
      <c r="A38" s="140"/>
      <c r="B38" s="140"/>
      <c r="C38" s="140"/>
      <c r="D38" s="140"/>
      <c r="E38" s="140"/>
      <c r="F38" s="140"/>
      <c r="G38" s="140"/>
      <c r="H38" s="140"/>
      <c r="I38" s="138" t="str">
        <f aca="false">IFERROR(VLOOKUP(TEXT(H38,"0"),IPRESS!$A$3:$B$212,2,0),"")</f>
        <v/>
      </c>
      <c r="J38" s="140"/>
      <c r="K38" s="138" t="str">
        <f aca="false">IFERROR(VLOOKUP(TEXT(O38,"0"),CONDUCTORES!$A$3:$G$54,7,0),"")</f>
        <v/>
      </c>
      <c r="L38" s="140"/>
      <c r="M38" s="140"/>
      <c r="N38" s="139" t="str">
        <f aca="false">IFERROR(IF(L38*M38=0,"",L38*M38),"")</f>
        <v/>
      </c>
      <c r="O38" s="140"/>
      <c r="P38" s="138" t="str">
        <f aca="false">IFERROR(VLOOKUP(TEXT(O38,"0"),CONDUCTORES!$A$3:$G$54,2,0),"")</f>
        <v/>
      </c>
      <c r="Q38" s="138" t="str">
        <f aca="false">IFERROR(VLOOKUP(TEXT(O38,"0"),CONDUCTORES!$A$3:$H$54,6,0),"")</f>
        <v/>
      </c>
      <c r="R38" s="140"/>
      <c r="S38" s="140"/>
      <c r="T38" s="140"/>
      <c r="U38" s="140"/>
      <c r="V38" s="140"/>
      <c r="W38" s="140"/>
      <c r="X38" s="140"/>
      <c r="Y38" s="140"/>
      <c r="Z38" s="47" t="str">
        <f aca="false">IF(AND(G38&lt;&gt;"",R38&lt;&gt;"",V38&lt;&gt;"",W38&lt;&gt;""),"COMPLETADO","OBSERVADO")</f>
        <v>OBSERVADO</v>
      </c>
      <c r="AA38" s="89"/>
    </row>
    <row r="39" customFormat="false" ht="15.75" hidden="false" customHeight="true" outlineLevel="0" collapsed="false">
      <c r="A39" s="85"/>
      <c r="B39" s="85"/>
      <c r="C39" s="85"/>
      <c r="D39" s="85"/>
      <c r="E39" s="85"/>
      <c r="F39" s="85"/>
      <c r="G39" s="85"/>
      <c r="H39" s="85"/>
      <c r="I39" s="138" t="str">
        <f aca="false">IFERROR(VLOOKUP(TEXT(H39,"0"),IPRESS!$A$3:$B$212,2,0),"")</f>
        <v/>
      </c>
      <c r="J39" s="85"/>
      <c r="K39" s="138" t="str">
        <f aca="false">IFERROR(VLOOKUP(TEXT(O39,"0"),CONDUCTORES!$A$3:$G$54,7,0),"")</f>
        <v/>
      </c>
      <c r="L39" s="85"/>
      <c r="M39" s="85"/>
      <c r="N39" s="139" t="str">
        <f aca="false">IFERROR(IF(L39*M39=0,"",L39*M39),"")</f>
        <v/>
      </c>
      <c r="O39" s="85"/>
      <c r="P39" s="138" t="str">
        <f aca="false">IFERROR(VLOOKUP(TEXT(O39,"0"),CONDUCTORES!$A$3:$G$54,2,0),"")</f>
        <v/>
      </c>
      <c r="Q39" s="138" t="str">
        <f aca="false">IFERROR(VLOOKUP(TEXT(O39,"0"),CONDUCTORES!$A$3:$H$54,6,0),"")</f>
        <v/>
      </c>
      <c r="R39" s="85"/>
      <c r="S39" s="85"/>
      <c r="T39" s="85"/>
      <c r="U39" s="85"/>
      <c r="V39" s="85"/>
      <c r="W39" s="85"/>
      <c r="X39" s="85"/>
      <c r="Y39" s="85"/>
      <c r="Z39" s="41" t="str">
        <f aca="false">IF(AND(G39&lt;&gt;"",R39&lt;&gt;"",V39&lt;&gt;"",W39&lt;&gt;""),"COMPLETADO","OBSERVADO")</f>
        <v>OBSERVADO</v>
      </c>
      <c r="AA39" s="89"/>
    </row>
    <row r="40" customFormat="false" ht="15.75" hidden="false" customHeight="true" outlineLevel="0" collapsed="false">
      <c r="A40" s="140"/>
      <c r="B40" s="140"/>
      <c r="C40" s="140"/>
      <c r="D40" s="140"/>
      <c r="E40" s="140"/>
      <c r="F40" s="140"/>
      <c r="G40" s="140"/>
      <c r="H40" s="140"/>
      <c r="I40" s="138" t="str">
        <f aca="false">IFERROR(VLOOKUP(TEXT(H40,"0"),IPRESS!$A$3:$B$212,2,0),"")</f>
        <v/>
      </c>
      <c r="J40" s="140"/>
      <c r="K40" s="138" t="str">
        <f aca="false">IFERROR(VLOOKUP(TEXT(O40,"0"),CONDUCTORES!$A$3:$G$54,7,0),"")</f>
        <v/>
      </c>
      <c r="L40" s="140"/>
      <c r="M40" s="140"/>
      <c r="N40" s="139" t="str">
        <f aca="false">IFERROR(IF(L40*M40=0,"",L40*M40),"")</f>
        <v/>
      </c>
      <c r="O40" s="140"/>
      <c r="P40" s="138" t="str">
        <f aca="false">IFERROR(VLOOKUP(TEXT(O40,"0"),CONDUCTORES!$A$3:$G$54,2,0),"")</f>
        <v/>
      </c>
      <c r="Q40" s="138" t="str">
        <f aca="false">IFERROR(VLOOKUP(TEXT(O40,"0"),CONDUCTORES!$A$3:$H$54,6,0),"")</f>
        <v/>
      </c>
      <c r="R40" s="140"/>
      <c r="S40" s="140"/>
      <c r="T40" s="140"/>
      <c r="U40" s="140"/>
      <c r="V40" s="140"/>
      <c r="W40" s="140"/>
      <c r="X40" s="140"/>
      <c r="Y40" s="140"/>
      <c r="Z40" s="47" t="str">
        <f aca="false">IF(AND(G40&lt;&gt;"",R40&lt;&gt;"",V40&lt;&gt;"",W40&lt;&gt;""),"COMPLETADO","OBSERVADO")</f>
        <v>OBSERVADO</v>
      </c>
      <c r="AA40" s="89"/>
    </row>
    <row r="41" customFormat="false" ht="15.75" hidden="false" customHeight="true" outlineLevel="0" collapsed="false">
      <c r="A41" s="85"/>
      <c r="B41" s="85"/>
      <c r="C41" s="85"/>
      <c r="D41" s="85"/>
      <c r="E41" s="85"/>
      <c r="F41" s="85"/>
      <c r="G41" s="85"/>
      <c r="H41" s="85"/>
      <c r="I41" s="138" t="str">
        <f aca="false">IFERROR(VLOOKUP(TEXT(H41,"0"),IPRESS!$A$3:$B$212,2,0),"")</f>
        <v/>
      </c>
      <c r="J41" s="85"/>
      <c r="K41" s="138" t="str">
        <f aca="false">IFERROR(VLOOKUP(TEXT(O41,"0"),CONDUCTORES!$A$3:$G$54,7,0),"")</f>
        <v/>
      </c>
      <c r="L41" s="85"/>
      <c r="M41" s="85"/>
      <c r="N41" s="139" t="str">
        <f aca="false">IFERROR(IF(L41*M41=0,"",L41*M41),"")</f>
        <v/>
      </c>
      <c r="O41" s="85"/>
      <c r="P41" s="138" t="str">
        <f aca="false">IFERROR(VLOOKUP(TEXT(O41,"0"),CONDUCTORES!$A$3:$G$54,2,0),"")</f>
        <v/>
      </c>
      <c r="Q41" s="138" t="str">
        <f aca="false">IFERROR(VLOOKUP(TEXT(O41,"0"),CONDUCTORES!$A$3:$H$54,6,0),"")</f>
        <v/>
      </c>
      <c r="R41" s="85"/>
      <c r="S41" s="85"/>
      <c r="T41" s="85"/>
      <c r="U41" s="85"/>
      <c r="V41" s="85"/>
      <c r="W41" s="85"/>
      <c r="X41" s="85"/>
      <c r="Y41" s="85"/>
      <c r="Z41" s="41" t="str">
        <f aca="false">IF(AND(G41&lt;&gt;"",R41&lt;&gt;"",V41&lt;&gt;"",W41&lt;&gt;""),"COMPLETADO","OBSERVADO")</f>
        <v>OBSERVADO</v>
      </c>
      <c r="AA41" s="89"/>
    </row>
    <row r="42" customFormat="false" ht="15.75" hidden="false" customHeight="true" outlineLevel="0" collapsed="false">
      <c r="A42" s="140"/>
      <c r="B42" s="140"/>
      <c r="C42" s="140"/>
      <c r="D42" s="140"/>
      <c r="E42" s="140"/>
      <c r="F42" s="140"/>
      <c r="G42" s="140"/>
      <c r="H42" s="140"/>
      <c r="I42" s="138" t="str">
        <f aca="false">IFERROR(VLOOKUP(TEXT(H42,"0"),IPRESS!$A$3:$B$212,2,0),"")</f>
        <v/>
      </c>
      <c r="J42" s="140"/>
      <c r="K42" s="138" t="str">
        <f aca="false">IFERROR(VLOOKUP(TEXT(O42,"0"),CONDUCTORES!$A$3:$G$54,7,0),"")</f>
        <v/>
      </c>
      <c r="L42" s="140"/>
      <c r="M42" s="140"/>
      <c r="N42" s="139" t="str">
        <f aca="false">IFERROR(IF(L42*M42=0,"",L42*M42),"")</f>
        <v/>
      </c>
      <c r="O42" s="140"/>
      <c r="P42" s="138" t="str">
        <f aca="false">IFERROR(VLOOKUP(TEXT(O42,"0"),CONDUCTORES!$A$3:$G$54,2,0),"")</f>
        <v/>
      </c>
      <c r="Q42" s="138" t="str">
        <f aca="false">IFERROR(VLOOKUP(TEXT(O42,"0"),CONDUCTORES!$A$3:$H$54,6,0),"")</f>
        <v/>
      </c>
      <c r="R42" s="140"/>
      <c r="S42" s="140"/>
      <c r="T42" s="140"/>
      <c r="U42" s="140"/>
      <c r="V42" s="140"/>
      <c r="W42" s="140"/>
      <c r="X42" s="140"/>
      <c r="Y42" s="140"/>
      <c r="Z42" s="47" t="str">
        <f aca="false">IF(AND(G42&lt;&gt;"",R42&lt;&gt;"",V42&lt;&gt;"",W42&lt;&gt;""),"COMPLETADO","OBSERVADO")</f>
        <v>OBSERVADO</v>
      </c>
      <c r="AA42" s="89"/>
    </row>
    <row r="43" customFormat="false" ht="15.75" hidden="false" customHeight="true" outlineLevel="0" collapsed="false">
      <c r="A43" s="85"/>
      <c r="B43" s="85"/>
      <c r="C43" s="85"/>
      <c r="D43" s="85"/>
      <c r="E43" s="85"/>
      <c r="F43" s="85"/>
      <c r="G43" s="85"/>
      <c r="H43" s="85"/>
      <c r="I43" s="138" t="str">
        <f aca="false">IFERROR(VLOOKUP(TEXT(H43,"0"),IPRESS!$A$3:$B$212,2,0),"")</f>
        <v/>
      </c>
      <c r="J43" s="85"/>
      <c r="K43" s="138" t="str">
        <f aca="false">IFERROR(VLOOKUP(TEXT(O43,"0"),CONDUCTORES!$A$3:$G$54,7,0),"")</f>
        <v/>
      </c>
      <c r="L43" s="85"/>
      <c r="M43" s="85"/>
      <c r="N43" s="139" t="str">
        <f aca="false">IFERROR(IF(L43*M43=0,"",L43*M43),"")</f>
        <v/>
      </c>
      <c r="O43" s="85"/>
      <c r="P43" s="138" t="str">
        <f aca="false">IFERROR(VLOOKUP(TEXT(O43,"0"),CONDUCTORES!$A$3:$G$54,2,0),"")</f>
        <v/>
      </c>
      <c r="Q43" s="138" t="str">
        <f aca="false">IFERROR(VLOOKUP(TEXT(O43,"0"),CONDUCTORES!$A$3:$H$54,6,0),"")</f>
        <v/>
      </c>
      <c r="R43" s="85"/>
      <c r="S43" s="85"/>
      <c r="T43" s="85"/>
      <c r="U43" s="85"/>
      <c r="V43" s="85"/>
      <c r="W43" s="85"/>
      <c r="X43" s="85"/>
      <c r="Y43" s="85"/>
      <c r="Z43" s="41" t="str">
        <f aca="false">IF(AND(G43&lt;&gt;"",R43&lt;&gt;"",V43&lt;&gt;"",W43&lt;&gt;""),"COMPLETADO","OBSERVADO")</f>
        <v>OBSERVADO</v>
      </c>
      <c r="AA43" s="89"/>
    </row>
    <row r="44" customFormat="false" ht="15.75" hidden="false" customHeight="true" outlineLevel="0" collapsed="false">
      <c r="A44" s="140"/>
      <c r="B44" s="140"/>
      <c r="C44" s="140"/>
      <c r="D44" s="140"/>
      <c r="E44" s="140"/>
      <c r="F44" s="140"/>
      <c r="G44" s="140"/>
      <c r="H44" s="140"/>
      <c r="I44" s="138" t="str">
        <f aca="false">IFERROR(VLOOKUP(TEXT(H44,"0"),IPRESS!$A$3:$B$212,2,0),"")</f>
        <v/>
      </c>
      <c r="J44" s="140"/>
      <c r="K44" s="138" t="str">
        <f aca="false">IFERROR(VLOOKUP(TEXT(O44,"0"),CONDUCTORES!$A$3:$G$54,7,0),"")</f>
        <v/>
      </c>
      <c r="L44" s="140"/>
      <c r="M44" s="140"/>
      <c r="N44" s="139" t="str">
        <f aca="false">IFERROR(IF(L44*M44=0,"",L44*M44),"")</f>
        <v/>
      </c>
      <c r="O44" s="140"/>
      <c r="P44" s="138" t="str">
        <f aca="false">IFERROR(VLOOKUP(TEXT(O44,"0"),CONDUCTORES!$A$3:$G$54,2,0),"")</f>
        <v/>
      </c>
      <c r="Q44" s="138" t="str">
        <f aca="false">IFERROR(VLOOKUP(TEXT(O44,"0"),CONDUCTORES!$A$3:$H$54,6,0),"")</f>
        <v/>
      </c>
      <c r="R44" s="140"/>
      <c r="S44" s="140"/>
      <c r="T44" s="140"/>
      <c r="U44" s="140"/>
      <c r="V44" s="140"/>
      <c r="W44" s="140"/>
      <c r="X44" s="140"/>
      <c r="Y44" s="140"/>
      <c r="Z44" s="47" t="str">
        <f aca="false">IF(AND(G44&lt;&gt;"",R44&lt;&gt;"",V44&lt;&gt;"",W44&lt;&gt;""),"COMPLETADO","OBSERVADO")</f>
        <v>OBSERVADO</v>
      </c>
      <c r="AA44" s="89"/>
    </row>
    <row r="45" customFormat="false" ht="15.75" hidden="false" customHeight="true" outlineLevel="0" collapsed="false">
      <c r="A45" s="85"/>
      <c r="B45" s="85"/>
      <c r="C45" s="85"/>
      <c r="D45" s="85"/>
      <c r="E45" s="85"/>
      <c r="F45" s="85"/>
      <c r="G45" s="85"/>
      <c r="H45" s="85"/>
      <c r="I45" s="138" t="str">
        <f aca="false">IFERROR(VLOOKUP(TEXT(H45,"0"),IPRESS!$A$3:$B$212,2,0),"")</f>
        <v/>
      </c>
      <c r="J45" s="85"/>
      <c r="K45" s="138" t="str">
        <f aca="false">IFERROR(VLOOKUP(TEXT(O45,"0"),CONDUCTORES!$A$3:$G$54,7,0),"")</f>
        <v/>
      </c>
      <c r="L45" s="85"/>
      <c r="M45" s="85"/>
      <c r="N45" s="139" t="str">
        <f aca="false">IFERROR(IF(L45*M45=0,"",L45*M45),"")</f>
        <v/>
      </c>
      <c r="O45" s="85"/>
      <c r="P45" s="138" t="str">
        <f aca="false">IFERROR(VLOOKUP(TEXT(O45,"0"),CONDUCTORES!$A$3:$G$54,2,0),"")</f>
        <v/>
      </c>
      <c r="Q45" s="138" t="str">
        <f aca="false">IFERROR(VLOOKUP(TEXT(O45,"0"),CONDUCTORES!$A$3:$H$54,6,0),"")</f>
        <v/>
      </c>
      <c r="R45" s="85"/>
      <c r="S45" s="85"/>
      <c r="T45" s="85"/>
      <c r="U45" s="85"/>
      <c r="V45" s="85"/>
      <c r="W45" s="85"/>
      <c r="X45" s="85"/>
      <c r="Y45" s="85"/>
      <c r="Z45" s="41" t="str">
        <f aca="false">IF(AND(G45&lt;&gt;"",R45&lt;&gt;"",V45&lt;&gt;"",W45&lt;&gt;""),"COMPLETADO","OBSERVADO")</f>
        <v>OBSERVADO</v>
      </c>
      <c r="AA45" s="89"/>
    </row>
    <row r="46" customFormat="false" ht="15.75" hidden="false" customHeight="true" outlineLevel="0" collapsed="false">
      <c r="A46" s="140"/>
      <c r="B46" s="140"/>
      <c r="C46" s="140"/>
      <c r="D46" s="140"/>
      <c r="E46" s="140"/>
      <c r="F46" s="140"/>
      <c r="G46" s="140"/>
      <c r="H46" s="140"/>
      <c r="I46" s="138" t="str">
        <f aca="false">IFERROR(VLOOKUP(TEXT(H46,"0"),IPRESS!$A$3:$B$212,2,0),"")</f>
        <v/>
      </c>
      <c r="J46" s="140"/>
      <c r="K46" s="138" t="str">
        <f aca="false">IFERROR(VLOOKUP(TEXT(O46,"0"),CONDUCTORES!$A$3:$G$54,7,0),"")</f>
        <v/>
      </c>
      <c r="L46" s="140"/>
      <c r="M46" s="140"/>
      <c r="N46" s="139" t="str">
        <f aca="false">IFERROR(IF(L46*M46=0,"",L46*M46),"")</f>
        <v/>
      </c>
      <c r="O46" s="140"/>
      <c r="P46" s="138" t="str">
        <f aca="false">IFERROR(VLOOKUP(TEXT(O46,"0"),CONDUCTORES!$A$3:$G$54,2,0),"")</f>
        <v/>
      </c>
      <c r="Q46" s="138" t="str">
        <f aca="false">IFERROR(VLOOKUP(TEXT(O46,"0"),CONDUCTORES!$A$3:$H$54,6,0),"")</f>
        <v/>
      </c>
      <c r="R46" s="140"/>
      <c r="S46" s="140"/>
      <c r="T46" s="140"/>
      <c r="U46" s="140"/>
      <c r="V46" s="140"/>
      <c r="W46" s="140"/>
      <c r="X46" s="140"/>
      <c r="Y46" s="140"/>
      <c r="Z46" s="47" t="str">
        <f aca="false">IF(AND(G46&lt;&gt;"",R46&lt;&gt;"",V46&lt;&gt;"",W46&lt;&gt;""),"COMPLETADO","OBSERVADO")</f>
        <v>OBSERVADO</v>
      </c>
      <c r="AA46" s="89"/>
    </row>
    <row r="47" customFormat="false" ht="15.75" hidden="false" customHeight="true" outlineLevel="0" collapsed="false">
      <c r="A47" s="85"/>
      <c r="B47" s="85"/>
      <c r="C47" s="85"/>
      <c r="D47" s="85"/>
      <c r="E47" s="85"/>
      <c r="F47" s="85"/>
      <c r="G47" s="85"/>
      <c r="H47" s="85"/>
      <c r="I47" s="138" t="str">
        <f aca="false">IFERROR(VLOOKUP(TEXT(H47,"0"),IPRESS!$A$3:$B$212,2,0),"")</f>
        <v/>
      </c>
      <c r="J47" s="85"/>
      <c r="K47" s="138" t="str">
        <f aca="false">IFERROR(VLOOKUP(TEXT(O47,"0"),CONDUCTORES!$A$3:$G$54,7,0),"")</f>
        <v/>
      </c>
      <c r="L47" s="85"/>
      <c r="M47" s="85"/>
      <c r="N47" s="139" t="str">
        <f aca="false">IFERROR(IF(L47*M47=0,"",L47*M47),"")</f>
        <v/>
      </c>
      <c r="O47" s="85"/>
      <c r="P47" s="138" t="str">
        <f aca="false">IFERROR(VLOOKUP(TEXT(O47,"0"),CONDUCTORES!$A$3:$G$54,2,0),"")</f>
        <v/>
      </c>
      <c r="Q47" s="138" t="str">
        <f aca="false">IFERROR(VLOOKUP(TEXT(O47,"0"),CONDUCTORES!$A$3:$H$54,6,0),"")</f>
        <v/>
      </c>
      <c r="R47" s="85"/>
      <c r="S47" s="85"/>
      <c r="T47" s="85"/>
      <c r="U47" s="85"/>
      <c r="V47" s="85"/>
      <c r="W47" s="85"/>
      <c r="X47" s="85"/>
      <c r="Y47" s="85"/>
      <c r="Z47" s="41" t="str">
        <f aca="false">IF(AND(G47&lt;&gt;"",R47&lt;&gt;"",V47&lt;&gt;"",W47&lt;&gt;""),"COMPLETADO","OBSERVADO")</f>
        <v>OBSERVADO</v>
      </c>
      <c r="AA47" s="89"/>
    </row>
    <row r="48" customFormat="false" ht="15.75" hidden="false" customHeight="true" outlineLevel="0" collapsed="false">
      <c r="A48" s="140"/>
      <c r="B48" s="140"/>
      <c r="C48" s="140"/>
      <c r="D48" s="140"/>
      <c r="E48" s="140"/>
      <c r="F48" s="140"/>
      <c r="G48" s="140"/>
      <c r="H48" s="140"/>
      <c r="I48" s="138" t="str">
        <f aca="false">IFERROR(VLOOKUP(TEXT(H48,"0"),IPRESS!$A$3:$B$212,2,0),"")</f>
        <v/>
      </c>
      <c r="J48" s="140"/>
      <c r="K48" s="138" t="str">
        <f aca="false">IFERROR(VLOOKUP(TEXT(O48,"0"),CONDUCTORES!$A$3:$G$54,7,0),"")</f>
        <v/>
      </c>
      <c r="L48" s="140"/>
      <c r="M48" s="140"/>
      <c r="N48" s="139" t="str">
        <f aca="false">IFERROR(IF(L48*M48=0,"",L48*M48),"")</f>
        <v/>
      </c>
      <c r="O48" s="140"/>
      <c r="P48" s="138" t="str">
        <f aca="false">IFERROR(VLOOKUP(TEXT(O48,"0"),CONDUCTORES!$A$3:$G$54,2,0),"")</f>
        <v/>
      </c>
      <c r="Q48" s="138" t="str">
        <f aca="false">IFERROR(VLOOKUP(TEXT(O48,"0"),CONDUCTORES!$A$3:$H$54,6,0),"")</f>
        <v/>
      </c>
      <c r="R48" s="140"/>
      <c r="S48" s="140"/>
      <c r="T48" s="140"/>
      <c r="U48" s="140"/>
      <c r="V48" s="140"/>
      <c r="W48" s="140"/>
      <c r="X48" s="140"/>
      <c r="Y48" s="140"/>
      <c r="Z48" s="47" t="str">
        <f aca="false">IF(AND(G48&lt;&gt;"",R48&lt;&gt;"",V48&lt;&gt;"",W48&lt;&gt;""),"COMPLETADO","OBSERVADO")</f>
        <v>OBSERVADO</v>
      </c>
      <c r="AA48" s="89"/>
    </row>
    <row r="49" customFormat="false" ht="15.75" hidden="false" customHeight="true" outlineLevel="0" collapsed="false">
      <c r="A49" s="85"/>
      <c r="B49" s="85"/>
      <c r="C49" s="85"/>
      <c r="D49" s="85"/>
      <c r="E49" s="85"/>
      <c r="F49" s="85"/>
      <c r="G49" s="85"/>
      <c r="H49" s="85"/>
      <c r="I49" s="138" t="str">
        <f aca="false">IFERROR(VLOOKUP(TEXT(H49,"0"),IPRESS!$A$3:$B$212,2,0),"")</f>
        <v/>
      </c>
      <c r="J49" s="85"/>
      <c r="K49" s="138" t="str">
        <f aca="false">IFERROR(VLOOKUP(TEXT(O49,"0"),CONDUCTORES!$A$3:$G$54,7,0),"")</f>
        <v/>
      </c>
      <c r="L49" s="85"/>
      <c r="M49" s="85"/>
      <c r="N49" s="139" t="str">
        <f aca="false">IFERROR(IF(L49*M49=0,"",L49*M49),"")</f>
        <v/>
      </c>
      <c r="O49" s="85"/>
      <c r="P49" s="138" t="str">
        <f aca="false">IFERROR(VLOOKUP(TEXT(O49,"0"),CONDUCTORES!$A$3:$G$54,2,0),"")</f>
        <v/>
      </c>
      <c r="Q49" s="138" t="str">
        <f aca="false">IFERROR(VLOOKUP(TEXT(O49,"0"),CONDUCTORES!$A$3:$H$54,6,0),"")</f>
        <v/>
      </c>
      <c r="R49" s="85"/>
      <c r="S49" s="85"/>
      <c r="T49" s="85"/>
      <c r="U49" s="85"/>
      <c r="V49" s="85"/>
      <c r="W49" s="85"/>
      <c r="X49" s="85"/>
      <c r="Y49" s="85"/>
      <c r="Z49" s="41" t="str">
        <f aca="false">IF(AND(G49&lt;&gt;"",R49&lt;&gt;"",V49&lt;&gt;"",W49&lt;&gt;""),"COMPLETADO","OBSERVADO")</f>
        <v>OBSERVADO</v>
      </c>
      <c r="AA49" s="89"/>
    </row>
    <row r="50" customFormat="false" ht="15.75" hidden="false" customHeight="true" outlineLevel="0" collapsed="false">
      <c r="A50" s="140"/>
      <c r="B50" s="140"/>
      <c r="C50" s="140"/>
      <c r="D50" s="140"/>
      <c r="E50" s="140"/>
      <c r="F50" s="140"/>
      <c r="G50" s="140"/>
      <c r="H50" s="140"/>
      <c r="I50" s="138" t="str">
        <f aca="false">IFERROR(VLOOKUP(TEXT(H50,"0"),IPRESS!$A$3:$B$212,2,0),"")</f>
        <v/>
      </c>
      <c r="J50" s="140"/>
      <c r="K50" s="138" t="str">
        <f aca="false">IFERROR(VLOOKUP(TEXT(O50,"0"),CONDUCTORES!$A$3:$G$54,7,0),"")</f>
        <v/>
      </c>
      <c r="L50" s="140"/>
      <c r="M50" s="140"/>
      <c r="N50" s="139" t="str">
        <f aca="false">IFERROR(IF(L50*M50=0,"",L50*M50),"")</f>
        <v/>
      </c>
      <c r="O50" s="140"/>
      <c r="P50" s="138" t="str">
        <f aca="false">IFERROR(VLOOKUP(TEXT(O50,"0"),CONDUCTORES!$A$3:$G$54,2,0),"")</f>
        <v/>
      </c>
      <c r="Q50" s="138" t="str">
        <f aca="false">IFERROR(VLOOKUP(TEXT(O50,"0"),CONDUCTORES!$A$3:$H$54,6,0),"")</f>
        <v/>
      </c>
      <c r="R50" s="140"/>
      <c r="S50" s="140"/>
      <c r="T50" s="140"/>
      <c r="U50" s="140"/>
      <c r="V50" s="140"/>
      <c r="W50" s="140"/>
      <c r="X50" s="140"/>
      <c r="Y50" s="140"/>
      <c r="Z50" s="47" t="str">
        <f aca="false">IF(AND(G50&lt;&gt;"",R50&lt;&gt;"",V50&lt;&gt;"",W50&lt;&gt;""),"COMPLETADO","OBSERVADO")</f>
        <v>OBSERVADO</v>
      </c>
      <c r="AA50" s="89"/>
    </row>
    <row r="51" customFormat="false" ht="15.75" hidden="false" customHeight="true" outlineLevel="0" collapsed="false">
      <c r="A51" s="85"/>
      <c r="B51" s="85"/>
      <c r="C51" s="85"/>
      <c r="D51" s="85"/>
      <c r="E51" s="85"/>
      <c r="F51" s="85"/>
      <c r="G51" s="85"/>
      <c r="H51" s="85"/>
      <c r="I51" s="138" t="str">
        <f aca="false">IFERROR(VLOOKUP(TEXT(H51,"0"),IPRESS!$A$3:$B$212,2,0),"")</f>
        <v/>
      </c>
      <c r="J51" s="85"/>
      <c r="K51" s="138" t="str">
        <f aca="false">IFERROR(VLOOKUP(TEXT(O51,"0"),CONDUCTORES!$A$3:$G$54,7,0),"")</f>
        <v/>
      </c>
      <c r="L51" s="85"/>
      <c r="M51" s="85"/>
      <c r="N51" s="139" t="str">
        <f aca="false">IFERROR(IF(L51*M51=0,"",L51*M51),"")</f>
        <v/>
      </c>
      <c r="O51" s="85"/>
      <c r="P51" s="138" t="str">
        <f aca="false">IFERROR(VLOOKUP(TEXT(O51,"0"),CONDUCTORES!$A$3:$G$54,2,0),"")</f>
        <v/>
      </c>
      <c r="Q51" s="138" t="str">
        <f aca="false">IFERROR(VLOOKUP(TEXT(O51,"0"),CONDUCTORES!$A$3:$H$54,6,0),"")</f>
        <v/>
      </c>
      <c r="R51" s="85"/>
      <c r="S51" s="85"/>
      <c r="T51" s="85"/>
      <c r="U51" s="85"/>
      <c r="V51" s="85"/>
      <c r="W51" s="85"/>
      <c r="X51" s="85"/>
      <c r="Y51" s="85"/>
      <c r="Z51" s="41" t="str">
        <f aca="false">IF(AND(G51&lt;&gt;"",R51&lt;&gt;"",V51&lt;&gt;"",W51&lt;&gt;""),"COMPLETADO","OBSERVADO")</f>
        <v>OBSERVADO</v>
      </c>
      <c r="AA51" s="89"/>
    </row>
    <row r="52" customFormat="false" ht="15.75" hidden="false" customHeight="true" outlineLevel="0" collapsed="false">
      <c r="A52" s="140"/>
      <c r="B52" s="140"/>
      <c r="C52" s="140"/>
      <c r="D52" s="140"/>
      <c r="E52" s="140"/>
      <c r="F52" s="140"/>
      <c r="G52" s="140"/>
      <c r="H52" s="140"/>
      <c r="I52" s="138" t="str">
        <f aca="false">IFERROR(VLOOKUP(TEXT(H52,"0"),IPRESS!$A$3:$B$212,2,0),"")</f>
        <v/>
      </c>
      <c r="J52" s="140"/>
      <c r="K52" s="138" t="str">
        <f aca="false">IFERROR(VLOOKUP(TEXT(O52,"0"),CONDUCTORES!$A$3:$G$54,7,0),"")</f>
        <v/>
      </c>
      <c r="L52" s="140"/>
      <c r="M52" s="140"/>
      <c r="N52" s="139" t="str">
        <f aca="false">IFERROR(IF(L52*M52=0,"",L52*M52),"")</f>
        <v/>
      </c>
      <c r="O52" s="140"/>
      <c r="P52" s="138" t="str">
        <f aca="false">IFERROR(VLOOKUP(TEXT(O52,"0"),CONDUCTORES!$A$3:$G$54,2,0),"")</f>
        <v/>
      </c>
      <c r="Q52" s="138" t="str">
        <f aca="false">IFERROR(VLOOKUP(TEXT(O52,"0"),CONDUCTORES!$A$3:$H$54,6,0),"")</f>
        <v/>
      </c>
      <c r="R52" s="140"/>
      <c r="S52" s="140"/>
      <c r="T52" s="140"/>
      <c r="U52" s="140"/>
      <c r="V52" s="140"/>
      <c r="W52" s="140"/>
      <c r="X52" s="140"/>
      <c r="Y52" s="140"/>
      <c r="Z52" s="47" t="str">
        <f aca="false">IF(AND(G52&lt;&gt;"",R52&lt;&gt;"",V52&lt;&gt;"",W52&lt;&gt;""),"COMPLETADO","OBSERVADO")</f>
        <v>OBSERVADO</v>
      </c>
      <c r="AA52" s="89"/>
    </row>
    <row r="53" customFormat="false" ht="15.75" hidden="false" customHeight="true" outlineLevel="0" collapsed="false">
      <c r="A53" s="85"/>
      <c r="B53" s="85"/>
      <c r="C53" s="85"/>
      <c r="D53" s="85"/>
      <c r="E53" s="85"/>
      <c r="F53" s="85"/>
      <c r="G53" s="85"/>
      <c r="H53" s="85"/>
      <c r="I53" s="138" t="str">
        <f aca="false">IFERROR(VLOOKUP(TEXT(H53,"0"),IPRESS!$A$3:$B$212,2,0),"")</f>
        <v/>
      </c>
      <c r="J53" s="85"/>
      <c r="K53" s="138" t="str">
        <f aca="false">IFERROR(VLOOKUP(TEXT(O53,"0"),CONDUCTORES!$A$3:$G$54,7,0),"")</f>
        <v/>
      </c>
      <c r="L53" s="85"/>
      <c r="M53" s="85"/>
      <c r="N53" s="139" t="str">
        <f aca="false">IFERROR(IF(L53*M53=0,"",L53*M53),"")</f>
        <v/>
      </c>
      <c r="O53" s="85"/>
      <c r="P53" s="138" t="str">
        <f aca="false">IFERROR(VLOOKUP(TEXT(O53,"0"),CONDUCTORES!$A$3:$G$54,2,0),"")</f>
        <v/>
      </c>
      <c r="Q53" s="138" t="str">
        <f aca="false">IFERROR(VLOOKUP(TEXT(O53,"0"),CONDUCTORES!$A$3:$H$54,6,0),"")</f>
        <v/>
      </c>
      <c r="R53" s="85"/>
      <c r="S53" s="85"/>
      <c r="T53" s="85"/>
      <c r="U53" s="85"/>
      <c r="V53" s="85"/>
      <c r="W53" s="85"/>
      <c r="X53" s="85"/>
      <c r="Y53" s="85"/>
      <c r="Z53" s="41" t="str">
        <f aca="false">IF(AND(G53&lt;&gt;"",R53&lt;&gt;"",V53&lt;&gt;"",W53&lt;&gt;""),"COMPLETADO","OBSERVADO")</f>
        <v>OBSERVADO</v>
      </c>
      <c r="AA53" s="89"/>
    </row>
    <row r="54" customFormat="false" ht="15.75" hidden="false" customHeight="true" outlineLevel="0" collapsed="false">
      <c r="A54" s="140"/>
      <c r="B54" s="140"/>
      <c r="C54" s="140"/>
      <c r="D54" s="140"/>
      <c r="E54" s="140"/>
      <c r="F54" s="140"/>
      <c r="G54" s="140"/>
      <c r="H54" s="140"/>
      <c r="I54" s="138" t="str">
        <f aca="false">IFERROR(VLOOKUP(TEXT(H54,"0"),IPRESS!$A$3:$B$212,2,0),"")</f>
        <v/>
      </c>
      <c r="J54" s="140"/>
      <c r="K54" s="138" t="str">
        <f aca="false">IFERROR(VLOOKUP(TEXT(O54,"0"),CONDUCTORES!$A$3:$G$54,7,0),"")</f>
        <v/>
      </c>
      <c r="L54" s="140"/>
      <c r="M54" s="140"/>
      <c r="N54" s="139" t="str">
        <f aca="false">IFERROR(IF(L54*M54=0,"",L54*M54),"")</f>
        <v/>
      </c>
      <c r="O54" s="140"/>
      <c r="P54" s="138" t="str">
        <f aca="false">IFERROR(VLOOKUP(TEXT(O54,"0"),CONDUCTORES!$A$3:$G$54,2,0),"")</f>
        <v/>
      </c>
      <c r="Q54" s="138" t="str">
        <f aca="false">IFERROR(VLOOKUP(TEXT(O54,"0"),CONDUCTORES!$A$3:$H$54,6,0),"")</f>
        <v/>
      </c>
      <c r="R54" s="140"/>
      <c r="S54" s="140"/>
      <c r="T54" s="140"/>
      <c r="U54" s="140"/>
      <c r="V54" s="140"/>
      <c r="W54" s="140"/>
      <c r="X54" s="140"/>
      <c r="Y54" s="140"/>
      <c r="Z54" s="47" t="str">
        <f aca="false">IF(AND(G54&lt;&gt;"",R54&lt;&gt;"",V54&lt;&gt;"",W54&lt;&gt;""),"COMPLETADO","OBSERVADO")</f>
        <v>OBSERVADO</v>
      </c>
      <c r="AA54" s="89"/>
    </row>
    <row r="55" customFormat="false" ht="15.75" hidden="false" customHeight="true" outlineLevel="0" collapsed="false">
      <c r="A55" s="85"/>
      <c r="B55" s="85"/>
      <c r="C55" s="85"/>
      <c r="D55" s="85"/>
      <c r="E55" s="85"/>
      <c r="F55" s="85"/>
      <c r="G55" s="85"/>
      <c r="H55" s="85"/>
      <c r="I55" s="138" t="str">
        <f aca="false">IFERROR(VLOOKUP(TEXT(H55,"0"),IPRESS!$A$3:$B$212,2,0),"")</f>
        <v/>
      </c>
      <c r="J55" s="85"/>
      <c r="K55" s="138" t="str">
        <f aca="false">IFERROR(VLOOKUP(TEXT(O55,"0"),CONDUCTORES!$A$3:$G$54,7,0),"")</f>
        <v/>
      </c>
      <c r="L55" s="85"/>
      <c r="M55" s="85"/>
      <c r="N55" s="139" t="str">
        <f aca="false">IFERROR(IF(L55*M55=0,"",L55*M55),"")</f>
        <v/>
      </c>
      <c r="O55" s="85"/>
      <c r="P55" s="138" t="str">
        <f aca="false">IFERROR(VLOOKUP(TEXT(O55,"0"),CONDUCTORES!$A$3:$G$54,2,0),"")</f>
        <v/>
      </c>
      <c r="Q55" s="138" t="str">
        <f aca="false">IFERROR(VLOOKUP(TEXT(O55,"0"),CONDUCTORES!$A$3:$H$54,6,0),"")</f>
        <v/>
      </c>
      <c r="R55" s="85"/>
      <c r="S55" s="85"/>
      <c r="T55" s="85"/>
      <c r="U55" s="85"/>
      <c r="V55" s="85"/>
      <c r="W55" s="85"/>
      <c r="X55" s="85"/>
      <c r="Y55" s="85"/>
      <c r="Z55" s="41" t="str">
        <f aca="false">IF(AND(G55&lt;&gt;"",R55&lt;&gt;"",V55&lt;&gt;"",W55&lt;&gt;""),"COMPLETADO","OBSERVADO")</f>
        <v>OBSERVADO</v>
      </c>
      <c r="AA55" s="89"/>
    </row>
    <row r="56" customFormat="false" ht="15.75" hidden="false" customHeight="true" outlineLevel="0" collapsed="false">
      <c r="A56" s="140"/>
      <c r="B56" s="140"/>
      <c r="C56" s="140"/>
      <c r="D56" s="140"/>
      <c r="E56" s="140"/>
      <c r="F56" s="140"/>
      <c r="G56" s="140"/>
      <c r="H56" s="140"/>
      <c r="I56" s="138" t="str">
        <f aca="false">IFERROR(VLOOKUP(TEXT(H56,"0"),IPRESS!$A$3:$B$212,2,0),"")</f>
        <v/>
      </c>
      <c r="J56" s="140"/>
      <c r="K56" s="138" t="str">
        <f aca="false">IFERROR(VLOOKUP(TEXT(O56,"0"),CONDUCTORES!$A$3:$G$54,7,0),"")</f>
        <v/>
      </c>
      <c r="L56" s="140"/>
      <c r="M56" s="140"/>
      <c r="N56" s="139" t="str">
        <f aca="false">IFERROR(IF(L56*M56=0,"",L56*M56),"")</f>
        <v/>
      </c>
      <c r="O56" s="140"/>
      <c r="P56" s="138" t="str">
        <f aca="false">IFERROR(VLOOKUP(TEXT(O56,"0"),CONDUCTORES!$A$3:$G$54,2,0),"")</f>
        <v/>
      </c>
      <c r="Q56" s="138" t="str">
        <f aca="false">IFERROR(VLOOKUP(TEXT(O56,"0"),CONDUCTORES!$A$3:$H$54,6,0),"")</f>
        <v/>
      </c>
      <c r="R56" s="140"/>
      <c r="S56" s="140"/>
      <c r="T56" s="140"/>
      <c r="U56" s="140"/>
      <c r="V56" s="140"/>
      <c r="W56" s="140"/>
      <c r="X56" s="140"/>
      <c r="Y56" s="140"/>
      <c r="Z56" s="47" t="str">
        <f aca="false">IF(AND(G56&lt;&gt;"",R56&lt;&gt;"",V56&lt;&gt;"",W56&lt;&gt;""),"COMPLETADO","OBSERVADO")</f>
        <v>OBSERVADO</v>
      </c>
      <c r="AA56" s="89"/>
    </row>
    <row r="57" customFormat="false" ht="15.75" hidden="false" customHeight="true" outlineLevel="0" collapsed="false">
      <c r="A57" s="85"/>
      <c r="B57" s="85"/>
      <c r="C57" s="85"/>
      <c r="D57" s="85"/>
      <c r="E57" s="85"/>
      <c r="F57" s="85"/>
      <c r="G57" s="85"/>
      <c r="H57" s="85"/>
      <c r="I57" s="138" t="str">
        <f aca="false">IFERROR(VLOOKUP(TEXT(H57,"0"),IPRESS!$A$3:$B$212,2,0),"")</f>
        <v/>
      </c>
      <c r="J57" s="85"/>
      <c r="K57" s="138" t="str">
        <f aca="false">IFERROR(VLOOKUP(TEXT(O57,"0"),CONDUCTORES!$A$3:$G$54,7,0),"")</f>
        <v/>
      </c>
      <c r="L57" s="85"/>
      <c r="M57" s="85"/>
      <c r="N57" s="139" t="str">
        <f aca="false">IFERROR(IF(L57*M57=0,"",L57*M57),"")</f>
        <v/>
      </c>
      <c r="O57" s="85"/>
      <c r="P57" s="138" t="str">
        <f aca="false">IFERROR(VLOOKUP(TEXT(O57,"0"),CONDUCTORES!$A$3:$G$54,2,0),"")</f>
        <v/>
      </c>
      <c r="Q57" s="138" t="str">
        <f aca="false">IFERROR(VLOOKUP(TEXT(O57,"0"),CONDUCTORES!$A$3:$H$54,6,0),"")</f>
        <v/>
      </c>
      <c r="R57" s="85"/>
      <c r="S57" s="85"/>
      <c r="T57" s="85"/>
      <c r="U57" s="85"/>
      <c r="V57" s="85"/>
      <c r="W57" s="85"/>
      <c r="X57" s="85"/>
      <c r="Y57" s="85"/>
      <c r="Z57" s="41" t="str">
        <f aca="false">IF(AND(G57&lt;&gt;"",R57&lt;&gt;"",V57&lt;&gt;"",W57&lt;&gt;""),"COMPLETADO","OBSERVADO")</f>
        <v>OBSERVADO</v>
      </c>
      <c r="AA57" s="89"/>
    </row>
    <row r="58" customFormat="false" ht="15.75" hidden="false" customHeight="true" outlineLevel="0" collapsed="false">
      <c r="A58" s="140"/>
      <c r="B58" s="140"/>
      <c r="C58" s="140"/>
      <c r="D58" s="140"/>
      <c r="E58" s="140"/>
      <c r="F58" s="140"/>
      <c r="G58" s="140"/>
      <c r="H58" s="140"/>
      <c r="I58" s="138" t="str">
        <f aca="false">IFERROR(VLOOKUP(TEXT(H58,"0"),IPRESS!$A$3:$B$212,2,0),"")</f>
        <v/>
      </c>
      <c r="J58" s="140"/>
      <c r="K58" s="138" t="str">
        <f aca="false">IFERROR(VLOOKUP(TEXT(O58,"0"),CONDUCTORES!$A$3:$G$54,7,0),"")</f>
        <v/>
      </c>
      <c r="L58" s="140"/>
      <c r="M58" s="140"/>
      <c r="N58" s="139" t="str">
        <f aca="false">IFERROR(IF(L58*M58=0,"",L58*M58),"")</f>
        <v/>
      </c>
      <c r="O58" s="140"/>
      <c r="P58" s="138" t="str">
        <f aca="false">IFERROR(VLOOKUP(TEXT(O58,"0"),CONDUCTORES!$A$3:$G$54,2,0),"")</f>
        <v/>
      </c>
      <c r="Q58" s="138" t="str">
        <f aca="false">IFERROR(VLOOKUP(TEXT(O58,"0"),CONDUCTORES!$A$3:$H$54,6,0),"")</f>
        <v/>
      </c>
      <c r="R58" s="140"/>
      <c r="S58" s="140"/>
      <c r="T58" s="140"/>
      <c r="U58" s="140"/>
      <c r="V58" s="140"/>
      <c r="W58" s="140"/>
      <c r="X58" s="140"/>
      <c r="Y58" s="140"/>
      <c r="Z58" s="47" t="str">
        <f aca="false">IF(AND(G58&lt;&gt;"",R58&lt;&gt;"",V58&lt;&gt;"",W58&lt;&gt;""),"COMPLETADO","OBSERVADO")</f>
        <v>OBSERVADO</v>
      </c>
      <c r="AA58" s="89"/>
    </row>
    <row r="59" customFormat="false" ht="15.75" hidden="false" customHeight="true" outlineLevel="0" collapsed="false">
      <c r="A59" s="85"/>
      <c r="B59" s="85"/>
      <c r="C59" s="85"/>
      <c r="D59" s="85"/>
      <c r="E59" s="85"/>
      <c r="F59" s="85"/>
      <c r="G59" s="85"/>
      <c r="H59" s="85"/>
      <c r="I59" s="138" t="str">
        <f aca="false">IFERROR(VLOOKUP(TEXT(H59,"0"),IPRESS!$A$3:$B$212,2,0),"")</f>
        <v/>
      </c>
      <c r="J59" s="85"/>
      <c r="K59" s="138" t="str">
        <f aca="false">IFERROR(VLOOKUP(TEXT(O59,"0"),CONDUCTORES!$A$3:$G$54,7,0),"")</f>
        <v/>
      </c>
      <c r="L59" s="85"/>
      <c r="M59" s="85"/>
      <c r="N59" s="139" t="str">
        <f aca="false">IFERROR(IF(L59*M59=0,"",L59*M59),"")</f>
        <v/>
      </c>
      <c r="O59" s="85"/>
      <c r="P59" s="138" t="str">
        <f aca="false">IFERROR(VLOOKUP(TEXT(O59,"0"),CONDUCTORES!$A$3:$G$54,2,0),"")</f>
        <v/>
      </c>
      <c r="Q59" s="138" t="str">
        <f aca="false">IFERROR(VLOOKUP(TEXT(O59,"0"),CONDUCTORES!$A$3:$H$54,6,0),"")</f>
        <v/>
      </c>
      <c r="R59" s="85"/>
      <c r="S59" s="85"/>
      <c r="T59" s="85"/>
      <c r="U59" s="85"/>
      <c r="V59" s="85"/>
      <c r="W59" s="85"/>
      <c r="X59" s="85"/>
      <c r="Y59" s="85"/>
      <c r="Z59" s="41" t="str">
        <f aca="false">IF(AND(G59&lt;&gt;"",R59&lt;&gt;"",V59&lt;&gt;"",W59&lt;&gt;""),"COMPLETADO","OBSERVADO")</f>
        <v>OBSERVADO</v>
      </c>
      <c r="AA59" s="89"/>
    </row>
    <row r="60" customFormat="false" ht="15.75" hidden="false" customHeight="true" outlineLevel="0" collapsed="false">
      <c r="A60" s="140"/>
      <c r="B60" s="140"/>
      <c r="C60" s="140"/>
      <c r="D60" s="140"/>
      <c r="E60" s="140"/>
      <c r="F60" s="140"/>
      <c r="G60" s="140"/>
      <c r="H60" s="140"/>
      <c r="I60" s="138" t="str">
        <f aca="false">IFERROR(VLOOKUP(TEXT(H60,"0"),IPRESS!$A$3:$B$212,2,0),"")</f>
        <v/>
      </c>
      <c r="J60" s="140"/>
      <c r="K60" s="138" t="str">
        <f aca="false">IFERROR(VLOOKUP(TEXT(O60,"0"),CONDUCTORES!$A$3:$G$54,7,0),"")</f>
        <v/>
      </c>
      <c r="L60" s="140"/>
      <c r="M60" s="140"/>
      <c r="N60" s="139" t="str">
        <f aca="false">IFERROR(IF(L60*M60=0,"",L60*M60),"")</f>
        <v/>
      </c>
      <c r="O60" s="140"/>
      <c r="P60" s="138" t="str">
        <f aca="false">IFERROR(VLOOKUP(TEXT(O60,"0"),CONDUCTORES!$A$3:$G$54,2,0),"")</f>
        <v/>
      </c>
      <c r="Q60" s="138" t="str">
        <f aca="false">IFERROR(VLOOKUP(TEXT(O60,"0"),CONDUCTORES!$A$3:$H$54,6,0),"")</f>
        <v/>
      </c>
      <c r="R60" s="140"/>
      <c r="S60" s="140"/>
      <c r="T60" s="140"/>
      <c r="U60" s="140"/>
      <c r="V60" s="140"/>
      <c r="W60" s="140"/>
      <c r="X60" s="140"/>
      <c r="Y60" s="140"/>
      <c r="Z60" s="47" t="str">
        <f aca="false">IF(AND(G60&lt;&gt;"",R60&lt;&gt;"",V60&lt;&gt;"",W60&lt;&gt;""),"COMPLETADO","OBSERVADO")</f>
        <v>OBSERVADO</v>
      </c>
      <c r="AA60" s="89"/>
    </row>
    <row r="61" customFormat="false" ht="15.75" hidden="false" customHeight="true" outlineLevel="0" collapsed="false">
      <c r="A61" s="85"/>
      <c r="B61" s="85"/>
      <c r="C61" s="85"/>
      <c r="D61" s="85"/>
      <c r="E61" s="85"/>
      <c r="F61" s="85"/>
      <c r="G61" s="85"/>
      <c r="H61" s="85"/>
      <c r="I61" s="138" t="str">
        <f aca="false">IFERROR(VLOOKUP(TEXT(H61,"0"),IPRESS!$A$3:$B$212,2,0),"")</f>
        <v/>
      </c>
      <c r="J61" s="85"/>
      <c r="K61" s="138" t="str">
        <f aca="false">IFERROR(VLOOKUP(TEXT(O61,"0"),CONDUCTORES!$A$3:$G$54,7,0),"")</f>
        <v/>
      </c>
      <c r="L61" s="85"/>
      <c r="M61" s="85"/>
      <c r="N61" s="139" t="str">
        <f aca="false">IFERROR(IF(L61*M61=0,"",L61*M61),"")</f>
        <v/>
      </c>
      <c r="O61" s="85"/>
      <c r="P61" s="138" t="str">
        <f aca="false">IFERROR(VLOOKUP(TEXT(O61,"0"),CONDUCTORES!$A$3:$G$54,2,0),"")</f>
        <v/>
      </c>
      <c r="Q61" s="138" t="str">
        <f aca="false">IFERROR(VLOOKUP(TEXT(O61,"0"),CONDUCTORES!$A$3:$H$54,6,0),"")</f>
        <v/>
      </c>
      <c r="R61" s="85"/>
      <c r="S61" s="85"/>
      <c r="T61" s="85"/>
      <c r="U61" s="85"/>
      <c r="V61" s="85"/>
      <c r="W61" s="85"/>
      <c r="X61" s="85"/>
      <c r="Y61" s="85"/>
      <c r="Z61" s="41" t="str">
        <f aca="false">IF(AND(G61&lt;&gt;"",R61&lt;&gt;"",V61&lt;&gt;"",W61&lt;&gt;""),"COMPLETADO","OBSERVADO")</f>
        <v>OBSERVADO</v>
      </c>
      <c r="AA61" s="89"/>
    </row>
    <row r="62" customFormat="false" ht="15.75" hidden="false" customHeight="true" outlineLevel="0" collapsed="false">
      <c r="A62" s="140"/>
      <c r="B62" s="140"/>
      <c r="C62" s="140"/>
      <c r="D62" s="140"/>
      <c r="E62" s="140"/>
      <c r="F62" s="140"/>
      <c r="G62" s="140"/>
      <c r="H62" s="140"/>
      <c r="I62" s="138" t="str">
        <f aca="false">IFERROR(VLOOKUP(TEXT(H62,"0"),IPRESS!$A$3:$B$212,2,0),"")</f>
        <v/>
      </c>
      <c r="J62" s="140"/>
      <c r="K62" s="138" t="str">
        <f aca="false">IFERROR(VLOOKUP(TEXT(O62,"0"),CONDUCTORES!$A$3:$G$54,7,0),"")</f>
        <v/>
      </c>
      <c r="L62" s="140"/>
      <c r="M62" s="140"/>
      <c r="N62" s="139" t="str">
        <f aca="false">IFERROR(IF(L62*M62=0,"",L62*M62),"")</f>
        <v/>
      </c>
      <c r="O62" s="140"/>
      <c r="P62" s="138" t="str">
        <f aca="false">IFERROR(VLOOKUP(TEXT(O62,"0"),CONDUCTORES!$A$3:$G$54,2,0),"")</f>
        <v/>
      </c>
      <c r="Q62" s="138" t="str">
        <f aca="false">IFERROR(VLOOKUP(TEXT(O62,"0"),CONDUCTORES!$A$3:$H$54,6,0),"")</f>
        <v/>
      </c>
      <c r="R62" s="140"/>
      <c r="S62" s="140"/>
      <c r="T62" s="140"/>
      <c r="U62" s="140"/>
      <c r="V62" s="140"/>
      <c r="W62" s="140"/>
      <c r="X62" s="140"/>
      <c r="Y62" s="140"/>
      <c r="Z62" s="47" t="str">
        <f aca="false">IF(AND(G62&lt;&gt;"",R62&lt;&gt;"",V62&lt;&gt;"",W62&lt;&gt;""),"COMPLETADO","OBSERVADO")</f>
        <v>OBSERVADO</v>
      </c>
      <c r="AA62" s="89"/>
    </row>
    <row r="63" customFormat="false" ht="15.75" hidden="false" customHeight="true" outlineLevel="0" collapsed="false">
      <c r="A63" s="85"/>
      <c r="B63" s="85"/>
      <c r="C63" s="85"/>
      <c r="D63" s="85"/>
      <c r="E63" s="85"/>
      <c r="F63" s="85"/>
      <c r="G63" s="85"/>
      <c r="H63" s="85"/>
      <c r="I63" s="138" t="str">
        <f aca="false">IFERROR(VLOOKUP(TEXT(H63,"0"),IPRESS!$A$3:$B$212,2,0),"")</f>
        <v/>
      </c>
      <c r="J63" s="85"/>
      <c r="K63" s="138" t="str">
        <f aca="false">IFERROR(VLOOKUP(TEXT(O63,"0"),CONDUCTORES!$A$3:$G$54,7,0),"")</f>
        <v/>
      </c>
      <c r="L63" s="85"/>
      <c r="M63" s="85"/>
      <c r="N63" s="139" t="str">
        <f aca="false">IFERROR(IF(L63*M63=0,"",L63*M63),"")</f>
        <v/>
      </c>
      <c r="O63" s="85"/>
      <c r="P63" s="138" t="str">
        <f aca="false">IFERROR(VLOOKUP(TEXT(O63,"0"),CONDUCTORES!$A$3:$G$54,2,0),"")</f>
        <v/>
      </c>
      <c r="Q63" s="138" t="str">
        <f aca="false">IFERROR(VLOOKUP(TEXT(O63,"0"),CONDUCTORES!$A$3:$H$54,6,0),"")</f>
        <v/>
      </c>
      <c r="R63" s="85"/>
      <c r="S63" s="85"/>
      <c r="T63" s="85"/>
      <c r="U63" s="85"/>
      <c r="V63" s="85"/>
      <c r="W63" s="85"/>
      <c r="X63" s="85"/>
      <c r="Y63" s="85"/>
      <c r="Z63" s="41" t="str">
        <f aca="false">IF(AND(G63&lt;&gt;"",R63&lt;&gt;"",V63&lt;&gt;"",W63&lt;&gt;""),"COMPLETADO","OBSERVADO")</f>
        <v>OBSERVADO</v>
      </c>
      <c r="AA63" s="89"/>
    </row>
    <row r="64" customFormat="false" ht="15.75" hidden="false" customHeight="true" outlineLevel="0" collapsed="false">
      <c r="A64" s="140"/>
      <c r="B64" s="140"/>
      <c r="C64" s="140"/>
      <c r="D64" s="140"/>
      <c r="E64" s="140"/>
      <c r="F64" s="140"/>
      <c r="G64" s="140"/>
      <c r="H64" s="140"/>
      <c r="I64" s="138" t="str">
        <f aca="false">IFERROR(VLOOKUP(TEXT(H64,"0"),IPRESS!$A$3:$B$212,2,0),"")</f>
        <v/>
      </c>
      <c r="J64" s="140"/>
      <c r="K64" s="138" t="str">
        <f aca="false">IFERROR(VLOOKUP(TEXT(O64,"0"),CONDUCTORES!$A$3:$G$54,7,0),"")</f>
        <v/>
      </c>
      <c r="L64" s="140"/>
      <c r="M64" s="140"/>
      <c r="N64" s="139" t="str">
        <f aca="false">IFERROR(IF(L64*M64=0,"",L64*M64),"")</f>
        <v/>
      </c>
      <c r="O64" s="140"/>
      <c r="P64" s="138" t="str">
        <f aca="false">IFERROR(VLOOKUP(TEXT(O64,"0"),CONDUCTORES!$A$3:$G$54,2,0),"")</f>
        <v/>
      </c>
      <c r="Q64" s="138" t="str">
        <f aca="false">IFERROR(VLOOKUP(TEXT(O64,"0"),CONDUCTORES!$A$3:$H$54,6,0),"")</f>
        <v/>
      </c>
      <c r="R64" s="140"/>
      <c r="S64" s="140"/>
      <c r="T64" s="140"/>
      <c r="U64" s="140"/>
      <c r="V64" s="140"/>
      <c r="W64" s="140"/>
      <c r="X64" s="140"/>
      <c r="Y64" s="140"/>
      <c r="Z64" s="47" t="str">
        <f aca="false">IF(AND(G64&lt;&gt;"",R64&lt;&gt;"",V64&lt;&gt;"",W64&lt;&gt;""),"COMPLETADO","OBSERVADO")</f>
        <v>OBSERVADO</v>
      </c>
      <c r="AA64" s="89"/>
    </row>
    <row r="65" customFormat="false" ht="15.75" hidden="false" customHeight="true" outlineLevel="0" collapsed="false">
      <c r="A65" s="85"/>
      <c r="B65" s="85"/>
      <c r="C65" s="85"/>
      <c r="D65" s="85"/>
      <c r="E65" s="85"/>
      <c r="F65" s="85"/>
      <c r="G65" s="85"/>
      <c r="H65" s="85"/>
      <c r="I65" s="138" t="str">
        <f aca="false">IFERROR(VLOOKUP(TEXT(H65,"0"),IPRESS!$A$3:$B$212,2,0),"")</f>
        <v/>
      </c>
      <c r="J65" s="85"/>
      <c r="K65" s="138" t="str">
        <f aca="false">IFERROR(VLOOKUP(TEXT(O65,"0"),CONDUCTORES!$A$3:$G$54,7,0),"")</f>
        <v/>
      </c>
      <c r="L65" s="85"/>
      <c r="M65" s="85"/>
      <c r="N65" s="139" t="str">
        <f aca="false">IFERROR(IF(L65*M65=0,"",L65*M65),"")</f>
        <v/>
      </c>
      <c r="O65" s="85"/>
      <c r="P65" s="138" t="str">
        <f aca="false">IFERROR(VLOOKUP(TEXT(O65,"0"),CONDUCTORES!$A$3:$G$54,2,0),"")</f>
        <v/>
      </c>
      <c r="Q65" s="138" t="str">
        <f aca="false">IFERROR(VLOOKUP(TEXT(O65,"0"),CONDUCTORES!$A$3:$H$54,6,0),"")</f>
        <v/>
      </c>
      <c r="R65" s="85"/>
      <c r="S65" s="85"/>
      <c r="T65" s="85"/>
      <c r="U65" s="85"/>
      <c r="V65" s="85"/>
      <c r="W65" s="85"/>
      <c r="X65" s="85"/>
      <c r="Y65" s="85"/>
      <c r="Z65" s="41" t="str">
        <f aca="false">IF(AND(G65&lt;&gt;"",R65&lt;&gt;"",V65&lt;&gt;"",W65&lt;&gt;""),"COMPLETADO","OBSERVADO")</f>
        <v>OBSERVADO</v>
      </c>
      <c r="AA65" s="89"/>
    </row>
    <row r="66" customFormat="false" ht="15.75" hidden="false" customHeight="true" outlineLevel="0" collapsed="false">
      <c r="A66" s="140"/>
      <c r="B66" s="140"/>
      <c r="C66" s="140"/>
      <c r="D66" s="140"/>
      <c r="E66" s="140"/>
      <c r="F66" s="140"/>
      <c r="G66" s="140"/>
      <c r="H66" s="140"/>
      <c r="I66" s="138" t="str">
        <f aca="false">IFERROR(VLOOKUP(TEXT(H66,"0"),IPRESS!$A$3:$B$212,2,0),"")</f>
        <v/>
      </c>
      <c r="J66" s="140"/>
      <c r="K66" s="138" t="str">
        <f aca="false">IFERROR(VLOOKUP(TEXT(O66,"0"),CONDUCTORES!$A$3:$G$54,7,0),"")</f>
        <v/>
      </c>
      <c r="L66" s="140"/>
      <c r="M66" s="140"/>
      <c r="N66" s="139" t="str">
        <f aca="false">IFERROR(IF(L66*M66=0,"",L66*M66),"")</f>
        <v/>
      </c>
      <c r="O66" s="140"/>
      <c r="P66" s="138" t="str">
        <f aca="false">IFERROR(VLOOKUP(TEXT(O66,"0"),CONDUCTORES!$A$3:$G$54,2,0),"")</f>
        <v/>
      </c>
      <c r="Q66" s="138" t="str">
        <f aca="false">IFERROR(VLOOKUP(TEXT(O66,"0"),CONDUCTORES!$A$3:$H$54,6,0),"")</f>
        <v/>
      </c>
      <c r="R66" s="140"/>
      <c r="S66" s="140"/>
      <c r="T66" s="140"/>
      <c r="U66" s="140"/>
      <c r="V66" s="140"/>
      <c r="W66" s="140"/>
      <c r="X66" s="140"/>
      <c r="Y66" s="140"/>
      <c r="Z66" s="47" t="str">
        <f aca="false">IF(AND(G66&lt;&gt;"",R66&lt;&gt;"",V66&lt;&gt;"",W66&lt;&gt;""),"COMPLETADO","OBSERVADO")</f>
        <v>OBSERVADO</v>
      </c>
      <c r="AA66" s="89"/>
    </row>
    <row r="67" customFormat="false" ht="15.75" hidden="false" customHeight="true" outlineLevel="0" collapsed="false">
      <c r="A67" s="85"/>
      <c r="B67" s="85"/>
      <c r="C67" s="85"/>
      <c r="D67" s="85"/>
      <c r="E67" s="85"/>
      <c r="F67" s="85"/>
      <c r="G67" s="85"/>
      <c r="H67" s="85"/>
      <c r="I67" s="138" t="str">
        <f aca="false">IFERROR(VLOOKUP(TEXT(H67,"0"),IPRESS!$A$3:$B$212,2,0),"")</f>
        <v/>
      </c>
      <c r="J67" s="85"/>
      <c r="K67" s="138" t="str">
        <f aca="false">IFERROR(VLOOKUP(TEXT(O67,"0"),CONDUCTORES!$A$3:$G$54,7,0),"")</f>
        <v/>
      </c>
      <c r="L67" s="85"/>
      <c r="M67" s="85"/>
      <c r="N67" s="139" t="str">
        <f aca="false">IFERROR(IF(L67*M67=0,"",L67*M67),"")</f>
        <v/>
      </c>
      <c r="O67" s="85"/>
      <c r="P67" s="138" t="str">
        <f aca="false">IFERROR(VLOOKUP(TEXT(O67,"0"),CONDUCTORES!$A$3:$G$54,2,0),"")</f>
        <v/>
      </c>
      <c r="Q67" s="138" t="str">
        <f aca="false">IFERROR(VLOOKUP(TEXT(O67,"0"),CONDUCTORES!$A$3:$H$54,6,0),"")</f>
        <v/>
      </c>
      <c r="R67" s="85"/>
      <c r="S67" s="85"/>
      <c r="T67" s="85"/>
      <c r="U67" s="85"/>
      <c r="V67" s="85"/>
      <c r="W67" s="85"/>
      <c r="X67" s="85"/>
      <c r="Y67" s="85"/>
      <c r="Z67" s="41" t="str">
        <f aca="false">IF(AND(G67&lt;&gt;"",R67&lt;&gt;"",V67&lt;&gt;"",W67&lt;&gt;""),"COMPLETADO","OBSERVADO")</f>
        <v>OBSERVADO</v>
      </c>
      <c r="AA67" s="89"/>
    </row>
    <row r="68" customFormat="false" ht="15.75" hidden="false" customHeight="true" outlineLevel="0" collapsed="false">
      <c r="A68" s="140"/>
      <c r="B68" s="140"/>
      <c r="C68" s="140"/>
      <c r="D68" s="140"/>
      <c r="E68" s="140"/>
      <c r="F68" s="140"/>
      <c r="G68" s="140"/>
      <c r="H68" s="140"/>
      <c r="I68" s="138" t="str">
        <f aca="false">IFERROR(VLOOKUP(TEXT(H68,"0"),IPRESS!$A$3:$B$212,2,0),"")</f>
        <v/>
      </c>
      <c r="J68" s="140"/>
      <c r="K68" s="138" t="str">
        <f aca="false">IFERROR(VLOOKUP(TEXT(O68,"0"),CONDUCTORES!$A$3:$G$54,7,0),"")</f>
        <v/>
      </c>
      <c r="L68" s="140"/>
      <c r="M68" s="140"/>
      <c r="N68" s="139" t="str">
        <f aca="false">IFERROR(IF(L68*M68=0,"",L68*M68),"")</f>
        <v/>
      </c>
      <c r="O68" s="140"/>
      <c r="P68" s="138" t="str">
        <f aca="false">IFERROR(VLOOKUP(TEXT(O68,"0"),CONDUCTORES!$A$3:$G$54,2,0),"")</f>
        <v/>
      </c>
      <c r="Q68" s="138" t="str">
        <f aca="false">IFERROR(VLOOKUP(TEXT(O68,"0"),CONDUCTORES!$A$3:$H$54,6,0),"")</f>
        <v/>
      </c>
      <c r="R68" s="140"/>
      <c r="S68" s="140"/>
      <c r="T68" s="140"/>
      <c r="U68" s="140"/>
      <c r="V68" s="140"/>
      <c r="W68" s="140"/>
      <c r="X68" s="140"/>
      <c r="Y68" s="140"/>
      <c r="Z68" s="47" t="str">
        <f aca="false">IF(AND(G68&lt;&gt;"",R68&lt;&gt;"",V68&lt;&gt;"",W68&lt;&gt;""),"COMPLETADO","OBSERVADO")</f>
        <v>OBSERVADO</v>
      </c>
      <c r="AA68" s="89"/>
    </row>
    <row r="69" customFormat="false" ht="15.75" hidden="false" customHeight="true" outlineLevel="0" collapsed="false">
      <c r="A69" s="85"/>
      <c r="B69" s="85"/>
      <c r="C69" s="85"/>
      <c r="D69" s="85"/>
      <c r="E69" s="85"/>
      <c r="F69" s="85"/>
      <c r="G69" s="85"/>
      <c r="H69" s="85"/>
      <c r="I69" s="138" t="str">
        <f aca="false">IFERROR(VLOOKUP(TEXT(H69,"0"),IPRESS!$A$3:$B$212,2,0),"")</f>
        <v/>
      </c>
      <c r="J69" s="85"/>
      <c r="K69" s="138" t="str">
        <f aca="false">IFERROR(VLOOKUP(TEXT(O69,"0"),CONDUCTORES!$A$3:$G$54,7,0),"")</f>
        <v/>
      </c>
      <c r="L69" s="85"/>
      <c r="M69" s="85"/>
      <c r="N69" s="139" t="str">
        <f aca="false">IFERROR(IF(L69*M69=0,"",L69*M69),"")</f>
        <v/>
      </c>
      <c r="O69" s="85"/>
      <c r="P69" s="138" t="str">
        <f aca="false">IFERROR(VLOOKUP(TEXT(O69,"0"),CONDUCTORES!$A$3:$G$54,2,0),"")</f>
        <v/>
      </c>
      <c r="Q69" s="138" t="str">
        <f aca="false">IFERROR(VLOOKUP(TEXT(O69,"0"),CONDUCTORES!$A$3:$H$54,6,0),"")</f>
        <v/>
      </c>
      <c r="R69" s="85"/>
      <c r="S69" s="85"/>
      <c r="T69" s="85"/>
      <c r="U69" s="85"/>
      <c r="V69" s="85"/>
      <c r="W69" s="85"/>
      <c r="X69" s="85"/>
      <c r="Y69" s="85"/>
      <c r="Z69" s="41" t="str">
        <f aca="false">IF(AND(G69&lt;&gt;"",R69&lt;&gt;"",V69&lt;&gt;"",W69&lt;&gt;""),"COMPLETADO","OBSERVADO")</f>
        <v>OBSERVADO</v>
      </c>
      <c r="AA69" s="89"/>
    </row>
    <row r="70" customFormat="false" ht="15.75" hidden="false" customHeight="true" outlineLevel="0" collapsed="false">
      <c r="A70" s="140"/>
      <c r="B70" s="140"/>
      <c r="C70" s="140"/>
      <c r="D70" s="140"/>
      <c r="E70" s="140"/>
      <c r="F70" s="140"/>
      <c r="G70" s="140"/>
      <c r="H70" s="140"/>
      <c r="I70" s="138" t="str">
        <f aca="false">IFERROR(VLOOKUP(TEXT(H70,"0"),IPRESS!$A$3:$B$212,2,0),"")</f>
        <v/>
      </c>
      <c r="J70" s="140"/>
      <c r="K70" s="138" t="str">
        <f aca="false">IFERROR(VLOOKUP(TEXT(O70,"0"),CONDUCTORES!$A$3:$G$54,7,0),"")</f>
        <v/>
      </c>
      <c r="L70" s="140"/>
      <c r="M70" s="140"/>
      <c r="N70" s="139" t="str">
        <f aca="false">IFERROR(IF(L70*M70=0,"",L70*M70),"")</f>
        <v/>
      </c>
      <c r="O70" s="140"/>
      <c r="P70" s="138" t="str">
        <f aca="false">IFERROR(VLOOKUP(TEXT(O70,"0"),CONDUCTORES!$A$3:$G$54,2,0),"")</f>
        <v/>
      </c>
      <c r="Q70" s="138" t="str">
        <f aca="false">IFERROR(VLOOKUP(TEXT(O70,"0"),CONDUCTORES!$A$3:$H$54,6,0),"")</f>
        <v/>
      </c>
      <c r="R70" s="140"/>
      <c r="S70" s="140"/>
      <c r="T70" s="140"/>
      <c r="U70" s="140"/>
      <c r="V70" s="140"/>
      <c r="W70" s="140"/>
      <c r="X70" s="140"/>
      <c r="Y70" s="140"/>
      <c r="Z70" s="47" t="str">
        <f aca="false">IF(AND(G70&lt;&gt;"",R70&lt;&gt;"",V70&lt;&gt;"",W70&lt;&gt;""),"COMPLETADO","OBSERVADO")</f>
        <v>OBSERVADO</v>
      </c>
      <c r="AA70" s="89"/>
    </row>
    <row r="71" customFormat="false" ht="15.75" hidden="false" customHeight="true" outlineLevel="0" collapsed="false">
      <c r="A71" s="85"/>
      <c r="B71" s="85"/>
      <c r="C71" s="85"/>
      <c r="D71" s="85"/>
      <c r="E71" s="85"/>
      <c r="F71" s="85"/>
      <c r="G71" s="85"/>
      <c r="H71" s="85"/>
      <c r="I71" s="138" t="str">
        <f aca="false">IFERROR(VLOOKUP(TEXT(H71,"0"),IPRESS!$A$3:$B$212,2,0),"")</f>
        <v/>
      </c>
      <c r="J71" s="85"/>
      <c r="K71" s="138" t="str">
        <f aca="false">IFERROR(VLOOKUP(TEXT(O71,"0"),CONDUCTORES!$A$3:$G$54,7,0),"")</f>
        <v/>
      </c>
      <c r="L71" s="85"/>
      <c r="M71" s="85"/>
      <c r="N71" s="139" t="str">
        <f aca="false">IFERROR(IF(L71*M71=0,"",L71*M71),"")</f>
        <v/>
      </c>
      <c r="O71" s="85"/>
      <c r="P71" s="138" t="str">
        <f aca="false">IFERROR(VLOOKUP(TEXT(O71,"0"),CONDUCTORES!$A$3:$G$54,2,0),"")</f>
        <v/>
      </c>
      <c r="Q71" s="138" t="str">
        <f aca="false">IFERROR(VLOOKUP(TEXT(O71,"0"),CONDUCTORES!$A$3:$H$54,6,0),"")</f>
        <v/>
      </c>
      <c r="R71" s="85"/>
      <c r="S71" s="85"/>
      <c r="T71" s="85"/>
      <c r="U71" s="85"/>
      <c r="V71" s="85"/>
      <c r="W71" s="85"/>
      <c r="X71" s="85"/>
      <c r="Y71" s="85"/>
      <c r="Z71" s="41" t="str">
        <f aca="false">IF(AND(G71&lt;&gt;"",R71&lt;&gt;"",V71&lt;&gt;"",W71&lt;&gt;""),"COMPLETADO","OBSERVADO")</f>
        <v>OBSERVADO</v>
      </c>
      <c r="AA71" s="89"/>
    </row>
    <row r="72" customFormat="false" ht="15.75" hidden="false" customHeight="true" outlineLevel="0" collapsed="false">
      <c r="A72" s="140"/>
      <c r="B72" s="140"/>
      <c r="C72" s="140"/>
      <c r="D72" s="140"/>
      <c r="E72" s="140"/>
      <c r="F72" s="140"/>
      <c r="G72" s="140"/>
      <c r="H72" s="140"/>
      <c r="I72" s="138" t="str">
        <f aca="false">IFERROR(VLOOKUP(TEXT(H72,"0"),IPRESS!$A$3:$B$212,2,0),"")</f>
        <v/>
      </c>
      <c r="J72" s="140"/>
      <c r="K72" s="138" t="str">
        <f aca="false">IFERROR(VLOOKUP(TEXT(O72,"0"),CONDUCTORES!$A$3:$G$54,7,0),"")</f>
        <v/>
      </c>
      <c r="L72" s="140"/>
      <c r="M72" s="140"/>
      <c r="N72" s="139" t="str">
        <f aca="false">IFERROR(IF(L72*M72=0,"",L72*M72),"")</f>
        <v/>
      </c>
      <c r="O72" s="140"/>
      <c r="P72" s="138" t="str">
        <f aca="false">IFERROR(VLOOKUP(TEXT(O72,"0"),CONDUCTORES!$A$3:$G$54,2,0),"")</f>
        <v/>
      </c>
      <c r="Q72" s="138" t="str">
        <f aca="false">IFERROR(VLOOKUP(TEXT(O72,"0"),CONDUCTORES!$A$3:$H$54,6,0),"")</f>
        <v/>
      </c>
      <c r="R72" s="140"/>
      <c r="S72" s="140"/>
      <c r="T72" s="140"/>
      <c r="U72" s="140"/>
      <c r="V72" s="140"/>
      <c r="W72" s="140"/>
      <c r="X72" s="140"/>
      <c r="Y72" s="140"/>
      <c r="Z72" s="47" t="str">
        <f aca="false">IF(AND(G72&lt;&gt;"",R72&lt;&gt;"",V72&lt;&gt;"",W72&lt;&gt;""),"COMPLETADO","OBSERVADO")</f>
        <v>OBSERVADO</v>
      </c>
      <c r="AA72" s="89"/>
    </row>
    <row r="73" customFormat="false" ht="15.75" hidden="false" customHeight="true" outlineLevel="0" collapsed="false">
      <c r="A73" s="85"/>
      <c r="B73" s="85"/>
      <c r="C73" s="85"/>
      <c r="D73" s="85"/>
      <c r="E73" s="85"/>
      <c r="F73" s="85"/>
      <c r="G73" s="85"/>
      <c r="H73" s="85"/>
      <c r="I73" s="138" t="str">
        <f aca="false">IFERROR(VLOOKUP(TEXT(H73,"0"),IPRESS!$A$3:$B$212,2,0),"")</f>
        <v/>
      </c>
      <c r="J73" s="85"/>
      <c r="K73" s="138" t="str">
        <f aca="false">IFERROR(VLOOKUP(TEXT(O73,"0"),CONDUCTORES!$A$3:$G$54,7,0),"")</f>
        <v/>
      </c>
      <c r="L73" s="85"/>
      <c r="M73" s="85"/>
      <c r="N73" s="139" t="str">
        <f aca="false">IFERROR(IF(L73*M73=0,"",L73*M73),"")</f>
        <v/>
      </c>
      <c r="O73" s="85"/>
      <c r="P73" s="138" t="str">
        <f aca="false">IFERROR(VLOOKUP(TEXT(O73,"0"),CONDUCTORES!$A$3:$G$54,2,0),"")</f>
        <v/>
      </c>
      <c r="Q73" s="138" t="str">
        <f aca="false">IFERROR(VLOOKUP(TEXT(O73,"0"),CONDUCTORES!$A$3:$H$54,6,0),"")</f>
        <v/>
      </c>
      <c r="R73" s="85"/>
      <c r="S73" s="85"/>
      <c r="T73" s="85"/>
      <c r="U73" s="85"/>
      <c r="V73" s="85"/>
      <c r="W73" s="85"/>
      <c r="X73" s="85"/>
      <c r="Y73" s="85"/>
      <c r="Z73" s="41" t="str">
        <f aca="false">IF(AND(G73&lt;&gt;"",R73&lt;&gt;"",V73&lt;&gt;"",W73&lt;&gt;""),"COMPLETADO","OBSERVADO")</f>
        <v>OBSERVADO</v>
      </c>
      <c r="AA73" s="89"/>
    </row>
    <row r="74" customFormat="false" ht="15.75" hidden="false" customHeight="true" outlineLevel="0" collapsed="false">
      <c r="A74" s="140"/>
      <c r="B74" s="140"/>
      <c r="C74" s="140"/>
      <c r="D74" s="140"/>
      <c r="E74" s="140"/>
      <c r="F74" s="140"/>
      <c r="G74" s="140"/>
      <c r="H74" s="140"/>
      <c r="I74" s="138" t="str">
        <f aca="false">IFERROR(VLOOKUP(TEXT(H74,"0"),IPRESS!$A$3:$B$212,2,0),"")</f>
        <v/>
      </c>
      <c r="J74" s="140"/>
      <c r="K74" s="138" t="str">
        <f aca="false">IFERROR(VLOOKUP(TEXT(O74,"0"),CONDUCTORES!$A$3:$G$54,7,0),"")</f>
        <v/>
      </c>
      <c r="L74" s="140"/>
      <c r="M74" s="140"/>
      <c r="N74" s="139" t="str">
        <f aca="false">IFERROR(IF(L74*M74=0,"",L74*M74),"")</f>
        <v/>
      </c>
      <c r="O74" s="140"/>
      <c r="P74" s="138" t="str">
        <f aca="false">IFERROR(VLOOKUP(TEXT(O74,"0"),CONDUCTORES!$A$3:$G$54,2,0),"")</f>
        <v/>
      </c>
      <c r="Q74" s="138" t="str">
        <f aca="false">IFERROR(VLOOKUP(TEXT(O74,"0"),CONDUCTORES!$A$3:$H$54,6,0),"")</f>
        <v/>
      </c>
      <c r="R74" s="140"/>
      <c r="S74" s="140"/>
      <c r="T74" s="140"/>
      <c r="U74" s="140"/>
      <c r="V74" s="140"/>
      <c r="W74" s="140"/>
      <c r="X74" s="140"/>
      <c r="Y74" s="140"/>
      <c r="Z74" s="47" t="str">
        <f aca="false">IF(AND(G74&lt;&gt;"",R74&lt;&gt;"",V74&lt;&gt;"",W74&lt;&gt;""),"COMPLETADO","OBSERVADO")</f>
        <v>OBSERVADO</v>
      </c>
      <c r="AA74" s="89"/>
    </row>
    <row r="75" customFormat="false" ht="15.75" hidden="false" customHeight="true" outlineLevel="0" collapsed="false">
      <c r="A75" s="85"/>
      <c r="B75" s="85"/>
      <c r="C75" s="85"/>
      <c r="D75" s="85"/>
      <c r="E75" s="85"/>
      <c r="F75" s="85"/>
      <c r="G75" s="85"/>
      <c r="H75" s="85"/>
      <c r="I75" s="138" t="str">
        <f aca="false">IFERROR(VLOOKUP(TEXT(H75,"0"),IPRESS!$A$3:$B$212,2,0),"")</f>
        <v/>
      </c>
      <c r="J75" s="85"/>
      <c r="K75" s="138" t="str">
        <f aca="false">IFERROR(VLOOKUP(TEXT(O75,"0"),CONDUCTORES!$A$3:$G$54,7,0),"")</f>
        <v/>
      </c>
      <c r="L75" s="85"/>
      <c r="M75" s="85"/>
      <c r="N75" s="139" t="str">
        <f aca="false">IFERROR(IF(L75*M75=0,"",L75*M75),"")</f>
        <v/>
      </c>
      <c r="O75" s="85"/>
      <c r="P75" s="138" t="str">
        <f aca="false">IFERROR(VLOOKUP(TEXT(O75,"0"),CONDUCTORES!$A$3:$G$54,2,0),"")</f>
        <v/>
      </c>
      <c r="Q75" s="138" t="str">
        <f aca="false">IFERROR(VLOOKUP(TEXT(O75,"0"),CONDUCTORES!$A$3:$H$54,6,0),"")</f>
        <v/>
      </c>
      <c r="R75" s="85"/>
      <c r="S75" s="85"/>
      <c r="T75" s="85"/>
      <c r="U75" s="85"/>
      <c r="V75" s="85"/>
      <c r="W75" s="85"/>
      <c r="X75" s="85"/>
      <c r="Y75" s="85"/>
      <c r="Z75" s="41" t="str">
        <f aca="false">IF(AND(G75&lt;&gt;"",R75&lt;&gt;"",V75&lt;&gt;"",W75&lt;&gt;""),"COMPLETADO","OBSERVADO")</f>
        <v>OBSERVADO</v>
      </c>
      <c r="AA75" s="89"/>
    </row>
    <row r="76" customFormat="false" ht="15.75" hidden="false" customHeight="true" outlineLevel="0" collapsed="false">
      <c r="A76" s="140"/>
      <c r="B76" s="140"/>
      <c r="C76" s="140"/>
      <c r="D76" s="140"/>
      <c r="E76" s="140"/>
      <c r="F76" s="140"/>
      <c r="G76" s="140"/>
      <c r="H76" s="140"/>
      <c r="I76" s="138" t="str">
        <f aca="false">IFERROR(VLOOKUP(TEXT(H76,"0"),IPRESS!$A$3:$B$212,2,0),"")</f>
        <v/>
      </c>
      <c r="J76" s="140"/>
      <c r="K76" s="138" t="str">
        <f aca="false">IFERROR(VLOOKUP(TEXT(O76,"0"),CONDUCTORES!$A$3:$G$54,7,0),"")</f>
        <v/>
      </c>
      <c r="L76" s="140"/>
      <c r="M76" s="140"/>
      <c r="N76" s="139" t="str">
        <f aca="false">IFERROR(IF(L76*M76=0,"",L76*M76),"")</f>
        <v/>
      </c>
      <c r="O76" s="140"/>
      <c r="P76" s="138" t="str">
        <f aca="false">IFERROR(VLOOKUP(TEXT(O76,"0"),CONDUCTORES!$A$3:$G$54,2,0),"")</f>
        <v/>
      </c>
      <c r="Q76" s="138" t="str">
        <f aca="false">IFERROR(VLOOKUP(TEXT(O76,"0"),CONDUCTORES!$A$3:$H$54,6,0),"")</f>
        <v/>
      </c>
      <c r="R76" s="140"/>
      <c r="S76" s="140"/>
      <c r="T76" s="140"/>
      <c r="U76" s="140"/>
      <c r="V76" s="140"/>
      <c r="W76" s="140"/>
      <c r="X76" s="140"/>
      <c r="Y76" s="140"/>
      <c r="Z76" s="47" t="str">
        <f aca="false">IF(AND(G76&lt;&gt;"",R76&lt;&gt;"",V76&lt;&gt;"",W76&lt;&gt;""),"COMPLETADO","OBSERVADO")</f>
        <v>OBSERVADO</v>
      </c>
      <c r="AA76" s="89"/>
    </row>
    <row r="77" customFormat="false" ht="15.75" hidden="false" customHeight="true" outlineLevel="0" collapsed="false">
      <c r="A77" s="85"/>
      <c r="B77" s="85"/>
      <c r="C77" s="85"/>
      <c r="D77" s="85"/>
      <c r="E77" s="85"/>
      <c r="F77" s="85"/>
      <c r="G77" s="85"/>
      <c r="H77" s="85"/>
      <c r="I77" s="138" t="str">
        <f aca="false">IFERROR(VLOOKUP(TEXT(H77,"0"),IPRESS!$A$3:$B$212,2,0),"")</f>
        <v/>
      </c>
      <c r="J77" s="85"/>
      <c r="K77" s="138" t="str">
        <f aca="false">IFERROR(VLOOKUP(TEXT(O77,"0"),CONDUCTORES!$A$3:$G$54,7,0),"")</f>
        <v/>
      </c>
      <c r="L77" s="85"/>
      <c r="M77" s="85"/>
      <c r="N77" s="139" t="str">
        <f aca="false">IFERROR(IF(L77*M77=0,"",L77*M77),"")</f>
        <v/>
      </c>
      <c r="O77" s="85"/>
      <c r="P77" s="138" t="str">
        <f aca="false">IFERROR(VLOOKUP(TEXT(O77,"0"),CONDUCTORES!$A$3:$G$54,2,0),"")</f>
        <v/>
      </c>
      <c r="Q77" s="138" t="str">
        <f aca="false">IFERROR(VLOOKUP(TEXT(O77,"0"),CONDUCTORES!$A$3:$H$54,6,0),"")</f>
        <v/>
      </c>
      <c r="R77" s="85"/>
      <c r="S77" s="85"/>
      <c r="T77" s="85"/>
      <c r="U77" s="85"/>
      <c r="V77" s="85"/>
      <c r="W77" s="85"/>
      <c r="X77" s="85"/>
      <c r="Y77" s="85"/>
      <c r="Z77" s="41" t="str">
        <f aca="false">IF(AND(G77&lt;&gt;"",R77&lt;&gt;"",V77&lt;&gt;"",W77&lt;&gt;""),"COMPLETADO","OBSERVADO")</f>
        <v>OBSERVADO</v>
      </c>
      <c r="AA77" s="89"/>
    </row>
    <row r="78" customFormat="false" ht="15.75" hidden="false" customHeight="true" outlineLevel="0" collapsed="false">
      <c r="A78" s="140"/>
      <c r="B78" s="140"/>
      <c r="C78" s="140"/>
      <c r="D78" s="140"/>
      <c r="E78" s="140"/>
      <c r="F78" s="140"/>
      <c r="G78" s="140"/>
      <c r="H78" s="140"/>
      <c r="I78" s="138" t="str">
        <f aca="false">IFERROR(VLOOKUP(TEXT(H78,"0"),IPRESS!$A$3:$B$212,2,0),"")</f>
        <v/>
      </c>
      <c r="J78" s="140"/>
      <c r="K78" s="138" t="str">
        <f aca="false">IFERROR(VLOOKUP(TEXT(O78,"0"),CONDUCTORES!$A$3:$G$54,7,0),"")</f>
        <v/>
      </c>
      <c r="L78" s="140"/>
      <c r="M78" s="140"/>
      <c r="N78" s="139" t="str">
        <f aca="false">IFERROR(IF(L78*M78=0,"",L78*M78),"")</f>
        <v/>
      </c>
      <c r="O78" s="140"/>
      <c r="P78" s="138" t="str">
        <f aca="false">IFERROR(VLOOKUP(TEXT(O78,"0"),CONDUCTORES!$A$3:$G$54,2,0),"")</f>
        <v/>
      </c>
      <c r="Q78" s="138" t="str">
        <f aca="false">IFERROR(VLOOKUP(TEXT(O78,"0"),CONDUCTORES!$A$3:$H$54,6,0),"")</f>
        <v/>
      </c>
      <c r="R78" s="140"/>
      <c r="S78" s="140"/>
      <c r="T78" s="140"/>
      <c r="U78" s="140"/>
      <c r="V78" s="140"/>
      <c r="W78" s="140"/>
      <c r="X78" s="140"/>
      <c r="Y78" s="140"/>
      <c r="Z78" s="47" t="str">
        <f aca="false">IF(AND(G78&lt;&gt;"",R78&lt;&gt;"",V78&lt;&gt;"",W78&lt;&gt;""),"COMPLETADO","OBSERVADO")</f>
        <v>OBSERVADO</v>
      </c>
      <c r="AA78" s="89"/>
    </row>
    <row r="79" customFormat="false" ht="15.75" hidden="false" customHeight="true" outlineLevel="0" collapsed="false">
      <c r="A79" s="85"/>
      <c r="B79" s="85"/>
      <c r="C79" s="85"/>
      <c r="D79" s="85"/>
      <c r="E79" s="85"/>
      <c r="F79" s="85"/>
      <c r="G79" s="85"/>
      <c r="H79" s="85"/>
      <c r="I79" s="138" t="str">
        <f aca="false">IFERROR(VLOOKUP(TEXT(H79,"0"),IPRESS!$A$3:$B$212,2,0),"")</f>
        <v/>
      </c>
      <c r="J79" s="85"/>
      <c r="K79" s="138" t="str">
        <f aca="false">IFERROR(VLOOKUP(TEXT(O79,"0"),CONDUCTORES!$A$3:$G$54,7,0),"")</f>
        <v/>
      </c>
      <c r="L79" s="85"/>
      <c r="M79" s="85"/>
      <c r="N79" s="139" t="str">
        <f aca="false">IFERROR(IF(L79*M79=0,"",L79*M79),"")</f>
        <v/>
      </c>
      <c r="O79" s="85"/>
      <c r="P79" s="138" t="str">
        <f aca="false">IFERROR(VLOOKUP(TEXT(O79,"0"),CONDUCTORES!$A$3:$G$54,2,0),"")</f>
        <v/>
      </c>
      <c r="Q79" s="138" t="str">
        <f aca="false">IFERROR(VLOOKUP(TEXT(O79,"0"),CONDUCTORES!$A$3:$H$54,6,0),"")</f>
        <v/>
      </c>
      <c r="R79" s="85"/>
      <c r="S79" s="85"/>
      <c r="T79" s="85"/>
      <c r="U79" s="85"/>
      <c r="V79" s="85"/>
      <c r="W79" s="85"/>
      <c r="X79" s="85"/>
      <c r="Y79" s="85"/>
      <c r="Z79" s="41" t="str">
        <f aca="false">IF(AND(G79&lt;&gt;"",R79&lt;&gt;"",V79&lt;&gt;"",W79&lt;&gt;""),"COMPLETADO","OBSERVADO")</f>
        <v>OBSERVADO</v>
      </c>
      <c r="AA79" s="89"/>
    </row>
    <row r="80" customFormat="false" ht="15.75" hidden="false" customHeight="true" outlineLevel="0" collapsed="false">
      <c r="A80" s="140"/>
      <c r="B80" s="140"/>
      <c r="C80" s="140"/>
      <c r="D80" s="140"/>
      <c r="E80" s="140"/>
      <c r="F80" s="140"/>
      <c r="G80" s="140"/>
      <c r="H80" s="140"/>
      <c r="I80" s="138" t="str">
        <f aca="false">IFERROR(VLOOKUP(TEXT(H80,"0"),IPRESS!$A$3:$B$212,2,0),"")</f>
        <v/>
      </c>
      <c r="J80" s="140"/>
      <c r="K80" s="138" t="str">
        <f aca="false">IFERROR(VLOOKUP(TEXT(O80,"0"),CONDUCTORES!$A$3:$G$54,7,0),"")</f>
        <v/>
      </c>
      <c r="L80" s="140"/>
      <c r="M80" s="140"/>
      <c r="N80" s="139" t="str">
        <f aca="false">IFERROR(IF(L80*M80=0,"",L80*M80),"")</f>
        <v/>
      </c>
      <c r="O80" s="140"/>
      <c r="P80" s="138" t="str">
        <f aca="false">IFERROR(VLOOKUP(TEXT(O80,"0"),CONDUCTORES!$A$3:$G$54,2,0),"")</f>
        <v/>
      </c>
      <c r="Q80" s="138" t="str">
        <f aca="false">IFERROR(VLOOKUP(TEXT(O80,"0"),CONDUCTORES!$A$3:$H$54,6,0),"")</f>
        <v/>
      </c>
      <c r="R80" s="140"/>
      <c r="S80" s="140"/>
      <c r="T80" s="140"/>
      <c r="U80" s="140"/>
      <c r="V80" s="140"/>
      <c r="W80" s="140"/>
      <c r="X80" s="140"/>
      <c r="Y80" s="140"/>
      <c r="Z80" s="47" t="str">
        <f aca="false">IF(AND(G80&lt;&gt;"",R80&lt;&gt;"",V80&lt;&gt;"",W80&lt;&gt;""),"COMPLETADO","OBSERVADO")</f>
        <v>OBSERVADO</v>
      </c>
      <c r="AA80" s="89"/>
    </row>
    <row r="81" customFormat="false" ht="15.75" hidden="false" customHeight="true" outlineLevel="0" collapsed="false">
      <c r="A81" s="85"/>
      <c r="B81" s="85"/>
      <c r="C81" s="85"/>
      <c r="D81" s="85"/>
      <c r="E81" s="85"/>
      <c r="F81" s="85"/>
      <c r="G81" s="85"/>
      <c r="H81" s="85"/>
      <c r="I81" s="138" t="str">
        <f aca="false">IFERROR(VLOOKUP(TEXT(H81,"0"),IPRESS!$A$3:$B$212,2,0),"")</f>
        <v/>
      </c>
      <c r="J81" s="85"/>
      <c r="K81" s="138" t="str">
        <f aca="false">IFERROR(VLOOKUP(TEXT(O81,"0"),CONDUCTORES!$A$3:$G$54,7,0),"")</f>
        <v/>
      </c>
      <c r="L81" s="85"/>
      <c r="M81" s="85"/>
      <c r="N81" s="139" t="str">
        <f aca="false">IFERROR(IF(L81*M81=0,"",L81*M81),"")</f>
        <v/>
      </c>
      <c r="O81" s="85"/>
      <c r="P81" s="138" t="str">
        <f aca="false">IFERROR(VLOOKUP(TEXT(O81,"0"),CONDUCTORES!$A$3:$G$54,2,0),"")</f>
        <v/>
      </c>
      <c r="Q81" s="138" t="str">
        <f aca="false">IFERROR(VLOOKUP(TEXT(O81,"0"),CONDUCTORES!$A$3:$H$54,6,0),"")</f>
        <v/>
      </c>
      <c r="R81" s="85"/>
      <c r="S81" s="85"/>
      <c r="T81" s="85"/>
      <c r="U81" s="85"/>
      <c r="V81" s="85"/>
      <c r="W81" s="85"/>
      <c r="X81" s="85"/>
      <c r="Y81" s="85"/>
      <c r="Z81" s="41" t="str">
        <f aca="false">IF(AND(G81&lt;&gt;"",R81&lt;&gt;"",V81&lt;&gt;"",W81&lt;&gt;""),"COMPLETADO","OBSERVADO")</f>
        <v>OBSERVADO</v>
      </c>
      <c r="AA81" s="89"/>
    </row>
    <row r="82" customFormat="false" ht="15.75" hidden="false" customHeight="true" outlineLevel="0" collapsed="false">
      <c r="A82" s="140"/>
      <c r="B82" s="140"/>
      <c r="C82" s="140"/>
      <c r="D82" s="140"/>
      <c r="E82" s="140"/>
      <c r="F82" s="140"/>
      <c r="G82" s="140"/>
      <c r="H82" s="140"/>
      <c r="I82" s="138" t="str">
        <f aca="false">IFERROR(VLOOKUP(TEXT(H82,"0"),IPRESS!$A$3:$B$212,2,0),"")</f>
        <v/>
      </c>
      <c r="J82" s="140"/>
      <c r="K82" s="138" t="str">
        <f aca="false">IFERROR(VLOOKUP(TEXT(O82,"0"),CONDUCTORES!$A$3:$G$54,7,0),"")</f>
        <v/>
      </c>
      <c r="L82" s="140"/>
      <c r="M82" s="140"/>
      <c r="N82" s="139" t="str">
        <f aca="false">IFERROR(IF(L82*M82=0,"",L82*M82),"")</f>
        <v/>
      </c>
      <c r="O82" s="140"/>
      <c r="P82" s="138" t="str">
        <f aca="false">IFERROR(VLOOKUP(TEXT(O82,"0"),CONDUCTORES!$A$3:$G$54,2,0),"")</f>
        <v/>
      </c>
      <c r="Q82" s="138" t="str">
        <f aca="false">IFERROR(VLOOKUP(TEXT(O82,"0"),CONDUCTORES!$A$3:$H$54,6,0),"")</f>
        <v/>
      </c>
      <c r="R82" s="140"/>
      <c r="S82" s="140"/>
      <c r="T82" s="140"/>
      <c r="U82" s="140"/>
      <c r="V82" s="140"/>
      <c r="W82" s="140"/>
      <c r="X82" s="140"/>
      <c r="Y82" s="140"/>
      <c r="Z82" s="47" t="str">
        <f aca="false">IF(AND(G82&lt;&gt;"",R82&lt;&gt;"",V82&lt;&gt;"",W82&lt;&gt;""),"COMPLETADO","OBSERVADO")</f>
        <v>OBSERVADO</v>
      </c>
      <c r="AA82" s="89"/>
    </row>
    <row r="83" customFormat="false" ht="15.75" hidden="false" customHeight="true" outlineLevel="0" collapsed="false">
      <c r="A83" s="85"/>
      <c r="B83" s="85"/>
      <c r="C83" s="85"/>
      <c r="D83" s="85"/>
      <c r="E83" s="85"/>
      <c r="F83" s="85"/>
      <c r="G83" s="85"/>
      <c r="H83" s="85"/>
      <c r="I83" s="138" t="str">
        <f aca="false">IFERROR(VLOOKUP(TEXT(H83,"0"),IPRESS!$A$3:$B$212,2,0),"")</f>
        <v/>
      </c>
      <c r="J83" s="85"/>
      <c r="K83" s="138" t="str">
        <f aca="false">IFERROR(VLOOKUP(TEXT(O83,"0"),CONDUCTORES!$A$3:$G$54,7,0),"")</f>
        <v/>
      </c>
      <c r="L83" s="85"/>
      <c r="M83" s="85"/>
      <c r="N83" s="139" t="str">
        <f aca="false">IFERROR(IF(L83*M83=0,"",L83*M83),"")</f>
        <v/>
      </c>
      <c r="O83" s="85"/>
      <c r="P83" s="138" t="str">
        <f aca="false">IFERROR(VLOOKUP(TEXT(O83,"0"),CONDUCTORES!$A$3:$G$54,2,0),"")</f>
        <v/>
      </c>
      <c r="Q83" s="138" t="str">
        <f aca="false">IFERROR(VLOOKUP(TEXT(O83,"0"),CONDUCTORES!$A$3:$H$54,6,0),"")</f>
        <v/>
      </c>
      <c r="R83" s="85"/>
      <c r="S83" s="85"/>
      <c r="T83" s="85"/>
      <c r="U83" s="85"/>
      <c r="V83" s="85"/>
      <c r="W83" s="85"/>
      <c r="X83" s="85"/>
      <c r="Y83" s="85"/>
      <c r="Z83" s="41" t="str">
        <f aca="false">IF(AND(G83&lt;&gt;"",R83&lt;&gt;"",V83&lt;&gt;"",W83&lt;&gt;""),"COMPLETADO","OBSERVADO")</f>
        <v>OBSERVADO</v>
      </c>
      <c r="AA83" s="89"/>
    </row>
    <row r="84" customFormat="false" ht="15.75" hidden="false" customHeight="true" outlineLevel="0" collapsed="false">
      <c r="A84" s="140"/>
      <c r="B84" s="140"/>
      <c r="C84" s="140"/>
      <c r="D84" s="140"/>
      <c r="E84" s="140"/>
      <c r="F84" s="140"/>
      <c r="G84" s="140"/>
      <c r="H84" s="140"/>
      <c r="I84" s="138" t="str">
        <f aca="false">IFERROR(VLOOKUP(TEXT(H84,"0"),IPRESS!$A$3:$B$212,2,0),"")</f>
        <v/>
      </c>
      <c r="J84" s="140"/>
      <c r="K84" s="138" t="str">
        <f aca="false">IFERROR(VLOOKUP(TEXT(O84,"0"),CONDUCTORES!$A$3:$G$54,7,0),"")</f>
        <v/>
      </c>
      <c r="L84" s="140"/>
      <c r="M84" s="140"/>
      <c r="N84" s="139" t="str">
        <f aca="false">IFERROR(IF(L84*M84=0,"",L84*M84),"")</f>
        <v/>
      </c>
      <c r="O84" s="140"/>
      <c r="P84" s="138" t="str">
        <f aca="false">IFERROR(VLOOKUP(TEXT(O84,"0"),CONDUCTORES!$A$3:$G$54,2,0),"")</f>
        <v/>
      </c>
      <c r="Q84" s="138" t="str">
        <f aca="false">IFERROR(VLOOKUP(TEXT(O84,"0"),CONDUCTORES!$A$3:$H$54,6,0),"")</f>
        <v/>
      </c>
      <c r="R84" s="140"/>
      <c r="S84" s="140"/>
      <c r="T84" s="140"/>
      <c r="U84" s="140"/>
      <c r="V84" s="140"/>
      <c r="W84" s="140"/>
      <c r="X84" s="140"/>
      <c r="Y84" s="140"/>
      <c r="Z84" s="47" t="str">
        <f aca="false">IF(AND(G84&lt;&gt;"",R84&lt;&gt;"",V84&lt;&gt;"",W84&lt;&gt;""),"COMPLETADO","OBSERVADO")</f>
        <v>OBSERVADO</v>
      </c>
      <c r="AA84" s="89"/>
    </row>
    <row r="85" customFormat="false" ht="15.75" hidden="false" customHeight="true" outlineLevel="0" collapsed="false">
      <c r="A85" s="85"/>
      <c r="B85" s="85"/>
      <c r="C85" s="85"/>
      <c r="D85" s="85"/>
      <c r="E85" s="85"/>
      <c r="F85" s="85"/>
      <c r="G85" s="85"/>
      <c r="H85" s="85"/>
      <c r="I85" s="138" t="str">
        <f aca="false">IFERROR(VLOOKUP(TEXT(H85,"0"),IPRESS!$A$3:$B$212,2,0),"")</f>
        <v/>
      </c>
      <c r="J85" s="85"/>
      <c r="K85" s="138" t="str">
        <f aca="false">IFERROR(VLOOKUP(TEXT(O85,"0"),CONDUCTORES!$A$3:$G$54,7,0),"")</f>
        <v/>
      </c>
      <c r="L85" s="85"/>
      <c r="M85" s="85"/>
      <c r="N85" s="139" t="str">
        <f aca="false">IFERROR(IF(L85*M85=0,"",L85*M85),"")</f>
        <v/>
      </c>
      <c r="O85" s="85"/>
      <c r="P85" s="138" t="str">
        <f aca="false">IFERROR(VLOOKUP(TEXT(O85,"0"),CONDUCTORES!$A$3:$G$54,2,0),"")</f>
        <v/>
      </c>
      <c r="Q85" s="138" t="str">
        <f aca="false">IFERROR(VLOOKUP(TEXT(O85,"0"),CONDUCTORES!$A$3:$H$54,6,0),"")</f>
        <v/>
      </c>
      <c r="R85" s="85"/>
      <c r="S85" s="85"/>
      <c r="T85" s="85"/>
      <c r="U85" s="85"/>
      <c r="V85" s="85"/>
      <c r="W85" s="85"/>
      <c r="X85" s="85"/>
      <c r="Y85" s="85"/>
      <c r="Z85" s="41" t="str">
        <f aca="false">IF(AND(G85&lt;&gt;"",R85&lt;&gt;"",V85&lt;&gt;"",W85&lt;&gt;""),"COMPLETADO","OBSERVADO")</f>
        <v>OBSERVADO</v>
      </c>
      <c r="AA85" s="89"/>
    </row>
    <row r="86" customFormat="false" ht="15.75" hidden="false" customHeight="true" outlineLevel="0" collapsed="false">
      <c r="A86" s="140"/>
      <c r="B86" s="140"/>
      <c r="C86" s="140"/>
      <c r="D86" s="140"/>
      <c r="E86" s="140"/>
      <c r="F86" s="140"/>
      <c r="G86" s="140"/>
      <c r="H86" s="140"/>
      <c r="I86" s="138" t="str">
        <f aca="false">IFERROR(VLOOKUP(TEXT(H86,"0"),IPRESS!$A$3:$B$212,2,0),"")</f>
        <v/>
      </c>
      <c r="J86" s="140"/>
      <c r="K86" s="138" t="str">
        <f aca="false">IFERROR(VLOOKUP(TEXT(O86,"0"),CONDUCTORES!$A$3:$G$54,7,0),"")</f>
        <v/>
      </c>
      <c r="L86" s="140"/>
      <c r="M86" s="140"/>
      <c r="N86" s="139" t="str">
        <f aca="false">IFERROR(IF(L86*M86=0,"",L86*M86),"")</f>
        <v/>
      </c>
      <c r="O86" s="140"/>
      <c r="P86" s="138" t="str">
        <f aca="false">IFERROR(VLOOKUP(TEXT(O86,"0"),CONDUCTORES!$A$3:$G$54,2,0),"")</f>
        <v/>
      </c>
      <c r="Q86" s="138" t="str">
        <f aca="false">IFERROR(VLOOKUP(TEXT(O86,"0"),CONDUCTORES!$A$3:$H$54,6,0),"")</f>
        <v/>
      </c>
      <c r="R86" s="140"/>
      <c r="S86" s="140"/>
      <c r="T86" s="140"/>
      <c r="U86" s="140"/>
      <c r="V86" s="140"/>
      <c r="W86" s="140"/>
      <c r="X86" s="140"/>
      <c r="Y86" s="140"/>
      <c r="Z86" s="47" t="str">
        <f aca="false">IF(AND(G86&lt;&gt;"",R86&lt;&gt;"",V86&lt;&gt;"",W86&lt;&gt;""),"COMPLETADO","OBSERVADO")</f>
        <v>OBSERVADO</v>
      </c>
      <c r="AA86" s="89"/>
    </row>
    <row r="87" customFormat="false" ht="15.75" hidden="false" customHeight="true" outlineLevel="0" collapsed="false">
      <c r="A87" s="85"/>
      <c r="B87" s="85"/>
      <c r="C87" s="85"/>
      <c r="D87" s="85"/>
      <c r="E87" s="85"/>
      <c r="F87" s="85"/>
      <c r="G87" s="85"/>
      <c r="H87" s="85"/>
      <c r="I87" s="138" t="str">
        <f aca="false">IFERROR(VLOOKUP(TEXT(H87,"0"),IPRESS!$A$3:$B$212,2,0),"")</f>
        <v/>
      </c>
      <c r="J87" s="85"/>
      <c r="K87" s="138" t="str">
        <f aca="false">IFERROR(VLOOKUP(TEXT(O87,"0"),CONDUCTORES!$A$3:$G$54,7,0),"")</f>
        <v/>
      </c>
      <c r="L87" s="85"/>
      <c r="M87" s="85"/>
      <c r="N87" s="139" t="str">
        <f aca="false">IFERROR(IF(L87*M87=0,"",L87*M87),"")</f>
        <v/>
      </c>
      <c r="O87" s="85"/>
      <c r="P87" s="138" t="str">
        <f aca="false">IFERROR(VLOOKUP(TEXT(O87,"0"),CONDUCTORES!$A$3:$G$54,2,0),"")</f>
        <v/>
      </c>
      <c r="Q87" s="138" t="str">
        <f aca="false">IFERROR(VLOOKUP(TEXT(O87,"0"),CONDUCTORES!$A$3:$H$54,6,0),"")</f>
        <v/>
      </c>
      <c r="R87" s="85"/>
      <c r="S87" s="85"/>
      <c r="T87" s="85"/>
      <c r="U87" s="85"/>
      <c r="V87" s="85"/>
      <c r="W87" s="85"/>
      <c r="X87" s="85"/>
      <c r="Y87" s="85"/>
      <c r="Z87" s="41" t="str">
        <f aca="false">IF(AND(G87&lt;&gt;"",R87&lt;&gt;"",V87&lt;&gt;"",W87&lt;&gt;""),"COMPLETADO","OBSERVADO")</f>
        <v>OBSERVADO</v>
      </c>
      <c r="AA87" s="89"/>
    </row>
    <row r="88" customFormat="false" ht="15.75" hidden="false" customHeight="true" outlineLevel="0" collapsed="false">
      <c r="A88" s="140"/>
      <c r="B88" s="140"/>
      <c r="C88" s="140"/>
      <c r="D88" s="140"/>
      <c r="E88" s="140"/>
      <c r="F88" s="140"/>
      <c r="G88" s="140"/>
      <c r="H88" s="140"/>
      <c r="I88" s="138" t="str">
        <f aca="false">IFERROR(VLOOKUP(TEXT(H88,"0"),IPRESS!$A$3:$B$212,2,0),"")</f>
        <v/>
      </c>
      <c r="J88" s="140"/>
      <c r="K88" s="138" t="str">
        <f aca="false">IFERROR(VLOOKUP(TEXT(O88,"0"),CONDUCTORES!$A$3:$G$54,7,0),"")</f>
        <v/>
      </c>
      <c r="L88" s="140"/>
      <c r="M88" s="140"/>
      <c r="N88" s="139" t="str">
        <f aca="false">IFERROR(IF(L88*M88=0,"",L88*M88),"")</f>
        <v/>
      </c>
      <c r="O88" s="140"/>
      <c r="P88" s="138" t="str">
        <f aca="false">IFERROR(VLOOKUP(TEXT(O88,"0"),CONDUCTORES!$A$3:$G$54,2,0),"")</f>
        <v/>
      </c>
      <c r="Q88" s="138" t="str">
        <f aca="false">IFERROR(VLOOKUP(TEXT(O88,"0"),CONDUCTORES!$A$3:$H$54,6,0),"")</f>
        <v/>
      </c>
      <c r="R88" s="140"/>
      <c r="S88" s="140"/>
      <c r="T88" s="140"/>
      <c r="U88" s="140"/>
      <c r="V88" s="140"/>
      <c r="W88" s="140"/>
      <c r="X88" s="140"/>
      <c r="Y88" s="140"/>
      <c r="Z88" s="47" t="str">
        <f aca="false">IF(AND(G88&lt;&gt;"",R88&lt;&gt;"",V88&lt;&gt;"",W88&lt;&gt;""),"COMPLETADO","OBSERVADO")</f>
        <v>OBSERVADO</v>
      </c>
      <c r="AA88" s="89"/>
    </row>
    <row r="89" customFormat="false" ht="15.75" hidden="false" customHeight="true" outlineLevel="0" collapsed="false">
      <c r="A89" s="85"/>
      <c r="B89" s="85"/>
      <c r="C89" s="85"/>
      <c r="D89" s="85"/>
      <c r="E89" s="85"/>
      <c r="F89" s="85"/>
      <c r="G89" s="85"/>
      <c r="H89" s="85"/>
      <c r="I89" s="138" t="str">
        <f aca="false">IFERROR(VLOOKUP(TEXT(H89,"0"),IPRESS!$A$3:$B$212,2,0),"")</f>
        <v/>
      </c>
      <c r="J89" s="85"/>
      <c r="K89" s="138" t="str">
        <f aca="false">IFERROR(VLOOKUP(TEXT(O89,"0"),CONDUCTORES!$A$3:$G$54,7,0),"")</f>
        <v/>
      </c>
      <c r="L89" s="85"/>
      <c r="M89" s="85"/>
      <c r="N89" s="139" t="str">
        <f aca="false">IFERROR(IF(L89*M89=0,"",L89*M89),"")</f>
        <v/>
      </c>
      <c r="O89" s="85"/>
      <c r="P89" s="138" t="str">
        <f aca="false">IFERROR(VLOOKUP(TEXT(O89,"0"),CONDUCTORES!$A$3:$G$54,2,0),"")</f>
        <v/>
      </c>
      <c r="Q89" s="138" t="str">
        <f aca="false">IFERROR(VLOOKUP(TEXT(O89,"0"),CONDUCTORES!$A$3:$H$54,6,0),"")</f>
        <v/>
      </c>
      <c r="R89" s="85"/>
      <c r="S89" s="85"/>
      <c r="T89" s="85"/>
      <c r="U89" s="85"/>
      <c r="V89" s="85"/>
      <c r="W89" s="85"/>
      <c r="X89" s="85"/>
      <c r="Y89" s="85"/>
      <c r="Z89" s="41" t="str">
        <f aca="false">IF(AND(G89&lt;&gt;"",R89&lt;&gt;"",V89&lt;&gt;"",W89&lt;&gt;""),"COMPLETADO","OBSERVADO")</f>
        <v>OBSERVADO</v>
      </c>
      <c r="AA89" s="89"/>
    </row>
    <row r="90" customFormat="false" ht="15.75" hidden="false" customHeight="true" outlineLevel="0" collapsed="false">
      <c r="A90" s="140"/>
      <c r="B90" s="140"/>
      <c r="C90" s="140"/>
      <c r="D90" s="140"/>
      <c r="E90" s="140"/>
      <c r="F90" s="140"/>
      <c r="G90" s="140"/>
      <c r="H90" s="140"/>
      <c r="I90" s="138" t="str">
        <f aca="false">IFERROR(VLOOKUP(TEXT(H90,"0"),IPRESS!$A$3:$B$212,2,0),"")</f>
        <v/>
      </c>
      <c r="J90" s="140"/>
      <c r="K90" s="138" t="str">
        <f aca="false">IFERROR(VLOOKUP(TEXT(O90,"0"),CONDUCTORES!$A$3:$G$54,7,0),"")</f>
        <v/>
      </c>
      <c r="L90" s="140"/>
      <c r="M90" s="140"/>
      <c r="N90" s="139" t="str">
        <f aca="false">IFERROR(IF(L90*M90=0,"",L90*M90),"")</f>
        <v/>
      </c>
      <c r="O90" s="140"/>
      <c r="P90" s="138" t="str">
        <f aca="false">IFERROR(VLOOKUP(TEXT(O90,"0"),CONDUCTORES!$A$3:$G$54,2,0),"")</f>
        <v/>
      </c>
      <c r="Q90" s="138" t="str">
        <f aca="false">IFERROR(VLOOKUP(TEXT(O90,"0"),CONDUCTORES!$A$3:$H$54,6,0),"")</f>
        <v/>
      </c>
      <c r="R90" s="140"/>
      <c r="S90" s="140"/>
      <c r="T90" s="140"/>
      <c r="U90" s="140"/>
      <c r="V90" s="140"/>
      <c r="W90" s="140"/>
      <c r="X90" s="140"/>
      <c r="Y90" s="140"/>
      <c r="Z90" s="47" t="str">
        <f aca="false">IF(AND(G90&lt;&gt;"",R90&lt;&gt;"",V90&lt;&gt;"",W90&lt;&gt;""),"COMPLETADO","OBSERVADO")</f>
        <v>OBSERVADO</v>
      </c>
      <c r="AA90" s="89"/>
    </row>
    <row r="91" customFormat="false" ht="15.75" hidden="false" customHeight="true" outlineLevel="0" collapsed="false">
      <c r="A91" s="85"/>
      <c r="B91" s="85"/>
      <c r="C91" s="85"/>
      <c r="D91" s="85"/>
      <c r="E91" s="85"/>
      <c r="F91" s="85"/>
      <c r="G91" s="85"/>
      <c r="H91" s="85"/>
      <c r="I91" s="138" t="str">
        <f aca="false">IFERROR(VLOOKUP(TEXT(H91,"0"),IPRESS!$A$3:$B$212,2,0),"")</f>
        <v/>
      </c>
      <c r="J91" s="85"/>
      <c r="K91" s="138" t="str">
        <f aca="false">IFERROR(VLOOKUP(TEXT(O91,"0"),CONDUCTORES!$A$3:$G$54,7,0),"")</f>
        <v/>
      </c>
      <c r="L91" s="85"/>
      <c r="M91" s="85"/>
      <c r="N91" s="139" t="str">
        <f aca="false">IFERROR(IF(L91*M91=0,"",L91*M91),"")</f>
        <v/>
      </c>
      <c r="O91" s="85"/>
      <c r="P91" s="138" t="str">
        <f aca="false">IFERROR(VLOOKUP(TEXT(O91,"0"),CONDUCTORES!$A$3:$G$54,2,0),"")</f>
        <v/>
      </c>
      <c r="Q91" s="138" t="str">
        <f aca="false">IFERROR(VLOOKUP(TEXT(O91,"0"),CONDUCTORES!$A$3:$H$54,6,0),"")</f>
        <v/>
      </c>
      <c r="R91" s="85"/>
      <c r="S91" s="85"/>
      <c r="T91" s="85"/>
      <c r="U91" s="85"/>
      <c r="V91" s="85"/>
      <c r="W91" s="85"/>
      <c r="X91" s="85"/>
      <c r="Y91" s="85"/>
      <c r="Z91" s="41" t="str">
        <f aca="false">IF(AND(G91&lt;&gt;"",R91&lt;&gt;"",V91&lt;&gt;"",W91&lt;&gt;""),"COMPLETADO","OBSERVADO")</f>
        <v>OBSERVADO</v>
      </c>
      <c r="AA91" s="89"/>
    </row>
    <row r="92" customFormat="false" ht="15.75" hidden="false" customHeight="true" outlineLevel="0" collapsed="false">
      <c r="A92" s="140"/>
      <c r="B92" s="140"/>
      <c r="C92" s="140"/>
      <c r="D92" s="140"/>
      <c r="E92" s="140"/>
      <c r="F92" s="140"/>
      <c r="G92" s="140"/>
      <c r="H92" s="140"/>
      <c r="I92" s="138" t="str">
        <f aca="false">IFERROR(VLOOKUP(TEXT(H92,"0"),IPRESS!$A$3:$B$212,2,0),"")</f>
        <v/>
      </c>
      <c r="J92" s="140"/>
      <c r="K92" s="138" t="str">
        <f aca="false">IFERROR(VLOOKUP(TEXT(O92,"0"),CONDUCTORES!$A$3:$G$54,7,0),"")</f>
        <v/>
      </c>
      <c r="L92" s="140"/>
      <c r="M92" s="140"/>
      <c r="N92" s="139" t="str">
        <f aca="false">IFERROR(IF(L92*M92=0,"",L92*M92),"")</f>
        <v/>
      </c>
      <c r="O92" s="140"/>
      <c r="P92" s="138" t="str">
        <f aca="false">IFERROR(VLOOKUP(TEXT(O92,"0"),CONDUCTORES!$A$3:$G$54,2,0),"")</f>
        <v/>
      </c>
      <c r="Q92" s="138" t="str">
        <f aca="false">IFERROR(VLOOKUP(TEXT(O92,"0"),CONDUCTORES!$A$3:$H$54,6,0),"")</f>
        <v/>
      </c>
      <c r="R92" s="140"/>
      <c r="S92" s="140"/>
      <c r="T92" s="140"/>
      <c r="U92" s="140"/>
      <c r="V92" s="140"/>
      <c r="W92" s="140"/>
      <c r="X92" s="140"/>
      <c r="Y92" s="140"/>
      <c r="Z92" s="47" t="str">
        <f aca="false">IF(AND(G92&lt;&gt;"",R92&lt;&gt;"",V92&lt;&gt;"",W92&lt;&gt;""),"COMPLETADO","OBSERVADO")</f>
        <v>OBSERVADO</v>
      </c>
      <c r="AA92" s="89"/>
    </row>
    <row r="93" customFormat="false" ht="15.75" hidden="false" customHeight="true" outlineLevel="0" collapsed="false">
      <c r="A93" s="85"/>
      <c r="B93" s="85"/>
      <c r="C93" s="85"/>
      <c r="D93" s="85"/>
      <c r="E93" s="85"/>
      <c r="F93" s="85"/>
      <c r="G93" s="85"/>
      <c r="H93" s="85"/>
      <c r="I93" s="138" t="str">
        <f aca="false">IFERROR(VLOOKUP(TEXT(H93,"0"),IPRESS!$A$3:$B$212,2,0),"")</f>
        <v/>
      </c>
      <c r="J93" s="85"/>
      <c r="K93" s="138" t="str">
        <f aca="false">IFERROR(VLOOKUP(TEXT(O93,"0"),CONDUCTORES!$A$3:$G$54,7,0),"")</f>
        <v/>
      </c>
      <c r="L93" s="85"/>
      <c r="M93" s="85"/>
      <c r="N93" s="139" t="str">
        <f aca="false">IFERROR(IF(L93*M93=0,"",L93*M93),"")</f>
        <v/>
      </c>
      <c r="O93" s="85"/>
      <c r="P93" s="138" t="str">
        <f aca="false">IFERROR(VLOOKUP(TEXT(O93,"0"),CONDUCTORES!$A$3:$G$54,2,0),"")</f>
        <v/>
      </c>
      <c r="Q93" s="138" t="str">
        <f aca="false">IFERROR(VLOOKUP(TEXT(O93,"0"),CONDUCTORES!$A$3:$H$54,6,0),"")</f>
        <v/>
      </c>
      <c r="R93" s="85"/>
      <c r="S93" s="85"/>
      <c r="T93" s="85"/>
      <c r="U93" s="85"/>
      <c r="V93" s="85"/>
      <c r="W93" s="85"/>
      <c r="X93" s="85"/>
      <c r="Y93" s="85"/>
      <c r="Z93" s="41" t="str">
        <f aca="false">IF(AND(G93&lt;&gt;"",R93&lt;&gt;"",V93&lt;&gt;"",W93&lt;&gt;""),"COMPLETADO","OBSERVADO")</f>
        <v>OBSERVADO</v>
      </c>
      <c r="AA93" s="89"/>
    </row>
    <row r="94" customFormat="false" ht="15.75" hidden="false" customHeight="true" outlineLevel="0" collapsed="false">
      <c r="A94" s="140"/>
      <c r="B94" s="140"/>
      <c r="C94" s="140"/>
      <c r="D94" s="140"/>
      <c r="E94" s="140"/>
      <c r="F94" s="140"/>
      <c r="G94" s="140"/>
      <c r="H94" s="140"/>
      <c r="I94" s="138" t="str">
        <f aca="false">IFERROR(VLOOKUP(TEXT(H94,"0"),IPRESS!$A$3:$B$212,2,0),"")</f>
        <v/>
      </c>
      <c r="J94" s="140"/>
      <c r="K94" s="138" t="str">
        <f aca="false">IFERROR(VLOOKUP(TEXT(O94,"0"),CONDUCTORES!$A$3:$G$54,7,0),"")</f>
        <v/>
      </c>
      <c r="L94" s="140"/>
      <c r="M94" s="140"/>
      <c r="N94" s="139" t="str">
        <f aca="false">IFERROR(IF(L94*M94=0,"",L94*M94),"")</f>
        <v/>
      </c>
      <c r="O94" s="140"/>
      <c r="P94" s="138" t="str">
        <f aca="false">IFERROR(VLOOKUP(TEXT(O94,"0"),CONDUCTORES!$A$3:$G$54,2,0),"")</f>
        <v/>
      </c>
      <c r="Q94" s="138" t="str">
        <f aca="false">IFERROR(VLOOKUP(TEXT(O94,"0"),CONDUCTORES!$A$3:$H$54,6,0),"")</f>
        <v/>
      </c>
      <c r="R94" s="140"/>
      <c r="S94" s="140"/>
      <c r="T94" s="140"/>
      <c r="U94" s="140"/>
      <c r="V94" s="140"/>
      <c r="W94" s="140"/>
      <c r="X94" s="140"/>
      <c r="Y94" s="140"/>
      <c r="Z94" s="47" t="str">
        <f aca="false">IF(AND(G94&lt;&gt;"",R94&lt;&gt;"",V94&lt;&gt;"",W94&lt;&gt;""),"COMPLETADO","OBSERVADO")</f>
        <v>OBSERVADO</v>
      </c>
      <c r="AA94" s="89"/>
    </row>
    <row r="95" customFormat="false" ht="15.75" hidden="false" customHeight="true" outlineLevel="0" collapsed="false">
      <c r="A95" s="85"/>
      <c r="B95" s="85"/>
      <c r="C95" s="85"/>
      <c r="D95" s="85"/>
      <c r="E95" s="85"/>
      <c r="F95" s="85"/>
      <c r="G95" s="85"/>
      <c r="H95" s="85"/>
      <c r="I95" s="138" t="str">
        <f aca="false">IFERROR(VLOOKUP(TEXT(H95,"0"),IPRESS!$A$3:$B$212,2,0),"")</f>
        <v/>
      </c>
      <c r="J95" s="85"/>
      <c r="K95" s="138" t="str">
        <f aca="false">IFERROR(VLOOKUP(TEXT(O95,"0"),CONDUCTORES!$A$3:$G$54,7,0),"")</f>
        <v/>
      </c>
      <c r="L95" s="85"/>
      <c r="M95" s="85"/>
      <c r="N95" s="139" t="str">
        <f aca="false">IFERROR(IF(L95*M95=0,"",L95*M95),"")</f>
        <v/>
      </c>
      <c r="O95" s="85"/>
      <c r="P95" s="138" t="str">
        <f aca="false">IFERROR(VLOOKUP(TEXT(O95,"0"),CONDUCTORES!$A$3:$G$54,2,0),"")</f>
        <v/>
      </c>
      <c r="Q95" s="138" t="str">
        <f aca="false">IFERROR(VLOOKUP(TEXT(O95,"0"),CONDUCTORES!$A$3:$H$54,6,0),"")</f>
        <v/>
      </c>
      <c r="R95" s="85"/>
      <c r="S95" s="85"/>
      <c r="T95" s="85"/>
      <c r="U95" s="85"/>
      <c r="V95" s="85"/>
      <c r="W95" s="85"/>
      <c r="X95" s="85"/>
      <c r="Y95" s="85"/>
      <c r="Z95" s="41" t="str">
        <f aca="false">IF(AND(G95&lt;&gt;"",R95&lt;&gt;"",V95&lt;&gt;"",W95&lt;&gt;""),"COMPLETADO","OBSERVADO")</f>
        <v>OBSERVADO</v>
      </c>
      <c r="AA95" s="89"/>
    </row>
    <row r="96" customFormat="false" ht="15.75" hidden="false" customHeight="true" outlineLevel="0" collapsed="false">
      <c r="A96" s="140"/>
      <c r="B96" s="140"/>
      <c r="C96" s="140"/>
      <c r="D96" s="140"/>
      <c r="E96" s="140"/>
      <c r="F96" s="140"/>
      <c r="G96" s="140"/>
      <c r="H96" s="140"/>
      <c r="I96" s="138" t="str">
        <f aca="false">IFERROR(VLOOKUP(TEXT(H96,"0"),IPRESS!$A$3:$B$212,2,0),"")</f>
        <v/>
      </c>
      <c r="J96" s="140"/>
      <c r="K96" s="138" t="str">
        <f aca="false">IFERROR(VLOOKUP(TEXT(O96,"0"),CONDUCTORES!$A$3:$G$54,7,0),"")</f>
        <v/>
      </c>
      <c r="L96" s="140"/>
      <c r="M96" s="140"/>
      <c r="N96" s="139" t="str">
        <f aca="false">IFERROR(IF(L96*M96=0,"",L96*M96),"")</f>
        <v/>
      </c>
      <c r="O96" s="140"/>
      <c r="P96" s="138" t="str">
        <f aca="false">IFERROR(VLOOKUP(TEXT(O96,"0"),CONDUCTORES!$A$3:$G$54,2,0),"")</f>
        <v/>
      </c>
      <c r="Q96" s="138" t="str">
        <f aca="false">IFERROR(VLOOKUP(TEXT(O96,"0"),CONDUCTORES!$A$3:$H$54,6,0),"")</f>
        <v/>
      </c>
      <c r="R96" s="140"/>
      <c r="S96" s="140"/>
      <c r="T96" s="140"/>
      <c r="U96" s="140"/>
      <c r="V96" s="140"/>
      <c r="W96" s="140"/>
      <c r="X96" s="140"/>
      <c r="Y96" s="140"/>
      <c r="Z96" s="47" t="str">
        <f aca="false">IF(AND(G96&lt;&gt;"",R96&lt;&gt;"",V96&lt;&gt;"",W96&lt;&gt;""),"COMPLETADO","OBSERVADO")</f>
        <v>OBSERVADO</v>
      </c>
      <c r="AA96" s="89"/>
    </row>
    <row r="97" customFormat="false" ht="15.75" hidden="false" customHeight="true" outlineLevel="0" collapsed="false">
      <c r="A97" s="85"/>
      <c r="B97" s="85"/>
      <c r="C97" s="85"/>
      <c r="D97" s="85"/>
      <c r="E97" s="85"/>
      <c r="F97" s="85"/>
      <c r="G97" s="85"/>
      <c r="H97" s="85"/>
      <c r="I97" s="138" t="str">
        <f aca="false">IFERROR(VLOOKUP(TEXT(H97,"0"),IPRESS!$A$3:$B$212,2,0),"")</f>
        <v/>
      </c>
      <c r="J97" s="85"/>
      <c r="K97" s="138" t="str">
        <f aca="false">IFERROR(VLOOKUP(TEXT(O97,"0"),CONDUCTORES!$A$3:$G$54,7,0),"")</f>
        <v/>
      </c>
      <c r="L97" s="85"/>
      <c r="M97" s="85"/>
      <c r="N97" s="139" t="str">
        <f aca="false">IFERROR(IF(L97*M97=0,"",L97*M97),"")</f>
        <v/>
      </c>
      <c r="O97" s="85"/>
      <c r="P97" s="138" t="str">
        <f aca="false">IFERROR(VLOOKUP(TEXT(O97,"0"),CONDUCTORES!$A$3:$G$54,2,0),"")</f>
        <v/>
      </c>
      <c r="Q97" s="138" t="str">
        <f aca="false">IFERROR(VLOOKUP(TEXT(O97,"0"),CONDUCTORES!$A$3:$H$54,6,0),"")</f>
        <v/>
      </c>
      <c r="R97" s="85"/>
      <c r="S97" s="85"/>
      <c r="T97" s="85"/>
      <c r="U97" s="85"/>
      <c r="V97" s="85"/>
      <c r="W97" s="85"/>
      <c r="X97" s="85"/>
      <c r="Y97" s="85"/>
      <c r="Z97" s="41" t="str">
        <f aca="false">IF(AND(G97&lt;&gt;"",R97&lt;&gt;"",V97&lt;&gt;"",W97&lt;&gt;""),"COMPLETADO","OBSERVADO")</f>
        <v>OBSERVADO</v>
      </c>
      <c r="AA97" s="89"/>
    </row>
    <row r="98" customFormat="false" ht="15.75" hidden="false" customHeight="true" outlineLevel="0" collapsed="false">
      <c r="A98" s="140"/>
      <c r="B98" s="140"/>
      <c r="C98" s="140"/>
      <c r="D98" s="140"/>
      <c r="E98" s="140"/>
      <c r="F98" s="140"/>
      <c r="G98" s="140"/>
      <c r="H98" s="140"/>
      <c r="I98" s="138" t="str">
        <f aca="false">IFERROR(VLOOKUP(TEXT(H98,"0"),IPRESS!$A$3:$B$212,2,0),"")</f>
        <v/>
      </c>
      <c r="J98" s="140"/>
      <c r="K98" s="138" t="str">
        <f aca="false">IFERROR(VLOOKUP(TEXT(O98,"0"),CONDUCTORES!$A$3:$G$54,7,0),"")</f>
        <v/>
      </c>
      <c r="L98" s="140"/>
      <c r="M98" s="140"/>
      <c r="N98" s="139" t="str">
        <f aca="false">IFERROR(IF(L98*M98=0,"",L98*M98),"")</f>
        <v/>
      </c>
      <c r="O98" s="140"/>
      <c r="P98" s="138" t="str">
        <f aca="false">IFERROR(VLOOKUP(TEXT(O98,"0"),CONDUCTORES!$A$3:$G$54,2,0),"")</f>
        <v/>
      </c>
      <c r="Q98" s="138" t="str">
        <f aca="false">IFERROR(VLOOKUP(TEXT(O98,"0"),CONDUCTORES!$A$3:$H$54,6,0),"")</f>
        <v/>
      </c>
      <c r="R98" s="140"/>
      <c r="S98" s="140"/>
      <c r="T98" s="140"/>
      <c r="U98" s="140"/>
      <c r="V98" s="140"/>
      <c r="W98" s="140"/>
      <c r="X98" s="140"/>
      <c r="Y98" s="140"/>
      <c r="Z98" s="47" t="str">
        <f aca="false">IF(AND(G98&lt;&gt;"",R98&lt;&gt;"",V98&lt;&gt;"",W98&lt;&gt;""),"COMPLETADO","OBSERVADO")</f>
        <v>OBSERVADO</v>
      </c>
      <c r="AA98" s="89"/>
    </row>
    <row r="99" customFormat="false" ht="15.75" hidden="false" customHeight="true" outlineLevel="0" collapsed="false">
      <c r="A99" s="85"/>
      <c r="B99" s="85"/>
      <c r="C99" s="85"/>
      <c r="D99" s="85"/>
      <c r="E99" s="85"/>
      <c r="F99" s="85"/>
      <c r="G99" s="85"/>
      <c r="H99" s="85"/>
      <c r="I99" s="138" t="str">
        <f aca="false">IFERROR(VLOOKUP(TEXT(H99,"0"),IPRESS!$A$3:$B$212,2,0),"")</f>
        <v/>
      </c>
      <c r="J99" s="85"/>
      <c r="K99" s="138" t="str">
        <f aca="false">IFERROR(VLOOKUP(TEXT(O99,"0"),CONDUCTORES!$A$3:$G$54,7,0),"")</f>
        <v/>
      </c>
      <c r="L99" s="85"/>
      <c r="M99" s="85"/>
      <c r="N99" s="139" t="str">
        <f aca="false">IFERROR(IF(L99*M99=0,"",L99*M99),"")</f>
        <v/>
      </c>
      <c r="O99" s="85"/>
      <c r="P99" s="138" t="str">
        <f aca="false">IFERROR(VLOOKUP(TEXT(O99,"0"),CONDUCTORES!$A$3:$G$54,2,0),"")</f>
        <v/>
      </c>
      <c r="Q99" s="138" t="str">
        <f aca="false">IFERROR(VLOOKUP(TEXT(O99,"0"),CONDUCTORES!$A$3:$H$54,6,0),"")</f>
        <v/>
      </c>
      <c r="R99" s="85"/>
      <c r="S99" s="85"/>
      <c r="T99" s="85"/>
      <c r="U99" s="85"/>
      <c r="V99" s="85"/>
      <c r="W99" s="85"/>
      <c r="X99" s="85"/>
      <c r="Y99" s="85"/>
      <c r="Z99" s="41" t="str">
        <f aca="false">IF(AND(G99&lt;&gt;"",R99&lt;&gt;"",V99&lt;&gt;"",W99&lt;&gt;""),"COMPLETADO","OBSERVADO")</f>
        <v>OBSERVADO</v>
      </c>
      <c r="AA99" s="89"/>
    </row>
    <row r="100" customFormat="false" ht="15.75" hidden="false" customHeight="true" outlineLevel="0" collapsed="false">
      <c r="A100" s="140"/>
      <c r="B100" s="140"/>
      <c r="C100" s="140"/>
      <c r="D100" s="140"/>
      <c r="E100" s="140"/>
      <c r="F100" s="140"/>
      <c r="G100" s="140"/>
      <c r="H100" s="140"/>
      <c r="I100" s="138" t="str">
        <f aca="false">IFERROR(VLOOKUP(TEXT(H100,"0"),IPRESS!$A$3:$B$212,2,0),"")</f>
        <v/>
      </c>
      <c r="J100" s="140"/>
      <c r="K100" s="138" t="str">
        <f aca="false">IFERROR(VLOOKUP(TEXT(O100,"0"),CONDUCTORES!$A$3:$G$54,7,0),"")</f>
        <v/>
      </c>
      <c r="L100" s="140"/>
      <c r="M100" s="140"/>
      <c r="N100" s="139" t="str">
        <f aca="false">IFERROR(IF(L100*M100=0,"",L100*M100),"")</f>
        <v/>
      </c>
      <c r="O100" s="140"/>
      <c r="P100" s="138" t="str">
        <f aca="false">IFERROR(VLOOKUP(TEXT(O100,"0"),CONDUCTORES!$A$3:$G$54,2,0),"")</f>
        <v/>
      </c>
      <c r="Q100" s="138" t="str">
        <f aca="false">IFERROR(VLOOKUP(TEXT(O100,"0"),CONDUCTORES!$A$3:$H$54,6,0),"")</f>
        <v/>
      </c>
      <c r="R100" s="140"/>
      <c r="S100" s="140"/>
      <c r="T100" s="140"/>
      <c r="U100" s="140"/>
      <c r="V100" s="140"/>
      <c r="W100" s="140"/>
      <c r="X100" s="140"/>
      <c r="Y100" s="140"/>
      <c r="Z100" s="47" t="str">
        <f aca="false">IF(AND(G100&lt;&gt;"",R100&lt;&gt;"",V100&lt;&gt;"",W100&lt;&gt;""),"COMPLETADO","OBSERVADO")</f>
        <v>OBSERVADO</v>
      </c>
      <c r="AA100" s="89"/>
    </row>
    <row r="101" customFormat="false" ht="15.75" hidden="false" customHeight="true" outlineLevel="0" collapsed="false">
      <c r="A101" s="85"/>
      <c r="B101" s="85"/>
      <c r="C101" s="85"/>
      <c r="D101" s="85"/>
      <c r="E101" s="85"/>
      <c r="F101" s="85"/>
      <c r="G101" s="85"/>
      <c r="H101" s="85"/>
      <c r="I101" s="138" t="str">
        <f aca="false">IFERROR(VLOOKUP(TEXT(H101,"0"),IPRESS!$A$3:$B$212,2,0),"")</f>
        <v/>
      </c>
      <c r="J101" s="85"/>
      <c r="K101" s="138" t="str">
        <f aca="false">IFERROR(VLOOKUP(TEXT(O101,"0"),CONDUCTORES!$A$3:$G$54,7,0),"")</f>
        <v/>
      </c>
      <c r="L101" s="85"/>
      <c r="M101" s="85"/>
      <c r="N101" s="139" t="str">
        <f aca="false">IFERROR(IF(L101*M101=0,"",L101*M101),"")</f>
        <v/>
      </c>
      <c r="O101" s="85"/>
      <c r="P101" s="138" t="str">
        <f aca="false">IFERROR(VLOOKUP(TEXT(O101,"0"),CONDUCTORES!$A$3:$G$54,2,0),"")</f>
        <v/>
      </c>
      <c r="Q101" s="138" t="str">
        <f aca="false">IFERROR(VLOOKUP(TEXT(O101,"0"),CONDUCTORES!$A$3:$H$54,6,0),"")</f>
        <v/>
      </c>
      <c r="R101" s="85"/>
      <c r="S101" s="85"/>
      <c r="T101" s="85"/>
      <c r="U101" s="85"/>
      <c r="V101" s="85"/>
      <c r="W101" s="85"/>
      <c r="X101" s="85"/>
      <c r="Y101" s="85"/>
      <c r="Z101" s="41" t="str">
        <f aca="false">IF(AND(G101&lt;&gt;"",R101&lt;&gt;"",V101&lt;&gt;"",W101&lt;&gt;""),"COMPLETADO","OBSERVADO")</f>
        <v>OBSERVADO</v>
      </c>
      <c r="AA101" s="89"/>
    </row>
    <row r="102" customFormat="false" ht="15.75" hidden="false" customHeight="true" outlineLevel="0" collapsed="false">
      <c r="A102" s="140"/>
      <c r="B102" s="140"/>
      <c r="C102" s="140"/>
      <c r="D102" s="140"/>
      <c r="E102" s="140"/>
      <c r="F102" s="140"/>
      <c r="G102" s="140"/>
      <c r="H102" s="140"/>
      <c r="I102" s="138" t="str">
        <f aca="false">IFERROR(VLOOKUP(TEXT(H102,"0"),IPRESS!$A$3:$B$212,2,0),"")</f>
        <v/>
      </c>
      <c r="J102" s="140"/>
      <c r="K102" s="138" t="str">
        <f aca="false">IFERROR(VLOOKUP(TEXT(O102,"0"),CONDUCTORES!$A$3:$G$54,7,0),"")</f>
        <v/>
      </c>
      <c r="L102" s="140"/>
      <c r="M102" s="140"/>
      <c r="N102" s="139" t="str">
        <f aca="false">IFERROR(IF(L102*M102=0,"",L102*M102),"")</f>
        <v/>
      </c>
      <c r="O102" s="140"/>
      <c r="P102" s="138" t="str">
        <f aca="false">IFERROR(VLOOKUP(TEXT(O102,"0"),CONDUCTORES!$A$3:$G$54,2,0),"")</f>
        <v/>
      </c>
      <c r="Q102" s="138" t="str">
        <f aca="false">IFERROR(VLOOKUP(TEXT(O102,"0"),CONDUCTORES!$A$3:$H$54,6,0),"")</f>
        <v/>
      </c>
      <c r="R102" s="140"/>
      <c r="S102" s="140"/>
      <c r="T102" s="140"/>
      <c r="U102" s="140"/>
      <c r="V102" s="140"/>
      <c r="W102" s="140"/>
      <c r="X102" s="140"/>
      <c r="Y102" s="140"/>
      <c r="Z102" s="47" t="str">
        <f aca="false">IF(AND(G102&lt;&gt;"",R102&lt;&gt;"",V102&lt;&gt;"",W102&lt;&gt;""),"COMPLETADO","OBSERVADO")</f>
        <v>OBSERVADO</v>
      </c>
      <c r="AA102" s="89"/>
    </row>
    <row r="103" customFormat="false" ht="15.7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138" t="str">
        <f aca="false">IFERROR(VLOOKUP(TEXT(H103,"0"),IPRESS!$A$3:$B$212,2,0),"")</f>
        <v/>
      </c>
      <c r="J103" s="85"/>
      <c r="K103" s="138" t="str">
        <f aca="false">IFERROR(VLOOKUP(TEXT(O103,"0"),CONDUCTORES!$A$3:$G$54,7,0),"")</f>
        <v/>
      </c>
      <c r="L103" s="85"/>
      <c r="M103" s="85"/>
      <c r="N103" s="139" t="str">
        <f aca="false">IFERROR(IF(L103*M103=0,"",L103*M103),"")</f>
        <v/>
      </c>
      <c r="O103" s="85"/>
      <c r="P103" s="138" t="str">
        <f aca="false">IFERROR(VLOOKUP(TEXT(O103,"0"),CONDUCTORES!$A$3:$G$54,2,0),"")</f>
        <v/>
      </c>
      <c r="Q103" s="138" t="str">
        <f aca="false">IFERROR(VLOOKUP(TEXT(O103,"0"),CONDUCTORES!$A$3:$H$54,6,0),"")</f>
        <v/>
      </c>
      <c r="R103" s="85"/>
      <c r="S103" s="85"/>
      <c r="T103" s="85"/>
      <c r="U103" s="85"/>
      <c r="V103" s="85"/>
      <c r="W103" s="85"/>
      <c r="X103" s="85"/>
      <c r="Y103" s="85"/>
      <c r="Z103" s="41" t="str">
        <f aca="false">IF(AND(G103&lt;&gt;"",R103&lt;&gt;"",V103&lt;&gt;"",W103&lt;&gt;""),"COMPLETADO","OBSERVADO")</f>
        <v>OBSERVADO</v>
      </c>
      <c r="AA103" s="89"/>
    </row>
    <row r="104" customFormat="false" ht="15.75" hidden="false" customHeight="true" outlineLevel="0" collapsed="false">
      <c r="A104" s="140"/>
      <c r="B104" s="140"/>
      <c r="C104" s="140"/>
      <c r="D104" s="140"/>
      <c r="E104" s="140"/>
      <c r="F104" s="140"/>
      <c r="G104" s="140"/>
      <c r="H104" s="140"/>
      <c r="I104" s="138" t="str">
        <f aca="false">IFERROR(VLOOKUP(TEXT(H104,"0"),IPRESS!$A$3:$B$212,2,0),"")</f>
        <v/>
      </c>
      <c r="J104" s="140"/>
      <c r="K104" s="138" t="str">
        <f aca="false">IFERROR(VLOOKUP(TEXT(O104,"0"),CONDUCTORES!$A$3:$G$54,7,0),"")</f>
        <v/>
      </c>
      <c r="L104" s="140"/>
      <c r="M104" s="140"/>
      <c r="N104" s="139" t="str">
        <f aca="false">IFERROR(IF(L104*M104=0,"",L104*M104),"")</f>
        <v/>
      </c>
      <c r="O104" s="140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140"/>
      <c r="S104" s="140"/>
      <c r="T104" s="140"/>
      <c r="U104" s="140"/>
      <c r="V104" s="140"/>
      <c r="W104" s="140"/>
      <c r="X104" s="140"/>
      <c r="Y104" s="140"/>
      <c r="Z104" s="47" t="str">
        <f aca="false">IF(AND(G104&lt;&gt;"",R104&lt;&gt;"",V104&lt;&gt;"",W104&lt;&gt;""),"COMPLETADO","OBSERVADO")</f>
        <v>OBSERVADO</v>
      </c>
      <c r="AA104" s="89"/>
    </row>
    <row r="105" customFormat="false" ht="15.7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38" t="str">
        <f aca="false">IFERROR(VLOOKUP(TEXT(H105,"0"),IPRESS!$A$3:$B$212,2,0),"")</f>
        <v/>
      </c>
      <c r="J105" s="85"/>
      <c r="K105" s="138" t="str">
        <f aca="false">IFERROR(VLOOKUP(TEXT(O105,"0"),CONDUCTORES!$A$3:$G$54,7,0),"")</f>
        <v/>
      </c>
      <c r="L105" s="85"/>
      <c r="M105" s="85"/>
      <c r="N105" s="139" t="str">
        <f aca="false">IFERROR(IF(L105*M105=0,"",L105*M105),"")</f>
        <v/>
      </c>
      <c r="O105" s="85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85"/>
      <c r="S105" s="85"/>
      <c r="T105" s="85"/>
      <c r="U105" s="85"/>
      <c r="V105" s="85"/>
      <c r="W105" s="85"/>
      <c r="X105" s="85"/>
      <c r="Y105" s="85"/>
      <c r="Z105" s="41" t="str">
        <f aca="false">IF(AND(G105&lt;&gt;"",R105&lt;&gt;"",V105&lt;&gt;"",W105&lt;&gt;""),"COMPLETADO","OBSERVADO")</f>
        <v>OBSERVADO</v>
      </c>
      <c r="AA105" s="89"/>
    </row>
    <row r="106" customFormat="false" ht="15.75" hidden="false" customHeight="true" outlineLevel="0" collapsed="false">
      <c r="A106" s="140"/>
      <c r="B106" s="140"/>
      <c r="C106" s="140"/>
      <c r="D106" s="140"/>
      <c r="E106" s="140"/>
      <c r="F106" s="140"/>
      <c r="G106" s="140"/>
      <c r="H106" s="140"/>
      <c r="I106" s="138" t="str">
        <f aca="false">IFERROR(VLOOKUP(TEXT(H106,"0"),IPRESS!$A$3:$B$212,2,0),"")</f>
        <v/>
      </c>
      <c r="J106" s="140"/>
      <c r="K106" s="138" t="str">
        <f aca="false">IFERROR(VLOOKUP(TEXT(O106,"0"),CONDUCTORES!$A$3:$G$54,7,0),"")</f>
        <v/>
      </c>
      <c r="L106" s="140"/>
      <c r="M106" s="140"/>
      <c r="N106" s="139" t="str">
        <f aca="false">IFERROR(IF(L106*M106=0,"",L106*M106),"")</f>
        <v/>
      </c>
      <c r="O106" s="140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140"/>
      <c r="S106" s="140"/>
      <c r="T106" s="140"/>
      <c r="U106" s="140"/>
      <c r="V106" s="140"/>
      <c r="W106" s="140"/>
      <c r="X106" s="140"/>
      <c r="Y106" s="140"/>
      <c r="Z106" s="47" t="str">
        <f aca="false">IF(AND(G106&lt;&gt;"",R106&lt;&gt;"",V106&lt;&gt;"",W106&lt;&gt;""),"COMPLETADO","OBSERVADO")</f>
        <v>OBSERVADO</v>
      </c>
      <c r="AA106" s="89"/>
    </row>
    <row r="107" customFormat="false" ht="15.7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38" t="str">
        <f aca="false">IFERROR(VLOOKUP(TEXT(H107,"0"),IPRESS!$A$3:$B$212,2,0),"")</f>
        <v/>
      </c>
      <c r="J107" s="85"/>
      <c r="K107" s="138" t="str">
        <f aca="false">IFERROR(VLOOKUP(TEXT(O107,"0"),CONDUCTORES!$A$3:$G$54,7,0),"")</f>
        <v/>
      </c>
      <c r="L107" s="85"/>
      <c r="M107" s="85"/>
      <c r="N107" s="139" t="str">
        <f aca="false">IFERROR(IF(L107*M107=0,"",L107*M107),"")</f>
        <v/>
      </c>
      <c r="O107" s="85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85"/>
      <c r="S107" s="85"/>
      <c r="T107" s="85"/>
      <c r="U107" s="85"/>
      <c r="V107" s="85"/>
      <c r="W107" s="85"/>
      <c r="X107" s="85"/>
      <c r="Y107" s="85"/>
      <c r="Z107" s="41" t="str">
        <f aca="false">IF(AND(G107&lt;&gt;"",R107&lt;&gt;"",V107&lt;&gt;"",W107&lt;&gt;""),"COMPLETADO","OBSERVADO")</f>
        <v>OBSERVADO</v>
      </c>
      <c r="AA107" s="89"/>
    </row>
    <row r="108" customFormat="false" ht="15.75" hidden="false" customHeight="true" outlineLevel="0" collapsed="false">
      <c r="A108" s="140"/>
      <c r="B108" s="140"/>
      <c r="C108" s="140"/>
      <c r="D108" s="140"/>
      <c r="E108" s="140"/>
      <c r="F108" s="140"/>
      <c r="G108" s="140"/>
      <c r="H108" s="140"/>
      <c r="I108" s="138" t="str">
        <f aca="false">IFERROR(VLOOKUP(TEXT(H108,"0"),IPRESS!$A$3:$B$212,2,0),"")</f>
        <v/>
      </c>
      <c r="J108" s="140"/>
      <c r="K108" s="138" t="str">
        <f aca="false">IFERROR(VLOOKUP(TEXT(O108,"0"),CONDUCTORES!$A$3:$G$54,7,0),"")</f>
        <v/>
      </c>
      <c r="L108" s="140"/>
      <c r="M108" s="140"/>
      <c r="N108" s="139" t="str">
        <f aca="false">IFERROR(IF(L108*M108=0,"",L108*M108),"")</f>
        <v/>
      </c>
      <c r="O108" s="140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140"/>
      <c r="S108" s="140"/>
      <c r="T108" s="140"/>
      <c r="U108" s="140"/>
      <c r="V108" s="140"/>
      <c r="W108" s="140"/>
      <c r="X108" s="140"/>
      <c r="Y108" s="140"/>
      <c r="Z108" s="47" t="str">
        <f aca="false">IF(AND(G108&lt;&gt;"",R108&lt;&gt;"",V108&lt;&gt;"",W108&lt;&gt;""),"COMPLETADO","OBSERVADO")</f>
        <v>OBSERVADO</v>
      </c>
      <c r="AA108" s="89"/>
    </row>
    <row r="109" customFormat="false" ht="15.7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38" t="str">
        <f aca="false">IFERROR(VLOOKUP(TEXT(O109,"0"),CONDUCTORES!$A$3:$G$54,7,0),"")</f>
        <v/>
      </c>
      <c r="L109" s="85"/>
      <c r="M109" s="85"/>
      <c r="N109" s="139" t="str">
        <f aca="false">IFERROR(IF(L109*M109=0,"",L109*M109),"")</f>
        <v/>
      </c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41" t="str">
        <f aca="false">IF(AND(G109&lt;&gt;"",R109&lt;&gt;"",V109&lt;&gt;"",W109&lt;&gt;""),"COMPLETADO","OBSERVADO")</f>
        <v>OBSERVADO</v>
      </c>
      <c r="AA109" s="89"/>
    </row>
    <row r="110" customFormat="false" ht="15.75" hidden="false" customHeight="true" outlineLevel="0" collapsed="false">
      <c r="A110" s="140"/>
      <c r="B110" s="140"/>
      <c r="C110" s="140"/>
      <c r="D110" s="140"/>
      <c r="E110" s="140"/>
      <c r="F110" s="140"/>
      <c r="G110" s="140"/>
      <c r="H110" s="140"/>
      <c r="I110" s="138" t="str">
        <f aca="false">IFERROR(VLOOKUP(TEXT(H110,"0"),IPRESS!$A$3:$B$212,2,0),"")</f>
        <v/>
      </c>
      <c r="J110" s="140"/>
      <c r="K110" s="138" t="str">
        <f aca="false">IFERROR(VLOOKUP(TEXT(O110,"0"),CONDUCTORES!$A$3:$G$54,7,0),"")</f>
        <v/>
      </c>
      <c r="L110" s="140"/>
      <c r="M110" s="140"/>
      <c r="N110" s="139" t="str">
        <f aca="false">IFERROR(IF(L110*M110=0,"",L110*M110),"")</f>
        <v/>
      </c>
      <c r="O110" s="140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140"/>
      <c r="S110" s="140"/>
      <c r="T110" s="140"/>
      <c r="U110" s="140"/>
      <c r="V110" s="140"/>
      <c r="W110" s="140"/>
      <c r="X110" s="140"/>
      <c r="Y110" s="140"/>
      <c r="Z110" s="47" t="str">
        <f aca="false">IF(AND(G110&lt;&gt;"",R110&lt;&gt;"",V110&lt;&gt;"",W110&lt;&gt;""),"COMPLETADO","OBSERVADO")</f>
        <v>OBSERVADO</v>
      </c>
      <c r="AA110" s="89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184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9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184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9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184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9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184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9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184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9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184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9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184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9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184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9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184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9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85" t="str">
        <f aca="false">IF(AND(G120&lt;&gt;"",R120&lt;&gt;"",V120&lt;&gt;"",W120&lt;&gt;""),"COMPLETADO","OBSERVADO")</f>
        <v>OBSERVADO</v>
      </c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  <c r="Z121" s="185" t="str">
        <f aca="false">IF(AND(G121&lt;&gt;"",R121&lt;&gt;"",V121&lt;&gt;"",W121&lt;&gt;""),"COMPLETADO","OBSERVADO")</f>
        <v>OBSERVADO</v>
      </c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85" t="str">
        <f aca="false">IF(AND(G122&lt;&gt;"",R122&lt;&gt;"",V122&lt;&gt;"",W122&lt;&gt;""),"COMPLETADO","OBSERVADO")</f>
        <v>OBSERVADO</v>
      </c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  <c r="Z123" s="185" t="str">
        <f aca="false">IF(AND(G123&lt;&gt;"",R123&lt;&gt;"",V123&lt;&gt;"",W123&lt;&gt;""),"COMPLETADO","OBSERVADO")</f>
        <v>OBSERVADO</v>
      </c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85" t="str">
        <f aca="false">IF(AND(G124&lt;&gt;"",R124&lt;&gt;"",V124&lt;&gt;"",W124&lt;&gt;""),"COMPLETADO","OBSERVADO")</f>
        <v>OBSERVADO</v>
      </c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  <c r="Z125" s="185" t="str">
        <f aca="false">IF(AND(G125&lt;&gt;"",R125&lt;&gt;"",V125&lt;&gt;"",W125&lt;&gt;""),"COMPLETADO","OBSERVADO")</f>
        <v>OBSERVADO</v>
      </c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85" t="str">
        <f aca="false">IF(AND(G126&lt;&gt;"",R126&lt;&gt;"",V126&lt;&gt;"",W126&lt;&gt;""),"COMPLETADO","OBSERVADO")</f>
        <v>OBSERVADO</v>
      </c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  <c r="Z127" s="185" t="str">
        <f aca="false">IF(AND(G127&lt;&gt;"",R127&lt;&gt;"",V127&lt;&gt;"",W127&lt;&gt;""),"COMPLETADO","OBSERVADO")</f>
        <v>OBSERVADO</v>
      </c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85" t="str">
        <f aca="false">IF(AND(G128&lt;&gt;"",R128&lt;&gt;"",V128&lt;&gt;"",W128&lt;&gt;""),"COMPLETADO","OBSERVADO")</f>
        <v>OBSERVADO</v>
      </c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  <c r="Z129" s="185" t="str">
        <f aca="false">IF(AND(G129&lt;&gt;"",R129&lt;&gt;"",V129&lt;&gt;"",W129&lt;&gt;""),"COMPLETADO","OBSERVADO")</f>
        <v>OBSERVADO</v>
      </c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85" t="str">
        <f aca="false">IF(AND(G130&lt;&gt;"",R130&lt;&gt;"",V130&lt;&gt;"",W130&lt;&gt;""),"COMPLETADO","OBSERVADO")</f>
        <v>OBSERVADO</v>
      </c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  <c r="Z131" s="185" t="str">
        <f aca="false">IF(AND(G131&lt;&gt;"",R131&lt;&gt;"",V131&lt;&gt;"",W131&lt;&gt;""),"COMPLETADO","OBSERVADO")</f>
        <v>OBSERVADO</v>
      </c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85" t="str">
        <f aca="false">IF(AND(G132&lt;&gt;"",R132&lt;&gt;"",V132&lt;&gt;"",W132&lt;&gt;""),"COMPLETADO","OBSERVADO")</f>
        <v>OBSERVADO</v>
      </c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  <c r="Z133" s="185" t="str">
        <f aca="false">IF(AND(G133&lt;&gt;"",R133&lt;&gt;"",V133&lt;&gt;"",W133&lt;&gt;""),"COMPLETADO","OBSERVADO")</f>
        <v>OBSERVADO</v>
      </c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85" t="str">
        <f aca="false">IF(AND(G134&lt;&gt;"",R134&lt;&gt;"",V134&lt;&gt;"",W134&lt;&gt;""),"COMPLETADO","OBSERVADO")</f>
        <v>OBSERVADO</v>
      </c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  <c r="Z135" s="185" t="str">
        <f aca="false">IF(AND(G135&lt;&gt;"",R135&lt;&gt;"",V135&lt;&gt;"",W135&lt;&gt;""),"COMPLETADO","OBSERVADO")</f>
        <v>OBSERVADO</v>
      </c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85" t="str">
        <f aca="false">IF(AND(G136&lt;&gt;"",R136&lt;&gt;"",V136&lt;&gt;"",W136&lt;&gt;""),"COMPLETADO","OBSERVADO")</f>
        <v>OBSERVADO</v>
      </c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  <c r="Z137" s="185" t="str">
        <f aca="false">IF(AND(G137&lt;&gt;"",R137&lt;&gt;"",V137&lt;&gt;"",W137&lt;&gt;""),"COMPLETADO","OBSERVADO")</f>
        <v>OBSERVADO</v>
      </c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85" t="str">
        <f aca="false">IF(AND(G138&lt;&gt;"",R138&lt;&gt;"",V138&lt;&gt;"",W138&lt;&gt;""),"COMPLETADO","OBSERVADO")</f>
        <v>OBSERVADO</v>
      </c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  <c r="Z139" s="185" t="str">
        <f aca="false">IF(AND(G139&lt;&gt;"",R139&lt;&gt;"",V139&lt;&gt;"",W139&lt;&gt;""),"COMPLETADO","OBSERVADO")</f>
        <v>OBSERVADO</v>
      </c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85" t="str">
        <f aca="false">IF(AND(G140&lt;&gt;"",R140&lt;&gt;"",V140&lt;&gt;"",W140&lt;&gt;""),"COMPLETADO","OBSERVADO")</f>
        <v>OBSERVADO</v>
      </c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  <c r="Z141" s="185" t="str">
        <f aca="false">IF(AND(G141&lt;&gt;"",R141&lt;&gt;"",V141&lt;&gt;"",W141&lt;&gt;""),"COMPLETADO","OBSERVADO")</f>
        <v>OBSERVADO</v>
      </c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85" t="str">
        <f aca="false">IF(AND(G142&lt;&gt;"",R142&lt;&gt;"",V142&lt;&gt;"",W142&lt;&gt;""),"COMPLETADO","OBSERVADO")</f>
        <v>OBSERVADO</v>
      </c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  <c r="Z143" s="185" t="str">
        <f aca="false">IF(AND(G143&lt;&gt;"",R143&lt;&gt;"",V143&lt;&gt;"",W143&lt;&gt;""),"COMPLETADO","OBSERVADO")</f>
        <v>OBSERVADO</v>
      </c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85" t="str">
        <f aca="false">IF(AND(G144&lt;&gt;"",R144&lt;&gt;"",V144&lt;&gt;"",W144&lt;&gt;""),"COMPLETADO","OBSERVADO")</f>
        <v>OBSERVADO</v>
      </c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  <c r="Z145" s="185" t="str">
        <f aca="false">IF(AND(G145&lt;&gt;"",R145&lt;&gt;"",V145&lt;&gt;"",W145&lt;&gt;""),"COMPLETADO","OBSERVADO")</f>
        <v>OBSERVADO</v>
      </c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85" t="str">
        <f aca="false">IF(AND(G146&lt;&gt;"",R146&lt;&gt;"",V146&lt;&gt;"",W146&lt;&gt;""),"COMPLETADO","OBSERVADO")</f>
        <v>OBSERVADO</v>
      </c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  <c r="Z147" s="185" t="str">
        <f aca="false">IF(AND(G147&lt;&gt;"",R147&lt;&gt;"",V147&lt;&gt;"",W147&lt;&gt;""),"COMPLETADO","OBSERVADO")</f>
        <v>OBSERVADO</v>
      </c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85" t="str">
        <f aca="false">IF(AND(G148&lt;&gt;"",R148&lt;&gt;"",V148&lt;&gt;"",W148&lt;&gt;""),"COMPLETADO","OBSERVADO")</f>
        <v>OBSERVADO</v>
      </c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  <c r="Z149" s="185" t="str">
        <f aca="false">IF(AND(G149&lt;&gt;"",R149&lt;&gt;"",V149&lt;&gt;"",W149&lt;&gt;""),"COMPLETADO","OBSERVADO")</f>
        <v>OBSERVADO</v>
      </c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85" t="str">
        <f aca="false">IF(AND(G150&lt;&gt;"",R150&lt;&gt;"",V150&lt;&gt;"",W150&lt;&gt;""),"COMPLETADO","OBSERVADO")</f>
        <v>OBSERVADO</v>
      </c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  <c r="Z151" s="185" t="str">
        <f aca="false">IF(AND(G151&lt;&gt;"",R151&lt;&gt;"",V151&lt;&gt;"",W151&lt;&gt;""),"COMPLETADO","OBSERVADO")</f>
        <v>OBSERVADO</v>
      </c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85" t="str">
        <f aca="false">IF(AND(G152&lt;&gt;"",R152&lt;&gt;"",V152&lt;&gt;"",W152&lt;&gt;""),"COMPLETADO","OBSERVADO")</f>
        <v>OBSERVADO</v>
      </c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  <c r="Z153" s="185" t="str">
        <f aca="false">IF(AND(G153&lt;&gt;"",R153&lt;&gt;"",V153&lt;&gt;"",W153&lt;&gt;""),"COMPLETADO","OBSERVADO")</f>
        <v>OBSERVADO</v>
      </c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85" t="str">
        <f aca="false">IF(AND(G154&lt;&gt;"",R154&lt;&gt;"",V154&lt;&gt;"",W154&lt;&gt;""),"COMPLETADO","OBSERVADO")</f>
        <v>OBSERVADO</v>
      </c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  <c r="Z155" s="185" t="str">
        <f aca="false">IF(AND(G155&lt;&gt;"",R155&lt;&gt;"",V155&lt;&gt;"",W155&lt;&gt;""),"COMPLETADO","OBSERVADO")</f>
        <v>OBSERVADO</v>
      </c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85" t="str">
        <f aca="false">IF(AND(G156&lt;&gt;"",R156&lt;&gt;"",V156&lt;&gt;"",W156&lt;&gt;""),"COMPLETADO","OBSERVADO")</f>
        <v>OBSERVADO</v>
      </c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  <c r="Z157" s="185" t="str">
        <f aca="false">IF(AND(G157&lt;&gt;"",R157&lt;&gt;"",V157&lt;&gt;"",W157&lt;&gt;""),"COMPLETADO","OBSERVADO")</f>
        <v>OBSERVADO</v>
      </c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85" t="str">
        <f aca="false">IF(AND(G158&lt;&gt;"",R158&lt;&gt;"",V158&lt;&gt;"",W158&lt;&gt;""),"COMPLETADO","OBSERVADO")</f>
        <v>OBSERVADO</v>
      </c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  <c r="Z159" s="185" t="str">
        <f aca="false">IF(AND(G159&lt;&gt;"",R159&lt;&gt;"",V159&lt;&gt;"",W159&lt;&gt;""),"COMPLETADO","OBSERVADO")</f>
        <v>OBSERVADO</v>
      </c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85" t="str">
        <f aca="false">IF(AND(G160&lt;&gt;"",R160&lt;&gt;"",V160&lt;&gt;"",W160&lt;&gt;""),"COMPLETADO","OBSERVADO")</f>
        <v>OBSERVADO</v>
      </c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  <c r="Z161" s="185" t="str">
        <f aca="false">IF(AND(G161&lt;&gt;"",R161&lt;&gt;"",V161&lt;&gt;"",W161&lt;&gt;""),"COMPLETADO","OBSERVADO")</f>
        <v>OBSERVADO</v>
      </c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85" t="str">
        <f aca="false">IF(AND(G162&lt;&gt;"",R162&lt;&gt;"",V162&lt;&gt;"",W162&lt;&gt;""),"COMPLETADO","OBSERVADO")</f>
        <v>OBSERVADO</v>
      </c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  <c r="Z163" s="185" t="str">
        <f aca="false">IF(AND(G163&lt;&gt;"",R163&lt;&gt;"",V163&lt;&gt;"",W163&lt;&gt;""),"COMPLETADO","OBSERVADO")</f>
        <v>OBSERVADO</v>
      </c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85" t="str">
        <f aca="false">IF(AND(G164&lt;&gt;"",R164&lt;&gt;"",V164&lt;&gt;"",W164&lt;&gt;""),"COMPLETADO","OBSERVADO")</f>
        <v>OBSERVADO</v>
      </c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  <c r="Z165" s="185" t="str">
        <f aca="false">IF(AND(G165&lt;&gt;"",R165&lt;&gt;"",V165&lt;&gt;"",W165&lt;&gt;""),"COMPLETADO","OBSERVADO")</f>
        <v>OBSERVADO</v>
      </c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85" t="str">
        <f aca="false">IF(AND(G166&lt;&gt;"",R166&lt;&gt;"",V166&lt;&gt;"",W166&lt;&gt;""),"COMPLETADO","OBSERVADO")</f>
        <v>OBSERVADO</v>
      </c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  <c r="Z167" s="185" t="str">
        <f aca="false">IF(AND(G167&lt;&gt;"",R167&lt;&gt;"",V167&lt;&gt;"",W167&lt;&gt;""),"COMPLETADO","OBSERVADO")</f>
        <v>OBSERVADO</v>
      </c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85" t="str">
        <f aca="false">IF(AND(G168&lt;&gt;"",R168&lt;&gt;"",V168&lt;&gt;"",W168&lt;&gt;""),"COMPLETADO","OBSERVADO")</f>
        <v>OBSERVADO</v>
      </c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  <c r="Z169" s="185" t="str">
        <f aca="false">IF(AND(G169&lt;&gt;"",R169&lt;&gt;"",V169&lt;&gt;"",W169&lt;&gt;""),"COMPLETADO","OBSERVADO")</f>
        <v>OBSERVADO</v>
      </c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85" t="str">
        <f aca="false">IF(AND(G170&lt;&gt;"",R170&lt;&gt;"",V170&lt;&gt;"",W170&lt;&gt;""),"COMPLETADO","OBSERVADO")</f>
        <v>OBSERVADO</v>
      </c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  <c r="Z171" s="185" t="str">
        <f aca="false">IF(AND(G171&lt;&gt;"",R171&lt;&gt;"",V171&lt;&gt;"",W171&lt;&gt;""),"COMPLETADO","OBSERVADO")</f>
        <v>OBSERVADO</v>
      </c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85" t="str">
        <f aca="false">IF(AND(G172&lt;&gt;"",R172&lt;&gt;"",V172&lt;&gt;"",W172&lt;&gt;""),"COMPLETADO","OBSERVADO")</f>
        <v>OBSERVADO</v>
      </c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  <c r="Z173" s="185" t="str">
        <f aca="false">IF(AND(G173&lt;&gt;"",R173&lt;&gt;"",V173&lt;&gt;"",W173&lt;&gt;""),"COMPLETADO","OBSERVADO")</f>
        <v>OBSERVADO</v>
      </c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85" t="str">
        <f aca="false">IF(AND(G174&lt;&gt;"",R174&lt;&gt;"",V174&lt;&gt;"",W174&lt;&gt;""),"COMPLETADO","OBSERVADO")</f>
        <v>OBSERVADO</v>
      </c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  <c r="Z175" s="185" t="str">
        <f aca="false">IF(AND(G175&lt;&gt;"",R175&lt;&gt;"",V175&lt;&gt;"",W175&lt;&gt;""),"COMPLETADO","OBSERVADO")</f>
        <v>OBSERVADO</v>
      </c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85" t="str">
        <f aca="false">IF(AND(G176&lt;&gt;"",R176&lt;&gt;"",V176&lt;&gt;"",W176&lt;&gt;""),"COMPLETADO","OBSERVADO")</f>
        <v>OBSERVADO</v>
      </c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  <c r="Z177" s="185" t="str">
        <f aca="false">IF(AND(G177&lt;&gt;"",R177&lt;&gt;"",V177&lt;&gt;"",W177&lt;&gt;""),"COMPLETADO","OBSERVADO")</f>
        <v>OBSERVADO</v>
      </c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85" t="str">
        <f aca="false">IF(AND(G178&lt;&gt;"",R178&lt;&gt;"",V178&lt;&gt;"",W178&lt;&gt;""),"COMPLETADO","OBSERVADO")</f>
        <v>OBSERVADO</v>
      </c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  <c r="Z179" s="185" t="str">
        <f aca="false">IF(AND(G179&lt;&gt;"",R179&lt;&gt;"",V179&lt;&gt;"",W179&lt;&gt;""),"COMPLETADO","OBSERVADO")</f>
        <v>OBSERVADO</v>
      </c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85" t="str">
        <f aca="false">IF(AND(G180&lt;&gt;"",R180&lt;&gt;"",V180&lt;&gt;"",W180&lt;&gt;""),"COMPLETADO","OBSERVADO")</f>
        <v>OBSERVADO</v>
      </c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  <c r="Z181" s="185" t="str">
        <f aca="false">IF(AND(G181&lt;&gt;"",R181&lt;&gt;"",V181&lt;&gt;"",W181&lt;&gt;""),"COMPLETADO","OBSERVADO")</f>
        <v>OBSERVADO</v>
      </c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85" t="str">
        <f aca="false">IF(AND(G182&lt;&gt;"",R182&lt;&gt;"",V182&lt;&gt;"",W182&lt;&gt;""),"COMPLETADO","OBSERVADO")</f>
        <v>OBSERVADO</v>
      </c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  <c r="Z183" s="185" t="str">
        <f aca="false">IF(AND(G183&lt;&gt;"",R183&lt;&gt;"",V183&lt;&gt;"",W183&lt;&gt;""),"COMPLETADO","OBSERVADO")</f>
        <v>OBSERVADO</v>
      </c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85" t="str">
        <f aca="false">IF(AND(G184&lt;&gt;"",R184&lt;&gt;"",V184&lt;&gt;"",W184&lt;&gt;""),"COMPLETADO","OBSERVADO")</f>
        <v>OBSERVADO</v>
      </c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  <c r="Z185" s="185" t="str">
        <f aca="false">IF(AND(G185&lt;&gt;"",R185&lt;&gt;"",V185&lt;&gt;"",W185&lt;&gt;""),"COMPLETADO","OBSERVADO")</f>
        <v>OBSERVADO</v>
      </c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85" t="str">
        <f aca="false">IF(AND(G186&lt;&gt;"",R186&lt;&gt;"",V186&lt;&gt;"",W186&lt;&gt;""),"COMPLETADO","OBSERVADO")</f>
        <v>OBSERVADO</v>
      </c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  <c r="Z187" s="185" t="str">
        <f aca="false">IF(AND(G187&lt;&gt;"",R187&lt;&gt;"",V187&lt;&gt;"",W187&lt;&gt;""),"COMPLETADO","OBSERVADO")</f>
        <v>OBSERVADO</v>
      </c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85" t="str">
        <f aca="false">IF(AND(G188&lt;&gt;"",R188&lt;&gt;"",V188&lt;&gt;"",W188&lt;&gt;""),"COMPLETADO","OBSERVADO")</f>
        <v>OBSERVADO</v>
      </c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  <c r="Z189" s="185" t="str">
        <f aca="false">IF(AND(G189&lt;&gt;"",R189&lt;&gt;"",V189&lt;&gt;"",W189&lt;&gt;""),"COMPLETADO","OBSERVADO")</f>
        <v>OBSERVADO</v>
      </c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85" t="str">
        <f aca="false">IF(AND(G190&lt;&gt;"",R190&lt;&gt;"",V190&lt;&gt;"",W190&lt;&gt;""),"COMPLETADO","OBSERVADO")</f>
        <v>OBSERVADO</v>
      </c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  <c r="Z191" s="185" t="str">
        <f aca="false">IF(AND(G191&lt;&gt;"",R191&lt;&gt;"",V191&lt;&gt;"",W191&lt;&gt;""),"COMPLETADO","OBSERVADO")</f>
        <v>OBSERVADO</v>
      </c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85" t="str">
        <f aca="false">IF(AND(G192&lt;&gt;"",R192&lt;&gt;"",V192&lt;&gt;"",W192&lt;&gt;""),"COMPLETADO","OBSERVADO")</f>
        <v>OBSERVADO</v>
      </c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  <c r="Z193" s="185" t="str">
        <f aca="false">IF(AND(G193&lt;&gt;"",R193&lt;&gt;"",V193&lt;&gt;"",W193&lt;&gt;""),"COMPLETADO","OBSERVADO")</f>
        <v>OBSERVADO</v>
      </c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85" t="str">
        <f aca="false">IF(AND(G194&lt;&gt;"",R194&lt;&gt;"",V194&lt;&gt;"",W194&lt;&gt;""),"COMPLETADO","OBSERVADO")</f>
        <v>OBSERVADO</v>
      </c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  <c r="Z195" s="185" t="str">
        <f aca="false">IF(AND(G195&lt;&gt;"",R195&lt;&gt;"",V195&lt;&gt;"",W195&lt;&gt;""),"COMPLETADO","OBSERVADO")</f>
        <v>OBSERVADO</v>
      </c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85" t="str">
        <f aca="false">IF(AND(G196&lt;&gt;"",R196&lt;&gt;"",V196&lt;&gt;"",W196&lt;&gt;""),"COMPLETADO","OBSERVADO")</f>
        <v>OBSERVADO</v>
      </c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  <c r="Z197" s="185" t="str">
        <f aca="false">IF(AND(G197&lt;&gt;"",R197&lt;&gt;"",V197&lt;&gt;"",W197&lt;&gt;""),"COMPLETADO","OBSERVADO")</f>
        <v>OBSERVADO</v>
      </c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85" t="str">
        <f aca="false">IF(AND(G198&lt;&gt;"",R198&lt;&gt;"",V198&lt;&gt;"",W198&lt;&gt;""),"COMPLETADO","OBSERVADO")</f>
        <v>OBSERVADO</v>
      </c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  <c r="Z199" s="185" t="str">
        <f aca="false">IF(AND(G199&lt;&gt;"",R199&lt;&gt;"",V199&lt;&gt;"",W199&lt;&gt;""),"COMPLETADO","OBSERVADO")</f>
        <v>OBSERVADO</v>
      </c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85" t="str">
        <f aca="false">IF(AND(G200&lt;&gt;"",R200&lt;&gt;"",V200&lt;&gt;"",W200&lt;&gt;""),"COMPLETADO","OBSERVADO")</f>
        <v>OBSERVADO</v>
      </c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  <c r="Z201" s="185" t="str">
        <f aca="false">IF(AND(G201&lt;&gt;"",R201&lt;&gt;"",V201&lt;&gt;"",W201&lt;&gt;""),"COMPLETADO","OBSERVADO")</f>
        <v>OBSERVADO</v>
      </c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85" t="str">
        <f aca="false">IF(AND(G202&lt;&gt;"",R202&lt;&gt;"",V202&lt;&gt;"",W202&lt;&gt;""),"COMPLETADO","OBSERVADO")</f>
        <v>OBSERVADO</v>
      </c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  <c r="Z203" s="185" t="str">
        <f aca="false">IF(AND(G203&lt;&gt;"",R203&lt;&gt;"",V203&lt;&gt;"",W203&lt;&gt;""),"COMPLETADO","OBSERVADO")</f>
        <v>OBSERVADO</v>
      </c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85" t="str">
        <f aca="false">IF(AND(G204&lt;&gt;"",R204&lt;&gt;"",V204&lt;&gt;"",W204&lt;&gt;""),"COMPLETADO","OBSERVADO")</f>
        <v>OBSERVADO</v>
      </c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  <c r="Z205" s="185" t="str">
        <f aca="false">IF(AND(G205&lt;&gt;"",R205&lt;&gt;"",V205&lt;&gt;"",W205&lt;&gt;""),"COMPLETADO","OBSERVADO")</f>
        <v>OBSERVADO</v>
      </c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85" t="str">
        <f aca="false">IF(AND(G206&lt;&gt;"",R206&lt;&gt;"",V206&lt;&gt;"",W206&lt;&gt;""),"COMPLETADO","OBSERVADO")</f>
        <v>OBSERVADO</v>
      </c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  <c r="Z207" s="185" t="str">
        <f aca="false">IF(AND(G207&lt;&gt;"",R207&lt;&gt;"",V207&lt;&gt;"",W207&lt;&gt;""),"COMPLETADO","OBSERVADO")</f>
        <v>OBSERVADO</v>
      </c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85" t="str">
        <f aca="false">IF(AND(G208&lt;&gt;"",R208&lt;&gt;"",V208&lt;&gt;"",W208&lt;&gt;""),"COMPLETADO","OBSERVADO")</f>
        <v>OBSERVADO</v>
      </c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  <c r="Z209" s="185" t="str">
        <f aca="false">IF(AND(G209&lt;&gt;"",R209&lt;&gt;"",V209&lt;&gt;"",W209&lt;&gt;""),"COMPLETADO","OBSERVADO")</f>
        <v>OBSERVADO</v>
      </c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85" t="str">
        <f aca="false">IF(AND(G210&lt;&gt;"",R210&lt;&gt;"",V210&lt;&gt;"",W210&lt;&gt;""),"COMPLETADO","OBSERVADO")</f>
        <v>OBSERVADO</v>
      </c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  <c r="Z211" s="185" t="str">
        <f aca="false">IF(AND(G211&lt;&gt;"",R211&lt;&gt;"",V211&lt;&gt;"",W211&lt;&gt;""),"COMPLETADO","OBSERVADO")</f>
        <v>OBSERVADO</v>
      </c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85" t="str">
        <f aca="false">IF(AND(G212&lt;&gt;"",R212&lt;&gt;"",V212&lt;&gt;"",W212&lt;&gt;""),"COMPLETADO","OBSERVADO")</f>
        <v>OBSERVADO</v>
      </c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  <c r="Z213" s="185" t="str">
        <f aca="false">IF(AND(G213&lt;&gt;"",R213&lt;&gt;"",V213&lt;&gt;"",W213&lt;&gt;""),"COMPLETADO","OBSERVADO")</f>
        <v>OBSERVADO</v>
      </c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85" t="str">
        <f aca="false">IF(AND(G214&lt;&gt;"",R214&lt;&gt;"",V214&lt;&gt;"",W214&lt;&gt;""),"COMPLETADO","OBSERVADO")</f>
        <v>OBSERVADO</v>
      </c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  <c r="Z215" s="185" t="str">
        <f aca="false">IF(AND(G215&lt;&gt;"",R215&lt;&gt;"",V215&lt;&gt;"",W215&lt;&gt;""),"COMPLETADO","OBSERVADO")</f>
        <v>OBSERVADO</v>
      </c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85" t="str">
        <f aca="false">IF(AND(G216&lt;&gt;"",R216&lt;&gt;"",V216&lt;&gt;"",W216&lt;&gt;""),"COMPLETADO","OBSERVADO")</f>
        <v>OBSERVADO</v>
      </c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  <c r="Z217" s="185" t="str">
        <f aca="false">IF(AND(G217&lt;&gt;"",R217&lt;&gt;"",V217&lt;&gt;"",W217&lt;&gt;""),"COMPLETADO","OBSERVADO")</f>
        <v>OBSERVADO</v>
      </c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85" t="str">
        <f aca="false">IF(AND(G218&lt;&gt;"",R218&lt;&gt;"",V218&lt;&gt;"",W218&lt;&gt;""),"COMPLETADO","OBSERVADO")</f>
        <v>OBSERVADO</v>
      </c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  <c r="Z219" s="185" t="str">
        <f aca="false">IF(AND(G219&lt;&gt;"",R219&lt;&gt;"",V219&lt;&gt;"",W219&lt;&gt;""),"COMPLETADO","OBSERVADO")</f>
        <v>OBSERVADO</v>
      </c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85" t="str">
        <f aca="false">IF(AND(G220&lt;&gt;"",R220&lt;&gt;"",V220&lt;&gt;"",W220&lt;&gt;""),"COMPLETADO","OBSERVADO")</f>
        <v>OBSERVADO</v>
      </c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  <c r="Z221" s="185" t="str">
        <f aca="false">IF(AND(G221&lt;&gt;"",R221&lt;&gt;"",V221&lt;&gt;"",W221&lt;&gt;""),"COMPLETADO","OBSERVADO")</f>
        <v>OBSERVADO</v>
      </c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85" t="str">
        <f aca="false">IF(AND(G222&lt;&gt;"",R222&lt;&gt;"",V222&lt;&gt;"",W222&lt;&gt;""),"COMPLETADO","OBSERVADO")</f>
        <v>OBSERVADO</v>
      </c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  <c r="Z223" s="185" t="str">
        <f aca="false">IF(AND(G223&lt;&gt;"",R223&lt;&gt;"",V223&lt;&gt;"",W223&lt;&gt;""),"COMPLETADO","OBSERVADO")</f>
        <v>OBSERVADO</v>
      </c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85" t="str">
        <f aca="false">IF(AND(G224&lt;&gt;"",R224&lt;&gt;"",V224&lt;&gt;"",W224&lt;&gt;""),"COMPLETADO","OBSERVADO")</f>
        <v>OBSERVADO</v>
      </c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  <c r="Z225" s="185" t="str">
        <f aca="false">IF(AND(G225&lt;&gt;"",R225&lt;&gt;"",V225&lt;&gt;"",W225&lt;&gt;""),"COMPLETADO","OBSERVADO")</f>
        <v>OBSERVADO</v>
      </c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85" t="str">
        <f aca="false">IF(AND(G226&lt;&gt;"",R226&lt;&gt;"",V226&lt;&gt;"",W226&lt;&gt;""),"COMPLETADO","OBSERVADO")</f>
        <v>OBSERVADO</v>
      </c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  <c r="Z227" s="185" t="str">
        <f aca="false">IF(AND(G227&lt;&gt;"",R227&lt;&gt;"",V227&lt;&gt;"",W227&lt;&gt;""),"COMPLETADO","OBSERVADO")</f>
        <v>OBSERVADO</v>
      </c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85" t="str">
        <f aca="false">IF(AND(G228&lt;&gt;"",R228&lt;&gt;"",V228&lt;&gt;"",W228&lt;&gt;""),"COMPLETADO","OBSERVADO")</f>
        <v>OBSERVADO</v>
      </c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  <c r="Z229" s="185" t="str">
        <f aca="false">IF(AND(G229&lt;&gt;"",R229&lt;&gt;"",V229&lt;&gt;"",W229&lt;&gt;""),"COMPLETADO","OBSERVADO")</f>
        <v>OBSERVADO</v>
      </c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85" t="str">
        <f aca="false">IF(AND(G230&lt;&gt;"",R230&lt;&gt;"",V230&lt;&gt;"",W230&lt;&gt;""),"COMPLETADO","OBSERVADO")</f>
        <v>OBSERVADO</v>
      </c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  <c r="Z231" s="185" t="str">
        <f aca="false">IF(AND(G231&lt;&gt;"",R231&lt;&gt;"",V231&lt;&gt;"",W231&lt;&gt;""),"COMPLETADO","OBSERVADO")</f>
        <v>OBSERVADO</v>
      </c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85" t="str">
        <f aca="false">IF(AND(G232&lt;&gt;"",R232&lt;&gt;"",V232&lt;&gt;"",W232&lt;&gt;""),"COMPLETADO","OBSERVADO")</f>
        <v>OBSERVADO</v>
      </c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  <c r="Z233" s="185" t="str">
        <f aca="false">IF(AND(G233&lt;&gt;"",R233&lt;&gt;"",V233&lt;&gt;"",W233&lt;&gt;""),"COMPLETADO","OBSERVADO")</f>
        <v>OBSERVADO</v>
      </c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85" t="str">
        <f aca="false">IF(AND(G234&lt;&gt;"",R234&lt;&gt;"",V234&lt;&gt;"",W234&lt;&gt;""),"COMPLETADO","OBSERVADO")</f>
        <v>OBSERVADO</v>
      </c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  <c r="Z235" s="185" t="str">
        <f aca="false">IF(AND(G235&lt;&gt;"",R235&lt;&gt;"",V235&lt;&gt;"",W235&lt;&gt;""),"COMPLETADO","OBSERVADO")</f>
        <v>OBSERVADO</v>
      </c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85" t="str">
        <f aca="false">IF(AND(G236&lt;&gt;"",R236&lt;&gt;"",V236&lt;&gt;"",W236&lt;&gt;""),"COMPLETADO","OBSERVADO")</f>
        <v>OBSERVADO</v>
      </c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  <c r="Z237" s="185" t="str">
        <f aca="false">IF(AND(G237&lt;&gt;"",R237&lt;&gt;"",V237&lt;&gt;"",W237&lt;&gt;""),"COMPLETADO","OBSERVADO")</f>
        <v>OBSERVADO</v>
      </c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85" t="str">
        <f aca="false">IF(AND(G238&lt;&gt;"",R238&lt;&gt;"",V238&lt;&gt;"",W238&lt;&gt;""),"COMPLETADO","OBSERVADO")</f>
        <v>OBSERVADO</v>
      </c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  <c r="Z239" s="185" t="str">
        <f aca="false">IF(AND(G239&lt;&gt;"",R239&lt;&gt;"",V239&lt;&gt;"",W239&lt;&gt;""),"COMPLETADO","OBSERVADO")</f>
        <v>OBSERVADO</v>
      </c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85" t="str">
        <f aca="false">IF(AND(G240&lt;&gt;"",R240&lt;&gt;"",V240&lt;&gt;"",W240&lt;&gt;""),"COMPLETADO","OBSERVADO")</f>
        <v>OBSERVADO</v>
      </c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  <c r="Z241" s="185" t="str">
        <f aca="false">IF(AND(G241&lt;&gt;"",R241&lt;&gt;"",V241&lt;&gt;"",W241&lt;&gt;""),"COMPLETADO","OBSERVADO")</f>
        <v>OBSERVADO</v>
      </c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85" t="str">
        <f aca="false">IF(AND(G242&lt;&gt;"",R242&lt;&gt;"",V242&lt;&gt;"",W242&lt;&gt;""),"COMPLETADO","OBSERVADO")</f>
        <v>OBSERVADO</v>
      </c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  <c r="Z243" s="185" t="str">
        <f aca="false">IF(AND(G243&lt;&gt;"",R243&lt;&gt;"",V243&lt;&gt;"",W243&lt;&gt;""),"COMPLETADO","OBSERVADO")</f>
        <v>OBSERVADO</v>
      </c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85" t="str">
        <f aca="false">IF(AND(G244&lt;&gt;"",R244&lt;&gt;"",V244&lt;&gt;"",W244&lt;&gt;""),"COMPLETADO","OBSERVADO")</f>
        <v>OBSERVADO</v>
      </c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  <c r="Z245" s="185" t="str">
        <f aca="false">IF(AND(G245&lt;&gt;"",R245&lt;&gt;"",V245&lt;&gt;"",W245&lt;&gt;""),"COMPLETADO","OBSERVADO")</f>
        <v>OBSERVADO</v>
      </c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85" t="str">
        <f aca="false">IF(AND(G246&lt;&gt;"",R246&lt;&gt;"",V246&lt;&gt;"",W246&lt;&gt;""),"COMPLETADO","OBSERVADO")</f>
        <v>OBSERVADO</v>
      </c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  <c r="Z247" s="185" t="str">
        <f aca="false">IF(AND(G247&lt;&gt;"",R247&lt;&gt;"",V247&lt;&gt;"",W247&lt;&gt;""),"COMPLETADO","OBSERVADO")</f>
        <v>OBSERVADO</v>
      </c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85" t="str">
        <f aca="false">IF(AND(G248&lt;&gt;"",R248&lt;&gt;"",V248&lt;&gt;"",W248&lt;&gt;""),"COMPLETADO","OBSERVADO")</f>
        <v>OBSERVADO</v>
      </c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  <c r="Z249" s="185" t="str">
        <f aca="false">IF(AND(G249&lt;&gt;"",R249&lt;&gt;"",V249&lt;&gt;"",W249&lt;&gt;""),"COMPLETADO","OBSERVADO")</f>
        <v>OBSERVADO</v>
      </c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85" t="str">
        <f aca="false">IF(AND(G250&lt;&gt;"",R250&lt;&gt;"",V250&lt;&gt;"",W250&lt;&gt;""),"COMPLETADO","OBSERVADO")</f>
        <v>OBSERVADO</v>
      </c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  <c r="Z251" s="185" t="str">
        <f aca="false">IF(AND(G251&lt;&gt;"",R251&lt;&gt;"",V251&lt;&gt;"",W251&lt;&gt;""),"COMPLETADO","OBSERVADO")</f>
        <v>OBSERVADO</v>
      </c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85" t="str">
        <f aca="false">IF(AND(G252&lt;&gt;"",R252&lt;&gt;"",V252&lt;&gt;"",W252&lt;&gt;""),"COMPLETADO","OBSERVADO")</f>
        <v>OBSERVADO</v>
      </c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  <c r="Z253" s="185" t="str">
        <f aca="false">IF(AND(G253&lt;&gt;"",R253&lt;&gt;"",V253&lt;&gt;"",W253&lt;&gt;""),"COMPLETADO","OBSERVADO")</f>
        <v>OBSERVADO</v>
      </c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85" t="str">
        <f aca="false">IF(AND(G254&lt;&gt;"",R254&lt;&gt;"",V254&lt;&gt;"",W254&lt;&gt;""),"COMPLETADO","OBSERVADO")</f>
        <v>OBSERVADO</v>
      </c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  <c r="Z255" s="185" t="str">
        <f aca="false">IF(AND(G255&lt;&gt;"",R255&lt;&gt;"",V255&lt;&gt;"",W255&lt;&gt;""),"COMPLETADO","OBSERVADO")</f>
        <v>OBSERVADO</v>
      </c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85" t="str">
        <f aca="false">IF(AND(G256&lt;&gt;"",R256&lt;&gt;"",V256&lt;&gt;"",W256&lt;&gt;""),"COMPLETADO","OBSERVADO")</f>
        <v>OBSERVADO</v>
      </c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  <c r="Z257" s="185" t="str">
        <f aca="false">IF(AND(G257&lt;&gt;"",R257&lt;&gt;"",V257&lt;&gt;"",W257&lt;&gt;""),"COMPLETADO","OBSERVADO")</f>
        <v>OBSERVADO</v>
      </c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85" t="str">
        <f aca="false">IF(AND(G258&lt;&gt;"",R258&lt;&gt;"",V258&lt;&gt;"",W258&lt;&gt;""),"COMPLETADO","OBSERVADO")</f>
        <v>OBSERVADO</v>
      </c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  <c r="Z259" s="185" t="str">
        <f aca="false">IF(AND(G259&lt;&gt;"",R259&lt;&gt;"",V259&lt;&gt;"",W259&lt;&gt;""),"COMPLETADO","OBSERVADO")</f>
        <v>OBSERVADO</v>
      </c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85" t="str">
        <f aca="false">IF(AND(G260&lt;&gt;"",R260&lt;&gt;"",V260&lt;&gt;"",W260&lt;&gt;""),"COMPLETADO","OBSERVADO")</f>
        <v>OBSERVADO</v>
      </c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  <c r="Z261" s="185" t="str">
        <f aca="false">IF(AND(G261&lt;&gt;"",R261&lt;&gt;"",V261&lt;&gt;"",W261&lt;&gt;""),"COMPLETADO","OBSERVADO")</f>
        <v>OBSERVADO</v>
      </c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85" t="str">
        <f aca="false">IF(AND(G262&lt;&gt;"",R262&lt;&gt;"",V262&lt;&gt;"",W262&lt;&gt;""),"COMPLETADO","OBSERVADO")</f>
        <v>OBSERVADO</v>
      </c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  <c r="Z263" s="185" t="str">
        <f aca="false">IF(AND(G263&lt;&gt;"",R263&lt;&gt;"",V263&lt;&gt;"",W263&lt;&gt;""),"COMPLETADO","OBSERVADO")</f>
        <v>OBSERVADO</v>
      </c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85" t="str">
        <f aca="false">IF(AND(G264&lt;&gt;"",R264&lt;&gt;"",V264&lt;&gt;"",W264&lt;&gt;""),"COMPLETADO","OBSERVADO")</f>
        <v>OBSERVADO</v>
      </c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  <c r="Z265" s="185" t="str">
        <f aca="false">IF(AND(G265&lt;&gt;"",R265&lt;&gt;"",V265&lt;&gt;"",W265&lt;&gt;""),"COMPLETADO","OBSERVADO")</f>
        <v>OBSERVADO</v>
      </c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85" t="str">
        <f aca="false">IF(AND(G266&lt;&gt;"",R266&lt;&gt;"",V266&lt;&gt;"",W266&lt;&gt;""),"COMPLETADO","OBSERVADO")</f>
        <v>OBSERVADO</v>
      </c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  <c r="Z267" s="185" t="str">
        <f aca="false">IF(AND(G267&lt;&gt;"",R267&lt;&gt;"",V267&lt;&gt;"",W267&lt;&gt;""),"COMPLETADO","OBSERVADO")</f>
        <v>OBSERVADO</v>
      </c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85" t="str">
        <f aca="false">IF(AND(G268&lt;&gt;"",R268&lt;&gt;"",V268&lt;&gt;"",W268&lt;&gt;""),"COMPLETADO","OBSERVADO")</f>
        <v>OBSERVADO</v>
      </c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  <c r="Z269" s="185" t="str">
        <f aca="false">IF(AND(G269&lt;&gt;"",R269&lt;&gt;"",V269&lt;&gt;"",W269&lt;&gt;""),"COMPLETADO","OBSERVADO")</f>
        <v>OBSERVADO</v>
      </c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85" t="str">
        <f aca="false">IF(AND(G270&lt;&gt;"",R270&lt;&gt;"",V270&lt;&gt;"",W270&lt;&gt;""),"COMPLETADO","OBSERVADO")</f>
        <v>OBSERVADO</v>
      </c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  <c r="Z271" s="185" t="str">
        <f aca="false">IF(AND(G271&lt;&gt;"",R271&lt;&gt;"",V271&lt;&gt;"",W271&lt;&gt;""),"COMPLETADO","OBSERVADO")</f>
        <v>OBSERVADO</v>
      </c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85" t="str">
        <f aca="false">IF(AND(G272&lt;&gt;"",R272&lt;&gt;"",V272&lt;&gt;"",W272&lt;&gt;""),"COMPLETADO","OBSERVADO")</f>
        <v>OBSERVADO</v>
      </c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  <c r="Z273" s="185" t="str">
        <f aca="false">IF(AND(G273&lt;&gt;"",R273&lt;&gt;"",V273&lt;&gt;"",W273&lt;&gt;""),"COMPLETADO","OBSERVADO")</f>
        <v>OBSERVADO</v>
      </c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85" t="str">
        <f aca="false">IF(AND(G274&lt;&gt;"",R274&lt;&gt;"",V274&lt;&gt;"",W274&lt;&gt;""),"COMPLETADO","OBSERVADO")</f>
        <v>OBSERVADO</v>
      </c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  <c r="Z275" s="185" t="str">
        <f aca="false">IF(AND(G275&lt;&gt;"",R275&lt;&gt;"",V275&lt;&gt;"",W275&lt;&gt;""),"COMPLETADO","OBSERVADO")</f>
        <v>OBSERVADO</v>
      </c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85" t="str">
        <f aca="false">IF(AND(G276&lt;&gt;"",R276&lt;&gt;"",V276&lt;&gt;"",W276&lt;&gt;""),"COMPLETADO","OBSERVADO")</f>
        <v>OBSERVADO</v>
      </c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  <c r="Z277" s="185" t="str">
        <f aca="false">IF(AND(G277&lt;&gt;"",R277&lt;&gt;"",V277&lt;&gt;"",W277&lt;&gt;""),"COMPLETADO","OBSERVADO")</f>
        <v>OBSERVADO</v>
      </c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85" t="str">
        <f aca="false">IF(AND(G278&lt;&gt;"",R278&lt;&gt;"",V278&lt;&gt;"",W278&lt;&gt;""),"COMPLETADO","OBSERVADO")</f>
        <v>OBSERVADO</v>
      </c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  <c r="Z279" s="185" t="str">
        <f aca="false">IF(AND(G279&lt;&gt;"",R279&lt;&gt;"",V279&lt;&gt;"",W279&lt;&gt;""),"COMPLETADO","OBSERVADO")</f>
        <v>OBSERVADO</v>
      </c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85" t="str">
        <f aca="false">IF(AND(G280&lt;&gt;"",R280&lt;&gt;"",V280&lt;&gt;"",W280&lt;&gt;""),"COMPLETADO","OBSERVADO")</f>
        <v>OBSERVADO</v>
      </c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  <c r="Z281" s="185" t="str">
        <f aca="false">IF(AND(G281&lt;&gt;"",R281&lt;&gt;"",V281&lt;&gt;"",W281&lt;&gt;""),"COMPLETADO","OBSERVADO")</f>
        <v>OBSERVADO</v>
      </c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85" t="str">
        <f aca="false">IF(AND(G282&lt;&gt;"",R282&lt;&gt;"",V282&lt;&gt;"",W282&lt;&gt;""),"COMPLETADO","OBSERVADO")</f>
        <v>OBSERVADO</v>
      </c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  <c r="Z283" s="185" t="str">
        <f aca="false">IF(AND(G283&lt;&gt;"",R283&lt;&gt;"",V283&lt;&gt;"",W283&lt;&gt;""),"COMPLETADO","OBSERVADO")</f>
        <v>OBSERVADO</v>
      </c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85" t="str">
        <f aca="false">IF(AND(G284&lt;&gt;"",R284&lt;&gt;"",V284&lt;&gt;"",W284&lt;&gt;""),"COMPLETADO","OBSERVADO")</f>
        <v>OBSERVADO</v>
      </c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  <c r="Z285" s="185" t="str">
        <f aca="false">IF(AND(G285&lt;&gt;"",R285&lt;&gt;"",V285&lt;&gt;"",W285&lt;&gt;""),"COMPLETADO","OBSERVADO")</f>
        <v>OBSERVADO</v>
      </c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85" t="str">
        <f aca="false">IF(AND(G286&lt;&gt;"",R286&lt;&gt;"",V286&lt;&gt;"",W286&lt;&gt;""),"COMPLETADO","OBSERVADO")</f>
        <v>OBSERVADO</v>
      </c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  <c r="Z287" s="185" t="str">
        <f aca="false">IF(AND(G287&lt;&gt;"",R287&lt;&gt;"",V287&lt;&gt;"",W287&lt;&gt;""),"COMPLETADO","OBSERVADO")</f>
        <v>OBSERVADO</v>
      </c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85" t="str">
        <f aca="false">IF(AND(G288&lt;&gt;"",R288&lt;&gt;"",V288&lt;&gt;"",W288&lt;&gt;""),"COMPLETADO","OBSERVADO")</f>
        <v>OBSERVADO</v>
      </c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  <c r="Z289" s="185" t="str">
        <f aca="false">IF(AND(G289&lt;&gt;"",R289&lt;&gt;"",V289&lt;&gt;"",W289&lt;&gt;""),"COMPLETADO","OBSERVADO")</f>
        <v>OBSERVADO</v>
      </c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85" t="str">
        <f aca="false">IF(AND(G290&lt;&gt;"",R290&lt;&gt;"",V290&lt;&gt;"",W290&lt;&gt;""),"COMPLETADO","OBSERVADO")</f>
        <v>OBSERVADO</v>
      </c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  <c r="Z291" s="185" t="str">
        <f aca="false">IF(AND(G291&lt;&gt;"",R291&lt;&gt;"",V291&lt;&gt;"",W291&lt;&gt;""),"COMPLETADO","OBSERVADO")</f>
        <v>OBSERVADO</v>
      </c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85" t="str">
        <f aca="false">IF(AND(G292&lt;&gt;"",R292&lt;&gt;"",V292&lt;&gt;"",W292&lt;&gt;""),"COMPLETADO","OBSERVADO")</f>
        <v>OBSERVADO</v>
      </c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  <c r="Z293" s="185" t="str">
        <f aca="false">IF(AND(G293&lt;&gt;"",R293&lt;&gt;"",V293&lt;&gt;"",W293&lt;&gt;""),"COMPLETADO","OBSERVADO")</f>
        <v>OBSERVADO</v>
      </c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85" t="str">
        <f aca="false">IF(AND(G294&lt;&gt;"",R294&lt;&gt;"",V294&lt;&gt;"",W294&lt;&gt;""),"COMPLETADO","OBSERVADO")</f>
        <v>OBSERVADO</v>
      </c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  <c r="Z295" s="185" t="str">
        <f aca="false">IF(AND(G295&lt;&gt;"",R295&lt;&gt;"",V295&lt;&gt;"",W295&lt;&gt;""),"COMPLETADO","OBSERVADO")</f>
        <v>OBSERVADO</v>
      </c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85" t="str">
        <f aca="false">IF(AND(G296&lt;&gt;"",R296&lt;&gt;"",V296&lt;&gt;"",W296&lt;&gt;""),"COMPLETADO","OBSERVADO")</f>
        <v>OBSERVADO</v>
      </c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  <c r="Z297" s="185" t="str">
        <f aca="false">IF(AND(G297&lt;&gt;"",R297&lt;&gt;"",V297&lt;&gt;"",W297&lt;&gt;""),"COMPLETADO","OBSERVADO")</f>
        <v>OBSERVADO</v>
      </c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85" t="str">
        <f aca="false">IF(AND(G298&lt;&gt;"",R298&lt;&gt;"",V298&lt;&gt;"",W298&lt;&gt;""),"COMPLETADO","OBSERVADO")</f>
        <v>OBSERVADO</v>
      </c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  <c r="Z299" s="185" t="str">
        <f aca="false">IF(AND(G299&lt;&gt;"",R299&lt;&gt;"",V299&lt;&gt;"",W299&lt;&gt;""),"COMPLETADO","OBSERVADO")</f>
        <v>OBSERVADO</v>
      </c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85" t="str">
        <f aca="false">IF(AND(G300&lt;&gt;"",R300&lt;&gt;"",V300&lt;&gt;"",W300&lt;&gt;""),"COMPLETADO","OBSERVADO")</f>
        <v>OBSERVADO</v>
      </c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  <c r="Z301" s="185" t="str">
        <f aca="false">IF(AND(G301&lt;&gt;"",R301&lt;&gt;"",V301&lt;&gt;"",W301&lt;&gt;""),"COMPLETADO","OBSERVADO")</f>
        <v>OBSERVADO</v>
      </c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85" t="str">
        <f aca="false">IF(AND(G302&lt;&gt;"",R302&lt;&gt;"",V302&lt;&gt;"",W302&lt;&gt;""),"COMPLETADO","OBSERVADO")</f>
        <v>OBSERVADO</v>
      </c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  <c r="Z303" s="185" t="str">
        <f aca="false">IF(AND(G303&lt;&gt;"",R303&lt;&gt;"",V303&lt;&gt;"",W303&lt;&gt;""),"COMPLETADO","OBSERVADO")</f>
        <v>OBSERVADO</v>
      </c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85" t="str">
        <f aca="false">IF(AND(G304&lt;&gt;"",R304&lt;&gt;"",V304&lt;&gt;"",W304&lt;&gt;""),"COMPLETADO","OBSERVADO")</f>
        <v>OBSERVADO</v>
      </c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  <c r="Z305" s="185" t="str">
        <f aca="false">IF(AND(G305&lt;&gt;"",R305&lt;&gt;"",V305&lt;&gt;"",W305&lt;&gt;""),"COMPLETADO","OBSERVADO")</f>
        <v>OBSERVADO</v>
      </c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85" t="str">
        <f aca="false">IF(AND(G306&lt;&gt;"",R306&lt;&gt;"",V306&lt;&gt;"",W306&lt;&gt;""),"COMPLETADO","OBSERVADO")</f>
        <v>OBSERVADO</v>
      </c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  <c r="Z307" s="185" t="str">
        <f aca="false">IF(AND(G307&lt;&gt;"",R307&lt;&gt;"",V307&lt;&gt;"",W307&lt;&gt;""),"COMPLETADO","OBSERVADO")</f>
        <v>OBSERVADO</v>
      </c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85" t="str">
        <f aca="false">IF(AND(G308&lt;&gt;"",R308&lt;&gt;"",V308&lt;&gt;"",W308&lt;&gt;""),"COMPLETADO","OBSERVADO")</f>
        <v>OBSERVADO</v>
      </c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  <c r="Z309" s="185" t="str">
        <f aca="false">IF(AND(G309&lt;&gt;"",R309&lt;&gt;"",V309&lt;&gt;"",W309&lt;&gt;""),"COMPLETADO","OBSERVADO")</f>
        <v>OBSERVADO</v>
      </c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85" t="str">
        <f aca="false">IF(AND(G310&lt;&gt;"",R310&lt;&gt;"",V310&lt;&gt;"",W310&lt;&gt;""),"COMPLETADO","OBSERVADO")</f>
        <v>OBSERVADO</v>
      </c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  <c r="Z311" s="185" t="str">
        <f aca="false">IF(AND(G311&lt;&gt;"",R311&lt;&gt;"",V311&lt;&gt;"",W311&lt;&gt;""),"COMPLETADO","OBSERVADO")</f>
        <v>OBSERVADO</v>
      </c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85" t="str">
        <f aca="false">IF(AND(G312&lt;&gt;"",R312&lt;&gt;"",V312&lt;&gt;"",W312&lt;&gt;""),"COMPLETADO","OBSERVADO")</f>
        <v>OBSERVADO</v>
      </c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  <c r="Z313" s="185" t="str">
        <f aca="false">IF(AND(G313&lt;&gt;"",R313&lt;&gt;"",V313&lt;&gt;"",W313&lt;&gt;""),"COMPLETADO","OBSERVADO")</f>
        <v>OBSERVADO</v>
      </c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85" t="str">
        <f aca="false">IF(AND(G314&lt;&gt;"",R314&lt;&gt;"",V314&lt;&gt;"",W314&lt;&gt;""),"COMPLETADO","OBSERVADO")</f>
        <v>OBSERVADO</v>
      </c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  <c r="Z315" s="185" t="str">
        <f aca="false">IF(AND(G315&lt;&gt;"",R315&lt;&gt;"",V315&lt;&gt;"",W315&lt;&gt;""),"COMPLETADO","OBSERVADO")</f>
        <v>OBSERVADO</v>
      </c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85" t="str">
        <f aca="false">IF(AND(G316&lt;&gt;"",R316&lt;&gt;"",V316&lt;&gt;"",W316&lt;&gt;""),"COMPLETADO","OBSERVADO")</f>
        <v>OBSERVADO</v>
      </c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  <c r="Z317" s="185" t="str">
        <f aca="false">IF(AND(G317&lt;&gt;"",R317&lt;&gt;"",V317&lt;&gt;"",W317&lt;&gt;""),"COMPLETADO","OBSERVADO")</f>
        <v>OBSERVADO</v>
      </c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85" t="str">
        <f aca="false">IF(AND(G318&lt;&gt;"",R318&lt;&gt;"",V318&lt;&gt;"",W318&lt;&gt;""),"COMPLETADO","OBSERVADO")</f>
        <v>OBSERVADO</v>
      </c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  <c r="Z319" s="185" t="str">
        <f aca="false">IF(AND(G319&lt;&gt;"",R319&lt;&gt;"",V319&lt;&gt;"",W319&lt;&gt;""),"COMPLETADO","OBSERVADO")</f>
        <v>OBSERVADO</v>
      </c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85" t="str">
        <f aca="false">IF(AND(G320&lt;&gt;"",R320&lt;&gt;"",V320&lt;&gt;"",W320&lt;&gt;""),"COMPLETADO","OBSERVADO")</f>
        <v>OBSERVADO</v>
      </c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  <c r="Z321" s="185" t="str">
        <f aca="false">IF(AND(G321&lt;&gt;"",R321&lt;&gt;"",V321&lt;&gt;"",W321&lt;&gt;""),"COMPLETADO","OBSERVADO")</f>
        <v>OBSERVADO</v>
      </c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85" t="str">
        <f aca="false">IF(AND(G322&lt;&gt;"",R322&lt;&gt;"",V322&lt;&gt;"",W322&lt;&gt;""),"COMPLETADO","OBSERVADO")</f>
        <v>OBSERVADO</v>
      </c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  <c r="Z323" s="185" t="str">
        <f aca="false">IF(AND(G323&lt;&gt;"",R323&lt;&gt;"",V323&lt;&gt;"",W323&lt;&gt;""),"COMPLETADO","OBSERVADO")</f>
        <v>OBSERVADO</v>
      </c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85" t="str">
        <f aca="false">IF(AND(G324&lt;&gt;"",R324&lt;&gt;"",V324&lt;&gt;"",W324&lt;&gt;""),"COMPLETADO","OBSERVADO")</f>
        <v>OBSERVADO</v>
      </c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  <c r="Z325" s="185" t="str">
        <f aca="false">IF(AND(G325&lt;&gt;"",R325&lt;&gt;"",V325&lt;&gt;"",W325&lt;&gt;""),"COMPLETADO","OBSERVADO")</f>
        <v>OBSERVADO</v>
      </c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85" t="str">
        <f aca="false">IF(AND(G326&lt;&gt;"",R326&lt;&gt;"",V326&lt;&gt;"",W326&lt;&gt;""),"COMPLETADO","OBSERVADO")</f>
        <v>OBSERVADO</v>
      </c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  <c r="Z327" s="185" t="str">
        <f aca="false">IF(AND(G327&lt;&gt;"",R327&lt;&gt;"",V327&lt;&gt;"",W327&lt;&gt;""),"COMPLETADO","OBSERVADO")</f>
        <v>OBSERVADO</v>
      </c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85" t="str">
        <f aca="false">IF(AND(G328&lt;&gt;"",R328&lt;&gt;"",V328&lt;&gt;"",W328&lt;&gt;""),"COMPLETADO","OBSERVADO")</f>
        <v>OBSERVADO</v>
      </c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  <c r="Z329" s="185" t="str">
        <f aca="false">IF(AND(G329&lt;&gt;"",R329&lt;&gt;"",V329&lt;&gt;"",W329&lt;&gt;""),"COMPLETADO","OBSERVADO")</f>
        <v>OBSERVADO</v>
      </c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85" t="str">
        <f aca="false">IF(AND(G330&lt;&gt;"",R330&lt;&gt;"",V330&lt;&gt;"",W330&lt;&gt;""),"COMPLETADO","OBSERVADO")</f>
        <v>OBSERVADO</v>
      </c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  <c r="Z331" s="185" t="str">
        <f aca="false">IF(AND(G331&lt;&gt;"",R331&lt;&gt;"",V331&lt;&gt;"",W331&lt;&gt;""),"COMPLETADO","OBSERVADO")</f>
        <v>OBSERVADO</v>
      </c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85" t="str">
        <f aca="false">IF(AND(G332&lt;&gt;"",R332&lt;&gt;"",V332&lt;&gt;"",W332&lt;&gt;""),"COMPLETADO","OBSERVADO")</f>
        <v>OBSERVADO</v>
      </c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  <c r="Z333" s="185" t="str">
        <f aca="false">IF(AND(G333&lt;&gt;"",R333&lt;&gt;"",V333&lt;&gt;"",W333&lt;&gt;""),"COMPLETADO","OBSERVADO")</f>
        <v>OBSERVADO</v>
      </c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85" t="str">
        <f aca="false">IF(AND(G334&lt;&gt;"",R334&lt;&gt;"",V334&lt;&gt;"",W334&lt;&gt;""),"COMPLETADO","OBSERVADO")</f>
        <v>OBSERVADO</v>
      </c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  <c r="Z335" s="185" t="str">
        <f aca="false">IF(AND(G335&lt;&gt;"",R335&lt;&gt;"",V335&lt;&gt;"",W335&lt;&gt;""),"COMPLETADO","OBSERVADO")</f>
        <v>OBSERVADO</v>
      </c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85" t="str">
        <f aca="false">IF(AND(G336&lt;&gt;"",R336&lt;&gt;"",V336&lt;&gt;"",W336&lt;&gt;""),"COMPLETADO","OBSERVADO")</f>
        <v>OBSERVADO</v>
      </c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  <c r="Z337" s="185" t="str">
        <f aca="false">IF(AND(G337&lt;&gt;"",R337&lt;&gt;"",V337&lt;&gt;"",W337&lt;&gt;""),"COMPLETADO","OBSERVADO")</f>
        <v>OBSERVADO</v>
      </c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85" t="str">
        <f aca="false">IF(AND(G338&lt;&gt;"",R338&lt;&gt;"",V338&lt;&gt;"",W338&lt;&gt;""),"COMPLETADO","OBSERVADO")</f>
        <v>OBSERVADO</v>
      </c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  <c r="Z339" s="185" t="str">
        <f aca="false">IF(AND(G339&lt;&gt;"",R339&lt;&gt;"",V339&lt;&gt;"",W339&lt;&gt;""),"COMPLETADO","OBSERVADO")</f>
        <v>OBSERVADO</v>
      </c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85" t="str">
        <f aca="false">IF(AND(G340&lt;&gt;"",R340&lt;&gt;"",V340&lt;&gt;"",W340&lt;&gt;""),"COMPLETADO","OBSERVADO")</f>
        <v>OBSERVADO</v>
      </c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  <c r="Z341" s="185" t="str">
        <f aca="false">IF(AND(G341&lt;&gt;"",R341&lt;&gt;"",V341&lt;&gt;"",W341&lt;&gt;""),"COMPLETADO","OBSERVADO")</f>
        <v>OBSERVADO</v>
      </c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85" t="str">
        <f aca="false">IF(AND(G342&lt;&gt;"",R342&lt;&gt;"",V342&lt;&gt;"",W342&lt;&gt;""),"COMPLETADO","OBSERVADO")</f>
        <v>OBSERVADO</v>
      </c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  <c r="Z343" s="185" t="str">
        <f aca="false">IF(AND(G343&lt;&gt;"",R343&lt;&gt;"",V343&lt;&gt;"",W343&lt;&gt;""),"COMPLETADO","OBSERVADO")</f>
        <v>OBSERVADO</v>
      </c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85" t="str">
        <f aca="false">IF(AND(G344&lt;&gt;"",R344&lt;&gt;"",V344&lt;&gt;"",W344&lt;&gt;""),"COMPLETADO","OBSERVADO")</f>
        <v>OBSERVADO</v>
      </c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  <c r="Z345" s="185" t="str">
        <f aca="false">IF(AND(G345&lt;&gt;"",R345&lt;&gt;"",V345&lt;&gt;"",W345&lt;&gt;""),"COMPLETADO","OBSERVADO")</f>
        <v>OBSERVADO</v>
      </c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85" t="str">
        <f aca="false">IF(AND(G346&lt;&gt;"",R346&lt;&gt;"",V346&lt;&gt;"",W346&lt;&gt;""),"COMPLETADO","OBSERVADO")</f>
        <v>OBSERVADO</v>
      </c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  <c r="Z347" s="185" t="str">
        <f aca="false">IF(AND(G347&lt;&gt;"",R347&lt;&gt;"",V347&lt;&gt;"",W347&lt;&gt;""),"COMPLETADO","OBSERVADO")</f>
        <v>OBSERVADO</v>
      </c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85" t="str">
        <f aca="false">IF(AND(G348&lt;&gt;"",R348&lt;&gt;"",V348&lt;&gt;"",W348&lt;&gt;""),"COMPLETADO","OBSERVADO")</f>
        <v>OBSERVADO</v>
      </c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  <c r="Z349" s="185" t="str">
        <f aca="false">IF(AND(G349&lt;&gt;"",R349&lt;&gt;"",V349&lt;&gt;"",W349&lt;&gt;""),"COMPLETADO","OBSERVADO")</f>
        <v>OBSERVADO</v>
      </c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85" t="str">
        <f aca="false">IF(AND(G350&lt;&gt;"",R350&lt;&gt;"",V350&lt;&gt;"",W350&lt;&gt;""),"COMPLETADO","OBSERVADO")</f>
        <v>OBSERVADO</v>
      </c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  <c r="Z351" s="185" t="str">
        <f aca="false">IF(AND(G351&lt;&gt;"",R351&lt;&gt;"",V351&lt;&gt;"",W351&lt;&gt;""),"COMPLETADO","OBSERVADO")</f>
        <v>OBSERVADO</v>
      </c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85" t="str">
        <f aca="false">IF(AND(G352&lt;&gt;"",R352&lt;&gt;"",V352&lt;&gt;"",W352&lt;&gt;""),"COMPLETADO","OBSERVADO")</f>
        <v>OBSERVADO</v>
      </c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  <c r="Z353" s="185" t="str">
        <f aca="false">IF(AND(G353&lt;&gt;"",R353&lt;&gt;"",V353&lt;&gt;"",W353&lt;&gt;""),"COMPLETADO","OBSERVADO")</f>
        <v>OBSERVADO</v>
      </c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85" t="str">
        <f aca="false">IF(AND(G354&lt;&gt;"",R354&lt;&gt;"",V354&lt;&gt;"",W354&lt;&gt;""),"COMPLETADO","OBSERVADO")</f>
        <v>OBSERVADO</v>
      </c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  <c r="Z355" s="185" t="str">
        <f aca="false">IF(AND(G355&lt;&gt;"",R355&lt;&gt;"",V355&lt;&gt;"",W355&lt;&gt;""),"COMPLETADO","OBSERVADO")</f>
        <v>OBSERVADO</v>
      </c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85" t="str">
        <f aca="false">IF(AND(G356&lt;&gt;"",R356&lt;&gt;"",V356&lt;&gt;"",W356&lt;&gt;""),"COMPLETADO","OBSERVADO")</f>
        <v>OBSERVADO</v>
      </c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  <c r="Z357" s="185" t="str">
        <f aca="false">IF(AND(G357&lt;&gt;"",R357&lt;&gt;"",V357&lt;&gt;"",W357&lt;&gt;""),"COMPLETADO","OBSERVADO")</f>
        <v>OBSERVADO</v>
      </c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85" t="str">
        <f aca="false">IF(AND(G358&lt;&gt;"",R358&lt;&gt;"",V358&lt;&gt;"",W358&lt;&gt;""),"COMPLETADO","OBSERVADO")</f>
        <v>OBSERVADO</v>
      </c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  <c r="Z359" s="185" t="str">
        <f aca="false">IF(AND(G359&lt;&gt;"",R359&lt;&gt;"",V359&lt;&gt;"",W359&lt;&gt;""),"COMPLETADO","OBSERVADO")</f>
        <v>OBSERVADO</v>
      </c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85" t="str">
        <f aca="false">IF(AND(G360&lt;&gt;"",R360&lt;&gt;"",V360&lt;&gt;"",W360&lt;&gt;""),"COMPLETADO","OBSERVADO")</f>
        <v>OBSERVADO</v>
      </c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  <c r="Z361" s="185" t="str">
        <f aca="false">IF(AND(G361&lt;&gt;"",R361&lt;&gt;"",V361&lt;&gt;"",W361&lt;&gt;""),"COMPLETADO","OBSERVADO")</f>
        <v>OBSERVADO</v>
      </c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85" t="str">
        <f aca="false">IF(AND(G362&lt;&gt;"",R362&lt;&gt;"",V362&lt;&gt;"",W362&lt;&gt;""),"COMPLETADO","OBSERVADO")</f>
        <v>OBSERVADO</v>
      </c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  <c r="Z363" s="185" t="str">
        <f aca="false">IF(AND(G363&lt;&gt;"",R363&lt;&gt;"",V363&lt;&gt;"",W363&lt;&gt;""),"COMPLETADO","OBSERVADO")</f>
        <v>OBSERVADO</v>
      </c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85" t="str">
        <f aca="false">IF(AND(G364&lt;&gt;"",R364&lt;&gt;"",V364&lt;&gt;"",W364&lt;&gt;""),"COMPLETADO","OBSERVADO")</f>
        <v>OBSERVADO</v>
      </c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  <c r="Z365" s="185" t="str">
        <f aca="false">IF(AND(G365&lt;&gt;"",R365&lt;&gt;"",V365&lt;&gt;"",W365&lt;&gt;""),"COMPLETADO","OBSERVADO")</f>
        <v>OBSERVADO</v>
      </c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85" t="str">
        <f aca="false">IF(AND(G366&lt;&gt;"",R366&lt;&gt;"",V366&lt;&gt;"",W366&lt;&gt;""),"COMPLETADO","OBSERVADO")</f>
        <v>OBSERVADO</v>
      </c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  <c r="Z367" s="185" t="str">
        <f aca="false">IF(AND(G367&lt;&gt;"",R367&lt;&gt;"",V367&lt;&gt;"",W367&lt;&gt;""),"COMPLETADO","OBSERVADO")</f>
        <v>OBSERVADO</v>
      </c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85" t="str">
        <f aca="false">IF(AND(G368&lt;&gt;"",R368&lt;&gt;"",V368&lt;&gt;"",W368&lt;&gt;""),"COMPLETADO","OBSERVADO")</f>
        <v>OBSERVADO</v>
      </c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  <c r="Z369" s="185" t="str">
        <f aca="false">IF(AND(G369&lt;&gt;"",R369&lt;&gt;"",V369&lt;&gt;"",W369&lt;&gt;""),"COMPLETADO","OBSERVADO")</f>
        <v>OBSERVADO</v>
      </c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85" t="str">
        <f aca="false">IF(AND(G370&lt;&gt;"",R370&lt;&gt;"",V370&lt;&gt;"",W370&lt;&gt;""),"COMPLETADO","OBSERVADO")</f>
        <v>OBSERVADO</v>
      </c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  <c r="Z371" s="185" t="str">
        <f aca="false">IF(AND(G371&lt;&gt;"",R371&lt;&gt;"",V371&lt;&gt;"",W371&lt;&gt;""),"COMPLETADO","OBSERVADO")</f>
        <v>OBSERVADO</v>
      </c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85" t="str">
        <f aca="false">IF(AND(G372&lt;&gt;"",R372&lt;&gt;"",V372&lt;&gt;"",W372&lt;&gt;""),"COMPLETADO","OBSERVADO")</f>
        <v>OBSERVADO</v>
      </c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  <c r="Z373" s="185" t="str">
        <f aca="false">IF(AND(G373&lt;&gt;"",R373&lt;&gt;"",V373&lt;&gt;"",W373&lt;&gt;""),"COMPLETADO","OBSERVADO")</f>
        <v>OBSERVADO</v>
      </c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85" t="str">
        <f aca="false">IF(AND(G374&lt;&gt;"",R374&lt;&gt;"",V374&lt;&gt;"",W374&lt;&gt;""),"COMPLETADO","OBSERVADO")</f>
        <v>OBSERVADO</v>
      </c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  <c r="Z375" s="185" t="str">
        <f aca="false">IF(AND(G375&lt;&gt;"",R375&lt;&gt;"",V375&lt;&gt;"",W375&lt;&gt;""),"COMPLETADO","OBSERVADO")</f>
        <v>OBSERVADO</v>
      </c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85" t="str">
        <f aca="false">IF(AND(G376&lt;&gt;"",R376&lt;&gt;"",V376&lt;&gt;"",W376&lt;&gt;""),"COMPLETADO","OBSERVADO")</f>
        <v>OBSERVADO</v>
      </c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  <c r="Z377" s="185" t="str">
        <f aca="false">IF(AND(G377&lt;&gt;"",R377&lt;&gt;"",V377&lt;&gt;"",W377&lt;&gt;""),"COMPLETADO","OBSERVADO")</f>
        <v>OBSERVADO</v>
      </c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85" t="str">
        <f aca="false">IF(AND(G378&lt;&gt;"",R378&lt;&gt;"",V378&lt;&gt;"",W378&lt;&gt;""),"COMPLETADO","OBSERVADO")</f>
        <v>OBSERVADO</v>
      </c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  <c r="Z379" s="185" t="str">
        <f aca="false">IF(AND(G379&lt;&gt;"",R379&lt;&gt;"",V379&lt;&gt;"",W379&lt;&gt;""),"COMPLETADO","OBSERVADO")</f>
        <v>OBSERVADO</v>
      </c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85" t="str">
        <f aca="false">IF(AND(G380&lt;&gt;"",R380&lt;&gt;"",V380&lt;&gt;"",W380&lt;&gt;""),"COMPLETADO","OBSERVADO")</f>
        <v>OBSERVADO</v>
      </c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  <c r="Z381" s="185" t="str">
        <f aca="false">IF(AND(G381&lt;&gt;"",R381&lt;&gt;"",V381&lt;&gt;"",W381&lt;&gt;""),"COMPLETADO","OBSERVADO")</f>
        <v>OBSERVADO</v>
      </c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85" t="str">
        <f aca="false">IF(AND(G382&lt;&gt;"",R382&lt;&gt;"",V382&lt;&gt;"",W382&lt;&gt;""),"COMPLETADO","OBSERVADO")</f>
        <v>OBSERVADO</v>
      </c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  <c r="Z383" s="185" t="str">
        <f aca="false">IF(AND(G383&lt;&gt;"",R383&lt;&gt;"",V383&lt;&gt;"",W383&lt;&gt;""),"COMPLETADO","OBSERVADO")</f>
        <v>OBSERVADO</v>
      </c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85" t="str">
        <f aca="false">IF(AND(G384&lt;&gt;"",R384&lt;&gt;"",V384&lt;&gt;"",W384&lt;&gt;""),"COMPLETADO","OBSERVADO")</f>
        <v>OBSERVADO</v>
      </c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  <c r="Z385" s="185" t="str">
        <f aca="false">IF(AND(G385&lt;&gt;"",R385&lt;&gt;"",V385&lt;&gt;"",W385&lt;&gt;""),"COMPLETADO","OBSERVADO")</f>
        <v>OBSERVADO</v>
      </c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85" t="str">
        <f aca="false">IF(AND(G386&lt;&gt;"",R386&lt;&gt;"",V386&lt;&gt;"",W386&lt;&gt;""),"COMPLETADO","OBSERVADO")</f>
        <v>OBSERVADO</v>
      </c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  <c r="Z387" s="185" t="str">
        <f aca="false">IF(AND(G387&lt;&gt;"",R387&lt;&gt;"",V387&lt;&gt;"",W387&lt;&gt;""),"COMPLETADO","OBSERVADO")</f>
        <v>OBSERVADO</v>
      </c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85" t="str">
        <f aca="false">IF(AND(G388&lt;&gt;"",R388&lt;&gt;"",V388&lt;&gt;"",W388&lt;&gt;""),"COMPLETADO","OBSERVADO")</f>
        <v>OBSERVADO</v>
      </c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  <c r="Z389" s="185" t="str">
        <f aca="false">IF(AND(G389&lt;&gt;"",R389&lt;&gt;"",V389&lt;&gt;"",W389&lt;&gt;""),"COMPLETADO","OBSERVADO")</f>
        <v>OBSERVADO</v>
      </c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85" t="str">
        <f aca="false">IF(AND(G390&lt;&gt;"",R390&lt;&gt;"",V390&lt;&gt;"",W390&lt;&gt;""),"COMPLETADO","OBSERVADO")</f>
        <v>OBSERVADO</v>
      </c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  <c r="Z391" s="185" t="str">
        <f aca="false">IF(AND(G391&lt;&gt;"",R391&lt;&gt;"",V391&lt;&gt;"",W391&lt;&gt;""),"COMPLETADO","OBSERVADO")</f>
        <v>OBSERVADO</v>
      </c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85" t="str">
        <f aca="false">IF(AND(G392&lt;&gt;"",R392&lt;&gt;"",V392&lt;&gt;"",W392&lt;&gt;""),"COMPLETADO","OBSERVADO")</f>
        <v>OBSERVADO</v>
      </c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  <c r="Z393" s="185" t="str">
        <f aca="false">IF(AND(G393&lt;&gt;"",R393&lt;&gt;"",V393&lt;&gt;"",W393&lt;&gt;""),"COMPLETADO","OBSERVADO")</f>
        <v>OBSERVADO</v>
      </c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85" t="str">
        <f aca="false">IF(AND(G394&lt;&gt;"",R394&lt;&gt;"",V394&lt;&gt;"",W394&lt;&gt;""),"COMPLETADO","OBSERVADO")</f>
        <v>OBSERVADO</v>
      </c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  <c r="Z395" s="185" t="str">
        <f aca="false">IF(AND(G395&lt;&gt;"",R395&lt;&gt;"",V395&lt;&gt;"",W395&lt;&gt;""),"COMPLETADO","OBSERVADO")</f>
        <v>OBSERVADO</v>
      </c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85" t="str">
        <f aca="false">IF(AND(G396&lt;&gt;"",R396&lt;&gt;"",V396&lt;&gt;"",W396&lt;&gt;""),"COMPLETADO","OBSERVADO")</f>
        <v>OBSERVADO</v>
      </c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  <c r="Z397" s="185" t="str">
        <f aca="false">IF(AND(G397&lt;&gt;"",R397&lt;&gt;"",V397&lt;&gt;"",W397&lt;&gt;""),"COMPLETADO","OBSERVADO")</f>
        <v>OBSERVADO</v>
      </c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85" t="str">
        <f aca="false">IF(AND(G398&lt;&gt;"",R398&lt;&gt;"",V398&lt;&gt;"",W398&lt;&gt;""),"COMPLETADO","OBSERVADO")</f>
        <v>OBSERVADO</v>
      </c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  <c r="Z399" s="185" t="str">
        <f aca="false">IF(AND(G399&lt;&gt;"",R399&lt;&gt;"",V399&lt;&gt;"",W399&lt;&gt;""),"COMPLETADO","OBSERVADO")</f>
        <v>OBSERVADO</v>
      </c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85" t="str">
        <f aca="false">IF(AND(G400&lt;&gt;"",R400&lt;&gt;"",V400&lt;&gt;"",W400&lt;&gt;""),"COMPLETADO","OBSERVADO")</f>
        <v>OBSERVADO</v>
      </c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  <c r="Z401" s="185" t="str">
        <f aca="false">IF(AND(G401&lt;&gt;"",R401&lt;&gt;"",V401&lt;&gt;"",W401&lt;&gt;""),"COMPLETADO","OBSERVADO")</f>
        <v>OBSERVADO</v>
      </c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85" t="str">
        <f aca="false">IF(AND(G402&lt;&gt;"",R402&lt;&gt;"",V402&lt;&gt;"",W402&lt;&gt;""),"COMPLETADO","OBSERVADO")</f>
        <v>OBSERVADO</v>
      </c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  <c r="Z403" s="185" t="str">
        <f aca="false">IF(AND(G403&lt;&gt;"",R403&lt;&gt;"",V403&lt;&gt;"",W403&lt;&gt;""),"COMPLETADO","OBSERVADO")</f>
        <v>OBSERVADO</v>
      </c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85" t="str">
        <f aca="false">IF(AND(G404&lt;&gt;"",R404&lt;&gt;"",V404&lt;&gt;"",W404&lt;&gt;""),"COMPLETADO","OBSERVADO")</f>
        <v>OBSERVADO</v>
      </c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  <c r="Z405" s="185" t="str">
        <f aca="false">IF(AND(G405&lt;&gt;"",R405&lt;&gt;"",V405&lt;&gt;"",W405&lt;&gt;""),"COMPLETADO","OBSERVADO")</f>
        <v>OBSERVADO</v>
      </c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85" t="str">
        <f aca="false">IF(AND(G406&lt;&gt;"",R406&lt;&gt;"",V406&lt;&gt;"",W406&lt;&gt;""),"COMPLETADO","OBSERVADO")</f>
        <v>OBSERVADO</v>
      </c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  <c r="Z407" s="185" t="str">
        <f aca="false">IF(AND(G407&lt;&gt;"",R407&lt;&gt;"",V407&lt;&gt;"",W407&lt;&gt;""),"COMPLETADO","OBSERVADO")</f>
        <v>OBSERVADO</v>
      </c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85" t="str">
        <f aca="false">IF(AND(G408&lt;&gt;"",R408&lt;&gt;"",V408&lt;&gt;"",W408&lt;&gt;""),"COMPLETADO","OBSERVADO")</f>
        <v>OBSERVADO</v>
      </c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  <c r="Z409" s="185" t="str">
        <f aca="false">IF(AND(G409&lt;&gt;"",R409&lt;&gt;"",V409&lt;&gt;"",W409&lt;&gt;""),"COMPLETADO","OBSERVADO")</f>
        <v>OBSERVADO</v>
      </c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85" t="str">
        <f aca="false">IF(AND(G410&lt;&gt;"",R410&lt;&gt;"",V410&lt;&gt;"",W410&lt;&gt;""),"COMPLETADO","OBSERVADO")</f>
        <v>OBSERVADO</v>
      </c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  <c r="Z411" s="185" t="str">
        <f aca="false">IF(AND(G411&lt;&gt;"",R411&lt;&gt;"",V411&lt;&gt;"",W411&lt;&gt;""),"COMPLETADO","OBSERVADO")</f>
        <v>OBSERVADO</v>
      </c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85" t="str">
        <f aca="false">IF(AND(G412&lt;&gt;"",R412&lt;&gt;"",V412&lt;&gt;"",W412&lt;&gt;""),"COMPLETADO","OBSERVADO")</f>
        <v>OBSERVADO</v>
      </c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  <c r="Z413" s="185" t="str">
        <f aca="false">IF(AND(G413&lt;&gt;"",R413&lt;&gt;"",V413&lt;&gt;"",W413&lt;&gt;""),"COMPLETADO","OBSERVADO")</f>
        <v>OBSERVADO</v>
      </c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85" t="str">
        <f aca="false">IF(AND(G414&lt;&gt;"",R414&lt;&gt;"",V414&lt;&gt;"",W414&lt;&gt;""),"COMPLETADO","OBSERVADO")</f>
        <v>OBSERVADO</v>
      </c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  <c r="Z415" s="185" t="str">
        <f aca="false">IF(AND(G415&lt;&gt;"",R415&lt;&gt;"",V415&lt;&gt;"",W415&lt;&gt;""),"COMPLETADO","OBSERVADO")</f>
        <v>OBSERVADO</v>
      </c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85" t="str">
        <f aca="false">IF(AND(G416&lt;&gt;"",R416&lt;&gt;"",V416&lt;&gt;"",W416&lt;&gt;""),"COMPLETADO","OBSERVADO")</f>
        <v>OBSERVADO</v>
      </c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  <c r="Z417" s="185" t="str">
        <f aca="false">IF(AND(G417&lt;&gt;"",R417&lt;&gt;"",V417&lt;&gt;"",W417&lt;&gt;""),"COMPLETADO","OBSERVADO")</f>
        <v>OBSERVADO</v>
      </c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85" t="str">
        <f aca="false">IF(AND(G418&lt;&gt;"",R418&lt;&gt;"",V418&lt;&gt;"",W418&lt;&gt;""),"COMPLETADO","OBSERVADO")</f>
        <v>OBSERVADO</v>
      </c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  <c r="Z419" s="185" t="str">
        <f aca="false">IF(AND(G419&lt;&gt;"",R419&lt;&gt;"",V419&lt;&gt;"",W419&lt;&gt;""),"COMPLETADO","OBSERVADO")</f>
        <v>OBSERVADO</v>
      </c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85" t="str">
        <f aca="false">IF(AND(G420&lt;&gt;"",R420&lt;&gt;"",V420&lt;&gt;"",W420&lt;&gt;""),"COMPLETADO","OBSERVADO")</f>
        <v>OBSERVADO</v>
      </c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  <c r="Z421" s="185" t="str">
        <f aca="false">IF(AND(G421&lt;&gt;"",R421&lt;&gt;"",V421&lt;&gt;"",W421&lt;&gt;""),"COMPLETADO","OBSERVADO")</f>
        <v>OBSERVADO</v>
      </c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85" t="str">
        <f aca="false">IF(AND(G422&lt;&gt;"",R422&lt;&gt;"",V422&lt;&gt;"",W422&lt;&gt;""),"COMPLETADO","OBSERVADO")</f>
        <v>OBSERVADO</v>
      </c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  <c r="Z423" s="185" t="str">
        <f aca="false">IF(AND(G423&lt;&gt;"",R423&lt;&gt;"",V423&lt;&gt;"",W423&lt;&gt;""),"COMPLETADO","OBSERVADO")</f>
        <v>OBSERVADO</v>
      </c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85" t="str">
        <f aca="false">IF(AND(G424&lt;&gt;"",R424&lt;&gt;"",V424&lt;&gt;"",W424&lt;&gt;""),"COMPLETADO","OBSERVADO")</f>
        <v>OBSERVADO</v>
      </c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  <c r="Z425" s="185" t="str">
        <f aca="false">IF(AND(G425&lt;&gt;"",R425&lt;&gt;"",V425&lt;&gt;"",W425&lt;&gt;""),"COMPLETADO","OBSERVADO")</f>
        <v>OBSERVADO</v>
      </c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85" t="str">
        <f aca="false">IF(AND(G426&lt;&gt;"",R426&lt;&gt;"",V426&lt;&gt;"",W426&lt;&gt;""),"COMPLETADO","OBSERVADO")</f>
        <v>OBSERVADO</v>
      </c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  <c r="Z427" s="185" t="str">
        <f aca="false">IF(AND(G427&lt;&gt;"",R427&lt;&gt;"",V427&lt;&gt;"",W427&lt;&gt;""),"COMPLETADO","OBSERVADO")</f>
        <v>OBSERVADO</v>
      </c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85" t="str">
        <f aca="false">IF(AND(G428&lt;&gt;"",R428&lt;&gt;"",V428&lt;&gt;"",W428&lt;&gt;""),"COMPLETADO","OBSERVADO")</f>
        <v>OBSERVADO</v>
      </c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  <c r="Z429" s="185" t="str">
        <f aca="false">IF(AND(G429&lt;&gt;"",R429&lt;&gt;"",V429&lt;&gt;"",W429&lt;&gt;""),"COMPLETADO","OBSERVADO")</f>
        <v>OBSERVADO</v>
      </c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85" t="str">
        <f aca="false">IF(AND(G430&lt;&gt;"",R430&lt;&gt;"",V430&lt;&gt;"",W430&lt;&gt;""),"COMPLETADO","OBSERVADO")</f>
        <v>OBSERVADO</v>
      </c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  <c r="Z431" s="185" t="str">
        <f aca="false">IF(AND(G431&lt;&gt;"",R431&lt;&gt;"",V431&lt;&gt;"",W431&lt;&gt;""),"COMPLETADO","OBSERVADO")</f>
        <v>OBSERVADO</v>
      </c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85" t="str">
        <f aca="false">IF(AND(G432&lt;&gt;"",R432&lt;&gt;"",V432&lt;&gt;"",W432&lt;&gt;""),"COMPLETADO","OBSERVADO")</f>
        <v>OBSERVADO</v>
      </c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  <c r="Z433" s="185" t="str">
        <f aca="false">IF(AND(G433&lt;&gt;"",R433&lt;&gt;"",V433&lt;&gt;"",W433&lt;&gt;""),"COMPLETADO","OBSERVADO")</f>
        <v>OBSERVADO</v>
      </c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85" t="str">
        <f aca="false">IF(AND(G434&lt;&gt;"",R434&lt;&gt;"",V434&lt;&gt;"",W434&lt;&gt;""),"COMPLETADO","OBSERVADO")</f>
        <v>OBSERVADO</v>
      </c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  <c r="Z435" s="185" t="str">
        <f aca="false">IF(AND(G435&lt;&gt;"",R435&lt;&gt;"",V435&lt;&gt;"",W435&lt;&gt;""),"COMPLETADO","OBSERVADO")</f>
        <v>OBSERVADO</v>
      </c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85" t="str">
        <f aca="false">IF(AND(G436&lt;&gt;"",R436&lt;&gt;"",V436&lt;&gt;"",W436&lt;&gt;""),"COMPLETADO","OBSERVADO")</f>
        <v>OBSERVADO</v>
      </c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  <c r="Z437" s="185" t="str">
        <f aca="false">IF(AND(G437&lt;&gt;"",R437&lt;&gt;"",V437&lt;&gt;"",W437&lt;&gt;""),"COMPLETADO","OBSERVADO")</f>
        <v>OBSERVADO</v>
      </c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85" t="str">
        <f aca="false">IF(AND(G438&lt;&gt;"",R438&lt;&gt;"",V438&lt;&gt;"",W438&lt;&gt;""),"COMPLETADO","OBSERVADO")</f>
        <v>OBSERVADO</v>
      </c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  <c r="Z439" s="185" t="str">
        <f aca="false">IF(AND(G439&lt;&gt;"",R439&lt;&gt;"",V439&lt;&gt;"",W439&lt;&gt;""),"COMPLETADO","OBSERVADO")</f>
        <v>OBSERVADO</v>
      </c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85" t="str">
        <f aca="false">IF(AND(G440&lt;&gt;"",R440&lt;&gt;"",V440&lt;&gt;"",W440&lt;&gt;""),"COMPLETADO","OBSERVADO")</f>
        <v>OBSERVADO</v>
      </c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  <c r="Z441" s="185" t="str">
        <f aca="false">IF(AND(G441&lt;&gt;"",R441&lt;&gt;"",V441&lt;&gt;"",W441&lt;&gt;""),"COMPLETADO","OBSERVADO")</f>
        <v>OBSERVADO</v>
      </c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85" t="str">
        <f aca="false">IF(AND(G442&lt;&gt;"",R442&lt;&gt;"",V442&lt;&gt;"",W442&lt;&gt;""),"COMPLETADO","OBSERVADO")</f>
        <v>OBSERVADO</v>
      </c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  <c r="Z443" s="185" t="str">
        <f aca="false">IF(AND(G443&lt;&gt;"",R443&lt;&gt;"",V443&lt;&gt;"",W443&lt;&gt;""),"COMPLETADO","OBSERVADO")</f>
        <v>OBSERVADO</v>
      </c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85" t="str">
        <f aca="false">IF(AND(G444&lt;&gt;"",R444&lt;&gt;"",V444&lt;&gt;"",W444&lt;&gt;""),"COMPLETADO","OBSERVADO")</f>
        <v>OBSERVADO</v>
      </c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  <c r="Z445" s="185" t="str">
        <f aca="false">IF(AND(G445&lt;&gt;"",R445&lt;&gt;"",V445&lt;&gt;"",W445&lt;&gt;""),"COMPLETADO","OBSERVADO")</f>
        <v>OBSERVADO</v>
      </c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85" t="str">
        <f aca="false">IF(AND(G446&lt;&gt;"",R446&lt;&gt;"",V446&lt;&gt;"",W446&lt;&gt;""),"COMPLETADO","OBSERVADO")</f>
        <v>OBSERVADO</v>
      </c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  <c r="Z447" s="185" t="str">
        <f aca="false">IF(AND(G447&lt;&gt;"",R447&lt;&gt;"",V447&lt;&gt;"",W447&lt;&gt;""),"COMPLETADO","OBSERVADO")</f>
        <v>OBSERVADO</v>
      </c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85" t="str">
        <f aca="false">IF(AND(G448&lt;&gt;"",R448&lt;&gt;"",V448&lt;&gt;"",W448&lt;&gt;""),"COMPLETADO","OBSERVADO")</f>
        <v>OBSERVADO</v>
      </c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  <c r="Z449" s="185" t="str">
        <f aca="false">IF(AND(G449&lt;&gt;"",R449&lt;&gt;"",V449&lt;&gt;"",W449&lt;&gt;""),"COMPLETADO","OBSERVADO")</f>
        <v>OBSERVADO</v>
      </c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85" t="str">
        <f aca="false">IF(AND(G450&lt;&gt;"",R450&lt;&gt;"",V450&lt;&gt;"",W450&lt;&gt;""),"COMPLETADO","OBSERVADO")</f>
        <v>OBSERVADO</v>
      </c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  <c r="Z451" s="185" t="str">
        <f aca="false">IF(AND(G451&lt;&gt;"",R451&lt;&gt;"",V451&lt;&gt;"",W451&lt;&gt;""),"COMPLETADO","OBSERVADO")</f>
        <v>OBSERVADO</v>
      </c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85" t="str">
        <f aca="false">IF(AND(G452&lt;&gt;"",R452&lt;&gt;"",V452&lt;&gt;"",W452&lt;&gt;""),"COMPLETADO","OBSERVADO")</f>
        <v>OBSERVADO</v>
      </c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  <c r="Z453" s="185" t="str">
        <f aca="false">IF(AND(G453&lt;&gt;"",R453&lt;&gt;"",V453&lt;&gt;"",W453&lt;&gt;""),"COMPLETADO","OBSERVADO")</f>
        <v>OBSERVADO</v>
      </c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85" t="str">
        <f aca="false">IF(AND(G454&lt;&gt;"",R454&lt;&gt;"",V454&lt;&gt;"",W454&lt;&gt;""),"COMPLETADO","OBSERVADO")</f>
        <v>OBSERVADO</v>
      </c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  <c r="Z455" s="185" t="str">
        <f aca="false">IF(AND(G455&lt;&gt;"",R455&lt;&gt;"",V455&lt;&gt;"",W455&lt;&gt;""),"COMPLETADO","OBSERVADO")</f>
        <v>OBSERVADO</v>
      </c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85" t="str">
        <f aca="false">IF(AND(G456&lt;&gt;"",R456&lt;&gt;"",V456&lt;&gt;"",W456&lt;&gt;""),"COMPLETADO","OBSERVADO")</f>
        <v>OBSERVADO</v>
      </c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  <c r="Z457" s="185" t="str">
        <f aca="false">IF(AND(G457&lt;&gt;"",R457&lt;&gt;"",V457&lt;&gt;"",W457&lt;&gt;""),"COMPLETADO","OBSERVADO")</f>
        <v>OBSERVADO</v>
      </c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85" t="str">
        <f aca="false">IF(AND(G458&lt;&gt;"",R458&lt;&gt;"",V458&lt;&gt;"",W458&lt;&gt;""),"COMPLETADO","OBSERVADO")</f>
        <v>OBSERVADO</v>
      </c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  <c r="Z459" s="185" t="str">
        <f aca="false">IF(AND(G459&lt;&gt;"",R459&lt;&gt;"",V459&lt;&gt;"",W459&lt;&gt;""),"COMPLETADO","OBSERVADO")</f>
        <v>OBSERVADO</v>
      </c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85" t="str">
        <f aca="false">IF(AND(G460&lt;&gt;"",R460&lt;&gt;"",V460&lt;&gt;"",W460&lt;&gt;""),"COMPLETADO","OBSERVADO")</f>
        <v>OBSERVADO</v>
      </c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  <c r="Z461" s="185" t="str">
        <f aca="false">IF(AND(G461&lt;&gt;"",R461&lt;&gt;"",V461&lt;&gt;"",W461&lt;&gt;""),"COMPLETADO","OBSERVADO")</f>
        <v>OBSERVADO</v>
      </c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85" t="str">
        <f aca="false">IF(AND(G462&lt;&gt;"",R462&lt;&gt;"",V462&lt;&gt;"",W462&lt;&gt;""),"COMPLETADO","OBSERVADO")</f>
        <v>OBSERVADO</v>
      </c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  <c r="Z463" s="185" t="str">
        <f aca="false">IF(AND(G463&lt;&gt;"",R463&lt;&gt;"",V463&lt;&gt;"",W463&lt;&gt;""),"COMPLETADO","OBSERVADO")</f>
        <v>OBSERVADO</v>
      </c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85" t="str">
        <f aca="false">IF(AND(G464&lt;&gt;"",R464&lt;&gt;"",V464&lt;&gt;"",W464&lt;&gt;""),"COMPLETADO","OBSERVADO")</f>
        <v>OBSERVADO</v>
      </c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  <c r="Z465" s="185" t="str">
        <f aca="false">IF(AND(G465&lt;&gt;"",R465&lt;&gt;"",V465&lt;&gt;"",W465&lt;&gt;""),"COMPLETADO","OBSERVADO")</f>
        <v>OBSERVADO</v>
      </c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85" t="str">
        <f aca="false">IF(AND(G466&lt;&gt;"",R466&lt;&gt;"",V466&lt;&gt;"",W466&lt;&gt;""),"COMPLETADO","OBSERVADO")</f>
        <v>OBSERVADO</v>
      </c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  <c r="Z467" s="185" t="str">
        <f aca="false">IF(AND(G467&lt;&gt;"",R467&lt;&gt;"",V467&lt;&gt;"",W467&lt;&gt;""),"COMPLETADO","OBSERVADO")</f>
        <v>OBSERVADO</v>
      </c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85" t="str">
        <f aca="false">IF(AND(G468&lt;&gt;"",R468&lt;&gt;"",V468&lt;&gt;"",W468&lt;&gt;""),"COMPLETADO","OBSERVADO")</f>
        <v>OBSERVADO</v>
      </c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  <c r="Z469" s="185" t="str">
        <f aca="false">IF(AND(G469&lt;&gt;"",R469&lt;&gt;"",V469&lt;&gt;"",W469&lt;&gt;""),"COMPLETADO","OBSERVADO")</f>
        <v>OBSERVADO</v>
      </c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85" t="str">
        <f aca="false">IF(AND(G470&lt;&gt;"",R470&lt;&gt;"",V470&lt;&gt;"",W470&lt;&gt;""),"COMPLETADO","OBSERVADO")</f>
        <v>OBSERVADO</v>
      </c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  <c r="Z471" s="185" t="str">
        <f aca="false">IF(AND(G471&lt;&gt;"",R471&lt;&gt;"",V471&lt;&gt;"",W471&lt;&gt;""),"COMPLETADO","OBSERVADO")</f>
        <v>OBSERVADO</v>
      </c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85" t="str">
        <f aca="false">IF(AND(G472&lt;&gt;"",R472&lt;&gt;"",V472&lt;&gt;"",W472&lt;&gt;""),"COMPLETADO","OBSERVADO")</f>
        <v>OBSERVADO</v>
      </c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  <c r="Z473" s="185" t="str">
        <f aca="false">IF(AND(G473&lt;&gt;"",R473&lt;&gt;"",V473&lt;&gt;"",W473&lt;&gt;""),"COMPLETADO","OBSERVADO")</f>
        <v>OBSERVADO</v>
      </c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85" t="str">
        <f aca="false">IF(AND(G474&lt;&gt;"",R474&lt;&gt;"",V474&lt;&gt;"",W474&lt;&gt;""),"COMPLETADO","OBSERVADO")</f>
        <v>OBSERVADO</v>
      </c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  <c r="Z475" s="185" t="str">
        <f aca="false">IF(AND(G475&lt;&gt;"",R475&lt;&gt;"",V475&lt;&gt;"",W475&lt;&gt;""),"COMPLETADO","OBSERVADO")</f>
        <v>OBSERVADO</v>
      </c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85" t="str">
        <f aca="false">IF(AND(G476&lt;&gt;"",R476&lt;&gt;"",V476&lt;&gt;"",W476&lt;&gt;""),"COMPLETADO","OBSERVADO")</f>
        <v>OBSERVADO</v>
      </c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  <c r="Z477" s="185" t="str">
        <f aca="false">IF(AND(G477&lt;&gt;"",R477&lt;&gt;"",V477&lt;&gt;"",W477&lt;&gt;""),"COMPLETADO","OBSERVADO")</f>
        <v>OBSERVADO</v>
      </c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85" t="str">
        <f aca="false">IF(AND(G478&lt;&gt;"",R478&lt;&gt;"",V478&lt;&gt;"",W478&lt;&gt;""),"COMPLETADO","OBSERVADO")</f>
        <v>OBSERVADO</v>
      </c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  <c r="Z479" s="185" t="str">
        <f aca="false">IF(AND(G479&lt;&gt;"",R479&lt;&gt;"",V479&lt;&gt;"",W479&lt;&gt;""),"COMPLETADO","OBSERVADO")</f>
        <v>OBSERVADO</v>
      </c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85" t="str">
        <f aca="false">IF(AND(G480&lt;&gt;"",R480&lt;&gt;"",V480&lt;&gt;"",W480&lt;&gt;""),"COMPLETADO","OBSERVADO")</f>
        <v>OBSERVADO</v>
      </c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  <c r="Z481" s="185" t="str">
        <f aca="false">IF(AND(G481&lt;&gt;"",R481&lt;&gt;"",V481&lt;&gt;"",W481&lt;&gt;""),"COMPLETADO","OBSERVADO")</f>
        <v>OBSERVADO</v>
      </c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85" t="str">
        <f aca="false">IF(AND(G482&lt;&gt;"",R482&lt;&gt;"",V482&lt;&gt;"",W482&lt;&gt;""),"COMPLETADO","OBSERVADO")</f>
        <v>OBSERVADO</v>
      </c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  <c r="Z483" s="185" t="str">
        <f aca="false">IF(AND(G483&lt;&gt;"",R483&lt;&gt;"",V483&lt;&gt;"",W483&lt;&gt;""),"COMPLETADO","OBSERVADO")</f>
        <v>OBSERVADO</v>
      </c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85" t="str">
        <f aca="false">IF(AND(G484&lt;&gt;"",R484&lt;&gt;"",V484&lt;&gt;"",W484&lt;&gt;""),"COMPLETADO","OBSERVADO")</f>
        <v>OBSERVADO</v>
      </c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  <c r="Z485" s="185" t="str">
        <f aca="false">IF(AND(G485&lt;&gt;"",R485&lt;&gt;"",V485&lt;&gt;"",W485&lt;&gt;""),"COMPLETADO","OBSERVADO")</f>
        <v>OBSERVADO</v>
      </c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85" t="str">
        <f aca="false">IF(AND(G486&lt;&gt;"",R486&lt;&gt;"",V486&lt;&gt;"",W486&lt;&gt;""),"COMPLETADO","OBSERVADO")</f>
        <v>OBSERVADO</v>
      </c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  <c r="Z487" s="185" t="str">
        <f aca="false">IF(AND(G487&lt;&gt;"",R487&lt;&gt;"",V487&lt;&gt;"",W487&lt;&gt;""),"COMPLETADO","OBSERVADO")</f>
        <v>OBSERVADO</v>
      </c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85" t="str">
        <f aca="false">IF(AND(G488&lt;&gt;"",R488&lt;&gt;"",V488&lt;&gt;"",W488&lt;&gt;""),"COMPLETADO","OBSERVADO")</f>
        <v>OBSERVADO</v>
      </c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  <c r="Z489" s="185" t="str">
        <f aca="false">IF(AND(G489&lt;&gt;"",R489&lt;&gt;"",V489&lt;&gt;"",W489&lt;&gt;""),"COMPLETADO","OBSERVADO")</f>
        <v>OBSERVADO</v>
      </c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85" t="str">
        <f aca="false">IF(AND(G490&lt;&gt;"",R490&lt;&gt;"",V490&lt;&gt;"",W490&lt;&gt;""),"COMPLETADO","OBSERVADO")</f>
        <v>OBSERVADO</v>
      </c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  <c r="Z491" s="185" t="str">
        <f aca="false">IF(AND(G491&lt;&gt;"",R491&lt;&gt;"",V491&lt;&gt;"",W491&lt;&gt;""),"COMPLETADO","OBSERVADO")</f>
        <v>OBSERVADO</v>
      </c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85" t="str">
        <f aca="false">IF(AND(G492&lt;&gt;"",R492&lt;&gt;"",V492&lt;&gt;"",W492&lt;&gt;""),"COMPLETADO","OBSERVADO")</f>
        <v>OBSERVADO</v>
      </c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  <c r="Z493" s="185" t="str">
        <f aca="false">IF(AND(G493&lt;&gt;"",R493&lt;&gt;"",V493&lt;&gt;"",W493&lt;&gt;""),"COMPLETADO","OBSERVADO")</f>
        <v>OBSERVADO</v>
      </c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85" t="str">
        <f aca="false">IF(AND(G494&lt;&gt;"",R494&lt;&gt;"",V494&lt;&gt;"",W494&lt;&gt;""),"COMPLETADO","OBSERVADO")</f>
        <v>OBSERVADO</v>
      </c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  <c r="Z495" s="185" t="str">
        <f aca="false">IF(AND(G495&lt;&gt;"",R495&lt;&gt;"",V495&lt;&gt;"",W495&lt;&gt;""),"COMPLETADO","OBSERVADO")</f>
        <v>OBSERVADO</v>
      </c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85" t="str">
        <f aca="false">IF(AND(G496&lt;&gt;"",R496&lt;&gt;"",V496&lt;&gt;"",W496&lt;&gt;""),"COMPLETADO","OBSERVADO")</f>
        <v>OBSERVADO</v>
      </c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  <c r="Z497" s="185" t="str">
        <f aca="false">IF(AND(G497&lt;&gt;"",R497&lt;&gt;"",V497&lt;&gt;"",W497&lt;&gt;""),"COMPLETADO","OBSERVADO")</f>
        <v>OBSERVADO</v>
      </c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85" t="str">
        <f aca="false">IF(AND(G498&lt;&gt;"",R498&lt;&gt;"",V498&lt;&gt;"",W498&lt;&gt;""),"COMPLETADO","OBSERVADO")</f>
        <v>OBSERVADO</v>
      </c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  <c r="Z499" s="185" t="str">
        <f aca="false">IF(AND(G499&lt;&gt;"",R499&lt;&gt;"",V499&lt;&gt;"",W499&lt;&gt;""),"COMPLETADO","OBSERVADO")</f>
        <v>OBSERVADO</v>
      </c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85" t="str">
        <f aca="false">IF(AND(G500&lt;&gt;"",R500&lt;&gt;"",V500&lt;&gt;"",W500&lt;&gt;""),"COMPLETADO","OBSERVADO")</f>
        <v>OBSERVADO</v>
      </c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  <c r="Z501" s="185" t="str">
        <f aca="false">IF(AND(G501&lt;&gt;"",R501&lt;&gt;"",V501&lt;&gt;"",W501&lt;&gt;""),"COMPLETADO","OBSERVADO")</f>
        <v>OBSERVADO</v>
      </c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85" t="str">
        <f aca="false">IF(AND(G502&lt;&gt;"",R502&lt;&gt;"",V502&lt;&gt;"",W502&lt;&gt;""),"COMPLETADO","OBSERVADO")</f>
        <v>OBSERVADO</v>
      </c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  <c r="Z503" s="185" t="str">
        <f aca="false">IF(AND(G503&lt;&gt;"",R503&lt;&gt;"",V503&lt;&gt;"",W503&lt;&gt;""),"COMPLETADO","OBSERVADO")</f>
        <v>OBSERVADO</v>
      </c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85" t="str">
        <f aca="false">IF(AND(G504&lt;&gt;"",R504&lt;&gt;"",V504&lt;&gt;"",W504&lt;&gt;""),"COMPLETADO","OBSERVADO")</f>
        <v>OBSERVADO</v>
      </c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  <c r="Z505" s="185" t="str">
        <f aca="false">IF(AND(G505&lt;&gt;"",R505&lt;&gt;"",V505&lt;&gt;"",W505&lt;&gt;""),"COMPLETADO","OBSERVADO")</f>
        <v>OBSERVADO</v>
      </c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0</v>
      </c>
      <c r="N506" s="153" t="n">
        <f aca="false">SUM(N6:N505)</f>
        <v>0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8:J8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T6:T110">
    <cfRule type="expression" priority="9" aboveAverage="0" equalAverage="0" bottom="0" percent="0" rank="0" text="" dxfId="0">
      <formula>EXACT(T6,"APROBADO")</formula>
    </cfRule>
    <cfRule type="expression" priority="10" aboveAverage="0" equalAverage="0" bottom="0" percent="0" rank="0" text="" dxfId="7">
      <formula>EXACT(T6,"OBSERVADO")</formula>
    </cfRule>
  </conditionalFormatting>
  <conditionalFormatting sqref="Z6:Z110">
    <cfRule type="expression" priority="11" aboveAverage="0" equalAverage="0" bottom="0" percent="0" rank="0" text="" dxfId="0">
      <formula>EXACT(Z6,"COMPLETADO")</formula>
    </cfRule>
    <cfRule type="expression" priority="12" aboveAverage="0" equalAverage="0" bottom="0" percent="0" rank="0" text="" dxfId="7">
      <formula>EXACT(Z6,"OBSERVADO")</formula>
    </cfRule>
    <cfRule type="expression" priority="13" aboveAverage="0" equalAverage="0" bottom="0" percent="0" rank="0" text="" dxfId="0">
      <formula>Z6="ENTREGADO"</formula>
    </cfRule>
    <cfRule type="expression" priority="14" aboveAverage="0" equalAverage="0" bottom="0" percent="0" rank="0" text="" dxfId="7">
      <formula>Z6="POR RECOGER"</formula>
    </cfRule>
  </conditionalFormatting>
  <conditionalFormatting sqref="Y6:Y110">
    <cfRule type="expression" priority="15" aboveAverage="0" equalAverage="0" bottom="0" percent="0" rank="0" text="" dxfId="9">
      <formula>Y6&lt;&gt;""</formula>
    </cfRule>
  </conditionalFormatting>
  <dataValidations count="5"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7 E9:E505" type="list">
      <formula1>"DNI,CE,PASAPORTE"</formula1>
      <formula2>0</formula2>
    </dataValidation>
    <dataValidation allowBlank="true" errorStyle="stop" operator="between" showDropDown="false" showErrorMessage="false" showInputMessage="false" sqref="T6:T110" type="list">
      <formula1>"APROBADO,OBSERVADO"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111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10"/>
    <col collapsed="false" customWidth="true" hidden="false" outlineLevel="0" max="15" min="14" style="1" width="14"/>
    <col collapsed="false" customWidth="true" hidden="false" outlineLevel="0" max="16" min="16" style="1" width="30"/>
    <col collapsed="false" customWidth="true" hidden="false" outlineLevel="0" max="18" min="17" style="1" width="12"/>
    <col collapsed="false" customWidth="true" hidden="false" outlineLevel="0" max="19" min="19" style="1" width="16"/>
    <col collapsed="false" customWidth="true" hidden="false" outlineLevel="0" max="21" min="20" style="1" width="12"/>
    <col collapsed="false" customWidth="true" hidden="false" outlineLevel="0" max="23" min="22" style="1" width="14"/>
    <col collapsed="false" customWidth="true" hidden="false" outlineLevel="0" max="24" min="24" style="1" width="8"/>
    <col collapsed="false" customWidth="true" hidden="false" outlineLevel="0" max="25" min="25" style="1" width="22"/>
    <col collapsed="false" customWidth="true" hidden="false" outlineLevel="0" max="26" min="26" style="1" width="14"/>
    <col collapsed="false" customWidth="true" hidden="false" outlineLevel="0" max="29" min="27" style="1" width="8.71"/>
  </cols>
  <sheetData>
    <row r="1" customFormat="false" ht="27.75" hidden="false" customHeight="true" outlineLevel="0" collapsed="false">
      <c r="A1" s="171" t="s">
        <v>5160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2"/>
      <c r="AA1" s="89"/>
    </row>
    <row r="2" customFormat="false" ht="21.75" hidden="false" customHeight="true" outlineLevel="0" collapsed="false">
      <c r="A2" s="123" t="s">
        <v>724</v>
      </c>
      <c r="B2" s="123"/>
      <c r="C2" s="123"/>
      <c r="D2" s="173" t="n">
        <f aca="false">IFERROR(SUMPRODUCT((K6:K110="PETROLEO")*ISNUMBER(M6:M110)*M6:M110),0)</f>
        <v>0</v>
      </c>
      <c r="E2" s="173"/>
      <c r="F2" s="173"/>
      <c r="G2" s="123" t="s">
        <v>725</v>
      </c>
      <c r="H2" s="123"/>
      <c r="I2" s="123"/>
      <c r="J2" s="173" t="n">
        <f aca="false">IFERROR(SUMPRODUCT((K6:K110="GASOLINA")*ISNUMBER(M6:M110)*M6:M110),0)</f>
        <v>0</v>
      </c>
      <c r="K2" s="173"/>
      <c r="L2" s="173"/>
      <c r="M2" s="123" t="s">
        <v>726</v>
      </c>
      <c r="N2" s="123"/>
      <c r="O2" s="123"/>
      <c r="P2" s="174" t="n">
        <f aca="false">IFERROR(SUMPRODUCT(ISNUMBER(M6:M110)*L6:L110*M6:M110),0)</f>
        <v>0</v>
      </c>
      <c r="Q2" s="174"/>
      <c r="R2" s="174"/>
      <c r="S2" s="123" t="s">
        <v>727</v>
      </c>
      <c r="T2" s="123"/>
      <c r="U2" s="175" t="n">
        <f aca="false">SUBTOTAL(2,A6:A110)</f>
        <v>0</v>
      </c>
      <c r="V2" s="175"/>
      <c r="W2" s="176"/>
      <c r="X2" s="176"/>
      <c r="Y2" s="176"/>
      <c r="Z2" s="176"/>
      <c r="AA2" s="176"/>
      <c r="AB2" s="176"/>
      <c r="AC2" s="176"/>
    </row>
    <row r="3" customFormat="false" ht="3.75" hidden="false" customHeight="true" outlineLevel="0" collapsed="false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89"/>
    </row>
    <row r="4" customFormat="false" ht="19.5" hidden="false" customHeight="true" outlineLevel="0" collapsed="false">
      <c r="A4" s="177" t="s">
        <v>730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8"/>
      <c r="AA4" s="89"/>
    </row>
    <row r="5" customFormat="false" ht="31.5" hidden="false" customHeight="true" outlineLevel="0" collapsed="false">
      <c r="A5" s="179" t="s">
        <v>97</v>
      </c>
      <c r="B5" s="179" t="s">
        <v>731</v>
      </c>
      <c r="C5" s="179" t="s">
        <v>732</v>
      </c>
      <c r="D5" s="179" t="s">
        <v>319</v>
      </c>
      <c r="E5" s="179" t="s">
        <v>733</v>
      </c>
      <c r="F5" s="179" t="s">
        <v>734</v>
      </c>
      <c r="G5" s="179" t="s">
        <v>735</v>
      </c>
      <c r="H5" s="179" t="s">
        <v>736</v>
      </c>
      <c r="I5" s="180" t="s">
        <v>737</v>
      </c>
      <c r="J5" s="179" t="s">
        <v>738</v>
      </c>
      <c r="K5" s="180" t="s">
        <v>739</v>
      </c>
      <c r="L5" s="179" t="s">
        <v>740</v>
      </c>
      <c r="M5" s="179" t="s">
        <v>4</v>
      </c>
      <c r="N5" s="180" t="s">
        <v>741</v>
      </c>
      <c r="O5" s="179" t="s">
        <v>742</v>
      </c>
      <c r="P5" s="180" t="s">
        <v>4527</v>
      </c>
      <c r="Q5" s="180" t="s">
        <v>104</v>
      </c>
      <c r="R5" s="179" t="s">
        <v>743</v>
      </c>
      <c r="S5" s="179" t="s">
        <v>744</v>
      </c>
      <c r="T5" s="179" t="s">
        <v>745</v>
      </c>
      <c r="U5" s="179" t="s">
        <v>746</v>
      </c>
      <c r="V5" s="179" t="s">
        <v>747</v>
      </c>
      <c r="W5" s="179" t="s">
        <v>748</v>
      </c>
      <c r="X5" s="179" t="s">
        <v>749</v>
      </c>
      <c r="Y5" s="129" t="s">
        <v>729</v>
      </c>
      <c r="Z5" s="181" t="s">
        <v>4528</v>
      </c>
      <c r="AA5" s="89"/>
    </row>
    <row r="6" customFormat="false" ht="15.75" hidden="false" customHeight="true" outlineLevel="0" collapsed="false">
      <c r="A6" s="140"/>
      <c r="B6" s="140"/>
      <c r="C6" s="140"/>
      <c r="D6" s="140"/>
      <c r="E6" s="140"/>
      <c r="F6" s="140"/>
      <c r="G6" s="140"/>
      <c r="H6" s="140"/>
      <c r="I6" s="138" t="str">
        <f aca="false">IFERROR(VLOOKUP(TEXT(H6,"0"),IPRESS!$A$3:$B$212,2,0),"")</f>
        <v/>
      </c>
      <c r="J6" s="140"/>
      <c r="K6" s="138" t="str">
        <f aca="false">IFERROR(VLOOKUP(TEXT(O6,"0"),CONDUCTORES!$A$3:$G$54,7,0),"")</f>
        <v/>
      </c>
      <c r="L6" s="140"/>
      <c r="M6" s="140"/>
      <c r="N6" s="139" t="str">
        <f aca="false">IFERROR(IF(L6*M6=0,"",L6*M6),"")</f>
        <v/>
      </c>
      <c r="O6" s="140"/>
      <c r="P6" s="138" t="str">
        <f aca="false">IFERROR(VLOOKUP(TEXT(O6,"0"),CONDUCTORES!$A$3:$G$54,2,0),"")</f>
        <v/>
      </c>
      <c r="Q6" s="138" t="str">
        <f aca="false">IFERROR(VLOOKUP(TEXT(O6,"0"),CONDUCTORES!$A$3:$H$54,6,0),"")</f>
        <v/>
      </c>
      <c r="R6" s="140"/>
      <c r="S6" s="140"/>
      <c r="T6" s="140"/>
      <c r="U6" s="140"/>
      <c r="V6" s="140"/>
      <c r="W6" s="140"/>
      <c r="X6" s="140"/>
      <c r="Y6" s="140"/>
      <c r="Z6" s="47" t="str">
        <f aca="false">IF(AND(G6&lt;&gt;"",R6&lt;&gt;"",V6&lt;&gt;"",W6&lt;&gt;""),"COMPLETADO","OBSERVADO")</f>
        <v>OBSERVADO</v>
      </c>
      <c r="AA6" s="89"/>
    </row>
    <row r="7" customFormat="false" ht="15.75" hidden="false" customHeight="true" outlineLevel="0" collapsed="false">
      <c r="A7" s="85"/>
      <c r="B7" s="85"/>
      <c r="C7" s="85"/>
      <c r="D7" s="85"/>
      <c r="E7" s="85"/>
      <c r="F7" s="85"/>
      <c r="G7" s="85"/>
      <c r="H7" s="85"/>
      <c r="I7" s="138" t="str">
        <f aca="false">IFERROR(VLOOKUP(TEXT(H7,"0"),IPRESS!$A$3:$B$212,2,0),"")</f>
        <v/>
      </c>
      <c r="J7" s="85"/>
      <c r="K7" s="138" t="str">
        <f aca="false">IFERROR(VLOOKUP(TEXT(O7,"0"),CONDUCTORES!$A$3:$G$54,7,0),"")</f>
        <v/>
      </c>
      <c r="L7" s="85"/>
      <c r="M7" s="85"/>
      <c r="N7" s="139" t="str">
        <f aca="false">IFERROR(IF(L7*M7=0,"",L7*M7),"")</f>
        <v/>
      </c>
      <c r="O7" s="85"/>
      <c r="P7" s="138" t="str">
        <f aca="false">IFERROR(VLOOKUP(TEXT(O7,"0"),CONDUCTORES!$A$3:$G$54,2,0),"")</f>
        <v/>
      </c>
      <c r="Q7" s="138" t="str">
        <f aca="false">IFERROR(VLOOKUP(TEXT(O7,"0"),CONDUCTORES!$A$3:$H$54,6,0),"")</f>
        <v/>
      </c>
      <c r="R7" s="85"/>
      <c r="S7" s="85"/>
      <c r="T7" s="85"/>
      <c r="U7" s="85"/>
      <c r="V7" s="85"/>
      <c r="W7" s="85"/>
      <c r="X7" s="85"/>
      <c r="Y7" s="85"/>
      <c r="Z7" s="41" t="str">
        <f aca="false">IF(AND(G7&lt;&gt;"",R7&lt;&gt;"",V7&lt;&gt;"",W7&lt;&gt;""),"COMPLETADO","OBSERVADO")</f>
        <v>OBSERVADO</v>
      </c>
      <c r="AA7" s="89"/>
    </row>
    <row r="8" customFormat="false" ht="15.75" hidden="false" customHeight="true" outlineLevel="0" collapsed="false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38" t="str">
        <f aca="false">IFERROR(VLOOKUP(TEXT(O8,"0"),CONDUCTORES!$A$3:$G$54,7,0),"")</f>
        <v/>
      </c>
      <c r="L8" s="140"/>
      <c r="M8" s="183"/>
      <c r="N8" s="139" t="str">
        <f aca="false">IFERROR(IF(L8*M8=0,"",L8*M8),"")</f>
        <v/>
      </c>
      <c r="O8" s="140"/>
      <c r="P8" s="138" t="str">
        <f aca="false">IFERROR(VLOOKUP(TEXT(O8,"0"),CONDUCTORES!$A$3:$G$54,2,0),"")</f>
        <v/>
      </c>
      <c r="Q8" s="138" t="str">
        <f aca="false">IFERROR(VLOOKUP(TEXT(O8,"0"),CONDUCTORES!$A$3:$H$54,6,0),"")</f>
        <v/>
      </c>
      <c r="R8" s="140"/>
      <c r="S8" s="140"/>
      <c r="T8" s="140"/>
      <c r="U8" s="140"/>
      <c r="V8" s="140"/>
      <c r="W8" s="140"/>
      <c r="X8" s="140"/>
      <c r="Y8" s="140"/>
      <c r="Z8" s="47" t="str">
        <f aca="false">IF(AND(G8&lt;&gt;"",R8&lt;&gt;"",V8&lt;&gt;"",W8&lt;&gt;""),"COMPLETADO","OBSERVADO")</f>
        <v>OBSERVADO</v>
      </c>
      <c r="AA8" s="89"/>
    </row>
    <row r="9" customFormat="false" ht="15.75" hidden="false" customHeight="true" outlineLevel="0" collapsed="false">
      <c r="A9" s="85"/>
      <c r="B9" s="85"/>
      <c r="C9" s="85"/>
      <c r="D9" s="85"/>
      <c r="E9" s="85"/>
      <c r="F9" s="85"/>
      <c r="G9" s="85"/>
      <c r="H9" s="85"/>
      <c r="I9" s="138" t="str">
        <f aca="false">IFERROR(VLOOKUP(TEXT(H9,"0"),IPRESS!$A$3:$B$212,2,0),"")</f>
        <v/>
      </c>
      <c r="J9" s="85"/>
      <c r="K9" s="138" t="str">
        <f aca="false">IFERROR(VLOOKUP(TEXT(O9,"0"),CONDUCTORES!$A$3:$G$54,7,0),"")</f>
        <v/>
      </c>
      <c r="L9" s="85"/>
      <c r="M9" s="85"/>
      <c r="N9" s="139" t="str">
        <f aca="false">IFERROR(IF(L9*M9=0,"",L9*M9),"")</f>
        <v/>
      </c>
      <c r="O9" s="85"/>
      <c r="P9" s="138" t="str">
        <f aca="false">IFERROR(VLOOKUP(TEXT(O9,"0"),CONDUCTORES!$A$3:$G$54,2,0),"")</f>
        <v/>
      </c>
      <c r="Q9" s="138" t="str">
        <f aca="false">IFERROR(VLOOKUP(TEXT(O9,"0"),CONDUCTORES!$A$3:$H$54,6,0),"")</f>
        <v/>
      </c>
      <c r="R9" s="85"/>
      <c r="S9" s="85"/>
      <c r="T9" s="85"/>
      <c r="U9" s="85"/>
      <c r="V9" s="85"/>
      <c r="W9" s="85"/>
      <c r="X9" s="85"/>
      <c r="Y9" s="85"/>
      <c r="Z9" s="41" t="str">
        <f aca="false">IF(AND(G9&lt;&gt;"",R9&lt;&gt;"",V9&lt;&gt;"",W9&lt;&gt;""),"COMPLETADO","OBSERVADO")</f>
        <v>OBSERVADO</v>
      </c>
      <c r="AA9" s="89"/>
    </row>
    <row r="10" customFormat="false" ht="15.75" hidden="false" customHeight="true" outlineLevel="0" collapsed="false">
      <c r="A10" s="140"/>
      <c r="B10" s="140"/>
      <c r="C10" s="140"/>
      <c r="D10" s="140"/>
      <c r="E10" s="140"/>
      <c r="F10" s="140"/>
      <c r="G10" s="140"/>
      <c r="H10" s="140"/>
      <c r="I10" s="138" t="str">
        <f aca="false">IFERROR(VLOOKUP(TEXT(H10,"0"),IPRESS!$A$3:$B$212,2,0),"")</f>
        <v/>
      </c>
      <c r="J10" s="140"/>
      <c r="K10" s="138" t="str">
        <f aca="false">IFERROR(VLOOKUP(TEXT(O10,"0"),CONDUCTORES!$A$3:$G$54,7,0),"")</f>
        <v/>
      </c>
      <c r="L10" s="140"/>
      <c r="M10" s="140"/>
      <c r="N10" s="139" t="str">
        <f aca="false">IFERROR(IF(L10*M10=0,"",L10*M10),"")</f>
        <v/>
      </c>
      <c r="O10" s="140"/>
      <c r="P10" s="138" t="str">
        <f aca="false">IFERROR(VLOOKUP(TEXT(O10,"0"),CONDUCTORES!$A$3:$G$54,2,0),"")</f>
        <v/>
      </c>
      <c r="Q10" s="138" t="str">
        <f aca="false">IFERROR(VLOOKUP(TEXT(O10,"0"),CONDUCTORES!$A$3:$H$54,6,0),"")</f>
        <v/>
      </c>
      <c r="R10" s="140"/>
      <c r="S10" s="140"/>
      <c r="T10" s="140"/>
      <c r="U10" s="140"/>
      <c r="V10" s="140"/>
      <c r="W10" s="140"/>
      <c r="X10" s="140"/>
      <c r="Y10" s="140"/>
      <c r="Z10" s="47" t="str">
        <f aca="false">IF(AND(G10&lt;&gt;"",R10&lt;&gt;"",V10&lt;&gt;"",W10&lt;&gt;""),"COMPLETADO","OBSERVADO")</f>
        <v>OBSERVADO</v>
      </c>
      <c r="AA10" s="89"/>
    </row>
    <row r="11" customFormat="false" ht="15.75" hidden="false" customHeight="true" outlineLevel="0" collapsed="false">
      <c r="A11" s="85"/>
      <c r="B11" s="85"/>
      <c r="C11" s="85"/>
      <c r="D11" s="85"/>
      <c r="E11" s="85"/>
      <c r="F11" s="85"/>
      <c r="G11" s="85"/>
      <c r="H11" s="85"/>
      <c r="I11" s="138" t="str">
        <f aca="false">IFERROR(VLOOKUP(TEXT(H11,"0"),IPRESS!$A$3:$B$212,2,0),"")</f>
        <v/>
      </c>
      <c r="J11" s="85"/>
      <c r="K11" s="138" t="str">
        <f aca="false">IFERROR(VLOOKUP(TEXT(O11,"0"),CONDUCTORES!$A$3:$G$54,7,0),"")</f>
        <v/>
      </c>
      <c r="L11" s="85"/>
      <c r="M11" s="85"/>
      <c r="N11" s="139" t="str">
        <f aca="false">IFERROR(IF(L11*M11=0,"",L11*M11),"")</f>
        <v/>
      </c>
      <c r="O11" s="85"/>
      <c r="P11" s="138" t="str">
        <f aca="false">IFERROR(VLOOKUP(TEXT(O11,"0"),CONDUCTORES!$A$3:$G$54,2,0),"")</f>
        <v/>
      </c>
      <c r="Q11" s="138" t="str">
        <f aca="false">IFERROR(VLOOKUP(TEXT(O11,"0"),CONDUCTORES!$A$3:$H$54,6,0),"")</f>
        <v/>
      </c>
      <c r="R11" s="85"/>
      <c r="S11" s="85"/>
      <c r="T11" s="85"/>
      <c r="U11" s="85"/>
      <c r="V11" s="85"/>
      <c r="W11" s="85"/>
      <c r="X11" s="85"/>
      <c r="Y11" s="85"/>
      <c r="Z11" s="41" t="str">
        <f aca="false">IF(AND(G11&lt;&gt;"",R11&lt;&gt;"",V11&lt;&gt;"",W11&lt;&gt;""),"COMPLETADO","OBSERVADO")</f>
        <v>OBSERVADO</v>
      </c>
      <c r="AA11" s="89"/>
    </row>
    <row r="12" customFormat="false" ht="15.75" hidden="false" customHeight="true" outlineLevel="0" collapsed="false">
      <c r="A12" s="140"/>
      <c r="B12" s="140"/>
      <c r="C12" s="140"/>
      <c r="D12" s="140"/>
      <c r="E12" s="140"/>
      <c r="F12" s="140"/>
      <c r="G12" s="140"/>
      <c r="H12" s="140"/>
      <c r="I12" s="138" t="str">
        <f aca="false">IFERROR(VLOOKUP(TEXT(H12,"0"),IPRESS!$A$3:$B$212,2,0),"")</f>
        <v/>
      </c>
      <c r="J12" s="140"/>
      <c r="K12" s="138" t="str">
        <f aca="false">IFERROR(VLOOKUP(TEXT(O12,"0"),CONDUCTORES!$A$3:$G$54,7,0),"")</f>
        <v/>
      </c>
      <c r="L12" s="140"/>
      <c r="M12" s="140"/>
      <c r="N12" s="139" t="str">
        <f aca="false">IFERROR(IF(L12*M12=0,"",L12*M12),"")</f>
        <v/>
      </c>
      <c r="O12" s="140"/>
      <c r="P12" s="138" t="str">
        <f aca="false">IFERROR(VLOOKUP(TEXT(O12,"0"),CONDUCTORES!$A$3:$G$54,2,0),"")</f>
        <v/>
      </c>
      <c r="Q12" s="138" t="str">
        <f aca="false">IFERROR(VLOOKUP(TEXT(O12,"0"),CONDUCTORES!$A$3:$H$54,6,0),"")</f>
        <v/>
      </c>
      <c r="R12" s="140"/>
      <c r="S12" s="140"/>
      <c r="T12" s="140"/>
      <c r="U12" s="140"/>
      <c r="V12" s="140"/>
      <c r="W12" s="140"/>
      <c r="X12" s="140"/>
      <c r="Y12" s="140"/>
      <c r="Z12" s="47" t="str">
        <f aca="false">IF(AND(G12&lt;&gt;"",R12&lt;&gt;"",V12&lt;&gt;"",W12&lt;&gt;""),"COMPLETADO","OBSERVADO")</f>
        <v>OBSERVADO</v>
      </c>
      <c r="AA12" s="89"/>
    </row>
    <row r="13" customFormat="false" ht="15.75" hidden="false" customHeight="true" outlineLevel="0" collapsed="false">
      <c r="A13" s="85"/>
      <c r="B13" s="85"/>
      <c r="C13" s="85"/>
      <c r="D13" s="85"/>
      <c r="E13" s="85"/>
      <c r="F13" s="85"/>
      <c r="G13" s="85"/>
      <c r="H13" s="85"/>
      <c r="I13" s="138" t="str">
        <f aca="false">IFERROR(VLOOKUP(TEXT(H13,"0"),IPRESS!$A$3:$B$212,2,0),"")</f>
        <v/>
      </c>
      <c r="J13" s="85"/>
      <c r="K13" s="138" t="str">
        <f aca="false">IFERROR(VLOOKUP(TEXT(O13,"0"),CONDUCTORES!$A$3:$G$54,7,0),"")</f>
        <v/>
      </c>
      <c r="L13" s="85"/>
      <c r="M13" s="85"/>
      <c r="N13" s="139" t="str">
        <f aca="false">IFERROR(IF(L13*M13=0,"",L13*M13),"")</f>
        <v/>
      </c>
      <c r="O13" s="85"/>
      <c r="P13" s="138" t="str">
        <f aca="false">IFERROR(VLOOKUP(TEXT(O13,"0"),CONDUCTORES!$A$3:$G$54,2,0),"")</f>
        <v/>
      </c>
      <c r="Q13" s="138" t="str">
        <f aca="false">IFERROR(VLOOKUP(TEXT(O13,"0"),CONDUCTORES!$A$3:$H$54,6,0),"")</f>
        <v/>
      </c>
      <c r="R13" s="85"/>
      <c r="S13" s="85"/>
      <c r="T13" s="85"/>
      <c r="U13" s="85"/>
      <c r="V13" s="85"/>
      <c r="W13" s="85"/>
      <c r="X13" s="85"/>
      <c r="Y13" s="85"/>
      <c r="Z13" s="41" t="str">
        <f aca="false">IF(AND(G13&lt;&gt;"",R13&lt;&gt;"",V13&lt;&gt;"",W13&lt;&gt;""),"COMPLETADO","OBSERVADO")</f>
        <v>OBSERVADO</v>
      </c>
      <c r="AA13" s="89"/>
    </row>
    <row r="14" customFormat="false" ht="15.75" hidden="false" customHeight="true" outlineLevel="0" collapsed="false">
      <c r="A14" s="140"/>
      <c r="B14" s="140"/>
      <c r="C14" s="140"/>
      <c r="D14" s="140"/>
      <c r="E14" s="140"/>
      <c r="F14" s="140"/>
      <c r="G14" s="140"/>
      <c r="H14" s="140"/>
      <c r="I14" s="138" t="str">
        <f aca="false">IFERROR(VLOOKUP(TEXT(H14,"0"),IPRESS!$A$3:$B$212,2,0),"")</f>
        <v/>
      </c>
      <c r="J14" s="140"/>
      <c r="K14" s="138" t="str">
        <f aca="false">IFERROR(VLOOKUP(TEXT(O14,"0"),CONDUCTORES!$A$3:$G$54,7,0),"")</f>
        <v/>
      </c>
      <c r="L14" s="140"/>
      <c r="M14" s="140"/>
      <c r="N14" s="139" t="str">
        <f aca="false">IFERROR(IF(L14*M14=0,"",L14*M14),"")</f>
        <v/>
      </c>
      <c r="O14" s="140"/>
      <c r="P14" s="138" t="str">
        <f aca="false">IFERROR(VLOOKUP(TEXT(O14,"0"),CONDUCTORES!$A$3:$G$54,2,0),"")</f>
        <v/>
      </c>
      <c r="Q14" s="138" t="str">
        <f aca="false">IFERROR(VLOOKUP(TEXT(O14,"0"),CONDUCTORES!$A$3:$H$54,6,0),"")</f>
        <v/>
      </c>
      <c r="R14" s="140"/>
      <c r="S14" s="140"/>
      <c r="T14" s="140"/>
      <c r="U14" s="140"/>
      <c r="V14" s="140"/>
      <c r="W14" s="140"/>
      <c r="X14" s="140"/>
      <c r="Y14" s="140"/>
      <c r="Z14" s="47" t="str">
        <f aca="false">IF(AND(G14&lt;&gt;"",R14&lt;&gt;"",V14&lt;&gt;"",W14&lt;&gt;""),"COMPLETADO","OBSERVADO")</f>
        <v>OBSERVADO</v>
      </c>
      <c r="AA14" s="89"/>
    </row>
    <row r="15" customFormat="false" ht="15.75" hidden="false" customHeight="true" outlineLevel="0" collapsed="false">
      <c r="A15" s="85"/>
      <c r="B15" s="85"/>
      <c r="C15" s="85"/>
      <c r="D15" s="85"/>
      <c r="E15" s="85"/>
      <c r="F15" s="85"/>
      <c r="G15" s="85"/>
      <c r="H15" s="85"/>
      <c r="I15" s="138" t="str">
        <f aca="false">IFERROR(VLOOKUP(TEXT(H15,"0"),IPRESS!$A$3:$B$212,2,0),"")</f>
        <v/>
      </c>
      <c r="J15" s="85"/>
      <c r="K15" s="138" t="str">
        <f aca="false">IFERROR(VLOOKUP(TEXT(O15,"0"),CONDUCTORES!$A$3:$G$54,7,0),"")</f>
        <v/>
      </c>
      <c r="L15" s="85"/>
      <c r="M15" s="85"/>
      <c r="N15" s="139" t="str">
        <f aca="false">IFERROR(IF(L15*M15=0,"",L15*M15),"")</f>
        <v/>
      </c>
      <c r="O15" s="85"/>
      <c r="P15" s="138" t="str">
        <f aca="false">IFERROR(VLOOKUP(TEXT(O15,"0"),CONDUCTORES!$A$3:$G$54,2,0),"")</f>
        <v/>
      </c>
      <c r="Q15" s="138" t="str">
        <f aca="false">IFERROR(VLOOKUP(TEXT(O15,"0"),CONDUCTORES!$A$3:$H$54,6,0),"")</f>
        <v/>
      </c>
      <c r="R15" s="85"/>
      <c r="S15" s="85"/>
      <c r="T15" s="85"/>
      <c r="U15" s="85"/>
      <c r="V15" s="85"/>
      <c r="W15" s="85"/>
      <c r="X15" s="85"/>
      <c r="Y15" s="85"/>
      <c r="Z15" s="41" t="str">
        <f aca="false">IF(AND(G15&lt;&gt;"",R15&lt;&gt;"",V15&lt;&gt;"",W15&lt;&gt;""),"COMPLETADO","OBSERVADO")</f>
        <v>OBSERVADO</v>
      </c>
      <c r="AA15" s="89"/>
    </row>
    <row r="16" customFormat="false" ht="15.75" hidden="false" customHeight="true" outlineLevel="0" collapsed="false">
      <c r="A16" s="140"/>
      <c r="B16" s="140"/>
      <c r="C16" s="140"/>
      <c r="D16" s="140"/>
      <c r="E16" s="140"/>
      <c r="F16" s="140"/>
      <c r="G16" s="140"/>
      <c r="H16" s="140"/>
      <c r="I16" s="138" t="str">
        <f aca="false">IFERROR(VLOOKUP(TEXT(H16,"0"),IPRESS!$A$3:$B$212,2,0),"")</f>
        <v/>
      </c>
      <c r="J16" s="140"/>
      <c r="K16" s="138" t="str">
        <f aca="false">IFERROR(VLOOKUP(TEXT(O16,"0"),CONDUCTORES!$A$3:$G$54,7,0),"")</f>
        <v/>
      </c>
      <c r="L16" s="140"/>
      <c r="M16" s="140"/>
      <c r="N16" s="139" t="str">
        <f aca="false">IFERROR(IF(L16*M16=0,"",L16*M16),"")</f>
        <v/>
      </c>
      <c r="O16" s="140"/>
      <c r="P16" s="138" t="str">
        <f aca="false">IFERROR(VLOOKUP(TEXT(O16,"0"),CONDUCTORES!$A$3:$G$54,2,0),"")</f>
        <v/>
      </c>
      <c r="Q16" s="138" t="str">
        <f aca="false">IFERROR(VLOOKUP(TEXT(O16,"0"),CONDUCTORES!$A$3:$H$54,6,0),"")</f>
        <v/>
      </c>
      <c r="R16" s="140"/>
      <c r="S16" s="140"/>
      <c r="T16" s="140"/>
      <c r="U16" s="140"/>
      <c r="V16" s="140"/>
      <c r="W16" s="140"/>
      <c r="X16" s="140"/>
      <c r="Y16" s="140"/>
      <c r="Z16" s="47" t="str">
        <f aca="false">IF(AND(G16&lt;&gt;"",R16&lt;&gt;"",V16&lt;&gt;"",W16&lt;&gt;""),"COMPLETADO","OBSERVADO")</f>
        <v>OBSERVADO</v>
      </c>
      <c r="AA16" s="89"/>
    </row>
    <row r="17" customFormat="false" ht="15.75" hidden="false" customHeight="true" outlineLevel="0" collapsed="false">
      <c r="A17" s="85"/>
      <c r="B17" s="85"/>
      <c r="C17" s="85"/>
      <c r="D17" s="85"/>
      <c r="E17" s="85"/>
      <c r="F17" s="85"/>
      <c r="G17" s="85"/>
      <c r="H17" s="85"/>
      <c r="I17" s="138" t="str">
        <f aca="false">IFERROR(VLOOKUP(TEXT(H17,"0"),IPRESS!$A$3:$B$212,2,0),"")</f>
        <v/>
      </c>
      <c r="J17" s="85"/>
      <c r="K17" s="138" t="str">
        <f aca="false">IFERROR(VLOOKUP(TEXT(O17,"0"),CONDUCTORES!$A$3:$G$54,7,0),"")</f>
        <v/>
      </c>
      <c r="L17" s="85"/>
      <c r="M17" s="85"/>
      <c r="N17" s="139" t="str">
        <f aca="false">IFERROR(IF(L17*M17=0,"",L17*M17),"")</f>
        <v/>
      </c>
      <c r="O17" s="85"/>
      <c r="P17" s="138" t="str">
        <f aca="false">IFERROR(VLOOKUP(TEXT(O17,"0"),CONDUCTORES!$A$3:$G$54,2,0),"")</f>
        <v/>
      </c>
      <c r="Q17" s="138" t="str">
        <f aca="false">IFERROR(VLOOKUP(TEXT(O17,"0"),CONDUCTORES!$A$3:$H$54,6,0),"")</f>
        <v/>
      </c>
      <c r="R17" s="85"/>
      <c r="S17" s="85"/>
      <c r="T17" s="85"/>
      <c r="U17" s="85"/>
      <c r="V17" s="85"/>
      <c r="W17" s="85"/>
      <c r="X17" s="85"/>
      <c r="Y17" s="85"/>
      <c r="Z17" s="41" t="str">
        <f aca="false">IF(AND(G17&lt;&gt;"",R17&lt;&gt;"",V17&lt;&gt;"",W17&lt;&gt;""),"COMPLETADO","OBSERVADO")</f>
        <v>OBSERVADO</v>
      </c>
      <c r="AA17" s="89"/>
    </row>
    <row r="18" customFormat="false" ht="15.75" hidden="false" customHeight="true" outlineLevel="0" collapsed="false">
      <c r="A18" s="140"/>
      <c r="B18" s="140"/>
      <c r="C18" s="140"/>
      <c r="D18" s="140"/>
      <c r="E18" s="140"/>
      <c r="F18" s="140"/>
      <c r="G18" s="140"/>
      <c r="H18" s="140"/>
      <c r="I18" s="138" t="str">
        <f aca="false">IFERROR(VLOOKUP(TEXT(H18,"0"),IPRESS!$A$3:$B$212,2,0),"")</f>
        <v/>
      </c>
      <c r="J18" s="140"/>
      <c r="K18" s="138" t="str">
        <f aca="false">IFERROR(VLOOKUP(TEXT(O18,"0"),CONDUCTORES!$A$3:$G$54,7,0),"")</f>
        <v/>
      </c>
      <c r="L18" s="140"/>
      <c r="M18" s="140"/>
      <c r="N18" s="139" t="str">
        <f aca="false">IFERROR(IF(L18*M18=0,"",L18*M18),"")</f>
        <v/>
      </c>
      <c r="O18" s="140"/>
      <c r="P18" s="138" t="str">
        <f aca="false">IFERROR(VLOOKUP(TEXT(O18,"0"),CONDUCTORES!$A$3:$G$54,2,0),"")</f>
        <v/>
      </c>
      <c r="Q18" s="138" t="str">
        <f aca="false">IFERROR(VLOOKUP(TEXT(O18,"0"),CONDUCTORES!$A$3:$H$54,6,0),"")</f>
        <v/>
      </c>
      <c r="R18" s="140"/>
      <c r="S18" s="140"/>
      <c r="T18" s="140"/>
      <c r="U18" s="140"/>
      <c r="V18" s="140"/>
      <c r="W18" s="140"/>
      <c r="X18" s="140"/>
      <c r="Y18" s="140"/>
      <c r="Z18" s="47" t="str">
        <f aca="false">IF(AND(G18&lt;&gt;"",R18&lt;&gt;"",V18&lt;&gt;"",W18&lt;&gt;""),"COMPLETADO","OBSERVADO")</f>
        <v>OBSERVADO</v>
      </c>
      <c r="AA18" s="89"/>
    </row>
    <row r="19" customFormat="false" ht="15.75" hidden="false" customHeight="true" outlineLevel="0" collapsed="false">
      <c r="A19" s="85"/>
      <c r="B19" s="85"/>
      <c r="C19" s="85"/>
      <c r="D19" s="85"/>
      <c r="E19" s="85"/>
      <c r="F19" s="85"/>
      <c r="G19" s="85"/>
      <c r="H19" s="85"/>
      <c r="I19" s="138" t="str">
        <f aca="false">IFERROR(VLOOKUP(TEXT(H19,"0"),IPRESS!$A$3:$B$212,2,0),"")</f>
        <v/>
      </c>
      <c r="J19" s="85"/>
      <c r="K19" s="138" t="str">
        <f aca="false">IFERROR(VLOOKUP(TEXT(O19,"0"),CONDUCTORES!$A$3:$G$54,7,0),"")</f>
        <v/>
      </c>
      <c r="L19" s="85"/>
      <c r="M19" s="85"/>
      <c r="N19" s="139" t="str">
        <f aca="false">IFERROR(IF(L19*M19=0,"",L19*M19),"")</f>
        <v/>
      </c>
      <c r="O19" s="85"/>
      <c r="P19" s="138" t="str">
        <f aca="false">IFERROR(VLOOKUP(TEXT(O19,"0"),CONDUCTORES!$A$3:$G$54,2,0),"")</f>
        <v/>
      </c>
      <c r="Q19" s="138" t="str">
        <f aca="false">IFERROR(VLOOKUP(TEXT(O19,"0"),CONDUCTORES!$A$3:$H$54,6,0),"")</f>
        <v/>
      </c>
      <c r="R19" s="85"/>
      <c r="S19" s="85"/>
      <c r="T19" s="85"/>
      <c r="U19" s="85"/>
      <c r="V19" s="85"/>
      <c r="W19" s="85"/>
      <c r="X19" s="85"/>
      <c r="Y19" s="85"/>
      <c r="Z19" s="41" t="str">
        <f aca="false">IF(AND(G19&lt;&gt;"",R19&lt;&gt;"",V19&lt;&gt;"",W19&lt;&gt;""),"COMPLETADO","OBSERVADO")</f>
        <v>OBSERVADO</v>
      </c>
      <c r="AA19" s="89"/>
    </row>
    <row r="20" customFormat="false" ht="15.75" hidden="false" customHeight="true" outlineLevel="0" collapsed="false">
      <c r="A20" s="140"/>
      <c r="B20" s="140"/>
      <c r="C20" s="140"/>
      <c r="D20" s="140"/>
      <c r="E20" s="140"/>
      <c r="F20" s="140"/>
      <c r="G20" s="140"/>
      <c r="H20" s="140"/>
      <c r="I20" s="138" t="str">
        <f aca="false">IFERROR(VLOOKUP(TEXT(H20,"0"),IPRESS!$A$3:$B$212,2,0),"")</f>
        <v/>
      </c>
      <c r="J20" s="140"/>
      <c r="K20" s="138" t="str">
        <f aca="false">IFERROR(VLOOKUP(TEXT(O20,"0"),CONDUCTORES!$A$3:$G$54,7,0),"")</f>
        <v/>
      </c>
      <c r="L20" s="140"/>
      <c r="M20" s="140"/>
      <c r="N20" s="139" t="str">
        <f aca="false">IFERROR(IF(L20*M20=0,"",L20*M20),"")</f>
        <v/>
      </c>
      <c r="O20" s="140"/>
      <c r="P20" s="138" t="str">
        <f aca="false">IFERROR(VLOOKUP(TEXT(O20,"0"),CONDUCTORES!$A$3:$G$54,2,0),"")</f>
        <v/>
      </c>
      <c r="Q20" s="138" t="str">
        <f aca="false">IFERROR(VLOOKUP(TEXT(O20,"0"),CONDUCTORES!$A$3:$H$54,6,0),"")</f>
        <v/>
      </c>
      <c r="R20" s="140"/>
      <c r="S20" s="140"/>
      <c r="T20" s="140"/>
      <c r="U20" s="140"/>
      <c r="V20" s="140"/>
      <c r="W20" s="140"/>
      <c r="X20" s="140"/>
      <c r="Y20" s="140"/>
      <c r="Z20" s="47" t="str">
        <f aca="false">IF(AND(G20&lt;&gt;"",R20&lt;&gt;"",V20&lt;&gt;"",W20&lt;&gt;""),"COMPLETADO","OBSERVADO")</f>
        <v>OBSERVADO</v>
      </c>
      <c r="AA20" s="89"/>
    </row>
    <row r="21" customFormat="false" ht="15.75" hidden="false" customHeight="true" outlineLevel="0" collapsed="false">
      <c r="A21" s="85"/>
      <c r="B21" s="85"/>
      <c r="C21" s="85"/>
      <c r="D21" s="85"/>
      <c r="E21" s="85"/>
      <c r="F21" s="85"/>
      <c r="G21" s="85"/>
      <c r="H21" s="85"/>
      <c r="I21" s="138" t="str">
        <f aca="false">IFERROR(VLOOKUP(TEXT(H21,"0"),IPRESS!$A$3:$B$212,2,0),"")</f>
        <v/>
      </c>
      <c r="J21" s="85"/>
      <c r="K21" s="138" t="str">
        <f aca="false">IFERROR(VLOOKUP(TEXT(O21,"0"),CONDUCTORES!$A$3:$G$54,7,0),"")</f>
        <v/>
      </c>
      <c r="L21" s="85"/>
      <c r="M21" s="85"/>
      <c r="N21" s="139" t="str">
        <f aca="false">IFERROR(IF(L21*M21=0,"",L21*M21),"")</f>
        <v/>
      </c>
      <c r="O21" s="85"/>
      <c r="P21" s="138" t="str">
        <f aca="false">IFERROR(VLOOKUP(TEXT(O21,"0"),CONDUCTORES!$A$3:$G$54,2,0),"")</f>
        <v/>
      </c>
      <c r="Q21" s="138" t="str">
        <f aca="false">IFERROR(VLOOKUP(TEXT(O21,"0"),CONDUCTORES!$A$3:$H$54,6,0),"")</f>
        <v/>
      </c>
      <c r="R21" s="85"/>
      <c r="S21" s="85"/>
      <c r="T21" s="85"/>
      <c r="U21" s="85"/>
      <c r="V21" s="85"/>
      <c r="W21" s="85"/>
      <c r="X21" s="85"/>
      <c r="Y21" s="85"/>
      <c r="Z21" s="41" t="str">
        <f aca="false">IF(AND(G21&lt;&gt;"",R21&lt;&gt;"",V21&lt;&gt;"",W21&lt;&gt;""),"COMPLETADO","OBSERVADO")</f>
        <v>OBSERVADO</v>
      </c>
      <c r="AA21" s="89"/>
    </row>
    <row r="22" customFormat="false" ht="15.75" hidden="false" customHeight="true" outlineLevel="0" collapsed="false">
      <c r="A22" s="140"/>
      <c r="B22" s="140"/>
      <c r="C22" s="140"/>
      <c r="D22" s="140"/>
      <c r="E22" s="140"/>
      <c r="F22" s="140"/>
      <c r="G22" s="140"/>
      <c r="H22" s="140"/>
      <c r="I22" s="138" t="str">
        <f aca="false">IFERROR(VLOOKUP(TEXT(H22,"0"),IPRESS!$A$3:$B$212,2,0),"")</f>
        <v/>
      </c>
      <c r="J22" s="140"/>
      <c r="K22" s="138" t="str">
        <f aca="false">IFERROR(VLOOKUP(TEXT(O22,"0"),CONDUCTORES!$A$3:$G$54,7,0),"")</f>
        <v/>
      </c>
      <c r="L22" s="140"/>
      <c r="M22" s="140"/>
      <c r="N22" s="139" t="str">
        <f aca="false">IFERROR(IF(L22*M22=0,"",L22*M22),"")</f>
        <v/>
      </c>
      <c r="O22" s="140"/>
      <c r="P22" s="138" t="str">
        <f aca="false">IFERROR(VLOOKUP(TEXT(O22,"0"),CONDUCTORES!$A$3:$G$54,2,0),"")</f>
        <v/>
      </c>
      <c r="Q22" s="138" t="str">
        <f aca="false">IFERROR(VLOOKUP(TEXT(O22,"0"),CONDUCTORES!$A$3:$H$54,6,0),"")</f>
        <v/>
      </c>
      <c r="R22" s="140"/>
      <c r="S22" s="140"/>
      <c r="T22" s="140"/>
      <c r="U22" s="140"/>
      <c r="V22" s="140"/>
      <c r="W22" s="140"/>
      <c r="X22" s="140"/>
      <c r="Y22" s="140"/>
      <c r="Z22" s="47" t="str">
        <f aca="false">IF(AND(G22&lt;&gt;"",R22&lt;&gt;"",V22&lt;&gt;"",W22&lt;&gt;""),"COMPLETADO","OBSERVADO")</f>
        <v>OBSERVADO</v>
      </c>
      <c r="AA22" s="89"/>
    </row>
    <row r="23" customFormat="false" ht="15.75" hidden="false" customHeight="true" outlineLevel="0" collapsed="false">
      <c r="A23" s="85"/>
      <c r="B23" s="85"/>
      <c r="C23" s="85"/>
      <c r="D23" s="85"/>
      <c r="E23" s="85"/>
      <c r="F23" s="85"/>
      <c r="G23" s="85"/>
      <c r="H23" s="85"/>
      <c r="I23" s="138" t="str">
        <f aca="false">IFERROR(VLOOKUP(TEXT(H23,"0"),IPRESS!$A$3:$B$212,2,0),"")</f>
        <v/>
      </c>
      <c r="J23" s="85"/>
      <c r="K23" s="138" t="str">
        <f aca="false">IFERROR(VLOOKUP(TEXT(O23,"0"),CONDUCTORES!$A$3:$G$54,7,0),"")</f>
        <v/>
      </c>
      <c r="L23" s="85"/>
      <c r="M23" s="85"/>
      <c r="N23" s="139" t="str">
        <f aca="false">IFERROR(IF(L23*M23=0,"",L23*M23),"")</f>
        <v/>
      </c>
      <c r="O23" s="85"/>
      <c r="P23" s="138" t="str">
        <f aca="false">IFERROR(VLOOKUP(TEXT(O23,"0"),CONDUCTORES!$A$3:$G$54,2,0),"")</f>
        <v/>
      </c>
      <c r="Q23" s="138" t="str">
        <f aca="false">IFERROR(VLOOKUP(TEXT(O23,"0"),CONDUCTORES!$A$3:$H$54,6,0),"")</f>
        <v/>
      </c>
      <c r="R23" s="85"/>
      <c r="S23" s="85"/>
      <c r="T23" s="85"/>
      <c r="U23" s="85"/>
      <c r="V23" s="85"/>
      <c r="W23" s="85"/>
      <c r="X23" s="85"/>
      <c r="Y23" s="85"/>
      <c r="Z23" s="41" t="str">
        <f aca="false">IF(AND(G23&lt;&gt;"",R23&lt;&gt;"",V23&lt;&gt;"",W23&lt;&gt;""),"COMPLETADO","OBSERVADO")</f>
        <v>OBSERVADO</v>
      </c>
      <c r="AA23" s="89"/>
    </row>
    <row r="24" customFormat="false" ht="15.75" hidden="false" customHeight="true" outlineLevel="0" collapsed="false">
      <c r="A24" s="140"/>
      <c r="B24" s="140"/>
      <c r="C24" s="140"/>
      <c r="D24" s="140"/>
      <c r="E24" s="140"/>
      <c r="F24" s="140"/>
      <c r="G24" s="140"/>
      <c r="H24" s="140"/>
      <c r="I24" s="138" t="str">
        <f aca="false">IFERROR(VLOOKUP(TEXT(H24,"0"),IPRESS!$A$3:$B$212,2,0),"")</f>
        <v/>
      </c>
      <c r="J24" s="140"/>
      <c r="K24" s="138" t="str">
        <f aca="false">IFERROR(VLOOKUP(TEXT(O24,"0"),CONDUCTORES!$A$3:$G$54,7,0),"")</f>
        <v/>
      </c>
      <c r="L24" s="140"/>
      <c r="M24" s="140"/>
      <c r="N24" s="139" t="str">
        <f aca="false">IFERROR(IF(L24*M24=0,"",L24*M24),"")</f>
        <v/>
      </c>
      <c r="O24" s="140"/>
      <c r="P24" s="138" t="str">
        <f aca="false">IFERROR(VLOOKUP(TEXT(O24,"0"),CONDUCTORES!$A$3:$G$54,2,0),"")</f>
        <v/>
      </c>
      <c r="Q24" s="138" t="str">
        <f aca="false">IFERROR(VLOOKUP(TEXT(O24,"0"),CONDUCTORES!$A$3:$H$54,6,0),"")</f>
        <v/>
      </c>
      <c r="R24" s="140"/>
      <c r="S24" s="140"/>
      <c r="T24" s="140"/>
      <c r="U24" s="140"/>
      <c r="V24" s="140"/>
      <c r="W24" s="140"/>
      <c r="X24" s="140"/>
      <c r="Y24" s="140"/>
      <c r="Z24" s="47" t="str">
        <f aca="false">IF(AND(G24&lt;&gt;"",R24&lt;&gt;"",V24&lt;&gt;"",W24&lt;&gt;""),"COMPLETADO","OBSERVADO")</f>
        <v>OBSERVADO</v>
      </c>
      <c r="AA24" s="89"/>
    </row>
    <row r="25" customFormat="false" ht="15.75" hidden="false" customHeight="true" outlineLevel="0" collapsed="false">
      <c r="A25" s="85"/>
      <c r="B25" s="85"/>
      <c r="C25" s="85"/>
      <c r="D25" s="85"/>
      <c r="E25" s="85"/>
      <c r="F25" s="85"/>
      <c r="G25" s="85"/>
      <c r="H25" s="85"/>
      <c r="I25" s="138" t="str">
        <f aca="false">IFERROR(VLOOKUP(TEXT(H25,"0"),IPRESS!$A$3:$B$212,2,0),"")</f>
        <v/>
      </c>
      <c r="J25" s="85"/>
      <c r="K25" s="138" t="str">
        <f aca="false">IFERROR(VLOOKUP(TEXT(O25,"0"),CONDUCTORES!$A$3:$G$54,7,0),"")</f>
        <v/>
      </c>
      <c r="L25" s="85"/>
      <c r="M25" s="85"/>
      <c r="N25" s="139" t="str">
        <f aca="false">IFERROR(IF(L25*M25=0,"",L25*M25),"")</f>
        <v/>
      </c>
      <c r="O25" s="85"/>
      <c r="P25" s="138" t="str">
        <f aca="false">IFERROR(VLOOKUP(TEXT(O25,"0"),CONDUCTORES!$A$3:$G$54,2,0),"")</f>
        <v/>
      </c>
      <c r="Q25" s="138" t="str">
        <f aca="false">IFERROR(VLOOKUP(TEXT(O25,"0"),CONDUCTORES!$A$3:$H$54,6,0),"")</f>
        <v/>
      </c>
      <c r="R25" s="85"/>
      <c r="S25" s="85"/>
      <c r="T25" s="85"/>
      <c r="U25" s="85"/>
      <c r="V25" s="85"/>
      <c r="W25" s="85"/>
      <c r="X25" s="85"/>
      <c r="Y25" s="85"/>
      <c r="Z25" s="41" t="str">
        <f aca="false">IF(AND(G25&lt;&gt;"",R25&lt;&gt;"",V25&lt;&gt;"",W25&lt;&gt;""),"COMPLETADO","OBSERVADO")</f>
        <v>OBSERVADO</v>
      </c>
      <c r="AA25" s="89"/>
    </row>
    <row r="26" customFormat="false" ht="15.75" hidden="false" customHeight="true" outlineLevel="0" collapsed="false">
      <c r="A26" s="140"/>
      <c r="B26" s="140"/>
      <c r="C26" s="140"/>
      <c r="D26" s="140"/>
      <c r="E26" s="140"/>
      <c r="F26" s="140"/>
      <c r="G26" s="140"/>
      <c r="H26" s="140"/>
      <c r="I26" s="138" t="str">
        <f aca="false">IFERROR(VLOOKUP(TEXT(H26,"0"),IPRESS!$A$3:$B$212,2,0),"")</f>
        <v/>
      </c>
      <c r="J26" s="140"/>
      <c r="K26" s="138" t="str">
        <f aca="false">IFERROR(VLOOKUP(TEXT(O26,"0"),CONDUCTORES!$A$3:$G$54,7,0),"")</f>
        <v/>
      </c>
      <c r="L26" s="140"/>
      <c r="M26" s="140"/>
      <c r="N26" s="139" t="str">
        <f aca="false">IFERROR(IF(L26*M26=0,"",L26*M26),"")</f>
        <v/>
      </c>
      <c r="O26" s="140"/>
      <c r="P26" s="138" t="str">
        <f aca="false">IFERROR(VLOOKUP(TEXT(O26,"0"),CONDUCTORES!$A$3:$G$54,2,0),"")</f>
        <v/>
      </c>
      <c r="Q26" s="138" t="str">
        <f aca="false">IFERROR(VLOOKUP(TEXT(O26,"0"),CONDUCTORES!$A$3:$H$54,6,0),"")</f>
        <v/>
      </c>
      <c r="R26" s="140"/>
      <c r="S26" s="140"/>
      <c r="T26" s="140"/>
      <c r="U26" s="140"/>
      <c r="V26" s="140"/>
      <c r="W26" s="140"/>
      <c r="X26" s="140"/>
      <c r="Y26" s="140"/>
      <c r="Z26" s="47" t="str">
        <f aca="false">IF(AND(G26&lt;&gt;"",R26&lt;&gt;"",V26&lt;&gt;"",W26&lt;&gt;""),"COMPLETADO","OBSERVADO")</f>
        <v>OBSERVADO</v>
      </c>
      <c r="AA26" s="89"/>
    </row>
    <row r="27" customFormat="false" ht="15.75" hidden="false" customHeight="true" outlineLevel="0" collapsed="false">
      <c r="A27" s="85"/>
      <c r="B27" s="85"/>
      <c r="C27" s="85"/>
      <c r="D27" s="85"/>
      <c r="E27" s="85"/>
      <c r="F27" s="85"/>
      <c r="G27" s="85"/>
      <c r="H27" s="85"/>
      <c r="I27" s="138" t="str">
        <f aca="false">IFERROR(VLOOKUP(TEXT(H27,"0"),IPRESS!$A$3:$B$212,2,0),"")</f>
        <v/>
      </c>
      <c r="J27" s="85"/>
      <c r="K27" s="138" t="str">
        <f aca="false">IFERROR(VLOOKUP(TEXT(O27,"0"),CONDUCTORES!$A$3:$G$54,7,0),"")</f>
        <v/>
      </c>
      <c r="L27" s="85"/>
      <c r="M27" s="85"/>
      <c r="N27" s="139" t="str">
        <f aca="false">IFERROR(IF(L27*M27=0,"",L27*M27),"")</f>
        <v/>
      </c>
      <c r="O27" s="85"/>
      <c r="P27" s="138" t="str">
        <f aca="false">IFERROR(VLOOKUP(TEXT(O27,"0"),CONDUCTORES!$A$3:$G$54,2,0),"")</f>
        <v/>
      </c>
      <c r="Q27" s="138" t="str">
        <f aca="false">IFERROR(VLOOKUP(TEXT(O27,"0"),CONDUCTORES!$A$3:$H$54,6,0),"")</f>
        <v/>
      </c>
      <c r="R27" s="85"/>
      <c r="S27" s="85"/>
      <c r="T27" s="85"/>
      <c r="U27" s="85"/>
      <c r="V27" s="85"/>
      <c r="W27" s="85"/>
      <c r="X27" s="85"/>
      <c r="Y27" s="85"/>
      <c r="Z27" s="41" t="str">
        <f aca="false">IF(AND(G27&lt;&gt;"",R27&lt;&gt;"",V27&lt;&gt;"",W27&lt;&gt;""),"COMPLETADO","OBSERVADO")</f>
        <v>OBSERVADO</v>
      </c>
      <c r="AA27" s="89"/>
    </row>
    <row r="28" customFormat="false" ht="15.75" hidden="false" customHeight="true" outlineLevel="0" collapsed="false">
      <c r="A28" s="140"/>
      <c r="B28" s="140"/>
      <c r="C28" s="140"/>
      <c r="D28" s="140"/>
      <c r="E28" s="140"/>
      <c r="F28" s="140"/>
      <c r="G28" s="140"/>
      <c r="H28" s="140"/>
      <c r="I28" s="138" t="str">
        <f aca="false">IFERROR(VLOOKUP(TEXT(H28,"0"),IPRESS!$A$3:$B$212,2,0),"")</f>
        <v/>
      </c>
      <c r="J28" s="140"/>
      <c r="K28" s="138" t="str">
        <f aca="false">IFERROR(VLOOKUP(TEXT(O28,"0"),CONDUCTORES!$A$3:$G$54,7,0),"")</f>
        <v/>
      </c>
      <c r="L28" s="140"/>
      <c r="M28" s="140"/>
      <c r="N28" s="139" t="str">
        <f aca="false">IFERROR(IF(L28*M28=0,"",L28*M28),"")</f>
        <v/>
      </c>
      <c r="O28" s="140"/>
      <c r="P28" s="138" t="str">
        <f aca="false">IFERROR(VLOOKUP(TEXT(O28,"0"),CONDUCTORES!$A$3:$G$54,2,0),"")</f>
        <v/>
      </c>
      <c r="Q28" s="138" t="str">
        <f aca="false">IFERROR(VLOOKUP(TEXT(O28,"0"),CONDUCTORES!$A$3:$H$54,6,0),"")</f>
        <v/>
      </c>
      <c r="R28" s="140"/>
      <c r="S28" s="140"/>
      <c r="T28" s="140"/>
      <c r="U28" s="140"/>
      <c r="V28" s="140"/>
      <c r="W28" s="140"/>
      <c r="X28" s="140"/>
      <c r="Y28" s="140"/>
      <c r="Z28" s="47" t="str">
        <f aca="false">IF(AND(G28&lt;&gt;"",R28&lt;&gt;"",V28&lt;&gt;"",W28&lt;&gt;""),"COMPLETADO","OBSERVADO")</f>
        <v>OBSERVADO</v>
      </c>
      <c r="AA28" s="89"/>
    </row>
    <row r="29" customFormat="false" ht="15.75" hidden="false" customHeight="true" outlineLevel="0" collapsed="false">
      <c r="A29" s="85"/>
      <c r="B29" s="85"/>
      <c r="C29" s="85"/>
      <c r="D29" s="85"/>
      <c r="E29" s="85"/>
      <c r="F29" s="85"/>
      <c r="G29" s="85"/>
      <c r="H29" s="85"/>
      <c r="I29" s="138" t="str">
        <f aca="false">IFERROR(VLOOKUP(TEXT(H29,"0"),IPRESS!$A$3:$B$212,2,0),"")</f>
        <v/>
      </c>
      <c r="J29" s="85"/>
      <c r="K29" s="138" t="str">
        <f aca="false">IFERROR(VLOOKUP(TEXT(O29,"0"),CONDUCTORES!$A$3:$G$54,7,0),"")</f>
        <v/>
      </c>
      <c r="L29" s="85"/>
      <c r="M29" s="85"/>
      <c r="N29" s="139" t="str">
        <f aca="false">IFERROR(IF(L29*M29=0,"",L29*M29),"")</f>
        <v/>
      </c>
      <c r="O29" s="85"/>
      <c r="P29" s="138" t="str">
        <f aca="false">IFERROR(VLOOKUP(TEXT(O29,"0"),CONDUCTORES!$A$3:$G$54,2,0),"")</f>
        <v/>
      </c>
      <c r="Q29" s="138" t="str">
        <f aca="false">IFERROR(VLOOKUP(TEXT(O29,"0"),CONDUCTORES!$A$3:$H$54,6,0),"")</f>
        <v/>
      </c>
      <c r="R29" s="85"/>
      <c r="S29" s="85"/>
      <c r="T29" s="85"/>
      <c r="U29" s="85"/>
      <c r="V29" s="85"/>
      <c r="W29" s="85"/>
      <c r="X29" s="85"/>
      <c r="Y29" s="85"/>
      <c r="Z29" s="41" t="str">
        <f aca="false">IF(AND(G29&lt;&gt;"",R29&lt;&gt;"",V29&lt;&gt;"",W29&lt;&gt;""),"COMPLETADO","OBSERVADO")</f>
        <v>OBSERVADO</v>
      </c>
      <c r="AA29" s="89"/>
    </row>
    <row r="30" customFormat="false" ht="15.75" hidden="false" customHeight="true" outlineLevel="0" collapsed="false">
      <c r="A30" s="140"/>
      <c r="B30" s="140"/>
      <c r="C30" s="140"/>
      <c r="D30" s="140"/>
      <c r="E30" s="140"/>
      <c r="F30" s="140"/>
      <c r="G30" s="140"/>
      <c r="H30" s="140"/>
      <c r="I30" s="138" t="str">
        <f aca="false">IFERROR(VLOOKUP(TEXT(H30,"0"),IPRESS!$A$3:$B$212,2,0),"")</f>
        <v/>
      </c>
      <c r="J30" s="140"/>
      <c r="K30" s="138" t="str">
        <f aca="false">IFERROR(VLOOKUP(TEXT(O30,"0"),CONDUCTORES!$A$3:$G$54,7,0),"")</f>
        <v/>
      </c>
      <c r="L30" s="140"/>
      <c r="M30" s="140"/>
      <c r="N30" s="139" t="str">
        <f aca="false">IFERROR(IF(L30*M30=0,"",L30*M30),"")</f>
        <v/>
      </c>
      <c r="O30" s="140"/>
      <c r="P30" s="138" t="str">
        <f aca="false">IFERROR(VLOOKUP(TEXT(O30,"0"),CONDUCTORES!$A$3:$G$54,2,0),"")</f>
        <v/>
      </c>
      <c r="Q30" s="138" t="str">
        <f aca="false">IFERROR(VLOOKUP(TEXT(O30,"0"),CONDUCTORES!$A$3:$H$54,6,0),"")</f>
        <v/>
      </c>
      <c r="R30" s="140"/>
      <c r="S30" s="140"/>
      <c r="T30" s="140"/>
      <c r="U30" s="140"/>
      <c r="V30" s="140"/>
      <c r="W30" s="140"/>
      <c r="X30" s="140"/>
      <c r="Y30" s="140"/>
      <c r="Z30" s="47" t="str">
        <f aca="false">IF(AND(G30&lt;&gt;"",R30&lt;&gt;"",V30&lt;&gt;"",W30&lt;&gt;""),"COMPLETADO","OBSERVADO")</f>
        <v>OBSERVADO</v>
      </c>
      <c r="AA30" s="89"/>
    </row>
    <row r="31" customFormat="false" ht="15.75" hidden="false" customHeight="true" outlineLevel="0" collapsed="false">
      <c r="A31" s="85"/>
      <c r="B31" s="85"/>
      <c r="C31" s="85"/>
      <c r="D31" s="85"/>
      <c r="E31" s="85"/>
      <c r="F31" s="85"/>
      <c r="G31" s="85"/>
      <c r="H31" s="85"/>
      <c r="I31" s="138" t="str">
        <f aca="false">IFERROR(VLOOKUP(TEXT(H31,"0"),IPRESS!$A$3:$B$212,2,0),"")</f>
        <v/>
      </c>
      <c r="J31" s="85"/>
      <c r="K31" s="138" t="str">
        <f aca="false">IFERROR(VLOOKUP(TEXT(O31,"0"),CONDUCTORES!$A$3:$G$54,7,0),"")</f>
        <v/>
      </c>
      <c r="L31" s="85"/>
      <c r="M31" s="85"/>
      <c r="N31" s="139" t="str">
        <f aca="false">IFERROR(IF(L31*M31=0,"",L31*M31),"")</f>
        <v/>
      </c>
      <c r="O31" s="85"/>
      <c r="P31" s="138" t="str">
        <f aca="false">IFERROR(VLOOKUP(TEXT(O31,"0"),CONDUCTORES!$A$3:$G$54,2,0),"")</f>
        <v/>
      </c>
      <c r="Q31" s="138" t="str">
        <f aca="false">IFERROR(VLOOKUP(TEXT(O31,"0"),CONDUCTORES!$A$3:$H$54,6,0),"")</f>
        <v/>
      </c>
      <c r="R31" s="85"/>
      <c r="S31" s="85"/>
      <c r="T31" s="85"/>
      <c r="U31" s="85"/>
      <c r="V31" s="85"/>
      <c r="W31" s="85"/>
      <c r="X31" s="85"/>
      <c r="Y31" s="85"/>
      <c r="Z31" s="41" t="str">
        <f aca="false">IF(AND(G31&lt;&gt;"",R31&lt;&gt;"",V31&lt;&gt;"",W31&lt;&gt;""),"COMPLETADO","OBSERVADO")</f>
        <v>OBSERVADO</v>
      </c>
      <c r="AA31" s="89"/>
    </row>
    <row r="32" customFormat="false" ht="15.75" hidden="false" customHeight="true" outlineLevel="0" collapsed="false">
      <c r="A32" s="140"/>
      <c r="B32" s="140"/>
      <c r="C32" s="140"/>
      <c r="D32" s="140"/>
      <c r="E32" s="140"/>
      <c r="F32" s="140"/>
      <c r="G32" s="140"/>
      <c r="H32" s="140"/>
      <c r="I32" s="138" t="str">
        <f aca="false">IFERROR(VLOOKUP(TEXT(H32,"0"),IPRESS!$A$3:$B$212,2,0),"")</f>
        <v/>
      </c>
      <c r="J32" s="140"/>
      <c r="K32" s="138" t="str">
        <f aca="false">IFERROR(VLOOKUP(TEXT(O32,"0"),CONDUCTORES!$A$3:$G$54,7,0),"")</f>
        <v/>
      </c>
      <c r="L32" s="140"/>
      <c r="M32" s="140"/>
      <c r="N32" s="139" t="str">
        <f aca="false">IFERROR(IF(L32*M32=0,"",L32*M32),"")</f>
        <v/>
      </c>
      <c r="O32" s="140"/>
      <c r="P32" s="138" t="str">
        <f aca="false">IFERROR(VLOOKUP(TEXT(O32,"0"),CONDUCTORES!$A$3:$G$54,2,0),"")</f>
        <v/>
      </c>
      <c r="Q32" s="138" t="str">
        <f aca="false">IFERROR(VLOOKUP(TEXT(O32,"0"),CONDUCTORES!$A$3:$H$54,6,0),"")</f>
        <v/>
      </c>
      <c r="R32" s="140"/>
      <c r="S32" s="140"/>
      <c r="T32" s="140"/>
      <c r="U32" s="140"/>
      <c r="V32" s="140"/>
      <c r="W32" s="140"/>
      <c r="X32" s="140"/>
      <c r="Y32" s="140"/>
      <c r="Z32" s="47" t="str">
        <f aca="false">IF(AND(G32&lt;&gt;"",R32&lt;&gt;"",V32&lt;&gt;"",W32&lt;&gt;""),"COMPLETADO","OBSERVADO")</f>
        <v>OBSERVADO</v>
      </c>
      <c r="AA32" s="89"/>
    </row>
    <row r="33" customFormat="false" ht="15.75" hidden="false" customHeight="true" outlineLevel="0" collapsed="false">
      <c r="A33" s="85"/>
      <c r="B33" s="85"/>
      <c r="C33" s="85"/>
      <c r="D33" s="85"/>
      <c r="E33" s="85"/>
      <c r="F33" s="85"/>
      <c r="G33" s="85"/>
      <c r="H33" s="85"/>
      <c r="I33" s="138" t="str">
        <f aca="false">IFERROR(VLOOKUP(TEXT(H33,"0"),IPRESS!$A$3:$B$212,2,0),"")</f>
        <v/>
      </c>
      <c r="J33" s="85"/>
      <c r="K33" s="138" t="str">
        <f aca="false">IFERROR(VLOOKUP(TEXT(O33,"0"),CONDUCTORES!$A$3:$G$54,7,0),"")</f>
        <v/>
      </c>
      <c r="L33" s="85"/>
      <c r="M33" s="85"/>
      <c r="N33" s="139" t="str">
        <f aca="false">IFERROR(IF(L33*M33=0,"",L33*M33),"")</f>
        <v/>
      </c>
      <c r="O33" s="85"/>
      <c r="P33" s="138" t="str">
        <f aca="false">IFERROR(VLOOKUP(TEXT(O33,"0"),CONDUCTORES!$A$3:$G$54,2,0),"")</f>
        <v/>
      </c>
      <c r="Q33" s="138" t="str">
        <f aca="false">IFERROR(VLOOKUP(TEXT(O33,"0"),CONDUCTORES!$A$3:$H$54,6,0),"")</f>
        <v/>
      </c>
      <c r="R33" s="85"/>
      <c r="S33" s="85"/>
      <c r="T33" s="85"/>
      <c r="U33" s="85"/>
      <c r="V33" s="85"/>
      <c r="W33" s="85"/>
      <c r="X33" s="85"/>
      <c r="Y33" s="85"/>
      <c r="Z33" s="41" t="str">
        <f aca="false">IF(AND(G33&lt;&gt;"",R33&lt;&gt;"",V33&lt;&gt;"",W33&lt;&gt;""),"COMPLETADO","OBSERVADO")</f>
        <v>OBSERVADO</v>
      </c>
      <c r="AA33" s="89"/>
    </row>
    <row r="34" customFormat="false" ht="15.75" hidden="false" customHeight="true" outlineLevel="0" collapsed="false">
      <c r="A34" s="140"/>
      <c r="B34" s="140"/>
      <c r="C34" s="140"/>
      <c r="D34" s="140"/>
      <c r="E34" s="140"/>
      <c r="F34" s="140"/>
      <c r="G34" s="140"/>
      <c r="H34" s="140"/>
      <c r="I34" s="138" t="str">
        <f aca="false">IFERROR(VLOOKUP(TEXT(H34,"0"),IPRESS!$A$3:$B$212,2,0),"")</f>
        <v/>
      </c>
      <c r="J34" s="140"/>
      <c r="K34" s="138" t="str">
        <f aca="false">IFERROR(VLOOKUP(TEXT(O34,"0"),CONDUCTORES!$A$3:$G$54,7,0),"")</f>
        <v/>
      </c>
      <c r="L34" s="140"/>
      <c r="M34" s="140"/>
      <c r="N34" s="139" t="str">
        <f aca="false">IFERROR(IF(L34*M34=0,"",L34*M34),"")</f>
        <v/>
      </c>
      <c r="O34" s="140"/>
      <c r="P34" s="138" t="str">
        <f aca="false">IFERROR(VLOOKUP(TEXT(O34,"0"),CONDUCTORES!$A$3:$G$54,2,0),"")</f>
        <v/>
      </c>
      <c r="Q34" s="138" t="str">
        <f aca="false">IFERROR(VLOOKUP(TEXT(O34,"0"),CONDUCTORES!$A$3:$H$54,6,0),"")</f>
        <v/>
      </c>
      <c r="R34" s="140"/>
      <c r="S34" s="140"/>
      <c r="T34" s="140"/>
      <c r="U34" s="140"/>
      <c r="V34" s="140"/>
      <c r="W34" s="140"/>
      <c r="X34" s="140"/>
      <c r="Y34" s="140"/>
      <c r="Z34" s="47" t="str">
        <f aca="false">IF(AND(G34&lt;&gt;"",R34&lt;&gt;"",V34&lt;&gt;"",W34&lt;&gt;""),"COMPLETADO","OBSERVADO")</f>
        <v>OBSERVADO</v>
      </c>
      <c r="AA34" s="89"/>
    </row>
    <row r="35" customFormat="false" ht="15.75" hidden="false" customHeight="true" outlineLevel="0" collapsed="false">
      <c r="A35" s="85"/>
      <c r="B35" s="85"/>
      <c r="C35" s="85"/>
      <c r="D35" s="85"/>
      <c r="E35" s="85"/>
      <c r="F35" s="85"/>
      <c r="G35" s="85"/>
      <c r="H35" s="85"/>
      <c r="I35" s="138" t="str">
        <f aca="false">IFERROR(VLOOKUP(TEXT(H35,"0"),IPRESS!$A$3:$B$212,2,0),"")</f>
        <v/>
      </c>
      <c r="J35" s="85"/>
      <c r="K35" s="138" t="str">
        <f aca="false">IFERROR(VLOOKUP(TEXT(O35,"0"),CONDUCTORES!$A$3:$G$54,7,0),"")</f>
        <v/>
      </c>
      <c r="L35" s="85"/>
      <c r="M35" s="85"/>
      <c r="N35" s="139" t="str">
        <f aca="false">IFERROR(IF(L35*M35=0,"",L35*M35),"")</f>
        <v/>
      </c>
      <c r="O35" s="85"/>
      <c r="P35" s="138" t="str">
        <f aca="false">IFERROR(VLOOKUP(TEXT(O35,"0"),CONDUCTORES!$A$3:$G$54,2,0),"")</f>
        <v/>
      </c>
      <c r="Q35" s="138" t="str">
        <f aca="false">IFERROR(VLOOKUP(TEXT(O35,"0"),CONDUCTORES!$A$3:$H$54,6,0),"")</f>
        <v/>
      </c>
      <c r="R35" s="85"/>
      <c r="S35" s="85"/>
      <c r="T35" s="85"/>
      <c r="U35" s="85"/>
      <c r="V35" s="85"/>
      <c r="W35" s="85"/>
      <c r="X35" s="85"/>
      <c r="Y35" s="85"/>
      <c r="Z35" s="41" t="str">
        <f aca="false">IF(AND(G35&lt;&gt;"",R35&lt;&gt;"",V35&lt;&gt;"",W35&lt;&gt;""),"COMPLETADO","OBSERVADO")</f>
        <v>OBSERVADO</v>
      </c>
      <c r="AA35" s="89"/>
    </row>
    <row r="36" customFormat="false" ht="15.75" hidden="false" customHeight="true" outlineLevel="0" collapsed="false">
      <c r="A36" s="140"/>
      <c r="B36" s="140"/>
      <c r="C36" s="140"/>
      <c r="D36" s="140"/>
      <c r="E36" s="140"/>
      <c r="F36" s="140"/>
      <c r="G36" s="140"/>
      <c r="H36" s="140"/>
      <c r="I36" s="138" t="str">
        <f aca="false">IFERROR(VLOOKUP(TEXT(H36,"0"),IPRESS!$A$3:$B$212,2,0),"")</f>
        <v/>
      </c>
      <c r="J36" s="140"/>
      <c r="K36" s="138" t="str">
        <f aca="false">IFERROR(VLOOKUP(TEXT(O36,"0"),CONDUCTORES!$A$3:$G$54,7,0),"")</f>
        <v/>
      </c>
      <c r="L36" s="140"/>
      <c r="M36" s="140"/>
      <c r="N36" s="139" t="str">
        <f aca="false">IFERROR(IF(L36*M36=0,"",L36*M36),"")</f>
        <v/>
      </c>
      <c r="O36" s="140"/>
      <c r="P36" s="138" t="str">
        <f aca="false">IFERROR(VLOOKUP(TEXT(O36,"0"),CONDUCTORES!$A$3:$G$54,2,0),"")</f>
        <v/>
      </c>
      <c r="Q36" s="138" t="str">
        <f aca="false">IFERROR(VLOOKUP(TEXT(O36,"0"),CONDUCTORES!$A$3:$H$54,6,0),"")</f>
        <v/>
      </c>
      <c r="R36" s="140"/>
      <c r="S36" s="140"/>
      <c r="T36" s="140"/>
      <c r="U36" s="140"/>
      <c r="V36" s="140"/>
      <c r="W36" s="140"/>
      <c r="X36" s="140"/>
      <c r="Y36" s="140"/>
      <c r="Z36" s="47" t="str">
        <f aca="false">IF(AND(G36&lt;&gt;"",R36&lt;&gt;"",V36&lt;&gt;"",W36&lt;&gt;""),"COMPLETADO","OBSERVADO")</f>
        <v>OBSERVADO</v>
      </c>
      <c r="AA36" s="89"/>
    </row>
    <row r="37" customFormat="false" ht="15.75" hidden="false" customHeight="true" outlineLevel="0" collapsed="false">
      <c r="A37" s="85"/>
      <c r="B37" s="85"/>
      <c r="C37" s="85"/>
      <c r="D37" s="85"/>
      <c r="E37" s="85"/>
      <c r="F37" s="85"/>
      <c r="G37" s="85"/>
      <c r="H37" s="85"/>
      <c r="I37" s="138" t="str">
        <f aca="false">IFERROR(VLOOKUP(TEXT(H37,"0"),IPRESS!$A$3:$B$212,2,0),"")</f>
        <v/>
      </c>
      <c r="J37" s="85"/>
      <c r="K37" s="138" t="str">
        <f aca="false">IFERROR(VLOOKUP(TEXT(O37,"0"),CONDUCTORES!$A$3:$G$54,7,0),"")</f>
        <v/>
      </c>
      <c r="L37" s="85"/>
      <c r="M37" s="85"/>
      <c r="N37" s="139" t="str">
        <f aca="false">IFERROR(IF(L37*M37=0,"",L37*M37),"")</f>
        <v/>
      </c>
      <c r="O37" s="85"/>
      <c r="P37" s="138" t="str">
        <f aca="false">IFERROR(VLOOKUP(TEXT(O37,"0"),CONDUCTORES!$A$3:$G$54,2,0),"")</f>
        <v/>
      </c>
      <c r="Q37" s="138" t="str">
        <f aca="false">IFERROR(VLOOKUP(TEXT(O37,"0"),CONDUCTORES!$A$3:$H$54,6,0),"")</f>
        <v/>
      </c>
      <c r="R37" s="85"/>
      <c r="S37" s="85"/>
      <c r="T37" s="85"/>
      <c r="U37" s="85"/>
      <c r="V37" s="85"/>
      <c r="W37" s="85"/>
      <c r="X37" s="85"/>
      <c r="Y37" s="85"/>
      <c r="Z37" s="41" t="str">
        <f aca="false">IF(AND(G37&lt;&gt;"",R37&lt;&gt;"",V37&lt;&gt;"",W37&lt;&gt;""),"COMPLETADO","OBSERVADO")</f>
        <v>OBSERVADO</v>
      </c>
      <c r="AA37" s="89"/>
    </row>
    <row r="38" customFormat="false" ht="15.75" hidden="false" customHeight="true" outlineLevel="0" collapsed="false">
      <c r="A38" s="140"/>
      <c r="B38" s="140"/>
      <c r="C38" s="140"/>
      <c r="D38" s="140"/>
      <c r="E38" s="140"/>
      <c r="F38" s="140"/>
      <c r="G38" s="140"/>
      <c r="H38" s="140"/>
      <c r="I38" s="138" t="str">
        <f aca="false">IFERROR(VLOOKUP(TEXT(H38,"0"),IPRESS!$A$3:$B$212,2,0),"")</f>
        <v/>
      </c>
      <c r="J38" s="140"/>
      <c r="K38" s="138" t="str">
        <f aca="false">IFERROR(VLOOKUP(TEXT(O38,"0"),CONDUCTORES!$A$3:$G$54,7,0),"")</f>
        <v/>
      </c>
      <c r="L38" s="140"/>
      <c r="M38" s="140"/>
      <c r="N38" s="139" t="str">
        <f aca="false">IFERROR(IF(L38*M38=0,"",L38*M38),"")</f>
        <v/>
      </c>
      <c r="O38" s="140"/>
      <c r="P38" s="138" t="str">
        <f aca="false">IFERROR(VLOOKUP(TEXT(O38,"0"),CONDUCTORES!$A$3:$G$54,2,0),"")</f>
        <v/>
      </c>
      <c r="Q38" s="138" t="str">
        <f aca="false">IFERROR(VLOOKUP(TEXT(O38,"0"),CONDUCTORES!$A$3:$H$54,6,0),"")</f>
        <v/>
      </c>
      <c r="R38" s="140"/>
      <c r="S38" s="140"/>
      <c r="T38" s="140"/>
      <c r="U38" s="140"/>
      <c r="V38" s="140"/>
      <c r="W38" s="140"/>
      <c r="X38" s="140"/>
      <c r="Y38" s="140"/>
      <c r="Z38" s="47" t="str">
        <f aca="false">IF(AND(G38&lt;&gt;"",R38&lt;&gt;"",V38&lt;&gt;"",W38&lt;&gt;""),"COMPLETADO","OBSERVADO")</f>
        <v>OBSERVADO</v>
      </c>
      <c r="AA38" s="89"/>
    </row>
    <row r="39" customFormat="false" ht="15.75" hidden="false" customHeight="true" outlineLevel="0" collapsed="false">
      <c r="A39" s="85"/>
      <c r="B39" s="85"/>
      <c r="C39" s="85"/>
      <c r="D39" s="85"/>
      <c r="E39" s="85"/>
      <c r="F39" s="85"/>
      <c r="G39" s="85"/>
      <c r="H39" s="85"/>
      <c r="I39" s="138" t="str">
        <f aca="false">IFERROR(VLOOKUP(TEXT(H39,"0"),IPRESS!$A$3:$B$212,2,0),"")</f>
        <v/>
      </c>
      <c r="J39" s="85"/>
      <c r="K39" s="138" t="str">
        <f aca="false">IFERROR(VLOOKUP(TEXT(O39,"0"),CONDUCTORES!$A$3:$G$54,7,0),"")</f>
        <v/>
      </c>
      <c r="L39" s="85"/>
      <c r="M39" s="85"/>
      <c r="N39" s="139" t="str">
        <f aca="false">IFERROR(IF(L39*M39=0,"",L39*M39),"")</f>
        <v/>
      </c>
      <c r="O39" s="85"/>
      <c r="P39" s="138" t="str">
        <f aca="false">IFERROR(VLOOKUP(TEXT(O39,"0"),CONDUCTORES!$A$3:$G$54,2,0),"")</f>
        <v/>
      </c>
      <c r="Q39" s="138" t="str">
        <f aca="false">IFERROR(VLOOKUP(TEXT(O39,"0"),CONDUCTORES!$A$3:$H$54,6,0),"")</f>
        <v/>
      </c>
      <c r="R39" s="85"/>
      <c r="S39" s="85"/>
      <c r="T39" s="85"/>
      <c r="U39" s="85"/>
      <c r="V39" s="85"/>
      <c r="W39" s="85"/>
      <c r="X39" s="85"/>
      <c r="Y39" s="85"/>
      <c r="Z39" s="41" t="str">
        <f aca="false">IF(AND(G39&lt;&gt;"",R39&lt;&gt;"",V39&lt;&gt;"",W39&lt;&gt;""),"COMPLETADO","OBSERVADO")</f>
        <v>OBSERVADO</v>
      </c>
      <c r="AA39" s="89"/>
    </row>
    <row r="40" customFormat="false" ht="15.75" hidden="false" customHeight="true" outlineLevel="0" collapsed="false">
      <c r="A40" s="140"/>
      <c r="B40" s="140"/>
      <c r="C40" s="140"/>
      <c r="D40" s="140"/>
      <c r="E40" s="140"/>
      <c r="F40" s="140"/>
      <c r="G40" s="140"/>
      <c r="H40" s="140"/>
      <c r="I40" s="138" t="str">
        <f aca="false">IFERROR(VLOOKUP(TEXT(H40,"0"),IPRESS!$A$3:$B$212,2,0),"")</f>
        <v/>
      </c>
      <c r="J40" s="140"/>
      <c r="K40" s="138" t="str">
        <f aca="false">IFERROR(VLOOKUP(TEXT(O40,"0"),CONDUCTORES!$A$3:$G$54,7,0),"")</f>
        <v/>
      </c>
      <c r="L40" s="140"/>
      <c r="M40" s="140"/>
      <c r="N40" s="139" t="str">
        <f aca="false">IFERROR(IF(L40*M40=0,"",L40*M40),"")</f>
        <v/>
      </c>
      <c r="O40" s="140"/>
      <c r="P40" s="138" t="str">
        <f aca="false">IFERROR(VLOOKUP(TEXT(O40,"0"),CONDUCTORES!$A$3:$G$54,2,0),"")</f>
        <v/>
      </c>
      <c r="Q40" s="138" t="str">
        <f aca="false">IFERROR(VLOOKUP(TEXT(O40,"0"),CONDUCTORES!$A$3:$H$54,6,0),"")</f>
        <v/>
      </c>
      <c r="R40" s="140"/>
      <c r="S40" s="140"/>
      <c r="T40" s="140"/>
      <c r="U40" s="140"/>
      <c r="V40" s="140"/>
      <c r="W40" s="140"/>
      <c r="X40" s="140"/>
      <c r="Y40" s="140"/>
      <c r="Z40" s="47" t="str">
        <f aca="false">IF(AND(G40&lt;&gt;"",R40&lt;&gt;"",V40&lt;&gt;"",W40&lt;&gt;""),"COMPLETADO","OBSERVADO")</f>
        <v>OBSERVADO</v>
      </c>
      <c r="AA40" s="89"/>
    </row>
    <row r="41" customFormat="false" ht="15.75" hidden="false" customHeight="true" outlineLevel="0" collapsed="false">
      <c r="A41" s="85"/>
      <c r="B41" s="85"/>
      <c r="C41" s="85"/>
      <c r="D41" s="85"/>
      <c r="E41" s="85"/>
      <c r="F41" s="85"/>
      <c r="G41" s="85"/>
      <c r="H41" s="85"/>
      <c r="I41" s="138" t="str">
        <f aca="false">IFERROR(VLOOKUP(TEXT(H41,"0"),IPRESS!$A$3:$B$212,2,0),"")</f>
        <v/>
      </c>
      <c r="J41" s="85"/>
      <c r="K41" s="138" t="str">
        <f aca="false">IFERROR(VLOOKUP(TEXT(O41,"0"),CONDUCTORES!$A$3:$G$54,7,0),"")</f>
        <v/>
      </c>
      <c r="L41" s="85"/>
      <c r="M41" s="85"/>
      <c r="N41" s="139" t="str">
        <f aca="false">IFERROR(IF(L41*M41=0,"",L41*M41),"")</f>
        <v/>
      </c>
      <c r="O41" s="85"/>
      <c r="P41" s="138" t="str">
        <f aca="false">IFERROR(VLOOKUP(TEXT(O41,"0"),CONDUCTORES!$A$3:$G$54,2,0),"")</f>
        <v/>
      </c>
      <c r="Q41" s="138" t="str">
        <f aca="false">IFERROR(VLOOKUP(TEXT(O41,"0"),CONDUCTORES!$A$3:$H$54,6,0),"")</f>
        <v/>
      </c>
      <c r="R41" s="85"/>
      <c r="S41" s="85"/>
      <c r="T41" s="85"/>
      <c r="U41" s="85"/>
      <c r="V41" s="85"/>
      <c r="W41" s="85"/>
      <c r="X41" s="85"/>
      <c r="Y41" s="85"/>
      <c r="Z41" s="41" t="str">
        <f aca="false">IF(AND(G41&lt;&gt;"",R41&lt;&gt;"",V41&lt;&gt;"",W41&lt;&gt;""),"COMPLETADO","OBSERVADO")</f>
        <v>OBSERVADO</v>
      </c>
      <c r="AA41" s="89"/>
    </row>
    <row r="42" customFormat="false" ht="15.75" hidden="false" customHeight="true" outlineLevel="0" collapsed="false">
      <c r="A42" s="140"/>
      <c r="B42" s="140"/>
      <c r="C42" s="140"/>
      <c r="D42" s="140"/>
      <c r="E42" s="140"/>
      <c r="F42" s="140"/>
      <c r="G42" s="140"/>
      <c r="H42" s="140"/>
      <c r="I42" s="138" t="str">
        <f aca="false">IFERROR(VLOOKUP(TEXT(H42,"0"),IPRESS!$A$3:$B$212,2,0),"")</f>
        <v/>
      </c>
      <c r="J42" s="140"/>
      <c r="K42" s="138" t="str">
        <f aca="false">IFERROR(VLOOKUP(TEXT(O42,"0"),CONDUCTORES!$A$3:$G$54,7,0),"")</f>
        <v/>
      </c>
      <c r="L42" s="140"/>
      <c r="M42" s="140"/>
      <c r="N42" s="139" t="str">
        <f aca="false">IFERROR(IF(L42*M42=0,"",L42*M42),"")</f>
        <v/>
      </c>
      <c r="O42" s="140"/>
      <c r="P42" s="138" t="str">
        <f aca="false">IFERROR(VLOOKUP(TEXT(O42,"0"),CONDUCTORES!$A$3:$G$54,2,0),"")</f>
        <v/>
      </c>
      <c r="Q42" s="138" t="str">
        <f aca="false">IFERROR(VLOOKUP(TEXT(O42,"0"),CONDUCTORES!$A$3:$H$54,6,0),"")</f>
        <v/>
      </c>
      <c r="R42" s="140"/>
      <c r="S42" s="140"/>
      <c r="T42" s="140"/>
      <c r="U42" s="140"/>
      <c r="V42" s="140"/>
      <c r="W42" s="140"/>
      <c r="X42" s="140"/>
      <c r="Y42" s="140"/>
      <c r="Z42" s="47" t="str">
        <f aca="false">IF(AND(G42&lt;&gt;"",R42&lt;&gt;"",V42&lt;&gt;"",W42&lt;&gt;""),"COMPLETADO","OBSERVADO")</f>
        <v>OBSERVADO</v>
      </c>
      <c r="AA42" s="89"/>
    </row>
    <row r="43" customFormat="false" ht="15.75" hidden="false" customHeight="true" outlineLevel="0" collapsed="false">
      <c r="A43" s="85"/>
      <c r="B43" s="85"/>
      <c r="C43" s="85"/>
      <c r="D43" s="85"/>
      <c r="E43" s="85"/>
      <c r="F43" s="85"/>
      <c r="G43" s="85"/>
      <c r="H43" s="85"/>
      <c r="I43" s="138" t="str">
        <f aca="false">IFERROR(VLOOKUP(TEXT(H43,"0"),IPRESS!$A$3:$B$212,2,0),"")</f>
        <v/>
      </c>
      <c r="J43" s="85"/>
      <c r="K43" s="138" t="str">
        <f aca="false">IFERROR(VLOOKUP(TEXT(O43,"0"),CONDUCTORES!$A$3:$G$54,7,0),"")</f>
        <v/>
      </c>
      <c r="L43" s="85"/>
      <c r="M43" s="85"/>
      <c r="N43" s="139" t="str">
        <f aca="false">IFERROR(IF(L43*M43=0,"",L43*M43),"")</f>
        <v/>
      </c>
      <c r="O43" s="85"/>
      <c r="P43" s="138" t="str">
        <f aca="false">IFERROR(VLOOKUP(TEXT(O43,"0"),CONDUCTORES!$A$3:$G$54,2,0),"")</f>
        <v/>
      </c>
      <c r="Q43" s="138" t="str">
        <f aca="false">IFERROR(VLOOKUP(TEXT(O43,"0"),CONDUCTORES!$A$3:$H$54,6,0),"")</f>
        <v/>
      </c>
      <c r="R43" s="85"/>
      <c r="S43" s="85"/>
      <c r="T43" s="85"/>
      <c r="U43" s="85"/>
      <c r="V43" s="85"/>
      <c r="W43" s="85"/>
      <c r="X43" s="85"/>
      <c r="Y43" s="85"/>
      <c r="Z43" s="41" t="str">
        <f aca="false">IF(AND(G43&lt;&gt;"",R43&lt;&gt;"",V43&lt;&gt;"",W43&lt;&gt;""),"COMPLETADO","OBSERVADO")</f>
        <v>OBSERVADO</v>
      </c>
      <c r="AA43" s="89"/>
    </row>
    <row r="44" customFormat="false" ht="15.75" hidden="false" customHeight="true" outlineLevel="0" collapsed="false">
      <c r="A44" s="140"/>
      <c r="B44" s="140"/>
      <c r="C44" s="140"/>
      <c r="D44" s="140"/>
      <c r="E44" s="140"/>
      <c r="F44" s="140"/>
      <c r="G44" s="140"/>
      <c r="H44" s="140"/>
      <c r="I44" s="138" t="str">
        <f aca="false">IFERROR(VLOOKUP(TEXT(H44,"0"),IPRESS!$A$3:$B$212,2,0),"")</f>
        <v/>
      </c>
      <c r="J44" s="140"/>
      <c r="K44" s="138" t="str">
        <f aca="false">IFERROR(VLOOKUP(TEXT(O44,"0"),CONDUCTORES!$A$3:$G$54,7,0),"")</f>
        <v/>
      </c>
      <c r="L44" s="140"/>
      <c r="M44" s="140"/>
      <c r="N44" s="139" t="str">
        <f aca="false">IFERROR(IF(L44*M44=0,"",L44*M44),"")</f>
        <v/>
      </c>
      <c r="O44" s="140"/>
      <c r="P44" s="138" t="str">
        <f aca="false">IFERROR(VLOOKUP(TEXT(O44,"0"),CONDUCTORES!$A$3:$G$54,2,0),"")</f>
        <v/>
      </c>
      <c r="Q44" s="138" t="str">
        <f aca="false">IFERROR(VLOOKUP(TEXT(O44,"0"),CONDUCTORES!$A$3:$H$54,6,0),"")</f>
        <v/>
      </c>
      <c r="R44" s="140"/>
      <c r="S44" s="140"/>
      <c r="T44" s="140"/>
      <c r="U44" s="140"/>
      <c r="V44" s="140"/>
      <c r="W44" s="140"/>
      <c r="X44" s="140"/>
      <c r="Y44" s="140"/>
      <c r="Z44" s="47" t="str">
        <f aca="false">IF(AND(G44&lt;&gt;"",R44&lt;&gt;"",V44&lt;&gt;"",W44&lt;&gt;""),"COMPLETADO","OBSERVADO")</f>
        <v>OBSERVADO</v>
      </c>
      <c r="AA44" s="89"/>
    </row>
    <row r="45" customFormat="false" ht="15.75" hidden="false" customHeight="true" outlineLevel="0" collapsed="false">
      <c r="A45" s="85"/>
      <c r="B45" s="85"/>
      <c r="C45" s="85"/>
      <c r="D45" s="85"/>
      <c r="E45" s="85"/>
      <c r="F45" s="85"/>
      <c r="G45" s="85"/>
      <c r="H45" s="85"/>
      <c r="I45" s="138" t="str">
        <f aca="false">IFERROR(VLOOKUP(TEXT(H45,"0"),IPRESS!$A$3:$B$212,2,0),"")</f>
        <v/>
      </c>
      <c r="J45" s="85"/>
      <c r="K45" s="138" t="str">
        <f aca="false">IFERROR(VLOOKUP(TEXT(O45,"0"),CONDUCTORES!$A$3:$G$54,7,0),"")</f>
        <v/>
      </c>
      <c r="L45" s="85"/>
      <c r="M45" s="85"/>
      <c r="N45" s="139" t="str">
        <f aca="false">IFERROR(IF(L45*M45=0,"",L45*M45),"")</f>
        <v/>
      </c>
      <c r="O45" s="85"/>
      <c r="P45" s="138" t="str">
        <f aca="false">IFERROR(VLOOKUP(TEXT(O45,"0"),CONDUCTORES!$A$3:$G$54,2,0),"")</f>
        <v/>
      </c>
      <c r="Q45" s="138" t="str">
        <f aca="false">IFERROR(VLOOKUP(TEXT(O45,"0"),CONDUCTORES!$A$3:$H$54,6,0),"")</f>
        <v/>
      </c>
      <c r="R45" s="85"/>
      <c r="S45" s="85"/>
      <c r="T45" s="85"/>
      <c r="U45" s="85"/>
      <c r="V45" s="85"/>
      <c r="W45" s="85"/>
      <c r="X45" s="85"/>
      <c r="Y45" s="85"/>
      <c r="Z45" s="41" t="str">
        <f aca="false">IF(AND(G45&lt;&gt;"",R45&lt;&gt;"",V45&lt;&gt;"",W45&lt;&gt;""),"COMPLETADO","OBSERVADO")</f>
        <v>OBSERVADO</v>
      </c>
      <c r="AA45" s="89"/>
    </row>
    <row r="46" customFormat="false" ht="15.75" hidden="false" customHeight="true" outlineLevel="0" collapsed="false">
      <c r="A46" s="140"/>
      <c r="B46" s="140"/>
      <c r="C46" s="140"/>
      <c r="D46" s="140"/>
      <c r="E46" s="140"/>
      <c r="F46" s="140"/>
      <c r="G46" s="140"/>
      <c r="H46" s="140"/>
      <c r="I46" s="138" t="str">
        <f aca="false">IFERROR(VLOOKUP(TEXT(H46,"0"),IPRESS!$A$3:$B$212,2,0),"")</f>
        <v/>
      </c>
      <c r="J46" s="140"/>
      <c r="K46" s="138" t="str">
        <f aca="false">IFERROR(VLOOKUP(TEXT(O46,"0"),CONDUCTORES!$A$3:$G$54,7,0),"")</f>
        <v/>
      </c>
      <c r="L46" s="140"/>
      <c r="M46" s="140"/>
      <c r="N46" s="139" t="str">
        <f aca="false">IFERROR(IF(L46*M46=0,"",L46*M46),"")</f>
        <v/>
      </c>
      <c r="O46" s="140"/>
      <c r="P46" s="138" t="str">
        <f aca="false">IFERROR(VLOOKUP(TEXT(O46,"0"),CONDUCTORES!$A$3:$G$54,2,0),"")</f>
        <v/>
      </c>
      <c r="Q46" s="138" t="str">
        <f aca="false">IFERROR(VLOOKUP(TEXT(O46,"0"),CONDUCTORES!$A$3:$H$54,6,0),"")</f>
        <v/>
      </c>
      <c r="R46" s="140"/>
      <c r="S46" s="140"/>
      <c r="T46" s="140"/>
      <c r="U46" s="140"/>
      <c r="V46" s="140"/>
      <c r="W46" s="140"/>
      <c r="X46" s="140"/>
      <c r="Y46" s="140"/>
      <c r="Z46" s="47" t="str">
        <f aca="false">IF(AND(G46&lt;&gt;"",R46&lt;&gt;"",V46&lt;&gt;"",W46&lt;&gt;""),"COMPLETADO","OBSERVADO")</f>
        <v>OBSERVADO</v>
      </c>
      <c r="AA46" s="89"/>
    </row>
    <row r="47" customFormat="false" ht="15.75" hidden="false" customHeight="true" outlineLevel="0" collapsed="false">
      <c r="A47" s="85"/>
      <c r="B47" s="85"/>
      <c r="C47" s="85"/>
      <c r="D47" s="85"/>
      <c r="E47" s="85"/>
      <c r="F47" s="85"/>
      <c r="G47" s="85"/>
      <c r="H47" s="85"/>
      <c r="I47" s="138" t="str">
        <f aca="false">IFERROR(VLOOKUP(TEXT(H47,"0"),IPRESS!$A$3:$B$212,2,0),"")</f>
        <v/>
      </c>
      <c r="J47" s="85"/>
      <c r="K47" s="138" t="str">
        <f aca="false">IFERROR(VLOOKUP(TEXT(O47,"0"),CONDUCTORES!$A$3:$G$54,7,0),"")</f>
        <v/>
      </c>
      <c r="L47" s="85"/>
      <c r="M47" s="85"/>
      <c r="N47" s="139" t="str">
        <f aca="false">IFERROR(IF(L47*M47=0,"",L47*M47),"")</f>
        <v/>
      </c>
      <c r="O47" s="85"/>
      <c r="P47" s="138" t="str">
        <f aca="false">IFERROR(VLOOKUP(TEXT(O47,"0"),CONDUCTORES!$A$3:$G$54,2,0),"")</f>
        <v/>
      </c>
      <c r="Q47" s="138" t="str">
        <f aca="false">IFERROR(VLOOKUP(TEXT(O47,"0"),CONDUCTORES!$A$3:$H$54,6,0),"")</f>
        <v/>
      </c>
      <c r="R47" s="85"/>
      <c r="S47" s="85"/>
      <c r="T47" s="85"/>
      <c r="U47" s="85"/>
      <c r="V47" s="85"/>
      <c r="W47" s="85"/>
      <c r="X47" s="85"/>
      <c r="Y47" s="85"/>
      <c r="Z47" s="41" t="str">
        <f aca="false">IF(AND(G47&lt;&gt;"",R47&lt;&gt;"",V47&lt;&gt;"",W47&lt;&gt;""),"COMPLETADO","OBSERVADO")</f>
        <v>OBSERVADO</v>
      </c>
      <c r="AA47" s="89"/>
    </row>
    <row r="48" customFormat="false" ht="15.75" hidden="false" customHeight="true" outlineLevel="0" collapsed="false">
      <c r="A48" s="140"/>
      <c r="B48" s="140"/>
      <c r="C48" s="140"/>
      <c r="D48" s="140"/>
      <c r="E48" s="140"/>
      <c r="F48" s="140"/>
      <c r="G48" s="140"/>
      <c r="H48" s="140"/>
      <c r="I48" s="138" t="str">
        <f aca="false">IFERROR(VLOOKUP(TEXT(H48,"0"),IPRESS!$A$3:$B$212,2,0),"")</f>
        <v/>
      </c>
      <c r="J48" s="140"/>
      <c r="K48" s="138" t="str">
        <f aca="false">IFERROR(VLOOKUP(TEXT(O48,"0"),CONDUCTORES!$A$3:$G$54,7,0),"")</f>
        <v/>
      </c>
      <c r="L48" s="140"/>
      <c r="M48" s="140"/>
      <c r="N48" s="139" t="str">
        <f aca="false">IFERROR(IF(L48*M48=0,"",L48*M48),"")</f>
        <v/>
      </c>
      <c r="O48" s="140"/>
      <c r="P48" s="138" t="str">
        <f aca="false">IFERROR(VLOOKUP(TEXT(O48,"0"),CONDUCTORES!$A$3:$G$54,2,0),"")</f>
        <v/>
      </c>
      <c r="Q48" s="138" t="str">
        <f aca="false">IFERROR(VLOOKUP(TEXT(O48,"0"),CONDUCTORES!$A$3:$H$54,6,0),"")</f>
        <v/>
      </c>
      <c r="R48" s="140"/>
      <c r="S48" s="140"/>
      <c r="T48" s="140"/>
      <c r="U48" s="140"/>
      <c r="V48" s="140"/>
      <c r="W48" s="140"/>
      <c r="X48" s="140"/>
      <c r="Y48" s="140"/>
      <c r="Z48" s="47" t="str">
        <f aca="false">IF(AND(G48&lt;&gt;"",R48&lt;&gt;"",V48&lt;&gt;"",W48&lt;&gt;""),"COMPLETADO","OBSERVADO")</f>
        <v>OBSERVADO</v>
      </c>
      <c r="AA48" s="89"/>
    </row>
    <row r="49" customFormat="false" ht="15.75" hidden="false" customHeight="true" outlineLevel="0" collapsed="false">
      <c r="A49" s="85"/>
      <c r="B49" s="85"/>
      <c r="C49" s="85"/>
      <c r="D49" s="85"/>
      <c r="E49" s="85"/>
      <c r="F49" s="85"/>
      <c r="G49" s="85"/>
      <c r="H49" s="85"/>
      <c r="I49" s="138" t="str">
        <f aca="false">IFERROR(VLOOKUP(TEXT(H49,"0"),IPRESS!$A$3:$B$212,2,0),"")</f>
        <v/>
      </c>
      <c r="J49" s="85"/>
      <c r="K49" s="138" t="str">
        <f aca="false">IFERROR(VLOOKUP(TEXT(O49,"0"),CONDUCTORES!$A$3:$G$54,7,0),"")</f>
        <v/>
      </c>
      <c r="L49" s="85"/>
      <c r="M49" s="85"/>
      <c r="N49" s="139" t="str">
        <f aca="false">IFERROR(IF(L49*M49=0,"",L49*M49),"")</f>
        <v/>
      </c>
      <c r="O49" s="85"/>
      <c r="P49" s="138" t="str">
        <f aca="false">IFERROR(VLOOKUP(TEXT(O49,"0"),CONDUCTORES!$A$3:$G$54,2,0),"")</f>
        <v/>
      </c>
      <c r="Q49" s="138" t="str">
        <f aca="false">IFERROR(VLOOKUP(TEXT(O49,"0"),CONDUCTORES!$A$3:$H$54,6,0),"")</f>
        <v/>
      </c>
      <c r="R49" s="85"/>
      <c r="S49" s="85"/>
      <c r="T49" s="85"/>
      <c r="U49" s="85"/>
      <c r="V49" s="85"/>
      <c r="W49" s="85"/>
      <c r="X49" s="85"/>
      <c r="Y49" s="85"/>
      <c r="Z49" s="41" t="str">
        <f aca="false">IF(AND(G49&lt;&gt;"",R49&lt;&gt;"",V49&lt;&gt;"",W49&lt;&gt;""),"COMPLETADO","OBSERVADO")</f>
        <v>OBSERVADO</v>
      </c>
      <c r="AA49" s="89"/>
    </row>
    <row r="50" customFormat="false" ht="15.75" hidden="false" customHeight="true" outlineLevel="0" collapsed="false">
      <c r="A50" s="140"/>
      <c r="B50" s="140"/>
      <c r="C50" s="140"/>
      <c r="D50" s="140"/>
      <c r="E50" s="140"/>
      <c r="F50" s="140"/>
      <c r="G50" s="140"/>
      <c r="H50" s="140"/>
      <c r="I50" s="138" t="str">
        <f aca="false">IFERROR(VLOOKUP(TEXT(H50,"0"),IPRESS!$A$3:$B$212,2,0),"")</f>
        <v/>
      </c>
      <c r="J50" s="140"/>
      <c r="K50" s="138" t="str">
        <f aca="false">IFERROR(VLOOKUP(TEXT(O50,"0"),CONDUCTORES!$A$3:$G$54,7,0),"")</f>
        <v/>
      </c>
      <c r="L50" s="140"/>
      <c r="M50" s="140"/>
      <c r="N50" s="139" t="str">
        <f aca="false">IFERROR(IF(L50*M50=0,"",L50*M50),"")</f>
        <v/>
      </c>
      <c r="O50" s="140"/>
      <c r="P50" s="138" t="str">
        <f aca="false">IFERROR(VLOOKUP(TEXT(O50,"0"),CONDUCTORES!$A$3:$G$54,2,0),"")</f>
        <v/>
      </c>
      <c r="Q50" s="138" t="str">
        <f aca="false">IFERROR(VLOOKUP(TEXT(O50,"0"),CONDUCTORES!$A$3:$H$54,6,0),"")</f>
        <v/>
      </c>
      <c r="R50" s="140"/>
      <c r="S50" s="140"/>
      <c r="T50" s="140"/>
      <c r="U50" s="140"/>
      <c r="V50" s="140"/>
      <c r="W50" s="140"/>
      <c r="X50" s="140"/>
      <c r="Y50" s="140"/>
      <c r="Z50" s="47" t="str">
        <f aca="false">IF(AND(G50&lt;&gt;"",R50&lt;&gt;"",V50&lt;&gt;"",W50&lt;&gt;""),"COMPLETADO","OBSERVADO")</f>
        <v>OBSERVADO</v>
      </c>
      <c r="AA50" s="89"/>
    </row>
    <row r="51" customFormat="false" ht="15.75" hidden="false" customHeight="true" outlineLevel="0" collapsed="false">
      <c r="A51" s="85"/>
      <c r="B51" s="85"/>
      <c r="C51" s="85"/>
      <c r="D51" s="85"/>
      <c r="E51" s="85"/>
      <c r="F51" s="85"/>
      <c r="G51" s="85"/>
      <c r="H51" s="85"/>
      <c r="I51" s="138" t="str">
        <f aca="false">IFERROR(VLOOKUP(TEXT(H51,"0"),IPRESS!$A$3:$B$212,2,0),"")</f>
        <v/>
      </c>
      <c r="J51" s="85"/>
      <c r="K51" s="138" t="str">
        <f aca="false">IFERROR(VLOOKUP(TEXT(O51,"0"),CONDUCTORES!$A$3:$G$54,7,0),"")</f>
        <v/>
      </c>
      <c r="L51" s="85"/>
      <c r="M51" s="85"/>
      <c r="N51" s="139" t="str">
        <f aca="false">IFERROR(IF(L51*M51=0,"",L51*M51),"")</f>
        <v/>
      </c>
      <c r="O51" s="85"/>
      <c r="P51" s="138" t="str">
        <f aca="false">IFERROR(VLOOKUP(TEXT(O51,"0"),CONDUCTORES!$A$3:$G$54,2,0),"")</f>
        <v/>
      </c>
      <c r="Q51" s="138" t="str">
        <f aca="false">IFERROR(VLOOKUP(TEXT(O51,"0"),CONDUCTORES!$A$3:$H$54,6,0),"")</f>
        <v/>
      </c>
      <c r="R51" s="85"/>
      <c r="S51" s="85"/>
      <c r="T51" s="85"/>
      <c r="U51" s="85"/>
      <c r="V51" s="85"/>
      <c r="W51" s="85"/>
      <c r="X51" s="85"/>
      <c r="Y51" s="85"/>
      <c r="Z51" s="41" t="str">
        <f aca="false">IF(AND(G51&lt;&gt;"",R51&lt;&gt;"",V51&lt;&gt;"",W51&lt;&gt;""),"COMPLETADO","OBSERVADO")</f>
        <v>OBSERVADO</v>
      </c>
      <c r="AA51" s="89"/>
    </row>
    <row r="52" customFormat="false" ht="15.75" hidden="false" customHeight="true" outlineLevel="0" collapsed="false">
      <c r="A52" s="140"/>
      <c r="B52" s="140"/>
      <c r="C52" s="140"/>
      <c r="D52" s="140"/>
      <c r="E52" s="140"/>
      <c r="F52" s="140"/>
      <c r="G52" s="140"/>
      <c r="H52" s="140"/>
      <c r="I52" s="138" t="str">
        <f aca="false">IFERROR(VLOOKUP(TEXT(H52,"0"),IPRESS!$A$3:$B$212,2,0),"")</f>
        <v/>
      </c>
      <c r="J52" s="140"/>
      <c r="K52" s="138" t="str">
        <f aca="false">IFERROR(VLOOKUP(TEXT(O52,"0"),CONDUCTORES!$A$3:$G$54,7,0),"")</f>
        <v/>
      </c>
      <c r="L52" s="140"/>
      <c r="M52" s="140"/>
      <c r="N52" s="139" t="str">
        <f aca="false">IFERROR(IF(L52*M52=0,"",L52*M52),"")</f>
        <v/>
      </c>
      <c r="O52" s="140"/>
      <c r="P52" s="138" t="str">
        <f aca="false">IFERROR(VLOOKUP(TEXT(O52,"0"),CONDUCTORES!$A$3:$G$54,2,0),"")</f>
        <v/>
      </c>
      <c r="Q52" s="138" t="str">
        <f aca="false">IFERROR(VLOOKUP(TEXT(O52,"0"),CONDUCTORES!$A$3:$H$54,6,0),"")</f>
        <v/>
      </c>
      <c r="R52" s="140"/>
      <c r="S52" s="140"/>
      <c r="T52" s="140"/>
      <c r="U52" s="140"/>
      <c r="V52" s="140"/>
      <c r="W52" s="140"/>
      <c r="X52" s="140"/>
      <c r="Y52" s="140"/>
      <c r="Z52" s="47" t="str">
        <f aca="false">IF(AND(G52&lt;&gt;"",R52&lt;&gt;"",V52&lt;&gt;"",W52&lt;&gt;""),"COMPLETADO","OBSERVADO")</f>
        <v>OBSERVADO</v>
      </c>
      <c r="AA52" s="89"/>
    </row>
    <row r="53" customFormat="false" ht="15.75" hidden="false" customHeight="true" outlineLevel="0" collapsed="false">
      <c r="A53" s="85"/>
      <c r="B53" s="85"/>
      <c r="C53" s="85"/>
      <c r="D53" s="85"/>
      <c r="E53" s="85"/>
      <c r="F53" s="85"/>
      <c r="G53" s="85"/>
      <c r="H53" s="85"/>
      <c r="I53" s="138" t="str">
        <f aca="false">IFERROR(VLOOKUP(TEXT(H53,"0"),IPRESS!$A$3:$B$212,2,0),"")</f>
        <v/>
      </c>
      <c r="J53" s="85"/>
      <c r="K53" s="138" t="str">
        <f aca="false">IFERROR(VLOOKUP(TEXT(O53,"0"),CONDUCTORES!$A$3:$G$54,7,0),"")</f>
        <v/>
      </c>
      <c r="L53" s="85"/>
      <c r="M53" s="85"/>
      <c r="N53" s="139" t="str">
        <f aca="false">IFERROR(IF(L53*M53=0,"",L53*M53),"")</f>
        <v/>
      </c>
      <c r="O53" s="85"/>
      <c r="P53" s="138" t="str">
        <f aca="false">IFERROR(VLOOKUP(TEXT(O53,"0"),CONDUCTORES!$A$3:$G$54,2,0),"")</f>
        <v/>
      </c>
      <c r="Q53" s="138" t="str">
        <f aca="false">IFERROR(VLOOKUP(TEXT(O53,"0"),CONDUCTORES!$A$3:$H$54,6,0),"")</f>
        <v/>
      </c>
      <c r="R53" s="85"/>
      <c r="S53" s="85"/>
      <c r="T53" s="85"/>
      <c r="U53" s="85"/>
      <c r="V53" s="85"/>
      <c r="W53" s="85"/>
      <c r="X53" s="85"/>
      <c r="Y53" s="85"/>
      <c r="Z53" s="41" t="str">
        <f aca="false">IF(AND(G53&lt;&gt;"",R53&lt;&gt;"",V53&lt;&gt;"",W53&lt;&gt;""),"COMPLETADO","OBSERVADO")</f>
        <v>OBSERVADO</v>
      </c>
      <c r="AA53" s="89"/>
    </row>
    <row r="54" customFormat="false" ht="15.75" hidden="false" customHeight="true" outlineLevel="0" collapsed="false">
      <c r="A54" s="140"/>
      <c r="B54" s="140"/>
      <c r="C54" s="140"/>
      <c r="D54" s="140"/>
      <c r="E54" s="140"/>
      <c r="F54" s="140"/>
      <c r="G54" s="140"/>
      <c r="H54" s="140"/>
      <c r="I54" s="138" t="str">
        <f aca="false">IFERROR(VLOOKUP(TEXT(H54,"0"),IPRESS!$A$3:$B$212,2,0),"")</f>
        <v/>
      </c>
      <c r="J54" s="140"/>
      <c r="K54" s="138" t="str">
        <f aca="false">IFERROR(VLOOKUP(TEXT(O54,"0"),CONDUCTORES!$A$3:$G$54,7,0),"")</f>
        <v/>
      </c>
      <c r="L54" s="140"/>
      <c r="M54" s="140"/>
      <c r="N54" s="139" t="str">
        <f aca="false">IFERROR(IF(L54*M54=0,"",L54*M54),"")</f>
        <v/>
      </c>
      <c r="O54" s="140"/>
      <c r="P54" s="138" t="str">
        <f aca="false">IFERROR(VLOOKUP(TEXT(O54,"0"),CONDUCTORES!$A$3:$G$54,2,0),"")</f>
        <v/>
      </c>
      <c r="Q54" s="138" t="str">
        <f aca="false">IFERROR(VLOOKUP(TEXT(O54,"0"),CONDUCTORES!$A$3:$H$54,6,0),"")</f>
        <v/>
      </c>
      <c r="R54" s="140"/>
      <c r="S54" s="140"/>
      <c r="T54" s="140"/>
      <c r="U54" s="140"/>
      <c r="V54" s="140"/>
      <c r="W54" s="140"/>
      <c r="X54" s="140"/>
      <c r="Y54" s="140"/>
      <c r="Z54" s="47" t="str">
        <f aca="false">IF(AND(G54&lt;&gt;"",R54&lt;&gt;"",V54&lt;&gt;"",W54&lt;&gt;""),"COMPLETADO","OBSERVADO")</f>
        <v>OBSERVADO</v>
      </c>
      <c r="AA54" s="89"/>
    </row>
    <row r="55" customFormat="false" ht="15.75" hidden="false" customHeight="true" outlineLevel="0" collapsed="false">
      <c r="A55" s="85"/>
      <c r="B55" s="85"/>
      <c r="C55" s="85"/>
      <c r="D55" s="85"/>
      <c r="E55" s="85"/>
      <c r="F55" s="85"/>
      <c r="G55" s="85"/>
      <c r="H55" s="85"/>
      <c r="I55" s="138" t="str">
        <f aca="false">IFERROR(VLOOKUP(TEXT(H55,"0"),IPRESS!$A$3:$B$212,2,0),"")</f>
        <v/>
      </c>
      <c r="J55" s="85"/>
      <c r="K55" s="138" t="str">
        <f aca="false">IFERROR(VLOOKUP(TEXT(O55,"0"),CONDUCTORES!$A$3:$G$54,7,0),"")</f>
        <v/>
      </c>
      <c r="L55" s="85"/>
      <c r="M55" s="85"/>
      <c r="N55" s="139" t="str">
        <f aca="false">IFERROR(IF(L55*M55=0,"",L55*M55),"")</f>
        <v/>
      </c>
      <c r="O55" s="85"/>
      <c r="P55" s="138" t="str">
        <f aca="false">IFERROR(VLOOKUP(TEXT(O55,"0"),CONDUCTORES!$A$3:$G$54,2,0),"")</f>
        <v/>
      </c>
      <c r="Q55" s="138" t="str">
        <f aca="false">IFERROR(VLOOKUP(TEXT(O55,"0"),CONDUCTORES!$A$3:$H$54,6,0),"")</f>
        <v/>
      </c>
      <c r="R55" s="85"/>
      <c r="S55" s="85"/>
      <c r="T55" s="85"/>
      <c r="U55" s="85"/>
      <c r="V55" s="85"/>
      <c r="W55" s="85"/>
      <c r="X55" s="85"/>
      <c r="Y55" s="85"/>
      <c r="Z55" s="41" t="str">
        <f aca="false">IF(AND(G55&lt;&gt;"",R55&lt;&gt;"",V55&lt;&gt;"",W55&lt;&gt;""),"COMPLETADO","OBSERVADO")</f>
        <v>OBSERVADO</v>
      </c>
      <c r="AA55" s="89"/>
    </row>
    <row r="56" customFormat="false" ht="15.75" hidden="false" customHeight="true" outlineLevel="0" collapsed="false">
      <c r="A56" s="140"/>
      <c r="B56" s="140"/>
      <c r="C56" s="140"/>
      <c r="D56" s="140"/>
      <c r="E56" s="140"/>
      <c r="F56" s="140"/>
      <c r="G56" s="140"/>
      <c r="H56" s="140"/>
      <c r="I56" s="138" t="str">
        <f aca="false">IFERROR(VLOOKUP(TEXT(H56,"0"),IPRESS!$A$3:$B$212,2,0),"")</f>
        <v/>
      </c>
      <c r="J56" s="140"/>
      <c r="K56" s="138" t="str">
        <f aca="false">IFERROR(VLOOKUP(TEXT(O56,"0"),CONDUCTORES!$A$3:$G$54,7,0),"")</f>
        <v/>
      </c>
      <c r="L56" s="140"/>
      <c r="M56" s="140"/>
      <c r="N56" s="139" t="str">
        <f aca="false">IFERROR(IF(L56*M56=0,"",L56*M56),"")</f>
        <v/>
      </c>
      <c r="O56" s="140"/>
      <c r="P56" s="138" t="str">
        <f aca="false">IFERROR(VLOOKUP(TEXT(O56,"0"),CONDUCTORES!$A$3:$G$54,2,0),"")</f>
        <v/>
      </c>
      <c r="Q56" s="138" t="str">
        <f aca="false">IFERROR(VLOOKUP(TEXT(O56,"0"),CONDUCTORES!$A$3:$H$54,6,0),"")</f>
        <v/>
      </c>
      <c r="R56" s="140"/>
      <c r="S56" s="140"/>
      <c r="T56" s="140"/>
      <c r="U56" s="140"/>
      <c r="V56" s="140"/>
      <c r="W56" s="140"/>
      <c r="X56" s="140"/>
      <c r="Y56" s="140"/>
      <c r="Z56" s="47" t="str">
        <f aca="false">IF(AND(G56&lt;&gt;"",R56&lt;&gt;"",V56&lt;&gt;"",W56&lt;&gt;""),"COMPLETADO","OBSERVADO")</f>
        <v>OBSERVADO</v>
      </c>
      <c r="AA56" s="89"/>
    </row>
    <row r="57" customFormat="false" ht="15.75" hidden="false" customHeight="true" outlineLevel="0" collapsed="false">
      <c r="A57" s="85"/>
      <c r="B57" s="85"/>
      <c r="C57" s="85"/>
      <c r="D57" s="85"/>
      <c r="E57" s="85"/>
      <c r="F57" s="85"/>
      <c r="G57" s="85"/>
      <c r="H57" s="85"/>
      <c r="I57" s="138" t="str">
        <f aca="false">IFERROR(VLOOKUP(TEXT(H57,"0"),IPRESS!$A$3:$B$212,2,0),"")</f>
        <v/>
      </c>
      <c r="J57" s="85"/>
      <c r="K57" s="138" t="str">
        <f aca="false">IFERROR(VLOOKUP(TEXT(O57,"0"),CONDUCTORES!$A$3:$G$54,7,0),"")</f>
        <v/>
      </c>
      <c r="L57" s="85"/>
      <c r="M57" s="85"/>
      <c r="N57" s="139" t="str">
        <f aca="false">IFERROR(IF(L57*M57=0,"",L57*M57),"")</f>
        <v/>
      </c>
      <c r="O57" s="85"/>
      <c r="P57" s="138" t="str">
        <f aca="false">IFERROR(VLOOKUP(TEXT(O57,"0"),CONDUCTORES!$A$3:$G$54,2,0),"")</f>
        <v/>
      </c>
      <c r="Q57" s="138" t="str">
        <f aca="false">IFERROR(VLOOKUP(TEXT(O57,"0"),CONDUCTORES!$A$3:$H$54,6,0),"")</f>
        <v/>
      </c>
      <c r="R57" s="85"/>
      <c r="S57" s="85"/>
      <c r="T57" s="85"/>
      <c r="U57" s="85"/>
      <c r="V57" s="85"/>
      <c r="W57" s="85"/>
      <c r="X57" s="85"/>
      <c r="Y57" s="85"/>
      <c r="Z57" s="41" t="str">
        <f aca="false">IF(AND(G57&lt;&gt;"",R57&lt;&gt;"",V57&lt;&gt;"",W57&lt;&gt;""),"COMPLETADO","OBSERVADO")</f>
        <v>OBSERVADO</v>
      </c>
      <c r="AA57" s="89"/>
    </row>
    <row r="58" customFormat="false" ht="15.75" hidden="false" customHeight="true" outlineLevel="0" collapsed="false">
      <c r="A58" s="140"/>
      <c r="B58" s="140"/>
      <c r="C58" s="140"/>
      <c r="D58" s="140"/>
      <c r="E58" s="140"/>
      <c r="F58" s="140"/>
      <c r="G58" s="140"/>
      <c r="H58" s="140"/>
      <c r="I58" s="138" t="str">
        <f aca="false">IFERROR(VLOOKUP(TEXT(H58,"0"),IPRESS!$A$3:$B$212,2,0),"")</f>
        <v/>
      </c>
      <c r="J58" s="140"/>
      <c r="K58" s="138" t="str">
        <f aca="false">IFERROR(VLOOKUP(TEXT(O58,"0"),CONDUCTORES!$A$3:$G$54,7,0),"")</f>
        <v/>
      </c>
      <c r="L58" s="140"/>
      <c r="M58" s="140"/>
      <c r="N58" s="139" t="str">
        <f aca="false">IFERROR(IF(L58*M58=0,"",L58*M58),"")</f>
        <v/>
      </c>
      <c r="O58" s="140"/>
      <c r="P58" s="138" t="str">
        <f aca="false">IFERROR(VLOOKUP(TEXT(O58,"0"),CONDUCTORES!$A$3:$G$54,2,0),"")</f>
        <v/>
      </c>
      <c r="Q58" s="138" t="str">
        <f aca="false">IFERROR(VLOOKUP(TEXT(O58,"0"),CONDUCTORES!$A$3:$H$54,6,0),"")</f>
        <v/>
      </c>
      <c r="R58" s="140"/>
      <c r="S58" s="140"/>
      <c r="T58" s="140"/>
      <c r="U58" s="140"/>
      <c r="V58" s="140"/>
      <c r="W58" s="140"/>
      <c r="X58" s="140"/>
      <c r="Y58" s="140"/>
      <c r="Z58" s="47" t="str">
        <f aca="false">IF(AND(G58&lt;&gt;"",R58&lt;&gt;"",V58&lt;&gt;"",W58&lt;&gt;""),"COMPLETADO","OBSERVADO")</f>
        <v>OBSERVADO</v>
      </c>
      <c r="AA58" s="89"/>
    </row>
    <row r="59" customFormat="false" ht="15.75" hidden="false" customHeight="true" outlineLevel="0" collapsed="false">
      <c r="A59" s="85"/>
      <c r="B59" s="85"/>
      <c r="C59" s="85"/>
      <c r="D59" s="85"/>
      <c r="E59" s="85"/>
      <c r="F59" s="85"/>
      <c r="G59" s="85"/>
      <c r="H59" s="85"/>
      <c r="I59" s="138" t="str">
        <f aca="false">IFERROR(VLOOKUP(TEXT(H59,"0"),IPRESS!$A$3:$B$212,2,0),"")</f>
        <v/>
      </c>
      <c r="J59" s="85"/>
      <c r="K59" s="138" t="str">
        <f aca="false">IFERROR(VLOOKUP(TEXT(O59,"0"),CONDUCTORES!$A$3:$G$54,7,0),"")</f>
        <v/>
      </c>
      <c r="L59" s="85"/>
      <c r="M59" s="85"/>
      <c r="N59" s="139" t="str">
        <f aca="false">IFERROR(IF(L59*M59=0,"",L59*M59),"")</f>
        <v/>
      </c>
      <c r="O59" s="85"/>
      <c r="P59" s="138" t="str">
        <f aca="false">IFERROR(VLOOKUP(TEXT(O59,"0"),CONDUCTORES!$A$3:$G$54,2,0),"")</f>
        <v/>
      </c>
      <c r="Q59" s="138" t="str">
        <f aca="false">IFERROR(VLOOKUP(TEXT(O59,"0"),CONDUCTORES!$A$3:$H$54,6,0),"")</f>
        <v/>
      </c>
      <c r="R59" s="85"/>
      <c r="S59" s="85"/>
      <c r="T59" s="85"/>
      <c r="U59" s="85"/>
      <c r="V59" s="85"/>
      <c r="W59" s="85"/>
      <c r="X59" s="85"/>
      <c r="Y59" s="85"/>
      <c r="Z59" s="41" t="str">
        <f aca="false">IF(AND(G59&lt;&gt;"",R59&lt;&gt;"",V59&lt;&gt;"",W59&lt;&gt;""),"COMPLETADO","OBSERVADO")</f>
        <v>OBSERVADO</v>
      </c>
      <c r="AA59" s="89"/>
    </row>
    <row r="60" customFormat="false" ht="15.75" hidden="false" customHeight="true" outlineLevel="0" collapsed="false">
      <c r="A60" s="140"/>
      <c r="B60" s="140"/>
      <c r="C60" s="140"/>
      <c r="D60" s="140"/>
      <c r="E60" s="140"/>
      <c r="F60" s="140"/>
      <c r="G60" s="140"/>
      <c r="H60" s="140"/>
      <c r="I60" s="138" t="str">
        <f aca="false">IFERROR(VLOOKUP(TEXT(H60,"0"),IPRESS!$A$3:$B$212,2,0),"")</f>
        <v/>
      </c>
      <c r="J60" s="140"/>
      <c r="K60" s="138" t="str">
        <f aca="false">IFERROR(VLOOKUP(TEXT(O60,"0"),CONDUCTORES!$A$3:$G$54,7,0),"")</f>
        <v/>
      </c>
      <c r="L60" s="140"/>
      <c r="M60" s="140"/>
      <c r="N60" s="139" t="str">
        <f aca="false">IFERROR(IF(L60*M60=0,"",L60*M60),"")</f>
        <v/>
      </c>
      <c r="O60" s="140"/>
      <c r="P60" s="138" t="str">
        <f aca="false">IFERROR(VLOOKUP(TEXT(O60,"0"),CONDUCTORES!$A$3:$G$54,2,0),"")</f>
        <v/>
      </c>
      <c r="Q60" s="138" t="str">
        <f aca="false">IFERROR(VLOOKUP(TEXT(O60,"0"),CONDUCTORES!$A$3:$H$54,6,0),"")</f>
        <v/>
      </c>
      <c r="R60" s="140"/>
      <c r="S60" s="140"/>
      <c r="T60" s="140"/>
      <c r="U60" s="140"/>
      <c r="V60" s="140"/>
      <c r="W60" s="140"/>
      <c r="X60" s="140"/>
      <c r="Y60" s="140"/>
      <c r="Z60" s="47" t="str">
        <f aca="false">IF(AND(G60&lt;&gt;"",R60&lt;&gt;"",V60&lt;&gt;"",W60&lt;&gt;""),"COMPLETADO","OBSERVADO")</f>
        <v>OBSERVADO</v>
      </c>
      <c r="AA60" s="89"/>
    </row>
    <row r="61" customFormat="false" ht="15.75" hidden="false" customHeight="true" outlineLevel="0" collapsed="false">
      <c r="A61" s="85"/>
      <c r="B61" s="85"/>
      <c r="C61" s="85"/>
      <c r="D61" s="85"/>
      <c r="E61" s="85"/>
      <c r="F61" s="85"/>
      <c r="G61" s="85"/>
      <c r="H61" s="85"/>
      <c r="I61" s="138" t="str">
        <f aca="false">IFERROR(VLOOKUP(TEXT(H61,"0"),IPRESS!$A$3:$B$212,2,0),"")</f>
        <v/>
      </c>
      <c r="J61" s="85"/>
      <c r="K61" s="138" t="str">
        <f aca="false">IFERROR(VLOOKUP(TEXT(O61,"0"),CONDUCTORES!$A$3:$G$54,7,0),"")</f>
        <v/>
      </c>
      <c r="L61" s="85"/>
      <c r="M61" s="85"/>
      <c r="N61" s="139" t="str">
        <f aca="false">IFERROR(IF(L61*M61=0,"",L61*M61),"")</f>
        <v/>
      </c>
      <c r="O61" s="85"/>
      <c r="P61" s="138" t="str">
        <f aca="false">IFERROR(VLOOKUP(TEXT(O61,"0"),CONDUCTORES!$A$3:$G$54,2,0),"")</f>
        <v/>
      </c>
      <c r="Q61" s="138" t="str">
        <f aca="false">IFERROR(VLOOKUP(TEXT(O61,"0"),CONDUCTORES!$A$3:$H$54,6,0),"")</f>
        <v/>
      </c>
      <c r="R61" s="85"/>
      <c r="S61" s="85"/>
      <c r="T61" s="85"/>
      <c r="U61" s="85"/>
      <c r="V61" s="85"/>
      <c r="W61" s="85"/>
      <c r="X61" s="85"/>
      <c r="Y61" s="85"/>
      <c r="Z61" s="41" t="str">
        <f aca="false">IF(AND(G61&lt;&gt;"",R61&lt;&gt;"",V61&lt;&gt;"",W61&lt;&gt;""),"COMPLETADO","OBSERVADO")</f>
        <v>OBSERVADO</v>
      </c>
      <c r="AA61" s="89"/>
    </row>
    <row r="62" customFormat="false" ht="15.75" hidden="false" customHeight="true" outlineLevel="0" collapsed="false">
      <c r="A62" s="140"/>
      <c r="B62" s="140"/>
      <c r="C62" s="140"/>
      <c r="D62" s="140"/>
      <c r="E62" s="140"/>
      <c r="F62" s="140"/>
      <c r="G62" s="140"/>
      <c r="H62" s="140"/>
      <c r="I62" s="138" t="str">
        <f aca="false">IFERROR(VLOOKUP(TEXT(H62,"0"),IPRESS!$A$3:$B$212,2,0),"")</f>
        <v/>
      </c>
      <c r="J62" s="140"/>
      <c r="K62" s="138" t="str">
        <f aca="false">IFERROR(VLOOKUP(TEXT(O62,"0"),CONDUCTORES!$A$3:$G$54,7,0),"")</f>
        <v/>
      </c>
      <c r="L62" s="140"/>
      <c r="M62" s="140"/>
      <c r="N62" s="139" t="str">
        <f aca="false">IFERROR(IF(L62*M62=0,"",L62*M62),"")</f>
        <v/>
      </c>
      <c r="O62" s="140"/>
      <c r="P62" s="138" t="str">
        <f aca="false">IFERROR(VLOOKUP(TEXT(O62,"0"),CONDUCTORES!$A$3:$G$54,2,0),"")</f>
        <v/>
      </c>
      <c r="Q62" s="138" t="str">
        <f aca="false">IFERROR(VLOOKUP(TEXT(O62,"0"),CONDUCTORES!$A$3:$H$54,6,0),"")</f>
        <v/>
      </c>
      <c r="R62" s="140"/>
      <c r="S62" s="140"/>
      <c r="T62" s="140"/>
      <c r="U62" s="140"/>
      <c r="V62" s="140"/>
      <c r="W62" s="140"/>
      <c r="X62" s="140"/>
      <c r="Y62" s="140"/>
      <c r="Z62" s="47" t="str">
        <f aca="false">IF(AND(G62&lt;&gt;"",R62&lt;&gt;"",V62&lt;&gt;"",W62&lt;&gt;""),"COMPLETADO","OBSERVADO")</f>
        <v>OBSERVADO</v>
      </c>
      <c r="AA62" s="89"/>
    </row>
    <row r="63" customFormat="false" ht="15.75" hidden="false" customHeight="true" outlineLevel="0" collapsed="false">
      <c r="A63" s="85"/>
      <c r="B63" s="85"/>
      <c r="C63" s="85"/>
      <c r="D63" s="85"/>
      <c r="E63" s="85"/>
      <c r="F63" s="85"/>
      <c r="G63" s="85"/>
      <c r="H63" s="85"/>
      <c r="I63" s="138" t="str">
        <f aca="false">IFERROR(VLOOKUP(TEXT(H63,"0"),IPRESS!$A$3:$B$212,2,0),"")</f>
        <v/>
      </c>
      <c r="J63" s="85"/>
      <c r="K63" s="138" t="str">
        <f aca="false">IFERROR(VLOOKUP(TEXT(O63,"0"),CONDUCTORES!$A$3:$G$54,7,0),"")</f>
        <v/>
      </c>
      <c r="L63" s="85"/>
      <c r="M63" s="85"/>
      <c r="N63" s="139" t="str">
        <f aca="false">IFERROR(IF(L63*M63=0,"",L63*M63),"")</f>
        <v/>
      </c>
      <c r="O63" s="85"/>
      <c r="P63" s="138" t="str">
        <f aca="false">IFERROR(VLOOKUP(TEXT(O63,"0"),CONDUCTORES!$A$3:$G$54,2,0),"")</f>
        <v/>
      </c>
      <c r="Q63" s="138" t="str">
        <f aca="false">IFERROR(VLOOKUP(TEXT(O63,"0"),CONDUCTORES!$A$3:$H$54,6,0),"")</f>
        <v/>
      </c>
      <c r="R63" s="85"/>
      <c r="S63" s="85"/>
      <c r="T63" s="85"/>
      <c r="U63" s="85"/>
      <c r="V63" s="85"/>
      <c r="W63" s="85"/>
      <c r="X63" s="85"/>
      <c r="Y63" s="85"/>
      <c r="Z63" s="41" t="str">
        <f aca="false">IF(AND(G63&lt;&gt;"",R63&lt;&gt;"",V63&lt;&gt;"",W63&lt;&gt;""),"COMPLETADO","OBSERVADO")</f>
        <v>OBSERVADO</v>
      </c>
      <c r="AA63" s="89"/>
    </row>
    <row r="64" customFormat="false" ht="15.75" hidden="false" customHeight="true" outlineLevel="0" collapsed="false">
      <c r="A64" s="140"/>
      <c r="B64" s="140"/>
      <c r="C64" s="140"/>
      <c r="D64" s="140"/>
      <c r="E64" s="140"/>
      <c r="F64" s="140"/>
      <c r="G64" s="140"/>
      <c r="H64" s="140"/>
      <c r="I64" s="138" t="str">
        <f aca="false">IFERROR(VLOOKUP(TEXT(H64,"0"),IPRESS!$A$3:$B$212,2,0),"")</f>
        <v/>
      </c>
      <c r="J64" s="140"/>
      <c r="K64" s="138" t="str">
        <f aca="false">IFERROR(VLOOKUP(TEXT(O64,"0"),CONDUCTORES!$A$3:$G$54,7,0),"")</f>
        <v/>
      </c>
      <c r="L64" s="140"/>
      <c r="M64" s="140"/>
      <c r="N64" s="139" t="str">
        <f aca="false">IFERROR(IF(L64*M64=0,"",L64*M64),"")</f>
        <v/>
      </c>
      <c r="O64" s="140"/>
      <c r="P64" s="138" t="str">
        <f aca="false">IFERROR(VLOOKUP(TEXT(O64,"0"),CONDUCTORES!$A$3:$G$54,2,0),"")</f>
        <v/>
      </c>
      <c r="Q64" s="138" t="str">
        <f aca="false">IFERROR(VLOOKUP(TEXT(O64,"0"),CONDUCTORES!$A$3:$H$54,6,0),"")</f>
        <v/>
      </c>
      <c r="R64" s="140"/>
      <c r="S64" s="140"/>
      <c r="T64" s="140"/>
      <c r="U64" s="140"/>
      <c r="V64" s="140"/>
      <c r="W64" s="140"/>
      <c r="X64" s="140"/>
      <c r="Y64" s="140"/>
      <c r="Z64" s="47" t="str">
        <f aca="false">IF(AND(G64&lt;&gt;"",R64&lt;&gt;"",V64&lt;&gt;"",W64&lt;&gt;""),"COMPLETADO","OBSERVADO")</f>
        <v>OBSERVADO</v>
      </c>
      <c r="AA64" s="89"/>
    </row>
    <row r="65" customFormat="false" ht="15.75" hidden="false" customHeight="true" outlineLevel="0" collapsed="false">
      <c r="A65" s="85"/>
      <c r="B65" s="85"/>
      <c r="C65" s="85"/>
      <c r="D65" s="85"/>
      <c r="E65" s="85"/>
      <c r="F65" s="85"/>
      <c r="G65" s="85"/>
      <c r="H65" s="85"/>
      <c r="I65" s="138" t="str">
        <f aca="false">IFERROR(VLOOKUP(TEXT(H65,"0"),IPRESS!$A$3:$B$212,2,0),"")</f>
        <v/>
      </c>
      <c r="J65" s="85"/>
      <c r="K65" s="138" t="str">
        <f aca="false">IFERROR(VLOOKUP(TEXT(O65,"0"),CONDUCTORES!$A$3:$G$54,7,0),"")</f>
        <v/>
      </c>
      <c r="L65" s="85"/>
      <c r="M65" s="85"/>
      <c r="N65" s="139" t="str">
        <f aca="false">IFERROR(IF(L65*M65=0,"",L65*M65),"")</f>
        <v/>
      </c>
      <c r="O65" s="85"/>
      <c r="P65" s="138" t="str">
        <f aca="false">IFERROR(VLOOKUP(TEXT(O65,"0"),CONDUCTORES!$A$3:$G$54,2,0),"")</f>
        <v/>
      </c>
      <c r="Q65" s="138" t="str">
        <f aca="false">IFERROR(VLOOKUP(TEXT(O65,"0"),CONDUCTORES!$A$3:$H$54,6,0),"")</f>
        <v/>
      </c>
      <c r="R65" s="85"/>
      <c r="S65" s="85"/>
      <c r="T65" s="85"/>
      <c r="U65" s="85"/>
      <c r="V65" s="85"/>
      <c r="W65" s="85"/>
      <c r="X65" s="85"/>
      <c r="Y65" s="85"/>
      <c r="Z65" s="41" t="str">
        <f aca="false">IF(AND(G65&lt;&gt;"",R65&lt;&gt;"",V65&lt;&gt;"",W65&lt;&gt;""),"COMPLETADO","OBSERVADO")</f>
        <v>OBSERVADO</v>
      </c>
      <c r="AA65" s="89"/>
    </row>
    <row r="66" customFormat="false" ht="15.75" hidden="false" customHeight="true" outlineLevel="0" collapsed="false">
      <c r="A66" s="140"/>
      <c r="B66" s="140"/>
      <c r="C66" s="140"/>
      <c r="D66" s="140"/>
      <c r="E66" s="140"/>
      <c r="F66" s="140"/>
      <c r="G66" s="140"/>
      <c r="H66" s="140"/>
      <c r="I66" s="138" t="str">
        <f aca="false">IFERROR(VLOOKUP(TEXT(H66,"0"),IPRESS!$A$3:$B$212,2,0),"")</f>
        <v/>
      </c>
      <c r="J66" s="140"/>
      <c r="K66" s="138" t="str">
        <f aca="false">IFERROR(VLOOKUP(TEXT(O66,"0"),CONDUCTORES!$A$3:$G$54,7,0),"")</f>
        <v/>
      </c>
      <c r="L66" s="140"/>
      <c r="M66" s="140"/>
      <c r="N66" s="139" t="str">
        <f aca="false">IFERROR(IF(L66*M66=0,"",L66*M66),"")</f>
        <v/>
      </c>
      <c r="O66" s="140"/>
      <c r="P66" s="138" t="str">
        <f aca="false">IFERROR(VLOOKUP(TEXT(O66,"0"),CONDUCTORES!$A$3:$G$54,2,0),"")</f>
        <v/>
      </c>
      <c r="Q66" s="138" t="str">
        <f aca="false">IFERROR(VLOOKUP(TEXT(O66,"0"),CONDUCTORES!$A$3:$H$54,6,0),"")</f>
        <v/>
      </c>
      <c r="R66" s="140"/>
      <c r="S66" s="140"/>
      <c r="T66" s="140"/>
      <c r="U66" s="140"/>
      <c r="V66" s="140"/>
      <c r="W66" s="140"/>
      <c r="X66" s="140"/>
      <c r="Y66" s="140"/>
      <c r="Z66" s="47" t="str">
        <f aca="false">IF(AND(G66&lt;&gt;"",R66&lt;&gt;"",V66&lt;&gt;"",W66&lt;&gt;""),"COMPLETADO","OBSERVADO")</f>
        <v>OBSERVADO</v>
      </c>
      <c r="AA66" s="89"/>
    </row>
    <row r="67" customFormat="false" ht="15.75" hidden="false" customHeight="true" outlineLevel="0" collapsed="false">
      <c r="A67" s="85"/>
      <c r="B67" s="85"/>
      <c r="C67" s="85"/>
      <c r="D67" s="85"/>
      <c r="E67" s="85"/>
      <c r="F67" s="85"/>
      <c r="G67" s="85"/>
      <c r="H67" s="85"/>
      <c r="I67" s="138" t="str">
        <f aca="false">IFERROR(VLOOKUP(TEXT(H67,"0"),IPRESS!$A$3:$B$212,2,0),"")</f>
        <v/>
      </c>
      <c r="J67" s="85"/>
      <c r="K67" s="138" t="str">
        <f aca="false">IFERROR(VLOOKUP(TEXT(O67,"0"),CONDUCTORES!$A$3:$G$54,7,0),"")</f>
        <v/>
      </c>
      <c r="L67" s="85"/>
      <c r="M67" s="85"/>
      <c r="N67" s="139" t="str">
        <f aca="false">IFERROR(IF(L67*M67=0,"",L67*M67),"")</f>
        <v/>
      </c>
      <c r="O67" s="85"/>
      <c r="P67" s="138" t="str">
        <f aca="false">IFERROR(VLOOKUP(TEXT(O67,"0"),CONDUCTORES!$A$3:$G$54,2,0),"")</f>
        <v/>
      </c>
      <c r="Q67" s="138" t="str">
        <f aca="false">IFERROR(VLOOKUP(TEXT(O67,"0"),CONDUCTORES!$A$3:$H$54,6,0),"")</f>
        <v/>
      </c>
      <c r="R67" s="85"/>
      <c r="S67" s="85"/>
      <c r="T67" s="85"/>
      <c r="U67" s="85"/>
      <c r="V67" s="85"/>
      <c r="W67" s="85"/>
      <c r="X67" s="85"/>
      <c r="Y67" s="85"/>
      <c r="Z67" s="41" t="str">
        <f aca="false">IF(AND(G67&lt;&gt;"",R67&lt;&gt;"",V67&lt;&gt;"",W67&lt;&gt;""),"COMPLETADO","OBSERVADO")</f>
        <v>OBSERVADO</v>
      </c>
      <c r="AA67" s="89"/>
    </row>
    <row r="68" customFormat="false" ht="15.75" hidden="false" customHeight="true" outlineLevel="0" collapsed="false">
      <c r="A68" s="140"/>
      <c r="B68" s="140"/>
      <c r="C68" s="140"/>
      <c r="D68" s="140"/>
      <c r="E68" s="140"/>
      <c r="F68" s="140"/>
      <c r="G68" s="140"/>
      <c r="H68" s="140"/>
      <c r="I68" s="138" t="str">
        <f aca="false">IFERROR(VLOOKUP(TEXT(H68,"0"),IPRESS!$A$3:$B$212,2,0),"")</f>
        <v/>
      </c>
      <c r="J68" s="140"/>
      <c r="K68" s="138" t="str">
        <f aca="false">IFERROR(VLOOKUP(TEXT(O68,"0"),CONDUCTORES!$A$3:$G$54,7,0),"")</f>
        <v/>
      </c>
      <c r="L68" s="140"/>
      <c r="M68" s="140"/>
      <c r="N68" s="139" t="str">
        <f aca="false">IFERROR(IF(L68*M68=0,"",L68*M68),"")</f>
        <v/>
      </c>
      <c r="O68" s="140"/>
      <c r="P68" s="138" t="str">
        <f aca="false">IFERROR(VLOOKUP(TEXT(O68,"0"),CONDUCTORES!$A$3:$G$54,2,0),"")</f>
        <v/>
      </c>
      <c r="Q68" s="138" t="str">
        <f aca="false">IFERROR(VLOOKUP(TEXT(O68,"0"),CONDUCTORES!$A$3:$H$54,6,0),"")</f>
        <v/>
      </c>
      <c r="R68" s="140"/>
      <c r="S68" s="140"/>
      <c r="T68" s="140"/>
      <c r="U68" s="140"/>
      <c r="V68" s="140"/>
      <c r="W68" s="140"/>
      <c r="X68" s="140"/>
      <c r="Y68" s="140"/>
      <c r="Z68" s="47" t="str">
        <f aca="false">IF(AND(G68&lt;&gt;"",R68&lt;&gt;"",V68&lt;&gt;"",W68&lt;&gt;""),"COMPLETADO","OBSERVADO")</f>
        <v>OBSERVADO</v>
      </c>
      <c r="AA68" s="89"/>
    </row>
    <row r="69" customFormat="false" ht="15.75" hidden="false" customHeight="true" outlineLevel="0" collapsed="false">
      <c r="A69" s="85"/>
      <c r="B69" s="85"/>
      <c r="C69" s="85"/>
      <c r="D69" s="85"/>
      <c r="E69" s="85"/>
      <c r="F69" s="85"/>
      <c r="G69" s="85"/>
      <c r="H69" s="85"/>
      <c r="I69" s="138" t="str">
        <f aca="false">IFERROR(VLOOKUP(TEXT(H69,"0"),IPRESS!$A$3:$B$212,2,0),"")</f>
        <v/>
      </c>
      <c r="J69" s="85"/>
      <c r="K69" s="138" t="str">
        <f aca="false">IFERROR(VLOOKUP(TEXT(O69,"0"),CONDUCTORES!$A$3:$G$54,7,0),"")</f>
        <v/>
      </c>
      <c r="L69" s="85"/>
      <c r="M69" s="85"/>
      <c r="N69" s="139" t="str">
        <f aca="false">IFERROR(IF(L69*M69=0,"",L69*M69),"")</f>
        <v/>
      </c>
      <c r="O69" s="85"/>
      <c r="P69" s="138" t="str">
        <f aca="false">IFERROR(VLOOKUP(TEXT(O69,"0"),CONDUCTORES!$A$3:$G$54,2,0),"")</f>
        <v/>
      </c>
      <c r="Q69" s="138" t="str">
        <f aca="false">IFERROR(VLOOKUP(TEXT(O69,"0"),CONDUCTORES!$A$3:$H$54,6,0),"")</f>
        <v/>
      </c>
      <c r="R69" s="85"/>
      <c r="S69" s="85"/>
      <c r="T69" s="85"/>
      <c r="U69" s="85"/>
      <c r="V69" s="85"/>
      <c r="W69" s="85"/>
      <c r="X69" s="85"/>
      <c r="Y69" s="85"/>
      <c r="Z69" s="41" t="str">
        <f aca="false">IF(AND(G69&lt;&gt;"",R69&lt;&gt;"",V69&lt;&gt;"",W69&lt;&gt;""),"COMPLETADO","OBSERVADO")</f>
        <v>OBSERVADO</v>
      </c>
      <c r="AA69" s="89"/>
    </row>
    <row r="70" customFormat="false" ht="15.75" hidden="false" customHeight="true" outlineLevel="0" collapsed="false">
      <c r="A70" s="140"/>
      <c r="B70" s="140"/>
      <c r="C70" s="140"/>
      <c r="D70" s="140"/>
      <c r="E70" s="140"/>
      <c r="F70" s="140"/>
      <c r="G70" s="140"/>
      <c r="H70" s="140"/>
      <c r="I70" s="138" t="str">
        <f aca="false">IFERROR(VLOOKUP(TEXT(H70,"0"),IPRESS!$A$3:$B$212,2,0),"")</f>
        <v/>
      </c>
      <c r="J70" s="140"/>
      <c r="K70" s="138" t="str">
        <f aca="false">IFERROR(VLOOKUP(TEXT(O70,"0"),CONDUCTORES!$A$3:$G$54,7,0),"")</f>
        <v/>
      </c>
      <c r="L70" s="140"/>
      <c r="M70" s="140"/>
      <c r="N70" s="139" t="str">
        <f aca="false">IFERROR(IF(L70*M70=0,"",L70*M70),"")</f>
        <v/>
      </c>
      <c r="O70" s="140"/>
      <c r="P70" s="138" t="str">
        <f aca="false">IFERROR(VLOOKUP(TEXT(O70,"0"),CONDUCTORES!$A$3:$G$54,2,0),"")</f>
        <v/>
      </c>
      <c r="Q70" s="138" t="str">
        <f aca="false">IFERROR(VLOOKUP(TEXT(O70,"0"),CONDUCTORES!$A$3:$H$54,6,0),"")</f>
        <v/>
      </c>
      <c r="R70" s="140"/>
      <c r="S70" s="140"/>
      <c r="T70" s="140"/>
      <c r="U70" s="140"/>
      <c r="V70" s="140"/>
      <c r="W70" s="140"/>
      <c r="X70" s="140"/>
      <c r="Y70" s="140"/>
      <c r="Z70" s="47" t="str">
        <f aca="false">IF(AND(G70&lt;&gt;"",R70&lt;&gt;"",V70&lt;&gt;"",W70&lt;&gt;""),"COMPLETADO","OBSERVADO")</f>
        <v>OBSERVADO</v>
      </c>
      <c r="AA70" s="89"/>
    </row>
    <row r="71" customFormat="false" ht="15.75" hidden="false" customHeight="true" outlineLevel="0" collapsed="false">
      <c r="A71" s="85"/>
      <c r="B71" s="85"/>
      <c r="C71" s="85"/>
      <c r="D71" s="85"/>
      <c r="E71" s="85"/>
      <c r="F71" s="85"/>
      <c r="G71" s="85"/>
      <c r="H71" s="85"/>
      <c r="I71" s="138" t="str">
        <f aca="false">IFERROR(VLOOKUP(TEXT(H71,"0"),IPRESS!$A$3:$B$212,2,0),"")</f>
        <v/>
      </c>
      <c r="J71" s="85"/>
      <c r="K71" s="138" t="str">
        <f aca="false">IFERROR(VLOOKUP(TEXT(O71,"0"),CONDUCTORES!$A$3:$G$54,7,0),"")</f>
        <v/>
      </c>
      <c r="L71" s="85"/>
      <c r="M71" s="85"/>
      <c r="N71" s="139" t="str">
        <f aca="false">IFERROR(IF(L71*M71=0,"",L71*M71),"")</f>
        <v/>
      </c>
      <c r="O71" s="85"/>
      <c r="P71" s="138" t="str">
        <f aca="false">IFERROR(VLOOKUP(TEXT(O71,"0"),CONDUCTORES!$A$3:$G$54,2,0),"")</f>
        <v/>
      </c>
      <c r="Q71" s="138" t="str">
        <f aca="false">IFERROR(VLOOKUP(TEXT(O71,"0"),CONDUCTORES!$A$3:$H$54,6,0),"")</f>
        <v/>
      </c>
      <c r="R71" s="85"/>
      <c r="S71" s="85"/>
      <c r="T71" s="85"/>
      <c r="U71" s="85"/>
      <c r="V71" s="85"/>
      <c r="W71" s="85"/>
      <c r="X71" s="85"/>
      <c r="Y71" s="85"/>
      <c r="Z71" s="41" t="str">
        <f aca="false">IF(AND(G71&lt;&gt;"",R71&lt;&gt;"",V71&lt;&gt;"",W71&lt;&gt;""),"COMPLETADO","OBSERVADO")</f>
        <v>OBSERVADO</v>
      </c>
      <c r="AA71" s="89"/>
    </row>
    <row r="72" customFormat="false" ht="15.75" hidden="false" customHeight="true" outlineLevel="0" collapsed="false">
      <c r="A72" s="140"/>
      <c r="B72" s="140"/>
      <c r="C72" s="140"/>
      <c r="D72" s="140"/>
      <c r="E72" s="140"/>
      <c r="F72" s="140"/>
      <c r="G72" s="140"/>
      <c r="H72" s="140"/>
      <c r="I72" s="138" t="str">
        <f aca="false">IFERROR(VLOOKUP(TEXT(H72,"0"),IPRESS!$A$3:$B$212,2,0),"")</f>
        <v/>
      </c>
      <c r="J72" s="140"/>
      <c r="K72" s="138" t="str">
        <f aca="false">IFERROR(VLOOKUP(TEXT(O72,"0"),CONDUCTORES!$A$3:$G$54,7,0),"")</f>
        <v/>
      </c>
      <c r="L72" s="140"/>
      <c r="M72" s="140"/>
      <c r="N72" s="139" t="str">
        <f aca="false">IFERROR(IF(L72*M72=0,"",L72*M72),"")</f>
        <v/>
      </c>
      <c r="O72" s="140"/>
      <c r="P72" s="138" t="str">
        <f aca="false">IFERROR(VLOOKUP(TEXT(O72,"0"),CONDUCTORES!$A$3:$G$54,2,0),"")</f>
        <v/>
      </c>
      <c r="Q72" s="138" t="str">
        <f aca="false">IFERROR(VLOOKUP(TEXT(O72,"0"),CONDUCTORES!$A$3:$H$54,6,0),"")</f>
        <v/>
      </c>
      <c r="R72" s="140"/>
      <c r="S72" s="140"/>
      <c r="T72" s="140"/>
      <c r="U72" s="140"/>
      <c r="V72" s="140"/>
      <c r="W72" s="140"/>
      <c r="X72" s="140"/>
      <c r="Y72" s="140"/>
      <c r="Z72" s="47" t="str">
        <f aca="false">IF(AND(G72&lt;&gt;"",R72&lt;&gt;"",V72&lt;&gt;"",W72&lt;&gt;""),"COMPLETADO","OBSERVADO")</f>
        <v>OBSERVADO</v>
      </c>
      <c r="AA72" s="89"/>
    </row>
    <row r="73" customFormat="false" ht="15.75" hidden="false" customHeight="true" outlineLevel="0" collapsed="false">
      <c r="A73" s="85"/>
      <c r="B73" s="85"/>
      <c r="C73" s="85"/>
      <c r="D73" s="85"/>
      <c r="E73" s="85"/>
      <c r="F73" s="85"/>
      <c r="G73" s="85"/>
      <c r="H73" s="85"/>
      <c r="I73" s="138" t="str">
        <f aca="false">IFERROR(VLOOKUP(TEXT(H73,"0"),IPRESS!$A$3:$B$212,2,0),"")</f>
        <v/>
      </c>
      <c r="J73" s="85"/>
      <c r="K73" s="138" t="str">
        <f aca="false">IFERROR(VLOOKUP(TEXT(O73,"0"),CONDUCTORES!$A$3:$G$54,7,0),"")</f>
        <v/>
      </c>
      <c r="L73" s="85"/>
      <c r="M73" s="85"/>
      <c r="N73" s="139" t="str">
        <f aca="false">IFERROR(IF(L73*M73=0,"",L73*M73),"")</f>
        <v/>
      </c>
      <c r="O73" s="85"/>
      <c r="P73" s="138" t="str">
        <f aca="false">IFERROR(VLOOKUP(TEXT(O73,"0"),CONDUCTORES!$A$3:$G$54,2,0),"")</f>
        <v/>
      </c>
      <c r="Q73" s="138" t="str">
        <f aca="false">IFERROR(VLOOKUP(TEXT(O73,"0"),CONDUCTORES!$A$3:$H$54,6,0),"")</f>
        <v/>
      </c>
      <c r="R73" s="85"/>
      <c r="S73" s="85"/>
      <c r="T73" s="85"/>
      <c r="U73" s="85"/>
      <c r="V73" s="85"/>
      <c r="W73" s="85"/>
      <c r="X73" s="85"/>
      <c r="Y73" s="85"/>
      <c r="Z73" s="41" t="str">
        <f aca="false">IF(AND(G73&lt;&gt;"",R73&lt;&gt;"",V73&lt;&gt;"",W73&lt;&gt;""),"COMPLETADO","OBSERVADO")</f>
        <v>OBSERVADO</v>
      </c>
      <c r="AA73" s="89"/>
    </row>
    <row r="74" customFormat="false" ht="15.75" hidden="false" customHeight="true" outlineLevel="0" collapsed="false">
      <c r="A74" s="140"/>
      <c r="B74" s="140"/>
      <c r="C74" s="140"/>
      <c r="D74" s="140"/>
      <c r="E74" s="140"/>
      <c r="F74" s="140"/>
      <c r="G74" s="140"/>
      <c r="H74" s="140"/>
      <c r="I74" s="138" t="str">
        <f aca="false">IFERROR(VLOOKUP(TEXT(H74,"0"),IPRESS!$A$3:$B$212,2,0),"")</f>
        <v/>
      </c>
      <c r="J74" s="140"/>
      <c r="K74" s="138" t="str">
        <f aca="false">IFERROR(VLOOKUP(TEXT(O74,"0"),CONDUCTORES!$A$3:$G$54,7,0),"")</f>
        <v/>
      </c>
      <c r="L74" s="140"/>
      <c r="M74" s="140"/>
      <c r="N74" s="139" t="str">
        <f aca="false">IFERROR(IF(L74*M74=0,"",L74*M74),"")</f>
        <v/>
      </c>
      <c r="O74" s="140"/>
      <c r="P74" s="138" t="str">
        <f aca="false">IFERROR(VLOOKUP(TEXT(O74,"0"),CONDUCTORES!$A$3:$G$54,2,0),"")</f>
        <v/>
      </c>
      <c r="Q74" s="138" t="str">
        <f aca="false">IFERROR(VLOOKUP(TEXT(O74,"0"),CONDUCTORES!$A$3:$H$54,6,0),"")</f>
        <v/>
      </c>
      <c r="R74" s="140"/>
      <c r="S74" s="140"/>
      <c r="T74" s="140"/>
      <c r="U74" s="140"/>
      <c r="V74" s="140"/>
      <c r="W74" s="140"/>
      <c r="X74" s="140"/>
      <c r="Y74" s="140"/>
      <c r="Z74" s="47" t="str">
        <f aca="false">IF(AND(G74&lt;&gt;"",R74&lt;&gt;"",V74&lt;&gt;"",W74&lt;&gt;""),"COMPLETADO","OBSERVADO")</f>
        <v>OBSERVADO</v>
      </c>
      <c r="AA74" s="89"/>
    </row>
    <row r="75" customFormat="false" ht="15.75" hidden="false" customHeight="true" outlineLevel="0" collapsed="false">
      <c r="A75" s="85"/>
      <c r="B75" s="85"/>
      <c r="C75" s="85"/>
      <c r="D75" s="85"/>
      <c r="E75" s="85"/>
      <c r="F75" s="85"/>
      <c r="G75" s="85"/>
      <c r="H75" s="85"/>
      <c r="I75" s="138" t="str">
        <f aca="false">IFERROR(VLOOKUP(TEXT(H75,"0"),IPRESS!$A$3:$B$212,2,0),"")</f>
        <v/>
      </c>
      <c r="J75" s="85"/>
      <c r="K75" s="138" t="str">
        <f aca="false">IFERROR(VLOOKUP(TEXT(O75,"0"),CONDUCTORES!$A$3:$G$54,7,0),"")</f>
        <v/>
      </c>
      <c r="L75" s="85"/>
      <c r="M75" s="85"/>
      <c r="N75" s="139" t="str">
        <f aca="false">IFERROR(IF(L75*M75=0,"",L75*M75),"")</f>
        <v/>
      </c>
      <c r="O75" s="85"/>
      <c r="P75" s="138" t="str">
        <f aca="false">IFERROR(VLOOKUP(TEXT(O75,"0"),CONDUCTORES!$A$3:$G$54,2,0),"")</f>
        <v/>
      </c>
      <c r="Q75" s="138" t="str">
        <f aca="false">IFERROR(VLOOKUP(TEXT(O75,"0"),CONDUCTORES!$A$3:$H$54,6,0),"")</f>
        <v/>
      </c>
      <c r="R75" s="85"/>
      <c r="S75" s="85"/>
      <c r="T75" s="85"/>
      <c r="U75" s="85"/>
      <c r="V75" s="85"/>
      <c r="W75" s="85"/>
      <c r="X75" s="85"/>
      <c r="Y75" s="85"/>
      <c r="Z75" s="41" t="str">
        <f aca="false">IF(AND(G75&lt;&gt;"",R75&lt;&gt;"",V75&lt;&gt;"",W75&lt;&gt;""),"COMPLETADO","OBSERVADO")</f>
        <v>OBSERVADO</v>
      </c>
      <c r="AA75" s="89"/>
    </row>
    <row r="76" customFormat="false" ht="15.75" hidden="false" customHeight="true" outlineLevel="0" collapsed="false">
      <c r="A76" s="140"/>
      <c r="B76" s="140"/>
      <c r="C76" s="140"/>
      <c r="D76" s="140"/>
      <c r="E76" s="140"/>
      <c r="F76" s="140"/>
      <c r="G76" s="140"/>
      <c r="H76" s="140"/>
      <c r="I76" s="138" t="str">
        <f aca="false">IFERROR(VLOOKUP(TEXT(H76,"0"),IPRESS!$A$3:$B$212,2,0),"")</f>
        <v/>
      </c>
      <c r="J76" s="140"/>
      <c r="K76" s="138" t="str">
        <f aca="false">IFERROR(VLOOKUP(TEXT(O76,"0"),CONDUCTORES!$A$3:$G$54,7,0),"")</f>
        <v/>
      </c>
      <c r="L76" s="140"/>
      <c r="M76" s="140"/>
      <c r="N76" s="139" t="str">
        <f aca="false">IFERROR(IF(L76*M76=0,"",L76*M76),"")</f>
        <v/>
      </c>
      <c r="O76" s="140"/>
      <c r="P76" s="138" t="str">
        <f aca="false">IFERROR(VLOOKUP(TEXT(O76,"0"),CONDUCTORES!$A$3:$G$54,2,0),"")</f>
        <v/>
      </c>
      <c r="Q76" s="138" t="str">
        <f aca="false">IFERROR(VLOOKUP(TEXT(O76,"0"),CONDUCTORES!$A$3:$H$54,6,0),"")</f>
        <v/>
      </c>
      <c r="R76" s="140"/>
      <c r="S76" s="140"/>
      <c r="T76" s="140"/>
      <c r="U76" s="140"/>
      <c r="V76" s="140"/>
      <c r="W76" s="140"/>
      <c r="X76" s="140"/>
      <c r="Y76" s="140"/>
      <c r="Z76" s="47" t="str">
        <f aca="false">IF(AND(G76&lt;&gt;"",R76&lt;&gt;"",V76&lt;&gt;"",W76&lt;&gt;""),"COMPLETADO","OBSERVADO")</f>
        <v>OBSERVADO</v>
      </c>
      <c r="AA76" s="89"/>
    </row>
    <row r="77" customFormat="false" ht="15.75" hidden="false" customHeight="true" outlineLevel="0" collapsed="false">
      <c r="A77" s="85"/>
      <c r="B77" s="85"/>
      <c r="C77" s="85"/>
      <c r="D77" s="85"/>
      <c r="E77" s="85"/>
      <c r="F77" s="85"/>
      <c r="G77" s="85"/>
      <c r="H77" s="85"/>
      <c r="I77" s="138" t="str">
        <f aca="false">IFERROR(VLOOKUP(TEXT(H77,"0"),IPRESS!$A$3:$B$212,2,0),"")</f>
        <v/>
      </c>
      <c r="J77" s="85"/>
      <c r="K77" s="138" t="str">
        <f aca="false">IFERROR(VLOOKUP(TEXT(O77,"0"),CONDUCTORES!$A$3:$G$54,7,0),"")</f>
        <v/>
      </c>
      <c r="L77" s="85"/>
      <c r="M77" s="85"/>
      <c r="N77" s="139" t="str">
        <f aca="false">IFERROR(IF(L77*M77=0,"",L77*M77),"")</f>
        <v/>
      </c>
      <c r="O77" s="85"/>
      <c r="P77" s="138" t="str">
        <f aca="false">IFERROR(VLOOKUP(TEXT(O77,"0"),CONDUCTORES!$A$3:$G$54,2,0),"")</f>
        <v/>
      </c>
      <c r="Q77" s="138" t="str">
        <f aca="false">IFERROR(VLOOKUP(TEXT(O77,"0"),CONDUCTORES!$A$3:$H$54,6,0),"")</f>
        <v/>
      </c>
      <c r="R77" s="85"/>
      <c r="S77" s="85"/>
      <c r="T77" s="85"/>
      <c r="U77" s="85"/>
      <c r="V77" s="85"/>
      <c r="W77" s="85"/>
      <c r="X77" s="85"/>
      <c r="Y77" s="85"/>
      <c r="Z77" s="41" t="str">
        <f aca="false">IF(AND(G77&lt;&gt;"",R77&lt;&gt;"",V77&lt;&gt;"",W77&lt;&gt;""),"COMPLETADO","OBSERVADO")</f>
        <v>OBSERVADO</v>
      </c>
      <c r="AA77" s="89"/>
    </row>
    <row r="78" customFormat="false" ht="15.75" hidden="false" customHeight="true" outlineLevel="0" collapsed="false">
      <c r="A78" s="140"/>
      <c r="B78" s="140"/>
      <c r="C78" s="140"/>
      <c r="D78" s="140"/>
      <c r="E78" s="140"/>
      <c r="F78" s="140"/>
      <c r="G78" s="140"/>
      <c r="H78" s="140"/>
      <c r="I78" s="138" t="str">
        <f aca="false">IFERROR(VLOOKUP(TEXT(H78,"0"),IPRESS!$A$3:$B$212,2,0),"")</f>
        <v/>
      </c>
      <c r="J78" s="140"/>
      <c r="K78" s="138" t="str">
        <f aca="false">IFERROR(VLOOKUP(TEXT(O78,"0"),CONDUCTORES!$A$3:$G$54,7,0),"")</f>
        <v/>
      </c>
      <c r="L78" s="140"/>
      <c r="M78" s="140"/>
      <c r="N78" s="139" t="str">
        <f aca="false">IFERROR(IF(L78*M78=0,"",L78*M78),"")</f>
        <v/>
      </c>
      <c r="O78" s="140"/>
      <c r="P78" s="138" t="str">
        <f aca="false">IFERROR(VLOOKUP(TEXT(O78,"0"),CONDUCTORES!$A$3:$G$54,2,0),"")</f>
        <v/>
      </c>
      <c r="Q78" s="138" t="str">
        <f aca="false">IFERROR(VLOOKUP(TEXT(O78,"0"),CONDUCTORES!$A$3:$H$54,6,0),"")</f>
        <v/>
      </c>
      <c r="R78" s="140"/>
      <c r="S78" s="140"/>
      <c r="T78" s="140"/>
      <c r="U78" s="140"/>
      <c r="V78" s="140"/>
      <c r="W78" s="140"/>
      <c r="X78" s="140"/>
      <c r="Y78" s="140"/>
      <c r="Z78" s="47" t="str">
        <f aca="false">IF(AND(G78&lt;&gt;"",R78&lt;&gt;"",V78&lt;&gt;"",W78&lt;&gt;""),"COMPLETADO","OBSERVADO")</f>
        <v>OBSERVADO</v>
      </c>
      <c r="AA78" s="89"/>
    </row>
    <row r="79" customFormat="false" ht="15.75" hidden="false" customHeight="true" outlineLevel="0" collapsed="false">
      <c r="A79" s="85"/>
      <c r="B79" s="85"/>
      <c r="C79" s="85"/>
      <c r="D79" s="85"/>
      <c r="E79" s="85"/>
      <c r="F79" s="85"/>
      <c r="G79" s="85"/>
      <c r="H79" s="85"/>
      <c r="I79" s="138" t="str">
        <f aca="false">IFERROR(VLOOKUP(TEXT(H79,"0"),IPRESS!$A$3:$B$212,2,0),"")</f>
        <v/>
      </c>
      <c r="J79" s="85"/>
      <c r="K79" s="138" t="str">
        <f aca="false">IFERROR(VLOOKUP(TEXT(O79,"0"),CONDUCTORES!$A$3:$G$54,7,0),"")</f>
        <v/>
      </c>
      <c r="L79" s="85"/>
      <c r="M79" s="85"/>
      <c r="N79" s="139" t="str">
        <f aca="false">IFERROR(IF(L79*M79=0,"",L79*M79),"")</f>
        <v/>
      </c>
      <c r="O79" s="85"/>
      <c r="P79" s="138" t="str">
        <f aca="false">IFERROR(VLOOKUP(TEXT(O79,"0"),CONDUCTORES!$A$3:$G$54,2,0),"")</f>
        <v/>
      </c>
      <c r="Q79" s="138" t="str">
        <f aca="false">IFERROR(VLOOKUP(TEXT(O79,"0"),CONDUCTORES!$A$3:$H$54,6,0),"")</f>
        <v/>
      </c>
      <c r="R79" s="85"/>
      <c r="S79" s="85"/>
      <c r="T79" s="85"/>
      <c r="U79" s="85"/>
      <c r="V79" s="85"/>
      <c r="W79" s="85"/>
      <c r="X79" s="85"/>
      <c r="Y79" s="85"/>
      <c r="Z79" s="41" t="str">
        <f aca="false">IF(AND(G79&lt;&gt;"",R79&lt;&gt;"",V79&lt;&gt;"",W79&lt;&gt;""),"COMPLETADO","OBSERVADO")</f>
        <v>OBSERVADO</v>
      </c>
      <c r="AA79" s="89"/>
    </row>
    <row r="80" customFormat="false" ht="15.75" hidden="false" customHeight="true" outlineLevel="0" collapsed="false">
      <c r="A80" s="140"/>
      <c r="B80" s="140"/>
      <c r="C80" s="140"/>
      <c r="D80" s="140"/>
      <c r="E80" s="140"/>
      <c r="F80" s="140"/>
      <c r="G80" s="140"/>
      <c r="H80" s="140"/>
      <c r="I80" s="138" t="str">
        <f aca="false">IFERROR(VLOOKUP(TEXT(H80,"0"),IPRESS!$A$3:$B$212,2,0),"")</f>
        <v/>
      </c>
      <c r="J80" s="140"/>
      <c r="K80" s="138" t="str">
        <f aca="false">IFERROR(VLOOKUP(TEXT(O80,"0"),CONDUCTORES!$A$3:$G$54,7,0),"")</f>
        <v/>
      </c>
      <c r="L80" s="140"/>
      <c r="M80" s="140"/>
      <c r="N80" s="139" t="str">
        <f aca="false">IFERROR(IF(L80*M80=0,"",L80*M80),"")</f>
        <v/>
      </c>
      <c r="O80" s="140"/>
      <c r="P80" s="138" t="str">
        <f aca="false">IFERROR(VLOOKUP(TEXT(O80,"0"),CONDUCTORES!$A$3:$G$54,2,0),"")</f>
        <v/>
      </c>
      <c r="Q80" s="138" t="str">
        <f aca="false">IFERROR(VLOOKUP(TEXT(O80,"0"),CONDUCTORES!$A$3:$H$54,6,0),"")</f>
        <v/>
      </c>
      <c r="R80" s="140"/>
      <c r="S80" s="140"/>
      <c r="T80" s="140"/>
      <c r="U80" s="140"/>
      <c r="V80" s="140"/>
      <c r="W80" s="140"/>
      <c r="X80" s="140"/>
      <c r="Y80" s="140"/>
      <c r="Z80" s="47" t="str">
        <f aca="false">IF(AND(G80&lt;&gt;"",R80&lt;&gt;"",V80&lt;&gt;"",W80&lt;&gt;""),"COMPLETADO","OBSERVADO")</f>
        <v>OBSERVADO</v>
      </c>
      <c r="AA80" s="89"/>
    </row>
    <row r="81" customFormat="false" ht="15.75" hidden="false" customHeight="true" outlineLevel="0" collapsed="false">
      <c r="A81" s="85"/>
      <c r="B81" s="85"/>
      <c r="C81" s="85"/>
      <c r="D81" s="85"/>
      <c r="E81" s="85"/>
      <c r="F81" s="85"/>
      <c r="G81" s="85"/>
      <c r="H81" s="85"/>
      <c r="I81" s="138" t="str">
        <f aca="false">IFERROR(VLOOKUP(TEXT(H81,"0"),IPRESS!$A$3:$B$212,2,0),"")</f>
        <v/>
      </c>
      <c r="J81" s="85"/>
      <c r="K81" s="138" t="str">
        <f aca="false">IFERROR(VLOOKUP(TEXT(O81,"0"),CONDUCTORES!$A$3:$G$54,7,0),"")</f>
        <v/>
      </c>
      <c r="L81" s="85"/>
      <c r="M81" s="85"/>
      <c r="N81" s="139" t="str">
        <f aca="false">IFERROR(IF(L81*M81=0,"",L81*M81),"")</f>
        <v/>
      </c>
      <c r="O81" s="85"/>
      <c r="P81" s="138" t="str">
        <f aca="false">IFERROR(VLOOKUP(TEXT(O81,"0"),CONDUCTORES!$A$3:$G$54,2,0),"")</f>
        <v/>
      </c>
      <c r="Q81" s="138" t="str">
        <f aca="false">IFERROR(VLOOKUP(TEXT(O81,"0"),CONDUCTORES!$A$3:$H$54,6,0),"")</f>
        <v/>
      </c>
      <c r="R81" s="85"/>
      <c r="S81" s="85"/>
      <c r="T81" s="85"/>
      <c r="U81" s="85"/>
      <c r="V81" s="85"/>
      <c r="W81" s="85"/>
      <c r="X81" s="85"/>
      <c r="Y81" s="85"/>
      <c r="Z81" s="41" t="str">
        <f aca="false">IF(AND(G81&lt;&gt;"",R81&lt;&gt;"",V81&lt;&gt;"",W81&lt;&gt;""),"COMPLETADO","OBSERVADO")</f>
        <v>OBSERVADO</v>
      </c>
      <c r="AA81" s="89"/>
    </row>
    <row r="82" customFormat="false" ht="15.75" hidden="false" customHeight="true" outlineLevel="0" collapsed="false">
      <c r="A82" s="140"/>
      <c r="B82" s="140"/>
      <c r="C82" s="140"/>
      <c r="D82" s="140"/>
      <c r="E82" s="140"/>
      <c r="F82" s="140"/>
      <c r="G82" s="140"/>
      <c r="H82" s="140"/>
      <c r="I82" s="138" t="str">
        <f aca="false">IFERROR(VLOOKUP(TEXT(H82,"0"),IPRESS!$A$3:$B$212,2,0),"")</f>
        <v/>
      </c>
      <c r="J82" s="140"/>
      <c r="K82" s="138" t="str">
        <f aca="false">IFERROR(VLOOKUP(TEXT(O82,"0"),CONDUCTORES!$A$3:$G$54,7,0),"")</f>
        <v/>
      </c>
      <c r="L82" s="140"/>
      <c r="M82" s="140"/>
      <c r="N82" s="139" t="str">
        <f aca="false">IFERROR(IF(L82*M82=0,"",L82*M82),"")</f>
        <v/>
      </c>
      <c r="O82" s="140"/>
      <c r="P82" s="138" t="str">
        <f aca="false">IFERROR(VLOOKUP(TEXT(O82,"0"),CONDUCTORES!$A$3:$G$54,2,0),"")</f>
        <v/>
      </c>
      <c r="Q82" s="138" t="str">
        <f aca="false">IFERROR(VLOOKUP(TEXT(O82,"0"),CONDUCTORES!$A$3:$H$54,6,0),"")</f>
        <v/>
      </c>
      <c r="R82" s="140"/>
      <c r="S82" s="140"/>
      <c r="T82" s="140"/>
      <c r="U82" s="140"/>
      <c r="V82" s="140"/>
      <c r="W82" s="140"/>
      <c r="X82" s="140"/>
      <c r="Y82" s="140"/>
      <c r="Z82" s="47" t="str">
        <f aca="false">IF(AND(G82&lt;&gt;"",R82&lt;&gt;"",V82&lt;&gt;"",W82&lt;&gt;""),"COMPLETADO","OBSERVADO")</f>
        <v>OBSERVADO</v>
      </c>
      <c r="AA82" s="89"/>
    </row>
    <row r="83" customFormat="false" ht="15.75" hidden="false" customHeight="true" outlineLevel="0" collapsed="false">
      <c r="A83" s="85"/>
      <c r="B83" s="85"/>
      <c r="C83" s="85"/>
      <c r="D83" s="85"/>
      <c r="E83" s="85"/>
      <c r="F83" s="85"/>
      <c r="G83" s="85"/>
      <c r="H83" s="85"/>
      <c r="I83" s="138" t="str">
        <f aca="false">IFERROR(VLOOKUP(TEXT(H83,"0"),IPRESS!$A$3:$B$212,2,0),"")</f>
        <v/>
      </c>
      <c r="J83" s="85"/>
      <c r="K83" s="138" t="str">
        <f aca="false">IFERROR(VLOOKUP(TEXT(O83,"0"),CONDUCTORES!$A$3:$G$54,7,0),"")</f>
        <v/>
      </c>
      <c r="L83" s="85"/>
      <c r="M83" s="85"/>
      <c r="N83" s="139" t="str">
        <f aca="false">IFERROR(IF(L83*M83=0,"",L83*M83),"")</f>
        <v/>
      </c>
      <c r="O83" s="85"/>
      <c r="P83" s="138" t="str">
        <f aca="false">IFERROR(VLOOKUP(TEXT(O83,"0"),CONDUCTORES!$A$3:$G$54,2,0),"")</f>
        <v/>
      </c>
      <c r="Q83" s="138" t="str">
        <f aca="false">IFERROR(VLOOKUP(TEXT(O83,"0"),CONDUCTORES!$A$3:$H$54,6,0),"")</f>
        <v/>
      </c>
      <c r="R83" s="85"/>
      <c r="S83" s="85"/>
      <c r="T83" s="85"/>
      <c r="U83" s="85"/>
      <c r="V83" s="85"/>
      <c r="W83" s="85"/>
      <c r="X83" s="85"/>
      <c r="Y83" s="85"/>
      <c r="Z83" s="41" t="str">
        <f aca="false">IF(AND(G83&lt;&gt;"",R83&lt;&gt;"",V83&lt;&gt;"",W83&lt;&gt;""),"COMPLETADO","OBSERVADO")</f>
        <v>OBSERVADO</v>
      </c>
      <c r="AA83" s="89"/>
    </row>
    <row r="84" customFormat="false" ht="15.75" hidden="false" customHeight="true" outlineLevel="0" collapsed="false">
      <c r="A84" s="140"/>
      <c r="B84" s="140"/>
      <c r="C84" s="140"/>
      <c r="D84" s="140"/>
      <c r="E84" s="140"/>
      <c r="F84" s="140"/>
      <c r="G84" s="140"/>
      <c r="H84" s="140"/>
      <c r="I84" s="138" t="str">
        <f aca="false">IFERROR(VLOOKUP(TEXT(H84,"0"),IPRESS!$A$3:$B$212,2,0),"")</f>
        <v/>
      </c>
      <c r="J84" s="140"/>
      <c r="K84" s="138" t="str">
        <f aca="false">IFERROR(VLOOKUP(TEXT(O84,"0"),CONDUCTORES!$A$3:$G$54,7,0),"")</f>
        <v/>
      </c>
      <c r="L84" s="140"/>
      <c r="M84" s="140"/>
      <c r="N84" s="139" t="str">
        <f aca="false">IFERROR(IF(L84*M84=0,"",L84*M84),"")</f>
        <v/>
      </c>
      <c r="O84" s="140"/>
      <c r="P84" s="138" t="str">
        <f aca="false">IFERROR(VLOOKUP(TEXT(O84,"0"),CONDUCTORES!$A$3:$G$54,2,0),"")</f>
        <v/>
      </c>
      <c r="Q84" s="138" t="str">
        <f aca="false">IFERROR(VLOOKUP(TEXT(O84,"0"),CONDUCTORES!$A$3:$H$54,6,0),"")</f>
        <v/>
      </c>
      <c r="R84" s="140"/>
      <c r="S84" s="140"/>
      <c r="T84" s="140"/>
      <c r="U84" s="140"/>
      <c r="V84" s="140"/>
      <c r="W84" s="140"/>
      <c r="X84" s="140"/>
      <c r="Y84" s="140"/>
      <c r="Z84" s="47" t="str">
        <f aca="false">IF(AND(G84&lt;&gt;"",R84&lt;&gt;"",V84&lt;&gt;"",W84&lt;&gt;""),"COMPLETADO","OBSERVADO")</f>
        <v>OBSERVADO</v>
      </c>
      <c r="AA84" s="89"/>
    </row>
    <row r="85" customFormat="false" ht="15.75" hidden="false" customHeight="true" outlineLevel="0" collapsed="false">
      <c r="A85" s="85"/>
      <c r="B85" s="85"/>
      <c r="C85" s="85"/>
      <c r="D85" s="85"/>
      <c r="E85" s="85"/>
      <c r="F85" s="85"/>
      <c r="G85" s="85"/>
      <c r="H85" s="85"/>
      <c r="I85" s="138" t="str">
        <f aca="false">IFERROR(VLOOKUP(TEXT(H85,"0"),IPRESS!$A$3:$B$212,2,0),"")</f>
        <v/>
      </c>
      <c r="J85" s="85"/>
      <c r="K85" s="138" t="str">
        <f aca="false">IFERROR(VLOOKUP(TEXT(O85,"0"),CONDUCTORES!$A$3:$G$54,7,0),"")</f>
        <v/>
      </c>
      <c r="L85" s="85"/>
      <c r="M85" s="85"/>
      <c r="N85" s="139" t="str">
        <f aca="false">IFERROR(IF(L85*M85=0,"",L85*M85),"")</f>
        <v/>
      </c>
      <c r="O85" s="85"/>
      <c r="P85" s="138" t="str">
        <f aca="false">IFERROR(VLOOKUP(TEXT(O85,"0"),CONDUCTORES!$A$3:$G$54,2,0),"")</f>
        <v/>
      </c>
      <c r="Q85" s="138" t="str">
        <f aca="false">IFERROR(VLOOKUP(TEXT(O85,"0"),CONDUCTORES!$A$3:$H$54,6,0),"")</f>
        <v/>
      </c>
      <c r="R85" s="85"/>
      <c r="S85" s="85"/>
      <c r="T85" s="85"/>
      <c r="U85" s="85"/>
      <c r="V85" s="85"/>
      <c r="W85" s="85"/>
      <c r="X85" s="85"/>
      <c r="Y85" s="85"/>
      <c r="Z85" s="41" t="str">
        <f aca="false">IF(AND(G85&lt;&gt;"",R85&lt;&gt;"",V85&lt;&gt;"",W85&lt;&gt;""),"COMPLETADO","OBSERVADO")</f>
        <v>OBSERVADO</v>
      </c>
      <c r="AA85" s="89"/>
    </row>
    <row r="86" customFormat="false" ht="15.75" hidden="false" customHeight="true" outlineLevel="0" collapsed="false">
      <c r="A86" s="140"/>
      <c r="B86" s="140"/>
      <c r="C86" s="140"/>
      <c r="D86" s="140"/>
      <c r="E86" s="140"/>
      <c r="F86" s="140"/>
      <c r="G86" s="140"/>
      <c r="H86" s="140"/>
      <c r="I86" s="138" t="str">
        <f aca="false">IFERROR(VLOOKUP(TEXT(H86,"0"),IPRESS!$A$3:$B$212,2,0),"")</f>
        <v/>
      </c>
      <c r="J86" s="140"/>
      <c r="K86" s="138" t="str">
        <f aca="false">IFERROR(VLOOKUP(TEXT(O86,"0"),CONDUCTORES!$A$3:$G$54,7,0),"")</f>
        <v/>
      </c>
      <c r="L86" s="140"/>
      <c r="M86" s="140"/>
      <c r="N86" s="139" t="str">
        <f aca="false">IFERROR(IF(L86*M86=0,"",L86*M86),"")</f>
        <v/>
      </c>
      <c r="O86" s="140"/>
      <c r="P86" s="138" t="str">
        <f aca="false">IFERROR(VLOOKUP(TEXT(O86,"0"),CONDUCTORES!$A$3:$G$54,2,0),"")</f>
        <v/>
      </c>
      <c r="Q86" s="138" t="str">
        <f aca="false">IFERROR(VLOOKUP(TEXT(O86,"0"),CONDUCTORES!$A$3:$H$54,6,0),"")</f>
        <v/>
      </c>
      <c r="R86" s="140"/>
      <c r="S86" s="140"/>
      <c r="T86" s="140"/>
      <c r="U86" s="140"/>
      <c r="V86" s="140"/>
      <c r="W86" s="140"/>
      <c r="X86" s="140"/>
      <c r="Y86" s="140"/>
      <c r="Z86" s="47" t="str">
        <f aca="false">IF(AND(G86&lt;&gt;"",R86&lt;&gt;"",V86&lt;&gt;"",W86&lt;&gt;""),"COMPLETADO","OBSERVADO")</f>
        <v>OBSERVADO</v>
      </c>
      <c r="AA86" s="89"/>
    </row>
    <row r="87" customFormat="false" ht="15.75" hidden="false" customHeight="true" outlineLevel="0" collapsed="false">
      <c r="A87" s="85"/>
      <c r="B87" s="85"/>
      <c r="C87" s="85"/>
      <c r="D87" s="85"/>
      <c r="E87" s="85"/>
      <c r="F87" s="85"/>
      <c r="G87" s="85"/>
      <c r="H87" s="85"/>
      <c r="I87" s="138" t="str">
        <f aca="false">IFERROR(VLOOKUP(TEXT(H87,"0"),IPRESS!$A$3:$B$212,2,0),"")</f>
        <v/>
      </c>
      <c r="J87" s="85"/>
      <c r="K87" s="138" t="str">
        <f aca="false">IFERROR(VLOOKUP(TEXT(O87,"0"),CONDUCTORES!$A$3:$G$54,7,0),"")</f>
        <v/>
      </c>
      <c r="L87" s="85"/>
      <c r="M87" s="85"/>
      <c r="N87" s="139" t="str">
        <f aca="false">IFERROR(IF(L87*M87=0,"",L87*M87),"")</f>
        <v/>
      </c>
      <c r="O87" s="85"/>
      <c r="P87" s="138" t="str">
        <f aca="false">IFERROR(VLOOKUP(TEXT(O87,"0"),CONDUCTORES!$A$3:$G$54,2,0),"")</f>
        <v/>
      </c>
      <c r="Q87" s="138" t="str">
        <f aca="false">IFERROR(VLOOKUP(TEXT(O87,"0"),CONDUCTORES!$A$3:$H$54,6,0),"")</f>
        <v/>
      </c>
      <c r="R87" s="85"/>
      <c r="S87" s="85"/>
      <c r="T87" s="85"/>
      <c r="U87" s="85"/>
      <c r="V87" s="85"/>
      <c r="W87" s="85"/>
      <c r="X87" s="85"/>
      <c r="Y87" s="85"/>
      <c r="Z87" s="41" t="str">
        <f aca="false">IF(AND(G87&lt;&gt;"",R87&lt;&gt;"",V87&lt;&gt;"",W87&lt;&gt;""),"COMPLETADO","OBSERVADO")</f>
        <v>OBSERVADO</v>
      </c>
      <c r="AA87" s="89"/>
    </row>
    <row r="88" customFormat="false" ht="15.75" hidden="false" customHeight="true" outlineLevel="0" collapsed="false">
      <c r="A88" s="140"/>
      <c r="B88" s="140"/>
      <c r="C88" s="140"/>
      <c r="D88" s="140"/>
      <c r="E88" s="140"/>
      <c r="F88" s="140"/>
      <c r="G88" s="140"/>
      <c r="H88" s="140"/>
      <c r="I88" s="138" t="str">
        <f aca="false">IFERROR(VLOOKUP(TEXT(H88,"0"),IPRESS!$A$3:$B$212,2,0),"")</f>
        <v/>
      </c>
      <c r="J88" s="140"/>
      <c r="K88" s="138" t="str">
        <f aca="false">IFERROR(VLOOKUP(TEXT(O88,"0"),CONDUCTORES!$A$3:$G$54,7,0),"")</f>
        <v/>
      </c>
      <c r="L88" s="140"/>
      <c r="M88" s="140"/>
      <c r="N88" s="139" t="str">
        <f aca="false">IFERROR(IF(L88*M88=0,"",L88*M88),"")</f>
        <v/>
      </c>
      <c r="O88" s="140"/>
      <c r="P88" s="138" t="str">
        <f aca="false">IFERROR(VLOOKUP(TEXT(O88,"0"),CONDUCTORES!$A$3:$G$54,2,0),"")</f>
        <v/>
      </c>
      <c r="Q88" s="138" t="str">
        <f aca="false">IFERROR(VLOOKUP(TEXT(O88,"0"),CONDUCTORES!$A$3:$H$54,6,0),"")</f>
        <v/>
      </c>
      <c r="R88" s="140"/>
      <c r="S88" s="140"/>
      <c r="T88" s="140"/>
      <c r="U88" s="140"/>
      <c r="V88" s="140"/>
      <c r="W88" s="140"/>
      <c r="X88" s="140"/>
      <c r="Y88" s="140"/>
      <c r="Z88" s="47" t="str">
        <f aca="false">IF(AND(G88&lt;&gt;"",R88&lt;&gt;"",V88&lt;&gt;"",W88&lt;&gt;""),"COMPLETADO","OBSERVADO")</f>
        <v>OBSERVADO</v>
      </c>
      <c r="AA88" s="89"/>
    </row>
    <row r="89" customFormat="false" ht="15.75" hidden="false" customHeight="true" outlineLevel="0" collapsed="false">
      <c r="A89" s="85"/>
      <c r="B89" s="85"/>
      <c r="C89" s="85"/>
      <c r="D89" s="85"/>
      <c r="E89" s="85"/>
      <c r="F89" s="85"/>
      <c r="G89" s="85"/>
      <c r="H89" s="85"/>
      <c r="I89" s="138" t="str">
        <f aca="false">IFERROR(VLOOKUP(TEXT(H89,"0"),IPRESS!$A$3:$B$212,2,0),"")</f>
        <v/>
      </c>
      <c r="J89" s="85"/>
      <c r="K89" s="138" t="str">
        <f aca="false">IFERROR(VLOOKUP(TEXT(O89,"0"),CONDUCTORES!$A$3:$G$54,7,0),"")</f>
        <v/>
      </c>
      <c r="L89" s="85"/>
      <c r="M89" s="85"/>
      <c r="N89" s="139" t="str">
        <f aca="false">IFERROR(IF(L89*M89=0,"",L89*M89),"")</f>
        <v/>
      </c>
      <c r="O89" s="85"/>
      <c r="P89" s="138" t="str">
        <f aca="false">IFERROR(VLOOKUP(TEXT(O89,"0"),CONDUCTORES!$A$3:$G$54,2,0),"")</f>
        <v/>
      </c>
      <c r="Q89" s="138" t="str">
        <f aca="false">IFERROR(VLOOKUP(TEXT(O89,"0"),CONDUCTORES!$A$3:$H$54,6,0),"")</f>
        <v/>
      </c>
      <c r="R89" s="85"/>
      <c r="S89" s="85"/>
      <c r="T89" s="85"/>
      <c r="U89" s="85"/>
      <c r="V89" s="85"/>
      <c r="W89" s="85"/>
      <c r="X89" s="85"/>
      <c r="Y89" s="85"/>
      <c r="Z89" s="41" t="str">
        <f aca="false">IF(AND(G89&lt;&gt;"",R89&lt;&gt;"",V89&lt;&gt;"",W89&lt;&gt;""),"COMPLETADO","OBSERVADO")</f>
        <v>OBSERVADO</v>
      </c>
      <c r="AA89" s="89"/>
    </row>
    <row r="90" customFormat="false" ht="15.75" hidden="false" customHeight="true" outlineLevel="0" collapsed="false">
      <c r="A90" s="140"/>
      <c r="B90" s="140"/>
      <c r="C90" s="140"/>
      <c r="D90" s="140"/>
      <c r="E90" s="140"/>
      <c r="F90" s="140"/>
      <c r="G90" s="140"/>
      <c r="H90" s="140"/>
      <c r="I90" s="138" t="str">
        <f aca="false">IFERROR(VLOOKUP(TEXT(H90,"0"),IPRESS!$A$3:$B$212,2,0),"")</f>
        <v/>
      </c>
      <c r="J90" s="140"/>
      <c r="K90" s="138" t="str">
        <f aca="false">IFERROR(VLOOKUP(TEXT(O90,"0"),CONDUCTORES!$A$3:$G$54,7,0),"")</f>
        <v/>
      </c>
      <c r="L90" s="140"/>
      <c r="M90" s="140"/>
      <c r="N90" s="139" t="str">
        <f aca="false">IFERROR(IF(L90*M90=0,"",L90*M90),"")</f>
        <v/>
      </c>
      <c r="O90" s="140"/>
      <c r="P90" s="138" t="str">
        <f aca="false">IFERROR(VLOOKUP(TEXT(O90,"0"),CONDUCTORES!$A$3:$G$54,2,0),"")</f>
        <v/>
      </c>
      <c r="Q90" s="138" t="str">
        <f aca="false">IFERROR(VLOOKUP(TEXT(O90,"0"),CONDUCTORES!$A$3:$H$54,6,0),"")</f>
        <v/>
      </c>
      <c r="R90" s="140"/>
      <c r="S90" s="140"/>
      <c r="T90" s="140"/>
      <c r="U90" s="140"/>
      <c r="V90" s="140"/>
      <c r="W90" s="140"/>
      <c r="X90" s="140"/>
      <c r="Y90" s="140"/>
      <c r="Z90" s="47" t="str">
        <f aca="false">IF(AND(G90&lt;&gt;"",R90&lt;&gt;"",V90&lt;&gt;"",W90&lt;&gt;""),"COMPLETADO","OBSERVADO")</f>
        <v>OBSERVADO</v>
      </c>
      <c r="AA90" s="89"/>
    </row>
    <row r="91" customFormat="false" ht="15.75" hidden="false" customHeight="true" outlineLevel="0" collapsed="false">
      <c r="A91" s="85"/>
      <c r="B91" s="85"/>
      <c r="C91" s="85"/>
      <c r="D91" s="85"/>
      <c r="E91" s="85"/>
      <c r="F91" s="85"/>
      <c r="G91" s="85"/>
      <c r="H91" s="85"/>
      <c r="I91" s="138" t="str">
        <f aca="false">IFERROR(VLOOKUP(TEXT(H91,"0"),IPRESS!$A$3:$B$212,2,0),"")</f>
        <v/>
      </c>
      <c r="J91" s="85"/>
      <c r="K91" s="138" t="str">
        <f aca="false">IFERROR(VLOOKUP(TEXT(O91,"0"),CONDUCTORES!$A$3:$G$54,7,0),"")</f>
        <v/>
      </c>
      <c r="L91" s="85"/>
      <c r="M91" s="85"/>
      <c r="N91" s="139" t="str">
        <f aca="false">IFERROR(IF(L91*M91=0,"",L91*M91),"")</f>
        <v/>
      </c>
      <c r="O91" s="85"/>
      <c r="P91" s="138" t="str">
        <f aca="false">IFERROR(VLOOKUP(TEXT(O91,"0"),CONDUCTORES!$A$3:$G$54,2,0),"")</f>
        <v/>
      </c>
      <c r="Q91" s="138" t="str">
        <f aca="false">IFERROR(VLOOKUP(TEXT(O91,"0"),CONDUCTORES!$A$3:$H$54,6,0),"")</f>
        <v/>
      </c>
      <c r="R91" s="85"/>
      <c r="S91" s="85"/>
      <c r="T91" s="85"/>
      <c r="U91" s="85"/>
      <c r="V91" s="85"/>
      <c r="W91" s="85"/>
      <c r="X91" s="85"/>
      <c r="Y91" s="85"/>
      <c r="Z91" s="41" t="str">
        <f aca="false">IF(AND(G91&lt;&gt;"",R91&lt;&gt;"",V91&lt;&gt;"",W91&lt;&gt;""),"COMPLETADO","OBSERVADO")</f>
        <v>OBSERVADO</v>
      </c>
      <c r="AA91" s="89"/>
    </row>
    <row r="92" customFormat="false" ht="15.75" hidden="false" customHeight="true" outlineLevel="0" collapsed="false">
      <c r="A92" s="140"/>
      <c r="B92" s="140"/>
      <c r="C92" s="140"/>
      <c r="D92" s="140"/>
      <c r="E92" s="140"/>
      <c r="F92" s="140"/>
      <c r="G92" s="140"/>
      <c r="H92" s="140"/>
      <c r="I92" s="138" t="str">
        <f aca="false">IFERROR(VLOOKUP(TEXT(H92,"0"),IPRESS!$A$3:$B$212,2,0),"")</f>
        <v/>
      </c>
      <c r="J92" s="140"/>
      <c r="K92" s="138" t="str">
        <f aca="false">IFERROR(VLOOKUP(TEXT(O92,"0"),CONDUCTORES!$A$3:$G$54,7,0),"")</f>
        <v/>
      </c>
      <c r="L92" s="140"/>
      <c r="M92" s="140"/>
      <c r="N92" s="139" t="str">
        <f aca="false">IFERROR(IF(L92*M92=0,"",L92*M92),"")</f>
        <v/>
      </c>
      <c r="O92" s="140"/>
      <c r="P92" s="138" t="str">
        <f aca="false">IFERROR(VLOOKUP(TEXT(O92,"0"),CONDUCTORES!$A$3:$G$54,2,0),"")</f>
        <v/>
      </c>
      <c r="Q92" s="138" t="str">
        <f aca="false">IFERROR(VLOOKUP(TEXT(O92,"0"),CONDUCTORES!$A$3:$H$54,6,0),"")</f>
        <v/>
      </c>
      <c r="R92" s="140"/>
      <c r="S92" s="140"/>
      <c r="T92" s="140"/>
      <c r="U92" s="140"/>
      <c r="V92" s="140"/>
      <c r="W92" s="140"/>
      <c r="X92" s="140"/>
      <c r="Y92" s="140"/>
      <c r="Z92" s="47" t="str">
        <f aca="false">IF(AND(G92&lt;&gt;"",R92&lt;&gt;"",V92&lt;&gt;"",W92&lt;&gt;""),"COMPLETADO","OBSERVADO")</f>
        <v>OBSERVADO</v>
      </c>
      <c r="AA92" s="89"/>
    </row>
    <row r="93" customFormat="false" ht="15.75" hidden="false" customHeight="true" outlineLevel="0" collapsed="false">
      <c r="A93" s="85"/>
      <c r="B93" s="85"/>
      <c r="C93" s="85"/>
      <c r="D93" s="85"/>
      <c r="E93" s="85"/>
      <c r="F93" s="85"/>
      <c r="G93" s="85"/>
      <c r="H93" s="85"/>
      <c r="I93" s="138" t="str">
        <f aca="false">IFERROR(VLOOKUP(TEXT(H93,"0"),IPRESS!$A$3:$B$212,2,0),"")</f>
        <v/>
      </c>
      <c r="J93" s="85"/>
      <c r="K93" s="138" t="str">
        <f aca="false">IFERROR(VLOOKUP(TEXT(O93,"0"),CONDUCTORES!$A$3:$G$54,7,0),"")</f>
        <v/>
      </c>
      <c r="L93" s="85"/>
      <c r="M93" s="85"/>
      <c r="N93" s="139" t="str">
        <f aca="false">IFERROR(IF(L93*M93=0,"",L93*M93),"")</f>
        <v/>
      </c>
      <c r="O93" s="85"/>
      <c r="P93" s="138" t="str">
        <f aca="false">IFERROR(VLOOKUP(TEXT(O93,"0"),CONDUCTORES!$A$3:$G$54,2,0),"")</f>
        <v/>
      </c>
      <c r="Q93" s="138" t="str">
        <f aca="false">IFERROR(VLOOKUP(TEXT(O93,"0"),CONDUCTORES!$A$3:$H$54,6,0),"")</f>
        <v/>
      </c>
      <c r="R93" s="85"/>
      <c r="S93" s="85"/>
      <c r="T93" s="85"/>
      <c r="U93" s="85"/>
      <c r="V93" s="85"/>
      <c r="W93" s="85"/>
      <c r="X93" s="85"/>
      <c r="Y93" s="85"/>
      <c r="Z93" s="41" t="str">
        <f aca="false">IF(AND(G93&lt;&gt;"",R93&lt;&gt;"",V93&lt;&gt;"",W93&lt;&gt;""),"COMPLETADO","OBSERVADO")</f>
        <v>OBSERVADO</v>
      </c>
      <c r="AA93" s="89"/>
    </row>
    <row r="94" customFormat="false" ht="15.75" hidden="false" customHeight="true" outlineLevel="0" collapsed="false">
      <c r="A94" s="140"/>
      <c r="B94" s="140"/>
      <c r="C94" s="140"/>
      <c r="D94" s="140"/>
      <c r="E94" s="140"/>
      <c r="F94" s="140"/>
      <c r="G94" s="140"/>
      <c r="H94" s="140"/>
      <c r="I94" s="138" t="str">
        <f aca="false">IFERROR(VLOOKUP(TEXT(H94,"0"),IPRESS!$A$3:$B$212,2,0),"")</f>
        <v/>
      </c>
      <c r="J94" s="140"/>
      <c r="K94" s="138" t="str">
        <f aca="false">IFERROR(VLOOKUP(TEXT(O94,"0"),CONDUCTORES!$A$3:$G$54,7,0),"")</f>
        <v/>
      </c>
      <c r="L94" s="140"/>
      <c r="M94" s="140"/>
      <c r="N94" s="139" t="str">
        <f aca="false">IFERROR(IF(L94*M94=0,"",L94*M94),"")</f>
        <v/>
      </c>
      <c r="O94" s="140"/>
      <c r="P94" s="138" t="str">
        <f aca="false">IFERROR(VLOOKUP(TEXT(O94,"0"),CONDUCTORES!$A$3:$G$54,2,0),"")</f>
        <v/>
      </c>
      <c r="Q94" s="138" t="str">
        <f aca="false">IFERROR(VLOOKUP(TEXT(O94,"0"),CONDUCTORES!$A$3:$H$54,6,0),"")</f>
        <v/>
      </c>
      <c r="R94" s="140"/>
      <c r="S94" s="140"/>
      <c r="T94" s="140"/>
      <c r="U94" s="140"/>
      <c r="V94" s="140"/>
      <c r="W94" s="140"/>
      <c r="X94" s="140"/>
      <c r="Y94" s="140"/>
      <c r="Z94" s="47" t="str">
        <f aca="false">IF(AND(G94&lt;&gt;"",R94&lt;&gt;"",V94&lt;&gt;"",W94&lt;&gt;""),"COMPLETADO","OBSERVADO")</f>
        <v>OBSERVADO</v>
      </c>
      <c r="AA94" s="89"/>
    </row>
    <row r="95" customFormat="false" ht="15.75" hidden="false" customHeight="true" outlineLevel="0" collapsed="false">
      <c r="A95" s="85"/>
      <c r="B95" s="85"/>
      <c r="C95" s="85"/>
      <c r="D95" s="85"/>
      <c r="E95" s="85"/>
      <c r="F95" s="85"/>
      <c r="G95" s="85"/>
      <c r="H95" s="85"/>
      <c r="I95" s="138" t="str">
        <f aca="false">IFERROR(VLOOKUP(TEXT(H95,"0"),IPRESS!$A$3:$B$212,2,0),"")</f>
        <v/>
      </c>
      <c r="J95" s="85"/>
      <c r="K95" s="138" t="str">
        <f aca="false">IFERROR(VLOOKUP(TEXT(O95,"0"),CONDUCTORES!$A$3:$G$54,7,0),"")</f>
        <v/>
      </c>
      <c r="L95" s="85"/>
      <c r="M95" s="85"/>
      <c r="N95" s="139" t="str">
        <f aca="false">IFERROR(IF(L95*M95=0,"",L95*M95),"")</f>
        <v/>
      </c>
      <c r="O95" s="85"/>
      <c r="P95" s="138" t="str">
        <f aca="false">IFERROR(VLOOKUP(TEXT(O95,"0"),CONDUCTORES!$A$3:$G$54,2,0),"")</f>
        <v/>
      </c>
      <c r="Q95" s="138" t="str">
        <f aca="false">IFERROR(VLOOKUP(TEXT(O95,"0"),CONDUCTORES!$A$3:$H$54,6,0),"")</f>
        <v/>
      </c>
      <c r="R95" s="85"/>
      <c r="S95" s="85"/>
      <c r="T95" s="85"/>
      <c r="U95" s="85"/>
      <c r="V95" s="85"/>
      <c r="W95" s="85"/>
      <c r="X95" s="85"/>
      <c r="Y95" s="85"/>
      <c r="Z95" s="41" t="str">
        <f aca="false">IF(AND(G95&lt;&gt;"",R95&lt;&gt;"",V95&lt;&gt;"",W95&lt;&gt;""),"COMPLETADO","OBSERVADO")</f>
        <v>OBSERVADO</v>
      </c>
      <c r="AA95" s="89"/>
    </row>
    <row r="96" customFormat="false" ht="15.75" hidden="false" customHeight="true" outlineLevel="0" collapsed="false">
      <c r="A96" s="140"/>
      <c r="B96" s="140"/>
      <c r="C96" s="140"/>
      <c r="D96" s="140"/>
      <c r="E96" s="140"/>
      <c r="F96" s="140"/>
      <c r="G96" s="140"/>
      <c r="H96" s="140"/>
      <c r="I96" s="138" t="str">
        <f aca="false">IFERROR(VLOOKUP(TEXT(H96,"0"),IPRESS!$A$3:$B$212,2,0),"")</f>
        <v/>
      </c>
      <c r="J96" s="140"/>
      <c r="K96" s="138" t="str">
        <f aca="false">IFERROR(VLOOKUP(TEXT(O96,"0"),CONDUCTORES!$A$3:$G$54,7,0),"")</f>
        <v/>
      </c>
      <c r="L96" s="140"/>
      <c r="M96" s="140"/>
      <c r="N96" s="139" t="str">
        <f aca="false">IFERROR(IF(L96*M96=0,"",L96*M96),"")</f>
        <v/>
      </c>
      <c r="O96" s="140"/>
      <c r="P96" s="138" t="str">
        <f aca="false">IFERROR(VLOOKUP(TEXT(O96,"0"),CONDUCTORES!$A$3:$G$54,2,0),"")</f>
        <v/>
      </c>
      <c r="Q96" s="138" t="str">
        <f aca="false">IFERROR(VLOOKUP(TEXT(O96,"0"),CONDUCTORES!$A$3:$H$54,6,0),"")</f>
        <v/>
      </c>
      <c r="R96" s="140"/>
      <c r="S96" s="140"/>
      <c r="T96" s="140"/>
      <c r="U96" s="140"/>
      <c r="V96" s="140"/>
      <c r="W96" s="140"/>
      <c r="X96" s="140"/>
      <c r="Y96" s="140"/>
      <c r="Z96" s="47" t="str">
        <f aca="false">IF(AND(G96&lt;&gt;"",R96&lt;&gt;"",V96&lt;&gt;"",W96&lt;&gt;""),"COMPLETADO","OBSERVADO")</f>
        <v>OBSERVADO</v>
      </c>
      <c r="AA96" s="89"/>
    </row>
    <row r="97" customFormat="false" ht="15.75" hidden="false" customHeight="true" outlineLevel="0" collapsed="false">
      <c r="A97" s="85"/>
      <c r="B97" s="85"/>
      <c r="C97" s="85"/>
      <c r="D97" s="85"/>
      <c r="E97" s="85"/>
      <c r="F97" s="85"/>
      <c r="G97" s="85"/>
      <c r="H97" s="85"/>
      <c r="I97" s="138" t="str">
        <f aca="false">IFERROR(VLOOKUP(TEXT(H97,"0"),IPRESS!$A$3:$B$212,2,0),"")</f>
        <v/>
      </c>
      <c r="J97" s="85"/>
      <c r="K97" s="138" t="str">
        <f aca="false">IFERROR(VLOOKUP(TEXT(O97,"0"),CONDUCTORES!$A$3:$G$54,7,0),"")</f>
        <v/>
      </c>
      <c r="L97" s="85"/>
      <c r="M97" s="85"/>
      <c r="N97" s="139" t="str">
        <f aca="false">IFERROR(IF(L97*M97=0,"",L97*M97),"")</f>
        <v/>
      </c>
      <c r="O97" s="85"/>
      <c r="P97" s="138" t="str">
        <f aca="false">IFERROR(VLOOKUP(TEXT(O97,"0"),CONDUCTORES!$A$3:$G$54,2,0),"")</f>
        <v/>
      </c>
      <c r="Q97" s="138" t="str">
        <f aca="false">IFERROR(VLOOKUP(TEXT(O97,"0"),CONDUCTORES!$A$3:$H$54,6,0),"")</f>
        <v/>
      </c>
      <c r="R97" s="85"/>
      <c r="S97" s="85"/>
      <c r="T97" s="85"/>
      <c r="U97" s="85"/>
      <c r="V97" s="85"/>
      <c r="W97" s="85"/>
      <c r="X97" s="85"/>
      <c r="Y97" s="85"/>
      <c r="Z97" s="41" t="str">
        <f aca="false">IF(AND(G97&lt;&gt;"",R97&lt;&gt;"",V97&lt;&gt;"",W97&lt;&gt;""),"COMPLETADO","OBSERVADO")</f>
        <v>OBSERVADO</v>
      </c>
      <c r="AA97" s="89"/>
    </row>
    <row r="98" customFormat="false" ht="15.75" hidden="false" customHeight="true" outlineLevel="0" collapsed="false">
      <c r="A98" s="140"/>
      <c r="B98" s="140"/>
      <c r="C98" s="140"/>
      <c r="D98" s="140"/>
      <c r="E98" s="140"/>
      <c r="F98" s="140"/>
      <c r="G98" s="140"/>
      <c r="H98" s="140"/>
      <c r="I98" s="138" t="str">
        <f aca="false">IFERROR(VLOOKUP(TEXT(H98,"0"),IPRESS!$A$3:$B$212,2,0),"")</f>
        <v/>
      </c>
      <c r="J98" s="140"/>
      <c r="K98" s="138" t="str">
        <f aca="false">IFERROR(VLOOKUP(TEXT(O98,"0"),CONDUCTORES!$A$3:$G$54,7,0),"")</f>
        <v/>
      </c>
      <c r="L98" s="140"/>
      <c r="M98" s="140"/>
      <c r="N98" s="139" t="str">
        <f aca="false">IFERROR(IF(L98*M98=0,"",L98*M98),"")</f>
        <v/>
      </c>
      <c r="O98" s="140"/>
      <c r="P98" s="138" t="str">
        <f aca="false">IFERROR(VLOOKUP(TEXT(O98,"0"),CONDUCTORES!$A$3:$G$54,2,0),"")</f>
        <v/>
      </c>
      <c r="Q98" s="138" t="str">
        <f aca="false">IFERROR(VLOOKUP(TEXT(O98,"0"),CONDUCTORES!$A$3:$H$54,6,0),"")</f>
        <v/>
      </c>
      <c r="R98" s="140"/>
      <c r="S98" s="140"/>
      <c r="T98" s="140"/>
      <c r="U98" s="140"/>
      <c r="V98" s="140"/>
      <c r="W98" s="140"/>
      <c r="X98" s="140"/>
      <c r="Y98" s="140"/>
      <c r="Z98" s="47" t="str">
        <f aca="false">IF(AND(G98&lt;&gt;"",R98&lt;&gt;"",V98&lt;&gt;"",W98&lt;&gt;""),"COMPLETADO","OBSERVADO")</f>
        <v>OBSERVADO</v>
      </c>
      <c r="AA98" s="89"/>
    </row>
    <row r="99" customFormat="false" ht="15.75" hidden="false" customHeight="true" outlineLevel="0" collapsed="false">
      <c r="A99" s="85"/>
      <c r="B99" s="85"/>
      <c r="C99" s="85"/>
      <c r="D99" s="85"/>
      <c r="E99" s="85"/>
      <c r="F99" s="85"/>
      <c r="G99" s="85"/>
      <c r="H99" s="85"/>
      <c r="I99" s="138" t="str">
        <f aca="false">IFERROR(VLOOKUP(TEXT(H99,"0"),IPRESS!$A$3:$B$212,2,0),"")</f>
        <v/>
      </c>
      <c r="J99" s="85"/>
      <c r="K99" s="138" t="str">
        <f aca="false">IFERROR(VLOOKUP(TEXT(O99,"0"),CONDUCTORES!$A$3:$G$54,7,0),"")</f>
        <v/>
      </c>
      <c r="L99" s="85"/>
      <c r="M99" s="85"/>
      <c r="N99" s="139" t="str">
        <f aca="false">IFERROR(IF(L99*M99=0,"",L99*M99),"")</f>
        <v/>
      </c>
      <c r="O99" s="85"/>
      <c r="P99" s="138" t="str">
        <f aca="false">IFERROR(VLOOKUP(TEXT(O99,"0"),CONDUCTORES!$A$3:$G$54,2,0),"")</f>
        <v/>
      </c>
      <c r="Q99" s="138" t="str">
        <f aca="false">IFERROR(VLOOKUP(TEXT(O99,"0"),CONDUCTORES!$A$3:$H$54,6,0),"")</f>
        <v/>
      </c>
      <c r="R99" s="85"/>
      <c r="S99" s="85"/>
      <c r="T99" s="85"/>
      <c r="U99" s="85"/>
      <c r="V99" s="85"/>
      <c r="W99" s="85"/>
      <c r="X99" s="85"/>
      <c r="Y99" s="85"/>
      <c r="Z99" s="41" t="str">
        <f aca="false">IF(AND(G99&lt;&gt;"",R99&lt;&gt;"",V99&lt;&gt;"",W99&lt;&gt;""),"COMPLETADO","OBSERVADO")</f>
        <v>OBSERVADO</v>
      </c>
      <c r="AA99" s="89"/>
    </row>
    <row r="100" customFormat="false" ht="15.75" hidden="false" customHeight="true" outlineLevel="0" collapsed="false">
      <c r="A100" s="140"/>
      <c r="B100" s="140"/>
      <c r="C100" s="140"/>
      <c r="D100" s="140"/>
      <c r="E100" s="140"/>
      <c r="F100" s="140"/>
      <c r="G100" s="140"/>
      <c r="H100" s="140"/>
      <c r="I100" s="138" t="str">
        <f aca="false">IFERROR(VLOOKUP(TEXT(H100,"0"),IPRESS!$A$3:$B$212,2,0),"")</f>
        <v/>
      </c>
      <c r="J100" s="140"/>
      <c r="K100" s="138" t="str">
        <f aca="false">IFERROR(VLOOKUP(TEXT(O100,"0"),CONDUCTORES!$A$3:$G$54,7,0),"")</f>
        <v/>
      </c>
      <c r="L100" s="140"/>
      <c r="M100" s="140"/>
      <c r="N100" s="139" t="str">
        <f aca="false">IFERROR(IF(L100*M100=0,"",L100*M100),"")</f>
        <v/>
      </c>
      <c r="O100" s="140"/>
      <c r="P100" s="138" t="str">
        <f aca="false">IFERROR(VLOOKUP(TEXT(O100,"0"),CONDUCTORES!$A$3:$G$54,2,0),"")</f>
        <v/>
      </c>
      <c r="Q100" s="138" t="str">
        <f aca="false">IFERROR(VLOOKUP(TEXT(O100,"0"),CONDUCTORES!$A$3:$H$54,6,0),"")</f>
        <v/>
      </c>
      <c r="R100" s="140"/>
      <c r="S100" s="140"/>
      <c r="T100" s="140"/>
      <c r="U100" s="140"/>
      <c r="V100" s="140"/>
      <c r="W100" s="140"/>
      <c r="X100" s="140"/>
      <c r="Y100" s="140"/>
      <c r="Z100" s="47" t="str">
        <f aca="false">IF(AND(G100&lt;&gt;"",R100&lt;&gt;"",V100&lt;&gt;"",W100&lt;&gt;""),"COMPLETADO","OBSERVADO")</f>
        <v>OBSERVADO</v>
      </c>
      <c r="AA100" s="89"/>
    </row>
    <row r="101" customFormat="false" ht="15.75" hidden="false" customHeight="true" outlineLevel="0" collapsed="false">
      <c r="A101" s="85"/>
      <c r="B101" s="85"/>
      <c r="C101" s="85"/>
      <c r="D101" s="85"/>
      <c r="E101" s="85"/>
      <c r="F101" s="85"/>
      <c r="G101" s="85"/>
      <c r="H101" s="85"/>
      <c r="I101" s="138" t="str">
        <f aca="false">IFERROR(VLOOKUP(TEXT(H101,"0"),IPRESS!$A$3:$B$212,2,0),"")</f>
        <v/>
      </c>
      <c r="J101" s="85"/>
      <c r="K101" s="138" t="str">
        <f aca="false">IFERROR(VLOOKUP(TEXT(O101,"0"),CONDUCTORES!$A$3:$G$54,7,0),"")</f>
        <v/>
      </c>
      <c r="L101" s="85"/>
      <c r="M101" s="85"/>
      <c r="N101" s="139" t="str">
        <f aca="false">IFERROR(IF(L101*M101=0,"",L101*M101),"")</f>
        <v/>
      </c>
      <c r="O101" s="85"/>
      <c r="P101" s="138" t="str">
        <f aca="false">IFERROR(VLOOKUP(TEXT(O101,"0"),CONDUCTORES!$A$3:$G$54,2,0),"")</f>
        <v/>
      </c>
      <c r="Q101" s="138" t="str">
        <f aca="false">IFERROR(VLOOKUP(TEXT(O101,"0"),CONDUCTORES!$A$3:$H$54,6,0),"")</f>
        <v/>
      </c>
      <c r="R101" s="85"/>
      <c r="S101" s="85"/>
      <c r="T101" s="85"/>
      <c r="U101" s="85"/>
      <c r="V101" s="85"/>
      <c r="W101" s="85"/>
      <c r="X101" s="85"/>
      <c r="Y101" s="85"/>
      <c r="Z101" s="41" t="str">
        <f aca="false">IF(AND(G101&lt;&gt;"",R101&lt;&gt;"",V101&lt;&gt;"",W101&lt;&gt;""),"COMPLETADO","OBSERVADO")</f>
        <v>OBSERVADO</v>
      </c>
      <c r="AA101" s="89"/>
    </row>
    <row r="102" customFormat="false" ht="15.75" hidden="false" customHeight="true" outlineLevel="0" collapsed="false">
      <c r="A102" s="140"/>
      <c r="B102" s="140"/>
      <c r="C102" s="140"/>
      <c r="D102" s="140"/>
      <c r="E102" s="140"/>
      <c r="F102" s="140"/>
      <c r="G102" s="140"/>
      <c r="H102" s="140"/>
      <c r="I102" s="138" t="str">
        <f aca="false">IFERROR(VLOOKUP(TEXT(H102,"0"),IPRESS!$A$3:$B$212,2,0),"")</f>
        <v/>
      </c>
      <c r="J102" s="140"/>
      <c r="K102" s="138" t="str">
        <f aca="false">IFERROR(VLOOKUP(TEXT(O102,"0"),CONDUCTORES!$A$3:$G$54,7,0),"")</f>
        <v/>
      </c>
      <c r="L102" s="140"/>
      <c r="M102" s="140"/>
      <c r="N102" s="139" t="str">
        <f aca="false">IFERROR(IF(L102*M102=0,"",L102*M102),"")</f>
        <v/>
      </c>
      <c r="O102" s="140"/>
      <c r="P102" s="138" t="str">
        <f aca="false">IFERROR(VLOOKUP(TEXT(O102,"0"),CONDUCTORES!$A$3:$G$54,2,0),"")</f>
        <v/>
      </c>
      <c r="Q102" s="138" t="str">
        <f aca="false">IFERROR(VLOOKUP(TEXT(O102,"0"),CONDUCTORES!$A$3:$H$54,6,0),"")</f>
        <v/>
      </c>
      <c r="R102" s="140"/>
      <c r="S102" s="140"/>
      <c r="T102" s="140"/>
      <c r="U102" s="140"/>
      <c r="V102" s="140"/>
      <c r="W102" s="140"/>
      <c r="X102" s="140"/>
      <c r="Y102" s="140"/>
      <c r="Z102" s="47" t="str">
        <f aca="false">IF(AND(G102&lt;&gt;"",R102&lt;&gt;"",V102&lt;&gt;"",W102&lt;&gt;""),"COMPLETADO","OBSERVADO")</f>
        <v>OBSERVADO</v>
      </c>
      <c r="AA102" s="89"/>
    </row>
    <row r="103" customFormat="false" ht="15.7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138" t="str">
        <f aca="false">IFERROR(VLOOKUP(TEXT(H103,"0"),IPRESS!$A$3:$B$212,2,0),"")</f>
        <v/>
      </c>
      <c r="J103" s="85"/>
      <c r="K103" s="138" t="str">
        <f aca="false">IFERROR(VLOOKUP(TEXT(O103,"0"),CONDUCTORES!$A$3:$G$54,7,0),"")</f>
        <v/>
      </c>
      <c r="L103" s="85"/>
      <c r="M103" s="85"/>
      <c r="N103" s="139" t="str">
        <f aca="false">IFERROR(IF(L103*M103=0,"",L103*M103),"")</f>
        <v/>
      </c>
      <c r="O103" s="85"/>
      <c r="P103" s="138" t="str">
        <f aca="false">IFERROR(VLOOKUP(TEXT(O103,"0"),CONDUCTORES!$A$3:$G$54,2,0),"")</f>
        <v/>
      </c>
      <c r="Q103" s="138" t="str">
        <f aca="false">IFERROR(VLOOKUP(TEXT(O103,"0"),CONDUCTORES!$A$3:$H$54,6,0),"")</f>
        <v/>
      </c>
      <c r="R103" s="85"/>
      <c r="S103" s="85"/>
      <c r="T103" s="85"/>
      <c r="U103" s="85"/>
      <c r="V103" s="85"/>
      <c r="W103" s="85"/>
      <c r="X103" s="85"/>
      <c r="Y103" s="85"/>
      <c r="Z103" s="41" t="str">
        <f aca="false">IF(AND(G103&lt;&gt;"",R103&lt;&gt;"",V103&lt;&gt;"",W103&lt;&gt;""),"COMPLETADO","OBSERVADO")</f>
        <v>OBSERVADO</v>
      </c>
      <c r="AA103" s="89"/>
    </row>
    <row r="104" customFormat="false" ht="15.75" hidden="false" customHeight="true" outlineLevel="0" collapsed="false">
      <c r="A104" s="140"/>
      <c r="B104" s="140"/>
      <c r="C104" s="140"/>
      <c r="D104" s="140"/>
      <c r="E104" s="140"/>
      <c r="F104" s="140"/>
      <c r="G104" s="140"/>
      <c r="H104" s="140"/>
      <c r="I104" s="138" t="str">
        <f aca="false">IFERROR(VLOOKUP(TEXT(H104,"0"),IPRESS!$A$3:$B$212,2,0),"")</f>
        <v/>
      </c>
      <c r="J104" s="140"/>
      <c r="K104" s="138" t="str">
        <f aca="false">IFERROR(VLOOKUP(TEXT(O104,"0"),CONDUCTORES!$A$3:$G$54,7,0),"")</f>
        <v/>
      </c>
      <c r="L104" s="140"/>
      <c r="M104" s="140"/>
      <c r="N104" s="139" t="str">
        <f aca="false">IFERROR(IF(L104*M104=0,"",L104*M104),"")</f>
        <v/>
      </c>
      <c r="O104" s="140"/>
      <c r="P104" s="138" t="str">
        <f aca="false">IFERROR(VLOOKUP(TEXT(O104,"0"),CONDUCTORES!$A$3:$G$54,2,0),"")</f>
        <v/>
      </c>
      <c r="Q104" s="138" t="str">
        <f aca="false">IFERROR(VLOOKUP(TEXT(O104,"0"),CONDUCTORES!$A$3:$H$54,6,0),"")</f>
        <v/>
      </c>
      <c r="R104" s="140"/>
      <c r="S104" s="140"/>
      <c r="T104" s="140"/>
      <c r="U104" s="140"/>
      <c r="V104" s="140"/>
      <c r="W104" s="140"/>
      <c r="X104" s="140"/>
      <c r="Y104" s="140"/>
      <c r="Z104" s="47" t="str">
        <f aca="false">IF(AND(G104&lt;&gt;"",R104&lt;&gt;"",V104&lt;&gt;"",W104&lt;&gt;""),"COMPLETADO","OBSERVADO")</f>
        <v>OBSERVADO</v>
      </c>
      <c r="AA104" s="89"/>
    </row>
    <row r="105" customFormat="false" ht="15.7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138" t="str">
        <f aca="false">IFERROR(VLOOKUP(TEXT(H105,"0"),IPRESS!$A$3:$B$212,2,0),"")</f>
        <v/>
      </c>
      <c r="J105" s="85"/>
      <c r="K105" s="138" t="str">
        <f aca="false">IFERROR(VLOOKUP(TEXT(O105,"0"),CONDUCTORES!$A$3:$G$54,7,0),"")</f>
        <v/>
      </c>
      <c r="L105" s="85"/>
      <c r="M105" s="85"/>
      <c r="N105" s="139" t="str">
        <f aca="false">IFERROR(IF(L105*M105=0,"",L105*M105),"")</f>
        <v/>
      </c>
      <c r="O105" s="85"/>
      <c r="P105" s="138" t="str">
        <f aca="false">IFERROR(VLOOKUP(TEXT(O105,"0"),CONDUCTORES!$A$3:$G$54,2,0),"")</f>
        <v/>
      </c>
      <c r="Q105" s="138" t="str">
        <f aca="false">IFERROR(VLOOKUP(TEXT(O105,"0"),CONDUCTORES!$A$3:$H$54,6,0),"")</f>
        <v/>
      </c>
      <c r="R105" s="85"/>
      <c r="S105" s="85"/>
      <c r="T105" s="85"/>
      <c r="U105" s="85"/>
      <c r="V105" s="85"/>
      <c r="W105" s="85"/>
      <c r="X105" s="85"/>
      <c r="Y105" s="85"/>
      <c r="Z105" s="41" t="str">
        <f aca="false">IF(AND(G105&lt;&gt;"",R105&lt;&gt;"",V105&lt;&gt;"",W105&lt;&gt;""),"COMPLETADO","OBSERVADO")</f>
        <v>OBSERVADO</v>
      </c>
      <c r="AA105" s="89"/>
    </row>
    <row r="106" customFormat="false" ht="15.75" hidden="false" customHeight="true" outlineLevel="0" collapsed="false">
      <c r="A106" s="140"/>
      <c r="B106" s="140"/>
      <c r="C106" s="140"/>
      <c r="D106" s="140"/>
      <c r="E106" s="140"/>
      <c r="F106" s="140"/>
      <c r="G106" s="140"/>
      <c r="H106" s="140"/>
      <c r="I106" s="138" t="str">
        <f aca="false">IFERROR(VLOOKUP(TEXT(H106,"0"),IPRESS!$A$3:$B$212,2,0),"")</f>
        <v/>
      </c>
      <c r="J106" s="140"/>
      <c r="K106" s="138" t="str">
        <f aca="false">IFERROR(VLOOKUP(TEXT(O106,"0"),CONDUCTORES!$A$3:$G$54,7,0),"")</f>
        <v/>
      </c>
      <c r="L106" s="140"/>
      <c r="M106" s="140"/>
      <c r="N106" s="139" t="str">
        <f aca="false">IFERROR(IF(L106*M106=0,"",L106*M106),"")</f>
        <v/>
      </c>
      <c r="O106" s="140"/>
      <c r="P106" s="138" t="str">
        <f aca="false">IFERROR(VLOOKUP(TEXT(O106,"0"),CONDUCTORES!$A$3:$G$54,2,0),"")</f>
        <v/>
      </c>
      <c r="Q106" s="138" t="str">
        <f aca="false">IFERROR(VLOOKUP(TEXT(O106,"0"),CONDUCTORES!$A$3:$H$54,6,0),"")</f>
        <v/>
      </c>
      <c r="R106" s="140"/>
      <c r="S106" s="140"/>
      <c r="T106" s="140"/>
      <c r="U106" s="140"/>
      <c r="V106" s="140"/>
      <c r="W106" s="140"/>
      <c r="X106" s="140"/>
      <c r="Y106" s="140"/>
      <c r="Z106" s="47" t="str">
        <f aca="false">IF(AND(G106&lt;&gt;"",R106&lt;&gt;"",V106&lt;&gt;"",W106&lt;&gt;""),"COMPLETADO","OBSERVADO")</f>
        <v>OBSERVADO</v>
      </c>
      <c r="AA106" s="89"/>
    </row>
    <row r="107" customFormat="false" ht="15.7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138" t="str">
        <f aca="false">IFERROR(VLOOKUP(TEXT(H107,"0"),IPRESS!$A$3:$B$212,2,0),"")</f>
        <v/>
      </c>
      <c r="J107" s="85"/>
      <c r="K107" s="138" t="str">
        <f aca="false">IFERROR(VLOOKUP(TEXT(O107,"0"),CONDUCTORES!$A$3:$G$54,7,0),"")</f>
        <v/>
      </c>
      <c r="L107" s="85"/>
      <c r="M107" s="85"/>
      <c r="N107" s="139" t="str">
        <f aca="false">IFERROR(IF(L107*M107=0,"",L107*M107),"")</f>
        <v/>
      </c>
      <c r="O107" s="85"/>
      <c r="P107" s="138" t="str">
        <f aca="false">IFERROR(VLOOKUP(TEXT(O107,"0"),CONDUCTORES!$A$3:$G$54,2,0),"")</f>
        <v/>
      </c>
      <c r="Q107" s="138" t="str">
        <f aca="false">IFERROR(VLOOKUP(TEXT(O107,"0"),CONDUCTORES!$A$3:$H$54,6,0),"")</f>
        <v/>
      </c>
      <c r="R107" s="85"/>
      <c r="S107" s="85"/>
      <c r="T107" s="85"/>
      <c r="U107" s="85"/>
      <c r="V107" s="85"/>
      <c r="W107" s="85"/>
      <c r="X107" s="85"/>
      <c r="Y107" s="85"/>
      <c r="Z107" s="41" t="str">
        <f aca="false">IF(AND(G107&lt;&gt;"",R107&lt;&gt;"",V107&lt;&gt;"",W107&lt;&gt;""),"COMPLETADO","OBSERVADO")</f>
        <v>OBSERVADO</v>
      </c>
      <c r="AA107" s="89"/>
    </row>
    <row r="108" customFormat="false" ht="15.75" hidden="false" customHeight="true" outlineLevel="0" collapsed="false">
      <c r="A108" s="140"/>
      <c r="B108" s="140"/>
      <c r="C108" s="140"/>
      <c r="D108" s="140"/>
      <c r="E108" s="140"/>
      <c r="F108" s="140"/>
      <c r="G108" s="140"/>
      <c r="H108" s="140"/>
      <c r="I108" s="138" t="str">
        <f aca="false">IFERROR(VLOOKUP(TEXT(H108,"0"),IPRESS!$A$3:$B$212,2,0),"")</f>
        <v/>
      </c>
      <c r="J108" s="140"/>
      <c r="K108" s="138" t="str">
        <f aca="false">IFERROR(VLOOKUP(TEXT(O108,"0"),CONDUCTORES!$A$3:$G$54,7,0),"")</f>
        <v/>
      </c>
      <c r="L108" s="140"/>
      <c r="M108" s="140"/>
      <c r="N108" s="139" t="str">
        <f aca="false">IFERROR(IF(L108*M108=0,"",L108*M108),"")</f>
        <v/>
      </c>
      <c r="O108" s="140"/>
      <c r="P108" s="138" t="str">
        <f aca="false">IFERROR(VLOOKUP(TEXT(O108,"0"),CONDUCTORES!$A$3:$G$54,2,0),"")</f>
        <v/>
      </c>
      <c r="Q108" s="138" t="str">
        <f aca="false">IFERROR(VLOOKUP(TEXT(O108,"0"),CONDUCTORES!$A$3:$H$54,6,0),"")</f>
        <v/>
      </c>
      <c r="R108" s="140"/>
      <c r="S108" s="140"/>
      <c r="T108" s="140"/>
      <c r="U108" s="140"/>
      <c r="V108" s="140"/>
      <c r="W108" s="140"/>
      <c r="X108" s="140"/>
      <c r="Y108" s="140"/>
      <c r="Z108" s="47" t="str">
        <f aca="false">IF(AND(G108&lt;&gt;"",R108&lt;&gt;"",V108&lt;&gt;"",W108&lt;&gt;""),"COMPLETADO","OBSERVADO")</f>
        <v>OBSERVADO</v>
      </c>
      <c r="AA108" s="89"/>
    </row>
    <row r="109" customFormat="false" ht="15.7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138" t="str">
        <f aca="false">IFERROR(VLOOKUP(TEXT(H109,"0"),IPRESS!$A$3:$B$212,2,0),"")</f>
        <v/>
      </c>
      <c r="J109" s="85"/>
      <c r="K109" s="138" t="str">
        <f aca="false">IFERROR(VLOOKUP(TEXT(O109,"0"),CONDUCTORES!$A$3:$G$54,7,0),"")</f>
        <v/>
      </c>
      <c r="L109" s="85"/>
      <c r="M109" s="85"/>
      <c r="N109" s="139" t="str">
        <f aca="false">IFERROR(IF(L109*M109=0,"",L109*M109),"")</f>
        <v/>
      </c>
      <c r="O109" s="85"/>
      <c r="P109" s="138" t="str">
        <f aca="false">IFERROR(VLOOKUP(TEXT(O109,"0"),CONDUCTORES!$A$3:$G$54,2,0),"")</f>
        <v/>
      </c>
      <c r="Q109" s="138" t="str">
        <f aca="false">IFERROR(VLOOKUP(TEXT(O109,"0"),CONDUCTORES!$A$3:$H$54,6,0),"")</f>
        <v/>
      </c>
      <c r="R109" s="85"/>
      <c r="S109" s="85"/>
      <c r="T109" s="85"/>
      <c r="U109" s="85"/>
      <c r="V109" s="85"/>
      <c r="W109" s="85"/>
      <c r="X109" s="85"/>
      <c r="Y109" s="85"/>
      <c r="Z109" s="41" t="str">
        <f aca="false">IF(AND(G109&lt;&gt;"",R109&lt;&gt;"",V109&lt;&gt;"",W109&lt;&gt;""),"COMPLETADO","OBSERVADO")</f>
        <v>OBSERVADO</v>
      </c>
      <c r="AA109" s="89"/>
    </row>
    <row r="110" customFormat="false" ht="15.75" hidden="false" customHeight="true" outlineLevel="0" collapsed="false">
      <c r="A110" s="140"/>
      <c r="B110" s="140"/>
      <c r="C110" s="140"/>
      <c r="D110" s="140"/>
      <c r="E110" s="140"/>
      <c r="F110" s="140"/>
      <c r="G110" s="140"/>
      <c r="H110" s="140"/>
      <c r="I110" s="138" t="str">
        <f aca="false">IFERROR(VLOOKUP(TEXT(H110,"0"),IPRESS!$A$3:$B$212,2,0),"")</f>
        <v/>
      </c>
      <c r="J110" s="140"/>
      <c r="K110" s="138" t="str">
        <f aca="false">IFERROR(VLOOKUP(TEXT(O110,"0"),CONDUCTORES!$A$3:$G$54,7,0),"")</f>
        <v/>
      </c>
      <c r="L110" s="140"/>
      <c r="M110" s="140"/>
      <c r="N110" s="139" t="str">
        <f aca="false">IFERROR(IF(L110*M110=0,"",L110*M110),"")</f>
        <v/>
      </c>
      <c r="O110" s="140"/>
      <c r="P110" s="138" t="str">
        <f aca="false">IFERROR(VLOOKUP(TEXT(O110,"0"),CONDUCTORES!$A$3:$G$54,2,0),"")</f>
        <v/>
      </c>
      <c r="Q110" s="138" t="str">
        <f aca="false">IFERROR(VLOOKUP(TEXT(O110,"0"),CONDUCTORES!$A$3:$H$54,6,0),"")</f>
        <v/>
      </c>
      <c r="R110" s="140"/>
      <c r="S110" s="140"/>
      <c r="T110" s="140"/>
      <c r="U110" s="140"/>
      <c r="V110" s="140"/>
      <c r="W110" s="140"/>
      <c r="X110" s="140"/>
      <c r="Y110" s="140"/>
      <c r="Z110" s="47" t="str">
        <f aca="false">IF(AND(G110&lt;&gt;"",R110&lt;&gt;"",V110&lt;&gt;"",W110&lt;&gt;""),"COMPLETADO","OBSERVADO")</f>
        <v>OBSERVADO</v>
      </c>
      <c r="AA110" s="89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184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9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184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9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184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9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184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9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184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9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184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9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184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9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184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9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184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9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138" t="str">
        <f aca="false">IFERROR(VLOOKUP(TEXT(H120,"0"),IPRESS!$A$3:$B$212,2,0),"")</f>
        <v/>
      </c>
      <c r="J120" s="85"/>
      <c r="K120" s="138" t="str">
        <f aca="false">IFERROR(VLOOKUP(TEXT(O120,"0"),CONDUCTORES!$A$3:$G$54,7,0),"")</f>
        <v/>
      </c>
      <c r="L120" s="85"/>
      <c r="M120" s="85"/>
      <c r="N120" s="139" t="str">
        <f aca="false">IFERROR(IF(L120*M120=0,"",L120*M120),"")</f>
        <v/>
      </c>
      <c r="O120" s="85"/>
      <c r="P120" s="138" t="str">
        <f aca="false">IFERROR(VLOOKUP(TEXT(O120,"0"),CONDUCTORES!$A$3:$G$54,2,0),"")</f>
        <v/>
      </c>
      <c r="Q120" s="138" t="str">
        <f aca="false">IFERROR(VLOOKUP(TEXT(O120,"0"),CONDUCTORES!$A$3:$H$54,6,0),"")</f>
        <v/>
      </c>
      <c r="R120" s="85"/>
      <c r="S120" s="85"/>
      <c r="T120" s="85"/>
      <c r="U120" s="85"/>
      <c r="V120" s="85"/>
      <c r="W120" s="85"/>
      <c r="X120" s="85"/>
      <c r="Y120" s="85"/>
      <c r="Z120" s="185" t="str">
        <f aca="false">IF(AND(G120&lt;&gt;"",R120&lt;&gt;"",V120&lt;&gt;"",W120&lt;&gt;""),"COMPLETADO","OBSERVADO")</f>
        <v>OBSERVADO</v>
      </c>
    </row>
    <row r="121" customFormat="false" ht="15" hidden="false" customHeight="true" outlineLevel="0" collapsed="false">
      <c r="A121" s="140"/>
      <c r="B121" s="140"/>
      <c r="C121" s="140"/>
      <c r="D121" s="140"/>
      <c r="E121" s="140"/>
      <c r="F121" s="140"/>
      <c r="G121" s="140"/>
      <c r="H121" s="140"/>
      <c r="I121" s="138" t="str">
        <f aca="false">IFERROR(VLOOKUP(TEXT(H121,"0"),IPRESS!$A$3:$B$212,2,0),"")</f>
        <v/>
      </c>
      <c r="J121" s="140"/>
      <c r="K121" s="138" t="str">
        <f aca="false">IFERROR(VLOOKUP(TEXT(O121,"0"),CONDUCTORES!$A$3:$G$54,7,0),"")</f>
        <v/>
      </c>
      <c r="L121" s="140"/>
      <c r="M121" s="140"/>
      <c r="N121" s="139" t="str">
        <f aca="false">IFERROR(IF(L121*M121=0,"",L121*M121),"")</f>
        <v/>
      </c>
      <c r="O121" s="140"/>
      <c r="P121" s="138" t="str">
        <f aca="false">IFERROR(VLOOKUP(TEXT(O121,"0"),CONDUCTORES!$A$3:$G$54,2,0),"")</f>
        <v/>
      </c>
      <c r="Q121" s="138" t="str">
        <f aca="false">IFERROR(VLOOKUP(TEXT(O121,"0"),CONDUCTORES!$A$3:$H$54,6,0),"")</f>
        <v/>
      </c>
      <c r="R121" s="140"/>
      <c r="S121" s="140"/>
      <c r="T121" s="140"/>
      <c r="U121" s="140"/>
      <c r="V121" s="140"/>
      <c r="W121" s="140"/>
      <c r="X121" s="140"/>
      <c r="Y121" s="140"/>
      <c r="Z121" s="185" t="str">
        <f aca="false">IF(AND(G121&lt;&gt;"",R121&lt;&gt;"",V121&lt;&gt;"",W121&lt;&gt;""),"COMPLETADO","OBSERVADO")</f>
        <v>OBSERVADO</v>
      </c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138" t="str">
        <f aca="false">IFERROR(VLOOKUP(TEXT(H122,"0"),IPRESS!$A$3:$B$212,2,0),"")</f>
        <v/>
      </c>
      <c r="J122" s="85"/>
      <c r="K122" s="138" t="str">
        <f aca="false">IFERROR(VLOOKUP(TEXT(O122,"0"),CONDUCTORES!$A$3:$G$54,7,0),"")</f>
        <v/>
      </c>
      <c r="L122" s="85"/>
      <c r="M122" s="85"/>
      <c r="N122" s="139" t="str">
        <f aca="false">IFERROR(IF(L122*M122=0,"",L122*M122),"")</f>
        <v/>
      </c>
      <c r="O122" s="85"/>
      <c r="P122" s="138" t="str">
        <f aca="false">IFERROR(VLOOKUP(TEXT(O122,"0"),CONDUCTORES!$A$3:$G$54,2,0),"")</f>
        <v/>
      </c>
      <c r="Q122" s="138" t="str">
        <f aca="false">IFERROR(VLOOKUP(TEXT(O122,"0"),CONDUCTORES!$A$3:$H$54,6,0),"")</f>
        <v/>
      </c>
      <c r="R122" s="85"/>
      <c r="S122" s="85"/>
      <c r="T122" s="85"/>
      <c r="U122" s="85"/>
      <c r="V122" s="85"/>
      <c r="W122" s="85"/>
      <c r="X122" s="85"/>
      <c r="Y122" s="85"/>
      <c r="Z122" s="185" t="str">
        <f aca="false">IF(AND(G122&lt;&gt;"",R122&lt;&gt;"",V122&lt;&gt;"",W122&lt;&gt;""),"COMPLETADO","OBSERVADO")</f>
        <v>OBSERVADO</v>
      </c>
    </row>
    <row r="123" customFormat="false" ht="15" hidden="false" customHeight="true" outlineLevel="0" collapsed="false">
      <c r="A123" s="140"/>
      <c r="B123" s="140"/>
      <c r="C123" s="140"/>
      <c r="D123" s="140"/>
      <c r="E123" s="140"/>
      <c r="F123" s="140"/>
      <c r="G123" s="140"/>
      <c r="H123" s="140"/>
      <c r="I123" s="138" t="str">
        <f aca="false">IFERROR(VLOOKUP(TEXT(H123,"0"),IPRESS!$A$3:$B$212,2,0),"")</f>
        <v/>
      </c>
      <c r="J123" s="140"/>
      <c r="K123" s="138" t="str">
        <f aca="false">IFERROR(VLOOKUP(TEXT(O123,"0"),CONDUCTORES!$A$3:$G$54,7,0),"")</f>
        <v/>
      </c>
      <c r="L123" s="140"/>
      <c r="M123" s="140"/>
      <c r="N123" s="139" t="str">
        <f aca="false">IFERROR(IF(L123*M123=0,"",L123*M123),"")</f>
        <v/>
      </c>
      <c r="O123" s="140"/>
      <c r="P123" s="138" t="str">
        <f aca="false">IFERROR(VLOOKUP(TEXT(O123,"0"),CONDUCTORES!$A$3:$G$54,2,0),"")</f>
        <v/>
      </c>
      <c r="Q123" s="138" t="str">
        <f aca="false">IFERROR(VLOOKUP(TEXT(O123,"0"),CONDUCTORES!$A$3:$H$54,6,0),"")</f>
        <v/>
      </c>
      <c r="R123" s="140"/>
      <c r="S123" s="140"/>
      <c r="T123" s="140"/>
      <c r="U123" s="140"/>
      <c r="V123" s="140"/>
      <c r="W123" s="140"/>
      <c r="X123" s="140"/>
      <c r="Y123" s="140"/>
      <c r="Z123" s="185" t="str">
        <f aca="false">IF(AND(G123&lt;&gt;"",R123&lt;&gt;"",V123&lt;&gt;"",W123&lt;&gt;""),"COMPLETADO","OBSERVADO")</f>
        <v>OBSERVADO</v>
      </c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138" t="str">
        <f aca="false">IFERROR(VLOOKUP(TEXT(H124,"0"),IPRESS!$A$3:$B$212,2,0),"")</f>
        <v/>
      </c>
      <c r="J124" s="85"/>
      <c r="K124" s="138" t="str">
        <f aca="false">IFERROR(VLOOKUP(TEXT(O124,"0"),CONDUCTORES!$A$3:$G$54,7,0),"")</f>
        <v/>
      </c>
      <c r="L124" s="85"/>
      <c r="M124" s="85"/>
      <c r="N124" s="139" t="str">
        <f aca="false">IFERROR(IF(L124*M124=0,"",L124*M124),"")</f>
        <v/>
      </c>
      <c r="O124" s="85"/>
      <c r="P124" s="138" t="str">
        <f aca="false">IFERROR(VLOOKUP(TEXT(O124,"0"),CONDUCTORES!$A$3:$G$54,2,0),"")</f>
        <v/>
      </c>
      <c r="Q124" s="138" t="str">
        <f aca="false">IFERROR(VLOOKUP(TEXT(O124,"0"),CONDUCTORES!$A$3:$H$54,6,0),"")</f>
        <v/>
      </c>
      <c r="R124" s="85"/>
      <c r="S124" s="85"/>
      <c r="T124" s="85"/>
      <c r="U124" s="85"/>
      <c r="V124" s="85"/>
      <c r="W124" s="85"/>
      <c r="X124" s="85"/>
      <c r="Y124" s="85"/>
      <c r="Z124" s="185" t="str">
        <f aca="false">IF(AND(G124&lt;&gt;"",R124&lt;&gt;"",V124&lt;&gt;"",W124&lt;&gt;""),"COMPLETADO","OBSERVADO")</f>
        <v>OBSERVADO</v>
      </c>
    </row>
    <row r="125" customFormat="false" ht="15" hidden="false" customHeight="true" outlineLevel="0" collapsed="false">
      <c r="A125" s="140"/>
      <c r="B125" s="140"/>
      <c r="C125" s="140"/>
      <c r="D125" s="140"/>
      <c r="E125" s="140"/>
      <c r="F125" s="140"/>
      <c r="G125" s="140"/>
      <c r="H125" s="140"/>
      <c r="I125" s="138" t="str">
        <f aca="false">IFERROR(VLOOKUP(TEXT(H125,"0"),IPRESS!$A$3:$B$212,2,0),"")</f>
        <v/>
      </c>
      <c r="J125" s="140"/>
      <c r="K125" s="138" t="str">
        <f aca="false">IFERROR(VLOOKUP(TEXT(O125,"0"),CONDUCTORES!$A$3:$G$54,7,0),"")</f>
        <v/>
      </c>
      <c r="L125" s="140"/>
      <c r="M125" s="140"/>
      <c r="N125" s="139" t="str">
        <f aca="false">IFERROR(IF(L125*M125=0,"",L125*M125),"")</f>
        <v/>
      </c>
      <c r="O125" s="140"/>
      <c r="P125" s="138" t="str">
        <f aca="false">IFERROR(VLOOKUP(TEXT(O125,"0"),CONDUCTORES!$A$3:$G$54,2,0),"")</f>
        <v/>
      </c>
      <c r="Q125" s="138" t="str">
        <f aca="false">IFERROR(VLOOKUP(TEXT(O125,"0"),CONDUCTORES!$A$3:$H$54,6,0),"")</f>
        <v/>
      </c>
      <c r="R125" s="140"/>
      <c r="S125" s="140"/>
      <c r="T125" s="140"/>
      <c r="U125" s="140"/>
      <c r="V125" s="140"/>
      <c r="W125" s="140"/>
      <c r="X125" s="140"/>
      <c r="Y125" s="140"/>
      <c r="Z125" s="185" t="str">
        <f aca="false">IF(AND(G125&lt;&gt;"",R125&lt;&gt;"",V125&lt;&gt;"",W125&lt;&gt;""),"COMPLETADO","OBSERVADO")</f>
        <v>OBSERVADO</v>
      </c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138" t="str">
        <f aca="false">IFERROR(VLOOKUP(TEXT(H126,"0"),IPRESS!$A$3:$B$212,2,0),"")</f>
        <v/>
      </c>
      <c r="J126" s="85"/>
      <c r="K126" s="138" t="str">
        <f aca="false">IFERROR(VLOOKUP(TEXT(O126,"0"),CONDUCTORES!$A$3:$G$54,7,0),"")</f>
        <v/>
      </c>
      <c r="L126" s="85"/>
      <c r="M126" s="85"/>
      <c r="N126" s="139" t="str">
        <f aca="false">IFERROR(IF(L126*M126=0,"",L126*M126),"")</f>
        <v/>
      </c>
      <c r="O126" s="85"/>
      <c r="P126" s="138" t="str">
        <f aca="false">IFERROR(VLOOKUP(TEXT(O126,"0"),CONDUCTORES!$A$3:$G$54,2,0),"")</f>
        <v/>
      </c>
      <c r="Q126" s="138" t="str">
        <f aca="false">IFERROR(VLOOKUP(TEXT(O126,"0"),CONDUCTORES!$A$3:$H$54,6,0),"")</f>
        <v/>
      </c>
      <c r="R126" s="85"/>
      <c r="S126" s="85"/>
      <c r="T126" s="85"/>
      <c r="U126" s="85"/>
      <c r="V126" s="85"/>
      <c r="W126" s="85"/>
      <c r="X126" s="85"/>
      <c r="Y126" s="85"/>
      <c r="Z126" s="185" t="str">
        <f aca="false">IF(AND(G126&lt;&gt;"",R126&lt;&gt;"",V126&lt;&gt;"",W126&lt;&gt;""),"COMPLETADO","OBSERVADO")</f>
        <v>OBSERVADO</v>
      </c>
    </row>
    <row r="127" customFormat="false" ht="15" hidden="false" customHeight="true" outlineLevel="0" collapsed="false">
      <c r="A127" s="140"/>
      <c r="B127" s="140"/>
      <c r="C127" s="140"/>
      <c r="D127" s="140"/>
      <c r="E127" s="140"/>
      <c r="F127" s="140"/>
      <c r="G127" s="140"/>
      <c r="H127" s="140"/>
      <c r="I127" s="138" t="str">
        <f aca="false">IFERROR(VLOOKUP(TEXT(H127,"0"),IPRESS!$A$3:$B$212,2,0),"")</f>
        <v/>
      </c>
      <c r="J127" s="140"/>
      <c r="K127" s="138" t="str">
        <f aca="false">IFERROR(VLOOKUP(TEXT(O127,"0"),CONDUCTORES!$A$3:$G$54,7,0),"")</f>
        <v/>
      </c>
      <c r="L127" s="140"/>
      <c r="M127" s="140"/>
      <c r="N127" s="139" t="str">
        <f aca="false">IFERROR(IF(L127*M127=0,"",L127*M127),"")</f>
        <v/>
      </c>
      <c r="O127" s="140"/>
      <c r="P127" s="138" t="str">
        <f aca="false">IFERROR(VLOOKUP(TEXT(O127,"0"),CONDUCTORES!$A$3:$G$54,2,0),"")</f>
        <v/>
      </c>
      <c r="Q127" s="138" t="str">
        <f aca="false">IFERROR(VLOOKUP(TEXT(O127,"0"),CONDUCTORES!$A$3:$H$54,6,0),"")</f>
        <v/>
      </c>
      <c r="R127" s="140"/>
      <c r="S127" s="140"/>
      <c r="T127" s="140"/>
      <c r="U127" s="140"/>
      <c r="V127" s="140"/>
      <c r="W127" s="140"/>
      <c r="X127" s="140"/>
      <c r="Y127" s="140"/>
      <c r="Z127" s="185" t="str">
        <f aca="false">IF(AND(G127&lt;&gt;"",R127&lt;&gt;"",V127&lt;&gt;"",W127&lt;&gt;""),"COMPLETADO","OBSERVADO")</f>
        <v>OBSERVADO</v>
      </c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138" t="str">
        <f aca="false">IFERROR(VLOOKUP(TEXT(H128,"0"),IPRESS!$A$3:$B$212,2,0),"")</f>
        <v/>
      </c>
      <c r="J128" s="85"/>
      <c r="K128" s="138" t="str">
        <f aca="false">IFERROR(VLOOKUP(TEXT(O128,"0"),CONDUCTORES!$A$3:$G$54,7,0),"")</f>
        <v/>
      </c>
      <c r="L128" s="85"/>
      <c r="M128" s="85"/>
      <c r="N128" s="139" t="str">
        <f aca="false">IFERROR(IF(L128*M128=0,"",L128*M128),"")</f>
        <v/>
      </c>
      <c r="O128" s="85"/>
      <c r="P128" s="138" t="str">
        <f aca="false">IFERROR(VLOOKUP(TEXT(O128,"0"),CONDUCTORES!$A$3:$G$54,2,0),"")</f>
        <v/>
      </c>
      <c r="Q128" s="138" t="str">
        <f aca="false">IFERROR(VLOOKUP(TEXT(O128,"0"),CONDUCTORES!$A$3:$H$54,6,0),"")</f>
        <v/>
      </c>
      <c r="R128" s="85"/>
      <c r="S128" s="85"/>
      <c r="T128" s="85"/>
      <c r="U128" s="85"/>
      <c r="V128" s="85"/>
      <c r="W128" s="85"/>
      <c r="X128" s="85"/>
      <c r="Y128" s="85"/>
      <c r="Z128" s="185" t="str">
        <f aca="false">IF(AND(G128&lt;&gt;"",R128&lt;&gt;"",V128&lt;&gt;"",W128&lt;&gt;""),"COMPLETADO","OBSERVADO")</f>
        <v>OBSERVADO</v>
      </c>
    </row>
    <row r="129" customFormat="false" ht="15" hidden="false" customHeight="true" outlineLevel="0" collapsed="false">
      <c r="A129" s="140"/>
      <c r="B129" s="140"/>
      <c r="C129" s="140"/>
      <c r="D129" s="140"/>
      <c r="E129" s="140"/>
      <c r="F129" s="140"/>
      <c r="G129" s="140"/>
      <c r="H129" s="140"/>
      <c r="I129" s="138" t="str">
        <f aca="false">IFERROR(VLOOKUP(TEXT(H129,"0"),IPRESS!$A$3:$B$212,2,0),"")</f>
        <v/>
      </c>
      <c r="J129" s="140"/>
      <c r="K129" s="138" t="str">
        <f aca="false">IFERROR(VLOOKUP(TEXT(O129,"0"),CONDUCTORES!$A$3:$G$54,7,0),"")</f>
        <v/>
      </c>
      <c r="L129" s="140"/>
      <c r="M129" s="140"/>
      <c r="N129" s="139" t="str">
        <f aca="false">IFERROR(IF(L129*M129=0,"",L129*M129),"")</f>
        <v/>
      </c>
      <c r="O129" s="140"/>
      <c r="P129" s="138" t="str">
        <f aca="false">IFERROR(VLOOKUP(TEXT(O129,"0"),CONDUCTORES!$A$3:$G$54,2,0),"")</f>
        <v/>
      </c>
      <c r="Q129" s="138" t="str">
        <f aca="false">IFERROR(VLOOKUP(TEXT(O129,"0"),CONDUCTORES!$A$3:$H$54,6,0),"")</f>
        <v/>
      </c>
      <c r="R129" s="140"/>
      <c r="S129" s="140"/>
      <c r="T129" s="140"/>
      <c r="U129" s="140"/>
      <c r="V129" s="140"/>
      <c r="W129" s="140"/>
      <c r="X129" s="140"/>
      <c r="Y129" s="140"/>
      <c r="Z129" s="185" t="str">
        <f aca="false">IF(AND(G129&lt;&gt;"",R129&lt;&gt;"",V129&lt;&gt;"",W129&lt;&gt;""),"COMPLETADO","OBSERVADO")</f>
        <v>OBSERVADO</v>
      </c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138" t="str">
        <f aca="false">IFERROR(VLOOKUP(TEXT(H130,"0"),IPRESS!$A$3:$B$212,2,0),"")</f>
        <v/>
      </c>
      <c r="J130" s="85"/>
      <c r="K130" s="138" t="str">
        <f aca="false">IFERROR(VLOOKUP(TEXT(O130,"0"),CONDUCTORES!$A$3:$G$54,7,0),"")</f>
        <v/>
      </c>
      <c r="L130" s="85"/>
      <c r="M130" s="85"/>
      <c r="N130" s="139" t="str">
        <f aca="false">IFERROR(IF(L130*M130=0,"",L130*M130),"")</f>
        <v/>
      </c>
      <c r="O130" s="85"/>
      <c r="P130" s="138" t="str">
        <f aca="false">IFERROR(VLOOKUP(TEXT(O130,"0"),CONDUCTORES!$A$3:$G$54,2,0),"")</f>
        <v/>
      </c>
      <c r="Q130" s="138" t="str">
        <f aca="false">IFERROR(VLOOKUP(TEXT(O130,"0"),CONDUCTORES!$A$3:$H$54,6,0),"")</f>
        <v/>
      </c>
      <c r="R130" s="85"/>
      <c r="S130" s="85"/>
      <c r="T130" s="85"/>
      <c r="U130" s="85"/>
      <c r="V130" s="85"/>
      <c r="W130" s="85"/>
      <c r="X130" s="85"/>
      <c r="Y130" s="85"/>
      <c r="Z130" s="185" t="str">
        <f aca="false">IF(AND(G130&lt;&gt;"",R130&lt;&gt;"",V130&lt;&gt;"",W130&lt;&gt;""),"COMPLETADO","OBSERVADO")</f>
        <v>OBSERVADO</v>
      </c>
    </row>
    <row r="131" customFormat="false" ht="15" hidden="false" customHeight="true" outlineLevel="0" collapsed="false">
      <c r="A131" s="140"/>
      <c r="B131" s="140"/>
      <c r="C131" s="140"/>
      <c r="D131" s="140"/>
      <c r="E131" s="140"/>
      <c r="F131" s="140"/>
      <c r="G131" s="140"/>
      <c r="H131" s="140"/>
      <c r="I131" s="138" t="str">
        <f aca="false">IFERROR(VLOOKUP(TEXT(H131,"0"),IPRESS!$A$3:$B$212,2,0),"")</f>
        <v/>
      </c>
      <c r="J131" s="140"/>
      <c r="K131" s="138" t="str">
        <f aca="false">IFERROR(VLOOKUP(TEXT(O131,"0"),CONDUCTORES!$A$3:$G$54,7,0),"")</f>
        <v/>
      </c>
      <c r="L131" s="140"/>
      <c r="M131" s="140"/>
      <c r="N131" s="139" t="str">
        <f aca="false">IFERROR(IF(L131*M131=0,"",L131*M131),"")</f>
        <v/>
      </c>
      <c r="O131" s="140"/>
      <c r="P131" s="138" t="str">
        <f aca="false">IFERROR(VLOOKUP(TEXT(O131,"0"),CONDUCTORES!$A$3:$G$54,2,0),"")</f>
        <v/>
      </c>
      <c r="Q131" s="138" t="str">
        <f aca="false">IFERROR(VLOOKUP(TEXT(O131,"0"),CONDUCTORES!$A$3:$H$54,6,0),"")</f>
        <v/>
      </c>
      <c r="R131" s="140"/>
      <c r="S131" s="140"/>
      <c r="T131" s="140"/>
      <c r="U131" s="140"/>
      <c r="V131" s="140"/>
      <c r="W131" s="140"/>
      <c r="X131" s="140"/>
      <c r="Y131" s="140"/>
      <c r="Z131" s="185" t="str">
        <f aca="false">IF(AND(G131&lt;&gt;"",R131&lt;&gt;"",V131&lt;&gt;"",W131&lt;&gt;""),"COMPLETADO","OBSERVADO")</f>
        <v>OBSERVADO</v>
      </c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138" t="str">
        <f aca="false">IFERROR(VLOOKUP(TEXT(H132,"0"),IPRESS!$A$3:$B$212,2,0),"")</f>
        <v/>
      </c>
      <c r="J132" s="85"/>
      <c r="K132" s="138" t="str">
        <f aca="false">IFERROR(VLOOKUP(TEXT(O132,"0"),CONDUCTORES!$A$3:$G$54,7,0),"")</f>
        <v/>
      </c>
      <c r="L132" s="85"/>
      <c r="M132" s="85"/>
      <c r="N132" s="139" t="str">
        <f aca="false">IFERROR(IF(L132*M132=0,"",L132*M132),"")</f>
        <v/>
      </c>
      <c r="O132" s="85"/>
      <c r="P132" s="138" t="str">
        <f aca="false">IFERROR(VLOOKUP(TEXT(O132,"0"),CONDUCTORES!$A$3:$G$54,2,0),"")</f>
        <v/>
      </c>
      <c r="Q132" s="138" t="str">
        <f aca="false">IFERROR(VLOOKUP(TEXT(O132,"0"),CONDUCTORES!$A$3:$H$54,6,0),"")</f>
        <v/>
      </c>
      <c r="R132" s="85"/>
      <c r="S132" s="85"/>
      <c r="T132" s="85"/>
      <c r="U132" s="85"/>
      <c r="V132" s="85"/>
      <c r="W132" s="85"/>
      <c r="X132" s="85"/>
      <c r="Y132" s="85"/>
      <c r="Z132" s="185" t="str">
        <f aca="false">IF(AND(G132&lt;&gt;"",R132&lt;&gt;"",V132&lt;&gt;"",W132&lt;&gt;""),"COMPLETADO","OBSERVADO")</f>
        <v>OBSERVADO</v>
      </c>
    </row>
    <row r="133" customFormat="false" ht="15" hidden="false" customHeight="true" outlineLevel="0" collapsed="false">
      <c r="A133" s="140"/>
      <c r="B133" s="140"/>
      <c r="C133" s="140"/>
      <c r="D133" s="140"/>
      <c r="E133" s="140"/>
      <c r="F133" s="140"/>
      <c r="G133" s="140"/>
      <c r="H133" s="140"/>
      <c r="I133" s="138" t="str">
        <f aca="false">IFERROR(VLOOKUP(TEXT(H133,"0"),IPRESS!$A$3:$B$212,2,0),"")</f>
        <v/>
      </c>
      <c r="J133" s="140"/>
      <c r="K133" s="138" t="str">
        <f aca="false">IFERROR(VLOOKUP(TEXT(O133,"0"),CONDUCTORES!$A$3:$G$54,7,0),"")</f>
        <v/>
      </c>
      <c r="L133" s="140"/>
      <c r="M133" s="140"/>
      <c r="N133" s="139" t="str">
        <f aca="false">IFERROR(IF(L133*M133=0,"",L133*M133),"")</f>
        <v/>
      </c>
      <c r="O133" s="140"/>
      <c r="P133" s="138" t="str">
        <f aca="false">IFERROR(VLOOKUP(TEXT(O133,"0"),CONDUCTORES!$A$3:$G$54,2,0),"")</f>
        <v/>
      </c>
      <c r="Q133" s="138" t="str">
        <f aca="false">IFERROR(VLOOKUP(TEXT(O133,"0"),CONDUCTORES!$A$3:$H$54,6,0),"")</f>
        <v/>
      </c>
      <c r="R133" s="140"/>
      <c r="S133" s="140"/>
      <c r="T133" s="140"/>
      <c r="U133" s="140"/>
      <c r="V133" s="140"/>
      <c r="W133" s="140"/>
      <c r="X133" s="140"/>
      <c r="Y133" s="140"/>
      <c r="Z133" s="185" t="str">
        <f aca="false">IF(AND(G133&lt;&gt;"",R133&lt;&gt;"",V133&lt;&gt;"",W133&lt;&gt;""),"COMPLETADO","OBSERVADO")</f>
        <v>OBSERVADO</v>
      </c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138" t="str">
        <f aca="false">IFERROR(VLOOKUP(TEXT(H134,"0"),IPRESS!$A$3:$B$212,2,0),"")</f>
        <v/>
      </c>
      <c r="J134" s="85"/>
      <c r="K134" s="138" t="str">
        <f aca="false">IFERROR(VLOOKUP(TEXT(O134,"0"),CONDUCTORES!$A$3:$G$54,7,0),"")</f>
        <v/>
      </c>
      <c r="L134" s="85"/>
      <c r="M134" s="85"/>
      <c r="N134" s="139" t="str">
        <f aca="false">IFERROR(IF(L134*M134=0,"",L134*M134),"")</f>
        <v/>
      </c>
      <c r="O134" s="85"/>
      <c r="P134" s="138" t="str">
        <f aca="false">IFERROR(VLOOKUP(TEXT(O134,"0"),CONDUCTORES!$A$3:$G$54,2,0),"")</f>
        <v/>
      </c>
      <c r="Q134" s="138" t="str">
        <f aca="false">IFERROR(VLOOKUP(TEXT(O134,"0"),CONDUCTORES!$A$3:$H$54,6,0),"")</f>
        <v/>
      </c>
      <c r="R134" s="85"/>
      <c r="S134" s="85"/>
      <c r="T134" s="85"/>
      <c r="U134" s="85"/>
      <c r="V134" s="85"/>
      <c r="W134" s="85"/>
      <c r="X134" s="85"/>
      <c r="Y134" s="85"/>
      <c r="Z134" s="185" t="str">
        <f aca="false">IF(AND(G134&lt;&gt;"",R134&lt;&gt;"",V134&lt;&gt;"",W134&lt;&gt;""),"COMPLETADO","OBSERVADO")</f>
        <v>OBSERVADO</v>
      </c>
    </row>
    <row r="135" customFormat="false" ht="15" hidden="false" customHeight="true" outlineLevel="0" collapsed="false">
      <c r="A135" s="140"/>
      <c r="B135" s="140"/>
      <c r="C135" s="140"/>
      <c r="D135" s="140"/>
      <c r="E135" s="140"/>
      <c r="F135" s="140"/>
      <c r="G135" s="140"/>
      <c r="H135" s="140"/>
      <c r="I135" s="138" t="str">
        <f aca="false">IFERROR(VLOOKUP(TEXT(H135,"0"),IPRESS!$A$3:$B$212,2,0),"")</f>
        <v/>
      </c>
      <c r="J135" s="140"/>
      <c r="K135" s="138" t="str">
        <f aca="false">IFERROR(VLOOKUP(TEXT(O135,"0"),CONDUCTORES!$A$3:$G$54,7,0),"")</f>
        <v/>
      </c>
      <c r="L135" s="140"/>
      <c r="M135" s="140"/>
      <c r="N135" s="139" t="str">
        <f aca="false">IFERROR(IF(L135*M135=0,"",L135*M135),"")</f>
        <v/>
      </c>
      <c r="O135" s="140"/>
      <c r="P135" s="138" t="str">
        <f aca="false">IFERROR(VLOOKUP(TEXT(O135,"0"),CONDUCTORES!$A$3:$G$54,2,0),"")</f>
        <v/>
      </c>
      <c r="Q135" s="138" t="str">
        <f aca="false">IFERROR(VLOOKUP(TEXT(O135,"0"),CONDUCTORES!$A$3:$H$54,6,0),"")</f>
        <v/>
      </c>
      <c r="R135" s="140"/>
      <c r="S135" s="140"/>
      <c r="T135" s="140"/>
      <c r="U135" s="140"/>
      <c r="V135" s="140"/>
      <c r="W135" s="140"/>
      <c r="X135" s="140"/>
      <c r="Y135" s="140"/>
      <c r="Z135" s="185" t="str">
        <f aca="false">IF(AND(G135&lt;&gt;"",R135&lt;&gt;"",V135&lt;&gt;"",W135&lt;&gt;""),"COMPLETADO","OBSERVADO")</f>
        <v>OBSERVADO</v>
      </c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138" t="str">
        <f aca="false">IFERROR(VLOOKUP(TEXT(H136,"0"),IPRESS!$A$3:$B$212,2,0),"")</f>
        <v/>
      </c>
      <c r="J136" s="85"/>
      <c r="K136" s="138" t="str">
        <f aca="false">IFERROR(VLOOKUP(TEXT(O136,"0"),CONDUCTORES!$A$3:$G$54,7,0),"")</f>
        <v/>
      </c>
      <c r="L136" s="85"/>
      <c r="M136" s="85"/>
      <c r="N136" s="139" t="str">
        <f aca="false">IFERROR(IF(L136*M136=0,"",L136*M136),"")</f>
        <v/>
      </c>
      <c r="O136" s="85"/>
      <c r="P136" s="138" t="str">
        <f aca="false">IFERROR(VLOOKUP(TEXT(O136,"0"),CONDUCTORES!$A$3:$G$54,2,0),"")</f>
        <v/>
      </c>
      <c r="Q136" s="138" t="str">
        <f aca="false">IFERROR(VLOOKUP(TEXT(O136,"0"),CONDUCTORES!$A$3:$H$54,6,0),"")</f>
        <v/>
      </c>
      <c r="R136" s="85"/>
      <c r="S136" s="85"/>
      <c r="T136" s="85"/>
      <c r="U136" s="85"/>
      <c r="V136" s="85"/>
      <c r="W136" s="85"/>
      <c r="X136" s="85"/>
      <c r="Y136" s="85"/>
      <c r="Z136" s="185" t="str">
        <f aca="false">IF(AND(G136&lt;&gt;"",R136&lt;&gt;"",V136&lt;&gt;"",W136&lt;&gt;""),"COMPLETADO","OBSERVADO")</f>
        <v>OBSERVADO</v>
      </c>
    </row>
    <row r="137" customFormat="false" ht="15" hidden="false" customHeight="true" outlineLevel="0" collapsed="false">
      <c r="A137" s="140"/>
      <c r="B137" s="140"/>
      <c r="C137" s="140"/>
      <c r="D137" s="140"/>
      <c r="E137" s="140"/>
      <c r="F137" s="140"/>
      <c r="G137" s="140"/>
      <c r="H137" s="140"/>
      <c r="I137" s="138" t="str">
        <f aca="false">IFERROR(VLOOKUP(TEXT(H137,"0"),IPRESS!$A$3:$B$212,2,0),"")</f>
        <v/>
      </c>
      <c r="J137" s="140"/>
      <c r="K137" s="138" t="str">
        <f aca="false">IFERROR(VLOOKUP(TEXT(O137,"0"),CONDUCTORES!$A$3:$G$54,7,0),"")</f>
        <v/>
      </c>
      <c r="L137" s="140"/>
      <c r="M137" s="140"/>
      <c r="N137" s="139" t="str">
        <f aca="false">IFERROR(IF(L137*M137=0,"",L137*M137),"")</f>
        <v/>
      </c>
      <c r="O137" s="140"/>
      <c r="P137" s="138" t="str">
        <f aca="false">IFERROR(VLOOKUP(TEXT(O137,"0"),CONDUCTORES!$A$3:$G$54,2,0),"")</f>
        <v/>
      </c>
      <c r="Q137" s="138" t="str">
        <f aca="false">IFERROR(VLOOKUP(TEXT(O137,"0"),CONDUCTORES!$A$3:$H$54,6,0),"")</f>
        <v/>
      </c>
      <c r="R137" s="140"/>
      <c r="S137" s="140"/>
      <c r="T137" s="140"/>
      <c r="U137" s="140"/>
      <c r="V137" s="140"/>
      <c r="W137" s="140"/>
      <c r="X137" s="140"/>
      <c r="Y137" s="140"/>
      <c r="Z137" s="185" t="str">
        <f aca="false">IF(AND(G137&lt;&gt;"",R137&lt;&gt;"",V137&lt;&gt;"",W137&lt;&gt;""),"COMPLETADO","OBSERVADO")</f>
        <v>OBSERVADO</v>
      </c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138" t="str">
        <f aca="false">IFERROR(VLOOKUP(TEXT(H138,"0"),IPRESS!$A$3:$B$212,2,0),"")</f>
        <v/>
      </c>
      <c r="J138" s="85"/>
      <c r="K138" s="138" t="str">
        <f aca="false">IFERROR(VLOOKUP(TEXT(O138,"0"),CONDUCTORES!$A$3:$G$54,7,0),"")</f>
        <v/>
      </c>
      <c r="L138" s="85"/>
      <c r="M138" s="85"/>
      <c r="N138" s="139" t="str">
        <f aca="false">IFERROR(IF(L138*M138=0,"",L138*M138),"")</f>
        <v/>
      </c>
      <c r="O138" s="85"/>
      <c r="P138" s="138" t="str">
        <f aca="false">IFERROR(VLOOKUP(TEXT(O138,"0"),CONDUCTORES!$A$3:$G$54,2,0),"")</f>
        <v/>
      </c>
      <c r="Q138" s="138" t="str">
        <f aca="false">IFERROR(VLOOKUP(TEXT(O138,"0"),CONDUCTORES!$A$3:$H$54,6,0),"")</f>
        <v/>
      </c>
      <c r="R138" s="85"/>
      <c r="S138" s="85"/>
      <c r="T138" s="85"/>
      <c r="U138" s="85"/>
      <c r="V138" s="85"/>
      <c r="W138" s="85"/>
      <c r="X138" s="85"/>
      <c r="Y138" s="85"/>
      <c r="Z138" s="185" t="str">
        <f aca="false">IF(AND(G138&lt;&gt;"",R138&lt;&gt;"",V138&lt;&gt;"",W138&lt;&gt;""),"COMPLETADO","OBSERVADO")</f>
        <v>OBSERVADO</v>
      </c>
    </row>
    <row r="139" customFormat="false" ht="15" hidden="false" customHeight="true" outlineLevel="0" collapsed="false">
      <c r="A139" s="140"/>
      <c r="B139" s="140"/>
      <c r="C139" s="140"/>
      <c r="D139" s="140"/>
      <c r="E139" s="140"/>
      <c r="F139" s="140"/>
      <c r="G139" s="140"/>
      <c r="H139" s="140"/>
      <c r="I139" s="138" t="str">
        <f aca="false">IFERROR(VLOOKUP(TEXT(H139,"0"),IPRESS!$A$3:$B$212,2,0),"")</f>
        <v/>
      </c>
      <c r="J139" s="140"/>
      <c r="K139" s="138" t="str">
        <f aca="false">IFERROR(VLOOKUP(TEXT(O139,"0"),CONDUCTORES!$A$3:$G$54,7,0),"")</f>
        <v/>
      </c>
      <c r="L139" s="140"/>
      <c r="M139" s="140"/>
      <c r="N139" s="139" t="str">
        <f aca="false">IFERROR(IF(L139*M139=0,"",L139*M139),"")</f>
        <v/>
      </c>
      <c r="O139" s="140"/>
      <c r="P139" s="138" t="str">
        <f aca="false">IFERROR(VLOOKUP(TEXT(O139,"0"),CONDUCTORES!$A$3:$G$54,2,0),"")</f>
        <v/>
      </c>
      <c r="Q139" s="138" t="str">
        <f aca="false">IFERROR(VLOOKUP(TEXT(O139,"0"),CONDUCTORES!$A$3:$H$54,6,0),"")</f>
        <v/>
      </c>
      <c r="R139" s="140"/>
      <c r="S139" s="140"/>
      <c r="T139" s="140"/>
      <c r="U139" s="140"/>
      <c r="V139" s="140"/>
      <c r="W139" s="140"/>
      <c r="X139" s="140"/>
      <c r="Y139" s="140"/>
      <c r="Z139" s="185" t="str">
        <f aca="false">IF(AND(G139&lt;&gt;"",R139&lt;&gt;"",V139&lt;&gt;"",W139&lt;&gt;""),"COMPLETADO","OBSERVADO")</f>
        <v>OBSERVADO</v>
      </c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138" t="str">
        <f aca="false">IFERROR(VLOOKUP(TEXT(H140,"0"),IPRESS!$A$3:$B$212,2,0),"")</f>
        <v/>
      </c>
      <c r="J140" s="85"/>
      <c r="K140" s="138" t="str">
        <f aca="false">IFERROR(VLOOKUP(TEXT(O140,"0"),CONDUCTORES!$A$3:$G$54,7,0),"")</f>
        <v/>
      </c>
      <c r="L140" s="85"/>
      <c r="M140" s="85"/>
      <c r="N140" s="139" t="str">
        <f aca="false">IFERROR(IF(L140*M140=0,"",L140*M140),"")</f>
        <v/>
      </c>
      <c r="O140" s="85"/>
      <c r="P140" s="138" t="str">
        <f aca="false">IFERROR(VLOOKUP(TEXT(O140,"0"),CONDUCTORES!$A$3:$G$54,2,0),"")</f>
        <v/>
      </c>
      <c r="Q140" s="138" t="str">
        <f aca="false">IFERROR(VLOOKUP(TEXT(O140,"0"),CONDUCTORES!$A$3:$H$54,6,0),"")</f>
        <v/>
      </c>
      <c r="R140" s="85"/>
      <c r="S140" s="85"/>
      <c r="T140" s="85"/>
      <c r="U140" s="85"/>
      <c r="V140" s="85"/>
      <c r="W140" s="85"/>
      <c r="X140" s="85"/>
      <c r="Y140" s="85"/>
      <c r="Z140" s="185" t="str">
        <f aca="false">IF(AND(G140&lt;&gt;"",R140&lt;&gt;"",V140&lt;&gt;"",W140&lt;&gt;""),"COMPLETADO","OBSERVADO")</f>
        <v>OBSERVADO</v>
      </c>
    </row>
    <row r="141" customFormat="false" ht="15" hidden="false" customHeight="true" outlineLevel="0" collapsed="false">
      <c r="A141" s="140"/>
      <c r="B141" s="140"/>
      <c r="C141" s="140"/>
      <c r="D141" s="140"/>
      <c r="E141" s="140"/>
      <c r="F141" s="140"/>
      <c r="G141" s="140"/>
      <c r="H141" s="140"/>
      <c r="I141" s="138" t="str">
        <f aca="false">IFERROR(VLOOKUP(TEXT(H141,"0"),IPRESS!$A$3:$B$212,2,0),"")</f>
        <v/>
      </c>
      <c r="J141" s="140"/>
      <c r="K141" s="138" t="str">
        <f aca="false">IFERROR(VLOOKUP(TEXT(O141,"0"),CONDUCTORES!$A$3:$G$54,7,0),"")</f>
        <v/>
      </c>
      <c r="L141" s="140"/>
      <c r="M141" s="140"/>
      <c r="N141" s="139" t="str">
        <f aca="false">IFERROR(IF(L141*M141=0,"",L141*M141),"")</f>
        <v/>
      </c>
      <c r="O141" s="140"/>
      <c r="P141" s="138" t="str">
        <f aca="false">IFERROR(VLOOKUP(TEXT(O141,"0"),CONDUCTORES!$A$3:$G$54,2,0),"")</f>
        <v/>
      </c>
      <c r="Q141" s="138" t="str">
        <f aca="false">IFERROR(VLOOKUP(TEXT(O141,"0"),CONDUCTORES!$A$3:$H$54,6,0),"")</f>
        <v/>
      </c>
      <c r="R141" s="140"/>
      <c r="S141" s="140"/>
      <c r="T141" s="140"/>
      <c r="U141" s="140"/>
      <c r="V141" s="140"/>
      <c r="W141" s="140"/>
      <c r="X141" s="140"/>
      <c r="Y141" s="140"/>
      <c r="Z141" s="185" t="str">
        <f aca="false">IF(AND(G141&lt;&gt;"",R141&lt;&gt;"",V141&lt;&gt;"",W141&lt;&gt;""),"COMPLETADO","OBSERVADO")</f>
        <v>OBSERVADO</v>
      </c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138" t="str">
        <f aca="false">IFERROR(VLOOKUP(TEXT(H142,"0"),IPRESS!$A$3:$B$212,2,0),"")</f>
        <v/>
      </c>
      <c r="J142" s="85"/>
      <c r="K142" s="138" t="str">
        <f aca="false">IFERROR(VLOOKUP(TEXT(O142,"0"),CONDUCTORES!$A$3:$G$54,7,0),"")</f>
        <v/>
      </c>
      <c r="L142" s="85"/>
      <c r="M142" s="85"/>
      <c r="N142" s="139" t="str">
        <f aca="false">IFERROR(IF(L142*M142=0,"",L142*M142),"")</f>
        <v/>
      </c>
      <c r="O142" s="85"/>
      <c r="P142" s="138" t="str">
        <f aca="false">IFERROR(VLOOKUP(TEXT(O142,"0"),CONDUCTORES!$A$3:$G$54,2,0),"")</f>
        <v/>
      </c>
      <c r="Q142" s="138" t="str">
        <f aca="false">IFERROR(VLOOKUP(TEXT(O142,"0"),CONDUCTORES!$A$3:$H$54,6,0),"")</f>
        <v/>
      </c>
      <c r="R142" s="85"/>
      <c r="S142" s="85"/>
      <c r="T142" s="85"/>
      <c r="U142" s="85"/>
      <c r="V142" s="85"/>
      <c r="W142" s="85"/>
      <c r="X142" s="85"/>
      <c r="Y142" s="85"/>
      <c r="Z142" s="185" t="str">
        <f aca="false">IF(AND(G142&lt;&gt;"",R142&lt;&gt;"",V142&lt;&gt;"",W142&lt;&gt;""),"COMPLETADO","OBSERVADO")</f>
        <v>OBSERVADO</v>
      </c>
    </row>
    <row r="143" customFormat="false" ht="15" hidden="false" customHeight="true" outlineLevel="0" collapsed="false">
      <c r="A143" s="140"/>
      <c r="B143" s="140"/>
      <c r="C143" s="140"/>
      <c r="D143" s="140"/>
      <c r="E143" s="140"/>
      <c r="F143" s="140"/>
      <c r="G143" s="140"/>
      <c r="H143" s="140"/>
      <c r="I143" s="138" t="str">
        <f aca="false">IFERROR(VLOOKUP(TEXT(H143,"0"),IPRESS!$A$3:$B$212,2,0),"")</f>
        <v/>
      </c>
      <c r="J143" s="140"/>
      <c r="K143" s="138" t="str">
        <f aca="false">IFERROR(VLOOKUP(TEXT(O143,"0"),CONDUCTORES!$A$3:$G$54,7,0),"")</f>
        <v/>
      </c>
      <c r="L143" s="140"/>
      <c r="M143" s="140"/>
      <c r="N143" s="139" t="str">
        <f aca="false">IFERROR(IF(L143*M143=0,"",L143*M143),"")</f>
        <v/>
      </c>
      <c r="O143" s="140"/>
      <c r="P143" s="138" t="str">
        <f aca="false">IFERROR(VLOOKUP(TEXT(O143,"0"),CONDUCTORES!$A$3:$G$54,2,0),"")</f>
        <v/>
      </c>
      <c r="Q143" s="138" t="str">
        <f aca="false">IFERROR(VLOOKUP(TEXT(O143,"0"),CONDUCTORES!$A$3:$H$54,6,0),"")</f>
        <v/>
      </c>
      <c r="R143" s="140"/>
      <c r="S143" s="140"/>
      <c r="T143" s="140"/>
      <c r="U143" s="140"/>
      <c r="V143" s="140"/>
      <c r="W143" s="140"/>
      <c r="X143" s="140"/>
      <c r="Y143" s="140"/>
      <c r="Z143" s="185" t="str">
        <f aca="false">IF(AND(G143&lt;&gt;"",R143&lt;&gt;"",V143&lt;&gt;"",W143&lt;&gt;""),"COMPLETADO","OBSERVADO")</f>
        <v>OBSERVADO</v>
      </c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138" t="str">
        <f aca="false">IFERROR(VLOOKUP(TEXT(H144,"0"),IPRESS!$A$3:$B$212,2,0),"")</f>
        <v/>
      </c>
      <c r="J144" s="85"/>
      <c r="K144" s="138" t="str">
        <f aca="false">IFERROR(VLOOKUP(TEXT(O144,"0"),CONDUCTORES!$A$3:$G$54,7,0),"")</f>
        <v/>
      </c>
      <c r="L144" s="85"/>
      <c r="M144" s="85"/>
      <c r="N144" s="139" t="str">
        <f aca="false">IFERROR(IF(L144*M144=0,"",L144*M144),"")</f>
        <v/>
      </c>
      <c r="O144" s="85"/>
      <c r="P144" s="138" t="str">
        <f aca="false">IFERROR(VLOOKUP(TEXT(O144,"0"),CONDUCTORES!$A$3:$G$54,2,0),"")</f>
        <v/>
      </c>
      <c r="Q144" s="138" t="str">
        <f aca="false">IFERROR(VLOOKUP(TEXT(O144,"0"),CONDUCTORES!$A$3:$H$54,6,0),"")</f>
        <v/>
      </c>
      <c r="R144" s="85"/>
      <c r="S144" s="85"/>
      <c r="T144" s="85"/>
      <c r="U144" s="85"/>
      <c r="V144" s="85"/>
      <c r="W144" s="85"/>
      <c r="X144" s="85"/>
      <c r="Y144" s="85"/>
      <c r="Z144" s="185" t="str">
        <f aca="false">IF(AND(G144&lt;&gt;"",R144&lt;&gt;"",V144&lt;&gt;"",W144&lt;&gt;""),"COMPLETADO","OBSERVADO")</f>
        <v>OBSERVADO</v>
      </c>
    </row>
    <row r="145" customFormat="false" ht="15" hidden="false" customHeight="true" outlineLevel="0" collapsed="false">
      <c r="A145" s="140"/>
      <c r="B145" s="140"/>
      <c r="C145" s="140"/>
      <c r="D145" s="140"/>
      <c r="E145" s="140"/>
      <c r="F145" s="140"/>
      <c r="G145" s="140"/>
      <c r="H145" s="140"/>
      <c r="I145" s="138" t="str">
        <f aca="false">IFERROR(VLOOKUP(TEXT(H145,"0"),IPRESS!$A$3:$B$212,2,0),"")</f>
        <v/>
      </c>
      <c r="J145" s="140"/>
      <c r="K145" s="138" t="str">
        <f aca="false">IFERROR(VLOOKUP(TEXT(O145,"0"),CONDUCTORES!$A$3:$G$54,7,0),"")</f>
        <v/>
      </c>
      <c r="L145" s="140"/>
      <c r="M145" s="140"/>
      <c r="N145" s="139" t="str">
        <f aca="false">IFERROR(IF(L145*M145=0,"",L145*M145),"")</f>
        <v/>
      </c>
      <c r="O145" s="140"/>
      <c r="P145" s="138" t="str">
        <f aca="false">IFERROR(VLOOKUP(TEXT(O145,"0"),CONDUCTORES!$A$3:$G$54,2,0),"")</f>
        <v/>
      </c>
      <c r="Q145" s="138" t="str">
        <f aca="false">IFERROR(VLOOKUP(TEXT(O145,"0"),CONDUCTORES!$A$3:$H$54,6,0),"")</f>
        <v/>
      </c>
      <c r="R145" s="140"/>
      <c r="S145" s="140"/>
      <c r="T145" s="140"/>
      <c r="U145" s="140"/>
      <c r="V145" s="140"/>
      <c r="W145" s="140"/>
      <c r="X145" s="140"/>
      <c r="Y145" s="140"/>
      <c r="Z145" s="185" t="str">
        <f aca="false">IF(AND(G145&lt;&gt;"",R145&lt;&gt;"",V145&lt;&gt;"",W145&lt;&gt;""),"COMPLETADO","OBSERVADO")</f>
        <v>OBSERVADO</v>
      </c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138" t="str">
        <f aca="false">IFERROR(VLOOKUP(TEXT(H146,"0"),IPRESS!$A$3:$B$212,2,0),"")</f>
        <v/>
      </c>
      <c r="J146" s="85"/>
      <c r="K146" s="138" t="str">
        <f aca="false">IFERROR(VLOOKUP(TEXT(O146,"0"),CONDUCTORES!$A$3:$G$54,7,0),"")</f>
        <v/>
      </c>
      <c r="L146" s="85"/>
      <c r="M146" s="85"/>
      <c r="N146" s="139" t="str">
        <f aca="false">IFERROR(IF(L146*M146=0,"",L146*M146),"")</f>
        <v/>
      </c>
      <c r="O146" s="85"/>
      <c r="P146" s="138" t="str">
        <f aca="false">IFERROR(VLOOKUP(TEXT(O146,"0"),CONDUCTORES!$A$3:$G$54,2,0),"")</f>
        <v/>
      </c>
      <c r="Q146" s="138" t="str">
        <f aca="false">IFERROR(VLOOKUP(TEXT(O146,"0"),CONDUCTORES!$A$3:$H$54,6,0),"")</f>
        <v/>
      </c>
      <c r="R146" s="85"/>
      <c r="S146" s="85"/>
      <c r="T146" s="85"/>
      <c r="U146" s="85"/>
      <c r="V146" s="85"/>
      <c r="W146" s="85"/>
      <c r="X146" s="85"/>
      <c r="Y146" s="85"/>
      <c r="Z146" s="185" t="str">
        <f aca="false">IF(AND(G146&lt;&gt;"",R146&lt;&gt;"",V146&lt;&gt;"",W146&lt;&gt;""),"COMPLETADO","OBSERVADO")</f>
        <v>OBSERVADO</v>
      </c>
    </row>
    <row r="147" customFormat="false" ht="15" hidden="false" customHeight="true" outlineLevel="0" collapsed="false">
      <c r="A147" s="140"/>
      <c r="B147" s="140"/>
      <c r="C147" s="140"/>
      <c r="D147" s="140"/>
      <c r="E147" s="140"/>
      <c r="F147" s="140"/>
      <c r="G147" s="140"/>
      <c r="H147" s="140"/>
      <c r="I147" s="138" t="str">
        <f aca="false">IFERROR(VLOOKUP(TEXT(H147,"0"),IPRESS!$A$3:$B$212,2,0),"")</f>
        <v/>
      </c>
      <c r="J147" s="140"/>
      <c r="K147" s="138" t="str">
        <f aca="false">IFERROR(VLOOKUP(TEXT(O147,"0"),CONDUCTORES!$A$3:$G$54,7,0),"")</f>
        <v/>
      </c>
      <c r="L147" s="140"/>
      <c r="M147" s="140"/>
      <c r="N147" s="139" t="str">
        <f aca="false">IFERROR(IF(L147*M147=0,"",L147*M147),"")</f>
        <v/>
      </c>
      <c r="O147" s="140"/>
      <c r="P147" s="138" t="str">
        <f aca="false">IFERROR(VLOOKUP(TEXT(O147,"0"),CONDUCTORES!$A$3:$G$54,2,0),"")</f>
        <v/>
      </c>
      <c r="Q147" s="138" t="str">
        <f aca="false">IFERROR(VLOOKUP(TEXT(O147,"0"),CONDUCTORES!$A$3:$H$54,6,0),"")</f>
        <v/>
      </c>
      <c r="R147" s="140"/>
      <c r="S147" s="140"/>
      <c r="T147" s="140"/>
      <c r="U147" s="140"/>
      <c r="V147" s="140"/>
      <c r="W147" s="140"/>
      <c r="X147" s="140"/>
      <c r="Y147" s="140"/>
      <c r="Z147" s="185" t="str">
        <f aca="false">IF(AND(G147&lt;&gt;"",R147&lt;&gt;"",V147&lt;&gt;"",W147&lt;&gt;""),"COMPLETADO","OBSERVADO")</f>
        <v>OBSERVADO</v>
      </c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138" t="str">
        <f aca="false">IFERROR(VLOOKUP(TEXT(H148,"0"),IPRESS!$A$3:$B$212,2,0),"")</f>
        <v/>
      </c>
      <c r="J148" s="85"/>
      <c r="K148" s="138" t="str">
        <f aca="false">IFERROR(VLOOKUP(TEXT(O148,"0"),CONDUCTORES!$A$3:$G$54,7,0),"")</f>
        <v/>
      </c>
      <c r="L148" s="85"/>
      <c r="M148" s="85"/>
      <c r="N148" s="139" t="str">
        <f aca="false">IFERROR(IF(L148*M148=0,"",L148*M148),"")</f>
        <v/>
      </c>
      <c r="O148" s="85"/>
      <c r="P148" s="138" t="str">
        <f aca="false">IFERROR(VLOOKUP(TEXT(O148,"0"),CONDUCTORES!$A$3:$G$54,2,0),"")</f>
        <v/>
      </c>
      <c r="Q148" s="138" t="str">
        <f aca="false">IFERROR(VLOOKUP(TEXT(O148,"0"),CONDUCTORES!$A$3:$H$54,6,0),"")</f>
        <v/>
      </c>
      <c r="R148" s="85"/>
      <c r="S148" s="85"/>
      <c r="T148" s="85"/>
      <c r="U148" s="85"/>
      <c r="V148" s="85"/>
      <c r="W148" s="85"/>
      <c r="X148" s="85"/>
      <c r="Y148" s="85"/>
      <c r="Z148" s="185" t="str">
        <f aca="false">IF(AND(G148&lt;&gt;"",R148&lt;&gt;"",V148&lt;&gt;"",W148&lt;&gt;""),"COMPLETADO","OBSERVADO")</f>
        <v>OBSERVADO</v>
      </c>
    </row>
    <row r="149" customFormat="false" ht="15" hidden="false" customHeight="true" outlineLevel="0" collapsed="false">
      <c r="A149" s="140"/>
      <c r="B149" s="140"/>
      <c r="C149" s="140"/>
      <c r="D149" s="140"/>
      <c r="E149" s="140"/>
      <c r="F149" s="140"/>
      <c r="G149" s="140"/>
      <c r="H149" s="140"/>
      <c r="I149" s="138" t="str">
        <f aca="false">IFERROR(VLOOKUP(TEXT(H149,"0"),IPRESS!$A$3:$B$212,2,0),"")</f>
        <v/>
      </c>
      <c r="J149" s="140"/>
      <c r="K149" s="138" t="str">
        <f aca="false">IFERROR(VLOOKUP(TEXT(O149,"0"),CONDUCTORES!$A$3:$G$54,7,0),"")</f>
        <v/>
      </c>
      <c r="L149" s="140"/>
      <c r="M149" s="140"/>
      <c r="N149" s="139" t="str">
        <f aca="false">IFERROR(IF(L149*M149=0,"",L149*M149),"")</f>
        <v/>
      </c>
      <c r="O149" s="140"/>
      <c r="P149" s="138" t="str">
        <f aca="false">IFERROR(VLOOKUP(TEXT(O149,"0"),CONDUCTORES!$A$3:$G$54,2,0),"")</f>
        <v/>
      </c>
      <c r="Q149" s="138" t="str">
        <f aca="false">IFERROR(VLOOKUP(TEXT(O149,"0"),CONDUCTORES!$A$3:$H$54,6,0),"")</f>
        <v/>
      </c>
      <c r="R149" s="140"/>
      <c r="S149" s="140"/>
      <c r="T149" s="140"/>
      <c r="U149" s="140"/>
      <c r="V149" s="140"/>
      <c r="W149" s="140"/>
      <c r="X149" s="140"/>
      <c r="Y149" s="140"/>
      <c r="Z149" s="185" t="str">
        <f aca="false">IF(AND(G149&lt;&gt;"",R149&lt;&gt;"",V149&lt;&gt;"",W149&lt;&gt;""),"COMPLETADO","OBSERVADO")</f>
        <v>OBSERVADO</v>
      </c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138" t="str">
        <f aca="false">IFERROR(VLOOKUP(TEXT(H150,"0"),IPRESS!$A$3:$B$212,2,0),"")</f>
        <v/>
      </c>
      <c r="J150" s="85"/>
      <c r="K150" s="138" t="str">
        <f aca="false">IFERROR(VLOOKUP(TEXT(O150,"0"),CONDUCTORES!$A$3:$G$54,7,0),"")</f>
        <v/>
      </c>
      <c r="L150" s="85"/>
      <c r="M150" s="85"/>
      <c r="N150" s="139" t="str">
        <f aca="false">IFERROR(IF(L150*M150=0,"",L150*M150),"")</f>
        <v/>
      </c>
      <c r="O150" s="85"/>
      <c r="P150" s="138" t="str">
        <f aca="false">IFERROR(VLOOKUP(TEXT(O150,"0"),CONDUCTORES!$A$3:$G$54,2,0),"")</f>
        <v/>
      </c>
      <c r="Q150" s="138" t="str">
        <f aca="false">IFERROR(VLOOKUP(TEXT(O150,"0"),CONDUCTORES!$A$3:$H$54,6,0),"")</f>
        <v/>
      </c>
      <c r="R150" s="85"/>
      <c r="S150" s="85"/>
      <c r="T150" s="85"/>
      <c r="U150" s="85"/>
      <c r="V150" s="85"/>
      <c r="W150" s="85"/>
      <c r="X150" s="85"/>
      <c r="Y150" s="85"/>
      <c r="Z150" s="185" t="str">
        <f aca="false">IF(AND(G150&lt;&gt;"",R150&lt;&gt;"",V150&lt;&gt;"",W150&lt;&gt;""),"COMPLETADO","OBSERVADO")</f>
        <v>OBSERVADO</v>
      </c>
    </row>
    <row r="151" customFormat="false" ht="15" hidden="false" customHeight="true" outlineLevel="0" collapsed="false">
      <c r="A151" s="140"/>
      <c r="B151" s="140"/>
      <c r="C151" s="140"/>
      <c r="D151" s="140"/>
      <c r="E151" s="140"/>
      <c r="F151" s="140"/>
      <c r="G151" s="140"/>
      <c r="H151" s="140"/>
      <c r="I151" s="138" t="str">
        <f aca="false">IFERROR(VLOOKUP(TEXT(H151,"0"),IPRESS!$A$3:$B$212,2,0),"")</f>
        <v/>
      </c>
      <c r="J151" s="140"/>
      <c r="K151" s="138" t="str">
        <f aca="false">IFERROR(VLOOKUP(TEXT(O151,"0"),CONDUCTORES!$A$3:$G$54,7,0),"")</f>
        <v/>
      </c>
      <c r="L151" s="140"/>
      <c r="M151" s="140"/>
      <c r="N151" s="139" t="str">
        <f aca="false">IFERROR(IF(L151*M151=0,"",L151*M151),"")</f>
        <v/>
      </c>
      <c r="O151" s="140"/>
      <c r="P151" s="138" t="str">
        <f aca="false">IFERROR(VLOOKUP(TEXT(O151,"0"),CONDUCTORES!$A$3:$G$54,2,0),"")</f>
        <v/>
      </c>
      <c r="Q151" s="138" t="str">
        <f aca="false">IFERROR(VLOOKUP(TEXT(O151,"0"),CONDUCTORES!$A$3:$H$54,6,0),"")</f>
        <v/>
      </c>
      <c r="R151" s="140"/>
      <c r="S151" s="140"/>
      <c r="T151" s="140"/>
      <c r="U151" s="140"/>
      <c r="V151" s="140"/>
      <c r="W151" s="140"/>
      <c r="X151" s="140"/>
      <c r="Y151" s="140"/>
      <c r="Z151" s="185" t="str">
        <f aca="false">IF(AND(G151&lt;&gt;"",R151&lt;&gt;"",V151&lt;&gt;"",W151&lt;&gt;""),"COMPLETADO","OBSERVADO")</f>
        <v>OBSERVADO</v>
      </c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138" t="str">
        <f aca="false">IFERROR(VLOOKUP(TEXT(H152,"0"),IPRESS!$A$3:$B$212,2,0),"")</f>
        <v/>
      </c>
      <c r="J152" s="85"/>
      <c r="K152" s="138" t="str">
        <f aca="false">IFERROR(VLOOKUP(TEXT(O152,"0"),CONDUCTORES!$A$3:$G$54,7,0),"")</f>
        <v/>
      </c>
      <c r="L152" s="85"/>
      <c r="M152" s="85"/>
      <c r="N152" s="139" t="str">
        <f aca="false">IFERROR(IF(L152*M152=0,"",L152*M152),"")</f>
        <v/>
      </c>
      <c r="O152" s="85"/>
      <c r="P152" s="138" t="str">
        <f aca="false">IFERROR(VLOOKUP(TEXT(O152,"0"),CONDUCTORES!$A$3:$G$54,2,0),"")</f>
        <v/>
      </c>
      <c r="Q152" s="138" t="str">
        <f aca="false">IFERROR(VLOOKUP(TEXT(O152,"0"),CONDUCTORES!$A$3:$H$54,6,0),"")</f>
        <v/>
      </c>
      <c r="R152" s="85"/>
      <c r="S152" s="85"/>
      <c r="T152" s="85"/>
      <c r="U152" s="85"/>
      <c r="V152" s="85"/>
      <c r="W152" s="85"/>
      <c r="X152" s="85"/>
      <c r="Y152" s="85"/>
      <c r="Z152" s="185" t="str">
        <f aca="false">IF(AND(G152&lt;&gt;"",R152&lt;&gt;"",V152&lt;&gt;"",W152&lt;&gt;""),"COMPLETADO","OBSERVADO")</f>
        <v>OBSERVADO</v>
      </c>
    </row>
    <row r="153" customFormat="false" ht="15" hidden="false" customHeight="true" outlineLevel="0" collapsed="false">
      <c r="A153" s="140"/>
      <c r="B153" s="140"/>
      <c r="C153" s="140"/>
      <c r="D153" s="140"/>
      <c r="E153" s="140"/>
      <c r="F153" s="140"/>
      <c r="G153" s="140"/>
      <c r="H153" s="140"/>
      <c r="I153" s="138" t="str">
        <f aca="false">IFERROR(VLOOKUP(TEXT(H153,"0"),IPRESS!$A$3:$B$212,2,0),"")</f>
        <v/>
      </c>
      <c r="J153" s="140"/>
      <c r="K153" s="138" t="str">
        <f aca="false">IFERROR(VLOOKUP(TEXT(O153,"0"),CONDUCTORES!$A$3:$G$54,7,0),"")</f>
        <v/>
      </c>
      <c r="L153" s="140"/>
      <c r="M153" s="140"/>
      <c r="N153" s="139" t="str">
        <f aca="false">IFERROR(IF(L153*M153=0,"",L153*M153),"")</f>
        <v/>
      </c>
      <c r="O153" s="140"/>
      <c r="P153" s="138" t="str">
        <f aca="false">IFERROR(VLOOKUP(TEXT(O153,"0"),CONDUCTORES!$A$3:$G$54,2,0),"")</f>
        <v/>
      </c>
      <c r="Q153" s="138" t="str">
        <f aca="false">IFERROR(VLOOKUP(TEXT(O153,"0"),CONDUCTORES!$A$3:$H$54,6,0),"")</f>
        <v/>
      </c>
      <c r="R153" s="140"/>
      <c r="S153" s="140"/>
      <c r="T153" s="140"/>
      <c r="U153" s="140"/>
      <c r="V153" s="140"/>
      <c r="W153" s="140"/>
      <c r="X153" s="140"/>
      <c r="Y153" s="140"/>
      <c r="Z153" s="185" t="str">
        <f aca="false">IF(AND(G153&lt;&gt;"",R153&lt;&gt;"",V153&lt;&gt;"",W153&lt;&gt;""),"COMPLETADO","OBSERVADO")</f>
        <v>OBSERVADO</v>
      </c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138" t="str">
        <f aca="false">IFERROR(VLOOKUP(TEXT(H154,"0"),IPRESS!$A$3:$B$212,2,0),"")</f>
        <v/>
      </c>
      <c r="J154" s="85"/>
      <c r="K154" s="138" t="str">
        <f aca="false">IFERROR(VLOOKUP(TEXT(O154,"0"),CONDUCTORES!$A$3:$G$54,7,0),"")</f>
        <v/>
      </c>
      <c r="L154" s="85"/>
      <c r="M154" s="85"/>
      <c r="N154" s="139" t="str">
        <f aca="false">IFERROR(IF(L154*M154=0,"",L154*M154),"")</f>
        <v/>
      </c>
      <c r="O154" s="85"/>
      <c r="P154" s="138" t="str">
        <f aca="false">IFERROR(VLOOKUP(TEXT(O154,"0"),CONDUCTORES!$A$3:$G$54,2,0),"")</f>
        <v/>
      </c>
      <c r="Q154" s="138" t="str">
        <f aca="false">IFERROR(VLOOKUP(TEXT(O154,"0"),CONDUCTORES!$A$3:$H$54,6,0),"")</f>
        <v/>
      </c>
      <c r="R154" s="85"/>
      <c r="S154" s="85"/>
      <c r="T154" s="85"/>
      <c r="U154" s="85"/>
      <c r="V154" s="85"/>
      <c r="W154" s="85"/>
      <c r="X154" s="85"/>
      <c r="Y154" s="85"/>
      <c r="Z154" s="185" t="str">
        <f aca="false">IF(AND(G154&lt;&gt;"",R154&lt;&gt;"",V154&lt;&gt;"",W154&lt;&gt;""),"COMPLETADO","OBSERVADO")</f>
        <v>OBSERVADO</v>
      </c>
    </row>
    <row r="155" customFormat="false" ht="15" hidden="false" customHeight="true" outlineLevel="0" collapsed="false">
      <c r="A155" s="140"/>
      <c r="B155" s="140"/>
      <c r="C155" s="140"/>
      <c r="D155" s="140"/>
      <c r="E155" s="140"/>
      <c r="F155" s="140"/>
      <c r="G155" s="140"/>
      <c r="H155" s="140"/>
      <c r="I155" s="138" t="str">
        <f aca="false">IFERROR(VLOOKUP(TEXT(H155,"0"),IPRESS!$A$3:$B$212,2,0),"")</f>
        <v/>
      </c>
      <c r="J155" s="140"/>
      <c r="K155" s="138" t="str">
        <f aca="false">IFERROR(VLOOKUP(TEXT(O155,"0"),CONDUCTORES!$A$3:$G$54,7,0),"")</f>
        <v/>
      </c>
      <c r="L155" s="140"/>
      <c r="M155" s="140"/>
      <c r="N155" s="139" t="str">
        <f aca="false">IFERROR(IF(L155*M155=0,"",L155*M155),"")</f>
        <v/>
      </c>
      <c r="O155" s="140"/>
      <c r="P155" s="138" t="str">
        <f aca="false">IFERROR(VLOOKUP(TEXT(O155,"0"),CONDUCTORES!$A$3:$G$54,2,0),"")</f>
        <v/>
      </c>
      <c r="Q155" s="138" t="str">
        <f aca="false">IFERROR(VLOOKUP(TEXT(O155,"0"),CONDUCTORES!$A$3:$H$54,6,0),"")</f>
        <v/>
      </c>
      <c r="R155" s="140"/>
      <c r="S155" s="140"/>
      <c r="T155" s="140"/>
      <c r="U155" s="140"/>
      <c r="V155" s="140"/>
      <c r="W155" s="140"/>
      <c r="X155" s="140"/>
      <c r="Y155" s="140"/>
      <c r="Z155" s="185" t="str">
        <f aca="false">IF(AND(G155&lt;&gt;"",R155&lt;&gt;"",V155&lt;&gt;"",W155&lt;&gt;""),"COMPLETADO","OBSERVADO")</f>
        <v>OBSERVADO</v>
      </c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138" t="str">
        <f aca="false">IFERROR(VLOOKUP(TEXT(H156,"0"),IPRESS!$A$3:$B$212,2,0),"")</f>
        <v/>
      </c>
      <c r="J156" s="85"/>
      <c r="K156" s="138" t="str">
        <f aca="false">IFERROR(VLOOKUP(TEXT(O156,"0"),CONDUCTORES!$A$3:$G$54,7,0),"")</f>
        <v/>
      </c>
      <c r="L156" s="85"/>
      <c r="M156" s="85"/>
      <c r="N156" s="139" t="str">
        <f aca="false">IFERROR(IF(L156*M156=0,"",L156*M156),"")</f>
        <v/>
      </c>
      <c r="O156" s="85"/>
      <c r="P156" s="138" t="str">
        <f aca="false">IFERROR(VLOOKUP(TEXT(O156,"0"),CONDUCTORES!$A$3:$G$54,2,0),"")</f>
        <v/>
      </c>
      <c r="Q156" s="138" t="str">
        <f aca="false">IFERROR(VLOOKUP(TEXT(O156,"0"),CONDUCTORES!$A$3:$H$54,6,0),"")</f>
        <v/>
      </c>
      <c r="R156" s="85"/>
      <c r="S156" s="85"/>
      <c r="T156" s="85"/>
      <c r="U156" s="85"/>
      <c r="V156" s="85"/>
      <c r="W156" s="85"/>
      <c r="X156" s="85"/>
      <c r="Y156" s="85"/>
      <c r="Z156" s="185" t="str">
        <f aca="false">IF(AND(G156&lt;&gt;"",R156&lt;&gt;"",V156&lt;&gt;"",W156&lt;&gt;""),"COMPLETADO","OBSERVADO")</f>
        <v>OBSERVADO</v>
      </c>
    </row>
    <row r="157" customFormat="false" ht="15" hidden="false" customHeight="true" outlineLevel="0" collapsed="false">
      <c r="A157" s="140"/>
      <c r="B157" s="140"/>
      <c r="C157" s="140"/>
      <c r="D157" s="140"/>
      <c r="E157" s="140"/>
      <c r="F157" s="140"/>
      <c r="G157" s="140"/>
      <c r="H157" s="140"/>
      <c r="I157" s="138" t="str">
        <f aca="false">IFERROR(VLOOKUP(TEXT(H157,"0"),IPRESS!$A$3:$B$212,2,0),"")</f>
        <v/>
      </c>
      <c r="J157" s="140"/>
      <c r="K157" s="138" t="str">
        <f aca="false">IFERROR(VLOOKUP(TEXT(O157,"0"),CONDUCTORES!$A$3:$G$54,7,0),"")</f>
        <v/>
      </c>
      <c r="L157" s="140"/>
      <c r="M157" s="140"/>
      <c r="N157" s="139" t="str">
        <f aca="false">IFERROR(IF(L157*M157=0,"",L157*M157),"")</f>
        <v/>
      </c>
      <c r="O157" s="140"/>
      <c r="P157" s="138" t="str">
        <f aca="false">IFERROR(VLOOKUP(TEXT(O157,"0"),CONDUCTORES!$A$3:$G$54,2,0),"")</f>
        <v/>
      </c>
      <c r="Q157" s="138" t="str">
        <f aca="false">IFERROR(VLOOKUP(TEXT(O157,"0"),CONDUCTORES!$A$3:$H$54,6,0),"")</f>
        <v/>
      </c>
      <c r="R157" s="140"/>
      <c r="S157" s="140"/>
      <c r="T157" s="140"/>
      <c r="U157" s="140"/>
      <c r="V157" s="140"/>
      <c r="W157" s="140"/>
      <c r="X157" s="140"/>
      <c r="Y157" s="140"/>
      <c r="Z157" s="185" t="str">
        <f aca="false">IF(AND(G157&lt;&gt;"",R157&lt;&gt;"",V157&lt;&gt;"",W157&lt;&gt;""),"COMPLETADO","OBSERVADO")</f>
        <v>OBSERVADO</v>
      </c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138" t="str">
        <f aca="false">IFERROR(VLOOKUP(TEXT(H158,"0"),IPRESS!$A$3:$B$212,2,0),"")</f>
        <v/>
      </c>
      <c r="J158" s="85"/>
      <c r="K158" s="138" t="str">
        <f aca="false">IFERROR(VLOOKUP(TEXT(O158,"0"),CONDUCTORES!$A$3:$G$54,7,0),"")</f>
        <v/>
      </c>
      <c r="L158" s="85"/>
      <c r="M158" s="85"/>
      <c r="N158" s="139" t="str">
        <f aca="false">IFERROR(IF(L158*M158=0,"",L158*M158),"")</f>
        <v/>
      </c>
      <c r="O158" s="85"/>
      <c r="P158" s="138" t="str">
        <f aca="false">IFERROR(VLOOKUP(TEXT(O158,"0"),CONDUCTORES!$A$3:$G$54,2,0),"")</f>
        <v/>
      </c>
      <c r="Q158" s="138" t="str">
        <f aca="false">IFERROR(VLOOKUP(TEXT(O158,"0"),CONDUCTORES!$A$3:$H$54,6,0),"")</f>
        <v/>
      </c>
      <c r="R158" s="85"/>
      <c r="S158" s="85"/>
      <c r="T158" s="85"/>
      <c r="U158" s="85"/>
      <c r="V158" s="85"/>
      <c r="W158" s="85"/>
      <c r="X158" s="85"/>
      <c r="Y158" s="85"/>
      <c r="Z158" s="185" t="str">
        <f aca="false">IF(AND(G158&lt;&gt;"",R158&lt;&gt;"",V158&lt;&gt;"",W158&lt;&gt;""),"COMPLETADO","OBSERVADO")</f>
        <v>OBSERVADO</v>
      </c>
    </row>
    <row r="159" customFormat="false" ht="15" hidden="false" customHeight="true" outlineLevel="0" collapsed="false">
      <c r="A159" s="140"/>
      <c r="B159" s="140"/>
      <c r="C159" s="140"/>
      <c r="D159" s="140"/>
      <c r="E159" s="140"/>
      <c r="F159" s="140"/>
      <c r="G159" s="140"/>
      <c r="H159" s="140"/>
      <c r="I159" s="138" t="str">
        <f aca="false">IFERROR(VLOOKUP(TEXT(H159,"0"),IPRESS!$A$3:$B$212,2,0),"")</f>
        <v/>
      </c>
      <c r="J159" s="140"/>
      <c r="K159" s="138" t="str">
        <f aca="false">IFERROR(VLOOKUP(TEXT(O159,"0"),CONDUCTORES!$A$3:$G$54,7,0),"")</f>
        <v/>
      </c>
      <c r="L159" s="140"/>
      <c r="M159" s="140"/>
      <c r="N159" s="139" t="str">
        <f aca="false">IFERROR(IF(L159*M159=0,"",L159*M159),"")</f>
        <v/>
      </c>
      <c r="O159" s="140"/>
      <c r="P159" s="138" t="str">
        <f aca="false">IFERROR(VLOOKUP(TEXT(O159,"0"),CONDUCTORES!$A$3:$G$54,2,0),"")</f>
        <v/>
      </c>
      <c r="Q159" s="138" t="str">
        <f aca="false">IFERROR(VLOOKUP(TEXT(O159,"0"),CONDUCTORES!$A$3:$H$54,6,0),"")</f>
        <v/>
      </c>
      <c r="R159" s="140"/>
      <c r="S159" s="140"/>
      <c r="T159" s="140"/>
      <c r="U159" s="140"/>
      <c r="V159" s="140"/>
      <c r="W159" s="140"/>
      <c r="X159" s="140"/>
      <c r="Y159" s="140"/>
      <c r="Z159" s="185" t="str">
        <f aca="false">IF(AND(G159&lt;&gt;"",R159&lt;&gt;"",V159&lt;&gt;"",W159&lt;&gt;""),"COMPLETADO","OBSERVADO")</f>
        <v>OBSERVADO</v>
      </c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138" t="str">
        <f aca="false">IFERROR(VLOOKUP(TEXT(H160,"0"),IPRESS!$A$3:$B$212,2,0),"")</f>
        <v/>
      </c>
      <c r="J160" s="85"/>
      <c r="K160" s="138" t="str">
        <f aca="false">IFERROR(VLOOKUP(TEXT(O160,"0"),CONDUCTORES!$A$3:$G$54,7,0),"")</f>
        <v/>
      </c>
      <c r="L160" s="85"/>
      <c r="M160" s="85"/>
      <c r="N160" s="139" t="str">
        <f aca="false">IFERROR(IF(L160*M160=0,"",L160*M160),"")</f>
        <v/>
      </c>
      <c r="O160" s="85"/>
      <c r="P160" s="138" t="str">
        <f aca="false">IFERROR(VLOOKUP(TEXT(O160,"0"),CONDUCTORES!$A$3:$G$54,2,0),"")</f>
        <v/>
      </c>
      <c r="Q160" s="138" t="str">
        <f aca="false">IFERROR(VLOOKUP(TEXT(O160,"0"),CONDUCTORES!$A$3:$H$54,6,0),"")</f>
        <v/>
      </c>
      <c r="R160" s="85"/>
      <c r="S160" s="85"/>
      <c r="T160" s="85"/>
      <c r="U160" s="85"/>
      <c r="V160" s="85"/>
      <c r="W160" s="85"/>
      <c r="X160" s="85"/>
      <c r="Y160" s="85"/>
      <c r="Z160" s="185" t="str">
        <f aca="false">IF(AND(G160&lt;&gt;"",R160&lt;&gt;"",V160&lt;&gt;"",W160&lt;&gt;""),"COMPLETADO","OBSERVADO")</f>
        <v>OBSERVADO</v>
      </c>
    </row>
    <row r="161" customFormat="false" ht="15" hidden="false" customHeight="true" outlineLevel="0" collapsed="false">
      <c r="A161" s="140"/>
      <c r="B161" s="140"/>
      <c r="C161" s="140"/>
      <c r="D161" s="140"/>
      <c r="E161" s="140"/>
      <c r="F161" s="140"/>
      <c r="G161" s="140"/>
      <c r="H161" s="140"/>
      <c r="I161" s="138" t="str">
        <f aca="false">IFERROR(VLOOKUP(TEXT(H161,"0"),IPRESS!$A$3:$B$212,2,0),"")</f>
        <v/>
      </c>
      <c r="J161" s="140"/>
      <c r="K161" s="138" t="str">
        <f aca="false">IFERROR(VLOOKUP(TEXT(O161,"0"),CONDUCTORES!$A$3:$G$54,7,0),"")</f>
        <v/>
      </c>
      <c r="L161" s="140"/>
      <c r="M161" s="140"/>
      <c r="N161" s="139" t="str">
        <f aca="false">IFERROR(IF(L161*M161=0,"",L161*M161),"")</f>
        <v/>
      </c>
      <c r="O161" s="140"/>
      <c r="P161" s="138" t="str">
        <f aca="false">IFERROR(VLOOKUP(TEXT(O161,"0"),CONDUCTORES!$A$3:$G$54,2,0),"")</f>
        <v/>
      </c>
      <c r="Q161" s="138" t="str">
        <f aca="false">IFERROR(VLOOKUP(TEXT(O161,"0"),CONDUCTORES!$A$3:$H$54,6,0),"")</f>
        <v/>
      </c>
      <c r="R161" s="140"/>
      <c r="S161" s="140"/>
      <c r="T161" s="140"/>
      <c r="U161" s="140"/>
      <c r="V161" s="140"/>
      <c r="W161" s="140"/>
      <c r="X161" s="140"/>
      <c r="Y161" s="140"/>
      <c r="Z161" s="185" t="str">
        <f aca="false">IF(AND(G161&lt;&gt;"",R161&lt;&gt;"",V161&lt;&gt;"",W161&lt;&gt;""),"COMPLETADO","OBSERVADO")</f>
        <v>OBSERVADO</v>
      </c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138" t="str">
        <f aca="false">IFERROR(VLOOKUP(TEXT(H162,"0"),IPRESS!$A$3:$B$212,2,0),"")</f>
        <v/>
      </c>
      <c r="J162" s="85"/>
      <c r="K162" s="138" t="str">
        <f aca="false">IFERROR(VLOOKUP(TEXT(O162,"0"),CONDUCTORES!$A$3:$G$54,7,0),"")</f>
        <v/>
      </c>
      <c r="L162" s="85"/>
      <c r="M162" s="85"/>
      <c r="N162" s="139" t="str">
        <f aca="false">IFERROR(IF(L162*M162=0,"",L162*M162),"")</f>
        <v/>
      </c>
      <c r="O162" s="85"/>
      <c r="P162" s="138" t="str">
        <f aca="false">IFERROR(VLOOKUP(TEXT(O162,"0"),CONDUCTORES!$A$3:$G$54,2,0),"")</f>
        <v/>
      </c>
      <c r="Q162" s="138" t="str">
        <f aca="false">IFERROR(VLOOKUP(TEXT(O162,"0"),CONDUCTORES!$A$3:$H$54,6,0),"")</f>
        <v/>
      </c>
      <c r="R162" s="85"/>
      <c r="S162" s="85"/>
      <c r="T162" s="85"/>
      <c r="U162" s="85"/>
      <c r="V162" s="85"/>
      <c r="W162" s="85"/>
      <c r="X162" s="85"/>
      <c r="Y162" s="85"/>
      <c r="Z162" s="185" t="str">
        <f aca="false">IF(AND(G162&lt;&gt;"",R162&lt;&gt;"",V162&lt;&gt;"",W162&lt;&gt;""),"COMPLETADO","OBSERVADO")</f>
        <v>OBSERVADO</v>
      </c>
    </row>
    <row r="163" customFormat="false" ht="15" hidden="false" customHeight="true" outlineLevel="0" collapsed="false">
      <c r="A163" s="140"/>
      <c r="B163" s="140"/>
      <c r="C163" s="140"/>
      <c r="D163" s="140"/>
      <c r="E163" s="140"/>
      <c r="F163" s="140"/>
      <c r="G163" s="140"/>
      <c r="H163" s="140"/>
      <c r="I163" s="138" t="str">
        <f aca="false">IFERROR(VLOOKUP(TEXT(H163,"0"),IPRESS!$A$3:$B$212,2,0),"")</f>
        <v/>
      </c>
      <c r="J163" s="140"/>
      <c r="K163" s="138" t="str">
        <f aca="false">IFERROR(VLOOKUP(TEXT(O163,"0"),CONDUCTORES!$A$3:$G$54,7,0),"")</f>
        <v/>
      </c>
      <c r="L163" s="140"/>
      <c r="M163" s="140"/>
      <c r="N163" s="139" t="str">
        <f aca="false">IFERROR(IF(L163*M163=0,"",L163*M163),"")</f>
        <v/>
      </c>
      <c r="O163" s="140"/>
      <c r="P163" s="138" t="str">
        <f aca="false">IFERROR(VLOOKUP(TEXT(O163,"0"),CONDUCTORES!$A$3:$G$54,2,0),"")</f>
        <v/>
      </c>
      <c r="Q163" s="138" t="str">
        <f aca="false">IFERROR(VLOOKUP(TEXT(O163,"0"),CONDUCTORES!$A$3:$H$54,6,0),"")</f>
        <v/>
      </c>
      <c r="R163" s="140"/>
      <c r="S163" s="140"/>
      <c r="T163" s="140"/>
      <c r="U163" s="140"/>
      <c r="V163" s="140"/>
      <c r="W163" s="140"/>
      <c r="X163" s="140"/>
      <c r="Y163" s="140"/>
      <c r="Z163" s="185" t="str">
        <f aca="false">IF(AND(G163&lt;&gt;"",R163&lt;&gt;"",V163&lt;&gt;"",W163&lt;&gt;""),"COMPLETADO","OBSERVADO")</f>
        <v>OBSERVADO</v>
      </c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138" t="str">
        <f aca="false">IFERROR(VLOOKUP(TEXT(H164,"0"),IPRESS!$A$3:$B$212,2,0),"")</f>
        <v/>
      </c>
      <c r="J164" s="85"/>
      <c r="K164" s="138" t="str">
        <f aca="false">IFERROR(VLOOKUP(TEXT(O164,"0"),CONDUCTORES!$A$3:$G$54,7,0),"")</f>
        <v/>
      </c>
      <c r="L164" s="85"/>
      <c r="M164" s="85"/>
      <c r="N164" s="139" t="str">
        <f aca="false">IFERROR(IF(L164*M164=0,"",L164*M164),"")</f>
        <v/>
      </c>
      <c r="O164" s="85"/>
      <c r="P164" s="138" t="str">
        <f aca="false">IFERROR(VLOOKUP(TEXT(O164,"0"),CONDUCTORES!$A$3:$G$54,2,0),"")</f>
        <v/>
      </c>
      <c r="Q164" s="138" t="str">
        <f aca="false">IFERROR(VLOOKUP(TEXT(O164,"0"),CONDUCTORES!$A$3:$H$54,6,0),"")</f>
        <v/>
      </c>
      <c r="R164" s="85"/>
      <c r="S164" s="85"/>
      <c r="T164" s="85"/>
      <c r="U164" s="85"/>
      <c r="V164" s="85"/>
      <c r="W164" s="85"/>
      <c r="X164" s="85"/>
      <c r="Y164" s="85"/>
      <c r="Z164" s="185" t="str">
        <f aca="false">IF(AND(G164&lt;&gt;"",R164&lt;&gt;"",V164&lt;&gt;"",W164&lt;&gt;""),"COMPLETADO","OBSERVADO")</f>
        <v>OBSERVADO</v>
      </c>
    </row>
    <row r="165" customFormat="false" ht="15" hidden="false" customHeight="true" outlineLevel="0" collapsed="false">
      <c r="A165" s="140"/>
      <c r="B165" s="140"/>
      <c r="C165" s="140"/>
      <c r="D165" s="140"/>
      <c r="E165" s="140"/>
      <c r="F165" s="140"/>
      <c r="G165" s="140"/>
      <c r="H165" s="140"/>
      <c r="I165" s="138" t="str">
        <f aca="false">IFERROR(VLOOKUP(TEXT(H165,"0"),IPRESS!$A$3:$B$212,2,0),"")</f>
        <v/>
      </c>
      <c r="J165" s="140"/>
      <c r="K165" s="138" t="str">
        <f aca="false">IFERROR(VLOOKUP(TEXT(O165,"0"),CONDUCTORES!$A$3:$G$54,7,0),"")</f>
        <v/>
      </c>
      <c r="L165" s="140"/>
      <c r="M165" s="140"/>
      <c r="N165" s="139" t="str">
        <f aca="false">IFERROR(IF(L165*M165=0,"",L165*M165),"")</f>
        <v/>
      </c>
      <c r="O165" s="140"/>
      <c r="P165" s="138" t="str">
        <f aca="false">IFERROR(VLOOKUP(TEXT(O165,"0"),CONDUCTORES!$A$3:$G$54,2,0),"")</f>
        <v/>
      </c>
      <c r="Q165" s="138" t="str">
        <f aca="false">IFERROR(VLOOKUP(TEXT(O165,"0"),CONDUCTORES!$A$3:$H$54,6,0),"")</f>
        <v/>
      </c>
      <c r="R165" s="140"/>
      <c r="S165" s="140"/>
      <c r="T165" s="140"/>
      <c r="U165" s="140"/>
      <c r="V165" s="140"/>
      <c r="W165" s="140"/>
      <c r="X165" s="140"/>
      <c r="Y165" s="140"/>
      <c r="Z165" s="185" t="str">
        <f aca="false">IF(AND(G165&lt;&gt;"",R165&lt;&gt;"",V165&lt;&gt;"",W165&lt;&gt;""),"COMPLETADO","OBSERVADO")</f>
        <v>OBSERVADO</v>
      </c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138" t="str">
        <f aca="false">IFERROR(VLOOKUP(TEXT(H166,"0"),IPRESS!$A$3:$B$212,2,0),"")</f>
        <v/>
      </c>
      <c r="J166" s="85"/>
      <c r="K166" s="138" t="str">
        <f aca="false">IFERROR(VLOOKUP(TEXT(O166,"0"),CONDUCTORES!$A$3:$G$54,7,0),"")</f>
        <v/>
      </c>
      <c r="L166" s="85"/>
      <c r="M166" s="85"/>
      <c r="N166" s="139" t="str">
        <f aca="false">IFERROR(IF(L166*M166=0,"",L166*M166),"")</f>
        <v/>
      </c>
      <c r="O166" s="85"/>
      <c r="P166" s="138" t="str">
        <f aca="false">IFERROR(VLOOKUP(TEXT(O166,"0"),CONDUCTORES!$A$3:$G$54,2,0),"")</f>
        <v/>
      </c>
      <c r="Q166" s="138" t="str">
        <f aca="false">IFERROR(VLOOKUP(TEXT(O166,"0"),CONDUCTORES!$A$3:$H$54,6,0),"")</f>
        <v/>
      </c>
      <c r="R166" s="85"/>
      <c r="S166" s="85"/>
      <c r="T166" s="85"/>
      <c r="U166" s="85"/>
      <c r="V166" s="85"/>
      <c r="W166" s="85"/>
      <c r="X166" s="85"/>
      <c r="Y166" s="85"/>
      <c r="Z166" s="185" t="str">
        <f aca="false">IF(AND(G166&lt;&gt;"",R166&lt;&gt;"",V166&lt;&gt;"",W166&lt;&gt;""),"COMPLETADO","OBSERVADO")</f>
        <v>OBSERVADO</v>
      </c>
    </row>
    <row r="167" customFormat="false" ht="15" hidden="false" customHeight="true" outlineLevel="0" collapsed="false">
      <c r="A167" s="140"/>
      <c r="B167" s="140"/>
      <c r="C167" s="140"/>
      <c r="D167" s="140"/>
      <c r="E167" s="140"/>
      <c r="F167" s="140"/>
      <c r="G167" s="140"/>
      <c r="H167" s="140"/>
      <c r="I167" s="138" t="str">
        <f aca="false">IFERROR(VLOOKUP(TEXT(H167,"0"),IPRESS!$A$3:$B$212,2,0),"")</f>
        <v/>
      </c>
      <c r="J167" s="140"/>
      <c r="K167" s="138" t="str">
        <f aca="false">IFERROR(VLOOKUP(TEXT(O167,"0"),CONDUCTORES!$A$3:$G$54,7,0),"")</f>
        <v/>
      </c>
      <c r="L167" s="140"/>
      <c r="M167" s="140"/>
      <c r="N167" s="139" t="str">
        <f aca="false">IFERROR(IF(L167*M167=0,"",L167*M167),"")</f>
        <v/>
      </c>
      <c r="O167" s="140"/>
      <c r="P167" s="138" t="str">
        <f aca="false">IFERROR(VLOOKUP(TEXT(O167,"0"),CONDUCTORES!$A$3:$G$54,2,0),"")</f>
        <v/>
      </c>
      <c r="Q167" s="138" t="str">
        <f aca="false">IFERROR(VLOOKUP(TEXT(O167,"0"),CONDUCTORES!$A$3:$H$54,6,0),"")</f>
        <v/>
      </c>
      <c r="R167" s="140"/>
      <c r="S167" s="140"/>
      <c r="T167" s="140"/>
      <c r="U167" s="140"/>
      <c r="V167" s="140"/>
      <c r="W167" s="140"/>
      <c r="X167" s="140"/>
      <c r="Y167" s="140"/>
      <c r="Z167" s="185" t="str">
        <f aca="false">IF(AND(G167&lt;&gt;"",R167&lt;&gt;"",V167&lt;&gt;"",W167&lt;&gt;""),"COMPLETADO","OBSERVADO")</f>
        <v>OBSERVADO</v>
      </c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138" t="str">
        <f aca="false">IFERROR(VLOOKUP(TEXT(H168,"0"),IPRESS!$A$3:$B$212,2,0),"")</f>
        <v/>
      </c>
      <c r="J168" s="85"/>
      <c r="K168" s="138" t="str">
        <f aca="false">IFERROR(VLOOKUP(TEXT(O168,"0"),CONDUCTORES!$A$3:$G$54,7,0),"")</f>
        <v/>
      </c>
      <c r="L168" s="85"/>
      <c r="M168" s="85"/>
      <c r="N168" s="139" t="str">
        <f aca="false">IFERROR(IF(L168*M168=0,"",L168*M168),"")</f>
        <v/>
      </c>
      <c r="O168" s="85"/>
      <c r="P168" s="138" t="str">
        <f aca="false">IFERROR(VLOOKUP(TEXT(O168,"0"),CONDUCTORES!$A$3:$G$54,2,0),"")</f>
        <v/>
      </c>
      <c r="Q168" s="138" t="str">
        <f aca="false">IFERROR(VLOOKUP(TEXT(O168,"0"),CONDUCTORES!$A$3:$H$54,6,0),"")</f>
        <v/>
      </c>
      <c r="R168" s="85"/>
      <c r="S168" s="85"/>
      <c r="T168" s="85"/>
      <c r="U168" s="85"/>
      <c r="V168" s="85"/>
      <c r="W168" s="85"/>
      <c r="X168" s="85"/>
      <c r="Y168" s="85"/>
      <c r="Z168" s="185" t="str">
        <f aca="false">IF(AND(G168&lt;&gt;"",R168&lt;&gt;"",V168&lt;&gt;"",W168&lt;&gt;""),"COMPLETADO","OBSERVADO")</f>
        <v>OBSERVADO</v>
      </c>
    </row>
    <row r="169" customFormat="false" ht="15" hidden="false" customHeight="true" outlineLevel="0" collapsed="false">
      <c r="A169" s="140"/>
      <c r="B169" s="140"/>
      <c r="C169" s="140"/>
      <c r="D169" s="140"/>
      <c r="E169" s="140"/>
      <c r="F169" s="140"/>
      <c r="G169" s="140"/>
      <c r="H169" s="140"/>
      <c r="I169" s="138" t="str">
        <f aca="false">IFERROR(VLOOKUP(TEXT(H169,"0"),IPRESS!$A$3:$B$212,2,0),"")</f>
        <v/>
      </c>
      <c r="J169" s="140"/>
      <c r="K169" s="138" t="str">
        <f aca="false">IFERROR(VLOOKUP(TEXT(O169,"0"),CONDUCTORES!$A$3:$G$54,7,0),"")</f>
        <v/>
      </c>
      <c r="L169" s="140"/>
      <c r="M169" s="140"/>
      <c r="N169" s="139" t="str">
        <f aca="false">IFERROR(IF(L169*M169=0,"",L169*M169),"")</f>
        <v/>
      </c>
      <c r="O169" s="140"/>
      <c r="P169" s="138" t="str">
        <f aca="false">IFERROR(VLOOKUP(TEXT(O169,"0"),CONDUCTORES!$A$3:$G$54,2,0),"")</f>
        <v/>
      </c>
      <c r="Q169" s="138" t="str">
        <f aca="false">IFERROR(VLOOKUP(TEXT(O169,"0"),CONDUCTORES!$A$3:$H$54,6,0),"")</f>
        <v/>
      </c>
      <c r="R169" s="140"/>
      <c r="S169" s="140"/>
      <c r="T169" s="140"/>
      <c r="U169" s="140"/>
      <c r="V169" s="140"/>
      <c r="W169" s="140"/>
      <c r="X169" s="140"/>
      <c r="Y169" s="140"/>
      <c r="Z169" s="185" t="str">
        <f aca="false">IF(AND(G169&lt;&gt;"",R169&lt;&gt;"",V169&lt;&gt;"",W169&lt;&gt;""),"COMPLETADO","OBSERVADO")</f>
        <v>OBSERVADO</v>
      </c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138" t="str">
        <f aca="false">IFERROR(VLOOKUP(TEXT(H170,"0"),IPRESS!$A$3:$B$212,2,0),"")</f>
        <v/>
      </c>
      <c r="J170" s="85"/>
      <c r="K170" s="138" t="str">
        <f aca="false">IFERROR(VLOOKUP(TEXT(O170,"0"),CONDUCTORES!$A$3:$G$54,7,0),"")</f>
        <v/>
      </c>
      <c r="L170" s="85"/>
      <c r="M170" s="85"/>
      <c r="N170" s="139" t="str">
        <f aca="false">IFERROR(IF(L170*M170=0,"",L170*M170),"")</f>
        <v/>
      </c>
      <c r="O170" s="85"/>
      <c r="P170" s="138" t="str">
        <f aca="false">IFERROR(VLOOKUP(TEXT(O170,"0"),CONDUCTORES!$A$3:$G$54,2,0),"")</f>
        <v/>
      </c>
      <c r="Q170" s="138" t="str">
        <f aca="false">IFERROR(VLOOKUP(TEXT(O170,"0"),CONDUCTORES!$A$3:$H$54,6,0),"")</f>
        <v/>
      </c>
      <c r="R170" s="85"/>
      <c r="S170" s="85"/>
      <c r="T170" s="85"/>
      <c r="U170" s="85"/>
      <c r="V170" s="85"/>
      <c r="W170" s="85"/>
      <c r="X170" s="85"/>
      <c r="Y170" s="85"/>
      <c r="Z170" s="185" t="str">
        <f aca="false">IF(AND(G170&lt;&gt;"",R170&lt;&gt;"",V170&lt;&gt;"",W170&lt;&gt;""),"COMPLETADO","OBSERVADO")</f>
        <v>OBSERVADO</v>
      </c>
    </row>
    <row r="171" customFormat="false" ht="15" hidden="false" customHeight="true" outlineLevel="0" collapsed="false">
      <c r="A171" s="140"/>
      <c r="B171" s="140"/>
      <c r="C171" s="140"/>
      <c r="D171" s="140"/>
      <c r="E171" s="140"/>
      <c r="F171" s="140"/>
      <c r="G171" s="140"/>
      <c r="H171" s="140"/>
      <c r="I171" s="138" t="str">
        <f aca="false">IFERROR(VLOOKUP(TEXT(H171,"0"),IPRESS!$A$3:$B$212,2,0),"")</f>
        <v/>
      </c>
      <c r="J171" s="140"/>
      <c r="K171" s="138" t="str">
        <f aca="false">IFERROR(VLOOKUP(TEXT(O171,"0"),CONDUCTORES!$A$3:$G$54,7,0),"")</f>
        <v/>
      </c>
      <c r="L171" s="140"/>
      <c r="M171" s="140"/>
      <c r="N171" s="139" t="str">
        <f aca="false">IFERROR(IF(L171*M171=0,"",L171*M171),"")</f>
        <v/>
      </c>
      <c r="O171" s="140"/>
      <c r="P171" s="138" t="str">
        <f aca="false">IFERROR(VLOOKUP(TEXT(O171,"0"),CONDUCTORES!$A$3:$G$54,2,0),"")</f>
        <v/>
      </c>
      <c r="Q171" s="138" t="str">
        <f aca="false">IFERROR(VLOOKUP(TEXT(O171,"0"),CONDUCTORES!$A$3:$H$54,6,0),"")</f>
        <v/>
      </c>
      <c r="R171" s="140"/>
      <c r="S171" s="140"/>
      <c r="T171" s="140"/>
      <c r="U171" s="140"/>
      <c r="V171" s="140"/>
      <c r="W171" s="140"/>
      <c r="X171" s="140"/>
      <c r="Y171" s="140"/>
      <c r="Z171" s="185" t="str">
        <f aca="false">IF(AND(G171&lt;&gt;"",R171&lt;&gt;"",V171&lt;&gt;"",W171&lt;&gt;""),"COMPLETADO","OBSERVADO")</f>
        <v>OBSERVADO</v>
      </c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138" t="str">
        <f aca="false">IFERROR(VLOOKUP(TEXT(H172,"0"),IPRESS!$A$3:$B$212,2,0),"")</f>
        <v/>
      </c>
      <c r="J172" s="85"/>
      <c r="K172" s="138" t="str">
        <f aca="false">IFERROR(VLOOKUP(TEXT(O172,"0"),CONDUCTORES!$A$3:$G$54,7,0),"")</f>
        <v/>
      </c>
      <c r="L172" s="85"/>
      <c r="M172" s="85"/>
      <c r="N172" s="139" t="str">
        <f aca="false">IFERROR(IF(L172*M172=0,"",L172*M172),"")</f>
        <v/>
      </c>
      <c r="O172" s="85"/>
      <c r="P172" s="138" t="str">
        <f aca="false">IFERROR(VLOOKUP(TEXT(O172,"0"),CONDUCTORES!$A$3:$G$54,2,0),"")</f>
        <v/>
      </c>
      <c r="Q172" s="138" t="str">
        <f aca="false">IFERROR(VLOOKUP(TEXT(O172,"0"),CONDUCTORES!$A$3:$H$54,6,0),"")</f>
        <v/>
      </c>
      <c r="R172" s="85"/>
      <c r="S172" s="85"/>
      <c r="T172" s="85"/>
      <c r="U172" s="85"/>
      <c r="V172" s="85"/>
      <c r="W172" s="85"/>
      <c r="X172" s="85"/>
      <c r="Y172" s="85"/>
      <c r="Z172" s="185" t="str">
        <f aca="false">IF(AND(G172&lt;&gt;"",R172&lt;&gt;"",V172&lt;&gt;"",W172&lt;&gt;""),"COMPLETADO","OBSERVADO")</f>
        <v>OBSERVADO</v>
      </c>
    </row>
    <row r="173" customFormat="false" ht="15" hidden="false" customHeight="true" outlineLevel="0" collapsed="false">
      <c r="A173" s="140"/>
      <c r="B173" s="140"/>
      <c r="C173" s="140"/>
      <c r="D173" s="140"/>
      <c r="E173" s="140"/>
      <c r="F173" s="140"/>
      <c r="G173" s="140"/>
      <c r="H173" s="140"/>
      <c r="I173" s="138" t="str">
        <f aca="false">IFERROR(VLOOKUP(TEXT(H173,"0"),IPRESS!$A$3:$B$212,2,0),"")</f>
        <v/>
      </c>
      <c r="J173" s="140"/>
      <c r="K173" s="138" t="str">
        <f aca="false">IFERROR(VLOOKUP(TEXT(O173,"0"),CONDUCTORES!$A$3:$G$54,7,0),"")</f>
        <v/>
      </c>
      <c r="L173" s="140"/>
      <c r="M173" s="140"/>
      <c r="N173" s="139" t="str">
        <f aca="false">IFERROR(IF(L173*M173=0,"",L173*M173),"")</f>
        <v/>
      </c>
      <c r="O173" s="140"/>
      <c r="P173" s="138" t="str">
        <f aca="false">IFERROR(VLOOKUP(TEXT(O173,"0"),CONDUCTORES!$A$3:$G$54,2,0),"")</f>
        <v/>
      </c>
      <c r="Q173" s="138" t="str">
        <f aca="false">IFERROR(VLOOKUP(TEXT(O173,"0"),CONDUCTORES!$A$3:$H$54,6,0),"")</f>
        <v/>
      </c>
      <c r="R173" s="140"/>
      <c r="S173" s="140"/>
      <c r="T173" s="140"/>
      <c r="U173" s="140"/>
      <c r="V173" s="140"/>
      <c r="W173" s="140"/>
      <c r="X173" s="140"/>
      <c r="Y173" s="140"/>
      <c r="Z173" s="185" t="str">
        <f aca="false">IF(AND(G173&lt;&gt;"",R173&lt;&gt;"",V173&lt;&gt;"",W173&lt;&gt;""),"COMPLETADO","OBSERVADO")</f>
        <v>OBSERVADO</v>
      </c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138" t="str">
        <f aca="false">IFERROR(VLOOKUP(TEXT(H174,"0"),IPRESS!$A$3:$B$212,2,0),"")</f>
        <v/>
      </c>
      <c r="J174" s="85"/>
      <c r="K174" s="138" t="str">
        <f aca="false">IFERROR(VLOOKUP(TEXT(O174,"0"),CONDUCTORES!$A$3:$G$54,7,0),"")</f>
        <v/>
      </c>
      <c r="L174" s="85"/>
      <c r="M174" s="85"/>
      <c r="N174" s="139" t="str">
        <f aca="false">IFERROR(IF(L174*M174=0,"",L174*M174),"")</f>
        <v/>
      </c>
      <c r="O174" s="85"/>
      <c r="P174" s="138" t="str">
        <f aca="false">IFERROR(VLOOKUP(TEXT(O174,"0"),CONDUCTORES!$A$3:$G$54,2,0),"")</f>
        <v/>
      </c>
      <c r="Q174" s="138" t="str">
        <f aca="false">IFERROR(VLOOKUP(TEXT(O174,"0"),CONDUCTORES!$A$3:$H$54,6,0),"")</f>
        <v/>
      </c>
      <c r="R174" s="85"/>
      <c r="S174" s="85"/>
      <c r="T174" s="85"/>
      <c r="U174" s="85"/>
      <c r="V174" s="85"/>
      <c r="W174" s="85"/>
      <c r="X174" s="85"/>
      <c r="Y174" s="85"/>
      <c r="Z174" s="185" t="str">
        <f aca="false">IF(AND(G174&lt;&gt;"",R174&lt;&gt;"",V174&lt;&gt;"",W174&lt;&gt;""),"COMPLETADO","OBSERVADO")</f>
        <v>OBSERVADO</v>
      </c>
    </row>
    <row r="175" customFormat="false" ht="15" hidden="false" customHeight="true" outlineLevel="0" collapsed="false">
      <c r="A175" s="140"/>
      <c r="B175" s="140"/>
      <c r="C175" s="140"/>
      <c r="D175" s="140"/>
      <c r="E175" s="140"/>
      <c r="F175" s="140"/>
      <c r="G175" s="140"/>
      <c r="H175" s="140"/>
      <c r="I175" s="138" t="str">
        <f aca="false">IFERROR(VLOOKUP(TEXT(H175,"0"),IPRESS!$A$3:$B$212,2,0),"")</f>
        <v/>
      </c>
      <c r="J175" s="140"/>
      <c r="K175" s="138" t="str">
        <f aca="false">IFERROR(VLOOKUP(TEXT(O175,"0"),CONDUCTORES!$A$3:$G$54,7,0),"")</f>
        <v/>
      </c>
      <c r="L175" s="140"/>
      <c r="M175" s="140"/>
      <c r="N175" s="139" t="str">
        <f aca="false">IFERROR(IF(L175*M175=0,"",L175*M175),"")</f>
        <v/>
      </c>
      <c r="O175" s="140"/>
      <c r="P175" s="138" t="str">
        <f aca="false">IFERROR(VLOOKUP(TEXT(O175,"0"),CONDUCTORES!$A$3:$G$54,2,0),"")</f>
        <v/>
      </c>
      <c r="Q175" s="138" t="str">
        <f aca="false">IFERROR(VLOOKUP(TEXT(O175,"0"),CONDUCTORES!$A$3:$H$54,6,0),"")</f>
        <v/>
      </c>
      <c r="R175" s="140"/>
      <c r="S175" s="140"/>
      <c r="T175" s="140"/>
      <c r="U175" s="140"/>
      <c r="V175" s="140"/>
      <c r="W175" s="140"/>
      <c r="X175" s="140"/>
      <c r="Y175" s="140"/>
      <c r="Z175" s="185" t="str">
        <f aca="false">IF(AND(G175&lt;&gt;"",R175&lt;&gt;"",V175&lt;&gt;"",W175&lt;&gt;""),"COMPLETADO","OBSERVADO")</f>
        <v>OBSERVADO</v>
      </c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138" t="str">
        <f aca="false">IFERROR(VLOOKUP(TEXT(H176,"0"),IPRESS!$A$3:$B$212,2,0),"")</f>
        <v/>
      </c>
      <c r="J176" s="85"/>
      <c r="K176" s="138" t="str">
        <f aca="false">IFERROR(VLOOKUP(TEXT(O176,"0"),CONDUCTORES!$A$3:$G$54,7,0),"")</f>
        <v/>
      </c>
      <c r="L176" s="85"/>
      <c r="M176" s="85"/>
      <c r="N176" s="139" t="str">
        <f aca="false">IFERROR(IF(L176*M176=0,"",L176*M176),"")</f>
        <v/>
      </c>
      <c r="O176" s="85"/>
      <c r="P176" s="138" t="str">
        <f aca="false">IFERROR(VLOOKUP(TEXT(O176,"0"),CONDUCTORES!$A$3:$G$54,2,0),"")</f>
        <v/>
      </c>
      <c r="Q176" s="138" t="str">
        <f aca="false">IFERROR(VLOOKUP(TEXT(O176,"0"),CONDUCTORES!$A$3:$H$54,6,0),"")</f>
        <v/>
      </c>
      <c r="R176" s="85"/>
      <c r="S176" s="85"/>
      <c r="T176" s="85"/>
      <c r="U176" s="85"/>
      <c r="V176" s="85"/>
      <c r="W176" s="85"/>
      <c r="X176" s="85"/>
      <c r="Y176" s="85"/>
      <c r="Z176" s="185" t="str">
        <f aca="false">IF(AND(G176&lt;&gt;"",R176&lt;&gt;"",V176&lt;&gt;"",W176&lt;&gt;""),"COMPLETADO","OBSERVADO")</f>
        <v>OBSERVADO</v>
      </c>
    </row>
    <row r="177" customFormat="false" ht="15" hidden="false" customHeight="true" outlineLevel="0" collapsed="false">
      <c r="A177" s="140"/>
      <c r="B177" s="140"/>
      <c r="C177" s="140"/>
      <c r="D177" s="140"/>
      <c r="E177" s="140"/>
      <c r="F177" s="140"/>
      <c r="G177" s="140"/>
      <c r="H177" s="140"/>
      <c r="I177" s="138" t="str">
        <f aca="false">IFERROR(VLOOKUP(TEXT(H177,"0"),IPRESS!$A$3:$B$212,2,0),"")</f>
        <v/>
      </c>
      <c r="J177" s="140"/>
      <c r="K177" s="138" t="str">
        <f aca="false">IFERROR(VLOOKUP(TEXT(O177,"0"),CONDUCTORES!$A$3:$G$54,7,0),"")</f>
        <v/>
      </c>
      <c r="L177" s="140"/>
      <c r="M177" s="140"/>
      <c r="N177" s="139" t="str">
        <f aca="false">IFERROR(IF(L177*M177=0,"",L177*M177),"")</f>
        <v/>
      </c>
      <c r="O177" s="140"/>
      <c r="P177" s="138" t="str">
        <f aca="false">IFERROR(VLOOKUP(TEXT(O177,"0"),CONDUCTORES!$A$3:$G$54,2,0),"")</f>
        <v/>
      </c>
      <c r="Q177" s="138" t="str">
        <f aca="false">IFERROR(VLOOKUP(TEXT(O177,"0"),CONDUCTORES!$A$3:$H$54,6,0),"")</f>
        <v/>
      </c>
      <c r="R177" s="140"/>
      <c r="S177" s="140"/>
      <c r="T177" s="140"/>
      <c r="U177" s="140"/>
      <c r="V177" s="140"/>
      <c r="W177" s="140"/>
      <c r="X177" s="140"/>
      <c r="Y177" s="140"/>
      <c r="Z177" s="185" t="str">
        <f aca="false">IF(AND(G177&lt;&gt;"",R177&lt;&gt;"",V177&lt;&gt;"",W177&lt;&gt;""),"COMPLETADO","OBSERVADO")</f>
        <v>OBSERVADO</v>
      </c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138" t="str">
        <f aca="false">IFERROR(VLOOKUP(TEXT(H178,"0"),IPRESS!$A$3:$B$212,2,0),"")</f>
        <v/>
      </c>
      <c r="J178" s="85"/>
      <c r="K178" s="138" t="str">
        <f aca="false">IFERROR(VLOOKUP(TEXT(O178,"0"),CONDUCTORES!$A$3:$G$54,7,0),"")</f>
        <v/>
      </c>
      <c r="L178" s="85"/>
      <c r="M178" s="85"/>
      <c r="N178" s="139" t="str">
        <f aca="false">IFERROR(IF(L178*M178=0,"",L178*M178),"")</f>
        <v/>
      </c>
      <c r="O178" s="85"/>
      <c r="P178" s="138" t="str">
        <f aca="false">IFERROR(VLOOKUP(TEXT(O178,"0"),CONDUCTORES!$A$3:$G$54,2,0),"")</f>
        <v/>
      </c>
      <c r="Q178" s="138" t="str">
        <f aca="false">IFERROR(VLOOKUP(TEXT(O178,"0"),CONDUCTORES!$A$3:$H$54,6,0),"")</f>
        <v/>
      </c>
      <c r="R178" s="85"/>
      <c r="S178" s="85"/>
      <c r="T178" s="85"/>
      <c r="U178" s="85"/>
      <c r="V178" s="85"/>
      <c r="W178" s="85"/>
      <c r="X178" s="85"/>
      <c r="Y178" s="85"/>
      <c r="Z178" s="185" t="str">
        <f aca="false">IF(AND(G178&lt;&gt;"",R178&lt;&gt;"",V178&lt;&gt;"",W178&lt;&gt;""),"COMPLETADO","OBSERVADO")</f>
        <v>OBSERVADO</v>
      </c>
    </row>
    <row r="179" customFormat="false" ht="15" hidden="false" customHeight="true" outlineLevel="0" collapsed="false">
      <c r="A179" s="140"/>
      <c r="B179" s="140"/>
      <c r="C179" s="140"/>
      <c r="D179" s="140"/>
      <c r="E179" s="140"/>
      <c r="F179" s="140"/>
      <c r="G179" s="140"/>
      <c r="H179" s="140"/>
      <c r="I179" s="138" t="str">
        <f aca="false">IFERROR(VLOOKUP(TEXT(H179,"0"),IPRESS!$A$3:$B$212,2,0),"")</f>
        <v/>
      </c>
      <c r="J179" s="140"/>
      <c r="K179" s="138" t="str">
        <f aca="false">IFERROR(VLOOKUP(TEXT(O179,"0"),CONDUCTORES!$A$3:$G$54,7,0),"")</f>
        <v/>
      </c>
      <c r="L179" s="140"/>
      <c r="M179" s="140"/>
      <c r="N179" s="139" t="str">
        <f aca="false">IFERROR(IF(L179*M179=0,"",L179*M179),"")</f>
        <v/>
      </c>
      <c r="O179" s="140"/>
      <c r="P179" s="138" t="str">
        <f aca="false">IFERROR(VLOOKUP(TEXT(O179,"0"),CONDUCTORES!$A$3:$G$54,2,0),"")</f>
        <v/>
      </c>
      <c r="Q179" s="138" t="str">
        <f aca="false">IFERROR(VLOOKUP(TEXT(O179,"0"),CONDUCTORES!$A$3:$H$54,6,0),"")</f>
        <v/>
      </c>
      <c r="R179" s="140"/>
      <c r="S179" s="140"/>
      <c r="T179" s="140"/>
      <c r="U179" s="140"/>
      <c r="V179" s="140"/>
      <c r="W179" s="140"/>
      <c r="X179" s="140"/>
      <c r="Y179" s="140"/>
      <c r="Z179" s="185" t="str">
        <f aca="false">IF(AND(G179&lt;&gt;"",R179&lt;&gt;"",V179&lt;&gt;"",W179&lt;&gt;""),"COMPLETADO","OBSERVADO")</f>
        <v>OBSERVADO</v>
      </c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138" t="str">
        <f aca="false">IFERROR(VLOOKUP(TEXT(H180,"0"),IPRESS!$A$3:$B$212,2,0),"")</f>
        <v/>
      </c>
      <c r="J180" s="85"/>
      <c r="K180" s="138" t="str">
        <f aca="false">IFERROR(VLOOKUP(TEXT(O180,"0"),CONDUCTORES!$A$3:$G$54,7,0),"")</f>
        <v/>
      </c>
      <c r="L180" s="85"/>
      <c r="M180" s="85"/>
      <c r="N180" s="139" t="str">
        <f aca="false">IFERROR(IF(L180*M180=0,"",L180*M180),"")</f>
        <v/>
      </c>
      <c r="O180" s="85"/>
      <c r="P180" s="138" t="str">
        <f aca="false">IFERROR(VLOOKUP(TEXT(O180,"0"),CONDUCTORES!$A$3:$G$54,2,0),"")</f>
        <v/>
      </c>
      <c r="Q180" s="138" t="str">
        <f aca="false">IFERROR(VLOOKUP(TEXT(O180,"0"),CONDUCTORES!$A$3:$H$54,6,0),"")</f>
        <v/>
      </c>
      <c r="R180" s="85"/>
      <c r="S180" s="85"/>
      <c r="T180" s="85"/>
      <c r="U180" s="85"/>
      <c r="V180" s="85"/>
      <c r="W180" s="85"/>
      <c r="X180" s="85"/>
      <c r="Y180" s="85"/>
      <c r="Z180" s="185" t="str">
        <f aca="false">IF(AND(G180&lt;&gt;"",R180&lt;&gt;"",V180&lt;&gt;"",W180&lt;&gt;""),"COMPLETADO","OBSERVADO")</f>
        <v>OBSERVADO</v>
      </c>
    </row>
    <row r="181" customFormat="false" ht="15" hidden="false" customHeight="true" outlineLevel="0" collapsed="false">
      <c r="A181" s="140"/>
      <c r="B181" s="140"/>
      <c r="C181" s="140"/>
      <c r="D181" s="140"/>
      <c r="E181" s="140"/>
      <c r="F181" s="140"/>
      <c r="G181" s="140"/>
      <c r="H181" s="140"/>
      <c r="I181" s="138" t="str">
        <f aca="false">IFERROR(VLOOKUP(TEXT(H181,"0"),IPRESS!$A$3:$B$212,2,0),"")</f>
        <v/>
      </c>
      <c r="J181" s="140"/>
      <c r="K181" s="138" t="str">
        <f aca="false">IFERROR(VLOOKUP(TEXT(O181,"0"),CONDUCTORES!$A$3:$G$54,7,0),"")</f>
        <v/>
      </c>
      <c r="L181" s="140"/>
      <c r="M181" s="140"/>
      <c r="N181" s="139" t="str">
        <f aca="false">IFERROR(IF(L181*M181=0,"",L181*M181),"")</f>
        <v/>
      </c>
      <c r="O181" s="140"/>
      <c r="P181" s="138" t="str">
        <f aca="false">IFERROR(VLOOKUP(TEXT(O181,"0"),CONDUCTORES!$A$3:$G$54,2,0),"")</f>
        <v/>
      </c>
      <c r="Q181" s="138" t="str">
        <f aca="false">IFERROR(VLOOKUP(TEXT(O181,"0"),CONDUCTORES!$A$3:$H$54,6,0),"")</f>
        <v/>
      </c>
      <c r="R181" s="140"/>
      <c r="S181" s="140"/>
      <c r="T181" s="140"/>
      <c r="U181" s="140"/>
      <c r="V181" s="140"/>
      <c r="W181" s="140"/>
      <c r="X181" s="140"/>
      <c r="Y181" s="140"/>
      <c r="Z181" s="185" t="str">
        <f aca="false">IF(AND(G181&lt;&gt;"",R181&lt;&gt;"",V181&lt;&gt;"",W181&lt;&gt;""),"COMPLETADO","OBSERVADO")</f>
        <v>OBSERVADO</v>
      </c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138" t="str">
        <f aca="false">IFERROR(VLOOKUP(TEXT(H182,"0"),IPRESS!$A$3:$B$212,2,0),"")</f>
        <v/>
      </c>
      <c r="J182" s="85"/>
      <c r="K182" s="138" t="str">
        <f aca="false">IFERROR(VLOOKUP(TEXT(O182,"0"),CONDUCTORES!$A$3:$G$54,7,0),"")</f>
        <v/>
      </c>
      <c r="L182" s="85"/>
      <c r="M182" s="85"/>
      <c r="N182" s="139" t="str">
        <f aca="false">IFERROR(IF(L182*M182=0,"",L182*M182),"")</f>
        <v/>
      </c>
      <c r="O182" s="85"/>
      <c r="P182" s="138" t="str">
        <f aca="false">IFERROR(VLOOKUP(TEXT(O182,"0"),CONDUCTORES!$A$3:$G$54,2,0),"")</f>
        <v/>
      </c>
      <c r="Q182" s="138" t="str">
        <f aca="false">IFERROR(VLOOKUP(TEXT(O182,"0"),CONDUCTORES!$A$3:$H$54,6,0),"")</f>
        <v/>
      </c>
      <c r="R182" s="85"/>
      <c r="S182" s="85"/>
      <c r="T182" s="85"/>
      <c r="U182" s="85"/>
      <c r="V182" s="85"/>
      <c r="W182" s="85"/>
      <c r="X182" s="85"/>
      <c r="Y182" s="85"/>
      <c r="Z182" s="185" t="str">
        <f aca="false">IF(AND(G182&lt;&gt;"",R182&lt;&gt;"",V182&lt;&gt;"",W182&lt;&gt;""),"COMPLETADO","OBSERVADO")</f>
        <v>OBSERVADO</v>
      </c>
    </row>
    <row r="183" customFormat="false" ht="15" hidden="false" customHeight="true" outlineLevel="0" collapsed="false">
      <c r="A183" s="140"/>
      <c r="B183" s="140"/>
      <c r="C183" s="140"/>
      <c r="D183" s="140"/>
      <c r="E183" s="140"/>
      <c r="F183" s="140"/>
      <c r="G183" s="140"/>
      <c r="H183" s="140"/>
      <c r="I183" s="138" t="str">
        <f aca="false">IFERROR(VLOOKUP(TEXT(H183,"0"),IPRESS!$A$3:$B$212,2,0),"")</f>
        <v/>
      </c>
      <c r="J183" s="140"/>
      <c r="K183" s="138" t="str">
        <f aca="false">IFERROR(VLOOKUP(TEXT(O183,"0"),CONDUCTORES!$A$3:$G$54,7,0),"")</f>
        <v/>
      </c>
      <c r="L183" s="140"/>
      <c r="M183" s="140"/>
      <c r="N183" s="139" t="str">
        <f aca="false">IFERROR(IF(L183*M183=0,"",L183*M183),"")</f>
        <v/>
      </c>
      <c r="O183" s="140"/>
      <c r="P183" s="138" t="str">
        <f aca="false">IFERROR(VLOOKUP(TEXT(O183,"0"),CONDUCTORES!$A$3:$G$54,2,0),"")</f>
        <v/>
      </c>
      <c r="Q183" s="138" t="str">
        <f aca="false">IFERROR(VLOOKUP(TEXT(O183,"0"),CONDUCTORES!$A$3:$H$54,6,0),"")</f>
        <v/>
      </c>
      <c r="R183" s="140"/>
      <c r="S183" s="140"/>
      <c r="T183" s="140"/>
      <c r="U183" s="140"/>
      <c r="V183" s="140"/>
      <c r="W183" s="140"/>
      <c r="X183" s="140"/>
      <c r="Y183" s="140"/>
      <c r="Z183" s="185" t="str">
        <f aca="false">IF(AND(G183&lt;&gt;"",R183&lt;&gt;"",V183&lt;&gt;"",W183&lt;&gt;""),"COMPLETADO","OBSERVADO")</f>
        <v>OBSERVADO</v>
      </c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138" t="str">
        <f aca="false">IFERROR(VLOOKUP(TEXT(H184,"0"),IPRESS!$A$3:$B$212,2,0),"")</f>
        <v/>
      </c>
      <c r="J184" s="85"/>
      <c r="K184" s="138" t="str">
        <f aca="false">IFERROR(VLOOKUP(TEXT(O184,"0"),CONDUCTORES!$A$3:$G$54,7,0),"")</f>
        <v/>
      </c>
      <c r="L184" s="85"/>
      <c r="M184" s="85"/>
      <c r="N184" s="139" t="str">
        <f aca="false">IFERROR(IF(L184*M184=0,"",L184*M184),"")</f>
        <v/>
      </c>
      <c r="O184" s="85"/>
      <c r="P184" s="138" t="str">
        <f aca="false">IFERROR(VLOOKUP(TEXT(O184,"0"),CONDUCTORES!$A$3:$G$54,2,0),"")</f>
        <v/>
      </c>
      <c r="Q184" s="138" t="str">
        <f aca="false">IFERROR(VLOOKUP(TEXT(O184,"0"),CONDUCTORES!$A$3:$H$54,6,0),"")</f>
        <v/>
      </c>
      <c r="R184" s="85"/>
      <c r="S184" s="85"/>
      <c r="T184" s="85"/>
      <c r="U184" s="85"/>
      <c r="V184" s="85"/>
      <c r="W184" s="85"/>
      <c r="X184" s="85"/>
      <c r="Y184" s="85"/>
      <c r="Z184" s="185" t="str">
        <f aca="false">IF(AND(G184&lt;&gt;"",R184&lt;&gt;"",V184&lt;&gt;"",W184&lt;&gt;""),"COMPLETADO","OBSERVADO")</f>
        <v>OBSERVADO</v>
      </c>
    </row>
    <row r="185" customFormat="false" ht="15" hidden="false" customHeight="true" outlineLevel="0" collapsed="false">
      <c r="A185" s="140"/>
      <c r="B185" s="140"/>
      <c r="C185" s="140"/>
      <c r="D185" s="140"/>
      <c r="E185" s="140"/>
      <c r="F185" s="140"/>
      <c r="G185" s="140"/>
      <c r="H185" s="140"/>
      <c r="I185" s="138" t="str">
        <f aca="false">IFERROR(VLOOKUP(TEXT(H185,"0"),IPRESS!$A$3:$B$212,2,0),"")</f>
        <v/>
      </c>
      <c r="J185" s="140"/>
      <c r="K185" s="138" t="str">
        <f aca="false">IFERROR(VLOOKUP(TEXT(O185,"0"),CONDUCTORES!$A$3:$G$54,7,0),"")</f>
        <v/>
      </c>
      <c r="L185" s="140"/>
      <c r="M185" s="140"/>
      <c r="N185" s="139" t="str">
        <f aca="false">IFERROR(IF(L185*M185=0,"",L185*M185),"")</f>
        <v/>
      </c>
      <c r="O185" s="140"/>
      <c r="P185" s="138" t="str">
        <f aca="false">IFERROR(VLOOKUP(TEXT(O185,"0"),CONDUCTORES!$A$3:$G$54,2,0),"")</f>
        <v/>
      </c>
      <c r="Q185" s="138" t="str">
        <f aca="false">IFERROR(VLOOKUP(TEXT(O185,"0"),CONDUCTORES!$A$3:$H$54,6,0),"")</f>
        <v/>
      </c>
      <c r="R185" s="140"/>
      <c r="S185" s="140"/>
      <c r="T185" s="140"/>
      <c r="U185" s="140"/>
      <c r="V185" s="140"/>
      <c r="W185" s="140"/>
      <c r="X185" s="140"/>
      <c r="Y185" s="140"/>
      <c r="Z185" s="185" t="str">
        <f aca="false">IF(AND(G185&lt;&gt;"",R185&lt;&gt;"",V185&lt;&gt;"",W185&lt;&gt;""),"COMPLETADO","OBSERVADO")</f>
        <v>OBSERVADO</v>
      </c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138" t="str">
        <f aca="false">IFERROR(VLOOKUP(TEXT(H186,"0"),IPRESS!$A$3:$B$212,2,0),"")</f>
        <v/>
      </c>
      <c r="J186" s="85"/>
      <c r="K186" s="138" t="str">
        <f aca="false">IFERROR(VLOOKUP(TEXT(O186,"0"),CONDUCTORES!$A$3:$G$54,7,0),"")</f>
        <v/>
      </c>
      <c r="L186" s="85"/>
      <c r="M186" s="85"/>
      <c r="N186" s="139" t="str">
        <f aca="false">IFERROR(IF(L186*M186=0,"",L186*M186),"")</f>
        <v/>
      </c>
      <c r="O186" s="85"/>
      <c r="P186" s="138" t="str">
        <f aca="false">IFERROR(VLOOKUP(TEXT(O186,"0"),CONDUCTORES!$A$3:$G$54,2,0),"")</f>
        <v/>
      </c>
      <c r="Q186" s="138" t="str">
        <f aca="false">IFERROR(VLOOKUP(TEXT(O186,"0"),CONDUCTORES!$A$3:$H$54,6,0),"")</f>
        <v/>
      </c>
      <c r="R186" s="85"/>
      <c r="S186" s="85"/>
      <c r="T186" s="85"/>
      <c r="U186" s="85"/>
      <c r="V186" s="85"/>
      <c r="W186" s="85"/>
      <c r="X186" s="85"/>
      <c r="Y186" s="85"/>
      <c r="Z186" s="185" t="str">
        <f aca="false">IF(AND(G186&lt;&gt;"",R186&lt;&gt;"",V186&lt;&gt;"",W186&lt;&gt;""),"COMPLETADO","OBSERVADO")</f>
        <v>OBSERVADO</v>
      </c>
    </row>
    <row r="187" customFormat="false" ht="15" hidden="false" customHeight="true" outlineLevel="0" collapsed="false">
      <c r="A187" s="140"/>
      <c r="B187" s="140"/>
      <c r="C187" s="140"/>
      <c r="D187" s="140"/>
      <c r="E187" s="140"/>
      <c r="F187" s="140"/>
      <c r="G187" s="140"/>
      <c r="H187" s="140"/>
      <c r="I187" s="138" t="str">
        <f aca="false">IFERROR(VLOOKUP(TEXT(H187,"0"),IPRESS!$A$3:$B$212,2,0),"")</f>
        <v/>
      </c>
      <c r="J187" s="140"/>
      <c r="K187" s="138" t="str">
        <f aca="false">IFERROR(VLOOKUP(TEXT(O187,"0"),CONDUCTORES!$A$3:$G$54,7,0),"")</f>
        <v/>
      </c>
      <c r="L187" s="140"/>
      <c r="M187" s="140"/>
      <c r="N187" s="139" t="str">
        <f aca="false">IFERROR(IF(L187*M187=0,"",L187*M187),"")</f>
        <v/>
      </c>
      <c r="O187" s="140"/>
      <c r="P187" s="138" t="str">
        <f aca="false">IFERROR(VLOOKUP(TEXT(O187,"0"),CONDUCTORES!$A$3:$G$54,2,0),"")</f>
        <v/>
      </c>
      <c r="Q187" s="138" t="str">
        <f aca="false">IFERROR(VLOOKUP(TEXT(O187,"0"),CONDUCTORES!$A$3:$H$54,6,0),"")</f>
        <v/>
      </c>
      <c r="R187" s="140"/>
      <c r="S187" s="140"/>
      <c r="T187" s="140"/>
      <c r="U187" s="140"/>
      <c r="V187" s="140"/>
      <c r="W187" s="140"/>
      <c r="X187" s="140"/>
      <c r="Y187" s="140"/>
      <c r="Z187" s="185" t="str">
        <f aca="false">IF(AND(G187&lt;&gt;"",R187&lt;&gt;"",V187&lt;&gt;"",W187&lt;&gt;""),"COMPLETADO","OBSERVADO")</f>
        <v>OBSERVADO</v>
      </c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138" t="str">
        <f aca="false">IFERROR(VLOOKUP(TEXT(H188,"0"),IPRESS!$A$3:$B$212,2,0),"")</f>
        <v/>
      </c>
      <c r="J188" s="85"/>
      <c r="K188" s="138" t="str">
        <f aca="false">IFERROR(VLOOKUP(TEXT(O188,"0"),CONDUCTORES!$A$3:$G$54,7,0),"")</f>
        <v/>
      </c>
      <c r="L188" s="85"/>
      <c r="M188" s="85"/>
      <c r="N188" s="139" t="str">
        <f aca="false">IFERROR(IF(L188*M188=0,"",L188*M188),"")</f>
        <v/>
      </c>
      <c r="O188" s="85"/>
      <c r="P188" s="138" t="str">
        <f aca="false">IFERROR(VLOOKUP(TEXT(O188,"0"),CONDUCTORES!$A$3:$G$54,2,0),"")</f>
        <v/>
      </c>
      <c r="Q188" s="138" t="str">
        <f aca="false">IFERROR(VLOOKUP(TEXT(O188,"0"),CONDUCTORES!$A$3:$H$54,6,0),"")</f>
        <v/>
      </c>
      <c r="R188" s="85"/>
      <c r="S188" s="85"/>
      <c r="T188" s="85"/>
      <c r="U188" s="85"/>
      <c r="V188" s="85"/>
      <c r="W188" s="85"/>
      <c r="X188" s="85"/>
      <c r="Y188" s="85"/>
      <c r="Z188" s="185" t="str">
        <f aca="false">IF(AND(G188&lt;&gt;"",R188&lt;&gt;"",V188&lt;&gt;"",W188&lt;&gt;""),"COMPLETADO","OBSERVADO")</f>
        <v>OBSERVADO</v>
      </c>
    </row>
    <row r="189" customFormat="false" ht="15" hidden="false" customHeight="true" outlineLevel="0" collapsed="false">
      <c r="A189" s="140"/>
      <c r="B189" s="140"/>
      <c r="C189" s="140"/>
      <c r="D189" s="140"/>
      <c r="E189" s="140"/>
      <c r="F189" s="140"/>
      <c r="G189" s="140"/>
      <c r="H189" s="140"/>
      <c r="I189" s="138" t="str">
        <f aca="false">IFERROR(VLOOKUP(TEXT(H189,"0"),IPRESS!$A$3:$B$212,2,0),"")</f>
        <v/>
      </c>
      <c r="J189" s="140"/>
      <c r="K189" s="138" t="str">
        <f aca="false">IFERROR(VLOOKUP(TEXT(O189,"0"),CONDUCTORES!$A$3:$G$54,7,0),"")</f>
        <v/>
      </c>
      <c r="L189" s="140"/>
      <c r="M189" s="140"/>
      <c r="N189" s="139" t="str">
        <f aca="false">IFERROR(IF(L189*M189=0,"",L189*M189),"")</f>
        <v/>
      </c>
      <c r="O189" s="140"/>
      <c r="P189" s="138" t="str">
        <f aca="false">IFERROR(VLOOKUP(TEXT(O189,"0"),CONDUCTORES!$A$3:$G$54,2,0),"")</f>
        <v/>
      </c>
      <c r="Q189" s="138" t="str">
        <f aca="false">IFERROR(VLOOKUP(TEXT(O189,"0"),CONDUCTORES!$A$3:$H$54,6,0),"")</f>
        <v/>
      </c>
      <c r="R189" s="140"/>
      <c r="S189" s="140"/>
      <c r="T189" s="140"/>
      <c r="U189" s="140"/>
      <c r="V189" s="140"/>
      <c r="W189" s="140"/>
      <c r="X189" s="140"/>
      <c r="Y189" s="140"/>
      <c r="Z189" s="185" t="str">
        <f aca="false">IF(AND(G189&lt;&gt;"",R189&lt;&gt;"",V189&lt;&gt;"",W189&lt;&gt;""),"COMPLETADO","OBSERVADO")</f>
        <v>OBSERVADO</v>
      </c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138" t="str">
        <f aca="false">IFERROR(VLOOKUP(TEXT(H190,"0"),IPRESS!$A$3:$B$212,2,0),"")</f>
        <v/>
      </c>
      <c r="J190" s="85"/>
      <c r="K190" s="138" t="str">
        <f aca="false">IFERROR(VLOOKUP(TEXT(O190,"0"),CONDUCTORES!$A$3:$G$54,7,0),"")</f>
        <v/>
      </c>
      <c r="L190" s="85"/>
      <c r="M190" s="85"/>
      <c r="N190" s="139" t="str">
        <f aca="false">IFERROR(IF(L190*M190=0,"",L190*M190),"")</f>
        <v/>
      </c>
      <c r="O190" s="85"/>
      <c r="P190" s="138" t="str">
        <f aca="false">IFERROR(VLOOKUP(TEXT(O190,"0"),CONDUCTORES!$A$3:$G$54,2,0),"")</f>
        <v/>
      </c>
      <c r="Q190" s="138" t="str">
        <f aca="false">IFERROR(VLOOKUP(TEXT(O190,"0"),CONDUCTORES!$A$3:$H$54,6,0),"")</f>
        <v/>
      </c>
      <c r="R190" s="85"/>
      <c r="S190" s="85"/>
      <c r="T190" s="85"/>
      <c r="U190" s="85"/>
      <c r="V190" s="85"/>
      <c r="W190" s="85"/>
      <c r="X190" s="85"/>
      <c r="Y190" s="85"/>
      <c r="Z190" s="185" t="str">
        <f aca="false">IF(AND(G190&lt;&gt;"",R190&lt;&gt;"",V190&lt;&gt;"",W190&lt;&gt;""),"COMPLETADO","OBSERVADO")</f>
        <v>OBSERVADO</v>
      </c>
    </row>
    <row r="191" customFormat="false" ht="15" hidden="false" customHeight="true" outlineLevel="0" collapsed="false">
      <c r="A191" s="140"/>
      <c r="B191" s="140"/>
      <c r="C191" s="140"/>
      <c r="D191" s="140"/>
      <c r="E191" s="140"/>
      <c r="F191" s="140"/>
      <c r="G191" s="140"/>
      <c r="H191" s="140"/>
      <c r="I191" s="138" t="str">
        <f aca="false">IFERROR(VLOOKUP(TEXT(H191,"0"),IPRESS!$A$3:$B$212,2,0),"")</f>
        <v/>
      </c>
      <c r="J191" s="140"/>
      <c r="K191" s="138" t="str">
        <f aca="false">IFERROR(VLOOKUP(TEXT(O191,"0"),CONDUCTORES!$A$3:$G$54,7,0),"")</f>
        <v/>
      </c>
      <c r="L191" s="140"/>
      <c r="M191" s="140"/>
      <c r="N191" s="139" t="str">
        <f aca="false">IFERROR(IF(L191*M191=0,"",L191*M191),"")</f>
        <v/>
      </c>
      <c r="O191" s="140"/>
      <c r="P191" s="138" t="str">
        <f aca="false">IFERROR(VLOOKUP(TEXT(O191,"0"),CONDUCTORES!$A$3:$G$54,2,0),"")</f>
        <v/>
      </c>
      <c r="Q191" s="138" t="str">
        <f aca="false">IFERROR(VLOOKUP(TEXT(O191,"0"),CONDUCTORES!$A$3:$H$54,6,0),"")</f>
        <v/>
      </c>
      <c r="R191" s="140"/>
      <c r="S191" s="140"/>
      <c r="T191" s="140"/>
      <c r="U191" s="140"/>
      <c r="V191" s="140"/>
      <c r="W191" s="140"/>
      <c r="X191" s="140"/>
      <c r="Y191" s="140"/>
      <c r="Z191" s="185" t="str">
        <f aca="false">IF(AND(G191&lt;&gt;"",R191&lt;&gt;"",V191&lt;&gt;"",W191&lt;&gt;""),"COMPLETADO","OBSERVADO")</f>
        <v>OBSERVADO</v>
      </c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138" t="str">
        <f aca="false">IFERROR(VLOOKUP(TEXT(H192,"0"),IPRESS!$A$3:$B$212,2,0),"")</f>
        <v/>
      </c>
      <c r="J192" s="85"/>
      <c r="K192" s="138" t="str">
        <f aca="false">IFERROR(VLOOKUP(TEXT(O192,"0"),CONDUCTORES!$A$3:$G$54,7,0),"")</f>
        <v/>
      </c>
      <c r="L192" s="85"/>
      <c r="M192" s="85"/>
      <c r="N192" s="139" t="str">
        <f aca="false">IFERROR(IF(L192*M192=0,"",L192*M192),"")</f>
        <v/>
      </c>
      <c r="O192" s="85"/>
      <c r="P192" s="138" t="str">
        <f aca="false">IFERROR(VLOOKUP(TEXT(O192,"0"),CONDUCTORES!$A$3:$G$54,2,0),"")</f>
        <v/>
      </c>
      <c r="Q192" s="138" t="str">
        <f aca="false">IFERROR(VLOOKUP(TEXT(O192,"0"),CONDUCTORES!$A$3:$H$54,6,0),"")</f>
        <v/>
      </c>
      <c r="R192" s="85"/>
      <c r="S192" s="85"/>
      <c r="T192" s="85"/>
      <c r="U192" s="85"/>
      <c r="V192" s="85"/>
      <c r="W192" s="85"/>
      <c r="X192" s="85"/>
      <c r="Y192" s="85"/>
      <c r="Z192" s="185" t="str">
        <f aca="false">IF(AND(G192&lt;&gt;"",R192&lt;&gt;"",V192&lt;&gt;"",W192&lt;&gt;""),"COMPLETADO","OBSERVADO")</f>
        <v>OBSERVADO</v>
      </c>
    </row>
    <row r="193" customFormat="false" ht="15" hidden="false" customHeight="true" outlineLevel="0" collapsed="false">
      <c r="A193" s="140"/>
      <c r="B193" s="140"/>
      <c r="C193" s="140"/>
      <c r="D193" s="140"/>
      <c r="E193" s="140"/>
      <c r="F193" s="140"/>
      <c r="G193" s="140"/>
      <c r="H193" s="140"/>
      <c r="I193" s="138" t="str">
        <f aca="false">IFERROR(VLOOKUP(TEXT(H193,"0"),IPRESS!$A$3:$B$212,2,0),"")</f>
        <v/>
      </c>
      <c r="J193" s="140"/>
      <c r="K193" s="138" t="str">
        <f aca="false">IFERROR(VLOOKUP(TEXT(O193,"0"),CONDUCTORES!$A$3:$G$54,7,0),"")</f>
        <v/>
      </c>
      <c r="L193" s="140"/>
      <c r="M193" s="140"/>
      <c r="N193" s="139" t="str">
        <f aca="false">IFERROR(IF(L193*M193=0,"",L193*M193),"")</f>
        <v/>
      </c>
      <c r="O193" s="140"/>
      <c r="P193" s="138" t="str">
        <f aca="false">IFERROR(VLOOKUP(TEXT(O193,"0"),CONDUCTORES!$A$3:$G$54,2,0),"")</f>
        <v/>
      </c>
      <c r="Q193" s="138" t="str">
        <f aca="false">IFERROR(VLOOKUP(TEXT(O193,"0"),CONDUCTORES!$A$3:$H$54,6,0),"")</f>
        <v/>
      </c>
      <c r="R193" s="140"/>
      <c r="S193" s="140"/>
      <c r="T193" s="140"/>
      <c r="U193" s="140"/>
      <c r="V193" s="140"/>
      <c r="W193" s="140"/>
      <c r="X193" s="140"/>
      <c r="Y193" s="140"/>
      <c r="Z193" s="185" t="str">
        <f aca="false">IF(AND(G193&lt;&gt;"",R193&lt;&gt;"",V193&lt;&gt;"",W193&lt;&gt;""),"COMPLETADO","OBSERVADO")</f>
        <v>OBSERVADO</v>
      </c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138" t="str">
        <f aca="false">IFERROR(VLOOKUP(TEXT(H194,"0"),IPRESS!$A$3:$B$212,2,0),"")</f>
        <v/>
      </c>
      <c r="J194" s="85"/>
      <c r="K194" s="138" t="str">
        <f aca="false">IFERROR(VLOOKUP(TEXT(O194,"0"),CONDUCTORES!$A$3:$G$54,7,0),"")</f>
        <v/>
      </c>
      <c r="L194" s="85"/>
      <c r="M194" s="85"/>
      <c r="N194" s="139" t="str">
        <f aca="false">IFERROR(IF(L194*M194=0,"",L194*M194),"")</f>
        <v/>
      </c>
      <c r="O194" s="85"/>
      <c r="P194" s="138" t="str">
        <f aca="false">IFERROR(VLOOKUP(TEXT(O194,"0"),CONDUCTORES!$A$3:$G$54,2,0),"")</f>
        <v/>
      </c>
      <c r="Q194" s="138" t="str">
        <f aca="false">IFERROR(VLOOKUP(TEXT(O194,"0"),CONDUCTORES!$A$3:$H$54,6,0),"")</f>
        <v/>
      </c>
      <c r="R194" s="85"/>
      <c r="S194" s="85"/>
      <c r="T194" s="85"/>
      <c r="U194" s="85"/>
      <c r="V194" s="85"/>
      <c r="W194" s="85"/>
      <c r="X194" s="85"/>
      <c r="Y194" s="85"/>
      <c r="Z194" s="185" t="str">
        <f aca="false">IF(AND(G194&lt;&gt;"",R194&lt;&gt;"",V194&lt;&gt;"",W194&lt;&gt;""),"COMPLETADO","OBSERVADO")</f>
        <v>OBSERVADO</v>
      </c>
    </row>
    <row r="195" customFormat="false" ht="15" hidden="false" customHeight="true" outlineLevel="0" collapsed="false">
      <c r="A195" s="140"/>
      <c r="B195" s="140"/>
      <c r="C195" s="140"/>
      <c r="D195" s="140"/>
      <c r="E195" s="140"/>
      <c r="F195" s="140"/>
      <c r="G195" s="140"/>
      <c r="H195" s="140"/>
      <c r="I195" s="138" t="str">
        <f aca="false">IFERROR(VLOOKUP(TEXT(H195,"0"),IPRESS!$A$3:$B$212,2,0),"")</f>
        <v/>
      </c>
      <c r="J195" s="140"/>
      <c r="K195" s="138" t="str">
        <f aca="false">IFERROR(VLOOKUP(TEXT(O195,"0"),CONDUCTORES!$A$3:$G$54,7,0),"")</f>
        <v/>
      </c>
      <c r="L195" s="140"/>
      <c r="M195" s="140"/>
      <c r="N195" s="139" t="str">
        <f aca="false">IFERROR(IF(L195*M195=0,"",L195*M195),"")</f>
        <v/>
      </c>
      <c r="O195" s="140"/>
      <c r="P195" s="138" t="str">
        <f aca="false">IFERROR(VLOOKUP(TEXT(O195,"0"),CONDUCTORES!$A$3:$G$54,2,0),"")</f>
        <v/>
      </c>
      <c r="Q195" s="138" t="str">
        <f aca="false">IFERROR(VLOOKUP(TEXT(O195,"0"),CONDUCTORES!$A$3:$H$54,6,0),"")</f>
        <v/>
      </c>
      <c r="R195" s="140"/>
      <c r="S195" s="140"/>
      <c r="T195" s="140"/>
      <c r="U195" s="140"/>
      <c r="V195" s="140"/>
      <c r="W195" s="140"/>
      <c r="X195" s="140"/>
      <c r="Y195" s="140"/>
      <c r="Z195" s="185" t="str">
        <f aca="false">IF(AND(G195&lt;&gt;"",R195&lt;&gt;"",V195&lt;&gt;"",W195&lt;&gt;""),"COMPLETADO","OBSERVADO")</f>
        <v>OBSERVADO</v>
      </c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138" t="str">
        <f aca="false">IFERROR(VLOOKUP(TEXT(H196,"0"),IPRESS!$A$3:$B$212,2,0),"")</f>
        <v/>
      </c>
      <c r="J196" s="85"/>
      <c r="K196" s="138" t="str">
        <f aca="false">IFERROR(VLOOKUP(TEXT(O196,"0"),CONDUCTORES!$A$3:$G$54,7,0),"")</f>
        <v/>
      </c>
      <c r="L196" s="85"/>
      <c r="M196" s="85"/>
      <c r="N196" s="139" t="str">
        <f aca="false">IFERROR(IF(L196*M196=0,"",L196*M196),"")</f>
        <v/>
      </c>
      <c r="O196" s="85"/>
      <c r="P196" s="138" t="str">
        <f aca="false">IFERROR(VLOOKUP(TEXT(O196,"0"),CONDUCTORES!$A$3:$G$54,2,0),"")</f>
        <v/>
      </c>
      <c r="Q196" s="138" t="str">
        <f aca="false">IFERROR(VLOOKUP(TEXT(O196,"0"),CONDUCTORES!$A$3:$H$54,6,0),"")</f>
        <v/>
      </c>
      <c r="R196" s="85"/>
      <c r="S196" s="85"/>
      <c r="T196" s="85"/>
      <c r="U196" s="85"/>
      <c r="V196" s="85"/>
      <c r="W196" s="85"/>
      <c r="X196" s="85"/>
      <c r="Y196" s="85"/>
      <c r="Z196" s="185" t="str">
        <f aca="false">IF(AND(G196&lt;&gt;"",R196&lt;&gt;"",V196&lt;&gt;"",W196&lt;&gt;""),"COMPLETADO","OBSERVADO")</f>
        <v>OBSERVADO</v>
      </c>
    </row>
    <row r="197" customFormat="false" ht="15" hidden="false" customHeight="true" outlineLevel="0" collapsed="false">
      <c r="A197" s="140"/>
      <c r="B197" s="140"/>
      <c r="C197" s="140"/>
      <c r="D197" s="140"/>
      <c r="E197" s="140"/>
      <c r="F197" s="140"/>
      <c r="G197" s="140"/>
      <c r="H197" s="140"/>
      <c r="I197" s="138" t="str">
        <f aca="false">IFERROR(VLOOKUP(TEXT(H197,"0"),IPRESS!$A$3:$B$212,2,0),"")</f>
        <v/>
      </c>
      <c r="J197" s="140"/>
      <c r="K197" s="138" t="str">
        <f aca="false">IFERROR(VLOOKUP(TEXT(O197,"0"),CONDUCTORES!$A$3:$G$54,7,0),"")</f>
        <v/>
      </c>
      <c r="L197" s="140"/>
      <c r="M197" s="140"/>
      <c r="N197" s="139" t="str">
        <f aca="false">IFERROR(IF(L197*M197=0,"",L197*M197),"")</f>
        <v/>
      </c>
      <c r="O197" s="140"/>
      <c r="P197" s="138" t="str">
        <f aca="false">IFERROR(VLOOKUP(TEXT(O197,"0"),CONDUCTORES!$A$3:$G$54,2,0),"")</f>
        <v/>
      </c>
      <c r="Q197" s="138" t="str">
        <f aca="false">IFERROR(VLOOKUP(TEXT(O197,"0"),CONDUCTORES!$A$3:$H$54,6,0),"")</f>
        <v/>
      </c>
      <c r="R197" s="140"/>
      <c r="S197" s="140"/>
      <c r="T197" s="140"/>
      <c r="U197" s="140"/>
      <c r="V197" s="140"/>
      <c r="W197" s="140"/>
      <c r="X197" s="140"/>
      <c r="Y197" s="140"/>
      <c r="Z197" s="185" t="str">
        <f aca="false">IF(AND(G197&lt;&gt;"",R197&lt;&gt;"",V197&lt;&gt;"",W197&lt;&gt;""),"COMPLETADO","OBSERVADO")</f>
        <v>OBSERVADO</v>
      </c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138" t="str">
        <f aca="false">IFERROR(VLOOKUP(TEXT(H198,"0"),IPRESS!$A$3:$B$212,2,0),"")</f>
        <v/>
      </c>
      <c r="J198" s="85"/>
      <c r="K198" s="138" t="str">
        <f aca="false">IFERROR(VLOOKUP(TEXT(O198,"0"),CONDUCTORES!$A$3:$G$54,7,0),"")</f>
        <v/>
      </c>
      <c r="L198" s="85"/>
      <c r="M198" s="85"/>
      <c r="N198" s="139" t="str">
        <f aca="false">IFERROR(IF(L198*M198=0,"",L198*M198),"")</f>
        <v/>
      </c>
      <c r="O198" s="85"/>
      <c r="P198" s="138" t="str">
        <f aca="false">IFERROR(VLOOKUP(TEXT(O198,"0"),CONDUCTORES!$A$3:$G$54,2,0),"")</f>
        <v/>
      </c>
      <c r="Q198" s="138" t="str">
        <f aca="false">IFERROR(VLOOKUP(TEXT(O198,"0"),CONDUCTORES!$A$3:$H$54,6,0),"")</f>
        <v/>
      </c>
      <c r="R198" s="85"/>
      <c r="S198" s="85"/>
      <c r="T198" s="85"/>
      <c r="U198" s="85"/>
      <c r="V198" s="85"/>
      <c r="W198" s="85"/>
      <c r="X198" s="85"/>
      <c r="Y198" s="85"/>
      <c r="Z198" s="185" t="str">
        <f aca="false">IF(AND(G198&lt;&gt;"",R198&lt;&gt;"",V198&lt;&gt;"",W198&lt;&gt;""),"COMPLETADO","OBSERVADO")</f>
        <v>OBSERVADO</v>
      </c>
    </row>
    <row r="199" customFormat="false" ht="15" hidden="false" customHeight="true" outlineLevel="0" collapsed="false">
      <c r="A199" s="140"/>
      <c r="B199" s="140"/>
      <c r="C199" s="140"/>
      <c r="D199" s="140"/>
      <c r="E199" s="140"/>
      <c r="F199" s="140"/>
      <c r="G199" s="140"/>
      <c r="H199" s="140"/>
      <c r="I199" s="138" t="str">
        <f aca="false">IFERROR(VLOOKUP(TEXT(H199,"0"),IPRESS!$A$3:$B$212,2,0),"")</f>
        <v/>
      </c>
      <c r="J199" s="140"/>
      <c r="K199" s="138" t="str">
        <f aca="false">IFERROR(VLOOKUP(TEXT(O199,"0"),CONDUCTORES!$A$3:$G$54,7,0),"")</f>
        <v/>
      </c>
      <c r="L199" s="140"/>
      <c r="M199" s="140"/>
      <c r="N199" s="139" t="str">
        <f aca="false">IFERROR(IF(L199*M199=0,"",L199*M199),"")</f>
        <v/>
      </c>
      <c r="O199" s="140"/>
      <c r="P199" s="138" t="str">
        <f aca="false">IFERROR(VLOOKUP(TEXT(O199,"0"),CONDUCTORES!$A$3:$G$54,2,0),"")</f>
        <v/>
      </c>
      <c r="Q199" s="138" t="str">
        <f aca="false">IFERROR(VLOOKUP(TEXT(O199,"0"),CONDUCTORES!$A$3:$H$54,6,0),"")</f>
        <v/>
      </c>
      <c r="R199" s="140"/>
      <c r="S199" s="140"/>
      <c r="T199" s="140"/>
      <c r="U199" s="140"/>
      <c r="V199" s="140"/>
      <c r="W199" s="140"/>
      <c r="X199" s="140"/>
      <c r="Y199" s="140"/>
      <c r="Z199" s="185" t="str">
        <f aca="false">IF(AND(G199&lt;&gt;"",R199&lt;&gt;"",V199&lt;&gt;"",W199&lt;&gt;""),"COMPLETADO","OBSERVADO")</f>
        <v>OBSERVADO</v>
      </c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138" t="str">
        <f aca="false">IFERROR(VLOOKUP(TEXT(H200,"0"),IPRESS!$A$3:$B$212,2,0),"")</f>
        <v/>
      </c>
      <c r="J200" s="85"/>
      <c r="K200" s="138" t="str">
        <f aca="false">IFERROR(VLOOKUP(TEXT(O200,"0"),CONDUCTORES!$A$3:$G$54,7,0),"")</f>
        <v/>
      </c>
      <c r="L200" s="85"/>
      <c r="M200" s="85"/>
      <c r="N200" s="139" t="str">
        <f aca="false">IFERROR(IF(L200*M200=0,"",L200*M200),"")</f>
        <v/>
      </c>
      <c r="O200" s="85"/>
      <c r="P200" s="138" t="str">
        <f aca="false">IFERROR(VLOOKUP(TEXT(O200,"0"),CONDUCTORES!$A$3:$G$54,2,0),"")</f>
        <v/>
      </c>
      <c r="Q200" s="138" t="str">
        <f aca="false">IFERROR(VLOOKUP(TEXT(O200,"0"),CONDUCTORES!$A$3:$H$54,6,0),"")</f>
        <v/>
      </c>
      <c r="R200" s="85"/>
      <c r="S200" s="85"/>
      <c r="T200" s="85"/>
      <c r="U200" s="85"/>
      <c r="V200" s="85"/>
      <c r="W200" s="85"/>
      <c r="X200" s="85"/>
      <c r="Y200" s="85"/>
      <c r="Z200" s="185" t="str">
        <f aca="false">IF(AND(G200&lt;&gt;"",R200&lt;&gt;"",V200&lt;&gt;"",W200&lt;&gt;""),"COMPLETADO","OBSERVADO")</f>
        <v>OBSERVADO</v>
      </c>
    </row>
    <row r="201" customFormat="false" ht="15" hidden="false" customHeight="true" outlineLevel="0" collapsed="false">
      <c r="A201" s="140"/>
      <c r="B201" s="140"/>
      <c r="C201" s="140"/>
      <c r="D201" s="140"/>
      <c r="E201" s="140"/>
      <c r="F201" s="140"/>
      <c r="G201" s="140"/>
      <c r="H201" s="140"/>
      <c r="I201" s="138" t="str">
        <f aca="false">IFERROR(VLOOKUP(TEXT(H201,"0"),IPRESS!$A$3:$B$212,2,0),"")</f>
        <v/>
      </c>
      <c r="J201" s="140"/>
      <c r="K201" s="138" t="str">
        <f aca="false">IFERROR(VLOOKUP(TEXT(O201,"0"),CONDUCTORES!$A$3:$G$54,7,0),"")</f>
        <v/>
      </c>
      <c r="L201" s="140"/>
      <c r="M201" s="140"/>
      <c r="N201" s="139" t="str">
        <f aca="false">IFERROR(IF(L201*M201=0,"",L201*M201),"")</f>
        <v/>
      </c>
      <c r="O201" s="140"/>
      <c r="P201" s="138" t="str">
        <f aca="false">IFERROR(VLOOKUP(TEXT(O201,"0"),CONDUCTORES!$A$3:$G$54,2,0),"")</f>
        <v/>
      </c>
      <c r="Q201" s="138" t="str">
        <f aca="false">IFERROR(VLOOKUP(TEXT(O201,"0"),CONDUCTORES!$A$3:$H$54,6,0),"")</f>
        <v/>
      </c>
      <c r="R201" s="140"/>
      <c r="S201" s="140"/>
      <c r="T201" s="140"/>
      <c r="U201" s="140"/>
      <c r="V201" s="140"/>
      <c r="W201" s="140"/>
      <c r="X201" s="140"/>
      <c r="Y201" s="140"/>
      <c r="Z201" s="185" t="str">
        <f aca="false">IF(AND(G201&lt;&gt;"",R201&lt;&gt;"",V201&lt;&gt;"",W201&lt;&gt;""),"COMPLETADO","OBSERVADO")</f>
        <v>OBSERVADO</v>
      </c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138" t="str">
        <f aca="false">IFERROR(VLOOKUP(TEXT(H202,"0"),IPRESS!$A$3:$B$212,2,0),"")</f>
        <v/>
      </c>
      <c r="J202" s="85"/>
      <c r="K202" s="138" t="str">
        <f aca="false">IFERROR(VLOOKUP(TEXT(O202,"0"),CONDUCTORES!$A$3:$G$54,7,0),"")</f>
        <v/>
      </c>
      <c r="L202" s="85"/>
      <c r="M202" s="85"/>
      <c r="N202" s="139" t="str">
        <f aca="false">IFERROR(IF(L202*M202=0,"",L202*M202),"")</f>
        <v/>
      </c>
      <c r="O202" s="85"/>
      <c r="P202" s="138" t="str">
        <f aca="false">IFERROR(VLOOKUP(TEXT(O202,"0"),CONDUCTORES!$A$3:$G$54,2,0),"")</f>
        <v/>
      </c>
      <c r="Q202" s="138" t="str">
        <f aca="false">IFERROR(VLOOKUP(TEXT(O202,"0"),CONDUCTORES!$A$3:$H$54,6,0),"")</f>
        <v/>
      </c>
      <c r="R202" s="85"/>
      <c r="S202" s="85"/>
      <c r="T202" s="85"/>
      <c r="U202" s="85"/>
      <c r="V202" s="85"/>
      <c r="W202" s="85"/>
      <c r="X202" s="85"/>
      <c r="Y202" s="85"/>
      <c r="Z202" s="185" t="str">
        <f aca="false">IF(AND(G202&lt;&gt;"",R202&lt;&gt;"",V202&lt;&gt;"",W202&lt;&gt;""),"COMPLETADO","OBSERVADO")</f>
        <v>OBSERVADO</v>
      </c>
    </row>
    <row r="203" customFormat="false" ht="15" hidden="false" customHeight="true" outlineLevel="0" collapsed="false">
      <c r="A203" s="140"/>
      <c r="B203" s="140"/>
      <c r="C203" s="140"/>
      <c r="D203" s="140"/>
      <c r="E203" s="140"/>
      <c r="F203" s="140"/>
      <c r="G203" s="140"/>
      <c r="H203" s="140"/>
      <c r="I203" s="138" t="str">
        <f aca="false">IFERROR(VLOOKUP(TEXT(H203,"0"),IPRESS!$A$3:$B$212,2,0),"")</f>
        <v/>
      </c>
      <c r="J203" s="140"/>
      <c r="K203" s="138" t="str">
        <f aca="false">IFERROR(VLOOKUP(TEXT(O203,"0"),CONDUCTORES!$A$3:$G$54,7,0),"")</f>
        <v/>
      </c>
      <c r="L203" s="140"/>
      <c r="M203" s="140"/>
      <c r="N203" s="139" t="str">
        <f aca="false">IFERROR(IF(L203*M203=0,"",L203*M203),"")</f>
        <v/>
      </c>
      <c r="O203" s="140"/>
      <c r="P203" s="138" t="str">
        <f aca="false">IFERROR(VLOOKUP(TEXT(O203,"0"),CONDUCTORES!$A$3:$G$54,2,0),"")</f>
        <v/>
      </c>
      <c r="Q203" s="138" t="str">
        <f aca="false">IFERROR(VLOOKUP(TEXT(O203,"0"),CONDUCTORES!$A$3:$H$54,6,0),"")</f>
        <v/>
      </c>
      <c r="R203" s="140"/>
      <c r="S203" s="140"/>
      <c r="T203" s="140"/>
      <c r="U203" s="140"/>
      <c r="V203" s="140"/>
      <c r="W203" s="140"/>
      <c r="X203" s="140"/>
      <c r="Y203" s="140"/>
      <c r="Z203" s="185" t="str">
        <f aca="false">IF(AND(G203&lt;&gt;"",R203&lt;&gt;"",V203&lt;&gt;"",W203&lt;&gt;""),"COMPLETADO","OBSERVADO")</f>
        <v>OBSERVADO</v>
      </c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138" t="str">
        <f aca="false">IFERROR(VLOOKUP(TEXT(H204,"0"),IPRESS!$A$3:$B$212,2,0),"")</f>
        <v/>
      </c>
      <c r="J204" s="85"/>
      <c r="K204" s="138" t="str">
        <f aca="false">IFERROR(VLOOKUP(TEXT(O204,"0"),CONDUCTORES!$A$3:$G$54,7,0),"")</f>
        <v/>
      </c>
      <c r="L204" s="85"/>
      <c r="M204" s="85"/>
      <c r="N204" s="139" t="str">
        <f aca="false">IFERROR(IF(L204*M204=0,"",L204*M204),"")</f>
        <v/>
      </c>
      <c r="O204" s="85"/>
      <c r="P204" s="138" t="str">
        <f aca="false">IFERROR(VLOOKUP(TEXT(O204,"0"),CONDUCTORES!$A$3:$G$54,2,0),"")</f>
        <v/>
      </c>
      <c r="Q204" s="138" t="str">
        <f aca="false">IFERROR(VLOOKUP(TEXT(O204,"0"),CONDUCTORES!$A$3:$H$54,6,0),"")</f>
        <v/>
      </c>
      <c r="R204" s="85"/>
      <c r="S204" s="85"/>
      <c r="T204" s="85"/>
      <c r="U204" s="85"/>
      <c r="V204" s="85"/>
      <c r="W204" s="85"/>
      <c r="X204" s="85"/>
      <c r="Y204" s="85"/>
      <c r="Z204" s="185" t="str">
        <f aca="false">IF(AND(G204&lt;&gt;"",R204&lt;&gt;"",V204&lt;&gt;"",W204&lt;&gt;""),"COMPLETADO","OBSERVADO")</f>
        <v>OBSERVADO</v>
      </c>
    </row>
    <row r="205" customFormat="false" ht="15" hidden="false" customHeight="true" outlineLevel="0" collapsed="false">
      <c r="A205" s="140"/>
      <c r="B205" s="140"/>
      <c r="C205" s="140"/>
      <c r="D205" s="140"/>
      <c r="E205" s="140"/>
      <c r="F205" s="140"/>
      <c r="G205" s="140"/>
      <c r="H205" s="140"/>
      <c r="I205" s="138" t="str">
        <f aca="false">IFERROR(VLOOKUP(TEXT(H205,"0"),IPRESS!$A$3:$B$212,2,0),"")</f>
        <v/>
      </c>
      <c r="J205" s="140"/>
      <c r="K205" s="138" t="str">
        <f aca="false">IFERROR(VLOOKUP(TEXT(O205,"0"),CONDUCTORES!$A$3:$G$54,7,0),"")</f>
        <v/>
      </c>
      <c r="L205" s="140"/>
      <c r="M205" s="140"/>
      <c r="N205" s="139" t="str">
        <f aca="false">IFERROR(IF(L205*M205=0,"",L205*M205),"")</f>
        <v/>
      </c>
      <c r="O205" s="140"/>
      <c r="P205" s="138" t="str">
        <f aca="false">IFERROR(VLOOKUP(TEXT(O205,"0"),CONDUCTORES!$A$3:$G$54,2,0),"")</f>
        <v/>
      </c>
      <c r="Q205" s="138" t="str">
        <f aca="false">IFERROR(VLOOKUP(TEXT(O205,"0"),CONDUCTORES!$A$3:$H$54,6,0),"")</f>
        <v/>
      </c>
      <c r="R205" s="140"/>
      <c r="S205" s="140"/>
      <c r="T205" s="140"/>
      <c r="U205" s="140"/>
      <c r="V205" s="140"/>
      <c r="W205" s="140"/>
      <c r="X205" s="140"/>
      <c r="Y205" s="140"/>
      <c r="Z205" s="185" t="str">
        <f aca="false">IF(AND(G205&lt;&gt;"",R205&lt;&gt;"",V205&lt;&gt;"",W205&lt;&gt;""),"COMPLETADO","OBSERVADO")</f>
        <v>OBSERVADO</v>
      </c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138" t="str">
        <f aca="false">IFERROR(VLOOKUP(TEXT(H206,"0"),IPRESS!$A$3:$B$212,2,0),"")</f>
        <v/>
      </c>
      <c r="J206" s="85"/>
      <c r="K206" s="138" t="str">
        <f aca="false">IFERROR(VLOOKUP(TEXT(O206,"0"),CONDUCTORES!$A$3:$G$54,7,0),"")</f>
        <v/>
      </c>
      <c r="L206" s="85"/>
      <c r="M206" s="85"/>
      <c r="N206" s="139" t="str">
        <f aca="false">IFERROR(IF(L206*M206=0,"",L206*M206),"")</f>
        <v/>
      </c>
      <c r="O206" s="85"/>
      <c r="P206" s="138" t="str">
        <f aca="false">IFERROR(VLOOKUP(TEXT(O206,"0"),CONDUCTORES!$A$3:$G$54,2,0),"")</f>
        <v/>
      </c>
      <c r="Q206" s="138" t="str">
        <f aca="false">IFERROR(VLOOKUP(TEXT(O206,"0"),CONDUCTORES!$A$3:$H$54,6,0),"")</f>
        <v/>
      </c>
      <c r="R206" s="85"/>
      <c r="S206" s="85"/>
      <c r="T206" s="85"/>
      <c r="U206" s="85"/>
      <c r="V206" s="85"/>
      <c r="W206" s="85"/>
      <c r="X206" s="85"/>
      <c r="Y206" s="85"/>
      <c r="Z206" s="185" t="str">
        <f aca="false">IF(AND(G206&lt;&gt;"",R206&lt;&gt;"",V206&lt;&gt;"",W206&lt;&gt;""),"COMPLETADO","OBSERVADO")</f>
        <v>OBSERVADO</v>
      </c>
    </row>
    <row r="207" customFormat="false" ht="15" hidden="false" customHeight="true" outlineLevel="0" collapsed="false">
      <c r="A207" s="140"/>
      <c r="B207" s="140"/>
      <c r="C207" s="140"/>
      <c r="D207" s="140"/>
      <c r="E207" s="140"/>
      <c r="F207" s="140"/>
      <c r="G207" s="140"/>
      <c r="H207" s="140"/>
      <c r="I207" s="138" t="str">
        <f aca="false">IFERROR(VLOOKUP(TEXT(H207,"0"),IPRESS!$A$3:$B$212,2,0),"")</f>
        <v/>
      </c>
      <c r="J207" s="140"/>
      <c r="K207" s="138" t="str">
        <f aca="false">IFERROR(VLOOKUP(TEXT(O207,"0"),CONDUCTORES!$A$3:$G$54,7,0),"")</f>
        <v/>
      </c>
      <c r="L207" s="140"/>
      <c r="M207" s="140"/>
      <c r="N207" s="139" t="str">
        <f aca="false">IFERROR(IF(L207*M207=0,"",L207*M207),"")</f>
        <v/>
      </c>
      <c r="O207" s="140"/>
      <c r="P207" s="138" t="str">
        <f aca="false">IFERROR(VLOOKUP(TEXT(O207,"0"),CONDUCTORES!$A$3:$G$54,2,0),"")</f>
        <v/>
      </c>
      <c r="Q207" s="138" t="str">
        <f aca="false">IFERROR(VLOOKUP(TEXT(O207,"0"),CONDUCTORES!$A$3:$H$54,6,0),"")</f>
        <v/>
      </c>
      <c r="R207" s="140"/>
      <c r="S207" s="140"/>
      <c r="T207" s="140"/>
      <c r="U207" s="140"/>
      <c r="V207" s="140"/>
      <c r="W207" s="140"/>
      <c r="X207" s="140"/>
      <c r="Y207" s="140"/>
      <c r="Z207" s="185" t="str">
        <f aca="false">IF(AND(G207&lt;&gt;"",R207&lt;&gt;"",V207&lt;&gt;"",W207&lt;&gt;""),"COMPLETADO","OBSERVADO")</f>
        <v>OBSERVADO</v>
      </c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138" t="str">
        <f aca="false">IFERROR(VLOOKUP(TEXT(H208,"0"),IPRESS!$A$3:$B$212,2,0),"")</f>
        <v/>
      </c>
      <c r="J208" s="85"/>
      <c r="K208" s="138" t="str">
        <f aca="false">IFERROR(VLOOKUP(TEXT(O208,"0"),CONDUCTORES!$A$3:$G$54,7,0),"")</f>
        <v/>
      </c>
      <c r="L208" s="85"/>
      <c r="M208" s="85"/>
      <c r="N208" s="139" t="str">
        <f aca="false">IFERROR(IF(L208*M208=0,"",L208*M208),"")</f>
        <v/>
      </c>
      <c r="O208" s="85"/>
      <c r="P208" s="138" t="str">
        <f aca="false">IFERROR(VLOOKUP(TEXT(O208,"0"),CONDUCTORES!$A$3:$G$54,2,0),"")</f>
        <v/>
      </c>
      <c r="Q208" s="138" t="str">
        <f aca="false">IFERROR(VLOOKUP(TEXT(O208,"0"),CONDUCTORES!$A$3:$H$54,6,0),"")</f>
        <v/>
      </c>
      <c r="R208" s="85"/>
      <c r="S208" s="85"/>
      <c r="T208" s="85"/>
      <c r="U208" s="85"/>
      <c r="V208" s="85"/>
      <c r="W208" s="85"/>
      <c r="X208" s="85"/>
      <c r="Y208" s="85"/>
      <c r="Z208" s="185" t="str">
        <f aca="false">IF(AND(G208&lt;&gt;"",R208&lt;&gt;"",V208&lt;&gt;"",W208&lt;&gt;""),"COMPLETADO","OBSERVADO")</f>
        <v>OBSERVADO</v>
      </c>
    </row>
    <row r="209" customFormat="false" ht="15" hidden="false" customHeight="true" outlineLevel="0" collapsed="false">
      <c r="A209" s="140"/>
      <c r="B209" s="140"/>
      <c r="C209" s="140"/>
      <c r="D209" s="140"/>
      <c r="E209" s="140"/>
      <c r="F209" s="140"/>
      <c r="G209" s="140"/>
      <c r="H209" s="140"/>
      <c r="I209" s="138" t="str">
        <f aca="false">IFERROR(VLOOKUP(TEXT(H209,"0"),IPRESS!$A$3:$B$212,2,0),"")</f>
        <v/>
      </c>
      <c r="J209" s="140"/>
      <c r="K209" s="138" t="str">
        <f aca="false">IFERROR(VLOOKUP(TEXT(O209,"0"),CONDUCTORES!$A$3:$G$54,7,0),"")</f>
        <v/>
      </c>
      <c r="L209" s="140"/>
      <c r="M209" s="140"/>
      <c r="N209" s="139" t="str">
        <f aca="false">IFERROR(IF(L209*M209=0,"",L209*M209),"")</f>
        <v/>
      </c>
      <c r="O209" s="140"/>
      <c r="P209" s="138" t="str">
        <f aca="false">IFERROR(VLOOKUP(TEXT(O209,"0"),CONDUCTORES!$A$3:$G$54,2,0),"")</f>
        <v/>
      </c>
      <c r="Q209" s="138" t="str">
        <f aca="false">IFERROR(VLOOKUP(TEXT(O209,"0"),CONDUCTORES!$A$3:$H$54,6,0),"")</f>
        <v/>
      </c>
      <c r="R209" s="140"/>
      <c r="S209" s="140"/>
      <c r="T209" s="140"/>
      <c r="U209" s="140"/>
      <c r="V209" s="140"/>
      <c r="W209" s="140"/>
      <c r="X209" s="140"/>
      <c r="Y209" s="140"/>
      <c r="Z209" s="185" t="str">
        <f aca="false">IF(AND(G209&lt;&gt;"",R209&lt;&gt;"",V209&lt;&gt;"",W209&lt;&gt;""),"COMPLETADO","OBSERVADO")</f>
        <v>OBSERVADO</v>
      </c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138" t="str">
        <f aca="false">IFERROR(VLOOKUP(TEXT(H210,"0"),IPRESS!$A$3:$B$212,2,0),"")</f>
        <v/>
      </c>
      <c r="J210" s="85"/>
      <c r="K210" s="138" t="str">
        <f aca="false">IFERROR(VLOOKUP(TEXT(O210,"0"),CONDUCTORES!$A$3:$G$54,7,0),"")</f>
        <v/>
      </c>
      <c r="L210" s="85"/>
      <c r="M210" s="85"/>
      <c r="N210" s="139" t="str">
        <f aca="false">IFERROR(IF(L210*M210=0,"",L210*M210),"")</f>
        <v/>
      </c>
      <c r="O210" s="85"/>
      <c r="P210" s="138" t="str">
        <f aca="false">IFERROR(VLOOKUP(TEXT(O210,"0"),CONDUCTORES!$A$3:$G$54,2,0),"")</f>
        <v/>
      </c>
      <c r="Q210" s="138" t="str">
        <f aca="false">IFERROR(VLOOKUP(TEXT(O210,"0"),CONDUCTORES!$A$3:$H$54,6,0),"")</f>
        <v/>
      </c>
      <c r="R210" s="85"/>
      <c r="S210" s="85"/>
      <c r="T210" s="85"/>
      <c r="U210" s="85"/>
      <c r="V210" s="85"/>
      <c r="W210" s="85"/>
      <c r="X210" s="85"/>
      <c r="Y210" s="85"/>
      <c r="Z210" s="185" t="str">
        <f aca="false">IF(AND(G210&lt;&gt;"",R210&lt;&gt;"",V210&lt;&gt;"",W210&lt;&gt;""),"COMPLETADO","OBSERVADO")</f>
        <v>OBSERVADO</v>
      </c>
    </row>
    <row r="211" customFormat="false" ht="15" hidden="false" customHeight="true" outlineLevel="0" collapsed="false">
      <c r="A211" s="140"/>
      <c r="B211" s="140"/>
      <c r="C211" s="140"/>
      <c r="D211" s="140"/>
      <c r="E211" s="140"/>
      <c r="F211" s="140"/>
      <c r="G211" s="140"/>
      <c r="H211" s="140"/>
      <c r="I211" s="138" t="str">
        <f aca="false">IFERROR(VLOOKUP(TEXT(H211,"0"),IPRESS!$A$3:$B$212,2,0),"")</f>
        <v/>
      </c>
      <c r="J211" s="140"/>
      <c r="K211" s="138" t="str">
        <f aca="false">IFERROR(VLOOKUP(TEXT(O211,"0"),CONDUCTORES!$A$3:$G$54,7,0),"")</f>
        <v/>
      </c>
      <c r="L211" s="140"/>
      <c r="M211" s="140"/>
      <c r="N211" s="139" t="str">
        <f aca="false">IFERROR(IF(L211*M211=0,"",L211*M211),"")</f>
        <v/>
      </c>
      <c r="O211" s="140"/>
      <c r="P211" s="138" t="str">
        <f aca="false">IFERROR(VLOOKUP(TEXT(O211,"0"),CONDUCTORES!$A$3:$G$54,2,0),"")</f>
        <v/>
      </c>
      <c r="Q211" s="138" t="str">
        <f aca="false">IFERROR(VLOOKUP(TEXT(O211,"0"),CONDUCTORES!$A$3:$H$54,6,0),"")</f>
        <v/>
      </c>
      <c r="R211" s="140"/>
      <c r="S211" s="140"/>
      <c r="T211" s="140"/>
      <c r="U211" s="140"/>
      <c r="V211" s="140"/>
      <c r="W211" s="140"/>
      <c r="X211" s="140"/>
      <c r="Y211" s="140"/>
      <c r="Z211" s="185" t="str">
        <f aca="false">IF(AND(G211&lt;&gt;"",R211&lt;&gt;"",V211&lt;&gt;"",W211&lt;&gt;""),"COMPLETADO","OBSERVADO")</f>
        <v>OBSERVADO</v>
      </c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138" t="str">
        <f aca="false">IFERROR(VLOOKUP(TEXT(H212,"0"),IPRESS!$A$3:$B$212,2,0),"")</f>
        <v/>
      </c>
      <c r="J212" s="85"/>
      <c r="K212" s="138" t="str">
        <f aca="false">IFERROR(VLOOKUP(TEXT(O212,"0"),CONDUCTORES!$A$3:$G$54,7,0),"")</f>
        <v/>
      </c>
      <c r="L212" s="85"/>
      <c r="M212" s="85"/>
      <c r="N212" s="139" t="str">
        <f aca="false">IFERROR(IF(L212*M212=0,"",L212*M212),"")</f>
        <v/>
      </c>
      <c r="O212" s="85"/>
      <c r="P212" s="138" t="str">
        <f aca="false">IFERROR(VLOOKUP(TEXT(O212,"0"),CONDUCTORES!$A$3:$G$54,2,0),"")</f>
        <v/>
      </c>
      <c r="Q212" s="138" t="str">
        <f aca="false">IFERROR(VLOOKUP(TEXT(O212,"0"),CONDUCTORES!$A$3:$H$54,6,0),"")</f>
        <v/>
      </c>
      <c r="R212" s="85"/>
      <c r="S212" s="85"/>
      <c r="T212" s="85"/>
      <c r="U212" s="85"/>
      <c r="V212" s="85"/>
      <c r="W212" s="85"/>
      <c r="X212" s="85"/>
      <c r="Y212" s="85"/>
      <c r="Z212" s="185" t="str">
        <f aca="false">IF(AND(G212&lt;&gt;"",R212&lt;&gt;"",V212&lt;&gt;"",W212&lt;&gt;""),"COMPLETADO","OBSERVADO")</f>
        <v>OBSERVADO</v>
      </c>
    </row>
    <row r="213" customFormat="false" ht="15" hidden="false" customHeight="true" outlineLevel="0" collapsed="false">
      <c r="A213" s="140"/>
      <c r="B213" s="140"/>
      <c r="C213" s="140"/>
      <c r="D213" s="140"/>
      <c r="E213" s="140"/>
      <c r="F213" s="140"/>
      <c r="G213" s="140"/>
      <c r="H213" s="140"/>
      <c r="I213" s="138" t="str">
        <f aca="false">IFERROR(VLOOKUP(TEXT(H213,"0"),IPRESS!$A$3:$B$212,2,0),"")</f>
        <v/>
      </c>
      <c r="J213" s="140"/>
      <c r="K213" s="138" t="str">
        <f aca="false">IFERROR(VLOOKUP(TEXT(O213,"0"),CONDUCTORES!$A$3:$G$54,7,0),"")</f>
        <v/>
      </c>
      <c r="L213" s="140"/>
      <c r="M213" s="140"/>
      <c r="N213" s="139" t="str">
        <f aca="false">IFERROR(IF(L213*M213=0,"",L213*M213),"")</f>
        <v/>
      </c>
      <c r="O213" s="140"/>
      <c r="P213" s="138" t="str">
        <f aca="false">IFERROR(VLOOKUP(TEXT(O213,"0"),CONDUCTORES!$A$3:$G$54,2,0),"")</f>
        <v/>
      </c>
      <c r="Q213" s="138" t="str">
        <f aca="false">IFERROR(VLOOKUP(TEXT(O213,"0"),CONDUCTORES!$A$3:$H$54,6,0),"")</f>
        <v/>
      </c>
      <c r="R213" s="140"/>
      <c r="S213" s="140"/>
      <c r="T213" s="140"/>
      <c r="U213" s="140"/>
      <c r="V213" s="140"/>
      <c r="W213" s="140"/>
      <c r="X213" s="140"/>
      <c r="Y213" s="140"/>
      <c r="Z213" s="185" t="str">
        <f aca="false">IF(AND(G213&lt;&gt;"",R213&lt;&gt;"",V213&lt;&gt;"",W213&lt;&gt;""),"COMPLETADO","OBSERVADO")</f>
        <v>OBSERVADO</v>
      </c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138" t="str">
        <f aca="false">IFERROR(VLOOKUP(TEXT(H214,"0"),IPRESS!$A$3:$B$212,2,0),"")</f>
        <v/>
      </c>
      <c r="J214" s="85"/>
      <c r="K214" s="138" t="str">
        <f aca="false">IFERROR(VLOOKUP(TEXT(O214,"0"),CONDUCTORES!$A$3:$G$54,7,0),"")</f>
        <v/>
      </c>
      <c r="L214" s="85"/>
      <c r="M214" s="85"/>
      <c r="N214" s="139" t="str">
        <f aca="false">IFERROR(IF(L214*M214=0,"",L214*M214),"")</f>
        <v/>
      </c>
      <c r="O214" s="85"/>
      <c r="P214" s="138" t="str">
        <f aca="false">IFERROR(VLOOKUP(TEXT(O214,"0"),CONDUCTORES!$A$3:$G$54,2,0),"")</f>
        <v/>
      </c>
      <c r="Q214" s="138" t="str">
        <f aca="false">IFERROR(VLOOKUP(TEXT(O214,"0"),CONDUCTORES!$A$3:$H$54,6,0),"")</f>
        <v/>
      </c>
      <c r="R214" s="85"/>
      <c r="S214" s="85"/>
      <c r="T214" s="85"/>
      <c r="U214" s="85"/>
      <c r="V214" s="85"/>
      <c r="W214" s="85"/>
      <c r="X214" s="85"/>
      <c r="Y214" s="85"/>
      <c r="Z214" s="185" t="str">
        <f aca="false">IF(AND(G214&lt;&gt;"",R214&lt;&gt;"",V214&lt;&gt;"",W214&lt;&gt;""),"COMPLETADO","OBSERVADO")</f>
        <v>OBSERVADO</v>
      </c>
    </row>
    <row r="215" customFormat="false" ht="15" hidden="false" customHeight="true" outlineLevel="0" collapsed="false">
      <c r="A215" s="140"/>
      <c r="B215" s="140"/>
      <c r="C215" s="140"/>
      <c r="D215" s="140"/>
      <c r="E215" s="140"/>
      <c r="F215" s="140"/>
      <c r="G215" s="140"/>
      <c r="H215" s="140"/>
      <c r="I215" s="138" t="str">
        <f aca="false">IFERROR(VLOOKUP(TEXT(H215,"0"),IPRESS!$A$3:$B$212,2,0),"")</f>
        <v/>
      </c>
      <c r="J215" s="140"/>
      <c r="K215" s="138" t="str">
        <f aca="false">IFERROR(VLOOKUP(TEXT(O215,"0"),CONDUCTORES!$A$3:$G$54,7,0),"")</f>
        <v/>
      </c>
      <c r="L215" s="140"/>
      <c r="M215" s="140"/>
      <c r="N215" s="139" t="str">
        <f aca="false">IFERROR(IF(L215*M215=0,"",L215*M215),"")</f>
        <v/>
      </c>
      <c r="O215" s="140"/>
      <c r="P215" s="138" t="str">
        <f aca="false">IFERROR(VLOOKUP(TEXT(O215,"0"),CONDUCTORES!$A$3:$G$54,2,0),"")</f>
        <v/>
      </c>
      <c r="Q215" s="138" t="str">
        <f aca="false">IFERROR(VLOOKUP(TEXT(O215,"0"),CONDUCTORES!$A$3:$H$54,6,0),"")</f>
        <v/>
      </c>
      <c r="R215" s="140"/>
      <c r="S215" s="140"/>
      <c r="T215" s="140"/>
      <c r="U215" s="140"/>
      <c r="V215" s="140"/>
      <c r="W215" s="140"/>
      <c r="X215" s="140"/>
      <c r="Y215" s="140"/>
      <c r="Z215" s="185" t="str">
        <f aca="false">IF(AND(G215&lt;&gt;"",R215&lt;&gt;"",V215&lt;&gt;"",W215&lt;&gt;""),"COMPLETADO","OBSERVADO")</f>
        <v>OBSERVADO</v>
      </c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138" t="str">
        <f aca="false">IFERROR(VLOOKUP(TEXT(H216,"0"),IPRESS!$A$3:$B$212,2,0),"")</f>
        <v/>
      </c>
      <c r="J216" s="85"/>
      <c r="K216" s="138" t="str">
        <f aca="false">IFERROR(VLOOKUP(TEXT(O216,"0"),CONDUCTORES!$A$3:$G$54,7,0),"")</f>
        <v/>
      </c>
      <c r="L216" s="85"/>
      <c r="M216" s="85"/>
      <c r="N216" s="139" t="str">
        <f aca="false">IFERROR(IF(L216*M216=0,"",L216*M216),"")</f>
        <v/>
      </c>
      <c r="O216" s="85"/>
      <c r="P216" s="138" t="str">
        <f aca="false">IFERROR(VLOOKUP(TEXT(O216,"0"),CONDUCTORES!$A$3:$G$54,2,0),"")</f>
        <v/>
      </c>
      <c r="Q216" s="138" t="str">
        <f aca="false">IFERROR(VLOOKUP(TEXT(O216,"0"),CONDUCTORES!$A$3:$H$54,6,0),"")</f>
        <v/>
      </c>
      <c r="R216" s="85"/>
      <c r="S216" s="85"/>
      <c r="T216" s="85"/>
      <c r="U216" s="85"/>
      <c r="V216" s="85"/>
      <c r="W216" s="85"/>
      <c r="X216" s="85"/>
      <c r="Y216" s="85"/>
      <c r="Z216" s="185" t="str">
        <f aca="false">IF(AND(G216&lt;&gt;"",R216&lt;&gt;"",V216&lt;&gt;"",W216&lt;&gt;""),"COMPLETADO","OBSERVADO")</f>
        <v>OBSERVADO</v>
      </c>
    </row>
    <row r="217" customFormat="false" ht="15" hidden="false" customHeight="true" outlineLevel="0" collapsed="false">
      <c r="A217" s="140"/>
      <c r="B217" s="140"/>
      <c r="C217" s="140"/>
      <c r="D217" s="140"/>
      <c r="E217" s="140"/>
      <c r="F217" s="140"/>
      <c r="G217" s="140"/>
      <c r="H217" s="140"/>
      <c r="I217" s="138" t="str">
        <f aca="false">IFERROR(VLOOKUP(TEXT(H217,"0"),IPRESS!$A$3:$B$212,2,0),"")</f>
        <v/>
      </c>
      <c r="J217" s="140"/>
      <c r="K217" s="138" t="str">
        <f aca="false">IFERROR(VLOOKUP(TEXT(O217,"0"),CONDUCTORES!$A$3:$G$54,7,0),"")</f>
        <v/>
      </c>
      <c r="L217" s="140"/>
      <c r="M217" s="140"/>
      <c r="N217" s="139" t="str">
        <f aca="false">IFERROR(IF(L217*M217=0,"",L217*M217),"")</f>
        <v/>
      </c>
      <c r="O217" s="140"/>
      <c r="P217" s="138" t="str">
        <f aca="false">IFERROR(VLOOKUP(TEXT(O217,"0"),CONDUCTORES!$A$3:$G$54,2,0),"")</f>
        <v/>
      </c>
      <c r="Q217" s="138" t="str">
        <f aca="false">IFERROR(VLOOKUP(TEXT(O217,"0"),CONDUCTORES!$A$3:$H$54,6,0),"")</f>
        <v/>
      </c>
      <c r="R217" s="140"/>
      <c r="S217" s="140"/>
      <c r="T217" s="140"/>
      <c r="U217" s="140"/>
      <c r="V217" s="140"/>
      <c r="W217" s="140"/>
      <c r="X217" s="140"/>
      <c r="Y217" s="140"/>
      <c r="Z217" s="185" t="str">
        <f aca="false">IF(AND(G217&lt;&gt;"",R217&lt;&gt;"",V217&lt;&gt;"",W217&lt;&gt;""),"COMPLETADO","OBSERVADO")</f>
        <v>OBSERVADO</v>
      </c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138" t="str">
        <f aca="false">IFERROR(VLOOKUP(TEXT(H218,"0"),IPRESS!$A$3:$B$212,2,0),"")</f>
        <v/>
      </c>
      <c r="J218" s="85"/>
      <c r="K218" s="138" t="str">
        <f aca="false">IFERROR(VLOOKUP(TEXT(O218,"0"),CONDUCTORES!$A$3:$G$54,7,0),"")</f>
        <v/>
      </c>
      <c r="L218" s="85"/>
      <c r="M218" s="85"/>
      <c r="N218" s="139" t="str">
        <f aca="false">IFERROR(IF(L218*M218=0,"",L218*M218),"")</f>
        <v/>
      </c>
      <c r="O218" s="85"/>
      <c r="P218" s="138" t="str">
        <f aca="false">IFERROR(VLOOKUP(TEXT(O218,"0"),CONDUCTORES!$A$3:$G$54,2,0),"")</f>
        <v/>
      </c>
      <c r="Q218" s="138" t="str">
        <f aca="false">IFERROR(VLOOKUP(TEXT(O218,"0"),CONDUCTORES!$A$3:$H$54,6,0),"")</f>
        <v/>
      </c>
      <c r="R218" s="85"/>
      <c r="S218" s="85"/>
      <c r="T218" s="85"/>
      <c r="U218" s="85"/>
      <c r="V218" s="85"/>
      <c r="W218" s="85"/>
      <c r="X218" s="85"/>
      <c r="Y218" s="85"/>
      <c r="Z218" s="185" t="str">
        <f aca="false">IF(AND(G218&lt;&gt;"",R218&lt;&gt;"",V218&lt;&gt;"",W218&lt;&gt;""),"COMPLETADO","OBSERVADO")</f>
        <v>OBSERVADO</v>
      </c>
    </row>
    <row r="219" customFormat="false" ht="15" hidden="false" customHeight="true" outlineLevel="0" collapsed="false">
      <c r="A219" s="140"/>
      <c r="B219" s="140"/>
      <c r="C219" s="140"/>
      <c r="D219" s="140"/>
      <c r="E219" s="140"/>
      <c r="F219" s="140"/>
      <c r="G219" s="140"/>
      <c r="H219" s="140"/>
      <c r="I219" s="138" t="str">
        <f aca="false">IFERROR(VLOOKUP(TEXT(H219,"0"),IPRESS!$A$3:$B$212,2,0),"")</f>
        <v/>
      </c>
      <c r="J219" s="140"/>
      <c r="K219" s="138" t="str">
        <f aca="false">IFERROR(VLOOKUP(TEXT(O219,"0"),CONDUCTORES!$A$3:$G$54,7,0),"")</f>
        <v/>
      </c>
      <c r="L219" s="140"/>
      <c r="M219" s="140"/>
      <c r="N219" s="139" t="str">
        <f aca="false">IFERROR(IF(L219*M219=0,"",L219*M219),"")</f>
        <v/>
      </c>
      <c r="O219" s="140"/>
      <c r="P219" s="138" t="str">
        <f aca="false">IFERROR(VLOOKUP(TEXT(O219,"0"),CONDUCTORES!$A$3:$G$54,2,0),"")</f>
        <v/>
      </c>
      <c r="Q219" s="138" t="str">
        <f aca="false">IFERROR(VLOOKUP(TEXT(O219,"0"),CONDUCTORES!$A$3:$H$54,6,0),"")</f>
        <v/>
      </c>
      <c r="R219" s="140"/>
      <c r="S219" s="140"/>
      <c r="T219" s="140"/>
      <c r="U219" s="140"/>
      <c r="V219" s="140"/>
      <c r="W219" s="140"/>
      <c r="X219" s="140"/>
      <c r="Y219" s="140"/>
      <c r="Z219" s="185" t="str">
        <f aca="false">IF(AND(G219&lt;&gt;"",R219&lt;&gt;"",V219&lt;&gt;"",W219&lt;&gt;""),"COMPLETADO","OBSERVADO")</f>
        <v>OBSERVADO</v>
      </c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138" t="str">
        <f aca="false">IFERROR(VLOOKUP(TEXT(H220,"0"),IPRESS!$A$3:$B$212,2,0),"")</f>
        <v/>
      </c>
      <c r="J220" s="85"/>
      <c r="K220" s="138" t="str">
        <f aca="false">IFERROR(VLOOKUP(TEXT(O220,"0"),CONDUCTORES!$A$3:$G$54,7,0),"")</f>
        <v/>
      </c>
      <c r="L220" s="85"/>
      <c r="M220" s="85"/>
      <c r="N220" s="139" t="str">
        <f aca="false">IFERROR(IF(L220*M220=0,"",L220*M220),"")</f>
        <v/>
      </c>
      <c r="O220" s="85"/>
      <c r="P220" s="138" t="str">
        <f aca="false">IFERROR(VLOOKUP(TEXT(O220,"0"),CONDUCTORES!$A$3:$G$54,2,0),"")</f>
        <v/>
      </c>
      <c r="Q220" s="138" t="str">
        <f aca="false">IFERROR(VLOOKUP(TEXT(O220,"0"),CONDUCTORES!$A$3:$H$54,6,0),"")</f>
        <v/>
      </c>
      <c r="R220" s="85"/>
      <c r="S220" s="85"/>
      <c r="T220" s="85"/>
      <c r="U220" s="85"/>
      <c r="V220" s="85"/>
      <c r="W220" s="85"/>
      <c r="X220" s="85"/>
      <c r="Y220" s="85"/>
      <c r="Z220" s="185" t="str">
        <f aca="false">IF(AND(G220&lt;&gt;"",R220&lt;&gt;"",V220&lt;&gt;"",W220&lt;&gt;""),"COMPLETADO","OBSERVADO")</f>
        <v>OBSERVADO</v>
      </c>
    </row>
    <row r="221" customFormat="false" ht="15" hidden="false" customHeight="true" outlineLevel="0" collapsed="false">
      <c r="A221" s="140"/>
      <c r="B221" s="140"/>
      <c r="C221" s="140"/>
      <c r="D221" s="140"/>
      <c r="E221" s="140"/>
      <c r="F221" s="140"/>
      <c r="G221" s="140"/>
      <c r="H221" s="140"/>
      <c r="I221" s="138" t="str">
        <f aca="false">IFERROR(VLOOKUP(TEXT(H221,"0"),IPRESS!$A$3:$B$212,2,0),"")</f>
        <v/>
      </c>
      <c r="J221" s="140"/>
      <c r="K221" s="138" t="str">
        <f aca="false">IFERROR(VLOOKUP(TEXT(O221,"0"),CONDUCTORES!$A$3:$G$54,7,0),"")</f>
        <v/>
      </c>
      <c r="L221" s="140"/>
      <c r="M221" s="140"/>
      <c r="N221" s="139" t="str">
        <f aca="false">IFERROR(IF(L221*M221=0,"",L221*M221),"")</f>
        <v/>
      </c>
      <c r="O221" s="140"/>
      <c r="P221" s="138" t="str">
        <f aca="false">IFERROR(VLOOKUP(TEXT(O221,"0"),CONDUCTORES!$A$3:$G$54,2,0),"")</f>
        <v/>
      </c>
      <c r="Q221" s="138" t="str">
        <f aca="false">IFERROR(VLOOKUP(TEXT(O221,"0"),CONDUCTORES!$A$3:$H$54,6,0),"")</f>
        <v/>
      </c>
      <c r="R221" s="140"/>
      <c r="S221" s="140"/>
      <c r="T221" s="140"/>
      <c r="U221" s="140"/>
      <c r="V221" s="140"/>
      <c r="W221" s="140"/>
      <c r="X221" s="140"/>
      <c r="Y221" s="140"/>
      <c r="Z221" s="185" t="str">
        <f aca="false">IF(AND(G221&lt;&gt;"",R221&lt;&gt;"",V221&lt;&gt;"",W221&lt;&gt;""),"COMPLETADO","OBSERVADO")</f>
        <v>OBSERVADO</v>
      </c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138" t="str">
        <f aca="false">IFERROR(VLOOKUP(TEXT(H222,"0"),IPRESS!$A$3:$B$212,2,0),"")</f>
        <v/>
      </c>
      <c r="J222" s="85"/>
      <c r="K222" s="138" t="str">
        <f aca="false">IFERROR(VLOOKUP(TEXT(O222,"0"),CONDUCTORES!$A$3:$G$54,7,0),"")</f>
        <v/>
      </c>
      <c r="L222" s="85"/>
      <c r="M222" s="85"/>
      <c r="N222" s="139" t="str">
        <f aca="false">IFERROR(IF(L222*M222=0,"",L222*M222),"")</f>
        <v/>
      </c>
      <c r="O222" s="85"/>
      <c r="P222" s="138" t="str">
        <f aca="false">IFERROR(VLOOKUP(TEXT(O222,"0"),CONDUCTORES!$A$3:$G$54,2,0),"")</f>
        <v/>
      </c>
      <c r="Q222" s="138" t="str">
        <f aca="false">IFERROR(VLOOKUP(TEXT(O222,"0"),CONDUCTORES!$A$3:$H$54,6,0),"")</f>
        <v/>
      </c>
      <c r="R222" s="85"/>
      <c r="S222" s="85"/>
      <c r="T222" s="85"/>
      <c r="U222" s="85"/>
      <c r="V222" s="85"/>
      <c r="W222" s="85"/>
      <c r="X222" s="85"/>
      <c r="Y222" s="85"/>
      <c r="Z222" s="185" t="str">
        <f aca="false">IF(AND(G222&lt;&gt;"",R222&lt;&gt;"",V222&lt;&gt;"",W222&lt;&gt;""),"COMPLETADO","OBSERVADO")</f>
        <v>OBSERVADO</v>
      </c>
    </row>
    <row r="223" customFormat="false" ht="15" hidden="false" customHeight="true" outlineLevel="0" collapsed="false">
      <c r="A223" s="140"/>
      <c r="B223" s="140"/>
      <c r="C223" s="140"/>
      <c r="D223" s="140"/>
      <c r="E223" s="140"/>
      <c r="F223" s="140"/>
      <c r="G223" s="140"/>
      <c r="H223" s="140"/>
      <c r="I223" s="138" t="str">
        <f aca="false">IFERROR(VLOOKUP(TEXT(H223,"0"),IPRESS!$A$3:$B$212,2,0),"")</f>
        <v/>
      </c>
      <c r="J223" s="140"/>
      <c r="K223" s="138" t="str">
        <f aca="false">IFERROR(VLOOKUP(TEXT(O223,"0"),CONDUCTORES!$A$3:$G$54,7,0),"")</f>
        <v/>
      </c>
      <c r="L223" s="140"/>
      <c r="M223" s="140"/>
      <c r="N223" s="139" t="str">
        <f aca="false">IFERROR(IF(L223*M223=0,"",L223*M223),"")</f>
        <v/>
      </c>
      <c r="O223" s="140"/>
      <c r="P223" s="138" t="str">
        <f aca="false">IFERROR(VLOOKUP(TEXT(O223,"0"),CONDUCTORES!$A$3:$G$54,2,0),"")</f>
        <v/>
      </c>
      <c r="Q223" s="138" t="str">
        <f aca="false">IFERROR(VLOOKUP(TEXT(O223,"0"),CONDUCTORES!$A$3:$H$54,6,0),"")</f>
        <v/>
      </c>
      <c r="R223" s="140"/>
      <c r="S223" s="140"/>
      <c r="T223" s="140"/>
      <c r="U223" s="140"/>
      <c r="V223" s="140"/>
      <c r="W223" s="140"/>
      <c r="X223" s="140"/>
      <c r="Y223" s="140"/>
      <c r="Z223" s="185" t="str">
        <f aca="false">IF(AND(G223&lt;&gt;"",R223&lt;&gt;"",V223&lt;&gt;"",W223&lt;&gt;""),"COMPLETADO","OBSERVADO")</f>
        <v>OBSERVADO</v>
      </c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138" t="str">
        <f aca="false">IFERROR(VLOOKUP(TEXT(H224,"0"),IPRESS!$A$3:$B$212,2,0),"")</f>
        <v/>
      </c>
      <c r="J224" s="85"/>
      <c r="K224" s="138" t="str">
        <f aca="false">IFERROR(VLOOKUP(TEXT(O224,"0"),CONDUCTORES!$A$3:$G$54,7,0),"")</f>
        <v/>
      </c>
      <c r="L224" s="85"/>
      <c r="M224" s="85"/>
      <c r="N224" s="139" t="str">
        <f aca="false">IFERROR(IF(L224*M224=0,"",L224*M224),"")</f>
        <v/>
      </c>
      <c r="O224" s="85"/>
      <c r="P224" s="138" t="str">
        <f aca="false">IFERROR(VLOOKUP(TEXT(O224,"0"),CONDUCTORES!$A$3:$G$54,2,0),"")</f>
        <v/>
      </c>
      <c r="Q224" s="138" t="str">
        <f aca="false">IFERROR(VLOOKUP(TEXT(O224,"0"),CONDUCTORES!$A$3:$H$54,6,0),"")</f>
        <v/>
      </c>
      <c r="R224" s="85"/>
      <c r="S224" s="85"/>
      <c r="T224" s="85"/>
      <c r="U224" s="85"/>
      <c r="V224" s="85"/>
      <c r="W224" s="85"/>
      <c r="X224" s="85"/>
      <c r="Y224" s="85"/>
      <c r="Z224" s="185" t="str">
        <f aca="false">IF(AND(G224&lt;&gt;"",R224&lt;&gt;"",V224&lt;&gt;"",W224&lt;&gt;""),"COMPLETADO","OBSERVADO")</f>
        <v>OBSERVADO</v>
      </c>
    </row>
    <row r="225" customFormat="false" ht="15" hidden="false" customHeight="true" outlineLevel="0" collapsed="false">
      <c r="A225" s="140"/>
      <c r="B225" s="140"/>
      <c r="C225" s="140"/>
      <c r="D225" s="140"/>
      <c r="E225" s="140"/>
      <c r="F225" s="140"/>
      <c r="G225" s="140"/>
      <c r="H225" s="140"/>
      <c r="I225" s="138" t="str">
        <f aca="false">IFERROR(VLOOKUP(TEXT(H225,"0"),IPRESS!$A$3:$B$212,2,0),"")</f>
        <v/>
      </c>
      <c r="J225" s="140"/>
      <c r="K225" s="138" t="str">
        <f aca="false">IFERROR(VLOOKUP(TEXT(O225,"0"),CONDUCTORES!$A$3:$G$54,7,0),"")</f>
        <v/>
      </c>
      <c r="L225" s="140"/>
      <c r="M225" s="140"/>
      <c r="N225" s="139" t="str">
        <f aca="false">IFERROR(IF(L225*M225=0,"",L225*M225),"")</f>
        <v/>
      </c>
      <c r="O225" s="140"/>
      <c r="P225" s="138" t="str">
        <f aca="false">IFERROR(VLOOKUP(TEXT(O225,"0"),CONDUCTORES!$A$3:$G$54,2,0),"")</f>
        <v/>
      </c>
      <c r="Q225" s="138" t="str">
        <f aca="false">IFERROR(VLOOKUP(TEXT(O225,"0"),CONDUCTORES!$A$3:$H$54,6,0),"")</f>
        <v/>
      </c>
      <c r="R225" s="140"/>
      <c r="S225" s="140"/>
      <c r="T225" s="140"/>
      <c r="U225" s="140"/>
      <c r="V225" s="140"/>
      <c r="W225" s="140"/>
      <c r="X225" s="140"/>
      <c r="Y225" s="140"/>
      <c r="Z225" s="185" t="str">
        <f aca="false">IF(AND(G225&lt;&gt;"",R225&lt;&gt;"",V225&lt;&gt;"",W225&lt;&gt;""),"COMPLETADO","OBSERVADO")</f>
        <v>OBSERVADO</v>
      </c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138" t="str">
        <f aca="false">IFERROR(VLOOKUP(TEXT(H226,"0"),IPRESS!$A$3:$B$212,2,0),"")</f>
        <v/>
      </c>
      <c r="J226" s="85"/>
      <c r="K226" s="138" t="str">
        <f aca="false">IFERROR(VLOOKUP(TEXT(O226,"0"),CONDUCTORES!$A$3:$G$54,7,0),"")</f>
        <v/>
      </c>
      <c r="L226" s="85"/>
      <c r="M226" s="85"/>
      <c r="N226" s="139" t="str">
        <f aca="false">IFERROR(IF(L226*M226=0,"",L226*M226),"")</f>
        <v/>
      </c>
      <c r="O226" s="85"/>
      <c r="P226" s="138" t="str">
        <f aca="false">IFERROR(VLOOKUP(TEXT(O226,"0"),CONDUCTORES!$A$3:$G$54,2,0),"")</f>
        <v/>
      </c>
      <c r="Q226" s="138" t="str">
        <f aca="false">IFERROR(VLOOKUP(TEXT(O226,"0"),CONDUCTORES!$A$3:$H$54,6,0),"")</f>
        <v/>
      </c>
      <c r="R226" s="85"/>
      <c r="S226" s="85"/>
      <c r="T226" s="85"/>
      <c r="U226" s="85"/>
      <c r="V226" s="85"/>
      <c r="W226" s="85"/>
      <c r="X226" s="85"/>
      <c r="Y226" s="85"/>
      <c r="Z226" s="185" t="str">
        <f aca="false">IF(AND(G226&lt;&gt;"",R226&lt;&gt;"",V226&lt;&gt;"",W226&lt;&gt;""),"COMPLETADO","OBSERVADO")</f>
        <v>OBSERVADO</v>
      </c>
    </row>
    <row r="227" customFormat="false" ht="15" hidden="false" customHeight="true" outlineLevel="0" collapsed="false">
      <c r="A227" s="140"/>
      <c r="B227" s="140"/>
      <c r="C227" s="140"/>
      <c r="D227" s="140"/>
      <c r="E227" s="140"/>
      <c r="F227" s="140"/>
      <c r="G227" s="140"/>
      <c r="H227" s="140"/>
      <c r="I227" s="138" t="str">
        <f aca="false">IFERROR(VLOOKUP(TEXT(H227,"0"),IPRESS!$A$3:$B$212,2,0),"")</f>
        <v/>
      </c>
      <c r="J227" s="140"/>
      <c r="K227" s="138" t="str">
        <f aca="false">IFERROR(VLOOKUP(TEXT(O227,"0"),CONDUCTORES!$A$3:$G$54,7,0),"")</f>
        <v/>
      </c>
      <c r="L227" s="140"/>
      <c r="M227" s="140"/>
      <c r="N227" s="139" t="str">
        <f aca="false">IFERROR(IF(L227*M227=0,"",L227*M227),"")</f>
        <v/>
      </c>
      <c r="O227" s="140"/>
      <c r="P227" s="138" t="str">
        <f aca="false">IFERROR(VLOOKUP(TEXT(O227,"0"),CONDUCTORES!$A$3:$G$54,2,0),"")</f>
        <v/>
      </c>
      <c r="Q227" s="138" t="str">
        <f aca="false">IFERROR(VLOOKUP(TEXT(O227,"0"),CONDUCTORES!$A$3:$H$54,6,0),"")</f>
        <v/>
      </c>
      <c r="R227" s="140"/>
      <c r="S227" s="140"/>
      <c r="T227" s="140"/>
      <c r="U227" s="140"/>
      <c r="V227" s="140"/>
      <c r="W227" s="140"/>
      <c r="X227" s="140"/>
      <c r="Y227" s="140"/>
      <c r="Z227" s="185" t="str">
        <f aca="false">IF(AND(G227&lt;&gt;"",R227&lt;&gt;"",V227&lt;&gt;"",W227&lt;&gt;""),"COMPLETADO","OBSERVADO")</f>
        <v>OBSERVADO</v>
      </c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138" t="str">
        <f aca="false">IFERROR(VLOOKUP(TEXT(H228,"0"),IPRESS!$A$3:$B$212,2,0),"")</f>
        <v/>
      </c>
      <c r="J228" s="85"/>
      <c r="K228" s="138" t="str">
        <f aca="false">IFERROR(VLOOKUP(TEXT(O228,"0"),CONDUCTORES!$A$3:$G$54,7,0),"")</f>
        <v/>
      </c>
      <c r="L228" s="85"/>
      <c r="M228" s="85"/>
      <c r="N228" s="139" t="str">
        <f aca="false">IFERROR(IF(L228*M228=0,"",L228*M228),"")</f>
        <v/>
      </c>
      <c r="O228" s="85"/>
      <c r="P228" s="138" t="str">
        <f aca="false">IFERROR(VLOOKUP(TEXT(O228,"0"),CONDUCTORES!$A$3:$G$54,2,0),"")</f>
        <v/>
      </c>
      <c r="Q228" s="138" t="str">
        <f aca="false">IFERROR(VLOOKUP(TEXT(O228,"0"),CONDUCTORES!$A$3:$H$54,6,0),"")</f>
        <v/>
      </c>
      <c r="R228" s="85"/>
      <c r="S228" s="85"/>
      <c r="T228" s="85"/>
      <c r="U228" s="85"/>
      <c r="V228" s="85"/>
      <c r="W228" s="85"/>
      <c r="X228" s="85"/>
      <c r="Y228" s="85"/>
      <c r="Z228" s="185" t="str">
        <f aca="false">IF(AND(G228&lt;&gt;"",R228&lt;&gt;"",V228&lt;&gt;"",W228&lt;&gt;""),"COMPLETADO","OBSERVADO")</f>
        <v>OBSERVADO</v>
      </c>
    </row>
    <row r="229" customFormat="false" ht="15" hidden="false" customHeight="true" outlineLevel="0" collapsed="false">
      <c r="A229" s="140"/>
      <c r="B229" s="140"/>
      <c r="C229" s="140"/>
      <c r="D229" s="140"/>
      <c r="E229" s="140"/>
      <c r="F229" s="140"/>
      <c r="G229" s="140"/>
      <c r="H229" s="140"/>
      <c r="I229" s="138" t="str">
        <f aca="false">IFERROR(VLOOKUP(TEXT(H229,"0"),IPRESS!$A$3:$B$212,2,0),"")</f>
        <v/>
      </c>
      <c r="J229" s="140"/>
      <c r="K229" s="138" t="str">
        <f aca="false">IFERROR(VLOOKUP(TEXT(O229,"0"),CONDUCTORES!$A$3:$G$54,7,0),"")</f>
        <v/>
      </c>
      <c r="L229" s="140"/>
      <c r="M229" s="140"/>
      <c r="N229" s="139" t="str">
        <f aca="false">IFERROR(IF(L229*M229=0,"",L229*M229),"")</f>
        <v/>
      </c>
      <c r="O229" s="140"/>
      <c r="P229" s="138" t="str">
        <f aca="false">IFERROR(VLOOKUP(TEXT(O229,"0"),CONDUCTORES!$A$3:$G$54,2,0),"")</f>
        <v/>
      </c>
      <c r="Q229" s="138" t="str">
        <f aca="false">IFERROR(VLOOKUP(TEXT(O229,"0"),CONDUCTORES!$A$3:$H$54,6,0),"")</f>
        <v/>
      </c>
      <c r="R229" s="140"/>
      <c r="S229" s="140"/>
      <c r="T229" s="140"/>
      <c r="U229" s="140"/>
      <c r="V229" s="140"/>
      <c r="W229" s="140"/>
      <c r="X229" s="140"/>
      <c r="Y229" s="140"/>
      <c r="Z229" s="185" t="str">
        <f aca="false">IF(AND(G229&lt;&gt;"",R229&lt;&gt;"",V229&lt;&gt;"",W229&lt;&gt;""),"COMPLETADO","OBSERVADO")</f>
        <v>OBSERVADO</v>
      </c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138" t="str">
        <f aca="false">IFERROR(VLOOKUP(TEXT(H230,"0"),IPRESS!$A$3:$B$212,2,0),"")</f>
        <v/>
      </c>
      <c r="J230" s="85"/>
      <c r="K230" s="138" t="str">
        <f aca="false">IFERROR(VLOOKUP(TEXT(O230,"0"),CONDUCTORES!$A$3:$G$54,7,0),"")</f>
        <v/>
      </c>
      <c r="L230" s="85"/>
      <c r="M230" s="85"/>
      <c r="N230" s="139" t="str">
        <f aca="false">IFERROR(IF(L230*M230=0,"",L230*M230),"")</f>
        <v/>
      </c>
      <c r="O230" s="85"/>
      <c r="P230" s="138" t="str">
        <f aca="false">IFERROR(VLOOKUP(TEXT(O230,"0"),CONDUCTORES!$A$3:$G$54,2,0),"")</f>
        <v/>
      </c>
      <c r="Q230" s="138" t="str">
        <f aca="false">IFERROR(VLOOKUP(TEXT(O230,"0"),CONDUCTORES!$A$3:$H$54,6,0),"")</f>
        <v/>
      </c>
      <c r="R230" s="85"/>
      <c r="S230" s="85"/>
      <c r="T230" s="85"/>
      <c r="U230" s="85"/>
      <c r="V230" s="85"/>
      <c r="W230" s="85"/>
      <c r="X230" s="85"/>
      <c r="Y230" s="85"/>
      <c r="Z230" s="185" t="str">
        <f aca="false">IF(AND(G230&lt;&gt;"",R230&lt;&gt;"",V230&lt;&gt;"",W230&lt;&gt;""),"COMPLETADO","OBSERVADO")</f>
        <v>OBSERVADO</v>
      </c>
    </row>
    <row r="231" customFormat="false" ht="15" hidden="false" customHeight="true" outlineLevel="0" collapsed="false">
      <c r="A231" s="140"/>
      <c r="B231" s="140"/>
      <c r="C231" s="140"/>
      <c r="D231" s="140"/>
      <c r="E231" s="140"/>
      <c r="F231" s="140"/>
      <c r="G231" s="140"/>
      <c r="H231" s="140"/>
      <c r="I231" s="138" t="str">
        <f aca="false">IFERROR(VLOOKUP(TEXT(H231,"0"),IPRESS!$A$3:$B$212,2,0),"")</f>
        <v/>
      </c>
      <c r="J231" s="140"/>
      <c r="K231" s="138" t="str">
        <f aca="false">IFERROR(VLOOKUP(TEXT(O231,"0"),CONDUCTORES!$A$3:$G$54,7,0),"")</f>
        <v/>
      </c>
      <c r="L231" s="140"/>
      <c r="M231" s="140"/>
      <c r="N231" s="139" t="str">
        <f aca="false">IFERROR(IF(L231*M231=0,"",L231*M231),"")</f>
        <v/>
      </c>
      <c r="O231" s="140"/>
      <c r="P231" s="138" t="str">
        <f aca="false">IFERROR(VLOOKUP(TEXT(O231,"0"),CONDUCTORES!$A$3:$G$54,2,0),"")</f>
        <v/>
      </c>
      <c r="Q231" s="138" t="str">
        <f aca="false">IFERROR(VLOOKUP(TEXT(O231,"0"),CONDUCTORES!$A$3:$H$54,6,0),"")</f>
        <v/>
      </c>
      <c r="R231" s="140"/>
      <c r="S231" s="140"/>
      <c r="T231" s="140"/>
      <c r="U231" s="140"/>
      <c r="V231" s="140"/>
      <c r="W231" s="140"/>
      <c r="X231" s="140"/>
      <c r="Y231" s="140"/>
      <c r="Z231" s="185" t="str">
        <f aca="false">IF(AND(G231&lt;&gt;"",R231&lt;&gt;"",V231&lt;&gt;"",W231&lt;&gt;""),"COMPLETADO","OBSERVADO")</f>
        <v>OBSERVADO</v>
      </c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138" t="str">
        <f aca="false">IFERROR(VLOOKUP(TEXT(H232,"0"),IPRESS!$A$3:$B$212,2,0),"")</f>
        <v/>
      </c>
      <c r="J232" s="85"/>
      <c r="K232" s="138" t="str">
        <f aca="false">IFERROR(VLOOKUP(TEXT(O232,"0"),CONDUCTORES!$A$3:$G$54,7,0),"")</f>
        <v/>
      </c>
      <c r="L232" s="85"/>
      <c r="M232" s="85"/>
      <c r="N232" s="139" t="str">
        <f aca="false">IFERROR(IF(L232*M232=0,"",L232*M232),"")</f>
        <v/>
      </c>
      <c r="O232" s="85"/>
      <c r="P232" s="138" t="str">
        <f aca="false">IFERROR(VLOOKUP(TEXT(O232,"0"),CONDUCTORES!$A$3:$G$54,2,0),"")</f>
        <v/>
      </c>
      <c r="Q232" s="138" t="str">
        <f aca="false">IFERROR(VLOOKUP(TEXT(O232,"0"),CONDUCTORES!$A$3:$H$54,6,0),"")</f>
        <v/>
      </c>
      <c r="R232" s="85"/>
      <c r="S232" s="85"/>
      <c r="T232" s="85"/>
      <c r="U232" s="85"/>
      <c r="V232" s="85"/>
      <c r="W232" s="85"/>
      <c r="X232" s="85"/>
      <c r="Y232" s="85"/>
      <c r="Z232" s="185" t="str">
        <f aca="false">IF(AND(G232&lt;&gt;"",R232&lt;&gt;"",V232&lt;&gt;"",W232&lt;&gt;""),"COMPLETADO","OBSERVADO")</f>
        <v>OBSERVADO</v>
      </c>
    </row>
    <row r="233" customFormat="false" ht="15" hidden="false" customHeight="true" outlineLevel="0" collapsed="false">
      <c r="A233" s="140"/>
      <c r="B233" s="140"/>
      <c r="C233" s="140"/>
      <c r="D233" s="140"/>
      <c r="E233" s="140"/>
      <c r="F233" s="140"/>
      <c r="G233" s="140"/>
      <c r="H233" s="140"/>
      <c r="I233" s="138" t="str">
        <f aca="false">IFERROR(VLOOKUP(TEXT(H233,"0"),IPRESS!$A$3:$B$212,2,0),"")</f>
        <v/>
      </c>
      <c r="J233" s="140"/>
      <c r="K233" s="138" t="str">
        <f aca="false">IFERROR(VLOOKUP(TEXT(O233,"0"),CONDUCTORES!$A$3:$G$54,7,0),"")</f>
        <v/>
      </c>
      <c r="L233" s="140"/>
      <c r="M233" s="140"/>
      <c r="N233" s="139" t="str">
        <f aca="false">IFERROR(IF(L233*M233=0,"",L233*M233),"")</f>
        <v/>
      </c>
      <c r="O233" s="140"/>
      <c r="P233" s="138" t="str">
        <f aca="false">IFERROR(VLOOKUP(TEXT(O233,"0"),CONDUCTORES!$A$3:$G$54,2,0),"")</f>
        <v/>
      </c>
      <c r="Q233" s="138" t="str">
        <f aca="false">IFERROR(VLOOKUP(TEXT(O233,"0"),CONDUCTORES!$A$3:$H$54,6,0),"")</f>
        <v/>
      </c>
      <c r="R233" s="140"/>
      <c r="S233" s="140"/>
      <c r="T233" s="140"/>
      <c r="U233" s="140"/>
      <c r="V233" s="140"/>
      <c r="W233" s="140"/>
      <c r="X233" s="140"/>
      <c r="Y233" s="140"/>
      <c r="Z233" s="185" t="str">
        <f aca="false">IF(AND(G233&lt;&gt;"",R233&lt;&gt;"",V233&lt;&gt;"",W233&lt;&gt;""),"COMPLETADO","OBSERVADO")</f>
        <v>OBSERVADO</v>
      </c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138" t="str">
        <f aca="false">IFERROR(VLOOKUP(TEXT(H234,"0"),IPRESS!$A$3:$B$212,2,0),"")</f>
        <v/>
      </c>
      <c r="J234" s="85"/>
      <c r="K234" s="138" t="str">
        <f aca="false">IFERROR(VLOOKUP(TEXT(O234,"0"),CONDUCTORES!$A$3:$G$54,7,0),"")</f>
        <v/>
      </c>
      <c r="L234" s="85"/>
      <c r="M234" s="85"/>
      <c r="N234" s="139" t="str">
        <f aca="false">IFERROR(IF(L234*M234=0,"",L234*M234),"")</f>
        <v/>
      </c>
      <c r="O234" s="85"/>
      <c r="P234" s="138" t="str">
        <f aca="false">IFERROR(VLOOKUP(TEXT(O234,"0"),CONDUCTORES!$A$3:$G$54,2,0),"")</f>
        <v/>
      </c>
      <c r="Q234" s="138" t="str">
        <f aca="false">IFERROR(VLOOKUP(TEXT(O234,"0"),CONDUCTORES!$A$3:$H$54,6,0),"")</f>
        <v/>
      </c>
      <c r="R234" s="85"/>
      <c r="S234" s="85"/>
      <c r="T234" s="85"/>
      <c r="U234" s="85"/>
      <c r="V234" s="85"/>
      <c r="W234" s="85"/>
      <c r="X234" s="85"/>
      <c r="Y234" s="85"/>
      <c r="Z234" s="185" t="str">
        <f aca="false">IF(AND(G234&lt;&gt;"",R234&lt;&gt;"",V234&lt;&gt;"",W234&lt;&gt;""),"COMPLETADO","OBSERVADO")</f>
        <v>OBSERVADO</v>
      </c>
    </row>
    <row r="235" customFormat="false" ht="15" hidden="false" customHeight="true" outlineLevel="0" collapsed="false">
      <c r="A235" s="140"/>
      <c r="B235" s="140"/>
      <c r="C235" s="140"/>
      <c r="D235" s="140"/>
      <c r="E235" s="140"/>
      <c r="F235" s="140"/>
      <c r="G235" s="140"/>
      <c r="H235" s="140"/>
      <c r="I235" s="138" t="str">
        <f aca="false">IFERROR(VLOOKUP(TEXT(H235,"0"),IPRESS!$A$3:$B$212,2,0),"")</f>
        <v/>
      </c>
      <c r="J235" s="140"/>
      <c r="K235" s="138" t="str">
        <f aca="false">IFERROR(VLOOKUP(TEXT(O235,"0"),CONDUCTORES!$A$3:$G$54,7,0),"")</f>
        <v/>
      </c>
      <c r="L235" s="140"/>
      <c r="M235" s="140"/>
      <c r="N235" s="139" t="str">
        <f aca="false">IFERROR(IF(L235*M235=0,"",L235*M235),"")</f>
        <v/>
      </c>
      <c r="O235" s="140"/>
      <c r="P235" s="138" t="str">
        <f aca="false">IFERROR(VLOOKUP(TEXT(O235,"0"),CONDUCTORES!$A$3:$G$54,2,0),"")</f>
        <v/>
      </c>
      <c r="Q235" s="138" t="str">
        <f aca="false">IFERROR(VLOOKUP(TEXT(O235,"0"),CONDUCTORES!$A$3:$H$54,6,0),"")</f>
        <v/>
      </c>
      <c r="R235" s="140"/>
      <c r="S235" s="140"/>
      <c r="T235" s="140"/>
      <c r="U235" s="140"/>
      <c r="V235" s="140"/>
      <c r="W235" s="140"/>
      <c r="X235" s="140"/>
      <c r="Y235" s="140"/>
      <c r="Z235" s="185" t="str">
        <f aca="false">IF(AND(G235&lt;&gt;"",R235&lt;&gt;"",V235&lt;&gt;"",W235&lt;&gt;""),"COMPLETADO","OBSERVADO")</f>
        <v>OBSERVADO</v>
      </c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138" t="str">
        <f aca="false">IFERROR(VLOOKUP(TEXT(H236,"0"),IPRESS!$A$3:$B$212,2,0),"")</f>
        <v/>
      </c>
      <c r="J236" s="85"/>
      <c r="K236" s="138" t="str">
        <f aca="false">IFERROR(VLOOKUP(TEXT(O236,"0"),CONDUCTORES!$A$3:$G$54,7,0),"")</f>
        <v/>
      </c>
      <c r="L236" s="85"/>
      <c r="M236" s="85"/>
      <c r="N236" s="139" t="str">
        <f aca="false">IFERROR(IF(L236*M236=0,"",L236*M236),"")</f>
        <v/>
      </c>
      <c r="O236" s="85"/>
      <c r="P236" s="138" t="str">
        <f aca="false">IFERROR(VLOOKUP(TEXT(O236,"0"),CONDUCTORES!$A$3:$G$54,2,0),"")</f>
        <v/>
      </c>
      <c r="Q236" s="138" t="str">
        <f aca="false">IFERROR(VLOOKUP(TEXT(O236,"0"),CONDUCTORES!$A$3:$H$54,6,0),"")</f>
        <v/>
      </c>
      <c r="R236" s="85"/>
      <c r="S236" s="85"/>
      <c r="T236" s="85"/>
      <c r="U236" s="85"/>
      <c r="V236" s="85"/>
      <c r="W236" s="85"/>
      <c r="X236" s="85"/>
      <c r="Y236" s="85"/>
      <c r="Z236" s="185" t="str">
        <f aca="false">IF(AND(G236&lt;&gt;"",R236&lt;&gt;"",V236&lt;&gt;"",W236&lt;&gt;""),"COMPLETADO","OBSERVADO")</f>
        <v>OBSERVADO</v>
      </c>
    </row>
    <row r="237" customFormat="false" ht="15" hidden="false" customHeight="true" outlineLevel="0" collapsed="false">
      <c r="A237" s="140"/>
      <c r="B237" s="140"/>
      <c r="C237" s="140"/>
      <c r="D237" s="140"/>
      <c r="E237" s="140"/>
      <c r="F237" s="140"/>
      <c r="G237" s="140"/>
      <c r="H237" s="140"/>
      <c r="I237" s="138" t="str">
        <f aca="false">IFERROR(VLOOKUP(TEXT(H237,"0"),IPRESS!$A$3:$B$212,2,0),"")</f>
        <v/>
      </c>
      <c r="J237" s="140"/>
      <c r="K237" s="138" t="str">
        <f aca="false">IFERROR(VLOOKUP(TEXT(O237,"0"),CONDUCTORES!$A$3:$G$54,7,0),"")</f>
        <v/>
      </c>
      <c r="L237" s="140"/>
      <c r="M237" s="140"/>
      <c r="N237" s="139" t="str">
        <f aca="false">IFERROR(IF(L237*M237=0,"",L237*M237),"")</f>
        <v/>
      </c>
      <c r="O237" s="140"/>
      <c r="P237" s="138" t="str">
        <f aca="false">IFERROR(VLOOKUP(TEXT(O237,"0"),CONDUCTORES!$A$3:$G$54,2,0),"")</f>
        <v/>
      </c>
      <c r="Q237" s="138" t="str">
        <f aca="false">IFERROR(VLOOKUP(TEXT(O237,"0"),CONDUCTORES!$A$3:$H$54,6,0),"")</f>
        <v/>
      </c>
      <c r="R237" s="140"/>
      <c r="S237" s="140"/>
      <c r="T237" s="140"/>
      <c r="U237" s="140"/>
      <c r="V237" s="140"/>
      <c r="W237" s="140"/>
      <c r="X237" s="140"/>
      <c r="Y237" s="140"/>
      <c r="Z237" s="185" t="str">
        <f aca="false">IF(AND(G237&lt;&gt;"",R237&lt;&gt;"",V237&lt;&gt;"",W237&lt;&gt;""),"COMPLETADO","OBSERVADO")</f>
        <v>OBSERVADO</v>
      </c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138" t="str">
        <f aca="false">IFERROR(VLOOKUP(TEXT(H238,"0"),IPRESS!$A$3:$B$212,2,0),"")</f>
        <v/>
      </c>
      <c r="J238" s="85"/>
      <c r="K238" s="138" t="str">
        <f aca="false">IFERROR(VLOOKUP(TEXT(O238,"0"),CONDUCTORES!$A$3:$G$54,7,0),"")</f>
        <v/>
      </c>
      <c r="L238" s="85"/>
      <c r="M238" s="85"/>
      <c r="N238" s="139" t="str">
        <f aca="false">IFERROR(IF(L238*M238=0,"",L238*M238),"")</f>
        <v/>
      </c>
      <c r="O238" s="85"/>
      <c r="P238" s="138" t="str">
        <f aca="false">IFERROR(VLOOKUP(TEXT(O238,"0"),CONDUCTORES!$A$3:$G$54,2,0),"")</f>
        <v/>
      </c>
      <c r="Q238" s="138" t="str">
        <f aca="false">IFERROR(VLOOKUP(TEXT(O238,"0"),CONDUCTORES!$A$3:$H$54,6,0),"")</f>
        <v/>
      </c>
      <c r="R238" s="85"/>
      <c r="S238" s="85"/>
      <c r="T238" s="85"/>
      <c r="U238" s="85"/>
      <c r="V238" s="85"/>
      <c r="W238" s="85"/>
      <c r="X238" s="85"/>
      <c r="Y238" s="85"/>
      <c r="Z238" s="185" t="str">
        <f aca="false">IF(AND(G238&lt;&gt;"",R238&lt;&gt;"",V238&lt;&gt;"",W238&lt;&gt;""),"COMPLETADO","OBSERVADO")</f>
        <v>OBSERVADO</v>
      </c>
    </row>
    <row r="239" customFormat="false" ht="15" hidden="false" customHeight="true" outlineLevel="0" collapsed="false">
      <c r="A239" s="140"/>
      <c r="B239" s="140"/>
      <c r="C239" s="140"/>
      <c r="D239" s="140"/>
      <c r="E239" s="140"/>
      <c r="F239" s="140"/>
      <c r="G239" s="140"/>
      <c r="H239" s="140"/>
      <c r="I239" s="138" t="str">
        <f aca="false">IFERROR(VLOOKUP(TEXT(H239,"0"),IPRESS!$A$3:$B$212,2,0),"")</f>
        <v/>
      </c>
      <c r="J239" s="140"/>
      <c r="K239" s="138" t="str">
        <f aca="false">IFERROR(VLOOKUP(TEXT(O239,"0"),CONDUCTORES!$A$3:$G$54,7,0),"")</f>
        <v/>
      </c>
      <c r="L239" s="140"/>
      <c r="M239" s="140"/>
      <c r="N239" s="139" t="str">
        <f aca="false">IFERROR(IF(L239*M239=0,"",L239*M239),"")</f>
        <v/>
      </c>
      <c r="O239" s="140"/>
      <c r="P239" s="138" t="str">
        <f aca="false">IFERROR(VLOOKUP(TEXT(O239,"0"),CONDUCTORES!$A$3:$G$54,2,0),"")</f>
        <v/>
      </c>
      <c r="Q239" s="138" t="str">
        <f aca="false">IFERROR(VLOOKUP(TEXT(O239,"0"),CONDUCTORES!$A$3:$H$54,6,0),"")</f>
        <v/>
      </c>
      <c r="R239" s="140"/>
      <c r="S239" s="140"/>
      <c r="T239" s="140"/>
      <c r="U239" s="140"/>
      <c r="V239" s="140"/>
      <c r="W239" s="140"/>
      <c r="X239" s="140"/>
      <c r="Y239" s="140"/>
      <c r="Z239" s="185" t="str">
        <f aca="false">IF(AND(G239&lt;&gt;"",R239&lt;&gt;"",V239&lt;&gt;"",W239&lt;&gt;""),"COMPLETADO","OBSERVADO")</f>
        <v>OBSERVADO</v>
      </c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138" t="str">
        <f aca="false">IFERROR(VLOOKUP(TEXT(H240,"0"),IPRESS!$A$3:$B$212,2,0),"")</f>
        <v/>
      </c>
      <c r="J240" s="85"/>
      <c r="K240" s="138" t="str">
        <f aca="false">IFERROR(VLOOKUP(TEXT(O240,"0"),CONDUCTORES!$A$3:$G$54,7,0),"")</f>
        <v/>
      </c>
      <c r="L240" s="85"/>
      <c r="M240" s="85"/>
      <c r="N240" s="139" t="str">
        <f aca="false">IFERROR(IF(L240*M240=0,"",L240*M240),"")</f>
        <v/>
      </c>
      <c r="O240" s="85"/>
      <c r="P240" s="138" t="str">
        <f aca="false">IFERROR(VLOOKUP(TEXT(O240,"0"),CONDUCTORES!$A$3:$G$54,2,0),"")</f>
        <v/>
      </c>
      <c r="Q240" s="138" t="str">
        <f aca="false">IFERROR(VLOOKUP(TEXT(O240,"0"),CONDUCTORES!$A$3:$H$54,6,0),"")</f>
        <v/>
      </c>
      <c r="R240" s="85"/>
      <c r="S240" s="85"/>
      <c r="T240" s="85"/>
      <c r="U240" s="85"/>
      <c r="V240" s="85"/>
      <c r="W240" s="85"/>
      <c r="X240" s="85"/>
      <c r="Y240" s="85"/>
      <c r="Z240" s="185" t="str">
        <f aca="false">IF(AND(G240&lt;&gt;"",R240&lt;&gt;"",V240&lt;&gt;"",W240&lt;&gt;""),"COMPLETADO","OBSERVADO")</f>
        <v>OBSERVADO</v>
      </c>
    </row>
    <row r="241" customFormat="false" ht="15" hidden="false" customHeight="true" outlineLevel="0" collapsed="false">
      <c r="A241" s="140"/>
      <c r="B241" s="140"/>
      <c r="C241" s="140"/>
      <c r="D241" s="140"/>
      <c r="E241" s="140"/>
      <c r="F241" s="140"/>
      <c r="G241" s="140"/>
      <c r="H241" s="140"/>
      <c r="I241" s="138" t="str">
        <f aca="false">IFERROR(VLOOKUP(TEXT(H241,"0"),IPRESS!$A$3:$B$212,2,0),"")</f>
        <v/>
      </c>
      <c r="J241" s="140"/>
      <c r="K241" s="138" t="str">
        <f aca="false">IFERROR(VLOOKUP(TEXT(O241,"0"),CONDUCTORES!$A$3:$G$54,7,0),"")</f>
        <v/>
      </c>
      <c r="L241" s="140"/>
      <c r="M241" s="140"/>
      <c r="N241" s="139" t="str">
        <f aca="false">IFERROR(IF(L241*M241=0,"",L241*M241),"")</f>
        <v/>
      </c>
      <c r="O241" s="140"/>
      <c r="P241" s="138" t="str">
        <f aca="false">IFERROR(VLOOKUP(TEXT(O241,"0"),CONDUCTORES!$A$3:$G$54,2,0),"")</f>
        <v/>
      </c>
      <c r="Q241" s="138" t="str">
        <f aca="false">IFERROR(VLOOKUP(TEXT(O241,"0"),CONDUCTORES!$A$3:$H$54,6,0),"")</f>
        <v/>
      </c>
      <c r="R241" s="140"/>
      <c r="S241" s="140"/>
      <c r="T241" s="140"/>
      <c r="U241" s="140"/>
      <c r="V241" s="140"/>
      <c r="W241" s="140"/>
      <c r="X241" s="140"/>
      <c r="Y241" s="140"/>
      <c r="Z241" s="185" t="str">
        <f aca="false">IF(AND(G241&lt;&gt;"",R241&lt;&gt;"",V241&lt;&gt;"",W241&lt;&gt;""),"COMPLETADO","OBSERVADO")</f>
        <v>OBSERVADO</v>
      </c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138" t="str">
        <f aca="false">IFERROR(VLOOKUP(TEXT(H242,"0"),IPRESS!$A$3:$B$212,2,0),"")</f>
        <v/>
      </c>
      <c r="J242" s="85"/>
      <c r="K242" s="138" t="str">
        <f aca="false">IFERROR(VLOOKUP(TEXT(O242,"0"),CONDUCTORES!$A$3:$G$54,7,0),"")</f>
        <v/>
      </c>
      <c r="L242" s="85"/>
      <c r="M242" s="85"/>
      <c r="N242" s="139" t="str">
        <f aca="false">IFERROR(IF(L242*M242=0,"",L242*M242),"")</f>
        <v/>
      </c>
      <c r="O242" s="85"/>
      <c r="P242" s="138" t="str">
        <f aca="false">IFERROR(VLOOKUP(TEXT(O242,"0"),CONDUCTORES!$A$3:$G$54,2,0),"")</f>
        <v/>
      </c>
      <c r="Q242" s="138" t="str">
        <f aca="false">IFERROR(VLOOKUP(TEXT(O242,"0"),CONDUCTORES!$A$3:$H$54,6,0),"")</f>
        <v/>
      </c>
      <c r="R242" s="85"/>
      <c r="S242" s="85"/>
      <c r="T242" s="85"/>
      <c r="U242" s="85"/>
      <c r="V242" s="85"/>
      <c r="W242" s="85"/>
      <c r="X242" s="85"/>
      <c r="Y242" s="85"/>
      <c r="Z242" s="185" t="str">
        <f aca="false">IF(AND(G242&lt;&gt;"",R242&lt;&gt;"",V242&lt;&gt;"",W242&lt;&gt;""),"COMPLETADO","OBSERVADO")</f>
        <v>OBSERVADO</v>
      </c>
    </row>
    <row r="243" customFormat="false" ht="15" hidden="false" customHeight="true" outlineLevel="0" collapsed="false">
      <c r="A243" s="140"/>
      <c r="B243" s="140"/>
      <c r="C243" s="140"/>
      <c r="D243" s="140"/>
      <c r="E243" s="140"/>
      <c r="F243" s="140"/>
      <c r="G243" s="140"/>
      <c r="H243" s="140"/>
      <c r="I243" s="138" t="str">
        <f aca="false">IFERROR(VLOOKUP(TEXT(H243,"0"),IPRESS!$A$3:$B$212,2,0),"")</f>
        <v/>
      </c>
      <c r="J243" s="140"/>
      <c r="K243" s="138" t="str">
        <f aca="false">IFERROR(VLOOKUP(TEXT(O243,"0"),CONDUCTORES!$A$3:$G$54,7,0),"")</f>
        <v/>
      </c>
      <c r="L243" s="140"/>
      <c r="M243" s="140"/>
      <c r="N243" s="139" t="str">
        <f aca="false">IFERROR(IF(L243*M243=0,"",L243*M243),"")</f>
        <v/>
      </c>
      <c r="O243" s="140"/>
      <c r="P243" s="138" t="str">
        <f aca="false">IFERROR(VLOOKUP(TEXT(O243,"0"),CONDUCTORES!$A$3:$G$54,2,0),"")</f>
        <v/>
      </c>
      <c r="Q243" s="138" t="str">
        <f aca="false">IFERROR(VLOOKUP(TEXT(O243,"0"),CONDUCTORES!$A$3:$H$54,6,0),"")</f>
        <v/>
      </c>
      <c r="R243" s="140"/>
      <c r="S243" s="140"/>
      <c r="T243" s="140"/>
      <c r="U243" s="140"/>
      <c r="V243" s="140"/>
      <c r="W243" s="140"/>
      <c r="X243" s="140"/>
      <c r="Y243" s="140"/>
      <c r="Z243" s="185" t="str">
        <f aca="false">IF(AND(G243&lt;&gt;"",R243&lt;&gt;"",V243&lt;&gt;"",W243&lt;&gt;""),"COMPLETADO","OBSERVADO")</f>
        <v>OBSERVADO</v>
      </c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138" t="str">
        <f aca="false">IFERROR(VLOOKUP(TEXT(H244,"0"),IPRESS!$A$3:$B$212,2,0),"")</f>
        <v/>
      </c>
      <c r="J244" s="85"/>
      <c r="K244" s="138" t="str">
        <f aca="false">IFERROR(VLOOKUP(TEXT(O244,"0"),CONDUCTORES!$A$3:$G$54,7,0),"")</f>
        <v/>
      </c>
      <c r="L244" s="85"/>
      <c r="M244" s="85"/>
      <c r="N244" s="139" t="str">
        <f aca="false">IFERROR(IF(L244*M244=0,"",L244*M244),"")</f>
        <v/>
      </c>
      <c r="O244" s="85"/>
      <c r="P244" s="138" t="str">
        <f aca="false">IFERROR(VLOOKUP(TEXT(O244,"0"),CONDUCTORES!$A$3:$G$54,2,0),"")</f>
        <v/>
      </c>
      <c r="Q244" s="138" t="str">
        <f aca="false">IFERROR(VLOOKUP(TEXT(O244,"0"),CONDUCTORES!$A$3:$H$54,6,0),"")</f>
        <v/>
      </c>
      <c r="R244" s="85"/>
      <c r="S244" s="85"/>
      <c r="T244" s="85"/>
      <c r="U244" s="85"/>
      <c r="V244" s="85"/>
      <c r="W244" s="85"/>
      <c r="X244" s="85"/>
      <c r="Y244" s="85"/>
      <c r="Z244" s="185" t="str">
        <f aca="false">IF(AND(G244&lt;&gt;"",R244&lt;&gt;"",V244&lt;&gt;"",W244&lt;&gt;""),"COMPLETADO","OBSERVADO")</f>
        <v>OBSERVADO</v>
      </c>
    </row>
    <row r="245" customFormat="false" ht="15" hidden="false" customHeight="true" outlineLevel="0" collapsed="false">
      <c r="A245" s="140"/>
      <c r="B245" s="140"/>
      <c r="C245" s="140"/>
      <c r="D245" s="140"/>
      <c r="E245" s="140"/>
      <c r="F245" s="140"/>
      <c r="G245" s="140"/>
      <c r="H245" s="140"/>
      <c r="I245" s="138" t="str">
        <f aca="false">IFERROR(VLOOKUP(TEXT(H245,"0"),IPRESS!$A$3:$B$212,2,0),"")</f>
        <v/>
      </c>
      <c r="J245" s="140"/>
      <c r="K245" s="138" t="str">
        <f aca="false">IFERROR(VLOOKUP(TEXT(O245,"0"),CONDUCTORES!$A$3:$G$54,7,0),"")</f>
        <v/>
      </c>
      <c r="L245" s="140"/>
      <c r="M245" s="140"/>
      <c r="N245" s="139" t="str">
        <f aca="false">IFERROR(IF(L245*M245=0,"",L245*M245),"")</f>
        <v/>
      </c>
      <c r="O245" s="140"/>
      <c r="P245" s="138" t="str">
        <f aca="false">IFERROR(VLOOKUP(TEXT(O245,"0"),CONDUCTORES!$A$3:$G$54,2,0),"")</f>
        <v/>
      </c>
      <c r="Q245" s="138" t="str">
        <f aca="false">IFERROR(VLOOKUP(TEXT(O245,"0"),CONDUCTORES!$A$3:$H$54,6,0),"")</f>
        <v/>
      </c>
      <c r="R245" s="140"/>
      <c r="S245" s="140"/>
      <c r="T245" s="140"/>
      <c r="U245" s="140"/>
      <c r="V245" s="140"/>
      <c r="W245" s="140"/>
      <c r="X245" s="140"/>
      <c r="Y245" s="140"/>
      <c r="Z245" s="185" t="str">
        <f aca="false">IF(AND(G245&lt;&gt;"",R245&lt;&gt;"",V245&lt;&gt;"",W245&lt;&gt;""),"COMPLETADO","OBSERVADO")</f>
        <v>OBSERVADO</v>
      </c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138" t="str">
        <f aca="false">IFERROR(VLOOKUP(TEXT(H246,"0"),IPRESS!$A$3:$B$212,2,0),"")</f>
        <v/>
      </c>
      <c r="J246" s="85"/>
      <c r="K246" s="138" t="str">
        <f aca="false">IFERROR(VLOOKUP(TEXT(O246,"0"),CONDUCTORES!$A$3:$G$54,7,0),"")</f>
        <v/>
      </c>
      <c r="L246" s="85"/>
      <c r="M246" s="85"/>
      <c r="N246" s="139" t="str">
        <f aca="false">IFERROR(IF(L246*M246=0,"",L246*M246),"")</f>
        <v/>
      </c>
      <c r="O246" s="85"/>
      <c r="P246" s="138" t="str">
        <f aca="false">IFERROR(VLOOKUP(TEXT(O246,"0"),CONDUCTORES!$A$3:$G$54,2,0),"")</f>
        <v/>
      </c>
      <c r="Q246" s="138" t="str">
        <f aca="false">IFERROR(VLOOKUP(TEXT(O246,"0"),CONDUCTORES!$A$3:$H$54,6,0),"")</f>
        <v/>
      </c>
      <c r="R246" s="85"/>
      <c r="S246" s="85"/>
      <c r="T246" s="85"/>
      <c r="U246" s="85"/>
      <c r="V246" s="85"/>
      <c r="W246" s="85"/>
      <c r="X246" s="85"/>
      <c r="Y246" s="85"/>
      <c r="Z246" s="185" t="str">
        <f aca="false">IF(AND(G246&lt;&gt;"",R246&lt;&gt;"",V246&lt;&gt;"",W246&lt;&gt;""),"COMPLETADO","OBSERVADO")</f>
        <v>OBSERVADO</v>
      </c>
    </row>
    <row r="247" customFormat="false" ht="15" hidden="false" customHeight="true" outlineLevel="0" collapsed="false">
      <c r="A247" s="140"/>
      <c r="B247" s="140"/>
      <c r="C247" s="140"/>
      <c r="D247" s="140"/>
      <c r="E247" s="140"/>
      <c r="F247" s="140"/>
      <c r="G247" s="140"/>
      <c r="H247" s="140"/>
      <c r="I247" s="138" t="str">
        <f aca="false">IFERROR(VLOOKUP(TEXT(H247,"0"),IPRESS!$A$3:$B$212,2,0),"")</f>
        <v/>
      </c>
      <c r="J247" s="140"/>
      <c r="K247" s="138" t="str">
        <f aca="false">IFERROR(VLOOKUP(TEXT(O247,"0"),CONDUCTORES!$A$3:$G$54,7,0),"")</f>
        <v/>
      </c>
      <c r="L247" s="140"/>
      <c r="M247" s="140"/>
      <c r="N247" s="139" t="str">
        <f aca="false">IFERROR(IF(L247*M247=0,"",L247*M247),"")</f>
        <v/>
      </c>
      <c r="O247" s="140"/>
      <c r="P247" s="138" t="str">
        <f aca="false">IFERROR(VLOOKUP(TEXT(O247,"0"),CONDUCTORES!$A$3:$G$54,2,0),"")</f>
        <v/>
      </c>
      <c r="Q247" s="138" t="str">
        <f aca="false">IFERROR(VLOOKUP(TEXT(O247,"0"),CONDUCTORES!$A$3:$H$54,6,0),"")</f>
        <v/>
      </c>
      <c r="R247" s="140"/>
      <c r="S247" s="140"/>
      <c r="T247" s="140"/>
      <c r="U247" s="140"/>
      <c r="V247" s="140"/>
      <c r="W247" s="140"/>
      <c r="X247" s="140"/>
      <c r="Y247" s="140"/>
      <c r="Z247" s="185" t="str">
        <f aca="false">IF(AND(G247&lt;&gt;"",R247&lt;&gt;"",V247&lt;&gt;"",W247&lt;&gt;""),"COMPLETADO","OBSERVADO")</f>
        <v>OBSERVADO</v>
      </c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138" t="str">
        <f aca="false">IFERROR(VLOOKUP(TEXT(H248,"0"),IPRESS!$A$3:$B$212,2,0),"")</f>
        <v/>
      </c>
      <c r="J248" s="85"/>
      <c r="K248" s="138" t="str">
        <f aca="false">IFERROR(VLOOKUP(TEXT(O248,"0"),CONDUCTORES!$A$3:$G$54,7,0),"")</f>
        <v/>
      </c>
      <c r="L248" s="85"/>
      <c r="M248" s="85"/>
      <c r="N248" s="139" t="str">
        <f aca="false">IFERROR(IF(L248*M248=0,"",L248*M248),"")</f>
        <v/>
      </c>
      <c r="O248" s="85"/>
      <c r="P248" s="138" t="str">
        <f aca="false">IFERROR(VLOOKUP(TEXT(O248,"0"),CONDUCTORES!$A$3:$G$54,2,0),"")</f>
        <v/>
      </c>
      <c r="Q248" s="138" t="str">
        <f aca="false">IFERROR(VLOOKUP(TEXT(O248,"0"),CONDUCTORES!$A$3:$H$54,6,0),"")</f>
        <v/>
      </c>
      <c r="R248" s="85"/>
      <c r="S248" s="85"/>
      <c r="T248" s="85"/>
      <c r="U248" s="85"/>
      <c r="V248" s="85"/>
      <c r="W248" s="85"/>
      <c r="X248" s="85"/>
      <c r="Y248" s="85"/>
      <c r="Z248" s="185" t="str">
        <f aca="false">IF(AND(G248&lt;&gt;"",R248&lt;&gt;"",V248&lt;&gt;"",W248&lt;&gt;""),"COMPLETADO","OBSERVADO")</f>
        <v>OBSERVADO</v>
      </c>
    </row>
    <row r="249" customFormat="false" ht="15" hidden="false" customHeight="true" outlineLevel="0" collapsed="false">
      <c r="A249" s="140"/>
      <c r="B249" s="140"/>
      <c r="C249" s="140"/>
      <c r="D249" s="140"/>
      <c r="E249" s="140"/>
      <c r="F249" s="140"/>
      <c r="G249" s="140"/>
      <c r="H249" s="140"/>
      <c r="I249" s="138" t="str">
        <f aca="false">IFERROR(VLOOKUP(TEXT(H249,"0"),IPRESS!$A$3:$B$212,2,0),"")</f>
        <v/>
      </c>
      <c r="J249" s="140"/>
      <c r="K249" s="138" t="str">
        <f aca="false">IFERROR(VLOOKUP(TEXT(O249,"0"),CONDUCTORES!$A$3:$G$54,7,0),"")</f>
        <v/>
      </c>
      <c r="L249" s="140"/>
      <c r="M249" s="140"/>
      <c r="N249" s="139" t="str">
        <f aca="false">IFERROR(IF(L249*M249=0,"",L249*M249),"")</f>
        <v/>
      </c>
      <c r="O249" s="140"/>
      <c r="P249" s="138" t="str">
        <f aca="false">IFERROR(VLOOKUP(TEXT(O249,"0"),CONDUCTORES!$A$3:$G$54,2,0),"")</f>
        <v/>
      </c>
      <c r="Q249" s="138" t="str">
        <f aca="false">IFERROR(VLOOKUP(TEXT(O249,"0"),CONDUCTORES!$A$3:$H$54,6,0),"")</f>
        <v/>
      </c>
      <c r="R249" s="140"/>
      <c r="S249" s="140"/>
      <c r="T249" s="140"/>
      <c r="U249" s="140"/>
      <c r="V249" s="140"/>
      <c r="W249" s="140"/>
      <c r="X249" s="140"/>
      <c r="Y249" s="140"/>
      <c r="Z249" s="185" t="str">
        <f aca="false">IF(AND(G249&lt;&gt;"",R249&lt;&gt;"",V249&lt;&gt;"",W249&lt;&gt;""),"COMPLETADO","OBSERVADO")</f>
        <v>OBSERVADO</v>
      </c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138" t="str">
        <f aca="false">IFERROR(VLOOKUP(TEXT(H250,"0"),IPRESS!$A$3:$B$212,2,0),"")</f>
        <v/>
      </c>
      <c r="J250" s="85"/>
      <c r="K250" s="138" t="str">
        <f aca="false">IFERROR(VLOOKUP(TEXT(O250,"0"),CONDUCTORES!$A$3:$G$54,7,0),"")</f>
        <v/>
      </c>
      <c r="L250" s="85"/>
      <c r="M250" s="85"/>
      <c r="N250" s="139" t="str">
        <f aca="false">IFERROR(IF(L250*M250=0,"",L250*M250),"")</f>
        <v/>
      </c>
      <c r="O250" s="85"/>
      <c r="P250" s="138" t="str">
        <f aca="false">IFERROR(VLOOKUP(TEXT(O250,"0"),CONDUCTORES!$A$3:$G$54,2,0),"")</f>
        <v/>
      </c>
      <c r="Q250" s="138" t="str">
        <f aca="false">IFERROR(VLOOKUP(TEXT(O250,"0"),CONDUCTORES!$A$3:$H$54,6,0),"")</f>
        <v/>
      </c>
      <c r="R250" s="85"/>
      <c r="S250" s="85"/>
      <c r="T250" s="85"/>
      <c r="U250" s="85"/>
      <c r="V250" s="85"/>
      <c r="W250" s="85"/>
      <c r="X250" s="85"/>
      <c r="Y250" s="85"/>
      <c r="Z250" s="185" t="str">
        <f aca="false">IF(AND(G250&lt;&gt;"",R250&lt;&gt;"",V250&lt;&gt;"",W250&lt;&gt;""),"COMPLETADO","OBSERVADO")</f>
        <v>OBSERVADO</v>
      </c>
    </row>
    <row r="251" customFormat="false" ht="15" hidden="false" customHeight="true" outlineLevel="0" collapsed="false">
      <c r="A251" s="140"/>
      <c r="B251" s="140"/>
      <c r="C251" s="140"/>
      <c r="D251" s="140"/>
      <c r="E251" s="140"/>
      <c r="F251" s="140"/>
      <c r="G251" s="140"/>
      <c r="H251" s="140"/>
      <c r="I251" s="138" t="str">
        <f aca="false">IFERROR(VLOOKUP(TEXT(H251,"0"),IPRESS!$A$3:$B$212,2,0),"")</f>
        <v/>
      </c>
      <c r="J251" s="140"/>
      <c r="K251" s="138" t="str">
        <f aca="false">IFERROR(VLOOKUP(TEXT(O251,"0"),CONDUCTORES!$A$3:$G$54,7,0),"")</f>
        <v/>
      </c>
      <c r="L251" s="140"/>
      <c r="M251" s="140"/>
      <c r="N251" s="139" t="str">
        <f aca="false">IFERROR(IF(L251*M251=0,"",L251*M251),"")</f>
        <v/>
      </c>
      <c r="O251" s="140"/>
      <c r="P251" s="138" t="str">
        <f aca="false">IFERROR(VLOOKUP(TEXT(O251,"0"),CONDUCTORES!$A$3:$G$54,2,0),"")</f>
        <v/>
      </c>
      <c r="Q251" s="138" t="str">
        <f aca="false">IFERROR(VLOOKUP(TEXT(O251,"0"),CONDUCTORES!$A$3:$H$54,6,0),"")</f>
        <v/>
      </c>
      <c r="R251" s="140"/>
      <c r="S251" s="140"/>
      <c r="T251" s="140"/>
      <c r="U251" s="140"/>
      <c r="V251" s="140"/>
      <c r="W251" s="140"/>
      <c r="X251" s="140"/>
      <c r="Y251" s="140"/>
      <c r="Z251" s="185" t="str">
        <f aca="false">IF(AND(G251&lt;&gt;"",R251&lt;&gt;"",V251&lt;&gt;"",W251&lt;&gt;""),"COMPLETADO","OBSERVADO")</f>
        <v>OBSERVADO</v>
      </c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138" t="str">
        <f aca="false">IFERROR(VLOOKUP(TEXT(H252,"0"),IPRESS!$A$3:$B$212,2,0),"")</f>
        <v/>
      </c>
      <c r="J252" s="85"/>
      <c r="K252" s="138" t="str">
        <f aca="false">IFERROR(VLOOKUP(TEXT(O252,"0"),CONDUCTORES!$A$3:$G$54,7,0),"")</f>
        <v/>
      </c>
      <c r="L252" s="85"/>
      <c r="M252" s="85"/>
      <c r="N252" s="139" t="str">
        <f aca="false">IFERROR(IF(L252*M252=0,"",L252*M252),"")</f>
        <v/>
      </c>
      <c r="O252" s="85"/>
      <c r="P252" s="138" t="str">
        <f aca="false">IFERROR(VLOOKUP(TEXT(O252,"0"),CONDUCTORES!$A$3:$G$54,2,0),"")</f>
        <v/>
      </c>
      <c r="Q252" s="138" t="str">
        <f aca="false">IFERROR(VLOOKUP(TEXT(O252,"0"),CONDUCTORES!$A$3:$H$54,6,0),"")</f>
        <v/>
      </c>
      <c r="R252" s="85"/>
      <c r="S252" s="85"/>
      <c r="T252" s="85"/>
      <c r="U252" s="85"/>
      <c r="V252" s="85"/>
      <c r="W252" s="85"/>
      <c r="X252" s="85"/>
      <c r="Y252" s="85"/>
      <c r="Z252" s="185" t="str">
        <f aca="false">IF(AND(G252&lt;&gt;"",R252&lt;&gt;"",V252&lt;&gt;"",W252&lt;&gt;""),"COMPLETADO","OBSERVADO")</f>
        <v>OBSERVADO</v>
      </c>
    </row>
    <row r="253" customFormat="false" ht="15" hidden="false" customHeight="true" outlineLevel="0" collapsed="false">
      <c r="A253" s="140"/>
      <c r="B253" s="140"/>
      <c r="C253" s="140"/>
      <c r="D253" s="140"/>
      <c r="E253" s="140"/>
      <c r="F253" s="140"/>
      <c r="G253" s="140"/>
      <c r="H253" s="140"/>
      <c r="I253" s="138" t="str">
        <f aca="false">IFERROR(VLOOKUP(TEXT(H253,"0"),IPRESS!$A$3:$B$212,2,0),"")</f>
        <v/>
      </c>
      <c r="J253" s="140"/>
      <c r="K253" s="138" t="str">
        <f aca="false">IFERROR(VLOOKUP(TEXT(O253,"0"),CONDUCTORES!$A$3:$G$54,7,0),"")</f>
        <v/>
      </c>
      <c r="L253" s="140"/>
      <c r="M253" s="140"/>
      <c r="N253" s="139" t="str">
        <f aca="false">IFERROR(IF(L253*M253=0,"",L253*M253),"")</f>
        <v/>
      </c>
      <c r="O253" s="140"/>
      <c r="P253" s="138" t="str">
        <f aca="false">IFERROR(VLOOKUP(TEXT(O253,"0"),CONDUCTORES!$A$3:$G$54,2,0),"")</f>
        <v/>
      </c>
      <c r="Q253" s="138" t="str">
        <f aca="false">IFERROR(VLOOKUP(TEXT(O253,"0"),CONDUCTORES!$A$3:$H$54,6,0),"")</f>
        <v/>
      </c>
      <c r="R253" s="140"/>
      <c r="S253" s="140"/>
      <c r="T253" s="140"/>
      <c r="U253" s="140"/>
      <c r="V253" s="140"/>
      <c r="W253" s="140"/>
      <c r="X253" s="140"/>
      <c r="Y253" s="140"/>
      <c r="Z253" s="185" t="str">
        <f aca="false">IF(AND(G253&lt;&gt;"",R253&lt;&gt;"",V253&lt;&gt;"",W253&lt;&gt;""),"COMPLETADO","OBSERVADO")</f>
        <v>OBSERVADO</v>
      </c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138" t="str">
        <f aca="false">IFERROR(VLOOKUP(TEXT(H254,"0"),IPRESS!$A$3:$B$212,2,0),"")</f>
        <v/>
      </c>
      <c r="J254" s="85"/>
      <c r="K254" s="138" t="str">
        <f aca="false">IFERROR(VLOOKUP(TEXT(O254,"0"),CONDUCTORES!$A$3:$G$54,7,0),"")</f>
        <v/>
      </c>
      <c r="L254" s="85"/>
      <c r="M254" s="85"/>
      <c r="N254" s="139" t="str">
        <f aca="false">IFERROR(IF(L254*M254=0,"",L254*M254),"")</f>
        <v/>
      </c>
      <c r="O254" s="85"/>
      <c r="P254" s="138" t="str">
        <f aca="false">IFERROR(VLOOKUP(TEXT(O254,"0"),CONDUCTORES!$A$3:$G$54,2,0),"")</f>
        <v/>
      </c>
      <c r="Q254" s="138" t="str">
        <f aca="false">IFERROR(VLOOKUP(TEXT(O254,"0"),CONDUCTORES!$A$3:$H$54,6,0),"")</f>
        <v/>
      </c>
      <c r="R254" s="85"/>
      <c r="S254" s="85"/>
      <c r="T254" s="85"/>
      <c r="U254" s="85"/>
      <c r="V254" s="85"/>
      <c r="W254" s="85"/>
      <c r="X254" s="85"/>
      <c r="Y254" s="85"/>
      <c r="Z254" s="185" t="str">
        <f aca="false">IF(AND(G254&lt;&gt;"",R254&lt;&gt;"",V254&lt;&gt;"",W254&lt;&gt;""),"COMPLETADO","OBSERVADO")</f>
        <v>OBSERVADO</v>
      </c>
    </row>
    <row r="255" customFormat="false" ht="15" hidden="false" customHeight="true" outlineLevel="0" collapsed="false">
      <c r="A255" s="140"/>
      <c r="B255" s="140"/>
      <c r="C255" s="140"/>
      <c r="D255" s="140"/>
      <c r="E255" s="140"/>
      <c r="F255" s="140"/>
      <c r="G255" s="140"/>
      <c r="H255" s="140"/>
      <c r="I255" s="138" t="str">
        <f aca="false">IFERROR(VLOOKUP(TEXT(H255,"0"),IPRESS!$A$3:$B$212,2,0),"")</f>
        <v/>
      </c>
      <c r="J255" s="140"/>
      <c r="K255" s="138" t="str">
        <f aca="false">IFERROR(VLOOKUP(TEXT(O255,"0"),CONDUCTORES!$A$3:$G$54,7,0),"")</f>
        <v/>
      </c>
      <c r="L255" s="140"/>
      <c r="M255" s="140"/>
      <c r="N255" s="139" t="str">
        <f aca="false">IFERROR(IF(L255*M255=0,"",L255*M255),"")</f>
        <v/>
      </c>
      <c r="O255" s="140"/>
      <c r="P255" s="138" t="str">
        <f aca="false">IFERROR(VLOOKUP(TEXT(O255,"0"),CONDUCTORES!$A$3:$G$54,2,0),"")</f>
        <v/>
      </c>
      <c r="Q255" s="138" t="str">
        <f aca="false">IFERROR(VLOOKUP(TEXT(O255,"0"),CONDUCTORES!$A$3:$H$54,6,0),"")</f>
        <v/>
      </c>
      <c r="R255" s="140"/>
      <c r="S255" s="140"/>
      <c r="T255" s="140"/>
      <c r="U255" s="140"/>
      <c r="V255" s="140"/>
      <c r="W255" s="140"/>
      <c r="X255" s="140"/>
      <c r="Y255" s="140"/>
      <c r="Z255" s="185" t="str">
        <f aca="false">IF(AND(G255&lt;&gt;"",R255&lt;&gt;"",V255&lt;&gt;"",W255&lt;&gt;""),"COMPLETADO","OBSERVADO")</f>
        <v>OBSERVADO</v>
      </c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138" t="str">
        <f aca="false">IFERROR(VLOOKUP(TEXT(H256,"0"),IPRESS!$A$3:$B$212,2,0),"")</f>
        <v/>
      </c>
      <c r="J256" s="85"/>
      <c r="K256" s="138" t="str">
        <f aca="false">IFERROR(VLOOKUP(TEXT(O256,"0"),CONDUCTORES!$A$3:$G$54,7,0),"")</f>
        <v/>
      </c>
      <c r="L256" s="85"/>
      <c r="M256" s="85"/>
      <c r="N256" s="139" t="str">
        <f aca="false">IFERROR(IF(L256*M256=0,"",L256*M256),"")</f>
        <v/>
      </c>
      <c r="O256" s="85"/>
      <c r="P256" s="138" t="str">
        <f aca="false">IFERROR(VLOOKUP(TEXT(O256,"0"),CONDUCTORES!$A$3:$G$54,2,0),"")</f>
        <v/>
      </c>
      <c r="Q256" s="138" t="str">
        <f aca="false">IFERROR(VLOOKUP(TEXT(O256,"0"),CONDUCTORES!$A$3:$H$54,6,0),"")</f>
        <v/>
      </c>
      <c r="R256" s="85"/>
      <c r="S256" s="85"/>
      <c r="T256" s="85"/>
      <c r="U256" s="85"/>
      <c r="V256" s="85"/>
      <c r="W256" s="85"/>
      <c r="X256" s="85"/>
      <c r="Y256" s="85"/>
      <c r="Z256" s="185" t="str">
        <f aca="false">IF(AND(G256&lt;&gt;"",R256&lt;&gt;"",V256&lt;&gt;"",W256&lt;&gt;""),"COMPLETADO","OBSERVADO")</f>
        <v>OBSERVADO</v>
      </c>
    </row>
    <row r="257" customFormat="false" ht="15" hidden="false" customHeight="true" outlineLevel="0" collapsed="false">
      <c r="A257" s="140"/>
      <c r="B257" s="140"/>
      <c r="C257" s="140"/>
      <c r="D257" s="140"/>
      <c r="E257" s="140"/>
      <c r="F257" s="140"/>
      <c r="G257" s="140"/>
      <c r="H257" s="140"/>
      <c r="I257" s="138" t="str">
        <f aca="false">IFERROR(VLOOKUP(TEXT(H257,"0"),IPRESS!$A$3:$B$212,2,0),"")</f>
        <v/>
      </c>
      <c r="J257" s="140"/>
      <c r="K257" s="138" t="str">
        <f aca="false">IFERROR(VLOOKUP(TEXT(O257,"0"),CONDUCTORES!$A$3:$G$54,7,0),"")</f>
        <v/>
      </c>
      <c r="L257" s="140"/>
      <c r="M257" s="140"/>
      <c r="N257" s="139" t="str">
        <f aca="false">IFERROR(IF(L257*M257=0,"",L257*M257),"")</f>
        <v/>
      </c>
      <c r="O257" s="140"/>
      <c r="P257" s="138" t="str">
        <f aca="false">IFERROR(VLOOKUP(TEXT(O257,"0"),CONDUCTORES!$A$3:$G$54,2,0),"")</f>
        <v/>
      </c>
      <c r="Q257" s="138" t="str">
        <f aca="false">IFERROR(VLOOKUP(TEXT(O257,"0"),CONDUCTORES!$A$3:$H$54,6,0),"")</f>
        <v/>
      </c>
      <c r="R257" s="140"/>
      <c r="S257" s="140"/>
      <c r="T257" s="140"/>
      <c r="U257" s="140"/>
      <c r="V257" s="140"/>
      <c r="W257" s="140"/>
      <c r="X257" s="140"/>
      <c r="Y257" s="140"/>
      <c r="Z257" s="185" t="str">
        <f aca="false">IF(AND(G257&lt;&gt;"",R257&lt;&gt;"",V257&lt;&gt;"",W257&lt;&gt;""),"COMPLETADO","OBSERVADO")</f>
        <v>OBSERVADO</v>
      </c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138" t="str">
        <f aca="false">IFERROR(VLOOKUP(TEXT(H258,"0"),IPRESS!$A$3:$B$212,2,0),"")</f>
        <v/>
      </c>
      <c r="J258" s="85"/>
      <c r="K258" s="138" t="str">
        <f aca="false">IFERROR(VLOOKUP(TEXT(O258,"0"),CONDUCTORES!$A$3:$G$54,7,0),"")</f>
        <v/>
      </c>
      <c r="L258" s="85"/>
      <c r="M258" s="85"/>
      <c r="N258" s="139" t="str">
        <f aca="false">IFERROR(IF(L258*M258=0,"",L258*M258),"")</f>
        <v/>
      </c>
      <c r="O258" s="85"/>
      <c r="P258" s="138" t="str">
        <f aca="false">IFERROR(VLOOKUP(TEXT(O258,"0"),CONDUCTORES!$A$3:$G$54,2,0),"")</f>
        <v/>
      </c>
      <c r="Q258" s="138" t="str">
        <f aca="false">IFERROR(VLOOKUP(TEXT(O258,"0"),CONDUCTORES!$A$3:$H$54,6,0),"")</f>
        <v/>
      </c>
      <c r="R258" s="85"/>
      <c r="S258" s="85"/>
      <c r="T258" s="85"/>
      <c r="U258" s="85"/>
      <c r="V258" s="85"/>
      <c r="W258" s="85"/>
      <c r="X258" s="85"/>
      <c r="Y258" s="85"/>
      <c r="Z258" s="185" t="str">
        <f aca="false">IF(AND(G258&lt;&gt;"",R258&lt;&gt;"",V258&lt;&gt;"",W258&lt;&gt;""),"COMPLETADO","OBSERVADO")</f>
        <v>OBSERVADO</v>
      </c>
    </row>
    <row r="259" customFormat="false" ht="15" hidden="false" customHeight="true" outlineLevel="0" collapsed="false">
      <c r="A259" s="140"/>
      <c r="B259" s="140"/>
      <c r="C259" s="140"/>
      <c r="D259" s="140"/>
      <c r="E259" s="140"/>
      <c r="F259" s="140"/>
      <c r="G259" s="140"/>
      <c r="H259" s="140"/>
      <c r="I259" s="138" t="str">
        <f aca="false">IFERROR(VLOOKUP(TEXT(H259,"0"),IPRESS!$A$3:$B$212,2,0),"")</f>
        <v/>
      </c>
      <c r="J259" s="140"/>
      <c r="K259" s="138" t="str">
        <f aca="false">IFERROR(VLOOKUP(TEXT(O259,"0"),CONDUCTORES!$A$3:$G$54,7,0),"")</f>
        <v/>
      </c>
      <c r="L259" s="140"/>
      <c r="M259" s="140"/>
      <c r="N259" s="139" t="str">
        <f aca="false">IFERROR(IF(L259*M259=0,"",L259*M259),"")</f>
        <v/>
      </c>
      <c r="O259" s="140"/>
      <c r="P259" s="138" t="str">
        <f aca="false">IFERROR(VLOOKUP(TEXT(O259,"0"),CONDUCTORES!$A$3:$G$54,2,0),"")</f>
        <v/>
      </c>
      <c r="Q259" s="138" t="str">
        <f aca="false">IFERROR(VLOOKUP(TEXT(O259,"0"),CONDUCTORES!$A$3:$H$54,6,0),"")</f>
        <v/>
      </c>
      <c r="R259" s="140"/>
      <c r="S259" s="140"/>
      <c r="T259" s="140"/>
      <c r="U259" s="140"/>
      <c r="V259" s="140"/>
      <c r="W259" s="140"/>
      <c r="X259" s="140"/>
      <c r="Y259" s="140"/>
      <c r="Z259" s="185" t="str">
        <f aca="false">IF(AND(G259&lt;&gt;"",R259&lt;&gt;"",V259&lt;&gt;"",W259&lt;&gt;""),"COMPLETADO","OBSERVADO")</f>
        <v>OBSERVADO</v>
      </c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138" t="str">
        <f aca="false">IFERROR(VLOOKUP(TEXT(H260,"0"),IPRESS!$A$3:$B$212,2,0),"")</f>
        <v/>
      </c>
      <c r="J260" s="85"/>
      <c r="K260" s="138" t="str">
        <f aca="false">IFERROR(VLOOKUP(TEXT(O260,"0"),CONDUCTORES!$A$3:$G$54,7,0),"")</f>
        <v/>
      </c>
      <c r="L260" s="85"/>
      <c r="M260" s="85"/>
      <c r="N260" s="139" t="str">
        <f aca="false">IFERROR(IF(L260*M260=0,"",L260*M260),"")</f>
        <v/>
      </c>
      <c r="O260" s="85"/>
      <c r="P260" s="138" t="str">
        <f aca="false">IFERROR(VLOOKUP(TEXT(O260,"0"),CONDUCTORES!$A$3:$G$54,2,0),"")</f>
        <v/>
      </c>
      <c r="Q260" s="138" t="str">
        <f aca="false">IFERROR(VLOOKUP(TEXT(O260,"0"),CONDUCTORES!$A$3:$H$54,6,0),"")</f>
        <v/>
      </c>
      <c r="R260" s="85"/>
      <c r="S260" s="85"/>
      <c r="T260" s="85"/>
      <c r="U260" s="85"/>
      <c r="V260" s="85"/>
      <c r="W260" s="85"/>
      <c r="X260" s="85"/>
      <c r="Y260" s="85"/>
      <c r="Z260" s="185" t="str">
        <f aca="false">IF(AND(G260&lt;&gt;"",R260&lt;&gt;"",V260&lt;&gt;"",W260&lt;&gt;""),"COMPLETADO","OBSERVADO")</f>
        <v>OBSERVADO</v>
      </c>
    </row>
    <row r="261" customFormat="false" ht="15" hidden="false" customHeight="true" outlineLevel="0" collapsed="false">
      <c r="A261" s="140"/>
      <c r="B261" s="140"/>
      <c r="C261" s="140"/>
      <c r="D261" s="140"/>
      <c r="E261" s="140"/>
      <c r="F261" s="140"/>
      <c r="G261" s="140"/>
      <c r="H261" s="140"/>
      <c r="I261" s="138" t="str">
        <f aca="false">IFERROR(VLOOKUP(TEXT(H261,"0"),IPRESS!$A$3:$B$212,2,0),"")</f>
        <v/>
      </c>
      <c r="J261" s="140"/>
      <c r="K261" s="138" t="str">
        <f aca="false">IFERROR(VLOOKUP(TEXT(O261,"0"),CONDUCTORES!$A$3:$G$54,7,0),"")</f>
        <v/>
      </c>
      <c r="L261" s="140"/>
      <c r="M261" s="140"/>
      <c r="N261" s="139" t="str">
        <f aca="false">IFERROR(IF(L261*M261=0,"",L261*M261),"")</f>
        <v/>
      </c>
      <c r="O261" s="140"/>
      <c r="P261" s="138" t="str">
        <f aca="false">IFERROR(VLOOKUP(TEXT(O261,"0"),CONDUCTORES!$A$3:$G$54,2,0),"")</f>
        <v/>
      </c>
      <c r="Q261" s="138" t="str">
        <f aca="false">IFERROR(VLOOKUP(TEXT(O261,"0"),CONDUCTORES!$A$3:$H$54,6,0),"")</f>
        <v/>
      </c>
      <c r="R261" s="140"/>
      <c r="S261" s="140"/>
      <c r="T261" s="140"/>
      <c r="U261" s="140"/>
      <c r="V261" s="140"/>
      <c r="W261" s="140"/>
      <c r="X261" s="140"/>
      <c r="Y261" s="140"/>
      <c r="Z261" s="185" t="str">
        <f aca="false">IF(AND(G261&lt;&gt;"",R261&lt;&gt;"",V261&lt;&gt;"",W261&lt;&gt;""),"COMPLETADO","OBSERVADO")</f>
        <v>OBSERVADO</v>
      </c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138" t="str">
        <f aca="false">IFERROR(VLOOKUP(TEXT(H262,"0"),IPRESS!$A$3:$B$212,2,0),"")</f>
        <v/>
      </c>
      <c r="J262" s="85"/>
      <c r="K262" s="138" t="str">
        <f aca="false">IFERROR(VLOOKUP(TEXT(O262,"0"),CONDUCTORES!$A$3:$G$54,7,0),"")</f>
        <v/>
      </c>
      <c r="L262" s="85"/>
      <c r="M262" s="85"/>
      <c r="N262" s="139" t="str">
        <f aca="false">IFERROR(IF(L262*M262=0,"",L262*M262),"")</f>
        <v/>
      </c>
      <c r="O262" s="85"/>
      <c r="P262" s="138" t="str">
        <f aca="false">IFERROR(VLOOKUP(TEXT(O262,"0"),CONDUCTORES!$A$3:$G$54,2,0),"")</f>
        <v/>
      </c>
      <c r="Q262" s="138" t="str">
        <f aca="false">IFERROR(VLOOKUP(TEXT(O262,"0"),CONDUCTORES!$A$3:$H$54,6,0),"")</f>
        <v/>
      </c>
      <c r="R262" s="85"/>
      <c r="S262" s="85"/>
      <c r="T262" s="85"/>
      <c r="U262" s="85"/>
      <c r="V262" s="85"/>
      <c r="W262" s="85"/>
      <c r="X262" s="85"/>
      <c r="Y262" s="85"/>
      <c r="Z262" s="185" t="str">
        <f aca="false">IF(AND(G262&lt;&gt;"",R262&lt;&gt;"",V262&lt;&gt;"",W262&lt;&gt;""),"COMPLETADO","OBSERVADO")</f>
        <v>OBSERVADO</v>
      </c>
    </row>
    <row r="263" customFormat="false" ht="15" hidden="false" customHeight="true" outlineLevel="0" collapsed="false">
      <c r="A263" s="140"/>
      <c r="B263" s="140"/>
      <c r="C263" s="140"/>
      <c r="D263" s="140"/>
      <c r="E263" s="140"/>
      <c r="F263" s="140"/>
      <c r="G263" s="140"/>
      <c r="H263" s="140"/>
      <c r="I263" s="138" t="str">
        <f aca="false">IFERROR(VLOOKUP(TEXT(H263,"0"),IPRESS!$A$3:$B$212,2,0),"")</f>
        <v/>
      </c>
      <c r="J263" s="140"/>
      <c r="K263" s="138" t="str">
        <f aca="false">IFERROR(VLOOKUP(TEXT(O263,"0"),CONDUCTORES!$A$3:$G$54,7,0),"")</f>
        <v/>
      </c>
      <c r="L263" s="140"/>
      <c r="M263" s="140"/>
      <c r="N263" s="139" t="str">
        <f aca="false">IFERROR(IF(L263*M263=0,"",L263*M263),"")</f>
        <v/>
      </c>
      <c r="O263" s="140"/>
      <c r="P263" s="138" t="str">
        <f aca="false">IFERROR(VLOOKUP(TEXT(O263,"0"),CONDUCTORES!$A$3:$G$54,2,0),"")</f>
        <v/>
      </c>
      <c r="Q263" s="138" t="str">
        <f aca="false">IFERROR(VLOOKUP(TEXT(O263,"0"),CONDUCTORES!$A$3:$H$54,6,0),"")</f>
        <v/>
      </c>
      <c r="R263" s="140"/>
      <c r="S263" s="140"/>
      <c r="T263" s="140"/>
      <c r="U263" s="140"/>
      <c r="V263" s="140"/>
      <c r="W263" s="140"/>
      <c r="X263" s="140"/>
      <c r="Y263" s="140"/>
      <c r="Z263" s="185" t="str">
        <f aca="false">IF(AND(G263&lt;&gt;"",R263&lt;&gt;"",V263&lt;&gt;"",W263&lt;&gt;""),"COMPLETADO","OBSERVADO")</f>
        <v>OBSERVADO</v>
      </c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138" t="str">
        <f aca="false">IFERROR(VLOOKUP(TEXT(H264,"0"),IPRESS!$A$3:$B$212,2,0),"")</f>
        <v/>
      </c>
      <c r="J264" s="85"/>
      <c r="K264" s="138" t="str">
        <f aca="false">IFERROR(VLOOKUP(TEXT(O264,"0"),CONDUCTORES!$A$3:$G$54,7,0),"")</f>
        <v/>
      </c>
      <c r="L264" s="85"/>
      <c r="M264" s="85"/>
      <c r="N264" s="139" t="str">
        <f aca="false">IFERROR(IF(L264*M264=0,"",L264*M264),"")</f>
        <v/>
      </c>
      <c r="O264" s="85"/>
      <c r="P264" s="138" t="str">
        <f aca="false">IFERROR(VLOOKUP(TEXT(O264,"0"),CONDUCTORES!$A$3:$G$54,2,0),"")</f>
        <v/>
      </c>
      <c r="Q264" s="138" t="str">
        <f aca="false">IFERROR(VLOOKUP(TEXT(O264,"0"),CONDUCTORES!$A$3:$H$54,6,0),"")</f>
        <v/>
      </c>
      <c r="R264" s="85"/>
      <c r="S264" s="85"/>
      <c r="T264" s="85"/>
      <c r="U264" s="85"/>
      <c r="V264" s="85"/>
      <c r="W264" s="85"/>
      <c r="X264" s="85"/>
      <c r="Y264" s="85"/>
      <c r="Z264" s="185" t="str">
        <f aca="false">IF(AND(G264&lt;&gt;"",R264&lt;&gt;"",V264&lt;&gt;"",W264&lt;&gt;""),"COMPLETADO","OBSERVADO")</f>
        <v>OBSERVADO</v>
      </c>
    </row>
    <row r="265" customFormat="false" ht="15" hidden="false" customHeight="true" outlineLevel="0" collapsed="false">
      <c r="A265" s="140"/>
      <c r="B265" s="140"/>
      <c r="C265" s="140"/>
      <c r="D265" s="140"/>
      <c r="E265" s="140"/>
      <c r="F265" s="140"/>
      <c r="G265" s="140"/>
      <c r="H265" s="140"/>
      <c r="I265" s="138" t="str">
        <f aca="false">IFERROR(VLOOKUP(TEXT(H265,"0"),IPRESS!$A$3:$B$212,2,0),"")</f>
        <v/>
      </c>
      <c r="J265" s="140"/>
      <c r="K265" s="138" t="str">
        <f aca="false">IFERROR(VLOOKUP(TEXT(O265,"0"),CONDUCTORES!$A$3:$G$54,7,0),"")</f>
        <v/>
      </c>
      <c r="L265" s="140"/>
      <c r="M265" s="140"/>
      <c r="N265" s="139" t="str">
        <f aca="false">IFERROR(IF(L265*M265=0,"",L265*M265),"")</f>
        <v/>
      </c>
      <c r="O265" s="140"/>
      <c r="P265" s="138" t="str">
        <f aca="false">IFERROR(VLOOKUP(TEXT(O265,"0"),CONDUCTORES!$A$3:$G$54,2,0),"")</f>
        <v/>
      </c>
      <c r="Q265" s="138" t="str">
        <f aca="false">IFERROR(VLOOKUP(TEXT(O265,"0"),CONDUCTORES!$A$3:$H$54,6,0),"")</f>
        <v/>
      </c>
      <c r="R265" s="140"/>
      <c r="S265" s="140"/>
      <c r="T265" s="140"/>
      <c r="U265" s="140"/>
      <c r="V265" s="140"/>
      <c r="W265" s="140"/>
      <c r="X265" s="140"/>
      <c r="Y265" s="140"/>
      <c r="Z265" s="185" t="str">
        <f aca="false">IF(AND(G265&lt;&gt;"",R265&lt;&gt;"",V265&lt;&gt;"",W265&lt;&gt;""),"COMPLETADO","OBSERVADO")</f>
        <v>OBSERVADO</v>
      </c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138" t="str">
        <f aca="false">IFERROR(VLOOKUP(TEXT(H266,"0"),IPRESS!$A$3:$B$212,2,0),"")</f>
        <v/>
      </c>
      <c r="J266" s="85"/>
      <c r="K266" s="138" t="str">
        <f aca="false">IFERROR(VLOOKUP(TEXT(O266,"0"),CONDUCTORES!$A$3:$G$54,7,0),"")</f>
        <v/>
      </c>
      <c r="L266" s="85"/>
      <c r="M266" s="85"/>
      <c r="N266" s="139" t="str">
        <f aca="false">IFERROR(IF(L266*M266=0,"",L266*M266),"")</f>
        <v/>
      </c>
      <c r="O266" s="85"/>
      <c r="P266" s="138" t="str">
        <f aca="false">IFERROR(VLOOKUP(TEXT(O266,"0"),CONDUCTORES!$A$3:$G$54,2,0),"")</f>
        <v/>
      </c>
      <c r="Q266" s="138" t="str">
        <f aca="false">IFERROR(VLOOKUP(TEXT(O266,"0"),CONDUCTORES!$A$3:$H$54,6,0),"")</f>
        <v/>
      </c>
      <c r="R266" s="85"/>
      <c r="S266" s="85"/>
      <c r="T266" s="85"/>
      <c r="U266" s="85"/>
      <c r="V266" s="85"/>
      <c r="W266" s="85"/>
      <c r="X266" s="85"/>
      <c r="Y266" s="85"/>
      <c r="Z266" s="185" t="str">
        <f aca="false">IF(AND(G266&lt;&gt;"",R266&lt;&gt;"",V266&lt;&gt;"",W266&lt;&gt;""),"COMPLETADO","OBSERVADO")</f>
        <v>OBSERVADO</v>
      </c>
    </row>
    <row r="267" customFormat="false" ht="15" hidden="false" customHeight="true" outlineLevel="0" collapsed="false">
      <c r="A267" s="140"/>
      <c r="B267" s="140"/>
      <c r="C267" s="140"/>
      <c r="D267" s="140"/>
      <c r="E267" s="140"/>
      <c r="F267" s="140"/>
      <c r="G267" s="140"/>
      <c r="H267" s="140"/>
      <c r="I267" s="138" t="str">
        <f aca="false">IFERROR(VLOOKUP(TEXT(H267,"0"),IPRESS!$A$3:$B$212,2,0),"")</f>
        <v/>
      </c>
      <c r="J267" s="140"/>
      <c r="K267" s="138" t="str">
        <f aca="false">IFERROR(VLOOKUP(TEXT(O267,"0"),CONDUCTORES!$A$3:$G$54,7,0),"")</f>
        <v/>
      </c>
      <c r="L267" s="140"/>
      <c r="M267" s="140"/>
      <c r="N267" s="139" t="str">
        <f aca="false">IFERROR(IF(L267*M267=0,"",L267*M267),"")</f>
        <v/>
      </c>
      <c r="O267" s="140"/>
      <c r="P267" s="138" t="str">
        <f aca="false">IFERROR(VLOOKUP(TEXT(O267,"0"),CONDUCTORES!$A$3:$G$54,2,0),"")</f>
        <v/>
      </c>
      <c r="Q267" s="138" t="str">
        <f aca="false">IFERROR(VLOOKUP(TEXT(O267,"0"),CONDUCTORES!$A$3:$H$54,6,0),"")</f>
        <v/>
      </c>
      <c r="R267" s="140"/>
      <c r="S267" s="140"/>
      <c r="T267" s="140"/>
      <c r="U267" s="140"/>
      <c r="V267" s="140"/>
      <c r="W267" s="140"/>
      <c r="X267" s="140"/>
      <c r="Y267" s="140"/>
      <c r="Z267" s="185" t="str">
        <f aca="false">IF(AND(G267&lt;&gt;"",R267&lt;&gt;"",V267&lt;&gt;"",W267&lt;&gt;""),"COMPLETADO","OBSERVADO")</f>
        <v>OBSERVADO</v>
      </c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138" t="str">
        <f aca="false">IFERROR(VLOOKUP(TEXT(H268,"0"),IPRESS!$A$3:$B$212,2,0),"")</f>
        <v/>
      </c>
      <c r="J268" s="85"/>
      <c r="K268" s="138" t="str">
        <f aca="false">IFERROR(VLOOKUP(TEXT(O268,"0"),CONDUCTORES!$A$3:$G$54,7,0),"")</f>
        <v/>
      </c>
      <c r="L268" s="85"/>
      <c r="M268" s="85"/>
      <c r="N268" s="139" t="str">
        <f aca="false">IFERROR(IF(L268*M268=0,"",L268*M268),"")</f>
        <v/>
      </c>
      <c r="O268" s="85"/>
      <c r="P268" s="138" t="str">
        <f aca="false">IFERROR(VLOOKUP(TEXT(O268,"0"),CONDUCTORES!$A$3:$G$54,2,0),"")</f>
        <v/>
      </c>
      <c r="Q268" s="138" t="str">
        <f aca="false">IFERROR(VLOOKUP(TEXT(O268,"0"),CONDUCTORES!$A$3:$H$54,6,0),"")</f>
        <v/>
      </c>
      <c r="R268" s="85"/>
      <c r="S268" s="85"/>
      <c r="T268" s="85"/>
      <c r="U268" s="85"/>
      <c r="V268" s="85"/>
      <c r="W268" s="85"/>
      <c r="X268" s="85"/>
      <c r="Y268" s="85"/>
      <c r="Z268" s="185" t="str">
        <f aca="false">IF(AND(G268&lt;&gt;"",R268&lt;&gt;"",V268&lt;&gt;"",W268&lt;&gt;""),"COMPLETADO","OBSERVADO")</f>
        <v>OBSERVADO</v>
      </c>
    </row>
    <row r="269" customFormat="false" ht="15" hidden="false" customHeight="true" outlineLevel="0" collapsed="false">
      <c r="A269" s="140"/>
      <c r="B269" s="140"/>
      <c r="C269" s="140"/>
      <c r="D269" s="140"/>
      <c r="E269" s="140"/>
      <c r="F269" s="140"/>
      <c r="G269" s="140"/>
      <c r="H269" s="140"/>
      <c r="I269" s="138" t="str">
        <f aca="false">IFERROR(VLOOKUP(TEXT(H269,"0"),IPRESS!$A$3:$B$212,2,0),"")</f>
        <v/>
      </c>
      <c r="J269" s="140"/>
      <c r="K269" s="138" t="str">
        <f aca="false">IFERROR(VLOOKUP(TEXT(O269,"0"),CONDUCTORES!$A$3:$G$54,7,0),"")</f>
        <v/>
      </c>
      <c r="L269" s="140"/>
      <c r="M269" s="140"/>
      <c r="N269" s="139" t="str">
        <f aca="false">IFERROR(IF(L269*M269=0,"",L269*M269),"")</f>
        <v/>
      </c>
      <c r="O269" s="140"/>
      <c r="P269" s="138" t="str">
        <f aca="false">IFERROR(VLOOKUP(TEXT(O269,"0"),CONDUCTORES!$A$3:$G$54,2,0),"")</f>
        <v/>
      </c>
      <c r="Q269" s="138" t="str">
        <f aca="false">IFERROR(VLOOKUP(TEXT(O269,"0"),CONDUCTORES!$A$3:$H$54,6,0),"")</f>
        <v/>
      </c>
      <c r="R269" s="140"/>
      <c r="S269" s="140"/>
      <c r="T269" s="140"/>
      <c r="U269" s="140"/>
      <c r="V269" s="140"/>
      <c r="W269" s="140"/>
      <c r="X269" s="140"/>
      <c r="Y269" s="140"/>
      <c r="Z269" s="185" t="str">
        <f aca="false">IF(AND(G269&lt;&gt;"",R269&lt;&gt;"",V269&lt;&gt;"",W269&lt;&gt;""),"COMPLETADO","OBSERVADO")</f>
        <v>OBSERVADO</v>
      </c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138" t="str">
        <f aca="false">IFERROR(VLOOKUP(TEXT(H270,"0"),IPRESS!$A$3:$B$212,2,0),"")</f>
        <v/>
      </c>
      <c r="J270" s="85"/>
      <c r="K270" s="138" t="str">
        <f aca="false">IFERROR(VLOOKUP(TEXT(O270,"0"),CONDUCTORES!$A$3:$G$54,7,0),"")</f>
        <v/>
      </c>
      <c r="L270" s="85"/>
      <c r="M270" s="85"/>
      <c r="N270" s="139" t="str">
        <f aca="false">IFERROR(IF(L270*M270=0,"",L270*M270),"")</f>
        <v/>
      </c>
      <c r="O270" s="85"/>
      <c r="P270" s="138" t="str">
        <f aca="false">IFERROR(VLOOKUP(TEXT(O270,"0"),CONDUCTORES!$A$3:$G$54,2,0),"")</f>
        <v/>
      </c>
      <c r="Q270" s="138" t="str">
        <f aca="false">IFERROR(VLOOKUP(TEXT(O270,"0"),CONDUCTORES!$A$3:$H$54,6,0),"")</f>
        <v/>
      </c>
      <c r="R270" s="85"/>
      <c r="S270" s="85"/>
      <c r="T270" s="85"/>
      <c r="U270" s="85"/>
      <c r="V270" s="85"/>
      <c r="W270" s="85"/>
      <c r="X270" s="85"/>
      <c r="Y270" s="85"/>
      <c r="Z270" s="185" t="str">
        <f aca="false">IF(AND(G270&lt;&gt;"",R270&lt;&gt;"",V270&lt;&gt;"",W270&lt;&gt;""),"COMPLETADO","OBSERVADO")</f>
        <v>OBSERVADO</v>
      </c>
    </row>
    <row r="271" customFormat="false" ht="15" hidden="false" customHeight="true" outlineLevel="0" collapsed="false">
      <c r="A271" s="140"/>
      <c r="B271" s="140"/>
      <c r="C271" s="140"/>
      <c r="D271" s="140"/>
      <c r="E271" s="140"/>
      <c r="F271" s="140"/>
      <c r="G271" s="140"/>
      <c r="H271" s="140"/>
      <c r="I271" s="138" t="str">
        <f aca="false">IFERROR(VLOOKUP(TEXT(H271,"0"),IPRESS!$A$3:$B$212,2,0),"")</f>
        <v/>
      </c>
      <c r="J271" s="140"/>
      <c r="K271" s="138" t="str">
        <f aca="false">IFERROR(VLOOKUP(TEXT(O271,"0"),CONDUCTORES!$A$3:$G$54,7,0),"")</f>
        <v/>
      </c>
      <c r="L271" s="140"/>
      <c r="M271" s="140"/>
      <c r="N271" s="139" t="str">
        <f aca="false">IFERROR(IF(L271*M271=0,"",L271*M271),"")</f>
        <v/>
      </c>
      <c r="O271" s="140"/>
      <c r="P271" s="138" t="str">
        <f aca="false">IFERROR(VLOOKUP(TEXT(O271,"0"),CONDUCTORES!$A$3:$G$54,2,0),"")</f>
        <v/>
      </c>
      <c r="Q271" s="138" t="str">
        <f aca="false">IFERROR(VLOOKUP(TEXT(O271,"0"),CONDUCTORES!$A$3:$H$54,6,0),"")</f>
        <v/>
      </c>
      <c r="R271" s="140"/>
      <c r="S271" s="140"/>
      <c r="T271" s="140"/>
      <c r="U271" s="140"/>
      <c r="V271" s="140"/>
      <c r="W271" s="140"/>
      <c r="X271" s="140"/>
      <c r="Y271" s="140"/>
      <c r="Z271" s="185" t="str">
        <f aca="false">IF(AND(G271&lt;&gt;"",R271&lt;&gt;"",V271&lt;&gt;"",W271&lt;&gt;""),"COMPLETADO","OBSERVADO")</f>
        <v>OBSERVADO</v>
      </c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138" t="str">
        <f aca="false">IFERROR(VLOOKUP(TEXT(H272,"0"),IPRESS!$A$3:$B$212,2,0),"")</f>
        <v/>
      </c>
      <c r="J272" s="85"/>
      <c r="K272" s="138" t="str">
        <f aca="false">IFERROR(VLOOKUP(TEXT(O272,"0"),CONDUCTORES!$A$3:$G$54,7,0),"")</f>
        <v/>
      </c>
      <c r="L272" s="85"/>
      <c r="M272" s="85"/>
      <c r="N272" s="139" t="str">
        <f aca="false">IFERROR(IF(L272*M272=0,"",L272*M272),"")</f>
        <v/>
      </c>
      <c r="O272" s="85"/>
      <c r="P272" s="138" t="str">
        <f aca="false">IFERROR(VLOOKUP(TEXT(O272,"0"),CONDUCTORES!$A$3:$G$54,2,0),"")</f>
        <v/>
      </c>
      <c r="Q272" s="138" t="str">
        <f aca="false">IFERROR(VLOOKUP(TEXT(O272,"0"),CONDUCTORES!$A$3:$H$54,6,0),"")</f>
        <v/>
      </c>
      <c r="R272" s="85"/>
      <c r="S272" s="85"/>
      <c r="T272" s="85"/>
      <c r="U272" s="85"/>
      <c r="V272" s="85"/>
      <c r="W272" s="85"/>
      <c r="X272" s="85"/>
      <c r="Y272" s="85"/>
      <c r="Z272" s="185" t="str">
        <f aca="false">IF(AND(G272&lt;&gt;"",R272&lt;&gt;"",V272&lt;&gt;"",W272&lt;&gt;""),"COMPLETADO","OBSERVADO")</f>
        <v>OBSERVADO</v>
      </c>
    </row>
    <row r="273" customFormat="false" ht="15" hidden="false" customHeight="true" outlineLevel="0" collapsed="false">
      <c r="A273" s="140"/>
      <c r="B273" s="140"/>
      <c r="C273" s="140"/>
      <c r="D273" s="140"/>
      <c r="E273" s="140"/>
      <c r="F273" s="140"/>
      <c r="G273" s="140"/>
      <c r="H273" s="140"/>
      <c r="I273" s="138" t="str">
        <f aca="false">IFERROR(VLOOKUP(TEXT(H273,"0"),IPRESS!$A$3:$B$212,2,0),"")</f>
        <v/>
      </c>
      <c r="J273" s="140"/>
      <c r="K273" s="138" t="str">
        <f aca="false">IFERROR(VLOOKUP(TEXT(O273,"0"),CONDUCTORES!$A$3:$G$54,7,0),"")</f>
        <v/>
      </c>
      <c r="L273" s="140"/>
      <c r="M273" s="140"/>
      <c r="N273" s="139" t="str">
        <f aca="false">IFERROR(IF(L273*M273=0,"",L273*M273),"")</f>
        <v/>
      </c>
      <c r="O273" s="140"/>
      <c r="P273" s="138" t="str">
        <f aca="false">IFERROR(VLOOKUP(TEXT(O273,"0"),CONDUCTORES!$A$3:$G$54,2,0),"")</f>
        <v/>
      </c>
      <c r="Q273" s="138" t="str">
        <f aca="false">IFERROR(VLOOKUP(TEXT(O273,"0"),CONDUCTORES!$A$3:$H$54,6,0),"")</f>
        <v/>
      </c>
      <c r="R273" s="140"/>
      <c r="S273" s="140"/>
      <c r="T273" s="140"/>
      <c r="U273" s="140"/>
      <c r="V273" s="140"/>
      <c r="W273" s="140"/>
      <c r="X273" s="140"/>
      <c r="Y273" s="140"/>
      <c r="Z273" s="185" t="str">
        <f aca="false">IF(AND(G273&lt;&gt;"",R273&lt;&gt;"",V273&lt;&gt;"",W273&lt;&gt;""),"COMPLETADO","OBSERVADO")</f>
        <v>OBSERVADO</v>
      </c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138" t="str">
        <f aca="false">IFERROR(VLOOKUP(TEXT(H274,"0"),IPRESS!$A$3:$B$212,2,0),"")</f>
        <v/>
      </c>
      <c r="J274" s="85"/>
      <c r="K274" s="138" t="str">
        <f aca="false">IFERROR(VLOOKUP(TEXT(O274,"0"),CONDUCTORES!$A$3:$G$54,7,0),"")</f>
        <v/>
      </c>
      <c r="L274" s="85"/>
      <c r="M274" s="85"/>
      <c r="N274" s="139" t="str">
        <f aca="false">IFERROR(IF(L274*M274=0,"",L274*M274),"")</f>
        <v/>
      </c>
      <c r="O274" s="85"/>
      <c r="P274" s="138" t="str">
        <f aca="false">IFERROR(VLOOKUP(TEXT(O274,"0"),CONDUCTORES!$A$3:$G$54,2,0),"")</f>
        <v/>
      </c>
      <c r="Q274" s="138" t="str">
        <f aca="false">IFERROR(VLOOKUP(TEXT(O274,"0"),CONDUCTORES!$A$3:$H$54,6,0),"")</f>
        <v/>
      </c>
      <c r="R274" s="85"/>
      <c r="S274" s="85"/>
      <c r="T274" s="85"/>
      <c r="U274" s="85"/>
      <c r="V274" s="85"/>
      <c r="W274" s="85"/>
      <c r="X274" s="85"/>
      <c r="Y274" s="85"/>
      <c r="Z274" s="185" t="str">
        <f aca="false">IF(AND(G274&lt;&gt;"",R274&lt;&gt;"",V274&lt;&gt;"",W274&lt;&gt;""),"COMPLETADO","OBSERVADO")</f>
        <v>OBSERVADO</v>
      </c>
    </row>
    <row r="275" customFormat="false" ht="15" hidden="false" customHeight="true" outlineLevel="0" collapsed="false">
      <c r="A275" s="140"/>
      <c r="B275" s="140"/>
      <c r="C275" s="140"/>
      <c r="D275" s="140"/>
      <c r="E275" s="140"/>
      <c r="F275" s="140"/>
      <c r="G275" s="140"/>
      <c r="H275" s="140"/>
      <c r="I275" s="138" t="str">
        <f aca="false">IFERROR(VLOOKUP(TEXT(H275,"0"),IPRESS!$A$3:$B$212,2,0),"")</f>
        <v/>
      </c>
      <c r="J275" s="140"/>
      <c r="K275" s="138" t="str">
        <f aca="false">IFERROR(VLOOKUP(TEXT(O275,"0"),CONDUCTORES!$A$3:$G$54,7,0),"")</f>
        <v/>
      </c>
      <c r="L275" s="140"/>
      <c r="M275" s="140"/>
      <c r="N275" s="139" t="str">
        <f aca="false">IFERROR(IF(L275*M275=0,"",L275*M275),"")</f>
        <v/>
      </c>
      <c r="O275" s="140"/>
      <c r="P275" s="138" t="str">
        <f aca="false">IFERROR(VLOOKUP(TEXT(O275,"0"),CONDUCTORES!$A$3:$G$54,2,0),"")</f>
        <v/>
      </c>
      <c r="Q275" s="138" t="str">
        <f aca="false">IFERROR(VLOOKUP(TEXT(O275,"0"),CONDUCTORES!$A$3:$H$54,6,0),"")</f>
        <v/>
      </c>
      <c r="R275" s="140"/>
      <c r="S275" s="140"/>
      <c r="T275" s="140"/>
      <c r="U275" s="140"/>
      <c r="V275" s="140"/>
      <c r="W275" s="140"/>
      <c r="X275" s="140"/>
      <c r="Y275" s="140"/>
      <c r="Z275" s="185" t="str">
        <f aca="false">IF(AND(G275&lt;&gt;"",R275&lt;&gt;"",V275&lt;&gt;"",W275&lt;&gt;""),"COMPLETADO","OBSERVADO")</f>
        <v>OBSERVADO</v>
      </c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138" t="str">
        <f aca="false">IFERROR(VLOOKUP(TEXT(H276,"0"),IPRESS!$A$3:$B$212,2,0),"")</f>
        <v/>
      </c>
      <c r="J276" s="85"/>
      <c r="K276" s="138" t="str">
        <f aca="false">IFERROR(VLOOKUP(TEXT(O276,"0"),CONDUCTORES!$A$3:$G$54,7,0),"")</f>
        <v/>
      </c>
      <c r="L276" s="85"/>
      <c r="M276" s="85"/>
      <c r="N276" s="139" t="str">
        <f aca="false">IFERROR(IF(L276*M276=0,"",L276*M276),"")</f>
        <v/>
      </c>
      <c r="O276" s="85"/>
      <c r="P276" s="138" t="str">
        <f aca="false">IFERROR(VLOOKUP(TEXT(O276,"0"),CONDUCTORES!$A$3:$G$54,2,0),"")</f>
        <v/>
      </c>
      <c r="Q276" s="138" t="str">
        <f aca="false">IFERROR(VLOOKUP(TEXT(O276,"0"),CONDUCTORES!$A$3:$H$54,6,0),"")</f>
        <v/>
      </c>
      <c r="R276" s="85"/>
      <c r="S276" s="85"/>
      <c r="T276" s="85"/>
      <c r="U276" s="85"/>
      <c r="V276" s="85"/>
      <c r="W276" s="85"/>
      <c r="X276" s="85"/>
      <c r="Y276" s="85"/>
      <c r="Z276" s="185" t="str">
        <f aca="false">IF(AND(G276&lt;&gt;"",R276&lt;&gt;"",V276&lt;&gt;"",W276&lt;&gt;""),"COMPLETADO","OBSERVADO")</f>
        <v>OBSERVADO</v>
      </c>
    </row>
    <row r="277" customFormat="false" ht="15" hidden="false" customHeight="true" outlineLevel="0" collapsed="false">
      <c r="A277" s="140"/>
      <c r="B277" s="140"/>
      <c r="C277" s="140"/>
      <c r="D277" s="140"/>
      <c r="E277" s="140"/>
      <c r="F277" s="140"/>
      <c r="G277" s="140"/>
      <c r="H277" s="140"/>
      <c r="I277" s="138" t="str">
        <f aca="false">IFERROR(VLOOKUP(TEXT(H277,"0"),IPRESS!$A$3:$B$212,2,0),"")</f>
        <v/>
      </c>
      <c r="J277" s="140"/>
      <c r="K277" s="138" t="str">
        <f aca="false">IFERROR(VLOOKUP(TEXT(O277,"0"),CONDUCTORES!$A$3:$G$54,7,0),"")</f>
        <v/>
      </c>
      <c r="L277" s="140"/>
      <c r="M277" s="140"/>
      <c r="N277" s="139" t="str">
        <f aca="false">IFERROR(IF(L277*M277=0,"",L277*M277),"")</f>
        <v/>
      </c>
      <c r="O277" s="140"/>
      <c r="P277" s="138" t="str">
        <f aca="false">IFERROR(VLOOKUP(TEXT(O277,"0"),CONDUCTORES!$A$3:$G$54,2,0),"")</f>
        <v/>
      </c>
      <c r="Q277" s="138" t="str">
        <f aca="false">IFERROR(VLOOKUP(TEXT(O277,"0"),CONDUCTORES!$A$3:$H$54,6,0),"")</f>
        <v/>
      </c>
      <c r="R277" s="140"/>
      <c r="S277" s="140"/>
      <c r="T277" s="140"/>
      <c r="U277" s="140"/>
      <c r="V277" s="140"/>
      <c r="W277" s="140"/>
      <c r="X277" s="140"/>
      <c r="Y277" s="140"/>
      <c r="Z277" s="185" t="str">
        <f aca="false">IF(AND(G277&lt;&gt;"",R277&lt;&gt;"",V277&lt;&gt;"",W277&lt;&gt;""),"COMPLETADO","OBSERVADO")</f>
        <v>OBSERVADO</v>
      </c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138" t="str">
        <f aca="false">IFERROR(VLOOKUP(TEXT(H278,"0"),IPRESS!$A$3:$B$212,2,0),"")</f>
        <v/>
      </c>
      <c r="J278" s="85"/>
      <c r="K278" s="138" t="str">
        <f aca="false">IFERROR(VLOOKUP(TEXT(O278,"0"),CONDUCTORES!$A$3:$G$54,7,0),"")</f>
        <v/>
      </c>
      <c r="L278" s="85"/>
      <c r="M278" s="85"/>
      <c r="N278" s="139" t="str">
        <f aca="false">IFERROR(IF(L278*M278=0,"",L278*M278),"")</f>
        <v/>
      </c>
      <c r="O278" s="85"/>
      <c r="P278" s="138" t="str">
        <f aca="false">IFERROR(VLOOKUP(TEXT(O278,"0"),CONDUCTORES!$A$3:$G$54,2,0),"")</f>
        <v/>
      </c>
      <c r="Q278" s="138" t="str">
        <f aca="false">IFERROR(VLOOKUP(TEXT(O278,"0"),CONDUCTORES!$A$3:$H$54,6,0),"")</f>
        <v/>
      </c>
      <c r="R278" s="85"/>
      <c r="S278" s="85"/>
      <c r="T278" s="85"/>
      <c r="U278" s="85"/>
      <c r="V278" s="85"/>
      <c r="W278" s="85"/>
      <c r="X278" s="85"/>
      <c r="Y278" s="85"/>
      <c r="Z278" s="185" t="str">
        <f aca="false">IF(AND(G278&lt;&gt;"",R278&lt;&gt;"",V278&lt;&gt;"",W278&lt;&gt;""),"COMPLETADO","OBSERVADO")</f>
        <v>OBSERVADO</v>
      </c>
    </row>
    <row r="279" customFormat="false" ht="15" hidden="false" customHeight="true" outlineLevel="0" collapsed="false">
      <c r="A279" s="140"/>
      <c r="B279" s="140"/>
      <c r="C279" s="140"/>
      <c r="D279" s="140"/>
      <c r="E279" s="140"/>
      <c r="F279" s="140"/>
      <c r="G279" s="140"/>
      <c r="H279" s="140"/>
      <c r="I279" s="138" t="str">
        <f aca="false">IFERROR(VLOOKUP(TEXT(H279,"0"),IPRESS!$A$3:$B$212,2,0),"")</f>
        <v/>
      </c>
      <c r="J279" s="140"/>
      <c r="K279" s="138" t="str">
        <f aca="false">IFERROR(VLOOKUP(TEXT(O279,"0"),CONDUCTORES!$A$3:$G$54,7,0),"")</f>
        <v/>
      </c>
      <c r="L279" s="140"/>
      <c r="M279" s="140"/>
      <c r="N279" s="139" t="str">
        <f aca="false">IFERROR(IF(L279*M279=0,"",L279*M279),"")</f>
        <v/>
      </c>
      <c r="O279" s="140"/>
      <c r="P279" s="138" t="str">
        <f aca="false">IFERROR(VLOOKUP(TEXT(O279,"0"),CONDUCTORES!$A$3:$G$54,2,0),"")</f>
        <v/>
      </c>
      <c r="Q279" s="138" t="str">
        <f aca="false">IFERROR(VLOOKUP(TEXT(O279,"0"),CONDUCTORES!$A$3:$H$54,6,0),"")</f>
        <v/>
      </c>
      <c r="R279" s="140"/>
      <c r="S279" s="140"/>
      <c r="T279" s="140"/>
      <c r="U279" s="140"/>
      <c r="V279" s="140"/>
      <c r="W279" s="140"/>
      <c r="X279" s="140"/>
      <c r="Y279" s="140"/>
      <c r="Z279" s="185" t="str">
        <f aca="false">IF(AND(G279&lt;&gt;"",R279&lt;&gt;"",V279&lt;&gt;"",W279&lt;&gt;""),"COMPLETADO","OBSERVADO")</f>
        <v>OBSERVADO</v>
      </c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138" t="str">
        <f aca="false">IFERROR(VLOOKUP(TEXT(H280,"0"),IPRESS!$A$3:$B$212,2,0),"")</f>
        <v/>
      </c>
      <c r="J280" s="85"/>
      <c r="K280" s="138" t="str">
        <f aca="false">IFERROR(VLOOKUP(TEXT(O280,"0"),CONDUCTORES!$A$3:$G$54,7,0),"")</f>
        <v/>
      </c>
      <c r="L280" s="85"/>
      <c r="M280" s="85"/>
      <c r="N280" s="139" t="str">
        <f aca="false">IFERROR(IF(L280*M280=0,"",L280*M280),"")</f>
        <v/>
      </c>
      <c r="O280" s="85"/>
      <c r="P280" s="138" t="str">
        <f aca="false">IFERROR(VLOOKUP(TEXT(O280,"0"),CONDUCTORES!$A$3:$G$54,2,0),"")</f>
        <v/>
      </c>
      <c r="Q280" s="138" t="str">
        <f aca="false">IFERROR(VLOOKUP(TEXT(O280,"0"),CONDUCTORES!$A$3:$H$54,6,0),"")</f>
        <v/>
      </c>
      <c r="R280" s="85"/>
      <c r="S280" s="85"/>
      <c r="T280" s="85"/>
      <c r="U280" s="85"/>
      <c r="V280" s="85"/>
      <c r="W280" s="85"/>
      <c r="X280" s="85"/>
      <c r="Y280" s="85"/>
      <c r="Z280" s="185" t="str">
        <f aca="false">IF(AND(G280&lt;&gt;"",R280&lt;&gt;"",V280&lt;&gt;"",W280&lt;&gt;""),"COMPLETADO","OBSERVADO")</f>
        <v>OBSERVADO</v>
      </c>
    </row>
    <row r="281" customFormat="false" ht="15" hidden="false" customHeight="true" outlineLevel="0" collapsed="false">
      <c r="A281" s="140"/>
      <c r="B281" s="140"/>
      <c r="C281" s="140"/>
      <c r="D281" s="140"/>
      <c r="E281" s="140"/>
      <c r="F281" s="140"/>
      <c r="G281" s="140"/>
      <c r="H281" s="140"/>
      <c r="I281" s="138" t="str">
        <f aca="false">IFERROR(VLOOKUP(TEXT(H281,"0"),IPRESS!$A$3:$B$212,2,0),"")</f>
        <v/>
      </c>
      <c r="J281" s="140"/>
      <c r="K281" s="138" t="str">
        <f aca="false">IFERROR(VLOOKUP(TEXT(O281,"0"),CONDUCTORES!$A$3:$G$54,7,0),"")</f>
        <v/>
      </c>
      <c r="L281" s="140"/>
      <c r="M281" s="140"/>
      <c r="N281" s="139" t="str">
        <f aca="false">IFERROR(IF(L281*M281=0,"",L281*M281),"")</f>
        <v/>
      </c>
      <c r="O281" s="140"/>
      <c r="P281" s="138" t="str">
        <f aca="false">IFERROR(VLOOKUP(TEXT(O281,"0"),CONDUCTORES!$A$3:$G$54,2,0),"")</f>
        <v/>
      </c>
      <c r="Q281" s="138" t="str">
        <f aca="false">IFERROR(VLOOKUP(TEXT(O281,"0"),CONDUCTORES!$A$3:$H$54,6,0),"")</f>
        <v/>
      </c>
      <c r="R281" s="140"/>
      <c r="S281" s="140"/>
      <c r="T281" s="140"/>
      <c r="U281" s="140"/>
      <c r="V281" s="140"/>
      <c r="W281" s="140"/>
      <c r="X281" s="140"/>
      <c r="Y281" s="140"/>
      <c r="Z281" s="185" t="str">
        <f aca="false">IF(AND(G281&lt;&gt;"",R281&lt;&gt;"",V281&lt;&gt;"",W281&lt;&gt;""),"COMPLETADO","OBSERVADO")</f>
        <v>OBSERVADO</v>
      </c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138" t="str">
        <f aca="false">IFERROR(VLOOKUP(TEXT(H282,"0"),IPRESS!$A$3:$B$212,2,0),"")</f>
        <v/>
      </c>
      <c r="J282" s="85"/>
      <c r="K282" s="138" t="str">
        <f aca="false">IFERROR(VLOOKUP(TEXT(O282,"0"),CONDUCTORES!$A$3:$G$54,7,0),"")</f>
        <v/>
      </c>
      <c r="L282" s="85"/>
      <c r="M282" s="85"/>
      <c r="N282" s="139" t="str">
        <f aca="false">IFERROR(IF(L282*M282=0,"",L282*M282),"")</f>
        <v/>
      </c>
      <c r="O282" s="85"/>
      <c r="P282" s="138" t="str">
        <f aca="false">IFERROR(VLOOKUP(TEXT(O282,"0"),CONDUCTORES!$A$3:$G$54,2,0),"")</f>
        <v/>
      </c>
      <c r="Q282" s="138" t="str">
        <f aca="false">IFERROR(VLOOKUP(TEXT(O282,"0"),CONDUCTORES!$A$3:$H$54,6,0),"")</f>
        <v/>
      </c>
      <c r="R282" s="85"/>
      <c r="S282" s="85"/>
      <c r="T282" s="85"/>
      <c r="U282" s="85"/>
      <c r="V282" s="85"/>
      <c r="W282" s="85"/>
      <c r="X282" s="85"/>
      <c r="Y282" s="85"/>
      <c r="Z282" s="185" t="str">
        <f aca="false">IF(AND(G282&lt;&gt;"",R282&lt;&gt;"",V282&lt;&gt;"",W282&lt;&gt;""),"COMPLETADO","OBSERVADO")</f>
        <v>OBSERVADO</v>
      </c>
    </row>
    <row r="283" customFormat="false" ht="15" hidden="false" customHeight="true" outlineLevel="0" collapsed="false">
      <c r="A283" s="140"/>
      <c r="B283" s="140"/>
      <c r="C283" s="140"/>
      <c r="D283" s="140"/>
      <c r="E283" s="140"/>
      <c r="F283" s="140"/>
      <c r="G283" s="140"/>
      <c r="H283" s="140"/>
      <c r="I283" s="138" t="str">
        <f aca="false">IFERROR(VLOOKUP(TEXT(H283,"0"),IPRESS!$A$3:$B$212,2,0),"")</f>
        <v/>
      </c>
      <c r="J283" s="140"/>
      <c r="K283" s="138" t="str">
        <f aca="false">IFERROR(VLOOKUP(TEXT(O283,"0"),CONDUCTORES!$A$3:$G$54,7,0),"")</f>
        <v/>
      </c>
      <c r="L283" s="140"/>
      <c r="M283" s="140"/>
      <c r="N283" s="139" t="str">
        <f aca="false">IFERROR(IF(L283*M283=0,"",L283*M283),"")</f>
        <v/>
      </c>
      <c r="O283" s="140"/>
      <c r="P283" s="138" t="str">
        <f aca="false">IFERROR(VLOOKUP(TEXT(O283,"0"),CONDUCTORES!$A$3:$G$54,2,0),"")</f>
        <v/>
      </c>
      <c r="Q283" s="138" t="str">
        <f aca="false">IFERROR(VLOOKUP(TEXT(O283,"0"),CONDUCTORES!$A$3:$H$54,6,0),"")</f>
        <v/>
      </c>
      <c r="R283" s="140"/>
      <c r="S283" s="140"/>
      <c r="T283" s="140"/>
      <c r="U283" s="140"/>
      <c r="V283" s="140"/>
      <c r="W283" s="140"/>
      <c r="X283" s="140"/>
      <c r="Y283" s="140"/>
      <c r="Z283" s="185" t="str">
        <f aca="false">IF(AND(G283&lt;&gt;"",R283&lt;&gt;"",V283&lt;&gt;"",W283&lt;&gt;""),"COMPLETADO","OBSERVADO")</f>
        <v>OBSERVADO</v>
      </c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138" t="str">
        <f aca="false">IFERROR(VLOOKUP(TEXT(H284,"0"),IPRESS!$A$3:$B$212,2,0),"")</f>
        <v/>
      </c>
      <c r="J284" s="85"/>
      <c r="K284" s="138" t="str">
        <f aca="false">IFERROR(VLOOKUP(TEXT(O284,"0"),CONDUCTORES!$A$3:$G$54,7,0),"")</f>
        <v/>
      </c>
      <c r="L284" s="85"/>
      <c r="M284" s="85"/>
      <c r="N284" s="139" t="str">
        <f aca="false">IFERROR(IF(L284*M284=0,"",L284*M284),"")</f>
        <v/>
      </c>
      <c r="O284" s="85"/>
      <c r="P284" s="138" t="str">
        <f aca="false">IFERROR(VLOOKUP(TEXT(O284,"0"),CONDUCTORES!$A$3:$G$54,2,0),"")</f>
        <v/>
      </c>
      <c r="Q284" s="138" t="str">
        <f aca="false">IFERROR(VLOOKUP(TEXT(O284,"0"),CONDUCTORES!$A$3:$H$54,6,0),"")</f>
        <v/>
      </c>
      <c r="R284" s="85"/>
      <c r="S284" s="85"/>
      <c r="T284" s="85"/>
      <c r="U284" s="85"/>
      <c r="V284" s="85"/>
      <c r="W284" s="85"/>
      <c r="X284" s="85"/>
      <c r="Y284" s="85"/>
      <c r="Z284" s="185" t="str">
        <f aca="false">IF(AND(G284&lt;&gt;"",R284&lt;&gt;"",V284&lt;&gt;"",W284&lt;&gt;""),"COMPLETADO","OBSERVADO")</f>
        <v>OBSERVADO</v>
      </c>
    </row>
    <row r="285" customFormat="false" ht="15" hidden="false" customHeight="true" outlineLevel="0" collapsed="false">
      <c r="A285" s="140"/>
      <c r="B285" s="140"/>
      <c r="C285" s="140"/>
      <c r="D285" s="140"/>
      <c r="E285" s="140"/>
      <c r="F285" s="140"/>
      <c r="G285" s="140"/>
      <c r="H285" s="140"/>
      <c r="I285" s="138" t="str">
        <f aca="false">IFERROR(VLOOKUP(TEXT(H285,"0"),IPRESS!$A$3:$B$212,2,0),"")</f>
        <v/>
      </c>
      <c r="J285" s="140"/>
      <c r="K285" s="138" t="str">
        <f aca="false">IFERROR(VLOOKUP(TEXT(O285,"0"),CONDUCTORES!$A$3:$G$54,7,0),"")</f>
        <v/>
      </c>
      <c r="L285" s="140"/>
      <c r="M285" s="140"/>
      <c r="N285" s="139" t="str">
        <f aca="false">IFERROR(IF(L285*M285=0,"",L285*M285),"")</f>
        <v/>
      </c>
      <c r="O285" s="140"/>
      <c r="P285" s="138" t="str">
        <f aca="false">IFERROR(VLOOKUP(TEXT(O285,"0"),CONDUCTORES!$A$3:$G$54,2,0),"")</f>
        <v/>
      </c>
      <c r="Q285" s="138" t="str">
        <f aca="false">IFERROR(VLOOKUP(TEXT(O285,"0"),CONDUCTORES!$A$3:$H$54,6,0),"")</f>
        <v/>
      </c>
      <c r="R285" s="140"/>
      <c r="S285" s="140"/>
      <c r="T285" s="140"/>
      <c r="U285" s="140"/>
      <c r="V285" s="140"/>
      <c r="W285" s="140"/>
      <c r="X285" s="140"/>
      <c r="Y285" s="140"/>
      <c r="Z285" s="185" t="str">
        <f aca="false">IF(AND(G285&lt;&gt;"",R285&lt;&gt;"",V285&lt;&gt;"",W285&lt;&gt;""),"COMPLETADO","OBSERVADO")</f>
        <v>OBSERVADO</v>
      </c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138" t="str">
        <f aca="false">IFERROR(VLOOKUP(TEXT(H286,"0"),IPRESS!$A$3:$B$212,2,0),"")</f>
        <v/>
      </c>
      <c r="J286" s="85"/>
      <c r="K286" s="138" t="str">
        <f aca="false">IFERROR(VLOOKUP(TEXT(O286,"0"),CONDUCTORES!$A$3:$G$54,7,0),"")</f>
        <v/>
      </c>
      <c r="L286" s="85"/>
      <c r="M286" s="85"/>
      <c r="N286" s="139" t="str">
        <f aca="false">IFERROR(IF(L286*M286=0,"",L286*M286),"")</f>
        <v/>
      </c>
      <c r="O286" s="85"/>
      <c r="P286" s="138" t="str">
        <f aca="false">IFERROR(VLOOKUP(TEXT(O286,"0"),CONDUCTORES!$A$3:$G$54,2,0),"")</f>
        <v/>
      </c>
      <c r="Q286" s="138" t="str">
        <f aca="false">IFERROR(VLOOKUP(TEXT(O286,"0"),CONDUCTORES!$A$3:$H$54,6,0),"")</f>
        <v/>
      </c>
      <c r="R286" s="85"/>
      <c r="S286" s="85"/>
      <c r="T286" s="85"/>
      <c r="U286" s="85"/>
      <c r="V286" s="85"/>
      <c r="W286" s="85"/>
      <c r="X286" s="85"/>
      <c r="Y286" s="85"/>
      <c r="Z286" s="185" t="str">
        <f aca="false">IF(AND(G286&lt;&gt;"",R286&lt;&gt;"",V286&lt;&gt;"",W286&lt;&gt;""),"COMPLETADO","OBSERVADO")</f>
        <v>OBSERVADO</v>
      </c>
    </row>
    <row r="287" customFormat="false" ht="15" hidden="false" customHeight="true" outlineLevel="0" collapsed="false">
      <c r="A287" s="140"/>
      <c r="B287" s="140"/>
      <c r="C287" s="140"/>
      <c r="D287" s="140"/>
      <c r="E287" s="140"/>
      <c r="F287" s="140"/>
      <c r="G287" s="140"/>
      <c r="H287" s="140"/>
      <c r="I287" s="138" t="str">
        <f aca="false">IFERROR(VLOOKUP(TEXT(H287,"0"),IPRESS!$A$3:$B$212,2,0),"")</f>
        <v/>
      </c>
      <c r="J287" s="140"/>
      <c r="K287" s="138" t="str">
        <f aca="false">IFERROR(VLOOKUP(TEXT(O287,"0"),CONDUCTORES!$A$3:$G$54,7,0),"")</f>
        <v/>
      </c>
      <c r="L287" s="140"/>
      <c r="M287" s="140"/>
      <c r="N287" s="139" t="str">
        <f aca="false">IFERROR(IF(L287*M287=0,"",L287*M287),"")</f>
        <v/>
      </c>
      <c r="O287" s="140"/>
      <c r="P287" s="138" t="str">
        <f aca="false">IFERROR(VLOOKUP(TEXT(O287,"0"),CONDUCTORES!$A$3:$G$54,2,0),"")</f>
        <v/>
      </c>
      <c r="Q287" s="138" t="str">
        <f aca="false">IFERROR(VLOOKUP(TEXT(O287,"0"),CONDUCTORES!$A$3:$H$54,6,0),"")</f>
        <v/>
      </c>
      <c r="R287" s="140"/>
      <c r="S287" s="140"/>
      <c r="T287" s="140"/>
      <c r="U287" s="140"/>
      <c r="V287" s="140"/>
      <c r="W287" s="140"/>
      <c r="X287" s="140"/>
      <c r="Y287" s="140"/>
      <c r="Z287" s="185" t="str">
        <f aca="false">IF(AND(G287&lt;&gt;"",R287&lt;&gt;"",V287&lt;&gt;"",W287&lt;&gt;""),"COMPLETADO","OBSERVADO")</f>
        <v>OBSERVADO</v>
      </c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138" t="str">
        <f aca="false">IFERROR(VLOOKUP(TEXT(H288,"0"),IPRESS!$A$3:$B$212,2,0),"")</f>
        <v/>
      </c>
      <c r="J288" s="85"/>
      <c r="K288" s="138" t="str">
        <f aca="false">IFERROR(VLOOKUP(TEXT(O288,"0"),CONDUCTORES!$A$3:$G$54,7,0),"")</f>
        <v/>
      </c>
      <c r="L288" s="85"/>
      <c r="M288" s="85"/>
      <c r="N288" s="139" t="str">
        <f aca="false">IFERROR(IF(L288*M288=0,"",L288*M288),"")</f>
        <v/>
      </c>
      <c r="O288" s="85"/>
      <c r="P288" s="138" t="str">
        <f aca="false">IFERROR(VLOOKUP(TEXT(O288,"0"),CONDUCTORES!$A$3:$G$54,2,0),"")</f>
        <v/>
      </c>
      <c r="Q288" s="138" t="str">
        <f aca="false">IFERROR(VLOOKUP(TEXT(O288,"0"),CONDUCTORES!$A$3:$H$54,6,0),"")</f>
        <v/>
      </c>
      <c r="R288" s="85"/>
      <c r="S288" s="85"/>
      <c r="T288" s="85"/>
      <c r="U288" s="85"/>
      <c r="V288" s="85"/>
      <c r="W288" s="85"/>
      <c r="X288" s="85"/>
      <c r="Y288" s="85"/>
      <c r="Z288" s="185" t="str">
        <f aca="false">IF(AND(G288&lt;&gt;"",R288&lt;&gt;"",V288&lt;&gt;"",W288&lt;&gt;""),"COMPLETADO","OBSERVADO")</f>
        <v>OBSERVADO</v>
      </c>
    </row>
    <row r="289" customFormat="false" ht="15" hidden="false" customHeight="true" outlineLevel="0" collapsed="false">
      <c r="A289" s="140"/>
      <c r="B289" s="140"/>
      <c r="C289" s="140"/>
      <c r="D289" s="140"/>
      <c r="E289" s="140"/>
      <c r="F289" s="140"/>
      <c r="G289" s="140"/>
      <c r="H289" s="140"/>
      <c r="I289" s="138" t="str">
        <f aca="false">IFERROR(VLOOKUP(TEXT(H289,"0"),IPRESS!$A$3:$B$212,2,0),"")</f>
        <v/>
      </c>
      <c r="J289" s="140"/>
      <c r="K289" s="138" t="str">
        <f aca="false">IFERROR(VLOOKUP(TEXT(O289,"0"),CONDUCTORES!$A$3:$G$54,7,0),"")</f>
        <v/>
      </c>
      <c r="L289" s="140"/>
      <c r="M289" s="140"/>
      <c r="N289" s="139" t="str">
        <f aca="false">IFERROR(IF(L289*M289=0,"",L289*M289),"")</f>
        <v/>
      </c>
      <c r="O289" s="140"/>
      <c r="P289" s="138" t="str">
        <f aca="false">IFERROR(VLOOKUP(TEXT(O289,"0"),CONDUCTORES!$A$3:$G$54,2,0),"")</f>
        <v/>
      </c>
      <c r="Q289" s="138" t="str">
        <f aca="false">IFERROR(VLOOKUP(TEXT(O289,"0"),CONDUCTORES!$A$3:$H$54,6,0),"")</f>
        <v/>
      </c>
      <c r="R289" s="140"/>
      <c r="S289" s="140"/>
      <c r="T289" s="140"/>
      <c r="U289" s="140"/>
      <c r="V289" s="140"/>
      <c r="W289" s="140"/>
      <c r="X289" s="140"/>
      <c r="Y289" s="140"/>
      <c r="Z289" s="185" t="str">
        <f aca="false">IF(AND(G289&lt;&gt;"",R289&lt;&gt;"",V289&lt;&gt;"",W289&lt;&gt;""),"COMPLETADO","OBSERVADO")</f>
        <v>OBSERVADO</v>
      </c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138" t="str">
        <f aca="false">IFERROR(VLOOKUP(TEXT(H290,"0"),IPRESS!$A$3:$B$212,2,0),"")</f>
        <v/>
      </c>
      <c r="J290" s="85"/>
      <c r="K290" s="138" t="str">
        <f aca="false">IFERROR(VLOOKUP(TEXT(O290,"0"),CONDUCTORES!$A$3:$G$54,7,0),"")</f>
        <v/>
      </c>
      <c r="L290" s="85"/>
      <c r="M290" s="85"/>
      <c r="N290" s="139" t="str">
        <f aca="false">IFERROR(IF(L290*M290=0,"",L290*M290),"")</f>
        <v/>
      </c>
      <c r="O290" s="85"/>
      <c r="P290" s="138" t="str">
        <f aca="false">IFERROR(VLOOKUP(TEXT(O290,"0"),CONDUCTORES!$A$3:$G$54,2,0),"")</f>
        <v/>
      </c>
      <c r="Q290" s="138" t="str">
        <f aca="false">IFERROR(VLOOKUP(TEXT(O290,"0"),CONDUCTORES!$A$3:$H$54,6,0),"")</f>
        <v/>
      </c>
      <c r="R290" s="85"/>
      <c r="S290" s="85"/>
      <c r="T290" s="85"/>
      <c r="U290" s="85"/>
      <c r="V290" s="85"/>
      <c r="W290" s="85"/>
      <c r="X290" s="85"/>
      <c r="Y290" s="85"/>
      <c r="Z290" s="185" t="str">
        <f aca="false">IF(AND(G290&lt;&gt;"",R290&lt;&gt;"",V290&lt;&gt;"",W290&lt;&gt;""),"COMPLETADO","OBSERVADO")</f>
        <v>OBSERVADO</v>
      </c>
    </row>
    <row r="291" customFormat="false" ht="15" hidden="false" customHeight="true" outlineLevel="0" collapsed="false">
      <c r="A291" s="140"/>
      <c r="B291" s="140"/>
      <c r="C291" s="140"/>
      <c r="D291" s="140"/>
      <c r="E291" s="140"/>
      <c r="F291" s="140"/>
      <c r="G291" s="140"/>
      <c r="H291" s="140"/>
      <c r="I291" s="138" t="str">
        <f aca="false">IFERROR(VLOOKUP(TEXT(H291,"0"),IPRESS!$A$3:$B$212,2,0),"")</f>
        <v/>
      </c>
      <c r="J291" s="140"/>
      <c r="K291" s="138" t="str">
        <f aca="false">IFERROR(VLOOKUP(TEXT(O291,"0"),CONDUCTORES!$A$3:$G$54,7,0),"")</f>
        <v/>
      </c>
      <c r="L291" s="140"/>
      <c r="M291" s="140"/>
      <c r="N291" s="139" t="str">
        <f aca="false">IFERROR(IF(L291*M291=0,"",L291*M291),"")</f>
        <v/>
      </c>
      <c r="O291" s="140"/>
      <c r="P291" s="138" t="str">
        <f aca="false">IFERROR(VLOOKUP(TEXT(O291,"0"),CONDUCTORES!$A$3:$G$54,2,0),"")</f>
        <v/>
      </c>
      <c r="Q291" s="138" t="str">
        <f aca="false">IFERROR(VLOOKUP(TEXT(O291,"0"),CONDUCTORES!$A$3:$H$54,6,0),"")</f>
        <v/>
      </c>
      <c r="R291" s="140"/>
      <c r="S291" s="140"/>
      <c r="T291" s="140"/>
      <c r="U291" s="140"/>
      <c r="V291" s="140"/>
      <c r="W291" s="140"/>
      <c r="X291" s="140"/>
      <c r="Y291" s="140"/>
      <c r="Z291" s="185" t="str">
        <f aca="false">IF(AND(G291&lt;&gt;"",R291&lt;&gt;"",V291&lt;&gt;"",W291&lt;&gt;""),"COMPLETADO","OBSERVADO")</f>
        <v>OBSERVADO</v>
      </c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138" t="str">
        <f aca="false">IFERROR(VLOOKUP(TEXT(H292,"0"),IPRESS!$A$3:$B$212,2,0),"")</f>
        <v/>
      </c>
      <c r="J292" s="85"/>
      <c r="K292" s="138" t="str">
        <f aca="false">IFERROR(VLOOKUP(TEXT(O292,"0"),CONDUCTORES!$A$3:$G$54,7,0),"")</f>
        <v/>
      </c>
      <c r="L292" s="85"/>
      <c r="M292" s="85"/>
      <c r="N292" s="139" t="str">
        <f aca="false">IFERROR(IF(L292*M292=0,"",L292*M292),"")</f>
        <v/>
      </c>
      <c r="O292" s="85"/>
      <c r="P292" s="138" t="str">
        <f aca="false">IFERROR(VLOOKUP(TEXT(O292,"0"),CONDUCTORES!$A$3:$G$54,2,0),"")</f>
        <v/>
      </c>
      <c r="Q292" s="138" t="str">
        <f aca="false">IFERROR(VLOOKUP(TEXT(O292,"0"),CONDUCTORES!$A$3:$H$54,6,0),"")</f>
        <v/>
      </c>
      <c r="R292" s="85"/>
      <c r="S292" s="85"/>
      <c r="T292" s="85"/>
      <c r="U292" s="85"/>
      <c r="V292" s="85"/>
      <c r="W292" s="85"/>
      <c r="X292" s="85"/>
      <c r="Y292" s="85"/>
      <c r="Z292" s="185" t="str">
        <f aca="false">IF(AND(G292&lt;&gt;"",R292&lt;&gt;"",V292&lt;&gt;"",W292&lt;&gt;""),"COMPLETADO","OBSERVADO")</f>
        <v>OBSERVADO</v>
      </c>
    </row>
    <row r="293" customFormat="false" ht="15" hidden="false" customHeight="true" outlineLevel="0" collapsed="false">
      <c r="A293" s="140"/>
      <c r="B293" s="140"/>
      <c r="C293" s="140"/>
      <c r="D293" s="140"/>
      <c r="E293" s="140"/>
      <c r="F293" s="140"/>
      <c r="G293" s="140"/>
      <c r="H293" s="140"/>
      <c r="I293" s="138" t="str">
        <f aca="false">IFERROR(VLOOKUP(TEXT(H293,"0"),IPRESS!$A$3:$B$212,2,0),"")</f>
        <v/>
      </c>
      <c r="J293" s="140"/>
      <c r="K293" s="138" t="str">
        <f aca="false">IFERROR(VLOOKUP(TEXT(O293,"0"),CONDUCTORES!$A$3:$G$54,7,0),"")</f>
        <v/>
      </c>
      <c r="L293" s="140"/>
      <c r="M293" s="140"/>
      <c r="N293" s="139" t="str">
        <f aca="false">IFERROR(IF(L293*M293=0,"",L293*M293),"")</f>
        <v/>
      </c>
      <c r="O293" s="140"/>
      <c r="P293" s="138" t="str">
        <f aca="false">IFERROR(VLOOKUP(TEXT(O293,"0"),CONDUCTORES!$A$3:$G$54,2,0),"")</f>
        <v/>
      </c>
      <c r="Q293" s="138" t="str">
        <f aca="false">IFERROR(VLOOKUP(TEXT(O293,"0"),CONDUCTORES!$A$3:$H$54,6,0),"")</f>
        <v/>
      </c>
      <c r="R293" s="140"/>
      <c r="S293" s="140"/>
      <c r="T293" s="140"/>
      <c r="U293" s="140"/>
      <c r="V293" s="140"/>
      <c r="W293" s="140"/>
      <c r="X293" s="140"/>
      <c r="Y293" s="140"/>
      <c r="Z293" s="185" t="str">
        <f aca="false">IF(AND(G293&lt;&gt;"",R293&lt;&gt;"",V293&lt;&gt;"",W293&lt;&gt;""),"COMPLETADO","OBSERVADO")</f>
        <v>OBSERVADO</v>
      </c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138" t="str">
        <f aca="false">IFERROR(VLOOKUP(TEXT(H294,"0"),IPRESS!$A$3:$B$212,2,0),"")</f>
        <v/>
      </c>
      <c r="J294" s="85"/>
      <c r="K294" s="138" t="str">
        <f aca="false">IFERROR(VLOOKUP(TEXT(O294,"0"),CONDUCTORES!$A$3:$G$54,7,0),"")</f>
        <v/>
      </c>
      <c r="L294" s="85"/>
      <c r="M294" s="85"/>
      <c r="N294" s="139" t="str">
        <f aca="false">IFERROR(IF(L294*M294=0,"",L294*M294),"")</f>
        <v/>
      </c>
      <c r="O294" s="85"/>
      <c r="P294" s="138" t="str">
        <f aca="false">IFERROR(VLOOKUP(TEXT(O294,"0"),CONDUCTORES!$A$3:$G$54,2,0),"")</f>
        <v/>
      </c>
      <c r="Q294" s="138" t="str">
        <f aca="false">IFERROR(VLOOKUP(TEXT(O294,"0"),CONDUCTORES!$A$3:$H$54,6,0),"")</f>
        <v/>
      </c>
      <c r="R294" s="85"/>
      <c r="S294" s="85"/>
      <c r="T294" s="85"/>
      <c r="U294" s="85"/>
      <c r="V294" s="85"/>
      <c r="W294" s="85"/>
      <c r="X294" s="85"/>
      <c r="Y294" s="85"/>
      <c r="Z294" s="185" t="str">
        <f aca="false">IF(AND(G294&lt;&gt;"",R294&lt;&gt;"",V294&lt;&gt;"",W294&lt;&gt;""),"COMPLETADO","OBSERVADO")</f>
        <v>OBSERVADO</v>
      </c>
    </row>
    <row r="295" customFormat="false" ht="15" hidden="false" customHeight="true" outlineLevel="0" collapsed="false">
      <c r="A295" s="140"/>
      <c r="B295" s="140"/>
      <c r="C295" s="140"/>
      <c r="D295" s="140"/>
      <c r="E295" s="140"/>
      <c r="F295" s="140"/>
      <c r="G295" s="140"/>
      <c r="H295" s="140"/>
      <c r="I295" s="138" t="str">
        <f aca="false">IFERROR(VLOOKUP(TEXT(H295,"0"),IPRESS!$A$3:$B$212,2,0),"")</f>
        <v/>
      </c>
      <c r="J295" s="140"/>
      <c r="K295" s="138" t="str">
        <f aca="false">IFERROR(VLOOKUP(TEXT(O295,"0"),CONDUCTORES!$A$3:$G$54,7,0),"")</f>
        <v/>
      </c>
      <c r="L295" s="140"/>
      <c r="M295" s="140"/>
      <c r="N295" s="139" t="str">
        <f aca="false">IFERROR(IF(L295*M295=0,"",L295*M295),"")</f>
        <v/>
      </c>
      <c r="O295" s="140"/>
      <c r="P295" s="138" t="str">
        <f aca="false">IFERROR(VLOOKUP(TEXT(O295,"0"),CONDUCTORES!$A$3:$G$54,2,0),"")</f>
        <v/>
      </c>
      <c r="Q295" s="138" t="str">
        <f aca="false">IFERROR(VLOOKUP(TEXT(O295,"0"),CONDUCTORES!$A$3:$H$54,6,0),"")</f>
        <v/>
      </c>
      <c r="R295" s="140"/>
      <c r="S295" s="140"/>
      <c r="T295" s="140"/>
      <c r="U295" s="140"/>
      <c r="V295" s="140"/>
      <c r="W295" s="140"/>
      <c r="X295" s="140"/>
      <c r="Y295" s="140"/>
      <c r="Z295" s="185" t="str">
        <f aca="false">IF(AND(G295&lt;&gt;"",R295&lt;&gt;"",V295&lt;&gt;"",W295&lt;&gt;""),"COMPLETADO","OBSERVADO")</f>
        <v>OBSERVADO</v>
      </c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138" t="str">
        <f aca="false">IFERROR(VLOOKUP(TEXT(H296,"0"),IPRESS!$A$3:$B$212,2,0),"")</f>
        <v/>
      </c>
      <c r="J296" s="85"/>
      <c r="K296" s="138" t="str">
        <f aca="false">IFERROR(VLOOKUP(TEXT(O296,"0"),CONDUCTORES!$A$3:$G$54,7,0),"")</f>
        <v/>
      </c>
      <c r="L296" s="85"/>
      <c r="M296" s="85"/>
      <c r="N296" s="139" t="str">
        <f aca="false">IFERROR(IF(L296*M296=0,"",L296*M296),"")</f>
        <v/>
      </c>
      <c r="O296" s="85"/>
      <c r="P296" s="138" t="str">
        <f aca="false">IFERROR(VLOOKUP(TEXT(O296,"0"),CONDUCTORES!$A$3:$G$54,2,0),"")</f>
        <v/>
      </c>
      <c r="Q296" s="138" t="str">
        <f aca="false">IFERROR(VLOOKUP(TEXT(O296,"0"),CONDUCTORES!$A$3:$H$54,6,0),"")</f>
        <v/>
      </c>
      <c r="R296" s="85"/>
      <c r="S296" s="85"/>
      <c r="T296" s="85"/>
      <c r="U296" s="85"/>
      <c r="V296" s="85"/>
      <c r="W296" s="85"/>
      <c r="X296" s="85"/>
      <c r="Y296" s="85"/>
      <c r="Z296" s="185" t="str">
        <f aca="false">IF(AND(G296&lt;&gt;"",R296&lt;&gt;"",V296&lt;&gt;"",W296&lt;&gt;""),"COMPLETADO","OBSERVADO")</f>
        <v>OBSERVADO</v>
      </c>
    </row>
    <row r="297" customFormat="false" ht="15" hidden="false" customHeight="true" outlineLevel="0" collapsed="false">
      <c r="A297" s="140"/>
      <c r="B297" s="140"/>
      <c r="C297" s="140"/>
      <c r="D297" s="140"/>
      <c r="E297" s="140"/>
      <c r="F297" s="140"/>
      <c r="G297" s="140"/>
      <c r="H297" s="140"/>
      <c r="I297" s="138" t="str">
        <f aca="false">IFERROR(VLOOKUP(TEXT(H297,"0"),IPRESS!$A$3:$B$212,2,0),"")</f>
        <v/>
      </c>
      <c r="J297" s="140"/>
      <c r="K297" s="138" t="str">
        <f aca="false">IFERROR(VLOOKUP(TEXT(O297,"0"),CONDUCTORES!$A$3:$G$54,7,0),"")</f>
        <v/>
      </c>
      <c r="L297" s="140"/>
      <c r="M297" s="140"/>
      <c r="N297" s="139" t="str">
        <f aca="false">IFERROR(IF(L297*M297=0,"",L297*M297),"")</f>
        <v/>
      </c>
      <c r="O297" s="140"/>
      <c r="P297" s="138" t="str">
        <f aca="false">IFERROR(VLOOKUP(TEXT(O297,"0"),CONDUCTORES!$A$3:$G$54,2,0),"")</f>
        <v/>
      </c>
      <c r="Q297" s="138" t="str">
        <f aca="false">IFERROR(VLOOKUP(TEXT(O297,"0"),CONDUCTORES!$A$3:$H$54,6,0),"")</f>
        <v/>
      </c>
      <c r="R297" s="140"/>
      <c r="S297" s="140"/>
      <c r="T297" s="140"/>
      <c r="U297" s="140"/>
      <c r="V297" s="140"/>
      <c r="W297" s="140"/>
      <c r="X297" s="140"/>
      <c r="Y297" s="140"/>
      <c r="Z297" s="185" t="str">
        <f aca="false">IF(AND(G297&lt;&gt;"",R297&lt;&gt;"",V297&lt;&gt;"",W297&lt;&gt;""),"COMPLETADO","OBSERVADO")</f>
        <v>OBSERVADO</v>
      </c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138" t="str">
        <f aca="false">IFERROR(VLOOKUP(TEXT(H298,"0"),IPRESS!$A$3:$B$212,2,0),"")</f>
        <v/>
      </c>
      <c r="J298" s="85"/>
      <c r="K298" s="138" t="str">
        <f aca="false">IFERROR(VLOOKUP(TEXT(O298,"0"),CONDUCTORES!$A$3:$G$54,7,0),"")</f>
        <v/>
      </c>
      <c r="L298" s="85"/>
      <c r="M298" s="85"/>
      <c r="N298" s="139" t="str">
        <f aca="false">IFERROR(IF(L298*M298=0,"",L298*M298),"")</f>
        <v/>
      </c>
      <c r="O298" s="85"/>
      <c r="P298" s="138" t="str">
        <f aca="false">IFERROR(VLOOKUP(TEXT(O298,"0"),CONDUCTORES!$A$3:$G$54,2,0),"")</f>
        <v/>
      </c>
      <c r="Q298" s="138" t="str">
        <f aca="false">IFERROR(VLOOKUP(TEXT(O298,"0"),CONDUCTORES!$A$3:$H$54,6,0),"")</f>
        <v/>
      </c>
      <c r="R298" s="85"/>
      <c r="S298" s="85"/>
      <c r="T298" s="85"/>
      <c r="U298" s="85"/>
      <c r="V298" s="85"/>
      <c r="W298" s="85"/>
      <c r="X298" s="85"/>
      <c r="Y298" s="85"/>
      <c r="Z298" s="185" t="str">
        <f aca="false">IF(AND(G298&lt;&gt;"",R298&lt;&gt;"",V298&lt;&gt;"",W298&lt;&gt;""),"COMPLETADO","OBSERVADO")</f>
        <v>OBSERVADO</v>
      </c>
    </row>
    <row r="299" customFormat="false" ht="15" hidden="false" customHeight="true" outlineLevel="0" collapsed="false">
      <c r="A299" s="140"/>
      <c r="B299" s="140"/>
      <c r="C299" s="140"/>
      <c r="D299" s="140"/>
      <c r="E299" s="140"/>
      <c r="F299" s="140"/>
      <c r="G299" s="140"/>
      <c r="H299" s="140"/>
      <c r="I299" s="138" t="str">
        <f aca="false">IFERROR(VLOOKUP(TEXT(H299,"0"),IPRESS!$A$3:$B$212,2,0),"")</f>
        <v/>
      </c>
      <c r="J299" s="140"/>
      <c r="K299" s="138" t="str">
        <f aca="false">IFERROR(VLOOKUP(TEXT(O299,"0"),CONDUCTORES!$A$3:$G$54,7,0),"")</f>
        <v/>
      </c>
      <c r="L299" s="140"/>
      <c r="M299" s="140"/>
      <c r="N299" s="139" t="str">
        <f aca="false">IFERROR(IF(L299*M299=0,"",L299*M299),"")</f>
        <v/>
      </c>
      <c r="O299" s="140"/>
      <c r="P299" s="138" t="str">
        <f aca="false">IFERROR(VLOOKUP(TEXT(O299,"0"),CONDUCTORES!$A$3:$G$54,2,0),"")</f>
        <v/>
      </c>
      <c r="Q299" s="138" t="str">
        <f aca="false">IFERROR(VLOOKUP(TEXT(O299,"0"),CONDUCTORES!$A$3:$H$54,6,0),"")</f>
        <v/>
      </c>
      <c r="R299" s="140"/>
      <c r="S299" s="140"/>
      <c r="T299" s="140"/>
      <c r="U299" s="140"/>
      <c r="V299" s="140"/>
      <c r="W299" s="140"/>
      <c r="X299" s="140"/>
      <c r="Y299" s="140"/>
      <c r="Z299" s="185" t="str">
        <f aca="false">IF(AND(G299&lt;&gt;"",R299&lt;&gt;"",V299&lt;&gt;"",W299&lt;&gt;""),"COMPLETADO","OBSERVADO")</f>
        <v>OBSERVADO</v>
      </c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138" t="str">
        <f aca="false">IFERROR(VLOOKUP(TEXT(H300,"0"),IPRESS!$A$3:$B$212,2,0),"")</f>
        <v/>
      </c>
      <c r="J300" s="85"/>
      <c r="K300" s="138" t="str">
        <f aca="false">IFERROR(VLOOKUP(TEXT(O300,"0"),CONDUCTORES!$A$3:$G$54,7,0),"")</f>
        <v/>
      </c>
      <c r="L300" s="85"/>
      <c r="M300" s="85"/>
      <c r="N300" s="139" t="str">
        <f aca="false">IFERROR(IF(L300*M300=0,"",L300*M300),"")</f>
        <v/>
      </c>
      <c r="O300" s="85"/>
      <c r="P300" s="138" t="str">
        <f aca="false">IFERROR(VLOOKUP(TEXT(O300,"0"),CONDUCTORES!$A$3:$G$54,2,0),"")</f>
        <v/>
      </c>
      <c r="Q300" s="138" t="str">
        <f aca="false">IFERROR(VLOOKUP(TEXT(O300,"0"),CONDUCTORES!$A$3:$H$54,6,0),"")</f>
        <v/>
      </c>
      <c r="R300" s="85"/>
      <c r="S300" s="85"/>
      <c r="T300" s="85"/>
      <c r="U300" s="85"/>
      <c r="V300" s="85"/>
      <c r="W300" s="85"/>
      <c r="X300" s="85"/>
      <c r="Y300" s="85"/>
      <c r="Z300" s="185" t="str">
        <f aca="false">IF(AND(G300&lt;&gt;"",R300&lt;&gt;"",V300&lt;&gt;"",W300&lt;&gt;""),"COMPLETADO","OBSERVADO")</f>
        <v>OBSERVADO</v>
      </c>
    </row>
    <row r="301" customFormat="false" ht="15" hidden="false" customHeight="true" outlineLevel="0" collapsed="false">
      <c r="A301" s="140"/>
      <c r="B301" s="140"/>
      <c r="C301" s="140"/>
      <c r="D301" s="140"/>
      <c r="E301" s="140"/>
      <c r="F301" s="140"/>
      <c r="G301" s="140"/>
      <c r="H301" s="140"/>
      <c r="I301" s="138" t="str">
        <f aca="false">IFERROR(VLOOKUP(TEXT(H301,"0"),IPRESS!$A$3:$B$212,2,0),"")</f>
        <v/>
      </c>
      <c r="J301" s="140"/>
      <c r="K301" s="138" t="str">
        <f aca="false">IFERROR(VLOOKUP(TEXT(O301,"0"),CONDUCTORES!$A$3:$G$54,7,0),"")</f>
        <v/>
      </c>
      <c r="L301" s="140"/>
      <c r="M301" s="140"/>
      <c r="N301" s="139" t="str">
        <f aca="false">IFERROR(IF(L301*M301=0,"",L301*M301),"")</f>
        <v/>
      </c>
      <c r="O301" s="140"/>
      <c r="P301" s="138" t="str">
        <f aca="false">IFERROR(VLOOKUP(TEXT(O301,"0"),CONDUCTORES!$A$3:$G$54,2,0),"")</f>
        <v/>
      </c>
      <c r="Q301" s="138" t="str">
        <f aca="false">IFERROR(VLOOKUP(TEXT(O301,"0"),CONDUCTORES!$A$3:$H$54,6,0),"")</f>
        <v/>
      </c>
      <c r="R301" s="140"/>
      <c r="S301" s="140"/>
      <c r="T301" s="140"/>
      <c r="U301" s="140"/>
      <c r="V301" s="140"/>
      <c r="W301" s="140"/>
      <c r="X301" s="140"/>
      <c r="Y301" s="140"/>
      <c r="Z301" s="185" t="str">
        <f aca="false">IF(AND(G301&lt;&gt;"",R301&lt;&gt;"",V301&lt;&gt;"",W301&lt;&gt;""),"COMPLETADO","OBSERVADO")</f>
        <v>OBSERVADO</v>
      </c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138" t="str">
        <f aca="false">IFERROR(VLOOKUP(TEXT(H302,"0"),IPRESS!$A$3:$B$212,2,0),"")</f>
        <v/>
      </c>
      <c r="J302" s="85"/>
      <c r="K302" s="138" t="str">
        <f aca="false">IFERROR(VLOOKUP(TEXT(O302,"0"),CONDUCTORES!$A$3:$G$54,7,0),"")</f>
        <v/>
      </c>
      <c r="L302" s="85"/>
      <c r="M302" s="85"/>
      <c r="N302" s="139" t="str">
        <f aca="false">IFERROR(IF(L302*M302=0,"",L302*M302),"")</f>
        <v/>
      </c>
      <c r="O302" s="85"/>
      <c r="P302" s="138" t="str">
        <f aca="false">IFERROR(VLOOKUP(TEXT(O302,"0"),CONDUCTORES!$A$3:$G$54,2,0),"")</f>
        <v/>
      </c>
      <c r="Q302" s="138" t="str">
        <f aca="false">IFERROR(VLOOKUP(TEXT(O302,"0"),CONDUCTORES!$A$3:$H$54,6,0),"")</f>
        <v/>
      </c>
      <c r="R302" s="85"/>
      <c r="S302" s="85"/>
      <c r="T302" s="85"/>
      <c r="U302" s="85"/>
      <c r="V302" s="85"/>
      <c r="W302" s="85"/>
      <c r="X302" s="85"/>
      <c r="Y302" s="85"/>
      <c r="Z302" s="185" t="str">
        <f aca="false">IF(AND(G302&lt;&gt;"",R302&lt;&gt;"",V302&lt;&gt;"",W302&lt;&gt;""),"COMPLETADO","OBSERVADO")</f>
        <v>OBSERVADO</v>
      </c>
    </row>
    <row r="303" customFormat="false" ht="15" hidden="false" customHeight="true" outlineLevel="0" collapsed="false">
      <c r="A303" s="140"/>
      <c r="B303" s="140"/>
      <c r="C303" s="140"/>
      <c r="D303" s="140"/>
      <c r="E303" s="140"/>
      <c r="F303" s="140"/>
      <c r="G303" s="140"/>
      <c r="H303" s="140"/>
      <c r="I303" s="138" t="str">
        <f aca="false">IFERROR(VLOOKUP(TEXT(H303,"0"),IPRESS!$A$3:$B$212,2,0),"")</f>
        <v/>
      </c>
      <c r="J303" s="140"/>
      <c r="K303" s="138" t="str">
        <f aca="false">IFERROR(VLOOKUP(TEXT(O303,"0"),CONDUCTORES!$A$3:$G$54,7,0),"")</f>
        <v/>
      </c>
      <c r="L303" s="140"/>
      <c r="M303" s="140"/>
      <c r="N303" s="139" t="str">
        <f aca="false">IFERROR(IF(L303*M303=0,"",L303*M303),"")</f>
        <v/>
      </c>
      <c r="O303" s="140"/>
      <c r="P303" s="138" t="str">
        <f aca="false">IFERROR(VLOOKUP(TEXT(O303,"0"),CONDUCTORES!$A$3:$G$54,2,0),"")</f>
        <v/>
      </c>
      <c r="Q303" s="138" t="str">
        <f aca="false">IFERROR(VLOOKUP(TEXT(O303,"0"),CONDUCTORES!$A$3:$H$54,6,0),"")</f>
        <v/>
      </c>
      <c r="R303" s="140"/>
      <c r="S303" s="140"/>
      <c r="T303" s="140"/>
      <c r="U303" s="140"/>
      <c r="V303" s="140"/>
      <c r="W303" s="140"/>
      <c r="X303" s="140"/>
      <c r="Y303" s="140"/>
      <c r="Z303" s="185" t="str">
        <f aca="false">IF(AND(G303&lt;&gt;"",R303&lt;&gt;"",V303&lt;&gt;"",W303&lt;&gt;""),"COMPLETADO","OBSERVADO")</f>
        <v>OBSERVADO</v>
      </c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138" t="str">
        <f aca="false">IFERROR(VLOOKUP(TEXT(H304,"0"),IPRESS!$A$3:$B$212,2,0),"")</f>
        <v/>
      </c>
      <c r="J304" s="85"/>
      <c r="K304" s="138" t="str">
        <f aca="false">IFERROR(VLOOKUP(TEXT(O304,"0"),CONDUCTORES!$A$3:$G$54,7,0),"")</f>
        <v/>
      </c>
      <c r="L304" s="85"/>
      <c r="M304" s="85"/>
      <c r="N304" s="139" t="str">
        <f aca="false">IFERROR(IF(L304*M304=0,"",L304*M304),"")</f>
        <v/>
      </c>
      <c r="O304" s="85"/>
      <c r="P304" s="138" t="str">
        <f aca="false">IFERROR(VLOOKUP(TEXT(O304,"0"),CONDUCTORES!$A$3:$G$54,2,0),"")</f>
        <v/>
      </c>
      <c r="Q304" s="138" t="str">
        <f aca="false">IFERROR(VLOOKUP(TEXT(O304,"0"),CONDUCTORES!$A$3:$H$54,6,0),"")</f>
        <v/>
      </c>
      <c r="R304" s="85"/>
      <c r="S304" s="85"/>
      <c r="T304" s="85"/>
      <c r="U304" s="85"/>
      <c r="V304" s="85"/>
      <c r="W304" s="85"/>
      <c r="X304" s="85"/>
      <c r="Y304" s="85"/>
      <c r="Z304" s="185" t="str">
        <f aca="false">IF(AND(G304&lt;&gt;"",R304&lt;&gt;"",V304&lt;&gt;"",W304&lt;&gt;""),"COMPLETADO","OBSERVADO")</f>
        <v>OBSERVADO</v>
      </c>
    </row>
    <row r="305" customFormat="false" ht="15" hidden="false" customHeight="true" outlineLevel="0" collapsed="false">
      <c r="A305" s="140"/>
      <c r="B305" s="140"/>
      <c r="C305" s="140"/>
      <c r="D305" s="140"/>
      <c r="E305" s="140"/>
      <c r="F305" s="140"/>
      <c r="G305" s="140"/>
      <c r="H305" s="140"/>
      <c r="I305" s="138" t="str">
        <f aca="false">IFERROR(VLOOKUP(TEXT(H305,"0"),IPRESS!$A$3:$B$212,2,0),"")</f>
        <v/>
      </c>
      <c r="J305" s="140"/>
      <c r="K305" s="138" t="str">
        <f aca="false">IFERROR(VLOOKUP(TEXT(O305,"0"),CONDUCTORES!$A$3:$G$54,7,0),"")</f>
        <v/>
      </c>
      <c r="L305" s="140"/>
      <c r="M305" s="140"/>
      <c r="N305" s="139" t="str">
        <f aca="false">IFERROR(IF(L305*M305=0,"",L305*M305),"")</f>
        <v/>
      </c>
      <c r="O305" s="140"/>
      <c r="P305" s="138" t="str">
        <f aca="false">IFERROR(VLOOKUP(TEXT(O305,"0"),CONDUCTORES!$A$3:$G$54,2,0),"")</f>
        <v/>
      </c>
      <c r="Q305" s="138" t="str">
        <f aca="false">IFERROR(VLOOKUP(TEXT(O305,"0"),CONDUCTORES!$A$3:$H$54,6,0),"")</f>
        <v/>
      </c>
      <c r="R305" s="140"/>
      <c r="S305" s="140"/>
      <c r="T305" s="140"/>
      <c r="U305" s="140"/>
      <c r="V305" s="140"/>
      <c r="W305" s="140"/>
      <c r="X305" s="140"/>
      <c r="Y305" s="140"/>
      <c r="Z305" s="185" t="str">
        <f aca="false">IF(AND(G305&lt;&gt;"",R305&lt;&gt;"",V305&lt;&gt;"",W305&lt;&gt;""),"COMPLETADO","OBSERVADO")</f>
        <v>OBSERVADO</v>
      </c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138" t="str">
        <f aca="false">IFERROR(VLOOKUP(TEXT(H306,"0"),IPRESS!$A$3:$B$212,2,0),"")</f>
        <v/>
      </c>
      <c r="J306" s="85"/>
      <c r="K306" s="138" t="str">
        <f aca="false">IFERROR(VLOOKUP(TEXT(O306,"0"),CONDUCTORES!$A$3:$G$54,7,0),"")</f>
        <v/>
      </c>
      <c r="L306" s="85"/>
      <c r="M306" s="85"/>
      <c r="N306" s="139" t="str">
        <f aca="false">IFERROR(IF(L306*M306=0,"",L306*M306),"")</f>
        <v/>
      </c>
      <c r="O306" s="85"/>
      <c r="P306" s="138" t="str">
        <f aca="false">IFERROR(VLOOKUP(TEXT(O306,"0"),CONDUCTORES!$A$3:$G$54,2,0),"")</f>
        <v/>
      </c>
      <c r="Q306" s="138" t="str">
        <f aca="false">IFERROR(VLOOKUP(TEXT(O306,"0"),CONDUCTORES!$A$3:$H$54,6,0),"")</f>
        <v/>
      </c>
      <c r="R306" s="85"/>
      <c r="S306" s="85"/>
      <c r="T306" s="85"/>
      <c r="U306" s="85"/>
      <c r="V306" s="85"/>
      <c r="W306" s="85"/>
      <c r="X306" s="85"/>
      <c r="Y306" s="85"/>
      <c r="Z306" s="185" t="str">
        <f aca="false">IF(AND(G306&lt;&gt;"",R306&lt;&gt;"",V306&lt;&gt;"",W306&lt;&gt;""),"COMPLETADO","OBSERVADO")</f>
        <v>OBSERVADO</v>
      </c>
    </row>
    <row r="307" customFormat="false" ht="15" hidden="false" customHeight="true" outlineLevel="0" collapsed="false">
      <c r="A307" s="140"/>
      <c r="B307" s="140"/>
      <c r="C307" s="140"/>
      <c r="D307" s="140"/>
      <c r="E307" s="140"/>
      <c r="F307" s="140"/>
      <c r="G307" s="140"/>
      <c r="H307" s="140"/>
      <c r="I307" s="138" t="str">
        <f aca="false">IFERROR(VLOOKUP(TEXT(H307,"0"),IPRESS!$A$3:$B$212,2,0),"")</f>
        <v/>
      </c>
      <c r="J307" s="140"/>
      <c r="K307" s="138" t="str">
        <f aca="false">IFERROR(VLOOKUP(TEXT(O307,"0"),CONDUCTORES!$A$3:$G$54,7,0),"")</f>
        <v/>
      </c>
      <c r="L307" s="140"/>
      <c r="M307" s="140"/>
      <c r="N307" s="139" t="str">
        <f aca="false">IFERROR(IF(L307*M307=0,"",L307*M307),"")</f>
        <v/>
      </c>
      <c r="O307" s="140"/>
      <c r="P307" s="138" t="str">
        <f aca="false">IFERROR(VLOOKUP(TEXT(O307,"0"),CONDUCTORES!$A$3:$G$54,2,0),"")</f>
        <v/>
      </c>
      <c r="Q307" s="138" t="str">
        <f aca="false">IFERROR(VLOOKUP(TEXT(O307,"0"),CONDUCTORES!$A$3:$H$54,6,0),"")</f>
        <v/>
      </c>
      <c r="R307" s="140"/>
      <c r="S307" s="140"/>
      <c r="T307" s="140"/>
      <c r="U307" s="140"/>
      <c r="V307" s="140"/>
      <c r="W307" s="140"/>
      <c r="X307" s="140"/>
      <c r="Y307" s="140"/>
      <c r="Z307" s="185" t="str">
        <f aca="false">IF(AND(G307&lt;&gt;"",R307&lt;&gt;"",V307&lt;&gt;"",W307&lt;&gt;""),"COMPLETADO","OBSERVADO")</f>
        <v>OBSERVADO</v>
      </c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138" t="str">
        <f aca="false">IFERROR(VLOOKUP(TEXT(H308,"0"),IPRESS!$A$3:$B$212,2,0),"")</f>
        <v/>
      </c>
      <c r="J308" s="85"/>
      <c r="K308" s="138" t="str">
        <f aca="false">IFERROR(VLOOKUP(TEXT(O308,"0"),CONDUCTORES!$A$3:$G$54,7,0),"")</f>
        <v/>
      </c>
      <c r="L308" s="85"/>
      <c r="M308" s="85"/>
      <c r="N308" s="139" t="str">
        <f aca="false">IFERROR(IF(L308*M308=0,"",L308*M308),"")</f>
        <v/>
      </c>
      <c r="O308" s="85"/>
      <c r="P308" s="138" t="str">
        <f aca="false">IFERROR(VLOOKUP(TEXT(O308,"0"),CONDUCTORES!$A$3:$G$54,2,0),"")</f>
        <v/>
      </c>
      <c r="Q308" s="138" t="str">
        <f aca="false">IFERROR(VLOOKUP(TEXT(O308,"0"),CONDUCTORES!$A$3:$H$54,6,0),"")</f>
        <v/>
      </c>
      <c r="R308" s="85"/>
      <c r="S308" s="85"/>
      <c r="T308" s="85"/>
      <c r="U308" s="85"/>
      <c r="V308" s="85"/>
      <c r="W308" s="85"/>
      <c r="X308" s="85"/>
      <c r="Y308" s="85"/>
      <c r="Z308" s="185" t="str">
        <f aca="false">IF(AND(G308&lt;&gt;"",R308&lt;&gt;"",V308&lt;&gt;"",W308&lt;&gt;""),"COMPLETADO","OBSERVADO")</f>
        <v>OBSERVADO</v>
      </c>
    </row>
    <row r="309" customFormat="false" ht="15" hidden="false" customHeight="true" outlineLevel="0" collapsed="false">
      <c r="A309" s="140"/>
      <c r="B309" s="140"/>
      <c r="C309" s="140"/>
      <c r="D309" s="140"/>
      <c r="E309" s="140"/>
      <c r="F309" s="140"/>
      <c r="G309" s="140"/>
      <c r="H309" s="140"/>
      <c r="I309" s="138" t="str">
        <f aca="false">IFERROR(VLOOKUP(TEXT(H309,"0"),IPRESS!$A$3:$B$212,2,0),"")</f>
        <v/>
      </c>
      <c r="J309" s="140"/>
      <c r="K309" s="138" t="str">
        <f aca="false">IFERROR(VLOOKUP(TEXT(O309,"0"),CONDUCTORES!$A$3:$G$54,7,0),"")</f>
        <v/>
      </c>
      <c r="L309" s="140"/>
      <c r="M309" s="140"/>
      <c r="N309" s="139" t="str">
        <f aca="false">IFERROR(IF(L309*M309=0,"",L309*M309),"")</f>
        <v/>
      </c>
      <c r="O309" s="140"/>
      <c r="P309" s="138" t="str">
        <f aca="false">IFERROR(VLOOKUP(TEXT(O309,"0"),CONDUCTORES!$A$3:$G$54,2,0),"")</f>
        <v/>
      </c>
      <c r="Q309" s="138" t="str">
        <f aca="false">IFERROR(VLOOKUP(TEXT(O309,"0"),CONDUCTORES!$A$3:$H$54,6,0),"")</f>
        <v/>
      </c>
      <c r="R309" s="140"/>
      <c r="S309" s="140"/>
      <c r="T309" s="140"/>
      <c r="U309" s="140"/>
      <c r="V309" s="140"/>
      <c r="W309" s="140"/>
      <c r="X309" s="140"/>
      <c r="Y309" s="140"/>
      <c r="Z309" s="185" t="str">
        <f aca="false">IF(AND(G309&lt;&gt;"",R309&lt;&gt;"",V309&lt;&gt;"",W309&lt;&gt;""),"COMPLETADO","OBSERVADO")</f>
        <v>OBSERVADO</v>
      </c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138" t="str">
        <f aca="false">IFERROR(VLOOKUP(TEXT(H310,"0"),IPRESS!$A$3:$B$212,2,0),"")</f>
        <v/>
      </c>
      <c r="J310" s="85"/>
      <c r="K310" s="138" t="str">
        <f aca="false">IFERROR(VLOOKUP(TEXT(O310,"0"),CONDUCTORES!$A$3:$G$54,7,0),"")</f>
        <v/>
      </c>
      <c r="L310" s="85"/>
      <c r="M310" s="85"/>
      <c r="N310" s="139" t="str">
        <f aca="false">IFERROR(IF(L310*M310=0,"",L310*M310),"")</f>
        <v/>
      </c>
      <c r="O310" s="85"/>
      <c r="P310" s="138" t="str">
        <f aca="false">IFERROR(VLOOKUP(TEXT(O310,"0"),CONDUCTORES!$A$3:$G$54,2,0),"")</f>
        <v/>
      </c>
      <c r="Q310" s="138" t="str">
        <f aca="false">IFERROR(VLOOKUP(TEXT(O310,"0"),CONDUCTORES!$A$3:$H$54,6,0),"")</f>
        <v/>
      </c>
      <c r="R310" s="85"/>
      <c r="S310" s="85"/>
      <c r="T310" s="85"/>
      <c r="U310" s="85"/>
      <c r="V310" s="85"/>
      <c r="W310" s="85"/>
      <c r="X310" s="85"/>
      <c r="Y310" s="85"/>
      <c r="Z310" s="185" t="str">
        <f aca="false">IF(AND(G310&lt;&gt;"",R310&lt;&gt;"",V310&lt;&gt;"",W310&lt;&gt;""),"COMPLETADO","OBSERVADO")</f>
        <v>OBSERVADO</v>
      </c>
    </row>
    <row r="311" customFormat="false" ht="15" hidden="false" customHeight="true" outlineLevel="0" collapsed="false">
      <c r="A311" s="140"/>
      <c r="B311" s="140"/>
      <c r="C311" s="140"/>
      <c r="D311" s="140"/>
      <c r="E311" s="140"/>
      <c r="F311" s="140"/>
      <c r="G311" s="140"/>
      <c r="H311" s="140"/>
      <c r="I311" s="138" t="str">
        <f aca="false">IFERROR(VLOOKUP(TEXT(H311,"0"),IPRESS!$A$3:$B$212,2,0),"")</f>
        <v/>
      </c>
      <c r="J311" s="140"/>
      <c r="K311" s="138" t="str">
        <f aca="false">IFERROR(VLOOKUP(TEXT(O311,"0"),CONDUCTORES!$A$3:$G$54,7,0),"")</f>
        <v/>
      </c>
      <c r="L311" s="140"/>
      <c r="M311" s="140"/>
      <c r="N311" s="139" t="str">
        <f aca="false">IFERROR(IF(L311*M311=0,"",L311*M311),"")</f>
        <v/>
      </c>
      <c r="O311" s="140"/>
      <c r="P311" s="138" t="str">
        <f aca="false">IFERROR(VLOOKUP(TEXT(O311,"0"),CONDUCTORES!$A$3:$G$54,2,0),"")</f>
        <v/>
      </c>
      <c r="Q311" s="138" t="str">
        <f aca="false">IFERROR(VLOOKUP(TEXT(O311,"0"),CONDUCTORES!$A$3:$H$54,6,0),"")</f>
        <v/>
      </c>
      <c r="R311" s="140"/>
      <c r="S311" s="140"/>
      <c r="T311" s="140"/>
      <c r="U311" s="140"/>
      <c r="V311" s="140"/>
      <c r="W311" s="140"/>
      <c r="X311" s="140"/>
      <c r="Y311" s="140"/>
      <c r="Z311" s="185" t="str">
        <f aca="false">IF(AND(G311&lt;&gt;"",R311&lt;&gt;"",V311&lt;&gt;"",W311&lt;&gt;""),"COMPLETADO","OBSERVADO")</f>
        <v>OBSERVADO</v>
      </c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138" t="str">
        <f aca="false">IFERROR(VLOOKUP(TEXT(H312,"0"),IPRESS!$A$3:$B$212,2,0),"")</f>
        <v/>
      </c>
      <c r="J312" s="85"/>
      <c r="K312" s="138" t="str">
        <f aca="false">IFERROR(VLOOKUP(TEXT(O312,"0"),CONDUCTORES!$A$3:$G$54,7,0),"")</f>
        <v/>
      </c>
      <c r="L312" s="85"/>
      <c r="M312" s="85"/>
      <c r="N312" s="139" t="str">
        <f aca="false">IFERROR(IF(L312*M312=0,"",L312*M312),"")</f>
        <v/>
      </c>
      <c r="O312" s="85"/>
      <c r="P312" s="138" t="str">
        <f aca="false">IFERROR(VLOOKUP(TEXT(O312,"0"),CONDUCTORES!$A$3:$G$54,2,0),"")</f>
        <v/>
      </c>
      <c r="Q312" s="138" t="str">
        <f aca="false">IFERROR(VLOOKUP(TEXT(O312,"0"),CONDUCTORES!$A$3:$H$54,6,0),"")</f>
        <v/>
      </c>
      <c r="R312" s="85"/>
      <c r="S312" s="85"/>
      <c r="T312" s="85"/>
      <c r="U312" s="85"/>
      <c r="V312" s="85"/>
      <c r="W312" s="85"/>
      <c r="X312" s="85"/>
      <c r="Y312" s="85"/>
      <c r="Z312" s="185" t="str">
        <f aca="false">IF(AND(G312&lt;&gt;"",R312&lt;&gt;"",V312&lt;&gt;"",W312&lt;&gt;""),"COMPLETADO","OBSERVADO")</f>
        <v>OBSERVADO</v>
      </c>
    </row>
    <row r="313" customFormat="false" ht="15" hidden="false" customHeight="true" outlineLevel="0" collapsed="false">
      <c r="A313" s="140"/>
      <c r="B313" s="140"/>
      <c r="C313" s="140"/>
      <c r="D313" s="140"/>
      <c r="E313" s="140"/>
      <c r="F313" s="140"/>
      <c r="G313" s="140"/>
      <c r="H313" s="140"/>
      <c r="I313" s="138" t="str">
        <f aca="false">IFERROR(VLOOKUP(TEXT(H313,"0"),IPRESS!$A$3:$B$212,2,0),"")</f>
        <v/>
      </c>
      <c r="J313" s="140"/>
      <c r="K313" s="138" t="str">
        <f aca="false">IFERROR(VLOOKUP(TEXT(O313,"0"),CONDUCTORES!$A$3:$G$54,7,0),"")</f>
        <v/>
      </c>
      <c r="L313" s="140"/>
      <c r="M313" s="140"/>
      <c r="N313" s="139" t="str">
        <f aca="false">IFERROR(IF(L313*M313=0,"",L313*M313),"")</f>
        <v/>
      </c>
      <c r="O313" s="140"/>
      <c r="P313" s="138" t="str">
        <f aca="false">IFERROR(VLOOKUP(TEXT(O313,"0"),CONDUCTORES!$A$3:$G$54,2,0),"")</f>
        <v/>
      </c>
      <c r="Q313" s="138" t="str">
        <f aca="false">IFERROR(VLOOKUP(TEXT(O313,"0"),CONDUCTORES!$A$3:$H$54,6,0),"")</f>
        <v/>
      </c>
      <c r="R313" s="140"/>
      <c r="S313" s="140"/>
      <c r="T313" s="140"/>
      <c r="U313" s="140"/>
      <c r="V313" s="140"/>
      <c r="W313" s="140"/>
      <c r="X313" s="140"/>
      <c r="Y313" s="140"/>
      <c r="Z313" s="185" t="str">
        <f aca="false">IF(AND(G313&lt;&gt;"",R313&lt;&gt;"",V313&lt;&gt;"",W313&lt;&gt;""),"COMPLETADO","OBSERVADO")</f>
        <v>OBSERVADO</v>
      </c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138" t="str">
        <f aca="false">IFERROR(VLOOKUP(TEXT(H314,"0"),IPRESS!$A$3:$B$212,2,0),"")</f>
        <v/>
      </c>
      <c r="J314" s="85"/>
      <c r="K314" s="138" t="str">
        <f aca="false">IFERROR(VLOOKUP(TEXT(O314,"0"),CONDUCTORES!$A$3:$G$54,7,0),"")</f>
        <v/>
      </c>
      <c r="L314" s="85"/>
      <c r="M314" s="85"/>
      <c r="N314" s="139" t="str">
        <f aca="false">IFERROR(IF(L314*M314=0,"",L314*M314),"")</f>
        <v/>
      </c>
      <c r="O314" s="85"/>
      <c r="P314" s="138" t="str">
        <f aca="false">IFERROR(VLOOKUP(TEXT(O314,"0"),CONDUCTORES!$A$3:$G$54,2,0),"")</f>
        <v/>
      </c>
      <c r="Q314" s="138" t="str">
        <f aca="false">IFERROR(VLOOKUP(TEXT(O314,"0"),CONDUCTORES!$A$3:$H$54,6,0),"")</f>
        <v/>
      </c>
      <c r="R314" s="85"/>
      <c r="S314" s="85"/>
      <c r="T314" s="85"/>
      <c r="U314" s="85"/>
      <c r="V314" s="85"/>
      <c r="W314" s="85"/>
      <c r="X314" s="85"/>
      <c r="Y314" s="85"/>
      <c r="Z314" s="185" t="str">
        <f aca="false">IF(AND(G314&lt;&gt;"",R314&lt;&gt;"",V314&lt;&gt;"",W314&lt;&gt;""),"COMPLETADO","OBSERVADO")</f>
        <v>OBSERVADO</v>
      </c>
    </row>
    <row r="315" customFormat="false" ht="15" hidden="false" customHeight="true" outlineLevel="0" collapsed="false">
      <c r="A315" s="140"/>
      <c r="B315" s="140"/>
      <c r="C315" s="140"/>
      <c r="D315" s="140"/>
      <c r="E315" s="140"/>
      <c r="F315" s="140"/>
      <c r="G315" s="140"/>
      <c r="H315" s="140"/>
      <c r="I315" s="138" t="str">
        <f aca="false">IFERROR(VLOOKUP(TEXT(H315,"0"),IPRESS!$A$3:$B$212,2,0),"")</f>
        <v/>
      </c>
      <c r="J315" s="140"/>
      <c r="K315" s="138" t="str">
        <f aca="false">IFERROR(VLOOKUP(TEXT(O315,"0"),CONDUCTORES!$A$3:$G$54,7,0),"")</f>
        <v/>
      </c>
      <c r="L315" s="140"/>
      <c r="M315" s="140"/>
      <c r="N315" s="139" t="str">
        <f aca="false">IFERROR(IF(L315*M315=0,"",L315*M315),"")</f>
        <v/>
      </c>
      <c r="O315" s="140"/>
      <c r="P315" s="138" t="str">
        <f aca="false">IFERROR(VLOOKUP(TEXT(O315,"0"),CONDUCTORES!$A$3:$G$54,2,0),"")</f>
        <v/>
      </c>
      <c r="Q315" s="138" t="str">
        <f aca="false">IFERROR(VLOOKUP(TEXT(O315,"0"),CONDUCTORES!$A$3:$H$54,6,0),"")</f>
        <v/>
      </c>
      <c r="R315" s="140"/>
      <c r="S315" s="140"/>
      <c r="T315" s="140"/>
      <c r="U315" s="140"/>
      <c r="V315" s="140"/>
      <c r="W315" s="140"/>
      <c r="X315" s="140"/>
      <c r="Y315" s="140"/>
      <c r="Z315" s="185" t="str">
        <f aca="false">IF(AND(G315&lt;&gt;"",R315&lt;&gt;"",V315&lt;&gt;"",W315&lt;&gt;""),"COMPLETADO","OBSERVADO")</f>
        <v>OBSERVADO</v>
      </c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138" t="str">
        <f aca="false">IFERROR(VLOOKUP(TEXT(H316,"0"),IPRESS!$A$3:$B$212,2,0),"")</f>
        <v/>
      </c>
      <c r="J316" s="85"/>
      <c r="K316" s="138" t="str">
        <f aca="false">IFERROR(VLOOKUP(TEXT(O316,"0"),CONDUCTORES!$A$3:$G$54,7,0),"")</f>
        <v/>
      </c>
      <c r="L316" s="85"/>
      <c r="M316" s="85"/>
      <c r="N316" s="139" t="str">
        <f aca="false">IFERROR(IF(L316*M316=0,"",L316*M316),"")</f>
        <v/>
      </c>
      <c r="O316" s="85"/>
      <c r="P316" s="138" t="str">
        <f aca="false">IFERROR(VLOOKUP(TEXT(O316,"0"),CONDUCTORES!$A$3:$G$54,2,0),"")</f>
        <v/>
      </c>
      <c r="Q316" s="138" t="str">
        <f aca="false">IFERROR(VLOOKUP(TEXT(O316,"0"),CONDUCTORES!$A$3:$H$54,6,0),"")</f>
        <v/>
      </c>
      <c r="R316" s="85"/>
      <c r="S316" s="85"/>
      <c r="T316" s="85"/>
      <c r="U316" s="85"/>
      <c r="V316" s="85"/>
      <c r="W316" s="85"/>
      <c r="X316" s="85"/>
      <c r="Y316" s="85"/>
      <c r="Z316" s="185" t="str">
        <f aca="false">IF(AND(G316&lt;&gt;"",R316&lt;&gt;"",V316&lt;&gt;"",W316&lt;&gt;""),"COMPLETADO","OBSERVADO")</f>
        <v>OBSERVADO</v>
      </c>
    </row>
    <row r="317" customFormat="false" ht="15" hidden="false" customHeight="true" outlineLevel="0" collapsed="false">
      <c r="A317" s="140"/>
      <c r="B317" s="140"/>
      <c r="C317" s="140"/>
      <c r="D317" s="140"/>
      <c r="E317" s="140"/>
      <c r="F317" s="140"/>
      <c r="G317" s="140"/>
      <c r="H317" s="140"/>
      <c r="I317" s="138" t="str">
        <f aca="false">IFERROR(VLOOKUP(TEXT(H317,"0"),IPRESS!$A$3:$B$212,2,0),"")</f>
        <v/>
      </c>
      <c r="J317" s="140"/>
      <c r="K317" s="138" t="str">
        <f aca="false">IFERROR(VLOOKUP(TEXT(O317,"0"),CONDUCTORES!$A$3:$G$54,7,0),"")</f>
        <v/>
      </c>
      <c r="L317" s="140"/>
      <c r="M317" s="140"/>
      <c r="N317" s="139" t="str">
        <f aca="false">IFERROR(IF(L317*M317=0,"",L317*M317),"")</f>
        <v/>
      </c>
      <c r="O317" s="140"/>
      <c r="P317" s="138" t="str">
        <f aca="false">IFERROR(VLOOKUP(TEXT(O317,"0"),CONDUCTORES!$A$3:$G$54,2,0),"")</f>
        <v/>
      </c>
      <c r="Q317" s="138" t="str">
        <f aca="false">IFERROR(VLOOKUP(TEXT(O317,"0"),CONDUCTORES!$A$3:$H$54,6,0),"")</f>
        <v/>
      </c>
      <c r="R317" s="140"/>
      <c r="S317" s="140"/>
      <c r="T317" s="140"/>
      <c r="U317" s="140"/>
      <c r="V317" s="140"/>
      <c r="W317" s="140"/>
      <c r="X317" s="140"/>
      <c r="Y317" s="140"/>
      <c r="Z317" s="185" t="str">
        <f aca="false">IF(AND(G317&lt;&gt;"",R317&lt;&gt;"",V317&lt;&gt;"",W317&lt;&gt;""),"COMPLETADO","OBSERVADO")</f>
        <v>OBSERVADO</v>
      </c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138" t="str">
        <f aca="false">IFERROR(VLOOKUP(TEXT(H318,"0"),IPRESS!$A$3:$B$212,2,0),"")</f>
        <v/>
      </c>
      <c r="J318" s="85"/>
      <c r="K318" s="138" t="str">
        <f aca="false">IFERROR(VLOOKUP(TEXT(O318,"0"),CONDUCTORES!$A$3:$G$54,7,0),"")</f>
        <v/>
      </c>
      <c r="L318" s="85"/>
      <c r="M318" s="85"/>
      <c r="N318" s="139" t="str">
        <f aca="false">IFERROR(IF(L318*M318=0,"",L318*M318),"")</f>
        <v/>
      </c>
      <c r="O318" s="85"/>
      <c r="P318" s="138" t="str">
        <f aca="false">IFERROR(VLOOKUP(TEXT(O318,"0"),CONDUCTORES!$A$3:$G$54,2,0),"")</f>
        <v/>
      </c>
      <c r="Q318" s="138" t="str">
        <f aca="false">IFERROR(VLOOKUP(TEXT(O318,"0"),CONDUCTORES!$A$3:$H$54,6,0),"")</f>
        <v/>
      </c>
      <c r="R318" s="85"/>
      <c r="S318" s="85"/>
      <c r="T318" s="85"/>
      <c r="U318" s="85"/>
      <c r="V318" s="85"/>
      <c r="W318" s="85"/>
      <c r="X318" s="85"/>
      <c r="Y318" s="85"/>
      <c r="Z318" s="185" t="str">
        <f aca="false">IF(AND(G318&lt;&gt;"",R318&lt;&gt;"",V318&lt;&gt;"",W318&lt;&gt;""),"COMPLETADO","OBSERVADO")</f>
        <v>OBSERVADO</v>
      </c>
    </row>
    <row r="319" customFormat="false" ht="15" hidden="false" customHeight="true" outlineLevel="0" collapsed="false">
      <c r="A319" s="140"/>
      <c r="B319" s="140"/>
      <c r="C319" s="140"/>
      <c r="D319" s="140"/>
      <c r="E319" s="140"/>
      <c r="F319" s="140"/>
      <c r="G319" s="140"/>
      <c r="H319" s="140"/>
      <c r="I319" s="138" t="str">
        <f aca="false">IFERROR(VLOOKUP(TEXT(H319,"0"),IPRESS!$A$3:$B$212,2,0),"")</f>
        <v/>
      </c>
      <c r="J319" s="140"/>
      <c r="K319" s="138" t="str">
        <f aca="false">IFERROR(VLOOKUP(TEXT(O319,"0"),CONDUCTORES!$A$3:$G$54,7,0),"")</f>
        <v/>
      </c>
      <c r="L319" s="140"/>
      <c r="M319" s="140"/>
      <c r="N319" s="139" t="str">
        <f aca="false">IFERROR(IF(L319*M319=0,"",L319*M319),"")</f>
        <v/>
      </c>
      <c r="O319" s="140"/>
      <c r="P319" s="138" t="str">
        <f aca="false">IFERROR(VLOOKUP(TEXT(O319,"0"),CONDUCTORES!$A$3:$G$54,2,0),"")</f>
        <v/>
      </c>
      <c r="Q319" s="138" t="str">
        <f aca="false">IFERROR(VLOOKUP(TEXT(O319,"0"),CONDUCTORES!$A$3:$H$54,6,0),"")</f>
        <v/>
      </c>
      <c r="R319" s="140"/>
      <c r="S319" s="140"/>
      <c r="T319" s="140"/>
      <c r="U319" s="140"/>
      <c r="V319" s="140"/>
      <c r="W319" s="140"/>
      <c r="X319" s="140"/>
      <c r="Y319" s="140"/>
      <c r="Z319" s="185" t="str">
        <f aca="false">IF(AND(G319&lt;&gt;"",R319&lt;&gt;"",V319&lt;&gt;"",W319&lt;&gt;""),"COMPLETADO","OBSERVADO")</f>
        <v>OBSERVADO</v>
      </c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138" t="str">
        <f aca="false">IFERROR(VLOOKUP(TEXT(H320,"0"),IPRESS!$A$3:$B$212,2,0),"")</f>
        <v/>
      </c>
      <c r="J320" s="85"/>
      <c r="K320" s="138" t="str">
        <f aca="false">IFERROR(VLOOKUP(TEXT(O320,"0"),CONDUCTORES!$A$3:$G$54,7,0),"")</f>
        <v/>
      </c>
      <c r="L320" s="85"/>
      <c r="M320" s="85"/>
      <c r="N320" s="139" t="str">
        <f aca="false">IFERROR(IF(L320*M320=0,"",L320*M320),"")</f>
        <v/>
      </c>
      <c r="O320" s="85"/>
      <c r="P320" s="138" t="str">
        <f aca="false">IFERROR(VLOOKUP(TEXT(O320,"0"),CONDUCTORES!$A$3:$G$54,2,0),"")</f>
        <v/>
      </c>
      <c r="Q320" s="138" t="str">
        <f aca="false">IFERROR(VLOOKUP(TEXT(O320,"0"),CONDUCTORES!$A$3:$H$54,6,0),"")</f>
        <v/>
      </c>
      <c r="R320" s="85"/>
      <c r="S320" s="85"/>
      <c r="T320" s="85"/>
      <c r="U320" s="85"/>
      <c r="V320" s="85"/>
      <c r="W320" s="85"/>
      <c r="X320" s="85"/>
      <c r="Y320" s="85"/>
      <c r="Z320" s="185" t="str">
        <f aca="false">IF(AND(G320&lt;&gt;"",R320&lt;&gt;"",V320&lt;&gt;"",W320&lt;&gt;""),"COMPLETADO","OBSERVADO")</f>
        <v>OBSERVADO</v>
      </c>
    </row>
    <row r="321" customFormat="false" ht="15" hidden="false" customHeight="true" outlineLevel="0" collapsed="false">
      <c r="A321" s="140"/>
      <c r="B321" s="140"/>
      <c r="C321" s="140"/>
      <c r="D321" s="140"/>
      <c r="E321" s="140"/>
      <c r="F321" s="140"/>
      <c r="G321" s="140"/>
      <c r="H321" s="140"/>
      <c r="I321" s="138" t="str">
        <f aca="false">IFERROR(VLOOKUP(TEXT(H321,"0"),IPRESS!$A$3:$B$212,2,0),"")</f>
        <v/>
      </c>
      <c r="J321" s="140"/>
      <c r="K321" s="138" t="str">
        <f aca="false">IFERROR(VLOOKUP(TEXT(O321,"0"),CONDUCTORES!$A$3:$G$54,7,0),"")</f>
        <v/>
      </c>
      <c r="L321" s="140"/>
      <c r="M321" s="140"/>
      <c r="N321" s="139" t="str">
        <f aca="false">IFERROR(IF(L321*M321=0,"",L321*M321),"")</f>
        <v/>
      </c>
      <c r="O321" s="140"/>
      <c r="P321" s="138" t="str">
        <f aca="false">IFERROR(VLOOKUP(TEXT(O321,"0"),CONDUCTORES!$A$3:$G$54,2,0),"")</f>
        <v/>
      </c>
      <c r="Q321" s="138" t="str">
        <f aca="false">IFERROR(VLOOKUP(TEXT(O321,"0"),CONDUCTORES!$A$3:$H$54,6,0),"")</f>
        <v/>
      </c>
      <c r="R321" s="140"/>
      <c r="S321" s="140"/>
      <c r="T321" s="140"/>
      <c r="U321" s="140"/>
      <c r="V321" s="140"/>
      <c r="W321" s="140"/>
      <c r="X321" s="140"/>
      <c r="Y321" s="140"/>
      <c r="Z321" s="185" t="str">
        <f aca="false">IF(AND(G321&lt;&gt;"",R321&lt;&gt;"",V321&lt;&gt;"",W321&lt;&gt;""),"COMPLETADO","OBSERVADO")</f>
        <v>OBSERVADO</v>
      </c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138" t="str">
        <f aca="false">IFERROR(VLOOKUP(TEXT(H322,"0"),IPRESS!$A$3:$B$212,2,0),"")</f>
        <v/>
      </c>
      <c r="J322" s="85"/>
      <c r="K322" s="138" t="str">
        <f aca="false">IFERROR(VLOOKUP(TEXT(O322,"0"),CONDUCTORES!$A$3:$G$54,7,0),"")</f>
        <v/>
      </c>
      <c r="L322" s="85"/>
      <c r="M322" s="85"/>
      <c r="N322" s="139" t="str">
        <f aca="false">IFERROR(IF(L322*M322=0,"",L322*M322),"")</f>
        <v/>
      </c>
      <c r="O322" s="85"/>
      <c r="P322" s="138" t="str">
        <f aca="false">IFERROR(VLOOKUP(TEXT(O322,"0"),CONDUCTORES!$A$3:$G$54,2,0),"")</f>
        <v/>
      </c>
      <c r="Q322" s="138" t="str">
        <f aca="false">IFERROR(VLOOKUP(TEXT(O322,"0"),CONDUCTORES!$A$3:$H$54,6,0),"")</f>
        <v/>
      </c>
      <c r="R322" s="85"/>
      <c r="S322" s="85"/>
      <c r="T322" s="85"/>
      <c r="U322" s="85"/>
      <c r="V322" s="85"/>
      <c r="W322" s="85"/>
      <c r="X322" s="85"/>
      <c r="Y322" s="85"/>
      <c r="Z322" s="185" t="str">
        <f aca="false">IF(AND(G322&lt;&gt;"",R322&lt;&gt;"",V322&lt;&gt;"",W322&lt;&gt;""),"COMPLETADO","OBSERVADO")</f>
        <v>OBSERVADO</v>
      </c>
    </row>
    <row r="323" customFormat="false" ht="15" hidden="false" customHeight="true" outlineLevel="0" collapsed="false">
      <c r="A323" s="140"/>
      <c r="B323" s="140"/>
      <c r="C323" s="140"/>
      <c r="D323" s="140"/>
      <c r="E323" s="140"/>
      <c r="F323" s="140"/>
      <c r="G323" s="140"/>
      <c r="H323" s="140"/>
      <c r="I323" s="138" t="str">
        <f aca="false">IFERROR(VLOOKUP(TEXT(H323,"0"),IPRESS!$A$3:$B$212,2,0),"")</f>
        <v/>
      </c>
      <c r="J323" s="140"/>
      <c r="K323" s="138" t="str">
        <f aca="false">IFERROR(VLOOKUP(TEXT(O323,"0"),CONDUCTORES!$A$3:$G$54,7,0),"")</f>
        <v/>
      </c>
      <c r="L323" s="140"/>
      <c r="M323" s="140"/>
      <c r="N323" s="139" t="str">
        <f aca="false">IFERROR(IF(L323*M323=0,"",L323*M323),"")</f>
        <v/>
      </c>
      <c r="O323" s="140"/>
      <c r="P323" s="138" t="str">
        <f aca="false">IFERROR(VLOOKUP(TEXT(O323,"0"),CONDUCTORES!$A$3:$G$54,2,0),"")</f>
        <v/>
      </c>
      <c r="Q323" s="138" t="str">
        <f aca="false">IFERROR(VLOOKUP(TEXT(O323,"0"),CONDUCTORES!$A$3:$H$54,6,0),"")</f>
        <v/>
      </c>
      <c r="R323" s="140"/>
      <c r="S323" s="140"/>
      <c r="T323" s="140"/>
      <c r="U323" s="140"/>
      <c r="V323" s="140"/>
      <c r="W323" s="140"/>
      <c r="X323" s="140"/>
      <c r="Y323" s="140"/>
      <c r="Z323" s="185" t="str">
        <f aca="false">IF(AND(G323&lt;&gt;"",R323&lt;&gt;"",V323&lt;&gt;"",W323&lt;&gt;""),"COMPLETADO","OBSERVADO")</f>
        <v>OBSERVADO</v>
      </c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138" t="str">
        <f aca="false">IFERROR(VLOOKUP(TEXT(H324,"0"),IPRESS!$A$3:$B$212,2,0),"")</f>
        <v/>
      </c>
      <c r="J324" s="85"/>
      <c r="K324" s="138" t="str">
        <f aca="false">IFERROR(VLOOKUP(TEXT(O324,"0"),CONDUCTORES!$A$3:$G$54,7,0),"")</f>
        <v/>
      </c>
      <c r="L324" s="85"/>
      <c r="M324" s="85"/>
      <c r="N324" s="139" t="str">
        <f aca="false">IFERROR(IF(L324*M324=0,"",L324*M324),"")</f>
        <v/>
      </c>
      <c r="O324" s="85"/>
      <c r="P324" s="138" t="str">
        <f aca="false">IFERROR(VLOOKUP(TEXT(O324,"0"),CONDUCTORES!$A$3:$G$54,2,0),"")</f>
        <v/>
      </c>
      <c r="Q324" s="138" t="str">
        <f aca="false">IFERROR(VLOOKUP(TEXT(O324,"0"),CONDUCTORES!$A$3:$H$54,6,0),"")</f>
        <v/>
      </c>
      <c r="R324" s="85"/>
      <c r="S324" s="85"/>
      <c r="T324" s="85"/>
      <c r="U324" s="85"/>
      <c r="V324" s="85"/>
      <c r="W324" s="85"/>
      <c r="X324" s="85"/>
      <c r="Y324" s="85"/>
      <c r="Z324" s="185" t="str">
        <f aca="false">IF(AND(G324&lt;&gt;"",R324&lt;&gt;"",V324&lt;&gt;"",W324&lt;&gt;""),"COMPLETADO","OBSERVADO")</f>
        <v>OBSERVADO</v>
      </c>
    </row>
    <row r="325" customFormat="false" ht="15" hidden="false" customHeight="true" outlineLevel="0" collapsed="false">
      <c r="A325" s="140"/>
      <c r="B325" s="140"/>
      <c r="C325" s="140"/>
      <c r="D325" s="140"/>
      <c r="E325" s="140"/>
      <c r="F325" s="140"/>
      <c r="G325" s="140"/>
      <c r="H325" s="140"/>
      <c r="I325" s="138" t="str">
        <f aca="false">IFERROR(VLOOKUP(TEXT(H325,"0"),IPRESS!$A$3:$B$212,2,0),"")</f>
        <v/>
      </c>
      <c r="J325" s="140"/>
      <c r="K325" s="138" t="str">
        <f aca="false">IFERROR(VLOOKUP(TEXT(O325,"0"),CONDUCTORES!$A$3:$G$54,7,0),"")</f>
        <v/>
      </c>
      <c r="L325" s="140"/>
      <c r="M325" s="140"/>
      <c r="N325" s="139" t="str">
        <f aca="false">IFERROR(IF(L325*M325=0,"",L325*M325),"")</f>
        <v/>
      </c>
      <c r="O325" s="140"/>
      <c r="P325" s="138" t="str">
        <f aca="false">IFERROR(VLOOKUP(TEXT(O325,"0"),CONDUCTORES!$A$3:$G$54,2,0),"")</f>
        <v/>
      </c>
      <c r="Q325" s="138" t="str">
        <f aca="false">IFERROR(VLOOKUP(TEXT(O325,"0"),CONDUCTORES!$A$3:$H$54,6,0),"")</f>
        <v/>
      </c>
      <c r="R325" s="140"/>
      <c r="S325" s="140"/>
      <c r="T325" s="140"/>
      <c r="U325" s="140"/>
      <c r="V325" s="140"/>
      <c r="W325" s="140"/>
      <c r="X325" s="140"/>
      <c r="Y325" s="140"/>
      <c r="Z325" s="185" t="str">
        <f aca="false">IF(AND(G325&lt;&gt;"",R325&lt;&gt;"",V325&lt;&gt;"",W325&lt;&gt;""),"COMPLETADO","OBSERVADO")</f>
        <v>OBSERVADO</v>
      </c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138" t="str">
        <f aca="false">IFERROR(VLOOKUP(TEXT(H326,"0"),IPRESS!$A$3:$B$212,2,0),"")</f>
        <v/>
      </c>
      <c r="J326" s="85"/>
      <c r="K326" s="138" t="str">
        <f aca="false">IFERROR(VLOOKUP(TEXT(O326,"0"),CONDUCTORES!$A$3:$G$54,7,0),"")</f>
        <v/>
      </c>
      <c r="L326" s="85"/>
      <c r="M326" s="85"/>
      <c r="N326" s="139" t="str">
        <f aca="false">IFERROR(IF(L326*M326=0,"",L326*M326),"")</f>
        <v/>
      </c>
      <c r="O326" s="85"/>
      <c r="P326" s="138" t="str">
        <f aca="false">IFERROR(VLOOKUP(TEXT(O326,"0"),CONDUCTORES!$A$3:$G$54,2,0),"")</f>
        <v/>
      </c>
      <c r="Q326" s="138" t="str">
        <f aca="false">IFERROR(VLOOKUP(TEXT(O326,"0"),CONDUCTORES!$A$3:$H$54,6,0),"")</f>
        <v/>
      </c>
      <c r="R326" s="85"/>
      <c r="S326" s="85"/>
      <c r="T326" s="85"/>
      <c r="U326" s="85"/>
      <c r="V326" s="85"/>
      <c r="W326" s="85"/>
      <c r="X326" s="85"/>
      <c r="Y326" s="85"/>
      <c r="Z326" s="185" t="str">
        <f aca="false">IF(AND(G326&lt;&gt;"",R326&lt;&gt;"",V326&lt;&gt;"",W326&lt;&gt;""),"COMPLETADO","OBSERVADO")</f>
        <v>OBSERVADO</v>
      </c>
    </row>
    <row r="327" customFormat="false" ht="15" hidden="false" customHeight="true" outlineLevel="0" collapsed="false">
      <c r="A327" s="140"/>
      <c r="B327" s="140"/>
      <c r="C327" s="140"/>
      <c r="D327" s="140"/>
      <c r="E327" s="140"/>
      <c r="F327" s="140"/>
      <c r="G327" s="140"/>
      <c r="H327" s="140"/>
      <c r="I327" s="138" t="str">
        <f aca="false">IFERROR(VLOOKUP(TEXT(H327,"0"),IPRESS!$A$3:$B$212,2,0),"")</f>
        <v/>
      </c>
      <c r="J327" s="140"/>
      <c r="K327" s="138" t="str">
        <f aca="false">IFERROR(VLOOKUP(TEXT(O327,"0"),CONDUCTORES!$A$3:$G$54,7,0),"")</f>
        <v/>
      </c>
      <c r="L327" s="140"/>
      <c r="M327" s="140"/>
      <c r="N327" s="139" t="str">
        <f aca="false">IFERROR(IF(L327*M327=0,"",L327*M327),"")</f>
        <v/>
      </c>
      <c r="O327" s="140"/>
      <c r="P327" s="138" t="str">
        <f aca="false">IFERROR(VLOOKUP(TEXT(O327,"0"),CONDUCTORES!$A$3:$G$54,2,0),"")</f>
        <v/>
      </c>
      <c r="Q327" s="138" t="str">
        <f aca="false">IFERROR(VLOOKUP(TEXT(O327,"0"),CONDUCTORES!$A$3:$H$54,6,0),"")</f>
        <v/>
      </c>
      <c r="R327" s="140"/>
      <c r="S327" s="140"/>
      <c r="T327" s="140"/>
      <c r="U327" s="140"/>
      <c r="V327" s="140"/>
      <c r="W327" s="140"/>
      <c r="X327" s="140"/>
      <c r="Y327" s="140"/>
      <c r="Z327" s="185" t="str">
        <f aca="false">IF(AND(G327&lt;&gt;"",R327&lt;&gt;"",V327&lt;&gt;"",W327&lt;&gt;""),"COMPLETADO","OBSERVADO")</f>
        <v>OBSERVADO</v>
      </c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138" t="str">
        <f aca="false">IFERROR(VLOOKUP(TEXT(H328,"0"),IPRESS!$A$3:$B$212,2,0),"")</f>
        <v/>
      </c>
      <c r="J328" s="85"/>
      <c r="K328" s="138" t="str">
        <f aca="false">IFERROR(VLOOKUP(TEXT(O328,"0"),CONDUCTORES!$A$3:$G$54,7,0),"")</f>
        <v/>
      </c>
      <c r="L328" s="85"/>
      <c r="M328" s="85"/>
      <c r="N328" s="139" t="str">
        <f aca="false">IFERROR(IF(L328*M328=0,"",L328*M328),"")</f>
        <v/>
      </c>
      <c r="O328" s="85"/>
      <c r="P328" s="138" t="str">
        <f aca="false">IFERROR(VLOOKUP(TEXT(O328,"0"),CONDUCTORES!$A$3:$G$54,2,0),"")</f>
        <v/>
      </c>
      <c r="Q328" s="138" t="str">
        <f aca="false">IFERROR(VLOOKUP(TEXT(O328,"0"),CONDUCTORES!$A$3:$H$54,6,0),"")</f>
        <v/>
      </c>
      <c r="R328" s="85"/>
      <c r="S328" s="85"/>
      <c r="T328" s="85"/>
      <c r="U328" s="85"/>
      <c r="V328" s="85"/>
      <c r="W328" s="85"/>
      <c r="X328" s="85"/>
      <c r="Y328" s="85"/>
      <c r="Z328" s="185" t="str">
        <f aca="false">IF(AND(G328&lt;&gt;"",R328&lt;&gt;"",V328&lt;&gt;"",W328&lt;&gt;""),"COMPLETADO","OBSERVADO")</f>
        <v>OBSERVADO</v>
      </c>
    </row>
    <row r="329" customFormat="false" ht="15" hidden="false" customHeight="true" outlineLevel="0" collapsed="false">
      <c r="A329" s="140"/>
      <c r="B329" s="140"/>
      <c r="C329" s="140"/>
      <c r="D329" s="140"/>
      <c r="E329" s="140"/>
      <c r="F329" s="140"/>
      <c r="G329" s="140"/>
      <c r="H329" s="140"/>
      <c r="I329" s="138" t="str">
        <f aca="false">IFERROR(VLOOKUP(TEXT(H329,"0"),IPRESS!$A$3:$B$212,2,0),"")</f>
        <v/>
      </c>
      <c r="J329" s="140"/>
      <c r="K329" s="138" t="str">
        <f aca="false">IFERROR(VLOOKUP(TEXT(O329,"0"),CONDUCTORES!$A$3:$G$54,7,0),"")</f>
        <v/>
      </c>
      <c r="L329" s="140"/>
      <c r="M329" s="140"/>
      <c r="N329" s="139" t="str">
        <f aca="false">IFERROR(IF(L329*M329=0,"",L329*M329),"")</f>
        <v/>
      </c>
      <c r="O329" s="140"/>
      <c r="P329" s="138" t="str">
        <f aca="false">IFERROR(VLOOKUP(TEXT(O329,"0"),CONDUCTORES!$A$3:$G$54,2,0),"")</f>
        <v/>
      </c>
      <c r="Q329" s="138" t="str">
        <f aca="false">IFERROR(VLOOKUP(TEXT(O329,"0"),CONDUCTORES!$A$3:$H$54,6,0),"")</f>
        <v/>
      </c>
      <c r="R329" s="140"/>
      <c r="S329" s="140"/>
      <c r="T329" s="140"/>
      <c r="U329" s="140"/>
      <c r="V329" s="140"/>
      <c r="W329" s="140"/>
      <c r="X329" s="140"/>
      <c r="Y329" s="140"/>
      <c r="Z329" s="185" t="str">
        <f aca="false">IF(AND(G329&lt;&gt;"",R329&lt;&gt;"",V329&lt;&gt;"",W329&lt;&gt;""),"COMPLETADO","OBSERVADO")</f>
        <v>OBSERVADO</v>
      </c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138" t="str">
        <f aca="false">IFERROR(VLOOKUP(TEXT(H330,"0"),IPRESS!$A$3:$B$212,2,0),"")</f>
        <v/>
      </c>
      <c r="J330" s="85"/>
      <c r="K330" s="138" t="str">
        <f aca="false">IFERROR(VLOOKUP(TEXT(O330,"0"),CONDUCTORES!$A$3:$G$54,7,0),"")</f>
        <v/>
      </c>
      <c r="L330" s="85"/>
      <c r="M330" s="85"/>
      <c r="N330" s="139" t="str">
        <f aca="false">IFERROR(IF(L330*M330=0,"",L330*M330),"")</f>
        <v/>
      </c>
      <c r="O330" s="85"/>
      <c r="P330" s="138" t="str">
        <f aca="false">IFERROR(VLOOKUP(TEXT(O330,"0"),CONDUCTORES!$A$3:$G$54,2,0),"")</f>
        <v/>
      </c>
      <c r="Q330" s="138" t="str">
        <f aca="false">IFERROR(VLOOKUP(TEXT(O330,"0"),CONDUCTORES!$A$3:$H$54,6,0),"")</f>
        <v/>
      </c>
      <c r="R330" s="85"/>
      <c r="S330" s="85"/>
      <c r="T330" s="85"/>
      <c r="U330" s="85"/>
      <c r="V330" s="85"/>
      <c r="W330" s="85"/>
      <c r="X330" s="85"/>
      <c r="Y330" s="85"/>
      <c r="Z330" s="185" t="str">
        <f aca="false">IF(AND(G330&lt;&gt;"",R330&lt;&gt;"",V330&lt;&gt;"",W330&lt;&gt;""),"COMPLETADO","OBSERVADO")</f>
        <v>OBSERVADO</v>
      </c>
    </row>
    <row r="331" customFormat="false" ht="15" hidden="false" customHeight="true" outlineLevel="0" collapsed="false">
      <c r="A331" s="140"/>
      <c r="B331" s="140"/>
      <c r="C331" s="140"/>
      <c r="D331" s="140"/>
      <c r="E331" s="140"/>
      <c r="F331" s="140"/>
      <c r="G331" s="140"/>
      <c r="H331" s="140"/>
      <c r="I331" s="138" t="str">
        <f aca="false">IFERROR(VLOOKUP(TEXT(H331,"0"),IPRESS!$A$3:$B$212,2,0),"")</f>
        <v/>
      </c>
      <c r="J331" s="140"/>
      <c r="K331" s="138" t="str">
        <f aca="false">IFERROR(VLOOKUP(TEXT(O331,"0"),CONDUCTORES!$A$3:$G$54,7,0),"")</f>
        <v/>
      </c>
      <c r="L331" s="140"/>
      <c r="M331" s="140"/>
      <c r="N331" s="139" t="str">
        <f aca="false">IFERROR(IF(L331*M331=0,"",L331*M331),"")</f>
        <v/>
      </c>
      <c r="O331" s="140"/>
      <c r="P331" s="138" t="str">
        <f aca="false">IFERROR(VLOOKUP(TEXT(O331,"0"),CONDUCTORES!$A$3:$G$54,2,0),"")</f>
        <v/>
      </c>
      <c r="Q331" s="138" t="str">
        <f aca="false">IFERROR(VLOOKUP(TEXT(O331,"0"),CONDUCTORES!$A$3:$H$54,6,0),"")</f>
        <v/>
      </c>
      <c r="R331" s="140"/>
      <c r="S331" s="140"/>
      <c r="T331" s="140"/>
      <c r="U331" s="140"/>
      <c r="V331" s="140"/>
      <c r="W331" s="140"/>
      <c r="X331" s="140"/>
      <c r="Y331" s="140"/>
      <c r="Z331" s="185" t="str">
        <f aca="false">IF(AND(G331&lt;&gt;"",R331&lt;&gt;"",V331&lt;&gt;"",W331&lt;&gt;""),"COMPLETADO","OBSERVADO")</f>
        <v>OBSERVADO</v>
      </c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138" t="str">
        <f aca="false">IFERROR(VLOOKUP(TEXT(H332,"0"),IPRESS!$A$3:$B$212,2,0),"")</f>
        <v/>
      </c>
      <c r="J332" s="85"/>
      <c r="K332" s="138" t="str">
        <f aca="false">IFERROR(VLOOKUP(TEXT(O332,"0"),CONDUCTORES!$A$3:$G$54,7,0),"")</f>
        <v/>
      </c>
      <c r="L332" s="85"/>
      <c r="M332" s="85"/>
      <c r="N332" s="139" t="str">
        <f aca="false">IFERROR(IF(L332*M332=0,"",L332*M332),"")</f>
        <v/>
      </c>
      <c r="O332" s="85"/>
      <c r="P332" s="138" t="str">
        <f aca="false">IFERROR(VLOOKUP(TEXT(O332,"0"),CONDUCTORES!$A$3:$G$54,2,0),"")</f>
        <v/>
      </c>
      <c r="Q332" s="138" t="str">
        <f aca="false">IFERROR(VLOOKUP(TEXT(O332,"0"),CONDUCTORES!$A$3:$H$54,6,0),"")</f>
        <v/>
      </c>
      <c r="R332" s="85"/>
      <c r="S332" s="85"/>
      <c r="T332" s="85"/>
      <c r="U332" s="85"/>
      <c r="V332" s="85"/>
      <c r="W332" s="85"/>
      <c r="X332" s="85"/>
      <c r="Y332" s="85"/>
      <c r="Z332" s="185" t="str">
        <f aca="false">IF(AND(G332&lt;&gt;"",R332&lt;&gt;"",V332&lt;&gt;"",W332&lt;&gt;""),"COMPLETADO","OBSERVADO")</f>
        <v>OBSERVADO</v>
      </c>
    </row>
    <row r="333" customFormat="false" ht="15" hidden="false" customHeight="true" outlineLevel="0" collapsed="false">
      <c r="A333" s="140"/>
      <c r="B333" s="140"/>
      <c r="C333" s="140"/>
      <c r="D333" s="140"/>
      <c r="E333" s="140"/>
      <c r="F333" s="140"/>
      <c r="G333" s="140"/>
      <c r="H333" s="140"/>
      <c r="I333" s="138" t="str">
        <f aca="false">IFERROR(VLOOKUP(TEXT(H333,"0"),IPRESS!$A$3:$B$212,2,0),"")</f>
        <v/>
      </c>
      <c r="J333" s="140"/>
      <c r="K333" s="138" t="str">
        <f aca="false">IFERROR(VLOOKUP(TEXT(O333,"0"),CONDUCTORES!$A$3:$G$54,7,0),"")</f>
        <v/>
      </c>
      <c r="L333" s="140"/>
      <c r="M333" s="140"/>
      <c r="N333" s="139" t="str">
        <f aca="false">IFERROR(IF(L333*M333=0,"",L333*M333),"")</f>
        <v/>
      </c>
      <c r="O333" s="140"/>
      <c r="P333" s="138" t="str">
        <f aca="false">IFERROR(VLOOKUP(TEXT(O333,"0"),CONDUCTORES!$A$3:$G$54,2,0),"")</f>
        <v/>
      </c>
      <c r="Q333" s="138" t="str">
        <f aca="false">IFERROR(VLOOKUP(TEXT(O333,"0"),CONDUCTORES!$A$3:$H$54,6,0),"")</f>
        <v/>
      </c>
      <c r="R333" s="140"/>
      <c r="S333" s="140"/>
      <c r="T333" s="140"/>
      <c r="U333" s="140"/>
      <c r="V333" s="140"/>
      <c r="W333" s="140"/>
      <c r="X333" s="140"/>
      <c r="Y333" s="140"/>
      <c r="Z333" s="185" t="str">
        <f aca="false">IF(AND(G333&lt;&gt;"",R333&lt;&gt;"",V333&lt;&gt;"",W333&lt;&gt;""),"COMPLETADO","OBSERVADO")</f>
        <v>OBSERVADO</v>
      </c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138" t="str">
        <f aca="false">IFERROR(VLOOKUP(TEXT(H334,"0"),IPRESS!$A$3:$B$212,2,0),"")</f>
        <v/>
      </c>
      <c r="J334" s="85"/>
      <c r="K334" s="138" t="str">
        <f aca="false">IFERROR(VLOOKUP(TEXT(O334,"0"),CONDUCTORES!$A$3:$G$54,7,0),"")</f>
        <v/>
      </c>
      <c r="L334" s="85"/>
      <c r="M334" s="85"/>
      <c r="N334" s="139" t="str">
        <f aca="false">IFERROR(IF(L334*M334=0,"",L334*M334),"")</f>
        <v/>
      </c>
      <c r="O334" s="85"/>
      <c r="P334" s="138" t="str">
        <f aca="false">IFERROR(VLOOKUP(TEXT(O334,"0"),CONDUCTORES!$A$3:$G$54,2,0),"")</f>
        <v/>
      </c>
      <c r="Q334" s="138" t="str">
        <f aca="false">IFERROR(VLOOKUP(TEXT(O334,"0"),CONDUCTORES!$A$3:$H$54,6,0),"")</f>
        <v/>
      </c>
      <c r="R334" s="85"/>
      <c r="S334" s="85"/>
      <c r="T334" s="85"/>
      <c r="U334" s="85"/>
      <c r="V334" s="85"/>
      <c r="W334" s="85"/>
      <c r="X334" s="85"/>
      <c r="Y334" s="85"/>
      <c r="Z334" s="185" t="str">
        <f aca="false">IF(AND(G334&lt;&gt;"",R334&lt;&gt;"",V334&lt;&gt;"",W334&lt;&gt;""),"COMPLETADO","OBSERVADO")</f>
        <v>OBSERVADO</v>
      </c>
    </row>
    <row r="335" customFormat="false" ht="15" hidden="false" customHeight="true" outlineLevel="0" collapsed="false">
      <c r="A335" s="140"/>
      <c r="B335" s="140"/>
      <c r="C335" s="140"/>
      <c r="D335" s="140"/>
      <c r="E335" s="140"/>
      <c r="F335" s="140"/>
      <c r="G335" s="140"/>
      <c r="H335" s="140"/>
      <c r="I335" s="138" t="str">
        <f aca="false">IFERROR(VLOOKUP(TEXT(H335,"0"),IPRESS!$A$3:$B$212,2,0),"")</f>
        <v/>
      </c>
      <c r="J335" s="140"/>
      <c r="K335" s="138" t="str">
        <f aca="false">IFERROR(VLOOKUP(TEXT(O335,"0"),CONDUCTORES!$A$3:$G$54,7,0),"")</f>
        <v/>
      </c>
      <c r="L335" s="140"/>
      <c r="M335" s="140"/>
      <c r="N335" s="139" t="str">
        <f aca="false">IFERROR(IF(L335*M335=0,"",L335*M335),"")</f>
        <v/>
      </c>
      <c r="O335" s="140"/>
      <c r="P335" s="138" t="str">
        <f aca="false">IFERROR(VLOOKUP(TEXT(O335,"0"),CONDUCTORES!$A$3:$G$54,2,0),"")</f>
        <v/>
      </c>
      <c r="Q335" s="138" t="str">
        <f aca="false">IFERROR(VLOOKUP(TEXT(O335,"0"),CONDUCTORES!$A$3:$H$54,6,0),"")</f>
        <v/>
      </c>
      <c r="R335" s="140"/>
      <c r="S335" s="140"/>
      <c r="T335" s="140"/>
      <c r="U335" s="140"/>
      <c r="V335" s="140"/>
      <c r="W335" s="140"/>
      <c r="X335" s="140"/>
      <c r="Y335" s="140"/>
      <c r="Z335" s="185" t="str">
        <f aca="false">IF(AND(G335&lt;&gt;"",R335&lt;&gt;"",V335&lt;&gt;"",W335&lt;&gt;""),"COMPLETADO","OBSERVADO")</f>
        <v>OBSERVADO</v>
      </c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138" t="str">
        <f aca="false">IFERROR(VLOOKUP(TEXT(H336,"0"),IPRESS!$A$3:$B$212,2,0),"")</f>
        <v/>
      </c>
      <c r="J336" s="85"/>
      <c r="K336" s="138" t="str">
        <f aca="false">IFERROR(VLOOKUP(TEXT(O336,"0"),CONDUCTORES!$A$3:$G$54,7,0),"")</f>
        <v/>
      </c>
      <c r="L336" s="85"/>
      <c r="M336" s="85"/>
      <c r="N336" s="139" t="str">
        <f aca="false">IFERROR(IF(L336*M336=0,"",L336*M336),"")</f>
        <v/>
      </c>
      <c r="O336" s="85"/>
      <c r="P336" s="138" t="str">
        <f aca="false">IFERROR(VLOOKUP(TEXT(O336,"0"),CONDUCTORES!$A$3:$G$54,2,0),"")</f>
        <v/>
      </c>
      <c r="Q336" s="138" t="str">
        <f aca="false">IFERROR(VLOOKUP(TEXT(O336,"0"),CONDUCTORES!$A$3:$H$54,6,0),"")</f>
        <v/>
      </c>
      <c r="R336" s="85"/>
      <c r="S336" s="85"/>
      <c r="T336" s="85"/>
      <c r="U336" s="85"/>
      <c r="V336" s="85"/>
      <c r="W336" s="85"/>
      <c r="X336" s="85"/>
      <c r="Y336" s="85"/>
      <c r="Z336" s="185" t="str">
        <f aca="false">IF(AND(G336&lt;&gt;"",R336&lt;&gt;"",V336&lt;&gt;"",W336&lt;&gt;""),"COMPLETADO","OBSERVADO")</f>
        <v>OBSERVADO</v>
      </c>
    </row>
    <row r="337" customFormat="false" ht="15" hidden="false" customHeight="true" outlineLevel="0" collapsed="false">
      <c r="A337" s="140"/>
      <c r="B337" s="140"/>
      <c r="C337" s="140"/>
      <c r="D337" s="140"/>
      <c r="E337" s="140"/>
      <c r="F337" s="140"/>
      <c r="G337" s="140"/>
      <c r="H337" s="140"/>
      <c r="I337" s="138" t="str">
        <f aca="false">IFERROR(VLOOKUP(TEXT(H337,"0"),IPRESS!$A$3:$B$212,2,0),"")</f>
        <v/>
      </c>
      <c r="J337" s="140"/>
      <c r="K337" s="138" t="str">
        <f aca="false">IFERROR(VLOOKUP(TEXT(O337,"0"),CONDUCTORES!$A$3:$G$54,7,0),"")</f>
        <v/>
      </c>
      <c r="L337" s="140"/>
      <c r="M337" s="140"/>
      <c r="N337" s="139" t="str">
        <f aca="false">IFERROR(IF(L337*M337=0,"",L337*M337),"")</f>
        <v/>
      </c>
      <c r="O337" s="140"/>
      <c r="P337" s="138" t="str">
        <f aca="false">IFERROR(VLOOKUP(TEXT(O337,"0"),CONDUCTORES!$A$3:$G$54,2,0),"")</f>
        <v/>
      </c>
      <c r="Q337" s="138" t="str">
        <f aca="false">IFERROR(VLOOKUP(TEXT(O337,"0"),CONDUCTORES!$A$3:$H$54,6,0),"")</f>
        <v/>
      </c>
      <c r="R337" s="140"/>
      <c r="S337" s="140"/>
      <c r="T337" s="140"/>
      <c r="U337" s="140"/>
      <c r="V337" s="140"/>
      <c r="W337" s="140"/>
      <c r="X337" s="140"/>
      <c r="Y337" s="140"/>
      <c r="Z337" s="185" t="str">
        <f aca="false">IF(AND(G337&lt;&gt;"",R337&lt;&gt;"",V337&lt;&gt;"",W337&lt;&gt;""),"COMPLETADO","OBSERVADO")</f>
        <v>OBSERVADO</v>
      </c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138" t="str">
        <f aca="false">IFERROR(VLOOKUP(TEXT(H338,"0"),IPRESS!$A$3:$B$212,2,0),"")</f>
        <v/>
      </c>
      <c r="J338" s="85"/>
      <c r="K338" s="138" t="str">
        <f aca="false">IFERROR(VLOOKUP(TEXT(O338,"0"),CONDUCTORES!$A$3:$G$54,7,0),"")</f>
        <v/>
      </c>
      <c r="L338" s="85"/>
      <c r="M338" s="85"/>
      <c r="N338" s="139" t="str">
        <f aca="false">IFERROR(IF(L338*M338=0,"",L338*M338),"")</f>
        <v/>
      </c>
      <c r="O338" s="85"/>
      <c r="P338" s="138" t="str">
        <f aca="false">IFERROR(VLOOKUP(TEXT(O338,"0"),CONDUCTORES!$A$3:$G$54,2,0),"")</f>
        <v/>
      </c>
      <c r="Q338" s="138" t="str">
        <f aca="false">IFERROR(VLOOKUP(TEXT(O338,"0"),CONDUCTORES!$A$3:$H$54,6,0),"")</f>
        <v/>
      </c>
      <c r="R338" s="85"/>
      <c r="S338" s="85"/>
      <c r="T338" s="85"/>
      <c r="U338" s="85"/>
      <c r="V338" s="85"/>
      <c r="W338" s="85"/>
      <c r="X338" s="85"/>
      <c r="Y338" s="85"/>
      <c r="Z338" s="185" t="str">
        <f aca="false">IF(AND(G338&lt;&gt;"",R338&lt;&gt;"",V338&lt;&gt;"",W338&lt;&gt;""),"COMPLETADO","OBSERVADO")</f>
        <v>OBSERVADO</v>
      </c>
    </row>
    <row r="339" customFormat="false" ht="15" hidden="false" customHeight="true" outlineLevel="0" collapsed="false">
      <c r="A339" s="140"/>
      <c r="B339" s="140"/>
      <c r="C339" s="140"/>
      <c r="D339" s="140"/>
      <c r="E339" s="140"/>
      <c r="F339" s="140"/>
      <c r="G339" s="140"/>
      <c r="H339" s="140"/>
      <c r="I339" s="138" t="str">
        <f aca="false">IFERROR(VLOOKUP(TEXT(H339,"0"),IPRESS!$A$3:$B$212,2,0),"")</f>
        <v/>
      </c>
      <c r="J339" s="140"/>
      <c r="K339" s="138" t="str">
        <f aca="false">IFERROR(VLOOKUP(TEXT(O339,"0"),CONDUCTORES!$A$3:$G$54,7,0),"")</f>
        <v/>
      </c>
      <c r="L339" s="140"/>
      <c r="M339" s="140"/>
      <c r="N339" s="139" t="str">
        <f aca="false">IFERROR(IF(L339*M339=0,"",L339*M339),"")</f>
        <v/>
      </c>
      <c r="O339" s="140"/>
      <c r="P339" s="138" t="str">
        <f aca="false">IFERROR(VLOOKUP(TEXT(O339,"0"),CONDUCTORES!$A$3:$G$54,2,0),"")</f>
        <v/>
      </c>
      <c r="Q339" s="138" t="str">
        <f aca="false">IFERROR(VLOOKUP(TEXT(O339,"0"),CONDUCTORES!$A$3:$H$54,6,0),"")</f>
        <v/>
      </c>
      <c r="R339" s="140"/>
      <c r="S339" s="140"/>
      <c r="T339" s="140"/>
      <c r="U339" s="140"/>
      <c r="V339" s="140"/>
      <c r="W339" s="140"/>
      <c r="X339" s="140"/>
      <c r="Y339" s="140"/>
      <c r="Z339" s="185" t="str">
        <f aca="false">IF(AND(G339&lt;&gt;"",R339&lt;&gt;"",V339&lt;&gt;"",W339&lt;&gt;""),"COMPLETADO","OBSERVADO")</f>
        <v>OBSERVADO</v>
      </c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138" t="str">
        <f aca="false">IFERROR(VLOOKUP(TEXT(H340,"0"),IPRESS!$A$3:$B$212,2,0),"")</f>
        <v/>
      </c>
      <c r="J340" s="85"/>
      <c r="K340" s="138" t="str">
        <f aca="false">IFERROR(VLOOKUP(TEXT(O340,"0"),CONDUCTORES!$A$3:$G$54,7,0),"")</f>
        <v/>
      </c>
      <c r="L340" s="85"/>
      <c r="M340" s="85"/>
      <c r="N340" s="139" t="str">
        <f aca="false">IFERROR(IF(L340*M340=0,"",L340*M340),"")</f>
        <v/>
      </c>
      <c r="O340" s="85"/>
      <c r="P340" s="138" t="str">
        <f aca="false">IFERROR(VLOOKUP(TEXT(O340,"0"),CONDUCTORES!$A$3:$G$54,2,0),"")</f>
        <v/>
      </c>
      <c r="Q340" s="138" t="str">
        <f aca="false">IFERROR(VLOOKUP(TEXT(O340,"0"),CONDUCTORES!$A$3:$H$54,6,0),"")</f>
        <v/>
      </c>
      <c r="R340" s="85"/>
      <c r="S340" s="85"/>
      <c r="T340" s="85"/>
      <c r="U340" s="85"/>
      <c r="V340" s="85"/>
      <c r="W340" s="85"/>
      <c r="X340" s="85"/>
      <c r="Y340" s="85"/>
      <c r="Z340" s="185" t="str">
        <f aca="false">IF(AND(G340&lt;&gt;"",R340&lt;&gt;"",V340&lt;&gt;"",W340&lt;&gt;""),"COMPLETADO","OBSERVADO")</f>
        <v>OBSERVADO</v>
      </c>
    </row>
    <row r="341" customFormat="false" ht="15" hidden="false" customHeight="true" outlineLevel="0" collapsed="false">
      <c r="A341" s="140"/>
      <c r="B341" s="140"/>
      <c r="C341" s="140"/>
      <c r="D341" s="140"/>
      <c r="E341" s="140"/>
      <c r="F341" s="140"/>
      <c r="G341" s="140"/>
      <c r="H341" s="140"/>
      <c r="I341" s="138" t="str">
        <f aca="false">IFERROR(VLOOKUP(TEXT(H341,"0"),IPRESS!$A$3:$B$212,2,0),"")</f>
        <v/>
      </c>
      <c r="J341" s="140"/>
      <c r="K341" s="138" t="str">
        <f aca="false">IFERROR(VLOOKUP(TEXT(O341,"0"),CONDUCTORES!$A$3:$G$54,7,0),"")</f>
        <v/>
      </c>
      <c r="L341" s="140"/>
      <c r="M341" s="140"/>
      <c r="N341" s="139" t="str">
        <f aca="false">IFERROR(IF(L341*M341=0,"",L341*M341),"")</f>
        <v/>
      </c>
      <c r="O341" s="140"/>
      <c r="P341" s="138" t="str">
        <f aca="false">IFERROR(VLOOKUP(TEXT(O341,"0"),CONDUCTORES!$A$3:$G$54,2,0),"")</f>
        <v/>
      </c>
      <c r="Q341" s="138" t="str">
        <f aca="false">IFERROR(VLOOKUP(TEXT(O341,"0"),CONDUCTORES!$A$3:$H$54,6,0),"")</f>
        <v/>
      </c>
      <c r="R341" s="140"/>
      <c r="S341" s="140"/>
      <c r="T341" s="140"/>
      <c r="U341" s="140"/>
      <c r="V341" s="140"/>
      <c r="W341" s="140"/>
      <c r="X341" s="140"/>
      <c r="Y341" s="140"/>
      <c r="Z341" s="185" t="str">
        <f aca="false">IF(AND(G341&lt;&gt;"",R341&lt;&gt;"",V341&lt;&gt;"",W341&lt;&gt;""),"COMPLETADO","OBSERVADO")</f>
        <v>OBSERVADO</v>
      </c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138" t="str">
        <f aca="false">IFERROR(VLOOKUP(TEXT(H342,"0"),IPRESS!$A$3:$B$212,2,0),"")</f>
        <v/>
      </c>
      <c r="J342" s="85"/>
      <c r="K342" s="138" t="str">
        <f aca="false">IFERROR(VLOOKUP(TEXT(O342,"0"),CONDUCTORES!$A$3:$G$54,7,0),"")</f>
        <v/>
      </c>
      <c r="L342" s="85"/>
      <c r="M342" s="85"/>
      <c r="N342" s="139" t="str">
        <f aca="false">IFERROR(IF(L342*M342=0,"",L342*M342),"")</f>
        <v/>
      </c>
      <c r="O342" s="85"/>
      <c r="P342" s="138" t="str">
        <f aca="false">IFERROR(VLOOKUP(TEXT(O342,"0"),CONDUCTORES!$A$3:$G$54,2,0),"")</f>
        <v/>
      </c>
      <c r="Q342" s="138" t="str">
        <f aca="false">IFERROR(VLOOKUP(TEXT(O342,"0"),CONDUCTORES!$A$3:$H$54,6,0),"")</f>
        <v/>
      </c>
      <c r="R342" s="85"/>
      <c r="S342" s="85"/>
      <c r="T342" s="85"/>
      <c r="U342" s="85"/>
      <c r="V342" s="85"/>
      <c r="W342" s="85"/>
      <c r="X342" s="85"/>
      <c r="Y342" s="85"/>
      <c r="Z342" s="185" t="str">
        <f aca="false">IF(AND(G342&lt;&gt;"",R342&lt;&gt;"",V342&lt;&gt;"",W342&lt;&gt;""),"COMPLETADO","OBSERVADO")</f>
        <v>OBSERVADO</v>
      </c>
    </row>
    <row r="343" customFormat="false" ht="15" hidden="false" customHeight="true" outlineLevel="0" collapsed="false">
      <c r="A343" s="140"/>
      <c r="B343" s="140"/>
      <c r="C343" s="140"/>
      <c r="D343" s="140"/>
      <c r="E343" s="140"/>
      <c r="F343" s="140"/>
      <c r="G343" s="140"/>
      <c r="H343" s="140"/>
      <c r="I343" s="138" t="str">
        <f aca="false">IFERROR(VLOOKUP(TEXT(H343,"0"),IPRESS!$A$3:$B$212,2,0),"")</f>
        <v/>
      </c>
      <c r="J343" s="140"/>
      <c r="K343" s="138" t="str">
        <f aca="false">IFERROR(VLOOKUP(TEXT(O343,"0"),CONDUCTORES!$A$3:$G$54,7,0),"")</f>
        <v/>
      </c>
      <c r="L343" s="140"/>
      <c r="M343" s="140"/>
      <c r="N343" s="139" t="str">
        <f aca="false">IFERROR(IF(L343*M343=0,"",L343*M343),"")</f>
        <v/>
      </c>
      <c r="O343" s="140"/>
      <c r="P343" s="138" t="str">
        <f aca="false">IFERROR(VLOOKUP(TEXT(O343,"0"),CONDUCTORES!$A$3:$G$54,2,0),"")</f>
        <v/>
      </c>
      <c r="Q343" s="138" t="str">
        <f aca="false">IFERROR(VLOOKUP(TEXT(O343,"0"),CONDUCTORES!$A$3:$H$54,6,0),"")</f>
        <v/>
      </c>
      <c r="R343" s="140"/>
      <c r="S343" s="140"/>
      <c r="T343" s="140"/>
      <c r="U343" s="140"/>
      <c r="V343" s="140"/>
      <c r="W343" s="140"/>
      <c r="X343" s="140"/>
      <c r="Y343" s="140"/>
      <c r="Z343" s="185" t="str">
        <f aca="false">IF(AND(G343&lt;&gt;"",R343&lt;&gt;"",V343&lt;&gt;"",W343&lt;&gt;""),"COMPLETADO","OBSERVADO")</f>
        <v>OBSERVADO</v>
      </c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138" t="str">
        <f aca="false">IFERROR(VLOOKUP(TEXT(H344,"0"),IPRESS!$A$3:$B$212,2,0),"")</f>
        <v/>
      </c>
      <c r="J344" s="85"/>
      <c r="K344" s="138" t="str">
        <f aca="false">IFERROR(VLOOKUP(TEXT(O344,"0"),CONDUCTORES!$A$3:$G$54,7,0),"")</f>
        <v/>
      </c>
      <c r="L344" s="85"/>
      <c r="M344" s="85"/>
      <c r="N344" s="139" t="str">
        <f aca="false">IFERROR(IF(L344*M344=0,"",L344*M344),"")</f>
        <v/>
      </c>
      <c r="O344" s="85"/>
      <c r="P344" s="138" t="str">
        <f aca="false">IFERROR(VLOOKUP(TEXT(O344,"0"),CONDUCTORES!$A$3:$G$54,2,0),"")</f>
        <v/>
      </c>
      <c r="Q344" s="138" t="str">
        <f aca="false">IFERROR(VLOOKUP(TEXT(O344,"0"),CONDUCTORES!$A$3:$H$54,6,0),"")</f>
        <v/>
      </c>
      <c r="R344" s="85"/>
      <c r="S344" s="85"/>
      <c r="T344" s="85"/>
      <c r="U344" s="85"/>
      <c r="V344" s="85"/>
      <c r="W344" s="85"/>
      <c r="X344" s="85"/>
      <c r="Y344" s="85"/>
      <c r="Z344" s="185" t="str">
        <f aca="false">IF(AND(G344&lt;&gt;"",R344&lt;&gt;"",V344&lt;&gt;"",W344&lt;&gt;""),"COMPLETADO","OBSERVADO")</f>
        <v>OBSERVADO</v>
      </c>
    </row>
    <row r="345" customFormat="false" ht="15" hidden="false" customHeight="true" outlineLevel="0" collapsed="false">
      <c r="A345" s="140"/>
      <c r="B345" s="140"/>
      <c r="C345" s="140"/>
      <c r="D345" s="140"/>
      <c r="E345" s="140"/>
      <c r="F345" s="140"/>
      <c r="G345" s="140"/>
      <c r="H345" s="140"/>
      <c r="I345" s="138" t="str">
        <f aca="false">IFERROR(VLOOKUP(TEXT(H345,"0"),IPRESS!$A$3:$B$212,2,0),"")</f>
        <v/>
      </c>
      <c r="J345" s="140"/>
      <c r="K345" s="138" t="str">
        <f aca="false">IFERROR(VLOOKUP(TEXT(O345,"0"),CONDUCTORES!$A$3:$G$54,7,0),"")</f>
        <v/>
      </c>
      <c r="L345" s="140"/>
      <c r="M345" s="140"/>
      <c r="N345" s="139" t="str">
        <f aca="false">IFERROR(IF(L345*M345=0,"",L345*M345),"")</f>
        <v/>
      </c>
      <c r="O345" s="140"/>
      <c r="P345" s="138" t="str">
        <f aca="false">IFERROR(VLOOKUP(TEXT(O345,"0"),CONDUCTORES!$A$3:$G$54,2,0),"")</f>
        <v/>
      </c>
      <c r="Q345" s="138" t="str">
        <f aca="false">IFERROR(VLOOKUP(TEXT(O345,"0"),CONDUCTORES!$A$3:$H$54,6,0),"")</f>
        <v/>
      </c>
      <c r="R345" s="140"/>
      <c r="S345" s="140"/>
      <c r="T345" s="140"/>
      <c r="U345" s="140"/>
      <c r="V345" s="140"/>
      <c r="W345" s="140"/>
      <c r="X345" s="140"/>
      <c r="Y345" s="140"/>
      <c r="Z345" s="185" t="str">
        <f aca="false">IF(AND(G345&lt;&gt;"",R345&lt;&gt;"",V345&lt;&gt;"",W345&lt;&gt;""),"COMPLETADO","OBSERVADO")</f>
        <v>OBSERVADO</v>
      </c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138" t="str">
        <f aca="false">IFERROR(VLOOKUP(TEXT(H346,"0"),IPRESS!$A$3:$B$212,2,0),"")</f>
        <v/>
      </c>
      <c r="J346" s="85"/>
      <c r="K346" s="138" t="str">
        <f aca="false">IFERROR(VLOOKUP(TEXT(O346,"0"),CONDUCTORES!$A$3:$G$54,7,0),"")</f>
        <v/>
      </c>
      <c r="L346" s="85"/>
      <c r="M346" s="85"/>
      <c r="N346" s="139" t="str">
        <f aca="false">IFERROR(IF(L346*M346=0,"",L346*M346),"")</f>
        <v/>
      </c>
      <c r="O346" s="85"/>
      <c r="P346" s="138" t="str">
        <f aca="false">IFERROR(VLOOKUP(TEXT(O346,"0"),CONDUCTORES!$A$3:$G$54,2,0),"")</f>
        <v/>
      </c>
      <c r="Q346" s="138" t="str">
        <f aca="false">IFERROR(VLOOKUP(TEXT(O346,"0"),CONDUCTORES!$A$3:$H$54,6,0),"")</f>
        <v/>
      </c>
      <c r="R346" s="85"/>
      <c r="S346" s="85"/>
      <c r="T346" s="85"/>
      <c r="U346" s="85"/>
      <c r="V346" s="85"/>
      <c r="W346" s="85"/>
      <c r="X346" s="85"/>
      <c r="Y346" s="85"/>
      <c r="Z346" s="185" t="str">
        <f aca="false">IF(AND(G346&lt;&gt;"",R346&lt;&gt;"",V346&lt;&gt;"",W346&lt;&gt;""),"COMPLETADO","OBSERVADO")</f>
        <v>OBSERVADO</v>
      </c>
    </row>
    <row r="347" customFormat="false" ht="15" hidden="false" customHeight="true" outlineLevel="0" collapsed="false">
      <c r="A347" s="140"/>
      <c r="B347" s="140"/>
      <c r="C347" s="140"/>
      <c r="D347" s="140"/>
      <c r="E347" s="140"/>
      <c r="F347" s="140"/>
      <c r="G347" s="140"/>
      <c r="H347" s="140"/>
      <c r="I347" s="138" t="str">
        <f aca="false">IFERROR(VLOOKUP(TEXT(H347,"0"),IPRESS!$A$3:$B$212,2,0),"")</f>
        <v/>
      </c>
      <c r="J347" s="140"/>
      <c r="K347" s="138" t="str">
        <f aca="false">IFERROR(VLOOKUP(TEXT(O347,"0"),CONDUCTORES!$A$3:$G$54,7,0),"")</f>
        <v/>
      </c>
      <c r="L347" s="140"/>
      <c r="M347" s="140"/>
      <c r="N347" s="139" t="str">
        <f aca="false">IFERROR(IF(L347*M347=0,"",L347*M347),"")</f>
        <v/>
      </c>
      <c r="O347" s="140"/>
      <c r="P347" s="138" t="str">
        <f aca="false">IFERROR(VLOOKUP(TEXT(O347,"0"),CONDUCTORES!$A$3:$G$54,2,0),"")</f>
        <v/>
      </c>
      <c r="Q347" s="138" t="str">
        <f aca="false">IFERROR(VLOOKUP(TEXT(O347,"0"),CONDUCTORES!$A$3:$H$54,6,0),"")</f>
        <v/>
      </c>
      <c r="R347" s="140"/>
      <c r="S347" s="140"/>
      <c r="T347" s="140"/>
      <c r="U347" s="140"/>
      <c r="V347" s="140"/>
      <c r="W347" s="140"/>
      <c r="X347" s="140"/>
      <c r="Y347" s="140"/>
      <c r="Z347" s="185" t="str">
        <f aca="false">IF(AND(G347&lt;&gt;"",R347&lt;&gt;"",V347&lt;&gt;"",W347&lt;&gt;""),"COMPLETADO","OBSERVADO")</f>
        <v>OBSERVADO</v>
      </c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138" t="str">
        <f aca="false">IFERROR(VLOOKUP(TEXT(H348,"0"),IPRESS!$A$3:$B$212,2,0),"")</f>
        <v/>
      </c>
      <c r="J348" s="85"/>
      <c r="K348" s="138" t="str">
        <f aca="false">IFERROR(VLOOKUP(TEXT(O348,"0"),CONDUCTORES!$A$3:$G$54,7,0),"")</f>
        <v/>
      </c>
      <c r="L348" s="85"/>
      <c r="M348" s="85"/>
      <c r="N348" s="139" t="str">
        <f aca="false">IFERROR(IF(L348*M348=0,"",L348*M348),"")</f>
        <v/>
      </c>
      <c r="O348" s="85"/>
      <c r="P348" s="138" t="str">
        <f aca="false">IFERROR(VLOOKUP(TEXT(O348,"0"),CONDUCTORES!$A$3:$G$54,2,0),"")</f>
        <v/>
      </c>
      <c r="Q348" s="138" t="str">
        <f aca="false">IFERROR(VLOOKUP(TEXT(O348,"0"),CONDUCTORES!$A$3:$H$54,6,0),"")</f>
        <v/>
      </c>
      <c r="R348" s="85"/>
      <c r="S348" s="85"/>
      <c r="T348" s="85"/>
      <c r="U348" s="85"/>
      <c r="V348" s="85"/>
      <c r="W348" s="85"/>
      <c r="X348" s="85"/>
      <c r="Y348" s="85"/>
      <c r="Z348" s="185" t="str">
        <f aca="false">IF(AND(G348&lt;&gt;"",R348&lt;&gt;"",V348&lt;&gt;"",W348&lt;&gt;""),"COMPLETADO","OBSERVADO")</f>
        <v>OBSERVADO</v>
      </c>
    </row>
    <row r="349" customFormat="false" ht="15" hidden="false" customHeight="true" outlineLevel="0" collapsed="false">
      <c r="A349" s="140"/>
      <c r="B349" s="140"/>
      <c r="C349" s="140"/>
      <c r="D349" s="140"/>
      <c r="E349" s="140"/>
      <c r="F349" s="140"/>
      <c r="G349" s="140"/>
      <c r="H349" s="140"/>
      <c r="I349" s="138" t="str">
        <f aca="false">IFERROR(VLOOKUP(TEXT(H349,"0"),IPRESS!$A$3:$B$212,2,0),"")</f>
        <v/>
      </c>
      <c r="J349" s="140"/>
      <c r="K349" s="138" t="str">
        <f aca="false">IFERROR(VLOOKUP(TEXT(O349,"0"),CONDUCTORES!$A$3:$G$54,7,0),"")</f>
        <v/>
      </c>
      <c r="L349" s="140"/>
      <c r="M349" s="140"/>
      <c r="N349" s="139" t="str">
        <f aca="false">IFERROR(IF(L349*M349=0,"",L349*M349),"")</f>
        <v/>
      </c>
      <c r="O349" s="140"/>
      <c r="P349" s="138" t="str">
        <f aca="false">IFERROR(VLOOKUP(TEXT(O349,"0"),CONDUCTORES!$A$3:$G$54,2,0),"")</f>
        <v/>
      </c>
      <c r="Q349" s="138" t="str">
        <f aca="false">IFERROR(VLOOKUP(TEXT(O349,"0"),CONDUCTORES!$A$3:$H$54,6,0),"")</f>
        <v/>
      </c>
      <c r="R349" s="140"/>
      <c r="S349" s="140"/>
      <c r="T349" s="140"/>
      <c r="U349" s="140"/>
      <c r="V349" s="140"/>
      <c r="W349" s="140"/>
      <c r="X349" s="140"/>
      <c r="Y349" s="140"/>
      <c r="Z349" s="185" t="str">
        <f aca="false">IF(AND(G349&lt;&gt;"",R349&lt;&gt;"",V349&lt;&gt;"",W349&lt;&gt;""),"COMPLETADO","OBSERVADO")</f>
        <v>OBSERVADO</v>
      </c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138" t="str">
        <f aca="false">IFERROR(VLOOKUP(TEXT(H350,"0"),IPRESS!$A$3:$B$212,2,0),"")</f>
        <v/>
      </c>
      <c r="J350" s="85"/>
      <c r="K350" s="138" t="str">
        <f aca="false">IFERROR(VLOOKUP(TEXT(O350,"0"),CONDUCTORES!$A$3:$G$54,7,0),"")</f>
        <v/>
      </c>
      <c r="L350" s="85"/>
      <c r="M350" s="85"/>
      <c r="N350" s="139" t="str">
        <f aca="false">IFERROR(IF(L350*M350=0,"",L350*M350),"")</f>
        <v/>
      </c>
      <c r="O350" s="85"/>
      <c r="P350" s="138" t="str">
        <f aca="false">IFERROR(VLOOKUP(TEXT(O350,"0"),CONDUCTORES!$A$3:$G$54,2,0),"")</f>
        <v/>
      </c>
      <c r="Q350" s="138" t="str">
        <f aca="false">IFERROR(VLOOKUP(TEXT(O350,"0"),CONDUCTORES!$A$3:$H$54,6,0),"")</f>
        <v/>
      </c>
      <c r="R350" s="85"/>
      <c r="S350" s="85"/>
      <c r="T350" s="85"/>
      <c r="U350" s="85"/>
      <c r="V350" s="85"/>
      <c r="W350" s="85"/>
      <c r="X350" s="85"/>
      <c r="Y350" s="85"/>
      <c r="Z350" s="185" t="str">
        <f aca="false">IF(AND(G350&lt;&gt;"",R350&lt;&gt;"",V350&lt;&gt;"",W350&lt;&gt;""),"COMPLETADO","OBSERVADO")</f>
        <v>OBSERVADO</v>
      </c>
    </row>
    <row r="351" customFormat="false" ht="15" hidden="false" customHeight="true" outlineLevel="0" collapsed="false">
      <c r="A351" s="140"/>
      <c r="B351" s="140"/>
      <c r="C351" s="140"/>
      <c r="D351" s="140"/>
      <c r="E351" s="140"/>
      <c r="F351" s="140"/>
      <c r="G351" s="140"/>
      <c r="H351" s="140"/>
      <c r="I351" s="138" t="str">
        <f aca="false">IFERROR(VLOOKUP(TEXT(H351,"0"),IPRESS!$A$3:$B$212,2,0),"")</f>
        <v/>
      </c>
      <c r="J351" s="140"/>
      <c r="K351" s="138" t="str">
        <f aca="false">IFERROR(VLOOKUP(TEXT(O351,"0"),CONDUCTORES!$A$3:$G$54,7,0),"")</f>
        <v/>
      </c>
      <c r="L351" s="140"/>
      <c r="M351" s="140"/>
      <c r="N351" s="139" t="str">
        <f aca="false">IFERROR(IF(L351*M351=0,"",L351*M351),"")</f>
        <v/>
      </c>
      <c r="O351" s="140"/>
      <c r="P351" s="138" t="str">
        <f aca="false">IFERROR(VLOOKUP(TEXT(O351,"0"),CONDUCTORES!$A$3:$G$54,2,0),"")</f>
        <v/>
      </c>
      <c r="Q351" s="138" t="str">
        <f aca="false">IFERROR(VLOOKUP(TEXT(O351,"0"),CONDUCTORES!$A$3:$H$54,6,0),"")</f>
        <v/>
      </c>
      <c r="R351" s="140"/>
      <c r="S351" s="140"/>
      <c r="T351" s="140"/>
      <c r="U351" s="140"/>
      <c r="V351" s="140"/>
      <c r="W351" s="140"/>
      <c r="X351" s="140"/>
      <c r="Y351" s="140"/>
      <c r="Z351" s="185" t="str">
        <f aca="false">IF(AND(G351&lt;&gt;"",R351&lt;&gt;"",V351&lt;&gt;"",W351&lt;&gt;""),"COMPLETADO","OBSERVADO")</f>
        <v>OBSERVADO</v>
      </c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138" t="str">
        <f aca="false">IFERROR(VLOOKUP(TEXT(H352,"0"),IPRESS!$A$3:$B$212,2,0),"")</f>
        <v/>
      </c>
      <c r="J352" s="85"/>
      <c r="K352" s="138" t="str">
        <f aca="false">IFERROR(VLOOKUP(TEXT(O352,"0"),CONDUCTORES!$A$3:$G$54,7,0),"")</f>
        <v/>
      </c>
      <c r="L352" s="85"/>
      <c r="M352" s="85"/>
      <c r="N352" s="139" t="str">
        <f aca="false">IFERROR(IF(L352*M352=0,"",L352*M352),"")</f>
        <v/>
      </c>
      <c r="O352" s="85"/>
      <c r="P352" s="138" t="str">
        <f aca="false">IFERROR(VLOOKUP(TEXT(O352,"0"),CONDUCTORES!$A$3:$G$54,2,0),"")</f>
        <v/>
      </c>
      <c r="Q352" s="138" t="str">
        <f aca="false">IFERROR(VLOOKUP(TEXT(O352,"0"),CONDUCTORES!$A$3:$H$54,6,0),"")</f>
        <v/>
      </c>
      <c r="R352" s="85"/>
      <c r="S352" s="85"/>
      <c r="T352" s="85"/>
      <c r="U352" s="85"/>
      <c r="V352" s="85"/>
      <c r="W352" s="85"/>
      <c r="X352" s="85"/>
      <c r="Y352" s="85"/>
      <c r="Z352" s="185" t="str">
        <f aca="false">IF(AND(G352&lt;&gt;"",R352&lt;&gt;"",V352&lt;&gt;"",W352&lt;&gt;""),"COMPLETADO","OBSERVADO")</f>
        <v>OBSERVADO</v>
      </c>
    </row>
    <row r="353" customFormat="false" ht="15" hidden="false" customHeight="true" outlineLevel="0" collapsed="false">
      <c r="A353" s="140"/>
      <c r="B353" s="140"/>
      <c r="C353" s="140"/>
      <c r="D353" s="140"/>
      <c r="E353" s="140"/>
      <c r="F353" s="140"/>
      <c r="G353" s="140"/>
      <c r="H353" s="140"/>
      <c r="I353" s="138" t="str">
        <f aca="false">IFERROR(VLOOKUP(TEXT(H353,"0"),IPRESS!$A$3:$B$212,2,0),"")</f>
        <v/>
      </c>
      <c r="J353" s="140"/>
      <c r="K353" s="138" t="str">
        <f aca="false">IFERROR(VLOOKUP(TEXT(O353,"0"),CONDUCTORES!$A$3:$G$54,7,0),"")</f>
        <v/>
      </c>
      <c r="L353" s="140"/>
      <c r="M353" s="140"/>
      <c r="N353" s="139" t="str">
        <f aca="false">IFERROR(IF(L353*M353=0,"",L353*M353),"")</f>
        <v/>
      </c>
      <c r="O353" s="140"/>
      <c r="P353" s="138" t="str">
        <f aca="false">IFERROR(VLOOKUP(TEXT(O353,"0"),CONDUCTORES!$A$3:$G$54,2,0),"")</f>
        <v/>
      </c>
      <c r="Q353" s="138" t="str">
        <f aca="false">IFERROR(VLOOKUP(TEXT(O353,"0"),CONDUCTORES!$A$3:$H$54,6,0),"")</f>
        <v/>
      </c>
      <c r="R353" s="140"/>
      <c r="S353" s="140"/>
      <c r="T353" s="140"/>
      <c r="U353" s="140"/>
      <c r="V353" s="140"/>
      <c r="W353" s="140"/>
      <c r="X353" s="140"/>
      <c r="Y353" s="140"/>
      <c r="Z353" s="185" t="str">
        <f aca="false">IF(AND(G353&lt;&gt;"",R353&lt;&gt;"",V353&lt;&gt;"",W353&lt;&gt;""),"COMPLETADO","OBSERVADO")</f>
        <v>OBSERVADO</v>
      </c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138" t="str">
        <f aca="false">IFERROR(VLOOKUP(TEXT(H354,"0"),IPRESS!$A$3:$B$212,2,0),"")</f>
        <v/>
      </c>
      <c r="J354" s="85"/>
      <c r="K354" s="138" t="str">
        <f aca="false">IFERROR(VLOOKUP(TEXT(O354,"0"),CONDUCTORES!$A$3:$G$54,7,0),"")</f>
        <v/>
      </c>
      <c r="L354" s="85"/>
      <c r="M354" s="85"/>
      <c r="N354" s="139" t="str">
        <f aca="false">IFERROR(IF(L354*M354=0,"",L354*M354),"")</f>
        <v/>
      </c>
      <c r="O354" s="85"/>
      <c r="P354" s="138" t="str">
        <f aca="false">IFERROR(VLOOKUP(TEXT(O354,"0"),CONDUCTORES!$A$3:$G$54,2,0),"")</f>
        <v/>
      </c>
      <c r="Q354" s="138" t="str">
        <f aca="false">IFERROR(VLOOKUP(TEXT(O354,"0"),CONDUCTORES!$A$3:$H$54,6,0),"")</f>
        <v/>
      </c>
      <c r="R354" s="85"/>
      <c r="S354" s="85"/>
      <c r="T354" s="85"/>
      <c r="U354" s="85"/>
      <c r="V354" s="85"/>
      <c r="W354" s="85"/>
      <c r="X354" s="85"/>
      <c r="Y354" s="85"/>
      <c r="Z354" s="185" t="str">
        <f aca="false">IF(AND(G354&lt;&gt;"",R354&lt;&gt;"",V354&lt;&gt;"",W354&lt;&gt;""),"COMPLETADO","OBSERVADO")</f>
        <v>OBSERVADO</v>
      </c>
    </row>
    <row r="355" customFormat="false" ht="15" hidden="false" customHeight="true" outlineLevel="0" collapsed="false">
      <c r="A355" s="140"/>
      <c r="B355" s="140"/>
      <c r="C355" s="140"/>
      <c r="D355" s="140"/>
      <c r="E355" s="140"/>
      <c r="F355" s="140"/>
      <c r="G355" s="140"/>
      <c r="H355" s="140"/>
      <c r="I355" s="138" t="str">
        <f aca="false">IFERROR(VLOOKUP(TEXT(H355,"0"),IPRESS!$A$3:$B$212,2,0),"")</f>
        <v/>
      </c>
      <c r="J355" s="140"/>
      <c r="K355" s="138" t="str">
        <f aca="false">IFERROR(VLOOKUP(TEXT(O355,"0"),CONDUCTORES!$A$3:$G$54,7,0),"")</f>
        <v/>
      </c>
      <c r="L355" s="140"/>
      <c r="M355" s="140"/>
      <c r="N355" s="139" t="str">
        <f aca="false">IFERROR(IF(L355*M355=0,"",L355*M355),"")</f>
        <v/>
      </c>
      <c r="O355" s="140"/>
      <c r="P355" s="138" t="str">
        <f aca="false">IFERROR(VLOOKUP(TEXT(O355,"0"),CONDUCTORES!$A$3:$G$54,2,0),"")</f>
        <v/>
      </c>
      <c r="Q355" s="138" t="str">
        <f aca="false">IFERROR(VLOOKUP(TEXT(O355,"0"),CONDUCTORES!$A$3:$H$54,6,0),"")</f>
        <v/>
      </c>
      <c r="R355" s="140"/>
      <c r="S355" s="140"/>
      <c r="T355" s="140"/>
      <c r="U355" s="140"/>
      <c r="V355" s="140"/>
      <c r="W355" s="140"/>
      <c r="X355" s="140"/>
      <c r="Y355" s="140"/>
      <c r="Z355" s="185" t="str">
        <f aca="false">IF(AND(G355&lt;&gt;"",R355&lt;&gt;"",V355&lt;&gt;"",W355&lt;&gt;""),"COMPLETADO","OBSERVADO")</f>
        <v>OBSERVADO</v>
      </c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138" t="str">
        <f aca="false">IFERROR(VLOOKUP(TEXT(H356,"0"),IPRESS!$A$3:$B$212,2,0),"")</f>
        <v/>
      </c>
      <c r="J356" s="85"/>
      <c r="K356" s="138" t="str">
        <f aca="false">IFERROR(VLOOKUP(TEXT(O356,"0"),CONDUCTORES!$A$3:$G$54,7,0),"")</f>
        <v/>
      </c>
      <c r="L356" s="85"/>
      <c r="M356" s="85"/>
      <c r="N356" s="139" t="str">
        <f aca="false">IFERROR(IF(L356*M356=0,"",L356*M356),"")</f>
        <v/>
      </c>
      <c r="O356" s="85"/>
      <c r="P356" s="138" t="str">
        <f aca="false">IFERROR(VLOOKUP(TEXT(O356,"0"),CONDUCTORES!$A$3:$G$54,2,0),"")</f>
        <v/>
      </c>
      <c r="Q356" s="138" t="str">
        <f aca="false">IFERROR(VLOOKUP(TEXT(O356,"0"),CONDUCTORES!$A$3:$H$54,6,0),"")</f>
        <v/>
      </c>
      <c r="R356" s="85"/>
      <c r="S356" s="85"/>
      <c r="T356" s="85"/>
      <c r="U356" s="85"/>
      <c r="V356" s="85"/>
      <c r="W356" s="85"/>
      <c r="X356" s="85"/>
      <c r="Y356" s="85"/>
      <c r="Z356" s="185" t="str">
        <f aca="false">IF(AND(G356&lt;&gt;"",R356&lt;&gt;"",V356&lt;&gt;"",W356&lt;&gt;""),"COMPLETADO","OBSERVADO")</f>
        <v>OBSERVADO</v>
      </c>
    </row>
    <row r="357" customFormat="false" ht="15" hidden="false" customHeight="true" outlineLevel="0" collapsed="false">
      <c r="A357" s="140"/>
      <c r="B357" s="140"/>
      <c r="C357" s="140"/>
      <c r="D357" s="140"/>
      <c r="E357" s="140"/>
      <c r="F357" s="140"/>
      <c r="G357" s="140"/>
      <c r="H357" s="140"/>
      <c r="I357" s="138" t="str">
        <f aca="false">IFERROR(VLOOKUP(TEXT(H357,"0"),IPRESS!$A$3:$B$212,2,0),"")</f>
        <v/>
      </c>
      <c r="J357" s="140"/>
      <c r="K357" s="138" t="str">
        <f aca="false">IFERROR(VLOOKUP(TEXT(O357,"0"),CONDUCTORES!$A$3:$G$54,7,0),"")</f>
        <v/>
      </c>
      <c r="L357" s="140"/>
      <c r="M357" s="140"/>
      <c r="N357" s="139" t="str">
        <f aca="false">IFERROR(IF(L357*M357=0,"",L357*M357),"")</f>
        <v/>
      </c>
      <c r="O357" s="140"/>
      <c r="P357" s="138" t="str">
        <f aca="false">IFERROR(VLOOKUP(TEXT(O357,"0"),CONDUCTORES!$A$3:$G$54,2,0),"")</f>
        <v/>
      </c>
      <c r="Q357" s="138" t="str">
        <f aca="false">IFERROR(VLOOKUP(TEXT(O357,"0"),CONDUCTORES!$A$3:$H$54,6,0),"")</f>
        <v/>
      </c>
      <c r="R357" s="140"/>
      <c r="S357" s="140"/>
      <c r="T357" s="140"/>
      <c r="U357" s="140"/>
      <c r="V357" s="140"/>
      <c r="W357" s="140"/>
      <c r="X357" s="140"/>
      <c r="Y357" s="140"/>
      <c r="Z357" s="185" t="str">
        <f aca="false">IF(AND(G357&lt;&gt;"",R357&lt;&gt;"",V357&lt;&gt;"",W357&lt;&gt;""),"COMPLETADO","OBSERVADO")</f>
        <v>OBSERVADO</v>
      </c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138" t="str">
        <f aca="false">IFERROR(VLOOKUP(TEXT(H358,"0"),IPRESS!$A$3:$B$212,2,0),"")</f>
        <v/>
      </c>
      <c r="J358" s="85"/>
      <c r="K358" s="138" t="str">
        <f aca="false">IFERROR(VLOOKUP(TEXT(O358,"0"),CONDUCTORES!$A$3:$G$54,7,0),"")</f>
        <v/>
      </c>
      <c r="L358" s="85"/>
      <c r="M358" s="85"/>
      <c r="N358" s="139" t="str">
        <f aca="false">IFERROR(IF(L358*M358=0,"",L358*M358),"")</f>
        <v/>
      </c>
      <c r="O358" s="85"/>
      <c r="P358" s="138" t="str">
        <f aca="false">IFERROR(VLOOKUP(TEXT(O358,"0"),CONDUCTORES!$A$3:$G$54,2,0),"")</f>
        <v/>
      </c>
      <c r="Q358" s="138" t="str">
        <f aca="false">IFERROR(VLOOKUP(TEXT(O358,"0"),CONDUCTORES!$A$3:$H$54,6,0),"")</f>
        <v/>
      </c>
      <c r="R358" s="85"/>
      <c r="S358" s="85"/>
      <c r="T358" s="85"/>
      <c r="U358" s="85"/>
      <c r="V358" s="85"/>
      <c r="W358" s="85"/>
      <c r="X358" s="85"/>
      <c r="Y358" s="85"/>
      <c r="Z358" s="185" t="str">
        <f aca="false">IF(AND(G358&lt;&gt;"",R358&lt;&gt;"",V358&lt;&gt;"",W358&lt;&gt;""),"COMPLETADO","OBSERVADO")</f>
        <v>OBSERVADO</v>
      </c>
    </row>
    <row r="359" customFormat="false" ht="15" hidden="false" customHeight="true" outlineLevel="0" collapsed="false">
      <c r="A359" s="140"/>
      <c r="B359" s="140"/>
      <c r="C359" s="140"/>
      <c r="D359" s="140"/>
      <c r="E359" s="140"/>
      <c r="F359" s="140"/>
      <c r="G359" s="140"/>
      <c r="H359" s="140"/>
      <c r="I359" s="138" t="str">
        <f aca="false">IFERROR(VLOOKUP(TEXT(H359,"0"),IPRESS!$A$3:$B$212,2,0),"")</f>
        <v/>
      </c>
      <c r="J359" s="140"/>
      <c r="K359" s="138" t="str">
        <f aca="false">IFERROR(VLOOKUP(TEXT(O359,"0"),CONDUCTORES!$A$3:$G$54,7,0),"")</f>
        <v/>
      </c>
      <c r="L359" s="140"/>
      <c r="M359" s="140"/>
      <c r="N359" s="139" t="str">
        <f aca="false">IFERROR(IF(L359*M359=0,"",L359*M359),"")</f>
        <v/>
      </c>
      <c r="O359" s="140"/>
      <c r="P359" s="138" t="str">
        <f aca="false">IFERROR(VLOOKUP(TEXT(O359,"0"),CONDUCTORES!$A$3:$G$54,2,0),"")</f>
        <v/>
      </c>
      <c r="Q359" s="138" t="str">
        <f aca="false">IFERROR(VLOOKUP(TEXT(O359,"0"),CONDUCTORES!$A$3:$H$54,6,0),"")</f>
        <v/>
      </c>
      <c r="R359" s="140"/>
      <c r="S359" s="140"/>
      <c r="T359" s="140"/>
      <c r="U359" s="140"/>
      <c r="V359" s="140"/>
      <c r="W359" s="140"/>
      <c r="X359" s="140"/>
      <c r="Y359" s="140"/>
      <c r="Z359" s="185" t="str">
        <f aca="false">IF(AND(G359&lt;&gt;"",R359&lt;&gt;"",V359&lt;&gt;"",W359&lt;&gt;""),"COMPLETADO","OBSERVADO")</f>
        <v>OBSERVADO</v>
      </c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138" t="str">
        <f aca="false">IFERROR(VLOOKUP(TEXT(H360,"0"),IPRESS!$A$3:$B$212,2,0),"")</f>
        <v/>
      </c>
      <c r="J360" s="85"/>
      <c r="K360" s="138" t="str">
        <f aca="false">IFERROR(VLOOKUP(TEXT(O360,"0"),CONDUCTORES!$A$3:$G$54,7,0),"")</f>
        <v/>
      </c>
      <c r="L360" s="85"/>
      <c r="M360" s="85"/>
      <c r="N360" s="139" t="str">
        <f aca="false">IFERROR(IF(L360*M360=0,"",L360*M360),"")</f>
        <v/>
      </c>
      <c r="O360" s="85"/>
      <c r="P360" s="138" t="str">
        <f aca="false">IFERROR(VLOOKUP(TEXT(O360,"0"),CONDUCTORES!$A$3:$G$54,2,0),"")</f>
        <v/>
      </c>
      <c r="Q360" s="138" t="str">
        <f aca="false">IFERROR(VLOOKUP(TEXT(O360,"0"),CONDUCTORES!$A$3:$H$54,6,0),"")</f>
        <v/>
      </c>
      <c r="R360" s="85"/>
      <c r="S360" s="85"/>
      <c r="T360" s="85"/>
      <c r="U360" s="85"/>
      <c r="V360" s="85"/>
      <c r="W360" s="85"/>
      <c r="X360" s="85"/>
      <c r="Y360" s="85"/>
      <c r="Z360" s="185" t="str">
        <f aca="false">IF(AND(G360&lt;&gt;"",R360&lt;&gt;"",V360&lt;&gt;"",W360&lt;&gt;""),"COMPLETADO","OBSERVADO")</f>
        <v>OBSERVADO</v>
      </c>
    </row>
    <row r="361" customFormat="false" ht="15" hidden="false" customHeight="true" outlineLevel="0" collapsed="false">
      <c r="A361" s="140"/>
      <c r="B361" s="140"/>
      <c r="C361" s="140"/>
      <c r="D361" s="140"/>
      <c r="E361" s="140"/>
      <c r="F361" s="140"/>
      <c r="G361" s="140"/>
      <c r="H361" s="140"/>
      <c r="I361" s="138" t="str">
        <f aca="false">IFERROR(VLOOKUP(TEXT(H361,"0"),IPRESS!$A$3:$B$212,2,0),"")</f>
        <v/>
      </c>
      <c r="J361" s="140"/>
      <c r="K361" s="138" t="str">
        <f aca="false">IFERROR(VLOOKUP(TEXT(O361,"0"),CONDUCTORES!$A$3:$G$54,7,0),"")</f>
        <v/>
      </c>
      <c r="L361" s="140"/>
      <c r="M361" s="140"/>
      <c r="N361" s="139" t="str">
        <f aca="false">IFERROR(IF(L361*M361=0,"",L361*M361),"")</f>
        <v/>
      </c>
      <c r="O361" s="140"/>
      <c r="P361" s="138" t="str">
        <f aca="false">IFERROR(VLOOKUP(TEXT(O361,"0"),CONDUCTORES!$A$3:$G$54,2,0),"")</f>
        <v/>
      </c>
      <c r="Q361" s="138" t="str">
        <f aca="false">IFERROR(VLOOKUP(TEXT(O361,"0"),CONDUCTORES!$A$3:$H$54,6,0),"")</f>
        <v/>
      </c>
      <c r="R361" s="140"/>
      <c r="S361" s="140"/>
      <c r="T361" s="140"/>
      <c r="U361" s="140"/>
      <c r="V361" s="140"/>
      <c r="W361" s="140"/>
      <c r="X361" s="140"/>
      <c r="Y361" s="140"/>
      <c r="Z361" s="185" t="str">
        <f aca="false">IF(AND(G361&lt;&gt;"",R361&lt;&gt;"",V361&lt;&gt;"",W361&lt;&gt;""),"COMPLETADO","OBSERVADO")</f>
        <v>OBSERVADO</v>
      </c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138" t="str">
        <f aca="false">IFERROR(VLOOKUP(TEXT(H362,"0"),IPRESS!$A$3:$B$212,2,0),"")</f>
        <v/>
      </c>
      <c r="J362" s="85"/>
      <c r="K362" s="138" t="str">
        <f aca="false">IFERROR(VLOOKUP(TEXT(O362,"0"),CONDUCTORES!$A$3:$G$54,7,0),"")</f>
        <v/>
      </c>
      <c r="L362" s="85"/>
      <c r="M362" s="85"/>
      <c r="N362" s="139" t="str">
        <f aca="false">IFERROR(IF(L362*M362=0,"",L362*M362),"")</f>
        <v/>
      </c>
      <c r="O362" s="85"/>
      <c r="P362" s="138" t="str">
        <f aca="false">IFERROR(VLOOKUP(TEXT(O362,"0"),CONDUCTORES!$A$3:$G$54,2,0),"")</f>
        <v/>
      </c>
      <c r="Q362" s="138" t="str">
        <f aca="false">IFERROR(VLOOKUP(TEXT(O362,"0"),CONDUCTORES!$A$3:$H$54,6,0),"")</f>
        <v/>
      </c>
      <c r="R362" s="85"/>
      <c r="S362" s="85"/>
      <c r="T362" s="85"/>
      <c r="U362" s="85"/>
      <c r="V362" s="85"/>
      <c r="W362" s="85"/>
      <c r="X362" s="85"/>
      <c r="Y362" s="85"/>
      <c r="Z362" s="185" t="str">
        <f aca="false">IF(AND(G362&lt;&gt;"",R362&lt;&gt;"",V362&lt;&gt;"",W362&lt;&gt;""),"COMPLETADO","OBSERVADO")</f>
        <v>OBSERVADO</v>
      </c>
    </row>
    <row r="363" customFormat="false" ht="15" hidden="false" customHeight="true" outlineLevel="0" collapsed="false">
      <c r="A363" s="140"/>
      <c r="B363" s="140"/>
      <c r="C363" s="140"/>
      <c r="D363" s="140"/>
      <c r="E363" s="140"/>
      <c r="F363" s="140"/>
      <c r="G363" s="140"/>
      <c r="H363" s="140"/>
      <c r="I363" s="138" t="str">
        <f aca="false">IFERROR(VLOOKUP(TEXT(H363,"0"),IPRESS!$A$3:$B$212,2,0),"")</f>
        <v/>
      </c>
      <c r="J363" s="140"/>
      <c r="K363" s="138" t="str">
        <f aca="false">IFERROR(VLOOKUP(TEXT(O363,"0"),CONDUCTORES!$A$3:$G$54,7,0),"")</f>
        <v/>
      </c>
      <c r="L363" s="140"/>
      <c r="M363" s="140"/>
      <c r="N363" s="139" t="str">
        <f aca="false">IFERROR(IF(L363*M363=0,"",L363*M363),"")</f>
        <v/>
      </c>
      <c r="O363" s="140"/>
      <c r="P363" s="138" t="str">
        <f aca="false">IFERROR(VLOOKUP(TEXT(O363,"0"),CONDUCTORES!$A$3:$G$54,2,0),"")</f>
        <v/>
      </c>
      <c r="Q363" s="138" t="str">
        <f aca="false">IFERROR(VLOOKUP(TEXT(O363,"0"),CONDUCTORES!$A$3:$H$54,6,0),"")</f>
        <v/>
      </c>
      <c r="R363" s="140"/>
      <c r="S363" s="140"/>
      <c r="T363" s="140"/>
      <c r="U363" s="140"/>
      <c r="V363" s="140"/>
      <c r="W363" s="140"/>
      <c r="X363" s="140"/>
      <c r="Y363" s="140"/>
      <c r="Z363" s="185" t="str">
        <f aca="false">IF(AND(G363&lt;&gt;"",R363&lt;&gt;"",V363&lt;&gt;"",W363&lt;&gt;""),"COMPLETADO","OBSERVADO")</f>
        <v>OBSERVADO</v>
      </c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138" t="str">
        <f aca="false">IFERROR(VLOOKUP(TEXT(H364,"0"),IPRESS!$A$3:$B$212,2,0),"")</f>
        <v/>
      </c>
      <c r="J364" s="85"/>
      <c r="K364" s="138" t="str">
        <f aca="false">IFERROR(VLOOKUP(TEXT(O364,"0"),CONDUCTORES!$A$3:$G$54,7,0),"")</f>
        <v/>
      </c>
      <c r="L364" s="85"/>
      <c r="M364" s="85"/>
      <c r="N364" s="139" t="str">
        <f aca="false">IFERROR(IF(L364*M364=0,"",L364*M364),"")</f>
        <v/>
      </c>
      <c r="O364" s="85"/>
      <c r="P364" s="138" t="str">
        <f aca="false">IFERROR(VLOOKUP(TEXT(O364,"0"),CONDUCTORES!$A$3:$G$54,2,0),"")</f>
        <v/>
      </c>
      <c r="Q364" s="138" t="str">
        <f aca="false">IFERROR(VLOOKUP(TEXT(O364,"0"),CONDUCTORES!$A$3:$H$54,6,0),"")</f>
        <v/>
      </c>
      <c r="R364" s="85"/>
      <c r="S364" s="85"/>
      <c r="T364" s="85"/>
      <c r="U364" s="85"/>
      <c r="V364" s="85"/>
      <c r="W364" s="85"/>
      <c r="X364" s="85"/>
      <c r="Y364" s="85"/>
      <c r="Z364" s="185" t="str">
        <f aca="false">IF(AND(G364&lt;&gt;"",R364&lt;&gt;"",V364&lt;&gt;"",W364&lt;&gt;""),"COMPLETADO","OBSERVADO")</f>
        <v>OBSERVADO</v>
      </c>
    </row>
    <row r="365" customFormat="false" ht="15" hidden="false" customHeight="true" outlineLevel="0" collapsed="false">
      <c r="A365" s="140"/>
      <c r="B365" s="140"/>
      <c r="C365" s="140"/>
      <c r="D365" s="140"/>
      <c r="E365" s="140"/>
      <c r="F365" s="140"/>
      <c r="G365" s="140"/>
      <c r="H365" s="140"/>
      <c r="I365" s="138" t="str">
        <f aca="false">IFERROR(VLOOKUP(TEXT(H365,"0"),IPRESS!$A$3:$B$212,2,0),"")</f>
        <v/>
      </c>
      <c r="J365" s="140"/>
      <c r="K365" s="138" t="str">
        <f aca="false">IFERROR(VLOOKUP(TEXT(O365,"0"),CONDUCTORES!$A$3:$G$54,7,0),"")</f>
        <v/>
      </c>
      <c r="L365" s="140"/>
      <c r="M365" s="140"/>
      <c r="N365" s="139" t="str">
        <f aca="false">IFERROR(IF(L365*M365=0,"",L365*M365),"")</f>
        <v/>
      </c>
      <c r="O365" s="140"/>
      <c r="P365" s="138" t="str">
        <f aca="false">IFERROR(VLOOKUP(TEXT(O365,"0"),CONDUCTORES!$A$3:$G$54,2,0),"")</f>
        <v/>
      </c>
      <c r="Q365" s="138" t="str">
        <f aca="false">IFERROR(VLOOKUP(TEXT(O365,"0"),CONDUCTORES!$A$3:$H$54,6,0),"")</f>
        <v/>
      </c>
      <c r="R365" s="140"/>
      <c r="S365" s="140"/>
      <c r="T365" s="140"/>
      <c r="U365" s="140"/>
      <c r="V365" s="140"/>
      <c r="W365" s="140"/>
      <c r="X365" s="140"/>
      <c r="Y365" s="140"/>
      <c r="Z365" s="185" t="str">
        <f aca="false">IF(AND(G365&lt;&gt;"",R365&lt;&gt;"",V365&lt;&gt;"",W365&lt;&gt;""),"COMPLETADO","OBSERVADO")</f>
        <v>OBSERVADO</v>
      </c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138" t="str">
        <f aca="false">IFERROR(VLOOKUP(TEXT(H366,"0"),IPRESS!$A$3:$B$212,2,0),"")</f>
        <v/>
      </c>
      <c r="J366" s="85"/>
      <c r="K366" s="138" t="str">
        <f aca="false">IFERROR(VLOOKUP(TEXT(O366,"0"),CONDUCTORES!$A$3:$G$54,7,0),"")</f>
        <v/>
      </c>
      <c r="L366" s="85"/>
      <c r="M366" s="85"/>
      <c r="N366" s="139" t="str">
        <f aca="false">IFERROR(IF(L366*M366=0,"",L366*M366),"")</f>
        <v/>
      </c>
      <c r="O366" s="85"/>
      <c r="P366" s="138" t="str">
        <f aca="false">IFERROR(VLOOKUP(TEXT(O366,"0"),CONDUCTORES!$A$3:$G$54,2,0),"")</f>
        <v/>
      </c>
      <c r="Q366" s="138" t="str">
        <f aca="false">IFERROR(VLOOKUP(TEXT(O366,"0"),CONDUCTORES!$A$3:$H$54,6,0),"")</f>
        <v/>
      </c>
      <c r="R366" s="85"/>
      <c r="S366" s="85"/>
      <c r="T366" s="85"/>
      <c r="U366" s="85"/>
      <c r="V366" s="85"/>
      <c r="W366" s="85"/>
      <c r="X366" s="85"/>
      <c r="Y366" s="85"/>
      <c r="Z366" s="185" t="str">
        <f aca="false">IF(AND(G366&lt;&gt;"",R366&lt;&gt;"",V366&lt;&gt;"",W366&lt;&gt;""),"COMPLETADO","OBSERVADO")</f>
        <v>OBSERVADO</v>
      </c>
    </row>
    <row r="367" customFormat="false" ht="15" hidden="false" customHeight="true" outlineLevel="0" collapsed="false">
      <c r="A367" s="140"/>
      <c r="B367" s="140"/>
      <c r="C367" s="140"/>
      <c r="D367" s="140"/>
      <c r="E367" s="140"/>
      <c r="F367" s="140"/>
      <c r="G367" s="140"/>
      <c r="H367" s="140"/>
      <c r="I367" s="138" t="str">
        <f aca="false">IFERROR(VLOOKUP(TEXT(H367,"0"),IPRESS!$A$3:$B$212,2,0),"")</f>
        <v/>
      </c>
      <c r="J367" s="140"/>
      <c r="K367" s="138" t="str">
        <f aca="false">IFERROR(VLOOKUP(TEXT(O367,"0"),CONDUCTORES!$A$3:$G$54,7,0),"")</f>
        <v/>
      </c>
      <c r="L367" s="140"/>
      <c r="M367" s="140"/>
      <c r="N367" s="139" t="str">
        <f aca="false">IFERROR(IF(L367*M367=0,"",L367*M367),"")</f>
        <v/>
      </c>
      <c r="O367" s="140"/>
      <c r="P367" s="138" t="str">
        <f aca="false">IFERROR(VLOOKUP(TEXT(O367,"0"),CONDUCTORES!$A$3:$G$54,2,0),"")</f>
        <v/>
      </c>
      <c r="Q367" s="138" t="str">
        <f aca="false">IFERROR(VLOOKUP(TEXT(O367,"0"),CONDUCTORES!$A$3:$H$54,6,0),"")</f>
        <v/>
      </c>
      <c r="R367" s="140"/>
      <c r="S367" s="140"/>
      <c r="T367" s="140"/>
      <c r="U367" s="140"/>
      <c r="V367" s="140"/>
      <c r="W367" s="140"/>
      <c r="X367" s="140"/>
      <c r="Y367" s="140"/>
      <c r="Z367" s="185" t="str">
        <f aca="false">IF(AND(G367&lt;&gt;"",R367&lt;&gt;"",V367&lt;&gt;"",W367&lt;&gt;""),"COMPLETADO","OBSERVADO")</f>
        <v>OBSERVADO</v>
      </c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138" t="str">
        <f aca="false">IFERROR(VLOOKUP(TEXT(H368,"0"),IPRESS!$A$3:$B$212,2,0),"")</f>
        <v/>
      </c>
      <c r="J368" s="85"/>
      <c r="K368" s="138" t="str">
        <f aca="false">IFERROR(VLOOKUP(TEXT(O368,"0"),CONDUCTORES!$A$3:$G$54,7,0),"")</f>
        <v/>
      </c>
      <c r="L368" s="85"/>
      <c r="M368" s="85"/>
      <c r="N368" s="139" t="str">
        <f aca="false">IFERROR(IF(L368*M368=0,"",L368*M368),"")</f>
        <v/>
      </c>
      <c r="O368" s="85"/>
      <c r="P368" s="138" t="str">
        <f aca="false">IFERROR(VLOOKUP(TEXT(O368,"0"),CONDUCTORES!$A$3:$G$54,2,0),"")</f>
        <v/>
      </c>
      <c r="Q368" s="138" t="str">
        <f aca="false">IFERROR(VLOOKUP(TEXT(O368,"0"),CONDUCTORES!$A$3:$H$54,6,0),"")</f>
        <v/>
      </c>
      <c r="R368" s="85"/>
      <c r="S368" s="85"/>
      <c r="T368" s="85"/>
      <c r="U368" s="85"/>
      <c r="V368" s="85"/>
      <c r="W368" s="85"/>
      <c r="X368" s="85"/>
      <c r="Y368" s="85"/>
      <c r="Z368" s="185" t="str">
        <f aca="false">IF(AND(G368&lt;&gt;"",R368&lt;&gt;"",V368&lt;&gt;"",W368&lt;&gt;""),"COMPLETADO","OBSERVADO")</f>
        <v>OBSERVADO</v>
      </c>
    </row>
    <row r="369" customFormat="false" ht="15" hidden="false" customHeight="true" outlineLevel="0" collapsed="false">
      <c r="A369" s="140"/>
      <c r="B369" s="140"/>
      <c r="C369" s="140"/>
      <c r="D369" s="140"/>
      <c r="E369" s="140"/>
      <c r="F369" s="140"/>
      <c r="G369" s="140"/>
      <c r="H369" s="140"/>
      <c r="I369" s="138" t="str">
        <f aca="false">IFERROR(VLOOKUP(TEXT(H369,"0"),IPRESS!$A$3:$B$212,2,0),"")</f>
        <v/>
      </c>
      <c r="J369" s="140"/>
      <c r="K369" s="138" t="str">
        <f aca="false">IFERROR(VLOOKUP(TEXT(O369,"0"),CONDUCTORES!$A$3:$G$54,7,0),"")</f>
        <v/>
      </c>
      <c r="L369" s="140"/>
      <c r="M369" s="140"/>
      <c r="N369" s="139" t="str">
        <f aca="false">IFERROR(IF(L369*M369=0,"",L369*M369),"")</f>
        <v/>
      </c>
      <c r="O369" s="140"/>
      <c r="P369" s="138" t="str">
        <f aca="false">IFERROR(VLOOKUP(TEXT(O369,"0"),CONDUCTORES!$A$3:$G$54,2,0),"")</f>
        <v/>
      </c>
      <c r="Q369" s="138" t="str">
        <f aca="false">IFERROR(VLOOKUP(TEXT(O369,"0"),CONDUCTORES!$A$3:$H$54,6,0),"")</f>
        <v/>
      </c>
      <c r="R369" s="140"/>
      <c r="S369" s="140"/>
      <c r="T369" s="140"/>
      <c r="U369" s="140"/>
      <c r="V369" s="140"/>
      <c r="W369" s="140"/>
      <c r="X369" s="140"/>
      <c r="Y369" s="140"/>
      <c r="Z369" s="185" t="str">
        <f aca="false">IF(AND(G369&lt;&gt;"",R369&lt;&gt;"",V369&lt;&gt;"",W369&lt;&gt;""),"COMPLETADO","OBSERVADO")</f>
        <v>OBSERVADO</v>
      </c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138" t="str">
        <f aca="false">IFERROR(VLOOKUP(TEXT(H370,"0"),IPRESS!$A$3:$B$212,2,0),"")</f>
        <v/>
      </c>
      <c r="J370" s="85"/>
      <c r="K370" s="138" t="str">
        <f aca="false">IFERROR(VLOOKUP(TEXT(O370,"0"),CONDUCTORES!$A$3:$G$54,7,0),"")</f>
        <v/>
      </c>
      <c r="L370" s="85"/>
      <c r="M370" s="85"/>
      <c r="N370" s="139" t="str">
        <f aca="false">IFERROR(IF(L370*M370=0,"",L370*M370),"")</f>
        <v/>
      </c>
      <c r="O370" s="85"/>
      <c r="P370" s="138" t="str">
        <f aca="false">IFERROR(VLOOKUP(TEXT(O370,"0"),CONDUCTORES!$A$3:$G$54,2,0),"")</f>
        <v/>
      </c>
      <c r="Q370" s="138" t="str">
        <f aca="false">IFERROR(VLOOKUP(TEXT(O370,"0"),CONDUCTORES!$A$3:$H$54,6,0),"")</f>
        <v/>
      </c>
      <c r="R370" s="85"/>
      <c r="S370" s="85"/>
      <c r="T370" s="85"/>
      <c r="U370" s="85"/>
      <c r="V370" s="85"/>
      <c r="W370" s="85"/>
      <c r="X370" s="85"/>
      <c r="Y370" s="85"/>
      <c r="Z370" s="185" t="str">
        <f aca="false">IF(AND(G370&lt;&gt;"",R370&lt;&gt;"",V370&lt;&gt;"",W370&lt;&gt;""),"COMPLETADO","OBSERVADO")</f>
        <v>OBSERVADO</v>
      </c>
    </row>
    <row r="371" customFormat="false" ht="15" hidden="false" customHeight="true" outlineLevel="0" collapsed="false">
      <c r="A371" s="140"/>
      <c r="B371" s="140"/>
      <c r="C371" s="140"/>
      <c r="D371" s="140"/>
      <c r="E371" s="140"/>
      <c r="F371" s="140"/>
      <c r="G371" s="140"/>
      <c r="H371" s="140"/>
      <c r="I371" s="138" t="str">
        <f aca="false">IFERROR(VLOOKUP(TEXT(H371,"0"),IPRESS!$A$3:$B$212,2,0),"")</f>
        <v/>
      </c>
      <c r="J371" s="140"/>
      <c r="K371" s="138" t="str">
        <f aca="false">IFERROR(VLOOKUP(TEXT(O371,"0"),CONDUCTORES!$A$3:$G$54,7,0),"")</f>
        <v/>
      </c>
      <c r="L371" s="140"/>
      <c r="M371" s="140"/>
      <c r="N371" s="139" t="str">
        <f aca="false">IFERROR(IF(L371*M371=0,"",L371*M371),"")</f>
        <v/>
      </c>
      <c r="O371" s="140"/>
      <c r="P371" s="138" t="str">
        <f aca="false">IFERROR(VLOOKUP(TEXT(O371,"0"),CONDUCTORES!$A$3:$G$54,2,0),"")</f>
        <v/>
      </c>
      <c r="Q371" s="138" t="str">
        <f aca="false">IFERROR(VLOOKUP(TEXT(O371,"0"),CONDUCTORES!$A$3:$H$54,6,0),"")</f>
        <v/>
      </c>
      <c r="R371" s="140"/>
      <c r="S371" s="140"/>
      <c r="T371" s="140"/>
      <c r="U371" s="140"/>
      <c r="V371" s="140"/>
      <c r="W371" s="140"/>
      <c r="X371" s="140"/>
      <c r="Y371" s="140"/>
      <c r="Z371" s="185" t="str">
        <f aca="false">IF(AND(G371&lt;&gt;"",R371&lt;&gt;"",V371&lt;&gt;"",W371&lt;&gt;""),"COMPLETADO","OBSERVADO")</f>
        <v>OBSERVADO</v>
      </c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138" t="str">
        <f aca="false">IFERROR(VLOOKUP(TEXT(H372,"0"),IPRESS!$A$3:$B$212,2,0),"")</f>
        <v/>
      </c>
      <c r="J372" s="85"/>
      <c r="K372" s="138" t="str">
        <f aca="false">IFERROR(VLOOKUP(TEXT(O372,"0"),CONDUCTORES!$A$3:$G$54,7,0),"")</f>
        <v/>
      </c>
      <c r="L372" s="85"/>
      <c r="M372" s="85"/>
      <c r="N372" s="139" t="str">
        <f aca="false">IFERROR(IF(L372*M372=0,"",L372*M372),"")</f>
        <v/>
      </c>
      <c r="O372" s="85"/>
      <c r="P372" s="138" t="str">
        <f aca="false">IFERROR(VLOOKUP(TEXT(O372,"0"),CONDUCTORES!$A$3:$G$54,2,0),"")</f>
        <v/>
      </c>
      <c r="Q372" s="138" t="str">
        <f aca="false">IFERROR(VLOOKUP(TEXT(O372,"0"),CONDUCTORES!$A$3:$H$54,6,0),"")</f>
        <v/>
      </c>
      <c r="R372" s="85"/>
      <c r="S372" s="85"/>
      <c r="T372" s="85"/>
      <c r="U372" s="85"/>
      <c r="V372" s="85"/>
      <c r="W372" s="85"/>
      <c r="X372" s="85"/>
      <c r="Y372" s="85"/>
      <c r="Z372" s="185" t="str">
        <f aca="false">IF(AND(G372&lt;&gt;"",R372&lt;&gt;"",V372&lt;&gt;"",W372&lt;&gt;""),"COMPLETADO","OBSERVADO")</f>
        <v>OBSERVADO</v>
      </c>
    </row>
    <row r="373" customFormat="false" ht="15" hidden="false" customHeight="true" outlineLevel="0" collapsed="false">
      <c r="A373" s="140"/>
      <c r="B373" s="140"/>
      <c r="C373" s="140"/>
      <c r="D373" s="140"/>
      <c r="E373" s="140"/>
      <c r="F373" s="140"/>
      <c r="G373" s="140"/>
      <c r="H373" s="140"/>
      <c r="I373" s="138" t="str">
        <f aca="false">IFERROR(VLOOKUP(TEXT(H373,"0"),IPRESS!$A$3:$B$212,2,0),"")</f>
        <v/>
      </c>
      <c r="J373" s="140"/>
      <c r="K373" s="138" t="str">
        <f aca="false">IFERROR(VLOOKUP(TEXT(O373,"0"),CONDUCTORES!$A$3:$G$54,7,0),"")</f>
        <v/>
      </c>
      <c r="L373" s="140"/>
      <c r="M373" s="140"/>
      <c r="N373" s="139" t="str">
        <f aca="false">IFERROR(IF(L373*M373=0,"",L373*M373),"")</f>
        <v/>
      </c>
      <c r="O373" s="140"/>
      <c r="P373" s="138" t="str">
        <f aca="false">IFERROR(VLOOKUP(TEXT(O373,"0"),CONDUCTORES!$A$3:$G$54,2,0),"")</f>
        <v/>
      </c>
      <c r="Q373" s="138" t="str">
        <f aca="false">IFERROR(VLOOKUP(TEXT(O373,"0"),CONDUCTORES!$A$3:$H$54,6,0),"")</f>
        <v/>
      </c>
      <c r="R373" s="140"/>
      <c r="S373" s="140"/>
      <c r="T373" s="140"/>
      <c r="U373" s="140"/>
      <c r="V373" s="140"/>
      <c r="W373" s="140"/>
      <c r="X373" s="140"/>
      <c r="Y373" s="140"/>
      <c r="Z373" s="185" t="str">
        <f aca="false">IF(AND(G373&lt;&gt;"",R373&lt;&gt;"",V373&lt;&gt;"",W373&lt;&gt;""),"COMPLETADO","OBSERVADO")</f>
        <v>OBSERVADO</v>
      </c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138" t="str">
        <f aca="false">IFERROR(VLOOKUP(TEXT(H374,"0"),IPRESS!$A$3:$B$212,2,0),"")</f>
        <v/>
      </c>
      <c r="J374" s="85"/>
      <c r="K374" s="138" t="str">
        <f aca="false">IFERROR(VLOOKUP(TEXT(O374,"0"),CONDUCTORES!$A$3:$G$54,7,0),"")</f>
        <v/>
      </c>
      <c r="L374" s="85"/>
      <c r="M374" s="85"/>
      <c r="N374" s="139" t="str">
        <f aca="false">IFERROR(IF(L374*M374=0,"",L374*M374),"")</f>
        <v/>
      </c>
      <c r="O374" s="85"/>
      <c r="P374" s="138" t="str">
        <f aca="false">IFERROR(VLOOKUP(TEXT(O374,"0"),CONDUCTORES!$A$3:$G$54,2,0),"")</f>
        <v/>
      </c>
      <c r="Q374" s="138" t="str">
        <f aca="false">IFERROR(VLOOKUP(TEXT(O374,"0"),CONDUCTORES!$A$3:$H$54,6,0),"")</f>
        <v/>
      </c>
      <c r="R374" s="85"/>
      <c r="S374" s="85"/>
      <c r="T374" s="85"/>
      <c r="U374" s="85"/>
      <c r="V374" s="85"/>
      <c r="W374" s="85"/>
      <c r="X374" s="85"/>
      <c r="Y374" s="85"/>
      <c r="Z374" s="185" t="str">
        <f aca="false">IF(AND(G374&lt;&gt;"",R374&lt;&gt;"",V374&lt;&gt;"",W374&lt;&gt;""),"COMPLETADO","OBSERVADO")</f>
        <v>OBSERVADO</v>
      </c>
    </row>
    <row r="375" customFormat="false" ht="15" hidden="false" customHeight="true" outlineLevel="0" collapsed="false">
      <c r="A375" s="140"/>
      <c r="B375" s="140"/>
      <c r="C375" s="140"/>
      <c r="D375" s="140"/>
      <c r="E375" s="140"/>
      <c r="F375" s="140"/>
      <c r="G375" s="140"/>
      <c r="H375" s="140"/>
      <c r="I375" s="138" t="str">
        <f aca="false">IFERROR(VLOOKUP(TEXT(H375,"0"),IPRESS!$A$3:$B$212,2,0),"")</f>
        <v/>
      </c>
      <c r="J375" s="140"/>
      <c r="K375" s="138" t="str">
        <f aca="false">IFERROR(VLOOKUP(TEXT(O375,"0"),CONDUCTORES!$A$3:$G$54,7,0),"")</f>
        <v/>
      </c>
      <c r="L375" s="140"/>
      <c r="M375" s="140"/>
      <c r="N375" s="139" t="str">
        <f aca="false">IFERROR(IF(L375*M375=0,"",L375*M375),"")</f>
        <v/>
      </c>
      <c r="O375" s="140"/>
      <c r="P375" s="138" t="str">
        <f aca="false">IFERROR(VLOOKUP(TEXT(O375,"0"),CONDUCTORES!$A$3:$G$54,2,0),"")</f>
        <v/>
      </c>
      <c r="Q375" s="138" t="str">
        <f aca="false">IFERROR(VLOOKUP(TEXT(O375,"0"),CONDUCTORES!$A$3:$H$54,6,0),"")</f>
        <v/>
      </c>
      <c r="R375" s="140"/>
      <c r="S375" s="140"/>
      <c r="T375" s="140"/>
      <c r="U375" s="140"/>
      <c r="V375" s="140"/>
      <c r="W375" s="140"/>
      <c r="X375" s="140"/>
      <c r="Y375" s="140"/>
      <c r="Z375" s="185" t="str">
        <f aca="false">IF(AND(G375&lt;&gt;"",R375&lt;&gt;"",V375&lt;&gt;"",W375&lt;&gt;""),"COMPLETADO","OBSERVADO")</f>
        <v>OBSERVADO</v>
      </c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138" t="str">
        <f aca="false">IFERROR(VLOOKUP(TEXT(H376,"0"),IPRESS!$A$3:$B$212,2,0),"")</f>
        <v/>
      </c>
      <c r="J376" s="85"/>
      <c r="K376" s="138" t="str">
        <f aca="false">IFERROR(VLOOKUP(TEXT(O376,"0"),CONDUCTORES!$A$3:$G$54,7,0),"")</f>
        <v/>
      </c>
      <c r="L376" s="85"/>
      <c r="M376" s="85"/>
      <c r="N376" s="139" t="str">
        <f aca="false">IFERROR(IF(L376*M376=0,"",L376*M376),"")</f>
        <v/>
      </c>
      <c r="O376" s="85"/>
      <c r="P376" s="138" t="str">
        <f aca="false">IFERROR(VLOOKUP(TEXT(O376,"0"),CONDUCTORES!$A$3:$G$54,2,0),"")</f>
        <v/>
      </c>
      <c r="Q376" s="138" t="str">
        <f aca="false">IFERROR(VLOOKUP(TEXT(O376,"0"),CONDUCTORES!$A$3:$H$54,6,0),"")</f>
        <v/>
      </c>
      <c r="R376" s="85"/>
      <c r="S376" s="85"/>
      <c r="T376" s="85"/>
      <c r="U376" s="85"/>
      <c r="V376" s="85"/>
      <c r="W376" s="85"/>
      <c r="X376" s="85"/>
      <c r="Y376" s="85"/>
      <c r="Z376" s="185" t="str">
        <f aca="false">IF(AND(G376&lt;&gt;"",R376&lt;&gt;"",V376&lt;&gt;"",W376&lt;&gt;""),"COMPLETADO","OBSERVADO")</f>
        <v>OBSERVADO</v>
      </c>
    </row>
    <row r="377" customFormat="false" ht="15" hidden="false" customHeight="true" outlineLevel="0" collapsed="false">
      <c r="A377" s="140"/>
      <c r="B377" s="140"/>
      <c r="C377" s="140"/>
      <c r="D377" s="140"/>
      <c r="E377" s="140"/>
      <c r="F377" s="140"/>
      <c r="G377" s="140"/>
      <c r="H377" s="140"/>
      <c r="I377" s="138" t="str">
        <f aca="false">IFERROR(VLOOKUP(TEXT(H377,"0"),IPRESS!$A$3:$B$212,2,0),"")</f>
        <v/>
      </c>
      <c r="J377" s="140"/>
      <c r="K377" s="138" t="str">
        <f aca="false">IFERROR(VLOOKUP(TEXT(O377,"0"),CONDUCTORES!$A$3:$G$54,7,0),"")</f>
        <v/>
      </c>
      <c r="L377" s="140"/>
      <c r="M377" s="140"/>
      <c r="N377" s="139" t="str">
        <f aca="false">IFERROR(IF(L377*M377=0,"",L377*M377),"")</f>
        <v/>
      </c>
      <c r="O377" s="140"/>
      <c r="P377" s="138" t="str">
        <f aca="false">IFERROR(VLOOKUP(TEXT(O377,"0"),CONDUCTORES!$A$3:$G$54,2,0),"")</f>
        <v/>
      </c>
      <c r="Q377" s="138" t="str">
        <f aca="false">IFERROR(VLOOKUP(TEXT(O377,"0"),CONDUCTORES!$A$3:$H$54,6,0),"")</f>
        <v/>
      </c>
      <c r="R377" s="140"/>
      <c r="S377" s="140"/>
      <c r="T377" s="140"/>
      <c r="U377" s="140"/>
      <c r="V377" s="140"/>
      <c r="W377" s="140"/>
      <c r="X377" s="140"/>
      <c r="Y377" s="140"/>
      <c r="Z377" s="185" t="str">
        <f aca="false">IF(AND(G377&lt;&gt;"",R377&lt;&gt;"",V377&lt;&gt;"",W377&lt;&gt;""),"COMPLETADO","OBSERVADO")</f>
        <v>OBSERVADO</v>
      </c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138" t="str">
        <f aca="false">IFERROR(VLOOKUP(TEXT(H378,"0"),IPRESS!$A$3:$B$212,2,0),"")</f>
        <v/>
      </c>
      <c r="J378" s="85"/>
      <c r="K378" s="138" t="str">
        <f aca="false">IFERROR(VLOOKUP(TEXT(O378,"0"),CONDUCTORES!$A$3:$G$54,7,0),"")</f>
        <v/>
      </c>
      <c r="L378" s="85"/>
      <c r="M378" s="85"/>
      <c r="N378" s="139" t="str">
        <f aca="false">IFERROR(IF(L378*M378=0,"",L378*M378),"")</f>
        <v/>
      </c>
      <c r="O378" s="85"/>
      <c r="P378" s="138" t="str">
        <f aca="false">IFERROR(VLOOKUP(TEXT(O378,"0"),CONDUCTORES!$A$3:$G$54,2,0),"")</f>
        <v/>
      </c>
      <c r="Q378" s="138" t="str">
        <f aca="false">IFERROR(VLOOKUP(TEXT(O378,"0"),CONDUCTORES!$A$3:$H$54,6,0),"")</f>
        <v/>
      </c>
      <c r="R378" s="85"/>
      <c r="S378" s="85"/>
      <c r="T378" s="85"/>
      <c r="U378" s="85"/>
      <c r="V378" s="85"/>
      <c r="W378" s="85"/>
      <c r="X378" s="85"/>
      <c r="Y378" s="85"/>
      <c r="Z378" s="185" t="str">
        <f aca="false">IF(AND(G378&lt;&gt;"",R378&lt;&gt;"",V378&lt;&gt;"",W378&lt;&gt;""),"COMPLETADO","OBSERVADO")</f>
        <v>OBSERVADO</v>
      </c>
    </row>
    <row r="379" customFormat="false" ht="15" hidden="false" customHeight="true" outlineLevel="0" collapsed="false">
      <c r="A379" s="140"/>
      <c r="B379" s="140"/>
      <c r="C379" s="140"/>
      <c r="D379" s="140"/>
      <c r="E379" s="140"/>
      <c r="F379" s="140"/>
      <c r="G379" s="140"/>
      <c r="H379" s="140"/>
      <c r="I379" s="138" t="str">
        <f aca="false">IFERROR(VLOOKUP(TEXT(H379,"0"),IPRESS!$A$3:$B$212,2,0),"")</f>
        <v/>
      </c>
      <c r="J379" s="140"/>
      <c r="K379" s="138" t="str">
        <f aca="false">IFERROR(VLOOKUP(TEXT(O379,"0"),CONDUCTORES!$A$3:$G$54,7,0),"")</f>
        <v/>
      </c>
      <c r="L379" s="140"/>
      <c r="M379" s="140"/>
      <c r="N379" s="139" t="str">
        <f aca="false">IFERROR(IF(L379*M379=0,"",L379*M379),"")</f>
        <v/>
      </c>
      <c r="O379" s="140"/>
      <c r="P379" s="138" t="str">
        <f aca="false">IFERROR(VLOOKUP(TEXT(O379,"0"),CONDUCTORES!$A$3:$G$54,2,0),"")</f>
        <v/>
      </c>
      <c r="Q379" s="138" t="str">
        <f aca="false">IFERROR(VLOOKUP(TEXT(O379,"0"),CONDUCTORES!$A$3:$H$54,6,0),"")</f>
        <v/>
      </c>
      <c r="R379" s="140"/>
      <c r="S379" s="140"/>
      <c r="T379" s="140"/>
      <c r="U379" s="140"/>
      <c r="V379" s="140"/>
      <c r="W379" s="140"/>
      <c r="X379" s="140"/>
      <c r="Y379" s="140"/>
      <c r="Z379" s="185" t="str">
        <f aca="false">IF(AND(G379&lt;&gt;"",R379&lt;&gt;"",V379&lt;&gt;"",W379&lt;&gt;""),"COMPLETADO","OBSERVADO")</f>
        <v>OBSERVADO</v>
      </c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138" t="str">
        <f aca="false">IFERROR(VLOOKUP(TEXT(H380,"0"),IPRESS!$A$3:$B$212,2,0),"")</f>
        <v/>
      </c>
      <c r="J380" s="85"/>
      <c r="K380" s="138" t="str">
        <f aca="false">IFERROR(VLOOKUP(TEXT(O380,"0"),CONDUCTORES!$A$3:$G$54,7,0),"")</f>
        <v/>
      </c>
      <c r="L380" s="85"/>
      <c r="M380" s="85"/>
      <c r="N380" s="139" t="str">
        <f aca="false">IFERROR(IF(L380*M380=0,"",L380*M380),"")</f>
        <v/>
      </c>
      <c r="O380" s="85"/>
      <c r="P380" s="138" t="str">
        <f aca="false">IFERROR(VLOOKUP(TEXT(O380,"0"),CONDUCTORES!$A$3:$G$54,2,0),"")</f>
        <v/>
      </c>
      <c r="Q380" s="138" t="str">
        <f aca="false">IFERROR(VLOOKUP(TEXT(O380,"0"),CONDUCTORES!$A$3:$H$54,6,0),"")</f>
        <v/>
      </c>
      <c r="R380" s="85"/>
      <c r="S380" s="85"/>
      <c r="T380" s="85"/>
      <c r="U380" s="85"/>
      <c r="V380" s="85"/>
      <c r="W380" s="85"/>
      <c r="X380" s="85"/>
      <c r="Y380" s="85"/>
      <c r="Z380" s="185" t="str">
        <f aca="false">IF(AND(G380&lt;&gt;"",R380&lt;&gt;"",V380&lt;&gt;"",W380&lt;&gt;""),"COMPLETADO","OBSERVADO")</f>
        <v>OBSERVADO</v>
      </c>
    </row>
    <row r="381" customFormat="false" ht="15" hidden="false" customHeight="true" outlineLevel="0" collapsed="false">
      <c r="A381" s="140"/>
      <c r="B381" s="140"/>
      <c r="C381" s="140"/>
      <c r="D381" s="140"/>
      <c r="E381" s="140"/>
      <c r="F381" s="140"/>
      <c r="G381" s="140"/>
      <c r="H381" s="140"/>
      <c r="I381" s="138" t="str">
        <f aca="false">IFERROR(VLOOKUP(TEXT(H381,"0"),IPRESS!$A$3:$B$212,2,0),"")</f>
        <v/>
      </c>
      <c r="J381" s="140"/>
      <c r="K381" s="138" t="str">
        <f aca="false">IFERROR(VLOOKUP(TEXT(O381,"0"),CONDUCTORES!$A$3:$G$54,7,0),"")</f>
        <v/>
      </c>
      <c r="L381" s="140"/>
      <c r="M381" s="140"/>
      <c r="N381" s="139" t="str">
        <f aca="false">IFERROR(IF(L381*M381=0,"",L381*M381),"")</f>
        <v/>
      </c>
      <c r="O381" s="140"/>
      <c r="P381" s="138" t="str">
        <f aca="false">IFERROR(VLOOKUP(TEXT(O381,"0"),CONDUCTORES!$A$3:$G$54,2,0),"")</f>
        <v/>
      </c>
      <c r="Q381" s="138" t="str">
        <f aca="false">IFERROR(VLOOKUP(TEXT(O381,"0"),CONDUCTORES!$A$3:$H$54,6,0),"")</f>
        <v/>
      </c>
      <c r="R381" s="140"/>
      <c r="S381" s="140"/>
      <c r="T381" s="140"/>
      <c r="U381" s="140"/>
      <c r="V381" s="140"/>
      <c r="W381" s="140"/>
      <c r="X381" s="140"/>
      <c r="Y381" s="140"/>
      <c r="Z381" s="185" t="str">
        <f aca="false">IF(AND(G381&lt;&gt;"",R381&lt;&gt;"",V381&lt;&gt;"",W381&lt;&gt;""),"COMPLETADO","OBSERVADO")</f>
        <v>OBSERVADO</v>
      </c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138" t="str">
        <f aca="false">IFERROR(VLOOKUP(TEXT(H382,"0"),IPRESS!$A$3:$B$212,2,0),"")</f>
        <v/>
      </c>
      <c r="J382" s="85"/>
      <c r="K382" s="138" t="str">
        <f aca="false">IFERROR(VLOOKUP(TEXT(O382,"0"),CONDUCTORES!$A$3:$G$54,7,0),"")</f>
        <v/>
      </c>
      <c r="L382" s="85"/>
      <c r="M382" s="85"/>
      <c r="N382" s="139" t="str">
        <f aca="false">IFERROR(IF(L382*M382=0,"",L382*M382),"")</f>
        <v/>
      </c>
      <c r="O382" s="85"/>
      <c r="P382" s="138" t="str">
        <f aca="false">IFERROR(VLOOKUP(TEXT(O382,"0"),CONDUCTORES!$A$3:$G$54,2,0),"")</f>
        <v/>
      </c>
      <c r="Q382" s="138" t="str">
        <f aca="false">IFERROR(VLOOKUP(TEXT(O382,"0"),CONDUCTORES!$A$3:$H$54,6,0),"")</f>
        <v/>
      </c>
      <c r="R382" s="85"/>
      <c r="S382" s="85"/>
      <c r="T382" s="85"/>
      <c r="U382" s="85"/>
      <c r="V382" s="85"/>
      <c r="W382" s="85"/>
      <c r="X382" s="85"/>
      <c r="Y382" s="85"/>
      <c r="Z382" s="185" t="str">
        <f aca="false">IF(AND(G382&lt;&gt;"",R382&lt;&gt;"",V382&lt;&gt;"",W382&lt;&gt;""),"COMPLETADO","OBSERVADO")</f>
        <v>OBSERVADO</v>
      </c>
    </row>
    <row r="383" customFormat="false" ht="15" hidden="false" customHeight="true" outlineLevel="0" collapsed="false">
      <c r="A383" s="140"/>
      <c r="B383" s="140"/>
      <c r="C383" s="140"/>
      <c r="D383" s="140"/>
      <c r="E383" s="140"/>
      <c r="F383" s="140"/>
      <c r="G383" s="140"/>
      <c r="H383" s="140"/>
      <c r="I383" s="138" t="str">
        <f aca="false">IFERROR(VLOOKUP(TEXT(H383,"0"),IPRESS!$A$3:$B$212,2,0),"")</f>
        <v/>
      </c>
      <c r="J383" s="140"/>
      <c r="K383" s="138" t="str">
        <f aca="false">IFERROR(VLOOKUP(TEXT(O383,"0"),CONDUCTORES!$A$3:$G$54,7,0),"")</f>
        <v/>
      </c>
      <c r="L383" s="140"/>
      <c r="M383" s="140"/>
      <c r="N383" s="139" t="str">
        <f aca="false">IFERROR(IF(L383*M383=0,"",L383*M383),"")</f>
        <v/>
      </c>
      <c r="O383" s="140"/>
      <c r="P383" s="138" t="str">
        <f aca="false">IFERROR(VLOOKUP(TEXT(O383,"0"),CONDUCTORES!$A$3:$G$54,2,0),"")</f>
        <v/>
      </c>
      <c r="Q383" s="138" t="str">
        <f aca="false">IFERROR(VLOOKUP(TEXT(O383,"0"),CONDUCTORES!$A$3:$H$54,6,0),"")</f>
        <v/>
      </c>
      <c r="R383" s="140"/>
      <c r="S383" s="140"/>
      <c r="T383" s="140"/>
      <c r="U383" s="140"/>
      <c r="V383" s="140"/>
      <c r="W383" s="140"/>
      <c r="X383" s="140"/>
      <c r="Y383" s="140"/>
      <c r="Z383" s="185" t="str">
        <f aca="false">IF(AND(G383&lt;&gt;"",R383&lt;&gt;"",V383&lt;&gt;"",W383&lt;&gt;""),"COMPLETADO","OBSERVADO")</f>
        <v>OBSERVADO</v>
      </c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138" t="str">
        <f aca="false">IFERROR(VLOOKUP(TEXT(H384,"0"),IPRESS!$A$3:$B$212,2,0),"")</f>
        <v/>
      </c>
      <c r="J384" s="85"/>
      <c r="K384" s="138" t="str">
        <f aca="false">IFERROR(VLOOKUP(TEXT(O384,"0"),CONDUCTORES!$A$3:$G$54,7,0),"")</f>
        <v/>
      </c>
      <c r="L384" s="85"/>
      <c r="M384" s="85"/>
      <c r="N384" s="139" t="str">
        <f aca="false">IFERROR(IF(L384*M384=0,"",L384*M384),"")</f>
        <v/>
      </c>
      <c r="O384" s="85"/>
      <c r="P384" s="138" t="str">
        <f aca="false">IFERROR(VLOOKUP(TEXT(O384,"0"),CONDUCTORES!$A$3:$G$54,2,0),"")</f>
        <v/>
      </c>
      <c r="Q384" s="138" t="str">
        <f aca="false">IFERROR(VLOOKUP(TEXT(O384,"0"),CONDUCTORES!$A$3:$H$54,6,0),"")</f>
        <v/>
      </c>
      <c r="R384" s="85"/>
      <c r="S384" s="85"/>
      <c r="T384" s="85"/>
      <c r="U384" s="85"/>
      <c r="V384" s="85"/>
      <c r="W384" s="85"/>
      <c r="X384" s="85"/>
      <c r="Y384" s="85"/>
      <c r="Z384" s="185" t="str">
        <f aca="false">IF(AND(G384&lt;&gt;"",R384&lt;&gt;"",V384&lt;&gt;"",W384&lt;&gt;""),"COMPLETADO","OBSERVADO")</f>
        <v>OBSERVADO</v>
      </c>
    </row>
    <row r="385" customFormat="false" ht="15" hidden="false" customHeight="true" outlineLevel="0" collapsed="false">
      <c r="A385" s="140"/>
      <c r="B385" s="140"/>
      <c r="C385" s="140"/>
      <c r="D385" s="140"/>
      <c r="E385" s="140"/>
      <c r="F385" s="140"/>
      <c r="G385" s="140"/>
      <c r="H385" s="140"/>
      <c r="I385" s="138" t="str">
        <f aca="false">IFERROR(VLOOKUP(TEXT(H385,"0"),IPRESS!$A$3:$B$212,2,0),"")</f>
        <v/>
      </c>
      <c r="J385" s="140"/>
      <c r="K385" s="138" t="str">
        <f aca="false">IFERROR(VLOOKUP(TEXT(O385,"0"),CONDUCTORES!$A$3:$G$54,7,0),"")</f>
        <v/>
      </c>
      <c r="L385" s="140"/>
      <c r="M385" s="140"/>
      <c r="N385" s="139" t="str">
        <f aca="false">IFERROR(IF(L385*M385=0,"",L385*M385),"")</f>
        <v/>
      </c>
      <c r="O385" s="140"/>
      <c r="P385" s="138" t="str">
        <f aca="false">IFERROR(VLOOKUP(TEXT(O385,"0"),CONDUCTORES!$A$3:$G$54,2,0),"")</f>
        <v/>
      </c>
      <c r="Q385" s="138" t="str">
        <f aca="false">IFERROR(VLOOKUP(TEXT(O385,"0"),CONDUCTORES!$A$3:$H$54,6,0),"")</f>
        <v/>
      </c>
      <c r="R385" s="140"/>
      <c r="S385" s="140"/>
      <c r="T385" s="140"/>
      <c r="U385" s="140"/>
      <c r="V385" s="140"/>
      <c r="W385" s="140"/>
      <c r="X385" s="140"/>
      <c r="Y385" s="140"/>
      <c r="Z385" s="185" t="str">
        <f aca="false">IF(AND(G385&lt;&gt;"",R385&lt;&gt;"",V385&lt;&gt;"",W385&lt;&gt;""),"COMPLETADO","OBSERVADO")</f>
        <v>OBSERVADO</v>
      </c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138" t="str">
        <f aca="false">IFERROR(VLOOKUP(TEXT(H386,"0"),IPRESS!$A$3:$B$212,2,0),"")</f>
        <v/>
      </c>
      <c r="J386" s="85"/>
      <c r="K386" s="138" t="str">
        <f aca="false">IFERROR(VLOOKUP(TEXT(O386,"0"),CONDUCTORES!$A$3:$G$54,7,0),"")</f>
        <v/>
      </c>
      <c r="L386" s="85"/>
      <c r="M386" s="85"/>
      <c r="N386" s="139" t="str">
        <f aca="false">IFERROR(IF(L386*M386=0,"",L386*M386),"")</f>
        <v/>
      </c>
      <c r="O386" s="85"/>
      <c r="P386" s="138" t="str">
        <f aca="false">IFERROR(VLOOKUP(TEXT(O386,"0"),CONDUCTORES!$A$3:$G$54,2,0),"")</f>
        <v/>
      </c>
      <c r="Q386" s="138" t="str">
        <f aca="false">IFERROR(VLOOKUP(TEXT(O386,"0"),CONDUCTORES!$A$3:$H$54,6,0),"")</f>
        <v/>
      </c>
      <c r="R386" s="85"/>
      <c r="S386" s="85"/>
      <c r="T386" s="85"/>
      <c r="U386" s="85"/>
      <c r="V386" s="85"/>
      <c r="W386" s="85"/>
      <c r="X386" s="85"/>
      <c r="Y386" s="85"/>
      <c r="Z386" s="185" t="str">
        <f aca="false">IF(AND(G386&lt;&gt;"",R386&lt;&gt;"",V386&lt;&gt;"",W386&lt;&gt;""),"COMPLETADO","OBSERVADO")</f>
        <v>OBSERVADO</v>
      </c>
    </row>
    <row r="387" customFormat="false" ht="15" hidden="false" customHeight="true" outlineLevel="0" collapsed="false">
      <c r="A387" s="140"/>
      <c r="B387" s="140"/>
      <c r="C387" s="140"/>
      <c r="D387" s="140"/>
      <c r="E387" s="140"/>
      <c r="F387" s="140"/>
      <c r="G387" s="140"/>
      <c r="H387" s="140"/>
      <c r="I387" s="138" t="str">
        <f aca="false">IFERROR(VLOOKUP(TEXT(H387,"0"),IPRESS!$A$3:$B$212,2,0),"")</f>
        <v/>
      </c>
      <c r="J387" s="140"/>
      <c r="K387" s="138" t="str">
        <f aca="false">IFERROR(VLOOKUP(TEXT(O387,"0"),CONDUCTORES!$A$3:$G$54,7,0),"")</f>
        <v/>
      </c>
      <c r="L387" s="140"/>
      <c r="M387" s="140"/>
      <c r="N387" s="139" t="str">
        <f aca="false">IFERROR(IF(L387*M387=0,"",L387*M387),"")</f>
        <v/>
      </c>
      <c r="O387" s="140"/>
      <c r="P387" s="138" t="str">
        <f aca="false">IFERROR(VLOOKUP(TEXT(O387,"0"),CONDUCTORES!$A$3:$G$54,2,0),"")</f>
        <v/>
      </c>
      <c r="Q387" s="138" t="str">
        <f aca="false">IFERROR(VLOOKUP(TEXT(O387,"0"),CONDUCTORES!$A$3:$H$54,6,0),"")</f>
        <v/>
      </c>
      <c r="R387" s="140"/>
      <c r="S387" s="140"/>
      <c r="T387" s="140"/>
      <c r="U387" s="140"/>
      <c r="V387" s="140"/>
      <c r="W387" s="140"/>
      <c r="X387" s="140"/>
      <c r="Y387" s="140"/>
      <c r="Z387" s="185" t="str">
        <f aca="false">IF(AND(G387&lt;&gt;"",R387&lt;&gt;"",V387&lt;&gt;"",W387&lt;&gt;""),"COMPLETADO","OBSERVADO")</f>
        <v>OBSERVADO</v>
      </c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138" t="str">
        <f aca="false">IFERROR(VLOOKUP(TEXT(H388,"0"),IPRESS!$A$3:$B$212,2,0),"")</f>
        <v/>
      </c>
      <c r="J388" s="85"/>
      <c r="K388" s="138" t="str">
        <f aca="false">IFERROR(VLOOKUP(TEXT(O388,"0"),CONDUCTORES!$A$3:$G$54,7,0),"")</f>
        <v/>
      </c>
      <c r="L388" s="85"/>
      <c r="M388" s="85"/>
      <c r="N388" s="139" t="str">
        <f aca="false">IFERROR(IF(L388*M388=0,"",L388*M388),"")</f>
        <v/>
      </c>
      <c r="O388" s="85"/>
      <c r="P388" s="138" t="str">
        <f aca="false">IFERROR(VLOOKUP(TEXT(O388,"0"),CONDUCTORES!$A$3:$G$54,2,0),"")</f>
        <v/>
      </c>
      <c r="Q388" s="138" t="str">
        <f aca="false">IFERROR(VLOOKUP(TEXT(O388,"0"),CONDUCTORES!$A$3:$H$54,6,0),"")</f>
        <v/>
      </c>
      <c r="R388" s="85"/>
      <c r="S388" s="85"/>
      <c r="T388" s="85"/>
      <c r="U388" s="85"/>
      <c r="V388" s="85"/>
      <c r="W388" s="85"/>
      <c r="X388" s="85"/>
      <c r="Y388" s="85"/>
      <c r="Z388" s="185" t="str">
        <f aca="false">IF(AND(G388&lt;&gt;"",R388&lt;&gt;"",V388&lt;&gt;"",W388&lt;&gt;""),"COMPLETADO","OBSERVADO")</f>
        <v>OBSERVADO</v>
      </c>
    </row>
    <row r="389" customFormat="false" ht="15" hidden="false" customHeight="true" outlineLevel="0" collapsed="false">
      <c r="A389" s="140"/>
      <c r="B389" s="140"/>
      <c r="C389" s="140"/>
      <c r="D389" s="140"/>
      <c r="E389" s="140"/>
      <c r="F389" s="140"/>
      <c r="G389" s="140"/>
      <c r="H389" s="140"/>
      <c r="I389" s="138" t="str">
        <f aca="false">IFERROR(VLOOKUP(TEXT(H389,"0"),IPRESS!$A$3:$B$212,2,0),"")</f>
        <v/>
      </c>
      <c r="J389" s="140"/>
      <c r="K389" s="138" t="str">
        <f aca="false">IFERROR(VLOOKUP(TEXT(O389,"0"),CONDUCTORES!$A$3:$G$54,7,0),"")</f>
        <v/>
      </c>
      <c r="L389" s="140"/>
      <c r="M389" s="140"/>
      <c r="N389" s="139" t="str">
        <f aca="false">IFERROR(IF(L389*M389=0,"",L389*M389),"")</f>
        <v/>
      </c>
      <c r="O389" s="140"/>
      <c r="P389" s="138" t="str">
        <f aca="false">IFERROR(VLOOKUP(TEXT(O389,"0"),CONDUCTORES!$A$3:$G$54,2,0),"")</f>
        <v/>
      </c>
      <c r="Q389" s="138" t="str">
        <f aca="false">IFERROR(VLOOKUP(TEXT(O389,"0"),CONDUCTORES!$A$3:$H$54,6,0),"")</f>
        <v/>
      </c>
      <c r="R389" s="140"/>
      <c r="S389" s="140"/>
      <c r="T389" s="140"/>
      <c r="U389" s="140"/>
      <c r="V389" s="140"/>
      <c r="W389" s="140"/>
      <c r="X389" s="140"/>
      <c r="Y389" s="140"/>
      <c r="Z389" s="185" t="str">
        <f aca="false">IF(AND(G389&lt;&gt;"",R389&lt;&gt;"",V389&lt;&gt;"",W389&lt;&gt;""),"COMPLETADO","OBSERVADO")</f>
        <v>OBSERVADO</v>
      </c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138" t="str">
        <f aca="false">IFERROR(VLOOKUP(TEXT(H390,"0"),IPRESS!$A$3:$B$212,2,0),"")</f>
        <v/>
      </c>
      <c r="J390" s="85"/>
      <c r="K390" s="138" t="str">
        <f aca="false">IFERROR(VLOOKUP(TEXT(O390,"0"),CONDUCTORES!$A$3:$G$54,7,0),"")</f>
        <v/>
      </c>
      <c r="L390" s="85"/>
      <c r="M390" s="85"/>
      <c r="N390" s="139" t="str">
        <f aca="false">IFERROR(IF(L390*M390=0,"",L390*M390),"")</f>
        <v/>
      </c>
      <c r="O390" s="85"/>
      <c r="P390" s="138" t="str">
        <f aca="false">IFERROR(VLOOKUP(TEXT(O390,"0"),CONDUCTORES!$A$3:$G$54,2,0),"")</f>
        <v/>
      </c>
      <c r="Q390" s="138" t="str">
        <f aca="false">IFERROR(VLOOKUP(TEXT(O390,"0"),CONDUCTORES!$A$3:$H$54,6,0),"")</f>
        <v/>
      </c>
      <c r="R390" s="85"/>
      <c r="S390" s="85"/>
      <c r="T390" s="85"/>
      <c r="U390" s="85"/>
      <c r="V390" s="85"/>
      <c r="W390" s="85"/>
      <c r="X390" s="85"/>
      <c r="Y390" s="85"/>
      <c r="Z390" s="185" t="str">
        <f aca="false">IF(AND(G390&lt;&gt;"",R390&lt;&gt;"",V390&lt;&gt;"",W390&lt;&gt;""),"COMPLETADO","OBSERVADO")</f>
        <v>OBSERVADO</v>
      </c>
    </row>
    <row r="391" customFormat="false" ht="15" hidden="false" customHeight="true" outlineLevel="0" collapsed="false">
      <c r="A391" s="140"/>
      <c r="B391" s="140"/>
      <c r="C391" s="140"/>
      <c r="D391" s="140"/>
      <c r="E391" s="140"/>
      <c r="F391" s="140"/>
      <c r="G391" s="140"/>
      <c r="H391" s="140"/>
      <c r="I391" s="138" t="str">
        <f aca="false">IFERROR(VLOOKUP(TEXT(H391,"0"),IPRESS!$A$3:$B$212,2,0),"")</f>
        <v/>
      </c>
      <c r="J391" s="140"/>
      <c r="K391" s="138" t="str">
        <f aca="false">IFERROR(VLOOKUP(TEXT(O391,"0"),CONDUCTORES!$A$3:$G$54,7,0),"")</f>
        <v/>
      </c>
      <c r="L391" s="140"/>
      <c r="M391" s="140"/>
      <c r="N391" s="139" t="str">
        <f aca="false">IFERROR(IF(L391*M391=0,"",L391*M391),"")</f>
        <v/>
      </c>
      <c r="O391" s="140"/>
      <c r="P391" s="138" t="str">
        <f aca="false">IFERROR(VLOOKUP(TEXT(O391,"0"),CONDUCTORES!$A$3:$G$54,2,0),"")</f>
        <v/>
      </c>
      <c r="Q391" s="138" t="str">
        <f aca="false">IFERROR(VLOOKUP(TEXT(O391,"0"),CONDUCTORES!$A$3:$H$54,6,0),"")</f>
        <v/>
      </c>
      <c r="R391" s="140"/>
      <c r="S391" s="140"/>
      <c r="T391" s="140"/>
      <c r="U391" s="140"/>
      <c r="V391" s="140"/>
      <c r="W391" s="140"/>
      <c r="X391" s="140"/>
      <c r="Y391" s="140"/>
      <c r="Z391" s="185" t="str">
        <f aca="false">IF(AND(G391&lt;&gt;"",R391&lt;&gt;"",V391&lt;&gt;"",W391&lt;&gt;""),"COMPLETADO","OBSERVADO")</f>
        <v>OBSERVADO</v>
      </c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138" t="str">
        <f aca="false">IFERROR(VLOOKUP(TEXT(H392,"0"),IPRESS!$A$3:$B$212,2,0),"")</f>
        <v/>
      </c>
      <c r="J392" s="85"/>
      <c r="K392" s="138" t="str">
        <f aca="false">IFERROR(VLOOKUP(TEXT(O392,"0"),CONDUCTORES!$A$3:$G$54,7,0),"")</f>
        <v/>
      </c>
      <c r="L392" s="85"/>
      <c r="M392" s="85"/>
      <c r="N392" s="139" t="str">
        <f aca="false">IFERROR(IF(L392*M392=0,"",L392*M392),"")</f>
        <v/>
      </c>
      <c r="O392" s="85"/>
      <c r="P392" s="138" t="str">
        <f aca="false">IFERROR(VLOOKUP(TEXT(O392,"0"),CONDUCTORES!$A$3:$G$54,2,0),"")</f>
        <v/>
      </c>
      <c r="Q392" s="138" t="str">
        <f aca="false">IFERROR(VLOOKUP(TEXT(O392,"0"),CONDUCTORES!$A$3:$H$54,6,0),"")</f>
        <v/>
      </c>
      <c r="R392" s="85"/>
      <c r="S392" s="85"/>
      <c r="T392" s="85"/>
      <c r="U392" s="85"/>
      <c r="V392" s="85"/>
      <c r="W392" s="85"/>
      <c r="X392" s="85"/>
      <c r="Y392" s="85"/>
      <c r="Z392" s="185" t="str">
        <f aca="false">IF(AND(G392&lt;&gt;"",R392&lt;&gt;"",V392&lt;&gt;"",W392&lt;&gt;""),"COMPLETADO","OBSERVADO")</f>
        <v>OBSERVADO</v>
      </c>
    </row>
    <row r="393" customFormat="false" ht="15" hidden="false" customHeight="true" outlineLevel="0" collapsed="false">
      <c r="A393" s="140"/>
      <c r="B393" s="140"/>
      <c r="C393" s="140"/>
      <c r="D393" s="140"/>
      <c r="E393" s="140"/>
      <c r="F393" s="140"/>
      <c r="G393" s="140"/>
      <c r="H393" s="140"/>
      <c r="I393" s="138" t="str">
        <f aca="false">IFERROR(VLOOKUP(TEXT(H393,"0"),IPRESS!$A$3:$B$212,2,0),"")</f>
        <v/>
      </c>
      <c r="J393" s="140"/>
      <c r="K393" s="138" t="str">
        <f aca="false">IFERROR(VLOOKUP(TEXT(O393,"0"),CONDUCTORES!$A$3:$G$54,7,0),"")</f>
        <v/>
      </c>
      <c r="L393" s="140"/>
      <c r="M393" s="140"/>
      <c r="N393" s="139" t="str">
        <f aca="false">IFERROR(IF(L393*M393=0,"",L393*M393),"")</f>
        <v/>
      </c>
      <c r="O393" s="140"/>
      <c r="P393" s="138" t="str">
        <f aca="false">IFERROR(VLOOKUP(TEXT(O393,"0"),CONDUCTORES!$A$3:$G$54,2,0),"")</f>
        <v/>
      </c>
      <c r="Q393" s="138" t="str">
        <f aca="false">IFERROR(VLOOKUP(TEXT(O393,"0"),CONDUCTORES!$A$3:$H$54,6,0),"")</f>
        <v/>
      </c>
      <c r="R393" s="140"/>
      <c r="S393" s="140"/>
      <c r="T393" s="140"/>
      <c r="U393" s="140"/>
      <c r="V393" s="140"/>
      <c r="W393" s="140"/>
      <c r="X393" s="140"/>
      <c r="Y393" s="140"/>
      <c r="Z393" s="185" t="str">
        <f aca="false">IF(AND(G393&lt;&gt;"",R393&lt;&gt;"",V393&lt;&gt;"",W393&lt;&gt;""),"COMPLETADO","OBSERVADO")</f>
        <v>OBSERVADO</v>
      </c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138" t="str">
        <f aca="false">IFERROR(VLOOKUP(TEXT(H394,"0"),IPRESS!$A$3:$B$212,2,0),"")</f>
        <v/>
      </c>
      <c r="J394" s="85"/>
      <c r="K394" s="138" t="str">
        <f aca="false">IFERROR(VLOOKUP(TEXT(O394,"0"),CONDUCTORES!$A$3:$G$54,7,0),"")</f>
        <v/>
      </c>
      <c r="L394" s="85"/>
      <c r="M394" s="85"/>
      <c r="N394" s="139" t="str">
        <f aca="false">IFERROR(IF(L394*M394=0,"",L394*M394),"")</f>
        <v/>
      </c>
      <c r="O394" s="85"/>
      <c r="P394" s="138" t="str">
        <f aca="false">IFERROR(VLOOKUP(TEXT(O394,"0"),CONDUCTORES!$A$3:$G$54,2,0),"")</f>
        <v/>
      </c>
      <c r="Q394" s="138" t="str">
        <f aca="false">IFERROR(VLOOKUP(TEXT(O394,"0"),CONDUCTORES!$A$3:$H$54,6,0),"")</f>
        <v/>
      </c>
      <c r="R394" s="85"/>
      <c r="S394" s="85"/>
      <c r="T394" s="85"/>
      <c r="U394" s="85"/>
      <c r="V394" s="85"/>
      <c r="W394" s="85"/>
      <c r="X394" s="85"/>
      <c r="Y394" s="85"/>
      <c r="Z394" s="185" t="str">
        <f aca="false">IF(AND(G394&lt;&gt;"",R394&lt;&gt;"",V394&lt;&gt;"",W394&lt;&gt;""),"COMPLETADO","OBSERVADO")</f>
        <v>OBSERVADO</v>
      </c>
    </row>
    <row r="395" customFormat="false" ht="15" hidden="false" customHeight="true" outlineLevel="0" collapsed="false">
      <c r="A395" s="140"/>
      <c r="B395" s="140"/>
      <c r="C395" s="140"/>
      <c r="D395" s="140"/>
      <c r="E395" s="140"/>
      <c r="F395" s="140"/>
      <c r="G395" s="140"/>
      <c r="H395" s="140"/>
      <c r="I395" s="138" t="str">
        <f aca="false">IFERROR(VLOOKUP(TEXT(H395,"0"),IPRESS!$A$3:$B$212,2,0),"")</f>
        <v/>
      </c>
      <c r="J395" s="140"/>
      <c r="K395" s="138" t="str">
        <f aca="false">IFERROR(VLOOKUP(TEXT(O395,"0"),CONDUCTORES!$A$3:$G$54,7,0),"")</f>
        <v/>
      </c>
      <c r="L395" s="140"/>
      <c r="M395" s="140"/>
      <c r="N395" s="139" t="str">
        <f aca="false">IFERROR(IF(L395*M395=0,"",L395*M395),"")</f>
        <v/>
      </c>
      <c r="O395" s="140"/>
      <c r="P395" s="138" t="str">
        <f aca="false">IFERROR(VLOOKUP(TEXT(O395,"0"),CONDUCTORES!$A$3:$G$54,2,0),"")</f>
        <v/>
      </c>
      <c r="Q395" s="138" t="str">
        <f aca="false">IFERROR(VLOOKUP(TEXT(O395,"0"),CONDUCTORES!$A$3:$H$54,6,0),"")</f>
        <v/>
      </c>
      <c r="R395" s="140"/>
      <c r="S395" s="140"/>
      <c r="T395" s="140"/>
      <c r="U395" s="140"/>
      <c r="V395" s="140"/>
      <c r="W395" s="140"/>
      <c r="X395" s="140"/>
      <c r="Y395" s="140"/>
      <c r="Z395" s="185" t="str">
        <f aca="false">IF(AND(G395&lt;&gt;"",R395&lt;&gt;"",V395&lt;&gt;"",W395&lt;&gt;""),"COMPLETADO","OBSERVADO")</f>
        <v>OBSERVADO</v>
      </c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138" t="str">
        <f aca="false">IFERROR(VLOOKUP(TEXT(H396,"0"),IPRESS!$A$3:$B$212,2,0),"")</f>
        <v/>
      </c>
      <c r="J396" s="85"/>
      <c r="K396" s="138" t="str">
        <f aca="false">IFERROR(VLOOKUP(TEXT(O396,"0"),CONDUCTORES!$A$3:$G$54,7,0),"")</f>
        <v/>
      </c>
      <c r="L396" s="85"/>
      <c r="M396" s="85"/>
      <c r="N396" s="139" t="str">
        <f aca="false">IFERROR(IF(L396*M396=0,"",L396*M396),"")</f>
        <v/>
      </c>
      <c r="O396" s="85"/>
      <c r="P396" s="138" t="str">
        <f aca="false">IFERROR(VLOOKUP(TEXT(O396,"0"),CONDUCTORES!$A$3:$G$54,2,0),"")</f>
        <v/>
      </c>
      <c r="Q396" s="138" t="str">
        <f aca="false">IFERROR(VLOOKUP(TEXT(O396,"0"),CONDUCTORES!$A$3:$H$54,6,0),"")</f>
        <v/>
      </c>
      <c r="R396" s="85"/>
      <c r="S396" s="85"/>
      <c r="T396" s="85"/>
      <c r="U396" s="85"/>
      <c r="V396" s="85"/>
      <c r="W396" s="85"/>
      <c r="X396" s="85"/>
      <c r="Y396" s="85"/>
      <c r="Z396" s="185" t="str">
        <f aca="false">IF(AND(G396&lt;&gt;"",R396&lt;&gt;"",V396&lt;&gt;"",W396&lt;&gt;""),"COMPLETADO","OBSERVADO")</f>
        <v>OBSERVADO</v>
      </c>
    </row>
    <row r="397" customFormat="false" ht="15" hidden="false" customHeight="true" outlineLevel="0" collapsed="false">
      <c r="A397" s="140"/>
      <c r="B397" s="140"/>
      <c r="C397" s="140"/>
      <c r="D397" s="140"/>
      <c r="E397" s="140"/>
      <c r="F397" s="140"/>
      <c r="G397" s="140"/>
      <c r="H397" s="140"/>
      <c r="I397" s="138" t="str">
        <f aca="false">IFERROR(VLOOKUP(TEXT(H397,"0"),IPRESS!$A$3:$B$212,2,0),"")</f>
        <v/>
      </c>
      <c r="J397" s="140"/>
      <c r="K397" s="138" t="str">
        <f aca="false">IFERROR(VLOOKUP(TEXT(O397,"0"),CONDUCTORES!$A$3:$G$54,7,0),"")</f>
        <v/>
      </c>
      <c r="L397" s="140"/>
      <c r="M397" s="140"/>
      <c r="N397" s="139" t="str">
        <f aca="false">IFERROR(IF(L397*M397=0,"",L397*M397),"")</f>
        <v/>
      </c>
      <c r="O397" s="140"/>
      <c r="P397" s="138" t="str">
        <f aca="false">IFERROR(VLOOKUP(TEXT(O397,"0"),CONDUCTORES!$A$3:$G$54,2,0),"")</f>
        <v/>
      </c>
      <c r="Q397" s="138" t="str">
        <f aca="false">IFERROR(VLOOKUP(TEXT(O397,"0"),CONDUCTORES!$A$3:$H$54,6,0),"")</f>
        <v/>
      </c>
      <c r="R397" s="140"/>
      <c r="S397" s="140"/>
      <c r="T397" s="140"/>
      <c r="U397" s="140"/>
      <c r="V397" s="140"/>
      <c r="W397" s="140"/>
      <c r="X397" s="140"/>
      <c r="Y397" s="140"/>
      <c r="Z397" s="185" t="str">
        <f aca="false">IF(AND(G397&lt;&gt;"",R397&lt;&gt;"",V397&lt;&gt;"",W397&lt;&gt;""),"COMPLETADO","OBSERVADO")</f>
        <v>OBSERVADO</v>
      </c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138" t="str">
        <f aca="false">IFERROR(VLOOKUP(TEXT(H398,"0"),IPRESS!$A$3:$B$212,2,0),"")</f>
        <v/>
      </c>
      <c r="J398" s="85"/>
      <c r="K398" s="138" t="str">
        <f aca="false">IFERROR(VLOOKUP(TEXT(O398,"0"),CONDUCTORES!$A$3:$G$54,7,0),"")</f>
        <v/>
      </c>
      <c r="L398" s="85"/>
      <c r="M398" s="85"/>
      <c r="N398" s="139" t="str">
        <f aca="false">IFERROR(IF(L398*M398=0,"",L398*M398),"")</f>
        <v/>
      </c>
      <c r="O398" s="85"/>
      <c r="P398" s="138" t="str">
        <f aca="false">IFERROR(VLOOKUP(TEXT(O398,"0"),CONDUCTORES!$A$3:$G$54,2,0),"")</f>
        <v/>
      </c>
      <c r="Q398" s="138" t="str">
        <f aca="false">IFERROR(VLOOKUP(TEXT(O398,"0"),CONDUCTORES!$A$3:$H$54,6,0),"")</f>
        <v/>
      </c>
      <c r="R398" s="85"/>
      <c r="S398" s="85"/>
      <c r="T398" s="85"/>
      <c r="U398" s="85"/>
      <c r="V398" s="85"/>
      <c r="W398" s="85"/>
      <c r="X398" s="85"/>
      <c r="Y398" s="85"/>
      <c r="Z398" s="185" t="str">
        <f aca="false">IF(AND(G398&lt;&gt;"",R398&lt;&gt;"",V398&lt;&gt;"",W398&lt;&gt;""),"COMPLETADO","OBSERVADO")</f>
        <v>OBSERVADO</v>
      </c>
    </row>
    <row r="399" customFormat="false" ht="15" hidden="false" customHeight="true" outlineLevel="0" collapsed="false">
      <c r="A399" s="140"/>
      <c r="B399" s="140"/>
      <c r="C399" s="140"/>
      <c r="D399" s="140"/>
      <c r="E399" s="140"/>
      <c r="F399" s="140"/>
      <c r="G399" s="140"/>
      <c r="H399" s="140"/>
      <c r="I399" s="138" t="str">
        <f aca="false">IFERROR(VLOOKUP(TEXT(H399,"0"),IPRESS!$A$3:$B$212,2,0),"")</f>
        <v/>
      </c>
      <c r="J399" s="140"/>
      <c r="K399" s="138" t="str">
        <f aca="false">IFERROR(VLOOKUP(TEXT(O399,"0"),CONDUCTORES!$A$3:$G$54,7,0),"")</f>
        <v/>
      </c>
      <c r="L399" s="140"/>
      <c r="M399" s="140"/>
      <c r="N399" s="139" t="str">
        <f aca="false">IFERROR(IF(L399*M399=0,"",L399*M399),"")</f>
        <v/>
      </c>
      <c r="O399" s="140"/>
      <c r="P399" s="138" t="str">
        <f aca="false">IFERROR(VLOOKUP(TEXT(O399,"0"),CONDUCTORES!$A$3:$G$54,2,0),"")</f>
        <v/>
      </c>
      <c r="Q399" s="138" t="str">
        <f aca="false">IFERROR(VLOOKUP(TEXT(O399,"0"),CONDUCTORES!$A$3:$H$54,6,0),"")</f>
        <v/>
      </c>
      <c r="R399" s="140"/>
      <c r="S399" s="140"/>
      <c r="T399" s="140"/>
      <c r="U399" s="140"/>
      <c r="V399" s="140"/>
      <c r="W399" s="140"/>
      <c r="X399" s="140"/>
      <c r="Y399" s="140"/>
      <c r="Z399" s="185" t="str">
        <f aca="false">IF(AND(G399&lt;&gt;"",R399&lt;&gt;"",V399&lt;&gt;"",W399&lt;&gt;""),"COMPLETADO","OBSERVADO")</f>
        <v>OBSERVADO</v>
      </c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138" t="str">
        <f aca="false">IFERROR(VLOOKUP(TEXT(H400,"0"),IPRESS!$A$3:$B$212,2,0),"")</f>
        <v/>
      </c>
      <c r="J400" s="85"/>
      <c r="K400" s="138" t="str">
        <f aca="false">IFERROR(VLOOKUP(TEXT(O400,"0"),CONDUCTORES!$A$3:$G$54,7,0),"")</f>
        <v/>
      </c>
      <c r="L400" s="85"/>
      <c r="M400" s="85"/>
      <c r="N400" s="139" t="str">
        <f aca="false">IFERROR(IF(L400*M400=0,"",L400*M400),"")</f>
        <v/>
      </c>
      <c r="O400" s="85"/>
      <c r="P400" s="138" t="str">
        <f aca="false">IFERROR(VLOOKUP(TEXT(O400,"0"),CONDUCTORES!$A$3:$G$54,2,0),"")</f>
        <v/>
      </c>
      <c r="Q400" s="138" t="str">
        <f aca="false">IFERROR(VLOOKUP(TEXT(O400,"0"),CONDUCTORES!$A$3:$H$54,6,0),"")</f>
        <v/>
      </c>
      <c r="R400" s="85"/>
      <c r="S400" s="85"/>
      <c r="T400" s="85"/>
      <c r="U400" s="85"/>
      <c r="V400" s="85"/>
      <c r="W400" s="85"/>
      <c r="X400" s="85"/>
      <c r="Y400" s="85"/>
      <c r="Z400" s="185" t="str">
        <f aca="false">IF(AND(G400&lt;&gt;"",R400&lt;&gt;"",V400&lt;&gt;"",W400&lt;&gt;""),"COMPLETADO","OBSERVADO")</f>
        <v>OBSERVADO</v>
      </c>
    </row>
    <row r="401" customFormat="false" ht="15" hidden="false" customHeight="true" outlineLevel="0" collapsed="false">
      <c r="A401" s="140"/>
      <c r="B401" s="140"/>
      <c r="C401" s="140"/>
      <c r="D401" s="140"/>
      <c r="E401" s="140"/>
      <c r="F401" s="140"/>
      <c r="G401" s="140"/>
      <c r="H401" s="140"/>
      <c r="I401" s="138" t="str">
        <f aca="false">IFERROR(VLOOKUP(TEXT(H401,"0"),IPRESS!$A$3:$B$212,2,0),"")</f>
        <v/>
      </c>
      <c r="J401" s="140"/>
      <c r="K401" s="138" t="str">
        <f aca="false">IFERROR(VLOOKUP(TEXT(O401,"0"),CONDUCTORES!$A$3:$G$54,7,0),"")</f>
        <v/>
      </c>
      <c r="L401" s="140"/>
      <c r="M401" s="140"/>
      <c r="N401" s="139" t="str">
        <f aca="false">IFERROR(IF(L401*M401=0,"",L401*M401),"")</f>
        <v/>
      </c>
      <c r="O401" s="140"/>
      <c r="P401" s="138" t="str">
        <f aca="false">IFERROR(VLOOKUP(TEXT(O401,"0"),CONDUCTORES!$A$3:$G$54,2,0),"")</f>
        <v/>
      </c>
      <c r="Q401" s="138" t="str">
        <f aca="false">IFERROR(VLOOKUP(TEXT(O401,"0"),CONDUCTORES!$A$3:$H$54,6,0),"")</f>
        <v/>
      </c>
      <c r="R401" s="140"/>
      <c r="S401" s="140"/>
      <c r="T401" s="140"/>
      <c r="U401" s="140"/>
      <c r="V401" s="140"/>
      <c r="W401" s="140"/>
      <c r="X401" s="140"/>
      <c r="Y401" s="140"/>
      <c r="Z401" s="185" t="str">
        <f aca="false">IF(AND(G401&lt;&gt;"",R401&lt;&gt;"",V401&lt;&gt;"",W401&lt;&gt;""),"COMPLETADO","OBSERVADO")</f>
        <v>OBSERVADO</v>
      </c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138" t="str">
        <f aca="false">IFERROR(VLOOKUP(TEXT(H402,"0"),IPRESS!$A$3:$B$212,2,0),"")</f>
        <v/>
      </c>
      <c r="J402" s="85"/>
      <c r="K402" s="138" t="str">
        <f aca="false">IFERROR(VLOOKUP(TEXT(O402,"0"),CONDUCTORES!$A$3:$G$54,7,0),"")</f>
        <v/>
      </c>
      <c r="L402" s="85"/>
      <c r="M402" s="85"/>
      <c r="N402" s="139" t="str">
        <f aca="false">IFERROR(IF(L402*M402=0,"",L402*M402),"")</f>
        <v/>
      </c>
      <c r="O402" s="85"/>
      <c r="P402" s="138" t="str">
        <f aca="false">IFERROR(VLOOKUP(TEXT(O402,"0"),CONDUCTORES!$A$3:$G$54,2,0),"")</f>
        <v/>
      </c>
      <c r="Q402" s="138" t="str">
        <f aca="false">IFERROR(VLOOKUP(TEXT(O402,"0"),CONDUCTORES!$A$3:$H$54,6,0),"")</f>
        <v/>
      </c>
      <c r="R402" s="85"/>
      <c r="S402" s="85"/>
      <c r="T402" s="85"/>
      <c r="U402" s="85"/>
      <c r="V402" s="85"/>
      <c r="W402" s="85"/>
      <c r="X402" s="85"/>
      <c r="Y402" s="85"/>
      <c r="Z402" s="185" t="str">
        <f aca="false">IF(AND(G402&lt;&gt;"",R402&lt;&gt;"",V402&lt;&gt;"",W402&lt;&gt;""),"COMPLETADO","OBSERVADO")</f>
        <v>OBSERVADO</v>
      </c>
    </row>
    <row r="403" customFormat="false" ht="15" hidden="false" customHeight="true" outlineLevel="0" collapsed="false">
      <c r="A403" s="140"/>
      <c r="B403" s="140"/>
      <c r="C403" s="140"/>
      <c r="D403" s="140"/>
      <c r="E403" s="140"/>
      <c r="F403" s="140"/>
      <c r="G403" s="140"/>
      <c r="H403" s="140"/>
      <c r="I403" s="138" t="str">
        <f aca="false">IFERROR(VLOOKUP(TEXT(H403,"0"),IPRESS!$A$3:$B$212,2,0),"")</f>
        <v/>
      </c>
      <c r="J403" s="140"/>
      <c r="K403" s="138" t="str">
        <f aca="false">IFERROR(VLOOKUP(TEXT(O403,"0"),CONDUCTORES!$A$3:$G$54,7,0),"")</f>
        <v/>
      </c>
      <c r="L403" s="140"/>
      <c r="M403" s="140"/>
      <c r="N403" s="139" t="str">
        <f aca="false">IFERROR(IF(L403*M403=0,"",L403*M403),"")</f>
        <v/>
      </c>
      <c r="O403" s="140"/>
      <c r="P403" s="138" t="str">
        <f aca="false">IFERROR(VLOOKUP(TEXT(O403,"0"),CONDUCTORES!$A$3:$G$54,2,0),"")</f>
        <v/>
      </c>
      <c r="Q403" s="138" t="str">
        <f aca="false">IFERROR(VLOOKUP(TEXT(O403,"0"),CONDUCTORES!$A$3:$H$54,6,0),"")</f>
        <v/>
      </c>
      <c r="R403" s="140"/>
      <c r="S403" s="140"/>
      <c r="T403" s="140"/>
      <c r="U403" s="140"/>
      <c r="V403" s="140"/>
      <c r="W403" s="140"/>
      <c r="X403" s="140"/>
      <c r="Y403" s="140"/>
      <c r="Z403" s="185" t="str">
        <f aca="false">IF(AND(G403&lt;&gt;"",R403&lt;&gt;"",V403&lt;&gt;"",W403&lt;&gt;""),"COMPLETADO","OBSERVADO")</f>
        <v>OBSERVADO</v>
      </c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138" t="str">
        <f aca="false">IFERROR(VLOOKUP(TEXT(H404,"0"),IPRESS!$A$3:$B$212,2,0),"")</f>
        <v/>
      </c>
      <c r="J404" s="85"/>
      <c r="K404" s="138" t="str">
        <f aca="false">IFERROR(VLOOKUP(TEXT(O404,"0"),CONDUCTORES!$A$3:$G$54,7,0),"")</f>
        <v/>
      </c>
      <c r="L404" s="85"/>
      <c r="M404" s="85"/>
      <c r="N404" s="139" t="str">
        <f aca="false">IFERROR(IF(L404*M404=0,"",L404*M404),"")</f>
        <v/>
      </c>
      <c r="O404" s="85"/>
      <c r="P404" s="138" t="str">
        <f aca="false">IFERROR(VLOOKUP(TEXT(O404,"0"),CONDUCTORES!$A$3:$G$54,2,0),"")</f>
        <v/>
      </c>
      <c r="Q404" s="138" t="str">
        <f aca="false">IFERROR(VLOOKUP(TEXT(O404,"0"),CONDUCTORES!$A$3:$H$54,6,0),"")</f>
        <v/>
      </c>
      <c r="R404" s="85"/>
      <c r="S404" s="85"/>
      <c r="T404" s="85"/>
      <c r="U404" s="85"/>
      <c r="V404" s="85"/>
      <c r="W404" s="85"/>
      <c r="X404" s="85"/>
      <c r="Y404" s="85"/>
      <c r="Z404" s="185" t="str">
        <f aca="false">IF(AND(G404&lt;&gt;"",R404&lt;&gt;"",V404&lt;&gt;"",W404&lt;&gt;""),"COMPLETADO","OBSERVADO")</f>
        <v>OBSERVADO</v>
      </c>
    </row>
    <row r="405" customFormat="false" ht="15" hidden="false" customHeight="true" outlineLevel="0" collapsed="false">
      <c r="A405" s="140"/>
      <c r="B405" s="140"/>
      <c r="C405" s="140"/>
      <c r="D405" s="140"/>
      <c r="E405" s="140"/>
      <c r="F405" s="140"/>
      <c r="G405" s="140"/>
      <c r="H405" s="140"/>
      <c r="I405" s="138" t="str">
        <f aca="false">IFERROR(VLOOKUP(TEXT(H405,"0"),IPRESS!$A$3:$B$212,2,0),"")</f>
        <v/>
      </c>
      <c r="J405" s="140"/>
      <c r="K405" s="138" t="str">
        <f aca="false">IFERROR(VLOOKUP(TEXT(O405,"0"),CONDUCTORES!$A$3:$G$54,7,0),"")</f>
        <v/>
      </c>
      <c r="L405" s="140"/>
      <c r="M405" s="140"/>
      <c r="N405" s="139" t="str">
        <f aca="false">IFERROR(IF(L405*M405=0,"",L405*M405),"")</f>
        <v/>
      </c>
      <c r="O405" s="140"/>
      <c r="P405" s="138" t="str">
        <f aca="false">IFERROR(VLOOKUP(TEXT(O405,"0"),CONDUCTORES!$A$3:$G$54,2,0),"")</f>
        <v/>
      </c>
      <c r="Q405" s="138" t="str">
        <f aca="false">IFERROR(VLOOKUP(TEXT(O405,"0"),CONDUCTORES!$A$3:$H$54,6,0),"")</f>
        <v/>
      </c>
      <c r="R405" s="140"/>
      <c r="S405" s="140"/>
      <c r="T405" s="140"/>
      <c r="U405" s="140"/>
      <c r="V405" s="140"/>
      <c r="W405" s="140"/>
      <c r="X405" s="140"/>
      <c r="Y405" s="140"/>
      <c r="Z405" s="185" t="str">
        <f aca="false">IF(AND(G405&lt;&gt;"",R405&lt;&gt;"",V405&lt;&gt;"",W405&lt;&gt;""),"COMPLETADO","OBSERVADO")</f>
        <v>OBSERVADO</v>
      </c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138" t="str">
        <f aca="false">IFERROR(VLOOKUP(TEXT(H406,"0"),IPRESS!$A$3:$B$212,2,0),"")</f>
        <v/>
      </c>
      <c r="J406" s="85"/>
      <c r="K406" s="138" t="str">
        <f aca="false">IFERROR(VLOOKUP(TEXT(O406,"0"),CONDUCTORES!$A$3:$G$54,7,0),"")</f>
        <v/>
      </c>
      <c r="L406" s="85"/>
      <c r="M406" s="85"/>
      <c r="N406" s="139" t="str">
        <f aca="false">IFERROR(IF(L406*M406=0,"",L406*M406),"")</f>
        <v/>
      </c>
      <c r="O406" s="85"/>
      <c r="P406" s="138" t="str">
        <f aca="false">IFERROR(VLOOKUP(TEXT(O406,"0"),CONDUCTORES!$A$3:$G$54,2,0),"")</f>
        <v/>
      </c>
      <c r="Q406" s="138" t="str">
        <f aca="false">IFERROR(VLOOKUP(TEXT(O406,"0"),CONDUCTORES!$A$3:$H$54,6,0),"")</f>
        <v/>
      </c>
      <c r="R406" s="85"/>
      <c r="S406" s="85"/>
      <c r="T406" s="85"/>
      <c r="U406" s="85"/>
      <c r="V406" s="85"/>
      <c r="W406" s="85"/>
      <c r="X406" s="85"/>
      <c r="Y406" s="85"/>
      <c r="Z406" s="185" t="str">
        <f aca="false">IF(AND(G406&lt;&gt;"",R406&lt;&gt;"",V406&lt;&gt;"",W406&lt;&gt;""),"COMPLETADO","OBSERVADO")</f>
        <v>OBSERVADO</v>
      </c>
    </row>
    <row r="407" customFormat="false" ht="15" hidden="false" customHeight="true" outlineLevel="0" collapsed="false">
      <c r="A407" s="140"/>
      <c r="B407" s="140"/>
      <c r="C407" s="140"/>
      <c r="D407" s="140"/>
      <c r="E407" s="140"/>
      <c r="F407" s="140"/>
      <c r="G407" s="140"/>
      <c r="H407" s="140"/>
      <c r="I407" s="138" t="str">
        <f aca="false">IFERROR(VLOOKUP(TEXT(H407,"0"),IPRESS!$A$3:$B$212,2,0),"")</f>
        <v/>
      </c>
      <c r="J407" s="140"/>
      <c r="K407" s="138" t="str">
        <f aca="false">IFERROR(VLOOKUP(TEXT(O407,"0"),CONDUCTORES!$A$3:$G$54,7,0),"")</f>
        <v/>
      </c>
      <c r="L407" s="140"/>
      <c r="M407" s="140"/>
      <c r="N407" s="139" t="str">
        <f aca="false">IFERROR(IF(L407*M407=0,"",L407*M407),"")</f>
        <v/>
      </c>
      <c r="O407" s="140"/>
      <c r="P407" s="138" t="str">
        <f aca="false">IFERROR(VLOOKUP(TEXT(O407,"0"),CONDUCTORES!$A$3:$G$54,2,0),"")</f>
        <v/>
      </c>
      <c r="Q407" s="138" t="str">
        <f aca="false">IFERROR(VLOOKUP(TEXT(O407,"0"),CONDUCTORES!$A$3:$H$54,6,0),"")</f>
        <v/>
      </c>
      <c r="R407" s="140"/>
      <c r="S407" s="140"/>
      <c r="T407" s="140"/>
      <c r="U407" s="140"/>
      <c r="V407" s="140"/>
      <c r="W407" s="140"/>
      <c r="X407" s="140"/>
      <c r="Y407" s="140"/>
      <c r="Z407" s="185" t="str">
        <f aca="false">IF(AND(G407&lt;&gt;"",R407&lt;&gt;"",V407&lt;&gt;"",W407&lt;&gt;""),"COMPLETADO","OBSERVADO")</f>
        <v>OBSERVADO</v>
      </c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138" t="str">
        <f aca="false">IFERROR(VLOOKUP(TEXT(H408,"0"),IPRESS!$A$3:$B$212,2,0),"")</f>
        <v/>
      </c>
      <c r="J408" s="85"/>
      <c r="K408" s="138" t="str">
        <f aca="false">IFERROR(VLOOKUP(TEXT(O408,"0"),CONDUCTORES!$A$3:$G$54,7,0),"")</f>
        <v/>
      </c>
      <c r="L408" s="85"/>
      <c r="M408" s="85"/>
      <c r="N408" s="139" t="str">
        <f aca="false">IFERROR(IF(L408*M408=0,"",L408*M408),"")</f>
        <v/>
      </c>
      <c r="O408" s="85"/>
      <c r="P408" s="138" t="str">
        <f aca="false">IFERROR(VLOOKUP(TEXT(O408,"0"),CONDUCTORES!$A$3:$G$54,2,0),"")</f>
        <v/>
      </c>
      <c r="Q408" s="138" t="str">
        <f aca="false">IFERROR(VLOOKUP(TEXT(O408,"0"),CONDUCTORES!$A$3:$H$54,6,0),"")</f>
        <v/>
      </c>
      <c r="R408" s="85"/>
      <c r="S408" s="85"/>
      <c r="T408" s="85"/>
      <c r="U408" s="85"/>
      <c r="V408" s="85"/>
      <c r="W408" s="85"/>
      <c r="X408" s="85"/>
      <c r="Y408" s="85"/>
      <c r="Z408" s="185" t="str">
        <f aca="false">IF(AND(G408&lt;&gt;"",R408&lt;&gt;"",V408&lt;&gt;"",W408&lt;&gt;""),"COMPLETADO","OBSERVADO")</f>
        <v>OBSERVADO</v>
      </c>
    </row>
    <row r="409" customFormat="false" ht="15" hidden="false" customHeight="true" outlineLevel="0" collapsed="false">
      <c r="A409" s="140"/>
      <c r="B409" s="140"/>
      <c r="C409" s="140"/>
      <c r="D409" s="140"/>
      <c r="E409" s="140"/>
      <c r="F409" s="140"/>
      <c r="G409" s="140"/>
      <c r="H409" s="140"/>
      <c r="I409" s="138" t="str">
        <f aca="false">IFERROR(VLOOKUP(TEXT(H409,"0"),IPRESS!$A$3:$B$212,2,0),"")</f>
        <v/>
      </c>
      <c r="J409" s="140"/>
      <c r="K409" s="138" t="str">
        <f aca="false">IFERROR(VLOOKUP(TEXT(O409,"0"),CONDUCTORES!$A$3:$G$54,7,0),"")</f>
        <v/>
      </c>
      <c r="L409" s="140"/>
      <c r="M409" s="140"/>
      <c r="N409" s="139" t="str">
        <f aca="false">IFERROR(IF(L409*M409=0,"",L409*M409),"")</f>
        <v/>
      </c>
      <c r="O409" s="140"/>
      <c r="P409" s="138" t="str">
        <f aca="false">IFERROR(VLOOKUP(TEXT(O409,"0"),CONDUCTORES!$A$3:$G$54,2,0),"")</f>
        <v/>
      </c>
      <c r="Q409" s="138" t="str">
        <f aca="false">IFERROR(VLOOKUP(TEXT(O409,"0"),CONDUCTORES!$A$3:$H$54,6,0),"")</f>
        <v/>
      </c>
      <c r="R409" s="140"/>
      <c r="S409" s="140"/>
      <c r="T409" s="140"/>
      <c r="U409" s="140"/>
      <c r="V409" s="140"/>
      <c r="W409" s="140"/>
      <c r="X409" s="140"/>
      <c r="Y409" s="140"/>
      <c r="Z409" s="185" t="str">
        <f aca="false">IF(AND(G409&lt;&gt;"",R409&lt;&gt;"",V409&lt;&gt;"",W409&lt;&gt;""),"COMPLETADO","OBSERVADO")</f>
        <v>OBSERVADO</v>
      </c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138" t="str">
        <f aca="false">IFERROR(VLOOKUP(TEXT(H410,"0"),IPRESS!$A$3:$B$212,2,0),"")</f>
        <v/>
      </c>
      <c r="J410" s="85"/>
      <c r="K410" s="138" t="str">
        <f aca="false">IFERROR(VLOOKUP(TEXT(O410,"0"),CONDUCTORES!$A$3:$G$54,7,0),"")</f>
        <v/>
      </c>
      <c r="L410" s="85"/>
      <c r="M410" s="85"/>
      <c r="N410" s="139" t="str">
        <f aca="false">IFERROR(IF(L410*M410=0,"",L410*M410),"")</f>
        <v/>
      </c>
      <c r="O410" s="85"/>
      <c r="P410" s="138" t="str">
        <f aca="false">IFERROR(VLOOKUP(TEXT(O410,"0"),CONDUCTORES!$A$3:$G$54,2,0),"")</f>
        <v/>
      </c>
      <c r="Q410" s="138" t="str">
        <f aca="false">IFERROR(VLOOKUP(TEXT(O410,"0"),CONDUCTORES!$A$3:$H$54,6,0),"")</f>
        <v/>
      </c>
      <c r="R410" s="85"/>
      <c r="S410" s="85"/>
      <c r="T410" s="85"/>
      <c r="U410" s="85"/>
      <c r="V410" s="85"/>
      <c r="W410" s="85"/>
      <c r="X410" s="85"/>
      <c r="Y410" s="85"/>
      <c r="Z410" s="185" t="str">
        <f aca="false">IF(AND(G410&lt;&gt;"",R410&lt;&gt;"",V410&lt;&gt;"",W410&lt;&gt;""),"COMPLETADO","OBSERVADO")</f>
        <v>OBSERVADO</v>
      </c>
    </row>
    <row r="411" customFormat="false" ht="15" hidden="false" customHeight="true" outlineLevel="0" collapsed="false">
      <c r="A411" s="140"/>
      <c r="B411" s="140"/>
      <c r="C411" s="140"/>
      <c r="D411" s="140"/>
      <c r="E411" s="140"/>
      <c r="F411" s="140"/>
      <c r="G411" s="140"/>
      <c r="H411" s="140"/>
      <c r="I411" s="138" t="str">
        <f aca="false">IFERROR(VLOOKUP(TEXT(H411,"0"),IPRESS!$A$3:$B$212,2,0),"")</f>
        <v/>
      </c>
      <c r="J411" s="140"/>
      <c r="K411" s="138" t="str">
        <f aca="false">IFERROR(VLOOKUP(TEXT(O411,"0"),CONDUCTORES!$A$3:$G$54,7,0),"")</f>
        <v/>
      </c>
      <c r="L411" s="140"/>
      <c r="M411" s="140"/>
      <c r="N411" s="139" t="str">
        <f aca="false">IFERROR(IF(L411*M411=0,"",L411*M411),"")</f>
        <v/>
      </c>
      <c r="O411" s="140"/>
      <c r="P411" s="138" t="str">
        <f aca="false">IFERROR(VLOOKUP(TEXT(O411,"0"),CONDUCTORES!$A$3:$G$54,2,0),"")</f>
        <v/>
      </c>
      <c r="Q411" s="138" t="str">
        <f aca="false">IFERROR(VLOOKUP(TEXT(O411,"0"),CONDUCTORES!$A$3:$H$54,6,0),"")</f>
        <v/>
      </c>
      <c r="R411" s="140"/>
      <c r="S411" s="140"/>
      <c r="T411" s="140"/>
      <c r="U411" s="140"/>
      <c r="V411" s="140"/>
      <c r="W411" s="140"/>
      <c r="X411" s="140"/>
      <c r="Y411" s="140"/>
      <c r="Z411" s="185" t="str">
        <f aca="false">IF(AND(G411&lt;&gt;"",R411&lt;&gt;"",V411&lt;&gt;"",W411&lt;&gt;""),"COMPLETADO","OBSERVADO")</f>
        <v>OBSERVADO</v>
      </c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138" t="str">
        <f aca="false">IFERROR(VLOOKUP(TEXT(H412,"0"),IPRESS!$A$3:$B$212,2,0),"")</f>
        <v/>
      </c>
      <c r="J412" s="85"/>
      <c r="K412" s="138" t="str">
        <f aca="false">IFERROR(VLOOKUP(TEXT(O412,"0"),CONDUCTORES!$A$3:$G$54,7,0),"")</f>
        <v/>
      </c>
      <c r="L412" s="85"/>
      <c r="M412" s="85"/>
      <c r="N412" s="139" t="str">
        <f aca="false">IFERROR(IF(L412*M412=0,"",L412*M412),"")</f>
        <v/>
      </c>
      <c r="O412" s="85"/>
      <c r="P412" s="138" t="str">
        <f aca="false">IFERROR(VLOOKUP(TEXT(O412,"0"),CONDUCTORES!$A$3:$G$54,2,0),"")</f>
        <v/>
      </c>
      <c r="Q412" s="138" t="str">
        <f aca="false">IFERROR(VLOOKUP(TEXT(O412,"0"),CONDUCTORES!$A$3:$H$54,6,0),"")</f>
        <v/>
      </c>
      <c r="R412" s="85"/>
      <c r="S412" s="85"/>
      <c r="T412" s="85"/>
      <c r="U412" s="85"/>
      <c r="V412" s="85"/>
      <c r="W412" s="85"/>
      <c r="X412" s="85"/>
      <c r="Y412" s="85"/>
      <c r="Z412" s="185" t="str">
        <f aca="false">IF(AND(G412&lt;&gt;"",R412&lt;&gt;"",V412&lt;&gt;"",W412&lt;&gt;""),"COMPLETADO","OBSERVADO")</f>
        <v>OBSERVADO</v>
      </c>
    </row>
    <row r="413" customFormat="false" ht="15" hidden="false" customHeight="true" outlineLevel="0" collapsed="false">
      <c r="A413" s="140"/>
      <c r="B413" s="140"/>
      <c r="C413" s="140"/>
      <c r="D413" s="140"/>
      <c r="E413" s="140"/>
      <c r="F413" s="140"/>
      <c r="G413" s="140"/>
      <c r="H413" s="140"/>
      <c r="I413" s="138" t="str">
        <f aca="false">IFERROR(VLOOKUP(TEXT(H413,"0"),IPRESS!$A$3:$B$212,2,0),"")</f>
        <v/>
      </c>
      <c r="J413" s="140"/>
      <c r="K413" s="138" t="str">
        <f aca="false">IFERROR(VLOOKUP(TEXT(O413,"0"),CONDUCTORES!$A$3:$G$54,7,0),"")</f>
        <v/>
      </c>
      <c r="L413" s="140"/>
      <c r="M413" s="140"/>
      <c r="N413" s="139" t="str">
        <f aca="false">IFERROR(IF(L413*M413=0,"",L413*M413),"")</f>
        <v/>
      </c>
      <c r="O413" s="140"/>
      <c r="P413" s="138" t="str">
        <f aca="false">IFERROR(VLOOKUP(TEXT(O413,"0"),CONDUCTORES!$A$3:$G$54,2,0),"")</f>
        <v/>
      </c>
      <c r="Q413" s="138" t="str">
        <f aca="false">IFERROR(VLOOKUP(TEXT(O413,"0"),CONDUCTORES!$A$3:$H$54,6,0),"")</f>
        <v/>
      </c>
      <c r="R413" s="140"/>
      <c r="S413" s="140"/>
      <c r="T413" s="140"/>
      <c r="U413" s="140"/>
      <c r="V413" s="140"/>
      <c r="W413" s="140"/>
      <c r="X413" s="140"/>
      <c r="Y413" s="140"/>
      <c r="Z413" s="185" t="str">
        <f aca="false">IF(AND(G413&lt;&gt;"",R413&lt;&gt;"",V413&lt;&gt;"",W413&lt;&gt;""),"COMPLETADO","OBSERVADO")</f>
        <v>OBSERVADO</v>
      </c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138" t="str">
        <f aca="false">IFERROR(VLOOKUP(TEXT(H414,"0"),IPRESS!$A$3:$B$212,2,0),"")</f>
        <v/>
      </c>
      <c r="J414" s="85"/>
      <c r="K414" s="138" t="str">
        <f aca="false">IFERROR(VLOOKUP(TEXT(O414,"0"),CONDUCTORES!$A$3:$G$54,7,0),"")</f>
        <v/>
      </c>
      <c r="L414" s="85"/>
      <c r="M414" s="85"/>
      <c r="N414" s="139" t="str">
        <f aca="false">IFERROR(IF(L414*M414=0,"",L414*M414),"")</f>
        <v/>
      </c>
      <c r="O414" s="85"/>
      <c r="P414" s="138" t="str">
        <f aca="false">IFERROR(VLOOKUP(TEXT(O414,"0"),CONDUCTORES!$A$3:$G$54,2,0),"")</f>
        <v/>
      </c>
      <c r="Q414" s="138" t="str">
        <f aca="false">IFERROR(VLOOKUP(TEXT(O414,"0"),CONDUCTORES!$A$3:$H$54,6,0),"")</f>
        <v/>
      </c>
      <c r="R414" s="85"/>
      <c r="S414" s="85"/>
      <c r="T414" s="85"/>
      <c r="U414" s="85"/>
      <c r="V414" s="85"/>
      <c r="W414" s="85"/>
      <c r="X414" s="85"/>
      <c r="Y414" s="85"/>
      <c r="Z414" s="185" t="str">
        <f aca="false">IF(AND(G414&lt;&gt;"",R414&lt;&gt;"",V414&lt;&gt;"",W414&lt;&gt;""),"COMPLETADO","OBSERVADO")</f>
        <v>OBSERVADO</v>
      </c>
    </row>
    <row r="415" customFormat="false" ht="15" hidden="false" customHeight="true" outlineLevel="0" collapsed="false">
      <c r="A415" s="140"/>
      <c r="B415" s="140"/>
      <c r="C415" s="140"/>
      <c r="D415" s="140"/>
      <c r="E415" s="140"/>
      <c r="F415" s="140"/>
      <c r="G415" s="140"/>
      <c r="H415" s="140"/>
      <c r="I415" s="138" t="str">
        <f aca="false">IFERROR(VLOOKUP(TEXT(H415,"0"),IPRESS!$A$3:$B$212,2,0),"")</f>
        <v/>
      </c>
      <c r="J415" s="140"/>
      <c r="K415" s="138" t="str">
        <f aca="false">IFERROR(VLOOKUP(TEXT(O415,"0"),CONDUCTORES!$A$3:$G$54,7,0),"")</f>
        <v/>
      </c>
      <c r="L415" s="140"/>
      <c r="M415" s="140"/>
      <c r="N415" s="139" t="str">
        <f aca="false">IFERROR(IF(L415*M415=0,"",L415*M415),"")</f>
        <v/>
      </c>
      <c r="O415" s="140"/>
      <c r="P415" s="138" t="str">
        <f aca="false">IFERROR(VLOOKUP(TEXT(O415,"0"),CONDUCTORES!$A$3:$G$54,2,0),"")</f>
        <v/>
      </c>
      <c r="Q415" s="138" t="str">
        <f aca="false">IFERROR(VLOOKUP(TEXT(O415,"0"),CONDUCTORES!$A$3:$H$54,6,0),"")</f>
        <v/>
      </c>
      <c r="R415" s="140"/>
      <c r="S415" s="140"/>
      <c r="T415" s="140"/>
      <c r="U415" s="140"/>
      <c r="V415" s="140"/>
      <c r="W415" s="140"/>
      <c r="X415" s="140"/>
      <c r="Y415" s="140"/>
      <c r="Z415" s="185" t="str">
        <f aca="false">IF(AND(G415&lt;&gt;"",R415&lt;&gt;"",V415&lt;&gt;"",W415&lt;&gt;""),"COMPLETADO","OBSERVADO")</f>
        <v>OBSERVADO</v>
      </c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138" t="str">
        <f aca="false">IFERROR(VLOOKUP(TEXT(H416,"0"),IPRESS!$A$3:$B$212,2,0),"")</f>
        <v/>
      </c>
      <c r="J416" s="85"/>
      <c r="K416" s="138" t="str">
        <f aca="false">IFERROR(VLOOKUP(TEXT(O416,"0"),CONDUCTORES!$A$3:$G$54,7,0),"")</f>
        <v/>
      </c>
      <c r="L416" s="85"/>
      <c r="M416" s="85"/>
      <c r="N416" s="139" t="str">
        <f aca="false">IFERROR(IF(L416*M416=0,"",L416*M416),"")</f>
        <v/>
      </c>
      <c r="O416" s="85"/>
      <c r="P416" s="138" t="str">
        <f aca="false">IFERROR(VLOOKUP(TEXT(O416,"0"),CONDUCTORES!$A$3:$G$54,2,0),"")</f>
        <v/>
      </c>
      <c r="Q416" s="138" t="str">
        <f aca="false">IFERROR(VLOOKUP(TEXT(O416,"0"),CONDUCTORES!$A$3:$H$54,6,0),"")</f>
        <v/>
      </c>
      <c r="R416" s="85"/>
      <c r="S416" s="85"/>
      <c r="T416" s="85"/>
      <c r="U416" s="85"/>
      <c r="V416" s="85"/>
      <c r="W416" s="85"/>
      <c r="X416" s="85"/>
      <c r="Y416" s="85"/>
      <c r="Z416" s="185" t="str">
        <f aca="false">IF(AND(G416&lt;&gt;"",R416&lt;&gt;"",V416&lt;&gt;"",W416&lt;&gt;""),"COMPLETADO","OBSERVADO")</f>
        <v>OBSERVADO</v>
      </c>
    </row>
    <row r="417" customFormat="false" ht="15" hidden="false" customHeight="true" outlineLevel="0" collapsed="false">
      <c r="A417" s="140"/>
      <c r="B417" s="140"/>
      <c r="C417" s="140"/>
      <c r="D417" s="140"/>
      <c r="E417" s="140"/>
      <c r="F417" s="140"/>
      <c r="G417" s="140"/>
      <c r="H417" s="140"/>
      <c r="I417" s="138" t="str">
        <f aca="false">IFERROR(VLOOKUP(TEXT(H417,"0"),IPRESS!$A$3:$B$212,2,0),"")</f>
        <v/>
      </c>
      <c r="J417" s="140"/>
      <c r="K417" s="138" t="str">
        <f aca="false">IFERROR(VLOOKUP(TEXT(O417,"0"),CONDUCTORES!$A$3:$G$54,7,0),"")</f>
        <v/>
      </c>
      <c r="L417" s="140"/>
      <c r="M417" s="140"/>
      <c r="N417" s="139" t="str">
        <f aca="false">IFERROR(IF(L417*M417=0,"",L417*M417),"")</f>
        <v/>
      </c>
      <c r="O417" s="140"/>
      <c r="P417" s="138" t="str">
        <f aca="false">IFERROR(VLOOKUP(TEXT(O417,"0"),CONDUCTORES!$A$3:$G$54,2,0),"")</f>
        <v/>
      </c>
      <c r="Q417" s="138" t="str">
        <f aca="false">IFERROR(VLOOKUP(TEXT(O417,"0"),CONDUCTORES!$A$3:$H$54,6,0),"")</f>
        <v/>
      </c>
      <c r="R417" s="140"/>
      <c r="S417" s="140"/>
      <c r="T417" s="140"/>
      <c r="U417" s="140"/>
      <c r="V417" s="140"/>
      <c r="W417" s="140"/>
      <c r="X417" s="140"/>
      <c r="Y417" s="140"/>
      <c r="Z417" s="185" t="str">
        <f aca="false">IF(AND(G417&lt;&gt;"",R417&lt;&gt;"",V417&lt;&gt;"",W417&lt;&gt;""),"COMPLETADO","OBSERVADO")</f>
        <v>OBSERVADO</v>
      </c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138" t="str">
        <f aca="false">IFERROR(VLOOKUP(TEXT(H418,"0"),IPRESS!$A$3:$B$212,2,0),"")</f>
        <v/>
      </c>
      <c r="J418" s="85"/>
      <c r="K418" s="138" t="str">
        <f aca="false">IFERROR(VLOOKUP(TEXT(O418,"0"),CONDUCTORES!$A$3:$G$54,7,0),"")</f>
        <v/>
      </c>
      <c r="L418" s="85"/>
      <c r="M418" s="85"/>
      <c r="N418" s="139" t="str">
        <f aca="false">IFERROR(IF(L418*M418=0,"",L418*M418),"")</f>
        <v/>
      </c>
      <c r="O418" s="85"/>
      <c r="P418" s="138" t="str">
        <f aca="false">IFERROR(VLOOKUP(TEXT(O418,"0"),CONDUCTORES!$A$3:$G$54,2,0),"")</f>
        <v/>
      </c>
      <c r="Q418" s="138" t="str">
        <f aca="false">IFERROR(VLOOKUP(TEXT(O418,"0"),CONDUCTORES!$A$3:$H$54,6,0),"")</f>
        <v/>
      </c>
      <c r="R418" s="85"/>
      <c r="S418" s="85"/>
      <c r="T418" s="85"/>
      <c r="U418" s="85"/>
      <c r="V418" s="85"/>
      <c r="W418" s="85"/>
      <c r="X418" s="85"/>
      <c r="Y418" s="85"/>
      <c r="Z418" s="185" t="str">
        <f aca="false">IF(AND(G418&lt;&gt;"",R418&lt;&gt;"",V418&lt;&gt;"",W418&lt;&gt;""),"COMPLETADO","OBSERVADO")</f>
        <v>OBSERVADO</v>
      </c>
    </row>
    <row r="419" customFormat="false" ht="15" hidden="false" customHeight="true" outlineLevel="0" collapsed="false">
      <c r="A419" s="140"/>
      <c r="B419" s="140"/>
      <c r="C419" s="140"/>
      <c r="D419" s="140"/>
      <c r="E419" s="140"/>
      <c r="F419" s="140"/>
      <c r="G419" s="140"/>
      <c r="H419" s="140"/>
      <c r="I419" s="138" t="str">
        <f aca="false">IFERROR(VLOOKUP(TEXT(H419,"0"),IPRESS!$A$3:$B$212,2,0),"")</f>
        <v/>
      </c>
      <c r="J419" s="140"/>
      <c r="K419" s="138" t="str">
        <f aca="false">IFERROR(VLOOKUP(TEXT(O419,"0"),CONDUCTORES!$A$3:$G$54,7,0),"")</f>
        <v/>
      </c>
      <c r="L419" s="140"/>
      <c r="M419" s="140"/>
      <c r="N419" s="139" t="str">
        <f aca="false">IFERROR(IF(L419*M419=0,"",L419*M419),"")</f>
        <v/>
      </c>
      <c r="O419" s="140"/>
      <c r="P419" s="138" t="str">
        <f aca="false">IFERROR(VLOOKUP(TEXT(O419,"0"),CONDUCTORES!$A$3:$G$54,2,0),"")</f>
        <v/>
      </c>
      <c r="Q419" s="138" t="str">
        <f aca="false">IFERROR(VLOOKUP(TEXT(O419,"0"),CONDUCTORES!$A$3:$H$54,6,0),"")</f>
        <v/>
      </c>
      <c r="R419" s="140"/>
      <c r="S419" s="140"/>
      <c r="T419" s="140"/>
      <c r="U419" s="140"/>
      <c r="V419" s="140"/>
      <c r="W419" s="140"/>
      <c r="X419" s="140"/>
      <c r="Y419" s="140"/>
      <c r="Z419" s="185" t="str">
        <f aca="false">IF(AND(G419&lt;&gt;"",R419&lt;&gt;"",V419&lt;&gt;"",W419&lt;&gt;""),"COMPLETADO","OBSERVADO")</f>
        <v>OBSERVADO</v>
      </c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138" t="str">
        <f aca="false">IFERROR(VLOOKUP(TEXT(H420,"0"),IPRESS!$A$3:$B$212,2,0),"")</f>
        <v/>
      </c>
      <c r="J420" s="85"/>
      <c r="K420" s="138" t="str">
        <f aca="false">IFERROR(VLOOKUP(TEXT(O420,"0"),CONDUCTORES!$A$3:$G$54,7,0),"")</f>
        <v/>
      </c>
      <c r="L420" s="85"/>
      <c r="M420" s="85"/>
      <c r="N420" s="139" t="str">
        <f aca="false">IFERROR(IF(L420*M420=0,"",L420*M420),"")</f>
        <v/>
      </c>
      <c r="O420" s="85"/>
      <c r="P420" s="138" t="str">
        <f aca="false">IFERROR(VLOOKUP(TEXT(O420,"0"),CONDUCTORES!$A$3:$G$54,2,0),"")</f>
        <v/>
      </c>
      <c r="Q420" s="138" t="str">
        <f aca="false">IFERROR(VLOOKUP(TEXT(O420,"0"),CONDUCTORES!$A$3:$H$54,6,0),"")</f>
        <v/>
      </c>
      <c r="R420" s="85"/>
      <c r="S420" s="85"/>
      <c r="T420" s="85"/>
      <c r="U420" s="85"/>
      <c r="V420" s="85"/>
      <c r="W420" s="85"/>
      <c r="X420" s="85"/>
      <c r="Y420" s="85"/>
      <c r="Z420" s="185" t="str">
        <f aca="false">IF(AND(G420&lt;&gt;"",R420&lt;&gt;"",V420&lt;&gt;"",W420&lt;&gt;""),"COMPLETADO","OBSERVADO")</f>
        <v>OBSERVADO</v>
      </c>
    </row>
    <row r="421" customFormat="false" ht="15" hidden="false" customHeight="true" outlineLevel="0" collapsed="false">
      <c r="A421" s="140"/>
      <c r="B421" s="140"/>
      <c r="C421" s="140"/>
      <c r="D421" s="140"/>
      <c r="E421" s="140"/>
      <c r="F421" s="140"/>
      <c r="G421" s="140"/>
      <c r="H421" s="140"/>
      <c r="I421" s="138" t="str">
        <f aca="false">IFERROR(VLOOKUP(TEXT(H421,"0"),IPRESS!$A$3:$B$212,2,0),"")</f>
        <v/>
      </c>
      <c r="J421" s="140"/>
      <c r="K421" s="138" t="str">
        <f aca="false">IFERROR(VLOOKUP(TEXT(O421,"0"),CONDUCTORES!$A$3:$G$54,7,0),"")</f>
        <v/>
      </c>
      <c r="L421" s="140"/>
      <c r="M421" s="140"/>
      <c r="N421" s="139" t="str">
        <f aca="false">IFERROR(IF(L421*M421=0,"",L421*M421),"")</f>
        <v/>
      </c>
      <c r="O421" s="140"/>
      <c r="P421" s="138" t="str">
        <f aca="false">IFERROR(VLOOKUP(TEXT(O421,"0"),CONDUCTORES!$A$3:$G$54,2,0),"")</f>
        <v/>
      </c>
      <c r="Q421" s="138" t="str">
        <f aca="false">IFERROR(VLOOKUP(TEXT(O421,"0"),CONDUCTORES!$A$3:$H$54,6,0),"")</f>
        <v/>
      </c>
      <c r="R421" s="140"/>
      <c r="S421" s="140"/>
      <c r="T421" s="140"/>
      <c r="U421" s="140"/>
      <c r="V421" s="140"/>
      <c r="W421" s="140"/>
      <c r="X421" s="140"/>
      <c r="Y421" s="140"/>
      <c r="Z421" s="185" t="str">
        <f aca="false">IF(AND(G421&lt;&gt;"",R421&lt;&gt;"",V421&lt;&gt;"",W421&lt;&gt;""),"COMPLETADO","OBSERVADO")</f>
        <v>OBSERVADO</v>
      </c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138" t="str">
        <f aca="false">IFERROR(VLOOKUP(TEXT(H422,"0"),IPRESS!$A$3:$B$212,2,0),"")</f>
        <v/>
      </c>
      <c r="J422" s="85"/>
      <c r="K422" s="138" t="str">
        <f aca="false">IFERROR(VLOOKUP(TEXT(O422,"0"),CONDUCTORES!$A$3:$G$54,7,0),"")</f>
        <v/>
      </c>
      <c r="L422" s="85"/>
      <c r="M422" s="85"/>
      <c r="N422" s="139" t="str">
        <f aca="false">IFERROR(IF(L422*M422=0,"",L422*M422),"")</f>
        <v/>
      </c>
      <c r="O422" s="85"/>
      <c r="P422" s="138" t="str">
        <f aca="false">IFERROR(VLOOKUP(TEXT(O422,"0"),CONDUCTORES!$A$3:$G$54,2,0),"")</f>
        <v/>
      </c>
      <c r="Q422" s="138" t="str">
        <f aca="false">IFERROR(VLOOKUP(TEXT(O422,"0"),CONDUCTORES!$A$3:$H$54,6,0),"")</f>
        <v/>
      </c>
      <c r="R422" s="85"/>
      <c r="S422" s="85"/>
      <c r="T422" s="85"/>
      <c r="U422" s="85"/>
      <c r="V422" s="85"/>
      <c r="W422" s="85"/>
      <c r="X422" s="85"/>
      <c r="Y422" s="85"/>
      <c r="Z422" s="185" t="str">
        <f aca="false">IF(AND(G422&lt;&gt;"",R422&lt;&gt;"",V422&lt;&gt;"",W422&lt;&gt;""),"COMPLETADO","OBSERVADO")</f>
        <v>OBSERVADO</v>
      </c>
    </row>
    <row r="423" customFormat="false" ht="15" hidden="false" customHeight="true" outlineLevel="0" collapsed="false">
      <c r="A423" s="140"/>
      <c r="B423" s="140"/>
      <c r="C423" s="140"/>
      <c r="D423" s="140"/>
      <c r="E423" s="140"/>
      <c r="F423" s="140"/>
      <c r="G423" s="140"/>
      <c r="H423" s="140"/>
      <c r="I423" s="138" t="str">
        <f aca="false">IFERROR(VLOOKUP(TEXT(H423,"0"),IPRESS!$A$3:$B$212,2,0),"")</f>
        <v/>
      </c>
      <c r="J423" s="140"/>
      <c r="K423" s="138" t="str">
        <f aca="false">IFERROR(VLOOKUP(TEXT(O423,"0"),CONDUCTORES!$A$3:$G$54,7,0),"")</f>
        <v/>
      </c>
      <c r="L423" s="140"/>
      <c r="M423" s="140"/>
      <c r="N423" s="139" t="str">
        <f aca="false">IFERROR(IF(L423*M423=0,"",L423*M423),"")</f>
        <v/>
      </c>
      <c r="O423" s="140"/>
      <c r="P423" s="138" t="str">
        <f aca="false">IFERROR(VLOOKUP(TEXT(O423,"0"),CONDUCTORES!$A$3:$G$54,2,0),"")</f>
        <v/>
      </c>
      <c r="Q423" s="138" t="str">
        <f aca="false">IFERROR(VLOOKUP(TEXT(O423,"0"),CONDUCTORES!$A$3:$H$54,6,0),"")</f>
        <v/>
      </c>
      <c r="R423" s="140"/>
      <c r="S423" s="140"/>
      <c r="T423" s="140"/>
      <c r="U423" s="140"/>
      <c r="V423" s="140"/>
      <c r="W423" s="140"/>
      <c r="X423" s="140"/>
      <c r="Y423" s="140"/>
      <c r="Z423" s="185" t="str">
        <f aca="false">IF(AND(G423&lt;&gt;"",R423&lt;&gt;"",V423&lt;&gt;"",W423&lt;&gt;""),"COMPLETADO","OBSERVADO")</f>
        <v>OBSERVADO</v>
      </c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138" t="str">
        <f aca="false">IFERROR(VLOOKUP(TEXT(H424,"0"),IPRESS!$A$3:$B$212,2,0),"")</f>
        <v/>
      </c>
      <c r="J424" s="85"/>
      <c r="K424" s="138" t="str">
        <f aca="false">IFERROR(VLOOKUP(TEXT(O424,"0"),CONDUCTORES!$A$3:$G$54,7,0),"")</f>
        <v/>
      </c>
      <c r="L424" s="85"/>
      <c r="M424" s="85"/>
      <c r="N424" s="139" t="str">
        <f aca="false">IFERROR(IF(L424*M424=0,"",L424*M424),"")</f>
        <v/>
      </c>
      <c r="O424" s="85"/>
      <c r="P424" s="138" t="str">
        <f aca="false">IFERROR(VLOOKUP(TEXT(O424,"0"),CONDUCTORES!$A$3:$G$54,2,0),"")</f>
        <v/>
      </c>
      <c r="Q424" s="138" t="str">
        <f aca="false">IFERROR(VLOOKUP(TEXT(O424,"0"),CONDUCTORES!$A$3:$H$54,6,0),"")</f>
        <v/>
      </c>
      <c r="R424" s="85"/>
      <c r="S424" s="85"/>
      <c r="T424" s="85"/>
      <c r="U424" s="85"/>
      <c r="V424" s="85"/>
      <c r="W424" s="85"/>
      <c r="X424" s="85"/>
      <c r="Y424" s="85"/>
      <c r="Z424" s="185" t="str">
        <f aca="false">IF(AND(G424&lt;&gt;"",R424&lt;&gt;"",V424&lt;&gt;"",W424&lt;&gt;""),"COMPLETADO","OBSERVADO")</f>
        <v>OBSERVADO</v>
      </c>
    </row>
    <row r="425" customFormat="false" ht="15" hidden="false" customHeight="true" outlineLevel="0" collapsed="false">
      <c r="A425" s="140"/>
      <c r="B425" s="140"/>
      <c r="C425" s="140"/>
      <c r="D425" s="140"/>
      <c r="E425" s="140"/>
      <c r="F425" s="140"/>
      <c r="G425" s="140"/>
      <c r="H425" s="140"/>
      <c r="I425" s="138" t="str">
        <f aca="false">IFERROR(VLOOKUP(TEXT(H425,"0"),IPRESS!$A$3:$B$212,2,0),"")</f>
        <v/>
      </c>
      <c r="J425" s="140"/>
      <c r="K425" s="138" t="str">
        <f aca="false">IFERROR(VLOOKUP(TEXT(O425,"0"),CONDUCTORES!$A$3:$G$54,7,0),"")</f>
        <v/>
      </c>
      <c r="L425" s="140"/>
      <c r="M425" s="140"/>
      <c r="N425" s="139" t="str">
        <f aca="false">IFERROR(IF(L425*M425=0,"",L425*M425),"")</f>
        <v/>
      </c>
      <c r="O425" s="140"/>
      <c r="P425" s="138" t="str">
        <f aca="false">IFERROR(VLOOKUP(TEXT(O425,"0"),CONDUCTORES!$A$3:$G$54,2,0),"")</f>
        <v/>
      </c>
      <c r="Q425" s="138" t="str">
        <f aca="false">IFERROR(VLOOKUP(TEXT(O425,"0"),CONDUCTORES!$A$3:$H$54,6,0),"")</f>
        <v/>
      </c>
      <c r="R425" s="140"/>
      <c r="S425" s="140"/>
      <c r="T425" s="140"/>
      <c r="U425" s="140"/>
      <c r="V425" s="140"/>
      <c r="W425" s="140"/>
      <c r="X425" s="140"/>
      <c r="Y425" s="140"/>
      <c r="Z425" s="185" t="str">
        <f aca="false">IF(AND(G425&lt;&gt;"",R425&lt;&gt;"",V425&lt;&gt;"",W425&lt;&gt;""),"COMPLETADO","OBSERVADO")</f>
        <v>OBSERVADO</v>
      </c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138" t="str">
        <f aca="false">IFERROR(VLOOKUP(TEXT(H426,"0"),IPRESS!$A$3:$B$212,2,0),"")</f>
        <v/>
      </c>
      <c r="J426" s="85"/>
      <c r="K426" s="138" t="str">
        <f aca="false">IFERROR(VLOOKUP(TEXT(O426,"0"),CONDUCTORES!$A$3:$G$54,7,0),"")</f>
        <v/>
      </c>
      <c r="L426" s="85"/>
      <c r="M426" s="85"/>
      <c r="N426" s="139" t="str">
        <f aca="false">IFERROR(IF(L426*M426=0,"",L426*M426),"")</f>
        <v/>
      </c>
      <c r="O426" s="85"/>
      <c r="P426" s="138" t="str">
        <f aca="false">IFERROR(VLOOKUP(TEXT(O426,"0"),CONDUCTORES!$A$3:$G$54,2,0),"")</f>
        <v/>
      </c>
      <c r="Q426" s="138" t="str">
        <f aca="false">IFERROR(VLOOKUP(TEXT(O426,"0"),CONDUCTORES!$A$3:$H$54,6,0),"")</f>
        <v/>
      </c>
      <c r="R426" s="85"/>
      <c r="S426" s="85"/>
      <c r="T426" s="85"/>
      <c r="U426" s="85"/>
      <c r="V426" s="85"/>
      <c r="W426" s="85"/>
      <c r="X426" s="85"/>
      <c r="Y426" s="85"/>
      <c r="Z426" s="185" t="str">
        <f aca="false">IF(AND(G426&lt;&gt;"",R426&lt;&gt;"",V426&lt;&gt;"",W426&lt;&gt;""),"COMPLETADO","OBSERVADO")</f>
        <v>OBSERVADO</v>
      </c>
    </row>
    <row r="427" customFormat="false" ht="15" hidden="false" customHeight="true" outlineLevel="0" collapsed="false">
      <c r="A427" s="140"/>
      <c r="B427" s="140"/>
      <c r="C427" s="140"/>
      <c r="D427" s="140"/>
      <c r="E427" s="140"/>
      <c r="F427" s="140"/>
      <c r="G427" s="140"/>
      <c r="H427" s="140"/>
      <c r="I427" s="138" t="str">
        <f aca="false">IFERROR(VLOOKUP(TEXT(H427,"0"),IPRESS!$A$3:$B$212,2,0),"")</f>
        <v/>
      </c>
      <c r="J427" s="140"/>
      <c r="K427" s="138" t="str">
        <f aca="false">IFERROR(VLOOKUP(TEXT(O427,"0"),CONDUCTORES!$A$3:$G$54,7,0),"")</f>
        <v/>
      </c>
      <c r="L427" s="140"/>
      <c r="M427" s="140"/>
      <c r="N427" s="139" t="str">
        <f aca="false">IFERROR(IF(L427*M427=0,"",L427*M427),"")</f>
        <v/>
      </c>
      <c r="O427" s="140"/>
      <c r="P427" s="138" t="str">
        <f aca="false">IFERROR(VLOOKUP(TEXT(O427,"0"),CONDUCTORES!$A$3:$G$54,2,0),"")</f>
        <v/>
      </c>
      <c r="Q427" s="138" t="str">
        <f aca="false">IFERROR(VLOOKUP(TEXT(O427,"0"),CONDUCTORES!$A$3:$H$54,6,0),"")</f>
        <v/>
      </c>
      <c r="R427" s="140"/>
      <c r="S427" s="140"/>
      <c r="T427" s="140"/>
      <c r="U427" s="140"/>
      <c r="V427" s="140"/>
      <c r="W427" s="140"/>
      <c r="X427" s="140"/>
      <c r="Y427" s="140"/>
      <c r="Z427" s="185" t="str">
        <f aca="false">IF(AND(G427&lt;&gt;"",R427&lt;&gt;"",V427&lt;&gt;"",W427&lt;&gt;""),"COMPLETADO","OBSERVADO")</f>
        <v>OBSERVADO</v>
      </c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138" t="str">
        <f aca="false">IFERROR(VLOOKUP(TEXT(H428,"0"),IPRESS!$A$3:$B$212,2,0),"")</f>
        <v/>
      </c>
      <c r="J428" s="85"/>
      <c r="K428" s="138" t="str">
        <f aca="false">IFERROR(VLOOKUP(TEXT(O428,"0"),CONDUCTORES!$A$3:$G$54,7,0),"")</f>
        <v/>
      </c>
      <c r="L428" s="85"/>
      <c r="M428" s="85"/>
      <c r="N428" s="139" t="str">
        <f aca="false">IFERROR(IF(L428*M428=0,"",L428*M428),"")</f>
        <v/>
      </c>
      <c r="O428" s="85"/>
      <c r="P428" s="138" t="str">
        <f aca="false">IFERROR(VLOOKUP(TEXT(O428,"0"),CONDUCTORES!$A$3:$G$54,2,0),"")</f>
        <v/>
      </c>
      <c r="Q428" s="138" t="str">
        <f aca="false">IFERROR(VLOOKUP(TEXT(O428,"0"),CONDUCTORES!$A$3:$H$54,6,0),"")</f>
        <v/>
      </c>
      <c r="R428" s="85"/>
      <c r="S428" s="85"/>
      <c r="T428" s="85"/>
      <c r="U428" s="85"/>
      <c r="V428" s="85"/>
      <c r="W428" s="85"/>
      <c r="X428" s="85"/>
      <c r="Y428" s="85"/>
      <c r="Z428" s="185" t="str">
        <f aca="false">IF(AND(G428&lt;&gt;"",R428&lt;&gt;"",V428&lt;&gt;"",W428&lt;&gt;""),"COMPLETADO","OBSERVADO")</f>
        <v>OBSERVADO</v>
      </c>
    </row>
    <row r="429" customFormat="false" ht="15" hidden="false" customHeight="true" outlineLevel="0" collapsed="false">
      <c r="A429" s="140"/>
      <c r="B429" s="140"/>
      <c r="C429" s="140"/>
      <c r="D429" s="140"/>
      <c r="E429" s="140"/>
      <c r="F429" s="140"/>
      <c r="G429" s="140"/>
      <c r="H429" s="140"/>
      <c r="I429" s="138" t="str">
        <f aca="false">IFERROR(VLOOKUP(TEXT(H429,"0"),IPRESS!$A$3:$B$212,2,0),"")</f>
        <v/>
      </c>
      <c r="J429" s="140"/>
      <c r="K429" s="138" t="str">
        <f aca="false">IFERROR(VLOOKUP(TEXT(O429,"0"),CONDUCTORES!$A$3:$G$54,7,0),"")</f>
        <v/>
      </c>
      <c r="L429" s="140"/>
      <c r="M429" s="140"/>
      <c r="N429" s="139" t="str">
        <f aca="false">IFERROR(IF(L429*M429=0,"",L429*M429),"")</f>
        <v/>
      </c>
      <c r="O429" s="140"/>
      <c r="P429" s="138" t="str">
        <f aca="false">IFERROR(VLOOKUP(TEXT(O429,"0"),CONDUCTORES!$A$3:$G$54,2,0),"")</f>
        <v/>
      </c>
      <c r="Q429" s="138" t="str">
        <f aca="false">IFERROR(VLOOKUP(TEXT(O429,"0"),CONDUCTORES!$A$3:$H$54,6,0),"")</f>
        <v/>
      </c>
      <c r="R429" s="140"/>
      <c r="S429" s="140"/>
      <c r="T429" s="140"/>
      <c r="U429" s="140"/>
      <c r="V429" s="140"/>
      <c r="W429" s="140"/>
      <c r="X429" s="140"/>
      <c r="Y429" s="140"/>
      <c r="Z429" s="185" t="str">
        <f aca="false">IF(AND(G429&lt;&gt;"",R429&lt;&gt;"",V429&lt;&gt;"",W429&lt;&gt;""),"COMPLETADO","OBSERVADO")</f>
        <v>OBSERVADO</v>
      </c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138" t="str">
        <f aca="false">IFERROR(VLOOKUP(TEXT(H430,"0"),IPRESS!$A$3:$B$212,2,0),"")</f>
        <v/>
      </c>
      <c r="J430" s="85"/>
      <c r="K430" s="138" t="str">
        <f aca="false">IFERROR(VLOOKUP(TEXT(O430,"0"),CONDUCTORES!$A$3:$G$54,7,0),"")</f>
        <v/>
      </c>
      <c r="L430" s="85"/>
      <c r="M430" s="85"/>
      <c r="N430" s="139" t="str">
        <f aca="false">IFERROR(IF(L430*M430=0,"",L430*M430),"")</f>
        <v/>
      </c>
      <c r="O430" s="85"/>
      <c r="P430" s="138" t="str">
        <f aca="false">IFERROR(VLOOKUP(TEXT(O430,"0"),CONDUCTORES!$A$3:$G$54,2,0),"")</f>
        <v/>
      </c>
      <c r="Q430" s="138" t="str">
        <f aca="false">IFERROR(VLOOKUP(TEXT(O430,"0"),CONDUCTORES!$A$3:$H$54,6,0),"")</f>
        <v/>
      </c>
      <c r="R430" s="85"/>
      <c r="S430" s="85"/>
      <c r="T430" s="85"/>
      <c r="U430" s="85"/>
      <c r="V430" s="85"/>
      <c r="W430" s="85"/>
      <c r="X430" s="85"/>
      <c r="Y430" s="85"/>
      <c r="Z430" s="185" t="str">
        <f aca="false">IF(AND(G430&lt;&gt;"",R430&lt;&gt;"",V430&lt;&gt;"",W430&lt;&gt;""),"COMPLETADO","OBSERVADO")</f>
        <v>OBSERVADO</v>
      </c>
    </row>
    <row r="431" customFormat="false" ht="15" hidden="false" customHeight="true" outlineLevel="0" collapsed="false">
      <c r="A431" s="140"/>
      <c r="B431" s="140"/>
      <c r="C431" s="140"/>
      <c r="D431" s="140"/>
      <c r="E431" s="140"/>
      <c r="F431" s="140"/>
      <c r="G431" s="140"/>
      <c r="H431" s="140"/>
      <c r="I431" s="138" t="str">
        <f aca="false">IFERROR(VLOOKUP(TEXT(H431,"0"),IPRESS!$A$3:$B$212,2,0),"")</f>
        <v/>
      </c>
      <c r="J431" s="140"/>
      <c r="K431" s="138" t="str">
        <f aca="false">IFERROR(VLOOKUP(TEXT(O431,"0"),CONDUCTORES!$A$3:$G$54,7,0),"")</f>
        <v/>
      </c>
      <c r="L431" s="140"/>
      <c r="M431" s="140"/>
      <c r="N431" s="139" t="str">
        <f aca="false">IFERROR(IF(L431*M431=0,"",L431*M431),"")</f>
        <v/>
      </c>
      <c r="O431" s="140"/>
      <c r="P431" s="138" t="str">
        <f aca="false">IFERROR(VLOOKUP(TEXT(O431,"0"),CONDUCTORES!$A$3:$G$54,2,0),"")</f>
        <v/>
      </c>
      <c r="Q431" s="138" t="str">
        <f aca="false">IFERROR(VLOOKUP(TEXT(O431,"0"),CONDUCTORES!$A$3:$H$54,6,0),"")</f>
        <v/>
      </c>
      <c r="R431" s="140"/>
      <c r="S431" s="140"/>
      <c r="T431" s="140"/>
      <c r="U431" s="140"/>
      <c r="V431" s="140"/>
      <c r="W431" s="140"/>
      <c r="X431" s="140"/>
      <c r="Y431" s="140"/>
      <c r="Z431" s="185" t="str">
        <f aca="false">IF(AND(G431&lt;&gt;"",R431&lt;&gt;"",V431&lt;&gt;"",W431&lt;&gt;""),"COMPLETADO","OBSERVADO")</f>
        <v>OBSERVADO</v>
      </c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138" t="str">
        <f aca="false">IFERROR(VLOOKUP(TEXT(H432,"0"),IPRESS!$A$3:$B$212,2,0),"")</f>
        <v/>
      </c>
      <c r="J432" s="85"/>
      <c r="K432" s="138" t="str">
        <f aca="false">IFERROR(VLOOKUP(TEXT(O432,"0"),CONDUCTORES!$A$3:$G$54,7,0),"")</f>
        <v/>
      </c>
      <c r="L432" s="85"/>
      <c r="M432" s="85"/>
      <c r="N432" s="139" t="str">
        <f aca="false">IFERROR(IF(L432*M432=0,"",L432*M432),"")</f>
        <v/>
      </c>
      <c r="O432" s="85"/>
      <c r="P432" s="138" t="str">
        <f aca="false">IFERROR(VLOOKUP(TEXT(O432,"0"),CONDUCTORES!$A$3:$G$54,2,0),"")</f>
        <v/>
      </c>
      <c r="Q432" s="138" t="str">
        <f aca="false">IFERROR(VLOOKUP(TEXT(O432,"0"),CONDUCTORES!$A$3:$H$54,6,0),"")</f>
        <v/>
      </c>
      <c r="R432" s="85"/>
      <c r="S432" s="85"/>
      <c r="T432" s="85"/>
      <c r="U432" s="85"/>
      <c r="V432" s="85"/>
      <c r="W432" s="85"/>
      <c r="X432" s="85"/>
      <c r="Y432" s="85"/>
      <c r="Z432" s="185" t="str">
        <f aca="false">IF(AND(G432&lt;&gt;"",R432&lt;&gt;"",V432&lt;&gt;"",W432&lt;&gt;""),"COMPLETADO","OBSERVADO")</f>
        <v>OBSERVADO</v>
      </c>
    </row>
    <row r="433" customFormat="false" ht="15" hidden="false" customHeight="true" outlineLevel="0" collapsed="false">
      <c r="A433" s="140"/>
      <c r="B433" s="140"/>
      <c r="C433" s="140"/>
      <c r="D433" s="140"/>
      <c r="E433" s="140"/>
      <c r="F433" s="140"/>
      <c r="G433" s="140"/>
      <c r="H433" s="140"/>
      <c r="I433" s="138" t="str">
        <f aca="false">IFERROR(VLOOKUP(TEXT(H433,"0"),IPRESS!$A$3:$B$212,2,0),"")</f>
        <v/>
      </c>
      <c r="J433" s="140"/>
      <c r="K433" s="138" t="str">
        <f aca="false">IFERROR(VLOOKUP(TEXT(O433,"0"),CONDUCTORES!$A$3:$G$54,7,0),"")</f>
        <v/>
      </c>
      <c r="L433" s="140"/>
      <c r="M433" s="140"/>
      <c r="N433" s="139" t="str">
        <f aca="false">IFERROR(IF(L433*M433=0,"",L433*M433),"")</f>
        <v/>
      </c>
      <c r="O433" s="140"/>
      <c r="P433" s="138" t="str">
        <f aca="false">IFERROR(VLOOKUP(TEXT(O433,"0"),CONDUCTORES!$A$3:$G$54,2,0),"")</f>
        <v/>
      </c>
      <c r="Q433" s="138" t="str">
        <f aca="false">IFERROR(VLOOKUP(TEXT(O433,"0"),CONDUCTORES!$A$3:$H$54,6,0),"")</f>
        <v/>
      </c>
      <c r="R433" s="140"/>
      <c r="S433" s="140"/>
      <c r="T433" s="140"/>
      <c r="U433" s="140"/>
      <c r="V433" s="140"/>
      <c r="W433" s="140"/>
      <c r="X433" s="140"/>
      <c r="Y433" s="140"/>
      <c r="Z433" s="185" t="str">
        <f aca="false">IF(AND(G433&lt;&gt;"",R433&lt;&gt;"",V433&lt;&gt;"",W433&lt;&gt;""),"COMPLETADO","OBSERVADO")</f>
        <v>OBSERVADO</v>
      </c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138" t="str">
        <f aca="false">IFERROR(VLOOKUP(TEXT(H434,"0"),IPRESS!$A$3:$B$212,2,0),"")</f>
        <v/>
      </c>
      <c r="J434" s="85"/>
      <c r="K434" s="138" t="str">
        <f aca="false">IFERROR(VLOOKUP(TEXT(O434,"0"),CONDUCTORES!$A$3:$G$54,7,0),"")</f>
        <v/>
      </c>
      <c r="L434" s="85"/>
      <c r="M434" s="85"/>
      <c r="N434" s="139" t="str">
        <f aca="false">IFERROR(IF(L434*M434=0,"",L434*M434),"")</f>
        <v/>
      </c>
      <c r="O434" s="85"/>
      <c r="P434" s="138" t="str">
        <f aca="false">IFERROR(VLOOKUP(TEXT(O434,"0"),CONDUCTORES!$A$3:$G$54,2,0),"")</f>
        <v/>
      </c>
      <c r="Q434" s="138" t="str">
        <f aca="false">IFERROR(VLOOKUP(TEXT(O434,"0"),CONDUCTORES!$A$3:$H$54,6,0),"")</f>
        <v/>
      </c>
      <c r="R434" s="85"/>
      <c r="S434" s="85"/>
      <c r="T434" s="85"/>
      <c r="U434" s="85"/>
      <c r="V434" s="85"/>
      <c r="W434" s="85"/>
      <c r="X434" s="85"/>
      <c r="Y434" s="85"/>
      <c r="Z434" s="185" t="str">
        <f aca="false">IF(AND(G434&lt;&gt;"",R434&lt;&gt;"",V434&lt;&gt;"",W434&lt;&gt;""),"COMPLETADO","OBSERVADO")</f>
        <v>OBSERVADO</v>
      </c>
    </row>
    <row r="435" customFormat="false" ht="15" hidden="false" customHeight="true" outlineLevel="0" collapsed="false">
      <c r="A435" s="140"/>
      <c r="B435" s="140"/>
      <c r="C435" s="140"/>
      <c r="D435" s="140"/>
      <c r="E435" s="140"/>
      <c r="F435" s="140"/>
      <c r="G435" s="140"/>
      <c r="H435" s="140"/>
      <c r="I435" s="138" t="str">
        <f aca="false">IFERROR(VLOOKUP(TEXT(H435,"0"),IPRESS!$A$3:$B$212,2,0),"")</f>
        <v/>
      </c>
      <c r="J435" s="140"/>
      <c r="K435" s="138" t="str">
        <f aca="false">IFERROR(VLOOKUP(TEXT(O435,"0"),CONDUCTORES!$A$3:$G$54,7,0),"")</f>
        <v/>
      </c>
      <c r="L435" s="140"/>
      <c r="M435" s="140"/>
      <c r="N435" s="139" t="str">
        <f aca="false">IFERROR(IF(L435*M435=0,"",L435*M435),"")</f>
        <v/>
      </c>
      <c r="O435" s="140"/>
      <c r="P435" s="138" t="str">
        <f aca="false">IFERROR(VLOOKUP(TEXT(O435,"0"),CONDUCTORES!$A$3:$G$54,2,0),"")</f>
        <v/>
      </c>
      <c r="Q435" s="138" t="str">
        <f aca="false">IFERROR(VLOOKUP(TEXT(O435,"0"),CONDUCTORES!$A$3:$H$54,6,0),"")</f>
        <v/>
      </c>
      <c r="R435" s="140"/>
      <c r="S435" s="140"/>
      <c r="T435" s="140"/>
      <c r="U435" s="140"/>
      <c r="V435" s="140"/>
      <c r="W435" s="140"/>
      <c r="X435" s="140"/>
      <c r="Y435" s="140"/>
      <c r="Z435" s="185" t="str">
        <f aca="false">IF(AND(G435&lt;&gt;"",R435&lt;&gt;"",V435&lt;&gt;"",W435&lt;&gt;""),"COMPLETADO","OBSERVADO")</f>
        <v>OBSERVADO</v>
      </c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138" t="str">
        <f aca="false">IFERROR(VLOOKUP(TEXT(H436,"0"),IPRESS!$A$3:$B$212,2,0),"")</f>
        <v/>
      </c>
      <c r="J436" s="85"/>
      <c r="K436" s="138" t="str">
        <f aca="false">IFERROR(VLOOKUP(TEXT(O436,"0"),CONDUCTORES!$A$3:$G$54,7,0),"")</f>
        <v/>
      </c>
      <c r="L436" s="85"/>
      <c r="M436" s="85"/>
      <c r="N436" s="139" t="str">
        <f aca="false">IFERROR(IF(L436*M436=0,"",L436*M436),"")</f>
        <v/>
      </c>
      <c r="O436" s="85"/>
      <c r="P436" s="138" t="str">
        <f aca="false">IFERROR(VLOOKUP(TEXT(O436,"0"),CONDUCTORES!$A$3:$G$54,2,0),"")</f>
        <v/>
      </c>
      <c r="Q436" s="138" t="str">
        <f aca="false">IFERROR(VLOOKUP(TEXT(O436,"0"),CONDUCTORES!$A$3:$H$54,6,0),"")</f>
        <v/>
      </c>
      <c r="R436" s="85"/>
      <c r="S436" s="85"/>
      <c r="T436" s="85"/>
      <c r="U436" s="85"/>
      <c r="V436" s="85"/>
      <c r="W436" s="85"/>
      <c r="X436" s="85"/>
      <c r="Y436" s="85"/>
      <c r="Z436" s="185" t="str">
        <f aca="false">IF(AND(G436&lt;&gt;"",R436&lt;&gt;"",V436&lt;&gt;"",W436&lt;&gt;""),"COMPLETADO","OBSERVADO")</f>
        <v>OBSERVADO</v>
      </c>
    </row>
    <row r="437" customFormat="false" ht="15" hidden="false" customHeight="true" outlineLevel="0" collapsed="false">
      <c r="A437" s="140"/>
      <c r="B437" s="140"/>
      <c r="C437" s="140"/>
      <c r="D437" s="140"/>
      <c r="E437" s="140"/>
      <c r="F437" s="140"/>
      <c r="G437" s="140"/>
      <c r="H437" s="140"/>
      <c r="I437" s="138" t="str">
        <f aca="false">IFERROR(VLOOKUP(TEXT(H437,"0"),IPRESS!$A$3:$B$212,2,0),"")</f>
        <v/>
      </c>
      <c r="J437" s="140"/>
      <c r="K437" s="138" t="str">
        <f aca="false">IFERROR(VLOOKUP(TEXT(O437,"0"),CONDUCTORES!$A$3:$G$54,7,0),"")</f>
        <v/>
      </c>
      <c r="L437" s="140"/>
      <c r="M437" s="140"/>
      <c r="N437" s="139" t="str">
        <f aca="false">IFERROR(IF(L437*M437=0,"",L437*M437),"")</f>
        <v/>
      </c>
      <c r="O437" s="140"/>
      <c r="P437" s="138" t="str">
        <f aca="false">IFERROR(VLOOKUP(TEXT(O437,"0"),CONDUCTORES!$A$3:$G$54,2,0),"")</f>
        <v/>
      </c>
      <c r="Q437" s="138" t="str">
        <f aca="false">IFERROR(VLOOKUP(TEXT(O437,"0"),CONDUCTORES!$A$3:$H$54,6,0),"")</f>
        <v/>
      </c>
      <c r="R437" s="140"/>
      <c r="S437" s="140"/>
      <c r="T437" s="140"/>
      <c r="U437" s="140"/>
      <c r="V437" s="140"/>
      <c r="W437" s="140"/>
      <c r="X437" s="140"/>
      <c r="Y437" s="140"/>
      <c r="Z437" s="185" t="str">
        <f aca="false">IF(AND(G437&lt;&gt;"",R437&lt;&gt;"",V437&lt;&gt;"",W437&lt;&gt;""),"COMPLETADO","OBSERVADO")</f>
        <v>OBSERVADO</v>
      </c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138" t="str">
        <f aca="false">IFERROR(VLOOKUP(TEXT(H438,"0"),IPRESS!$A$3:$B$212,2,0),"")</f>
        <v/>
      </c>
      <c r="J438" s="85"/>
      <c r="K438" s="138" t="str">
        <f aca="false">IFERROR(VLOOKUP(TEXT(O438,"0"),CONDUCTORES!$A$3:$G$54,7,0),"")</f>
        <v/>
      </c>
      <c r="L438" s="85"/>
      <c r="M438" s="85"/>
      <c r="N438" s="139" t="str">
        <f aca="false">IFERROR(IF(L438*M438=0,"",L438*M438),"")</f>
        <v/>
      </c>
      <c r="O438" s="85"/>
      <c r="P438" s="138" t="str">
        <f aca="false">IFERROR(VLOOKUP(TEXT(O438,"0"),CONDUCTORES!$A$3:$G$54,2,0),"")</f>
        <v/>
      </c>
      <c r="Q438" s="138" t="str">
        <f aca="false">IFERROR(VLOOKUP(TEXT(O438,"0"),CONDUCTORES!$A$3:$H$54,6,0),"")</f>
        <v/>
      </c>
      <c r="R438" s="85"/>
      <c r="S438" s="85"/>
      <c r="T438" s="85"/>
      <c r="U438" s="85"/>
      <c r="V438" s="85"/>
      <c r="W438" s="85"/>
      <c r="X438" s="85"/>
      <c r="Y438" s="85"/>
      <c r="Z438" s="185" t="str">
        <f aca="false">IF(AND(G438&lt;&gt;"",R438&lt;&gt;"",V438&lt;&gt;"",W438&lt;&gt;""),"COMPLETADO","OBSERVADO")</f>
        <v>OBSERVADO</v>
      </c>
    </row>
    <row r="439" customFormat="false" ht="15" hidden="false" customHeight="true" outlineLevel="0" collapsed="false">
      <c r="A439" s="140"/>
      <c r="B439" s="140"/>
      <c r="C439" s="140"/>
      <c r="D439" s="140"/>
      <c r="E439" s="140"/>
      <c r="F439" s="140"/>
      <c r="G439" s="140"/>
      <c r="H439" s="140"/>
      <c r="I439" s="138" t="str">
        <f aca="false">IFERROR(VLOOKUP(TEXT(H439,"0"),IPRESS!$A$3:$B$212,2,0),"")</f>
        <v/>
      </c>
      <c r="J439" s="140"/>
      <c r="K439" s="138" t="str">
        <f aca="false">IFERROR(VLOOKUP(TEXT(O439,"0"),CONDUCTORES!$A$3:$G$54,7,0),"")</f>
        <v/>
      </c>
      <c r="L439" s="140"/>
      <c r="M439" s="140"/>
      <c r="N439" s="139" t="str">
        <f aca="false">IFERROR(IF(L439*M439=0,"",L439*M439),"")</f>
        <v/>
      </c>
      <c r="O439" s="140"/>
      <c r="P439" s="138" t="str">
        <f aca="false">IFERROR(VLOOKUP(TEXT(O439,"0"),CONDUCTORES!$A$3:$G$54,2,0),"")</f>
        <v/>
      </c>
      <c r="Q439" s="138" t="str">
        <f aca="false">IFERROR(VLOOKUP(TEXT(O439,"0"),CONDUCTORES!$A$3:$H$54,6,0),"")</f>
        <v/>
      </c>
      <c r="R439" s="140"/>
      <c r="S439" s="140"/>
      <c r="T439" s="140"/>
      <c r="U439" s="140"/>
      <c r="V439" s="140"/>
      <c r="W439" s="140"/>
      <c r="X439" s="140"/>
      <c r="Y439" s="140"/>
      <c r="Z439" s="185" t="str">
        <f aca="false">IF(AND(G439&lt;&gt;"",R439&lt;&gt;"",V439&lt;&gt;"",W439&lt;&gt;""),"COMPLETADO","OBSERVADO")</f>
        <v>OBSERVADO</v>
      </c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138" t="str">
        <f aca="false">IFERROR(VLOOKUP(TEXT(H440,"0"),IPRESS!$A$3:$B$212,2,0),"")</f>
        <v/>
      </c>
      <c r="J440" s="85"/>
      <c r="K440" s="138" t="str">
        <f aca="false">IFERROR(VLOOKUP(TEXT(O440,"0"),CONDUCTORES!$A$3:$G$54,7,0),"")</f>
        <v/>
      </c>
      <c r="L440" s="85"/>
      <c r="M440" s="85"/>
      <c r="N440" s="139" t="str">
        <f aca="false">IFERROR(IF(L440*M440=0,"",L440*M440),"")</f>
        <v/>
      </c>
      <c r="O440" s="85"/>
      <c r="P440" s="138" t="str">
        <f aca="false">IFERROR(VLOOKUP(TEXT(O440,"0"),CONDUCTORES!$A$3:$G$54,2,0),"")</f>
        <v/>
      </c>
      <c r="Q440" s="138" t="str">
        <f aca="false">IFERROR(VLOOKUP(TEXT(O440,"0"),CONDUCTORES!$A$3:$H$54,6,0),"")</f>
        <v/>
      </c>
      <c r="R440" s="85"/>
      <c r="S440" s="85"/>
      <c r="T440" s="85"/>
      <c r="U440" s="85"/>
      <c r="V440" s="85"/>
      <c r="W440" s="85"/>
      <c r="X440" s="85"/>
      <c r="Y440" s="85"/>
      <c r="Z440" s="185" t="str">
        <f aca="false">IF(AND(G440&lt;&gt;"",R440&lt;&gt;"",V440&lt;&gt;"",W440&lt;&gt;""),"COMPLETADO","OBSERVADO")</f>
        <v>OBSERVADO</v>
      </c>
    </row>
    <row r="441" customFormat="false" ht="15" hidden="false" customHeight="true" outlineLevel="0" collapsed="false">
      <c r="A441" s="140"/>
      <c r="B441" s="140"/>
      <c r="C441" s="140"/>
      <c r="D441" s="140"/>
      <c r="E441" s="140"/>
      <c r="F441" s="140"/>
      <c r="G441" s="140"/>
      <c r="H441" s="140"/>
      <c r="I441" s="138" t="str">
        <f aca="false">IFERROR(VLOOKUP(TEXT(H441,"0"),IPRESS!$A$3:$B$212,2,0),"")</f>
        <v/>
      </c>
      <c r="J441" s="140"/>
      <c r="K441" s="138" t="str">
        <f aca="false">IFERROR(VLOOKUP(TEXT(O441,"0"),CONDUCTORES!$A$3:$G$54,7,0),"")</f>
        <v/>
      </c>
      <c r="L441" s="140"/>
      <c r="M441" s="140"/>
      <c r="N441" s="139" t="str">
        <f aca="false">IFERROR(IF(L441*M441=0,"",L441*M441),"")</f>
        <v/>
      </c>
      <c r="O441" s="140"/>
      <c r="P441" s="138" t="str">
        <f aca="false">IFERROR(VLOOKUP(TEXT(O441,"0"),CONDUCTORES!$A$3:$G$54,2,0),"")</f>
        <v/>
      </c>
      <c r="Q441" s="138" t="str">
        <f aca="false">IFERROR(VLOOKUP(TEXT(O441,"0"),CONDUCTORES!$A$3:$H$54,6,0),"")</f>
        <v/>
      </c>
      <c r="R441" s="140"/>
      <c r="S441" s="140"/>
      <c r="T441" s="140"/>
      <c r="U441" s="140"/>
      <c r="V441" s="140"/>
      <c r="W441" s="140"/>
      <c r="X441" s="140"/>
      <c r="Y441" s="140"/>
      <c r="Z441" s="185" t="str">
        <f aca="false">IF(AND(G441&lt;&gt;"",R441&lt;&gt;"",V441&lt;&gt;"",W441&lt;&gt;""),"COMPLETADO","OBSERVADO")</f>
        <v>OBSERVADO</v>
      </c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138" t="str">
        <f aca="false">IFERROR(VLOOKUP(TEXT(H442,"0"),IPRESS!$A$3:$B$212,2,0),"")</f>
        <v/>
      </c>
      <c r="J442" s="85"/>
      <c r="K442" s="138" t="str">
        <f aca="false">IFERROR(VLOOKUP(TEXT(O442,"0"),CONDUCTORES!$A$3:$G$54,7,0),"")</f>
        <v/>
      </c>
      <c r="L442" s="85"/>
      <c r="M442" s="85"/>
      <c r="N442" s="139" t="str">
        <f aca="false">IFERROR(IF(L442*M442=0,"",L442*M442),"")</f>
        <v/>
      </c>
      <c r="O442" s="85"/>
      <c r="P442" s="138" t="str">
        <f aca="false">IFERROR(VLOOKUP(TEXT(O442,"0"),CONDUCTORES!$A$3:$G$54,2,0),"")</f>
        <v/>
      </c>
      <c r="Q442" s="138" t="str">
        <f aca="false">IFERROR(VLOOKUP(TEXT(O442,"0"),CONDUCTORES!$A$3:$H$54,6,0),"")</f>
        <v/>
      </c>
      <c r="R442" s="85"/>
      <c r="S442" s="85"/>
      <c r="T442" s="85"/>
      <c r="U442" s="85"/>
      <c r="V442" s="85"/>
      <c r="W442" s="85"/>
      <c r="X442" s="85"/>
      <c r="Y442" s="85"/>
      <c r="Z442" s="185" t="str">
        <f aca="false">IF(AND(G442&lt;&gt;"",R442&lt;&gt;"",V442&lt;&gt;"",W442&lt;&gt;""),"COMPLETADO","OBSERVADO")</f>
        <v>OBSERVADO</v>
      </c>
    </row>
    <row r="443" customFormat="false" ht="15" hidden="false" customHeight="true" outlineLevel="0" collapsed="false">
      <c r="A443" s="140"/>
      <c r="B443" s="140"/>
      <c r="C443" s="140"/>
      <c r="D443" s="140"/>
      <c r="E443" s="140"/>
      <c r="F443" s="140"/>
      <c r="G443" s="140"/>
      <c r="H443" s="140"/>
      <c r="I443" s="138" t="str">
        <f aca="false">IFERROR(VLOOKUP(TEXT(H443,"0"),IPRESS!$A$3:$B$212,2,0),"")</f>
        <v/>
      </c>
      <c r="J443" s="140"/>
      <c r="K443" s="138" t="str">
        <f aca="false">IFERROR(VLOOKUP(TEXT(O443,"0"),CONDUCTORES!$A$3:$G$54,7,0),"")</f>
        <v/>
      </c>
      <c r="L443" s="140"/>
      <c r="M443" s="140"/>
      <c r="N443" s="139" t="str">
        <f aca="false">IFERROR(IF(L443*M443=0,"",L443*M443),"")</f>
        <v/>
      </c>
      <c r="O443" s="140"/>
      <c r="P443" s="138" t="str">
        <f aca="false">IFERROR(VLOOKUP(TEXT(O443,"0"),CONDUCTORES!$A$3:$G$54,2,0),"")</f>
        <v/>
      </c>
      <c r="Q443" s="138" t="str">
        <f aca="false">IFERROR(VLOOKUP(TEXT(O443,"0"),CONDUCTORES!$A$3:$H$54,6,0),"")</f>
        <v/>
      </c>
      <c r="R443" s="140"/>
      <c r="S443" s="140"/>
      <c r="T443" s="140"/>
      <c r="U443" s="140"/>
      <c r="V443" s="140"/>
      <c r="W443" s="140"/>
      <c r="X443" s="140"/>
      <c r="Y443" s="140"/>
      <c r="Z443" s="185" t="str">
        <f aca="false">IF(AND(G443&lt;&gt;"",R443&lt;&gt;"",V443&lt;&gt;"",W443&lt;&gt;""),"COMPLETADO","OBSERVADO")</f>
        <v>OBSERVADO</v>
      </c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138" t="str">
        <f aca="false">IFERROR(VLOOKUP(TEXT(H444,"0"),IPRESS!$A$3:$B$212,2,0),"")</f>
        <v/>
      </c>
      <c r="J444" s="85"/>
      <c r="K444" s="138" t="str">
        <f aca="false">IFERROR(VLOOKUP(TEXT(O444,"0"),CONDUCTORES!$A$3:$G$54,7,0),"")</f>
        <v/>
      </c>
      <c r="L444" s="85"/>
      <c r="M444" s="85"/>
      <c r="N444" s="139" t="str">
        <f aca="false">IFERROR(IF(L444*M444=0,"",L444*M444),"")</f>
        <v/>
      </c>
      <c r="O444" s="85"/>
      <c r="P444" s="138" t="str">
        <f aca="false">IFERROR(VLOOKUP(TEXT(O444,"0"),CONDUCTORES!$A$3:$G$54,2,0),"")</f>
        <v/>
      </c>
      <c r="Q444" s="138" t="str">
        <f aca="false">IFERROR(VLOOKUP(TEXT(O444,"0"),CONDUCTORES!$A$3:$H$54,6,0),"")</f>
        <v/>
      </c>
      <c r="R444" s="85"/>
      <c r="S444" s="85"/>
      <c r="T444" s="85"/>
      <c r="U444" s="85"/>
      <c r="V444" s="85"/>
      <c r="W444" s="85"/>
      <c r="X444" s="85"/>
      <c r="Y444" s="85"/>
      <c r="Z444" s="185" t="str">
        <f aca="false">IF(AND(G444&lt;&gt;"",R444&lt;&gt;"",V444&lt;&gt;"",W444&lt;&gt;""),"COMPLETADO","OBSERVADO")</f>
        <v>OBSERVADO</v>
      </c>
    </row>
    <row r="445" customFormat="false" ht="15" hidden="false" customHeight="true" outlineLevel="0" collapsed="false">
      <c r="A445" s="140"/>
      <c r="B445" s="140"/>
      <c r="C445" s="140"/>
      <c r="D445" s="140"/>
      <c r="E445" s="140"/>
      <c r="F445" s="140"/>
      <c r="G445" s="140"/>
      <c r="H445" s="140"/>
      <c r="I445" s="138" t="str">
        <f aca="false">IFERROR(VLOOKUP(TEXT(H445,"0"),IPRESS!$A$3:$B$212,2,0),"")</f>
        <v/>
      </c>
      <c r="J445" s="140"/>
      <c r="K445" s="138" t="str">
        <f aca="false">IFERROR(VLOOKUP(TEXT(O445,"0"),CONDUCTORES!$A$3:$G$54,7,0),"")</f>
        <v/>
      </c>
      <c r="L445" s="140"/>
      <c r="M445" s="140"/>
      <c r="N445" s="139" t="str">
        <f aca="false">IFERROR(IF(L445*M445=0,"",L445*M445),"")</f>
        <v/>
      </c>
      <c r="O445" s="140"/>
      <c r="P445" s="138" t="str">
        <f aca="false">IFERROR(VLOOKUP(TEXT(O445,"0"),CONDUCTORES!$A$3:$G$54,2,0),"")</f>
        <v/>
      </c>
      <c r="Q445" s="138" t="str">
        <f aca="false">IFERROR(VLOOKUP(TEXT(O445,"0"),CONDUCTORES!$A$3:$H$54,6,0),"")</f>
        <v/>
      </c>
      <c r="R445" s="140"/>
      <c r="S445" s="140"/>
      <c r="T445" s="140"/>
      <c r="U445" s="140"/>
      <c r="V445" s="140"/>
      <c r="W445" s="140"/>
      <c r="X445" s="140"/>
      <c r="Y445" s="140"/>
      <c r="Z445" s="185" t="str">
        <f aca="false">IF(AND(G445&lt;&gt;"",R445&lt;&gt;"",V445&lt;&gt;"",W445&lt;&gt;""),"COMPLETADO","OBSERVADO")</f>
        <v>OBSERVADO</v>
      </c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138" t="str">
        <f aca="false">IFERROR(VLOOKUP(TEXT(H446,"0"),IPRESS!$A$3:$B$212,2,0),"")</f>
        <v/>
      </c>
      <c r="J446" s="85"/>
      <c r="K446" s="138" t="str">
        <f aca="false">IFERROR(VLOOKUP(TEXT(O446,"0"),CONDUCTORES!$A$3:$G$54,7,0),"")</f>
        <v/>
      </c>
      <c r="L446" s="85"/>
      <c r="M446" s="85"/>
      <c r="N446" s="139" t="str">
        <f aca="false">IFERROR(IF(L446*M446=0,"",L446*M446),"")</f>
        <v/>
      </c>
      <c r="O446" s="85"/>
      <c r="P446" s="138" t="str">
        <f aca="false">IFERROR(VLOOKUP(TEXT(O446,"0"),CONDUCTORES!$A$3:$G$54,2,0),"")</f>
        <v/>
      </c>
      <c r="Q446" s="138" t="str">
        <f aca="false">IFERROR(VLOOKUP(TEXT(O446,"0"),CONDUCTORES!$A$3:$H$54,6,0),"")</f>
        <v/>
      </c>
      <c r="R446" s="85"/>
      <c r="S446" s="85"/>
      <c r="T446" s="85"/>
      <c r="U446" s="85"/>
      <c r="V446" s="85"/>
      <c r="W446" s="85"/>
      <c r="X446" s="85"/>
      <c r="Y446" s="85"/>
      <c r="Z446" s="185" t="str">
        <f aca="false">IF(AND(G446&lt;&gt;"",R446&lt;&gt;"",V446&lt;&gt;"",W446&lt;&gt;""),"COMPLETADO","OBSERVADO")</f>
        <v>OBSERVADO</v>
      </c>
    </row>
    <row r="447" customFormat="false" ht="15" hidden="false" customHeight="true" outlineLevel="0" collapsed="false">
      <c r="A447" s="140"/>
      <c r="B447" s="140"/>
      <c r="C447" s="140"/>
      <c r="D447" s="140"/>
      <c r="E447" s="140"/>
      <c r="F447" s="140"/>
      <c r="G447" s="140"/>
      <c r="H447" s="140"/>
      <c r="I447" s="138" t="str">
        <f aca="false">IFERROR(VLOOKUP(TEXT(H447,"0"),IPRESS!$A$3:$B$212,2,0),"")</f>
        <v/>
      </c>
      <c r="J447" s="140"/>
      <c r="K447" s="138" t="str">
        <f aca="false">IFERROR(VLOOKUP(TEXT(O447,"0"),CONDUCTORES!$A$3:$G$54,7,0),"")</f>
        <v/>
      </c>
      <c r="L447" s="140"/>
      <c r="M447" s="140"/>
      <c r="N447" s="139" t="str">
        <f aca="false">IFERROR(IF(L447*M447=0,"",L447*M447),"")</f>
        <v/>
      </c>
      <c r="O447" s="140"/>
      <c r="P447" s="138" t="str">
        <f aca="false">IFERROR(VLOOKUP(TEXT(O447,"0"),CONDUCTORES!$A$3:$G$54,2,0),"")</f>
        <v/>
      </c>
      <c r="Q447" s="138" t="str">
        <f aca="false">IFERROR(VLOOKUP(TEXT(O447,"0"),CONDUCTORES!$A$3:$H$54,6,0),"")</f>
        <v/>
      </c>
      <c r="R447" s="140"/>
      <c r="S447" s="140"/>
      <c r="T447" s="140"/>
      <c r="U447" s="140"/>
      <c r="V447" s="140"/>
      <c r="W447" s="140"/>
      <c r="X447" s="140"/>
      <c r="Y447" s="140"/>
      <c r="Z447" s="185" t="str">
        <f aca="false">IF(AND(G447&lt;&gt;"",R447&lt;&gt;"",V447&lt;&gt;"",W447&lt;&gt;""),"COMPLETADO","OBSERVADO")</f>
        <v>OBSERVADO</v>
      </c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138" t="str">
        <f aca="false">IFERROR(VLOOKUP(TEXT(H448,"0"),IPRESS!$A$3:$B$212,2,0),"")</f>
        <v/>
      </c>
      <c r="J448" s="85"/>
      <c r="K448" s="138" t="str">
        <f aca="false">IFERROR(VLOOKUP(TEXT(O448,"0"),CONDUCTORES!$A$3:$G$54,7,0),"")</f>
        <v/>
      </c>
      <c r="L448" s="85"/>
      <c r="M448" s="85"/>
      <c r="N448" s="139" t="str">
        <f aca="false">IFERROR(IF(L448*M448=0,"",L448*M448),"")</f>
        <v/>
      </c>
      <c r="O448" s="85"/>
      <c r="P448" s="138" t="str">
        <f aca="false">IFERROR(VLOOKUP(TEXT(O448,"0"),CONDUCTORES!$A$3:$G$54,2,0),"")</f>
        <v/>
      </c>
      <c r="Q448" s="138" t="str">
        <f aca="false">IFERROR(VLOOKUP(TEXT(O448,"0"),CONDUCTORES!$A$3:$H$54,6,0),"")</f>
        <v/>
      </c>
      <c r="R448" s="85"/>
      <c r="S448" s="85"/>
      <c r="T448" s="85"/>
      <c r="U448" s="85"/>
      <c r="V448" s="85"/>
      <c r="W448" s="85"/>
      <c r="X448" s="85"/>
      <c r="Y448" s="85"/>
      <c r="Z448" s="185" t="str">
        <f aca="false">IF(AND(G448&lt;&gt;"",R448&lt;&gt;"",V448&lt;&gt;"",W448&lt;&gt;""),"COMPLETADO","OBSERVADO")</f>
        <v>OBSERVADO</v>
      </c>
    </row>
    <row r="449" customFormat="false" ht="15" hidden="false" customHeight="true" outlineLevel="0" collapsed="false">
      <c r="A449" s="140"/>
      <c r="B449" s="140"/>
      <c r="C449" s="140"/>
      <c r="D449" s="140"/>
      <c r="E449" s="140"/>
      <c r="F449" s="140"/>
      <c r="G449" s="140"/>
      <c r="H449" s="140"/>
      <c r="I449" s="138" t="str">
        <f aca="false">IFERROR(VLOOKUP(TEXT(H449,"0"),IPRESS!$A$3:$B$212,2,0),"")</f>
        <v/>
      </c>
      <c r="J449" s="140"/>
      <c r="K449" s="138" t="str">
        <f aca="false">IFERROR(VLOOKUP(TEXT(O449,"0"),CONDUCTORES!$A$3:$G$54,7,0),"")</f>
        <v/>
      </c>
      <c r="L449" s="140"/>
      <c r="M449" s="140"/>
      <c r="N449" s="139" t="str">
        <f aca="false">IFERROR(IF(L449*M449=0,"",L449*M449),"")</f>
        <v/>
      </c>
      <c r="O449" s="140"/>
      <c r="P449" s="138" t="str">
        <f aca="false">IFERROR(VLOOKUP(TEXT(O449,"0"),CONDUCTORES!$A$3:$G$54,2,0),"")</f>
        <v/>
      </c>
      <c r="Q449" s="138" t="str">
        <f aca="false">IFERROR(VLOOKUP(TEXT(O449,"0"),CONDUCTORES!$A$3:$H$54,6,0),"")</f>
        <v/>
      </c>
      <c r="R449" s="140"/>
      <c r="S449" s="140"/>
      <c r="T449" s="140"/>
      <c r="U449" s="140"/>
      <c r="V449" s="140"/>
      <c r="W449" s="140"/>
      <c r="X449" s="140"/>
      <c r="Y449" s="140"/>
      <c r="Z449" s="185" t="str">
        <f aca="false">IF(AND(G449&lt;&gt;"",R449&lt;&gt;"",V449&lt;&gt;"",W449&lt;&gt;""),"COMPLETADO","OBSERVADO")</f>
        <v>OBSERVADO</v>
      </c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138" t="str">
        <f aca="false">IFERROR(VLOOKUP(TEXT(H450,"0"),IPRESS!$A$3:$B$212,2,0),"")</f>
        <v/>
      </c>
      <c r="J450" s="85"/>
      <c r="K450" s="138" t="str">
        <f aca="false">IFERROR(VLOOKUP(TEXT(O450,"0"),CONDUCTORES!$A$3:$G$54,7,0),"")</f>
        <v/>
      </c>
      <c r="L450" s="85"/>
      <c r="M450" s="85"/>
      <c r="N450" s="139" t="str">
        <f aca="false">IFERROR(IF(L450*M450=0,"",L450*M450),"")</f>
        <v/>
      </c>
      <c r="O450" s="85"/>
      <c r="P450" s="138" t="str">
        <f aca="false">IFERROR(VLOOKUP(TEXT(O450,"0"),CONDUCTORES!$A$3:$G$54,2,0),"")</f>
        <v/>
      </c>
      <c r="Q450" s="138" t="str">
        <f aca="false">IFERROR(VLOOKUP(TEXT(O450,"0"),CONDUCTORES!$A$3:$H$54,6,0),"")</f>
        <v/>
      </c>
      <c r="R450" s="85"/>
      <c r="S450" s="85"/>
      <c r="T450" s="85"/>
      <c r="U450" s="85"/>
      <c r="V450" s="85"/>
      <c r="W450" s="85"/>
      <c r="X450" s="85"/>
      <c r="Y450" s="85"/>
      <c r="Z450" s="185" t="str">
        <f aca="false">IF(AND(G450&lt;&gt;"",R450&lt;&gt;"",V450&lt;&gt;"",W450&lt;&gt;""),"COMPLETADO","OBSERVADO")</f>
        <v>OBSERVADO</v>
      </c>
    </row>
    <row r="451" customFormat="false" ht="15" hidden="false" customHeight="true" outlineLevel="0" collapsed="false">
      <c r="A451" s="140"/>
      <c r="B451" s="140"/>
      <c r="C451" s="140"/>
      <c r="D451" s="140"/>
      <c r="E451" s="140"/>
      <c r="F451" s="140"/>
      <c r="G451" s="140"/>
      <c r="H451" s="140"/>
      <c r="I451" s="138" t="str">
        <f aca="false">IFERROR(VLOOKUP(TEXT(H451,"0"),IPRESS!$A$3:$B$212,2,0),"")</f>
        <v/>
      </c>
      <c r="J451" s="140"/>
      <c r="K451" s="138" t="str">
        <f aca="false">IFERROR(VLOOKUP(TEXT(O451,"0"),CONDUCTORES!$A$3:$G$54,7,0),"")</f>
        <v/>
      </c>
      <c r="L451" s="140"/>
      <c r="M451" s="140"/>
      <c r="N451" s="139" t="str">
        <f aca="false">IFERROR(IF(L451*M451=0,"",L451*M451),"")</f>
        <v/>
      </c>
      <c r="O451" s="140"/>
      <c r="P451" s="138" t="str">
        <f aca="false">IFERROR(VLOOKUP(TEXT(O451,"0"),CONDUCTORES!$A$3:$G$54,2,0),"")</f>
        <v/>
      </c>
      <c r="Q451" s="138" t="str">
        <f aca="false">IFERROR(VLOOKUP(TEXT(O451,"0"),CONDUCTORES!$A$3:$H$54,6,0),"")</f>
        <v/>
      </c>
      <c r="R451" s="140"/>
      <c r="S451" s="140"/>
      <c r="T451" s="140"/>
      <c r="U451" s="140"/>
      <c r="V451" s="140"/>
      <c r="W451" s="140"/>
      <c r="X451" s="140"/>
      <c r="Y451" s="140"/>
      <c r="Z451" s="185" t="str">
        <f aca="false">IF(AND(G451&lt;&gt;"",R451&lt;&gt;"",V451&lt;&gt;"",W451&lt;&gt;""),"COMPLETADO","OBSERVADO")</f>
        <v>OBSERVADO</v>
      </c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138" t="str">
        <f aca="false">IFERROR(VLOOKUP(TEXT(H452,"0"),IPRESS!$A$3:$B$212,2,0),"")</f>
        <v/>
      </c>
      <c r="J452" s="85"/>
      <c r="K452" s="138" t="str">
        <f aca="false">IFERROR(VLOOKUP(TEXT(O452,"0"),CONDUCTORES!$A$3:$G$54,7,0),"")</f>
        <v/>
      </c>
      <c r="L452" s="85"/>
      <c r="M452" s="85"/>
      <c r="N452" s="139" t="str">
        <f aca="false">IFERROR(IF(L452*M452=0,"",L452*M452),"")</f>
        <v/>
      </c>
      <c r="O452" s="85"/>
      <c r="P452" s="138" t="str">
        <f aca="false">IFERROR(VLOOKUP(TEXT(O452,"0"),CONDUCTORES!$A$3:$G$54,2,0),"")</f>
        <v/>
      </c>
      <c r="Q452" s="138" t="str">
        <f aca="false">IFERROR(VLOOKUP(TEXT(O452,"0"),CONDUCTORES!$A$3:$H$54,6,0),"")</f>
        <v/>
      </c>
      <c r="R452" s="85"/>
      <c r="S452" s="85"/>
      <c r="T452" s="85"/>
      <c r="U452" s="85"/>
      <c r="V452" s="85"/>
      <c r="W452" s="85"/>
      <c r="X452" s="85"/>
      <c r="Y452" s="85"/>
      <c r="Z452" s="185" t="str">
        <f aca="false">IF(AND(G452&lt;&gt;"",R452&lt;&gt;"",V452&lt;&gt;"",W452&lt;&gt;""),"COMPLETADO","OBSERVADO")</f>
        <v>OBSERVADO</v>
      </c>
    </row>
    <row r="453" customFormat="false" ht="15" hidden="false" customHeight="true" outlineLevel="0" collapsed="false">
      <c r="A453" s="140"/>
      <c r="B453" s="140"/>
      <c r="C453" s="140"/>
      <c r="D453" s="140"/>
      <c r="E453" s="140"/>
      <c r="F453" s="140"/>
      <c r="G453" s="140"/>
      <c r="H453" s="140"/>
      <c r="I453" s="138" t="str">
        <f aca="false">IFERROR(VLOOKUP(TEXT(H453,"0"),IPRESS!$A$3:$B$212,2,0),"")</f>
        <v/>
      </c>
      <c r="J453" s="140"/>
      <c r="K453" s="138" t="str">
        <f aca="false">IFERROR(VLOOKUP(TEXT(O453,"0"),CONDUCTORES!$A$3:$G$54,7,0),"")</f>
        <v/>
      </c>
      <c r="L453" s="140"/>
      <c r="M453" s="140"/>
      <c r="N453" s="139" t="str">
        <f aca="false">IFERROR(IF(L453*M453=0,"",L453*M453),"")</f>
        <v/>
      </c>
      <c r="O453" s="140"/>
      <c r="P453" s="138" t="str">
        <f aca="false">IFERROR(VLOOKUP(TEXT(O453,"0"),CONDUCTORES!$A$3:$G$54,2,0),"")</f>
        <v/>
      </c>
      <c r="Q453" s="138" t="str">
        <f aca="false">IFERROR(VLOOKUP(TEXT(O453,"0"),CONDUCTORES!$A$3:$H$54,6,0),"")</f>
        <v/>
      </c>
      <c r="R453" s="140"/>
      <c r="S453" s="140"/>
      <c r="T453" s="140"/>
      <c r="U453" s="140"/>
      <c r="V453" s="140"/>
      <c r="W453" s="140"/>
      <c r="X453" s="140"/>
      <c r="Y453" s="140"/>
      <c r="Z453" s="185" t="str">
        <f aca="false">IF(AND(G453&lt;&gt;"",R453&lt;&gt;"",V453&lt;&gt;"",W453&lt;&gt;""),"COMPLETADO","OBSERVADO")</f>
        <v>OBSERVADO</v>
      </c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138" t="str">
        <f aca="false">IFERROR(VLOOKUP(TEXT(H454,"0"),IPRESS!$A$3:$B$212,2,0),"")</f>
        <v/>
      </c>
      <c r="J454" s="85"/>
      <c r="K454" s="138" t="str">
        <f aca="false">IFERROR(VLOOKUP(TEXT(O454,"0"),CONDUCTORES!$A$3:$G$54,7,0),"")</f>
        <v/>
      </c>
      <c r="L454" s="85"/>
      <c r="M454" s="85"/>
      <c r="N454" s="139" t="str">
        <f aca="false">IFERROR(IF(L454*M454=0,"",L454*M454),"")</f>
        <v/>
      </c>
      <c r="O454" s="85"/>
      <c r="P454" s="138" t="str">
        <f aca="false">IFERROR(VLOOKUP(TEXT(O454,"0"),CONDUCTORES!$A$3:$G$54,2,0),"")</f>
        <v/>
      </c>
      <c r="Q454" s="138" t="str">
        <f aca="false">IFERROR(VLOOKUP(TEXT(O454,"0"),CONDUCTORES!$A$3:$H$54,6,0),"")</f>
        <v/>
      </c>
      <c r="R454" s="85"/>
      <c r="S454" s="85"/>
      <c r="T454" s="85"/>
      <c r="U454" s="85"/>
      <c r="V454" s="85"/>
      <c r="W454" s="85"/>
      <c r="X454" s="85"/>
      <c r="Y454" s="85"/>
      <c r="Z454" s="185" t="str">
        <f aca="false">IF(AND(G454&lt;&gt;"",R454&lt;&gt;"",V454&lt;&gt;"",W454&lt;&gt;""),"COMPLETADO","OBSERVADO")</f>
        <v>OBSERVADO</v>
      </c>
    </row>
    <row r="455" customFormat="false" ht="15" hidden="false" customHeight="true" outlineLevel="0" collapsed="false">
      <c r="A455" s="140"/>
      <c r="B455" s="140"/>
      <c r="C455" s="140"/>
      <c r="D455" s="140"/>
      <c r="E455" s="140"/>
      <c r="F455" s="140"/>
      <c r="G455" s="140"/>
      <c r="H455" s="140"/>
      <c r="I455" s="138" t="str">
        <f aca="false">IFERROR(VLOOKUP(TEXT(H455,"0"),IPRESS!$A$3:$B$212,2,0),"")</f>
        <v/>
      </c>
      <c r="J455" s="140"/>
      <c r="K455" s="138" t="str">
        <f aca="false">IFERROR(VLOOKUP(TEXT(O455,"0"),CONDUCTORES!$A$3:$G$54,7,0),"")</f>
        <v/>
      </c>
      <c r="L455" s="140"/>
      <c r="M455" s="140"/>
      <c r="N455" s="139" t="str">
        <f aca="false">IFERROR(IF(L455*M455=0,"",L455*M455),"")</f>
        <v/>
      </c>
      <c r="O455" s="140"/>
      <c r="P455" s="138" t="str">
        <f aca="false">IFERROR(VLOOKUP(TEXT(O455,"0"),CONDUCTORES!$A$3:$G$54,2,0),"")</f>
        <v/>
      </c>
      <c r="Q455" s="138" t="str">
        <f aca="false">IFERROR(VLOOKUP(TEXT(O455,"0"),CONDUCTORES!$A$3:$H$54,6,0),"")</f>
        <v/>
      </c>
      <c r="R455" s="140"/>
      <c r="S455" s="140"/>
      <c r="T455" s="140"/>
      <c r="U455" s="140"/>
      <c r="V455" s="140"/>
      <c r="W455" s="140"/>
      <c r="X455" s="140"/>
      <c r="Y455" s="140"/>
      <c r="Z455" s="185" t="str">
        <f aca="false">IF(AND(G455&lt;&gt;"",R455&lt;&gt;"",V455&lt;&gt;"",W455&lt;&gt;""),"COMPLETADO","OBSERVADO")</f>
        <v>OBSERVADO</v>
      </c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138" t="str">
        <f aca="false">IFERROR(VLOOKUP(TEXT(H456,"0"),IPRESS!$A$3:$B$212,2,0),"")</f>
        <v/>
      </c>
      <c r="J456" s="85"/>
      <c r="K456" s="138" t="str">
        <f aca="false">IFERROR(VLOOKUP(TEXT(O456,"0"),CONDUCTORES!$A$3:$G$54,7,0),"")</f>
        <v/>
      </c>
      <c r="L456" s="85"/>
      <c r="M456" s="85"/>
      <c r="N456" s="139" t="str">
        <f aca="false">IFERROR(IF(L456*M456=0,"",L456*M456),"")</f>
        <v/>
      </c>
      <c r="O456" s="85"/>
      <c r="P456" s="138" t="str">
        <f aca="false">IFERROR(VLOOKUP(TEXT(O456,"0"),CONDUCTORES!$A$3:$G$54,2,0),"")</f>
        <v/>
      </c>
      <c r="Q456" s="138" t="str">
        <f aca="false">IFERROR(VLOOKUP(TEXT(O456,"0"),CONDUCTORES!$A$3:$H$54,6,0),"")</f>
        <v/>
      </c>
      <c r="R456" s="85"/>
      <c r="S456" s="85"/>
      <c r="T456" s="85"/>
      <c r="U456" s="85"/>
      <c r="V456" s="85"/>
      <c r="W456" s="85"/>
      <c r="X456" s="85"/>
      <c r="Y456" s="85"/>
      <c r="Z456" s="185" t="str">
        <f aca="false">IF(AND(G456&lt;&gt;"",R456&lt;&gt;"",V456&lt;&gt;"",W456&lt;&gt;""),"COMPLETADO","OBSERVADO")</f>
        <v>OBSERVADO</v>
      </c>
    </row>
    <row r="457" customFormat="false" ht="15" hidden="false" customHeight="true" outlineLevel="0" collapsed="false">
      <c r="A457" s="140"/>
      <c r="B457" s="140"/>
      <c r="C457" s="140"/>
      <c r="D457" s="140"/>
      <c r="E457" s="140"/>
      <c r="F457" s="140"/>
      <c r="G457" s="140"/>
      <c r="H457" s="140"/>
      <c r="I457" s="138" t="str">
        <f aca="false">IFERROR(VLOOKUP(TEXT(H457,"0"),IPRESS!$A$3:$B$212,2,0),"")</f>
        <v/>
      </c>
      <c r="J457" s="140"/>
      <c r="K457" s="138" t="str">
        <f aca="false">IFERROR(VLOOKUP(TEXT(O457,"0"),CONDUCTORES!$A$3:$G$54,7,0),"")</f>
        <v/>
      </c>
      <c r="L457" s="140"/>
      <c r="M457" s="140"/>
      <c r="N457" s="139" t="str">
        <f aca="false">IFERROR(IF(L457*M457=0,"",L457*M457),"")</f>
        <v/>
      </c>
      <c r="O457" s="140"/>
      <c r="P457" s="138" t="str">
        <f aca="false">IFERROR(VLOOKUP(TEXT(O457,"0"),CONDUCTORES!$A$3:$G$54,2,0),"")</f>
        <v/>
      </c>
      <c r="Q457" s="138" t="str">
        <f aca="false">IFERROR(VLOOKUP(TEXT(O457,"0"),CONDUCTORES!$A$3:$H$54,6,0),"")</f>
        <v/>
      </c>
      <c r="R457" s="140"/>
      <c r="S457" s="140"/>
      <c r="T457" s="140"/>
      <c r="U457" s="140"/>
      <c r="V457" s="140"/>
      <c r="W457" s="140"/>
      <c r="X457" s="140"/>
      <c r="Y457" s="140"/>
      <c r="Z457" s="185" t="str">
        <f aca="false">IF(AND(G457&lt;&gt;"",R457&lt;&gt;"",V457&lt;&gt;"",W457&lt;&gt;""),"COMPLETADO","OBSERVADO")</f>
        <v>OBSERVADO</v>
      </c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138" t="str">
        <f aca="false">IFERROR(VLOOKUP(TEXT(H458,"0"),IPRESS!$A$3:$B$212,2,0),"")</f>
        <v/>
      </c>
      <c r="J458" s="85"/>
      <c r="K458" s="138" t="str">
        <f aca="false">IFERROR(VLOOKUP(TEXT(O458,"0"),CONDUCTORES!$A$3:$G$54,7,0),"")</f>
        <v/>
      </c>
      <c r="L458" s="85"/>
      <c r="M458" s="85"/>
      <c r="N458" s="139" t="str">
        <f aca="false">IFERROR(IF(L458*M458=0,"",L458*M458),"")</f>
        <v/>
      </c>
      <c r="O458" s="85"/>
      <c r="P458" s="138" t="str">
        <f aca="false">IFERROR(VLOOKUP(TEXT(O458,"0"),CONDUCTORES!$A$3:$G$54,2,0),"")</f>
        <v/>
      </c>
      <c r="Q458" s="138" t="str">
        <f aca="false">IFERROR(VLOOKUP(TEXT(O458,"0"),CONDUCTORES!$A$3:$H$54,6,0),"")</f>
        <v/>
      </c>
      <c r="R458" s="85"/>
      <c r="S458" s="85"/>
      <c r="T458" s="85"/>
      <c r="U458" s="85"/>
      <c r="V458" s="85"/>
      <c r="W458" s="85"/>
      <c r="X458" s="85"/>
      <c r="Y458" s="85"/>
      <c r="Z458" s="185" t="str">
        <f aca="false">IF(AND(G458&lt;&gt;"",R458&lt;&gt;"",V458&lt;&gt;"",W458&lt;&gt;""),"COMPLETADO","OBSERVADO")</f>
        <v>OBSERVADO</v>
      </c>
    </row>
    <row r="459" customFormat="false" ht="15" hidden="false" customHeight="true" outlineLevel="0" collapsed="false">
      <c r="A459" s="140"/>
      <c r="B459" s="140"/>
      <c r="C459" s="140"/>
      <c r="D459" s="140"/>
      <c r="E459" s="140"/>
      <c r="F459" s="140"/>
      <c r="G459" s="140"/>
      <c r="H459" s="140"/>
      <c r="I459" s="138" t="str">
        <f aca="false">IFERROR(VLOOKUP(TEXT(H459,"0"),IPRESS!$A$3:$B$212,2,0),"")</f>
        <v/>
      </c>
      <c r="J459" s="140"/>
      <c r="K459" s="138" t="str">
        <f aca="false">IFERROR(VLOOKUP(TEXT(O459,"0"),CONDUCTORES!$A$3:$G$54,7,0),"")</f>
        <v/>
      </c>
      <c r="L459" s="140"/>
      <c r="M459" s="140"/>
      <c r="N459" s="139" t="str">
        <f aca="false">IFERROR(IF(L459*M459=0,"",L459*M459),"")</f>
        <v/>
      </c>
      <c r="O459" s="140"/>
      <c r="P459" s="138" t="str">
        <f aca="false">IFERROR(VLOOKUP(TEXT(O459,"0"),CONDUCTORES!$A$3:$G$54,2,0),"")</f>
        <v/>
      </c>
      <c r="Q459" s="138" t="str">
        <f aca="false">IFERROR(VLOOKUP(TEXT(O459,"0"),CONDUCTORES!$A$3:$H$54,6,0),"")</f>
        <v/>
      </c>
      <c r="R459" s="140"/>
      <c r="S459" s="140"/>
      <c r="T459" s="140"/>
      <c r="U459" s="140"/>
      <c r="V459" s="140"/>
      <c r="W459" s="140"/>
      <c r="X459" s="140"/>
      <c r="Y459" s="140"/>
      <c r="Z459" s="185" t="str">
        <f aca="false">IF(AND(G459&lt;&gt;"",R459&lt;&gt;"",V459&lt;&gt;"",W459&lt;&gt;""),"COMPLETADO","OBSERVADO")</f>
        <v>OBSERVADO</v>
      </c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138" t="str">
        <f aca="false">IFERROR(VLOOKUP(TEXT(H460,"0"),IPRESS!$A$3:$B$212,2,0),"")</f>
        <v/>
      </c>
      <c r="J460" s="85"/>
      <c r="K460" s="138" t="str">
        <f aca="false">IFERROR(VLOOKUP(TEXT(O460,"0"),CONDUCTORES!$A$3:$G$54,7,0),"")</f>
        <v/>
      </c>
      <c r="L460" s="85"/>
      <c r="M460" s="85"/>
      <c r="N460" s="139" t="str">
        <f aca="false">IFERROR(IF(L460*M460=0,"",L460*M460),"")</f>
        <v/>
      </c>
      <c r="O460" s="85"/>
      <c r="P460" s="138" t="str">
        <f aca="false">IFERROR(VLOOKUP(TEXT(O460,"0"),CONDUCTORES!$A$3:$G$54,2,0),"")</f>
        <v/>
      </c>
      <c r="Q460" s="138" t="str">
        <f aca="false">IFERROR(VLOOKUP(TEXT(O460,"0"),CONDUCTORES!$A$3:$H$54,6,0),"")</f>
        <v/>
      </c>
      <c r="R460" s="85"/>
      <c r="S460" s="85"/>
      <c r="T460" s="85"/>
      <c r="U460" s="85"/>
      <c r="V460" s="85"/>
      <c r="W460" s="85"/>
      <c r="X460" s="85"/>
      <c r="Y460" s="85"/>
      <c r="Z460" s="185" t="str">
        <f aca="false">IF(AND(G460&lt;&gt;"",R460&lt;&gt;"",V460&lt;&gt;"",W460&lt;&gt;""),"COMPLETADO","OBSERVADO")</f>
        <v>OBSERVADO</v>
      </c>
    </row>
    <row r="461" customFormat="false" ht="15" hidden="false" customHeight="true" outlineLevel="0" collapsed="false">
      <c r="A461" s="140"/>
      <c r="B461" s="140"/>
      <c r="C461" s="140"/>
      <c r="D461" s="140"/>
      <c r="E461" s="140"/>
      <c r="F461" s="140"/>
      <c r="G461" s="140"/>
      <c r="H461" s="140"/>
      <c r="I461" s="138" t="str">
        <f aca="false">IFERROR(VLOOKUP(TEXT(H461,"0"),IPRESS!$A$3:$B$212,2,0),"")</f>
        <v/>
      </c>
      <c r="J461" s="140"/>
      <c r="K461" s="138" t="str">
        <f aca="false">IFERROR(VLOOKUP(TEXT(O461,"0"),CONDUCTORES!$A$3:$G$54,7,0),"")</f>
        <v/>
      </c>
      <c r="L461" s="140"/>
      <c r="M461" s="140"/>
      <c r="N461" s="139" t="str">
        <f aca="false">IFERROR(IF(L461*M461=0,"",L461*M461),"")</f>
        <v/>
      </c>
      <c r="O461" s="140"/>
      <c r="P461" s="138" t="str">
        <f aca="false">IFERROR(VLOOKUP(TEXT(O461,"0"),CONDUCTORES!$A$3:$G$54,2,0),"")</f>
        <v/>
      </c>
      <c r="Q461" s="138" t="str">
        <f aca="false">IFERROR(VLOOKUP(TEXT(O461,"0"),CONDUCTORES!$A$3:$H$54,6,0),"")</f>
        <v/>
      </c>
      <c r="R461" s="140"/>
      <c r="S461" s="140"/>
      <c r="T461" s="140"/>
      <c r="U461" s="140"/>
      <c r="V461" s="140"/>
      <c r="W461" s="140"/>
      <c r="X461" s="140"/>
      <c r="Y461" s="140"/>
      <c r="Z461" s="185" t="str">
        <f aca="false">IF(AND(G461&lt;&gt;"",R461&lt;&gt;"",V461&lt;&gt;"",W461&lt;&gt;""),"COMPLETADO","OBSERVADO")</f>
        <v>OBSERVADO</v>
      </c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138" t="str">
        <f aca="false">IFERROR(VLOOKUP(TEXT(H462,"0"),IPRESS!$A$3:$B$212,2,0),"")</f>
        <v/>
      </c>
      <c r="J462" s="85"/>
      <c r="K462" s="138" t="str">
        <f aca="false">IFERROR(VLOOKUP(TEXT(O462,"0"),CONDUCTORES!$A$3:$G$54,7,0),"")</f>
        <v/>
      </c>
      <c r="L462" s="85"/>
      <c r="M462" s="85"/>
      <c r="N462" s="139" t="str">
        <f aca="false">IFERROR(IF(L462*M462=0,"",L462*M462),"")</f>
        <v/>
      </c>
      <c r="O462" s="85"/>
      <c r="P462" s="138" t="str">
        <f aca="false">IFERROR(VLOOKUP(TEXT(O462,"0"),CONDUCTORES!$A$3:$G$54,2,0),"")</f>
        <v/>
      </c>
      <c r="Q462" s="138" t="str">
        <f aca="false">IFERROR(VLOOKUP(TEXT(O462,"0"),CONDUCTORES!$A$3:$H$54,6,0),"")</f>
        <v/>
      </c>
      <c r="R462" s="85"/>
      <c r="S462" s="85"/>
      <c r="T462" s="85"/>
      <c r="U462" s="85"/>
      <c r="V462" s="85"/>
      <c r="W462" s="85"/>
      <c r="X462" s="85"/>
      <c r="Y462" s="85"/>
      <c r="Z462" s="185" t="str">
        <f aca="false">IF(AND(G462&lt;&gt;"",R462&lt;&gt;"",V462&lt;&gt;"",W462&lt;&gt;""),"COMPLETADO","OBSERVADO")</f>
        <v>OBSERVADO</v>
      </c>
    </row>
    <row r="463" customFormat="false" ht="15" hidden="false" customHeight="true" outlineLevel="0" collapsed="false">
      <c r="A463" s="140"/>
      <c r="B463" s="140"/>
      <c r="C463" s="140"/>
      <c r="D463" s="140"/>
      <c r="E463" s="140"/>
      <c r="F463" s="140"/>
      <c r="G463" s="140"/>
      <c r="H463" s="140"/>
      <c r="I463" s="138" t="str">
        <f aca="false">IFERROR(VLOOKUP(TEXT(H463,"0"),IPRESS!$A$3:$B$212,2,0),"")</f>
        <v/>
      </c>
      <c r="J463" s="140"/>
      <c r="K463" s="138" t="str">
        <f aca="false">IFERROR(VLOOKUP(TEXT(O463,"0"),CONDUCTORES!$A$3:$G$54,7,0),"")</f>
        <v/>
      </c>
      <c r="L463" s="140"/>
      <c r="M463" s="140"/>
      <c r="N463" s="139" t="str">
        <f aca="false">IFERROR(IF(L463*M463=0,"",L463*M463),"")</f>
        <v/>
      </c>
      <c r="O463" s="140"/>
      <c r="P463" s="138" t="str">
        <f aca="false">IFERROR(VLOOKUP(TEXT(O463,"0"),CONDUCTORES!$A$3:$G$54,2,0),"")</f>
        <v/>
      </c>
      <c r="Q463" s="138" t="str">
        <f aca="false">IFERROR(VLOOKUP(TEXT(O463,"0"),CONDUCTORES!$A$3:$H$54,6,0),"")</f>
        <v/>
      </c>
      <c r="R463" s="140"/>
      <c r="S463" s="140"/>
      <c r="T463" s="140"/>
      <c r="U463" s="140"/>
      <c r="V463" s="140"/>
      <c r="W463" s="140"/>
      <c r="X463" s="140"/>
      <c r="Y463" s="140"/>
      <c r="Z463" s="185" t="str">
        <f aca="false">IF(AND(G463&lt;&gt;"",R463&lt;&gt;"",V463&lt;&gt;"",W463&lt;&gt;""),"COMPLETADO","OBSERVADO")</f>
        <v>OBSERVADO</v>
      </c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138" t="str">
        <f aca="false">IFERROR(VLOOKUP(TEXT(H464,"0"),IPRESS!$A$3:$B$212,2,0),"")</f>
        <v/>
      </c>
      <c r="J464" s="85"/>
      <c r="K464" s="138" t="str">
        <f aca="false">IFERROR(VLOOKUP(TEXT(O464,"0"),CONDUCTORES!$A$3:$G$54,7,0),"")</f>
        <v/>
      </c>
      <c r="L464" s="85"/>
      <c r="M464" s="85"/>
      <c r="N464" s="139" t="str">
        <f aca="false">IFERROR(IF(L464*M464=0,"",L464*M464),"")</f>
        <v/>
      </c>
      <c r="O464" s="85"/>
      <c r="P464" s="138" t="str">
        <f aca="false">IFERROR(VLOOKUP(TEXT(O464,"0"),CONDUCTORES!$A$3:$G$54,2,0),"")</f>
        <v/>
      </c>
      <c r="Q464" s="138" t="str">
        <f aca="false">IFERROR(VLOOKUP(TEXT(O464,"0"),CONDUCTORES!$A$3:$H$54,6,0),"")</f>
        <v/>
      </c>
      <c r="R464" s="85"/>
      <c r="S464" s="85"/>
      <c r="T464" s="85"/>
      <c r="U464" s="85"/>
      <c r="V464" s="85"/>
      <c r="W464" s="85"/>
      <c r="X464" s="85"/>
      <c r="Y464" s="85"/>
      <c r="Z464" s="185" t="str">
        <f aca="false">IF(AND(G464&lt;&gt;"",R464&lt;&gt;"",V464&lt;&gt;"",W464&lt;&gt;""),"COMPLETADO","OBSERVADO")</f>
        <v>OBSERVADO</v>
      </c>
    </row>
    <row r="465" customFormat="false" ht="15" hidden="false" customHeight="true" outlineLevel="0" collapsed="false">
      <c r="A465" s="140"/>
      <c r="B465" s="140"/>
      <c r="C465" s="140"/>
      <c r="D465" s="140"/>
      <c r="E465" s="140"/>
      <c r="F465" s="140"/>
      <c r="G465" s="140"/>
      <c r="H465" s="140"/>
      <c r="I465" s="138" t="str">
        <f aca="false">IFERROR(VLOOKUP(TEXT(H465,"0"),IPRESS!$A$3:$B$212,2,0),"")</f>
        <v/>
      </c>
      <c r="J465" s="140"/>
      <c r="K465" s="138" t="str">
        <f aca="false">IFERROR(VLOOKUP(TEXT(O465,"0"),CONDUCTORES!$A$3:$G$54,7,0),"")</f>
        <v/>
      </c>
      <c r="L465" s="140"/>
      <c r="M465" s="140"/>
      <c r="N465" s="139" t="str">
        <f aca="false">IFERROR(IF(L465*M465=0,"",L465*M465),"")</f>
        <v/>
      </c>
      <c r="O465" s="140"/>
      <c r="P465" s="138" t="str">
        <f aca="false">IFERROR(VLOOKUP(TEXT(O465,"0"),CONDUCTORES!$A$3:$G$54,2,0),"")</f>
        <v/>
      </c>
      <c r="Q465" s="138" t="str">
        <f aca="false">IFERROR(VLOOKUP(TEXT(O465,"0"),CONDUCTORES!$A$3:$H$54,6,0),"")</f>
        <v/>
      </c>
      <c r="R465" s="140"/>
      <c r="S465" s="140"/>
      <c r="T465" s="140"/>
      <c r="U465" s="140"/>
      <c r="V465" s="140"/>
      <c r="W465" s="140"/>
      <c r="X465" s="140"/>
      <c r="Y465" s="140"/>
      <c r="Z465" s="185" t="str">
        <f aca="false">IF(AND(G465&lt;&gt;"",R465&lt;&gt;"",V465&lt;&gt;"",W465&lt;&gt;""),"COMPLETADO","OBSERVADO")</f>
        <v>OBSERVADO</v>
      </c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138" t="str">
        <f aca="false">IFERROR(VLOOKUP(TEXT(H466,"0"),IPRESS!$A$3:$B$212,2,0),"")</f>
        <v/>
      </c>
      <c r="J466" s="85"/>
      <c r="K466" s="138" t="str">
        <f aca="false">IFERROR(VLOOKUP(TEXT(O466,"0"),CONDUCTORES!$A$3:$G$54,7,0),"")</f>
        <v/>
      </c>
      <c r="L466" s="85"/>
      <c r="M466" s="85"/>
      <c r="N466" s="139" t="str">
        <f aca="false">IFERROR(IF(L466*M466=0,"",L466*M466),"")</f>
        <v/>
      </c>
      <c r="O466" s="85"/>
      <c r="P466" s="138" t="str">
        <f aca="false">IFERROR(VLOOKUP(TEXT(O466,"0"),CONDUCTORES!$A$3:$G$54,2,0),"")</f>
        <v/>
      </c>
      <c r="Q466" s="138" t="str">
        <f aca="false">IFERROR(VLOOKUP(TEXT(O466,"0"),CONDUCTORES!$A$3:$H$54,6,0),"")</f>
        <v/>
      </c>
      <c r="R466" s="85"/>
      <c r="S466" s="85"/>
      <c r="T466" s="85"/>
      <c r="U466" s="85"/>
      <c r="V466" s="85"/>
      <c r="W466" s="85"/>
      <c r="X466" s="85"/>
      <c r="Y466" s="85"/>
      <c r="Z466" s="185" t="str">
        <f aca="false">IF(AND(G466&lt;&gt;"",R466&lt;&gt;"",V466&lt;&gt;"",W466&lt;&gt;""),"COMPLETADO","OBSERVADO")</f>
        <v>OBSERVADO</v>
      </c>
    </row>
    <row r="467" customFormat="false" ht="15" hidden="false" customHeight="true" outlineLevel="0" collapsed="false">
      <c r="A467" s="140"/>
      <c r="B467" s="140"/>
      <c r="C467" s="140"/>
      <c r="D467" s="140"/>
      <c r="E467" s="140"/>
      <c r="F467" s="140"/>
      <c r="G467" s="140"/>
      <c r="H467" s="140"/>
      <c r="I467" s="138" t="str">
        <f aca="false">IFERROR(VLOOKUP(TEXT(H467,"0"),IPRESS!$A$3:$B$212,2,0),"")</f>
        <v/>
      </c>
      <c r="J467" s="140"/>
      <c r="K467" s="138" t="str">
        <f aca="false">IFERROR(VLOOKUP(TEXT(O467,"0"),CONDUCTORES!$A$3:$G$54,7,0),"")</f>
        <v/>
      </c>
      <c r="L467" s="140"/>
      <c r="M467" s="140"/>
      <c r="N467" s="139" t="str">
        <f aca="false">IFERROR(IF(L467*M467=0,"",L467*M467),"")</f>
        <v/>
      </c>
      <c r="O467" s="140"/>
      <c r="P467" s="138" t="str">
        <f aca="false">IFERROR(VLOOKUP(TEXT(O467,"0"),CONDUCTORES!$A$3:$G$54,2,0),"")</f>
        <v/>
      </c>
      <c r="Q467" s="138" t="str">
        <f aca="false">IFERROR(VLOOKUP(TEXT(O467,"0"),CONDUCTORES!$A$3:$H$54,6,0),"")</f>
        <v/>
      </c>
      <c r="R467" s="140"/>
      <c r="S467" s="140"/>
      <c r="T467" s="140"/>
      <c r="U467" s="140"/>
      <c r="V467" s="140"/>
      <c r="W467" s="140"/>
      <c r="X467" s="140"/>
      <c r="Y467" s="140"/>
      <c r="Z467" s="185" t="str">
        <f aca="false">IF(AND(G467&lt;&gt;"",R467&lt;&gt;"",V467&lt;&gt;"",W467&lt;&gt;""),"COMPLETADO","OBSERVADO")</f>
        <v>OBSERVADO</v>
      </c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138" t="str">
        <f aca="false">IFERROR(VLOOKUP(TEXT(H468,"0"),IPRESS!$A$3:$B$212,2,0),"")</f>
        <v/>
      </c>
      <c r="J468" s="85"/>
      <c r="K468" s="138" t="str">
        <f aca="false">IFERROR(VLOOKUP(TEXT(O468,"0"),CONDUCTORES!$A$3:$G$54,7,0),"")</f>
        <v/>
      </c>
      <c r="L468" s="85"/>
      <c r="M468" s="85"/>
      <c r="N468" s="139" t="str">
        <f aca="false">IFERROR(IF(L468*M468=0,"",L468*M468),"")</f>
        <v/>
      </c>
      <c r="O468" s="85"/>
      <c r="P468" s="138" t="str">
        <f aca="false">IFERROR(VLOOKUP(TEXT(O468,"0"),CONDUCTORES!$A$3:$G$54,2,0),"")</f>
        <v/>
      </c>
      <c r="Q468" s="138" t="str">
        <f aca="false">IFERROR(VLOOKUP(TEXT(O468,"0"),CONDUCTORES!$A$3:$H$54,6,0),"")</f>
        <v/>
      </c>
      <c r="R468" s="85"/>
      <c r="S468" s="85"/>
      <c r="T468" s="85"/>
      <c r="U468" s="85"/>
      <c r="V468" s="85"/>
      <c r="W468" s="85"/>
      <c r="X468" s="85"/>
      <c r="Y468" s="85"/>
      <c r="Z468" s="185" t="str">
        <f aca="false">IF(AND(G468&lt;&gt;"",R468&lt;&gt;"",V468&lt;&gt;"",W468&lt;&gt;""),"COMPLETADO","OBSERVADO")</f>
        <v>OBSERVADO</v>
      </c>
    </row>
    <row r="469" customFormat="false" ht="15" hidden="false" customHeight="true" outlineLevel="0" collapsed="false">
      <c r="A469" s="140"/>
      <c r="B469" s="140"/>
      <c r="C469" s="140"/>
      <c r="D469" s="140"/>
      <c r="E469" s="140"/>
      <c r="F469" s="140"/>
      <c r="G469" s="140"/>
      <c r="H469" s="140"/>
      <c r="I469" s="138" t="str">
        <f aca="false">IFERROR(VLOOKUP(TEXT(H469,"0"),IPRESS!$A$3:$B$212,2,0),"")</f>
        <v/>
      </c>
      <c r="J469" s="140"/>
      <c r="K469" s="138" t="str">
        <f aca="false">IFERROR(VLOOKUP(TEXT(O469,"0"),CONDUCTORES!$A$3:$G$54,7,0),"")</f>
        <v/>
      </c>
      <c r="L469" s="140"/>
      <c r="M469" s="140"/>
      <c r="N469" s="139" t="str">
        <f aca="false">IFERROR(IF(L469*M469=0,"",L469*M469),"")</f>
        <v/>
      </c>
      <c r="O469" s="140"/>
      <c r="P469" s="138" t="str">
        <f aca="false">IFERROR(VLOOKUP(TEXT(O469,"0"),CONDUCTORES!$A$3:$G$54,2,0),"")</f>
        <v/>
      </c>
      <c r="Q469" s="138" t="str">
        <f aca="false">IFERROR(VLOOKUP(TEXT(O469,"0"),CONDUCTORES!$A$3:$H$54,6,0),"")</f>
        <v/>
      </c>
      <c r="R469" s="140"/>
      <c r="S469" s="140"/>
      <c r="T469" s="140"/>
      <c r="U469" s="140"/>
      <c r="V469" s="140"/>
      <c r="W469" s="140"/>
      <c r="X469" s="140"/>
      <c r="Y469" s="140"/>
      <c r="Z469" s="185" t="str">
        <f aca="false">IF(AND(G469&lt;&gt;"",R469&lt;&gt;"",V469&lt;&gt;"",W469&lt;&gt;""),"COMPLETADO","OBSERVADO")</f>
        <v>OBSERVADO</v>
      </c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138" t="str">
        <f aca="false">IFERROR(VLOOKUP(TEXT(H470,"0"),IPRESS!$A$3:$B$212,2,0),"")</f>
        <v/>
      </c>
      <c r="J470" s="85"/>
      <c r="K470" s="138" t="str">
        <f aca="false">IFERROR(VLOOKUP(TEXT(O470,"0"),CONDUCTORES!$A$3:$G$54,7,0),"")</f>
        <v/>
      </c>
      <c r="L470" s="85"/>
      <c r="M470" s="85"/>
      <c r="N470" s="139" t="str">
        <f aca="false">IFERROR(IF(L470*M470=0,"",L470*M470),"")</f>
        <v/>
      </c>
      <c r="O470" s="85"/>
      <c r="P470" s="138" t="str">
        <f aca="false">IFERROR(VLOOKUP(TEXT(O470,"0"),CONDUCTORES!$A$3:$G$54,2,0),"")</f>
        <v/>
      </c>
      <c r="Q470" s="138" t="str">
        <f aca="false">IFERROR(VLOOKUP(TEXT(O470,"0"),CONDUCTORES!$A$3:$H$54,6,0),"")</f>
        <v/>
      </c>
      <c r="R470" s="85"/>
      <c r="S470" s="85"/>
      <c r="T470" s="85"/>
      <c r="U470" s="85"/>
      <c r="V470" s="85"/>
      <c r="W470" s="85"/>
      <c r="X470" s="85"/>
      <c r="Y470" s="85"/>
      <c r="Z470" s="185" t="str">
        <f aca="false">IF(AND(G470&lt;&gt;"",R470&lt;&gt;"",V470&lt;&gt;"",W470&lt;&gt;""),"COMPLETADO","OBSERVADO")</f>
        <v>OBSERVADO</v>
      </c>
    </row>
    <row r="471" customFormat="false" ht="15" hidden="false" customHeight="true" outlineLevel="0" collapsed="false">
      <c r="A471" s="140"/>
      <c r="B471" s="140"/>
      <c r="C471" s="140"/>
      <c r="D471" s="140"/>
      <c r="E471" s="140"/>
      <c r="F471" s="140"/>
      <c r="G471" s="140"/>
      <c r="H471" s="140"/>
      <c r="I471" s="138" t="str">
        <f aca="false">IFERROR(VLOOKUP(TEXT(H471,"0"),IPRESS!$A$3:$B$212,2,0),"")</f>
        <v/>
      </c>
      <c r="J471" s="140"/>
      <c r="K471" s="138" t="str">
        <f aca="false">IFERROR(VLOOKUP(TEXT(O471,"0"),CONDUCTORES!$A$3:$G$54,7,0),"")</f>
        <v/>
      </c>
      <c r="L471" s="140"/>
      <c r="M471" s="140"/>
      <c r="N471" s="139" t="str">
        <f aca="false">IFERROR(IF(L471*M471=0,"",L471*M471),"")</f>
        <v/>
      </c>
      <c r="O471" s="140"/>
      <c r="P471" s="138" t="str">
        <f aca="false">IFERROR(VLOOKUP(TEXT(O471,"0"),CONDUCTORES!$A$3:$G$54,2,0),"")</f>
        <v/>
      </c>
      <c r="Q471" s="138" t="str">
        <f aca="false">IFERROR(VLOOKUP(TEXT(O471,"0"),CONDUCTORES!$A$3:$H$54,6,0),"")</f>
        <v/>
      </c>
      <c r="R471" s="140"/>
      <c r="S471" s="140"/>
      <c r="T471" s="140"/>
      <c r="U471" s="140"/>
      <c r="V471" s="140"/>
      <c r="W471" s="140"/>
      <c r="X471" s="140"/>
      <c r="Y471" s="140"/>
      <c r="Z471" s="185" t="str">
        <f aca="false">IF(AND(G471&lt;&gt;"",R471&lt;&gt;"",V471&lt;&gt;"",W471&lt;&gt;""),"COMPLETADO","OBSERVADO")</f>
        <v>OBSERVADO</v>
      </c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138" t="str">
        <f aca="false">IFERROR(VLOOKUP(TEXT(H472,"0"),IPRESS!$A$3:$B$212,2,0),"")</f>
        <v/>
      </c>
      <c r="J472" s="85"/>
      <c r="K472" s="138" t="str">
        <f aca="false">IFERROR(VLOOKUP(TEXT(O472,"0"),CONDUCTORES!$A$3:$G$54,7,0),"")</f>
        <v/>
      </c>
      <c r="L472" s="85"/>
      <c r="M472" s="85"/>
      <c r="N472" s="139" t="str">
        <f aca="false">IFERROR(IF(L472*M472=0,"",L472*M472),"")</f>
        <v/>
      </c>
      <c r="O472" s="85"/>
      <c r="P472" s="138" t="str">
        <f aca="false">IFERROR(VLOOKUP(TEXT(O472,"0"),CONDUCTORES!$A$3:$G$54,2,0),"")</f>
        <v/>
      </c>
      <c r="Q472" s="138" t="str">
        <f aca="false">IFERROR(VLOOKUP(TEXT(O472,"0"),CONDUCTORES!$A$3:$H$54,6,0),"")</f>
        <v/>
      </c>
      <c r="R472" s="85"/>
      <c r="S472" s="85"/>
      <c r="T472" s="85"/>
      <c r="U472" s="85"/>
      <c r="V472" s="85"/>
      <c r="W472" s="85"/>
      <c r="X472" s="85"/>
      <c r="Y472" s="85"/>
      <c r="Z472" s="185" t="str">
        <f aca="false">IF(AND(G472&lt;&gt;"",R472&lt;&gt;"",V472&lt;&gt;"",W472&lt;&gt;""),"COMPLETADO","OBSERVADO")</f>
        <v>OBSERVADO</v>
      </c>
    </row>
    <row r="473" customFormat="false" ht="15" hidden="false" customHeight="true" outlineLevel="0" collapsed="false">
      <c r="A473" s="140"/>
      <c r="B473" s="140"/>
      <c r="C473" s="140"/>
      <c r="D473" s="140"/>
      <c r="E473" s="140"/>
      <c r="F473" s="140"/>
      <c r="G473" s="140"/>
      <c r="H473" s="140"/>
      <c r="I473" s="138" t="str">
        <f aca="false">IFERROR(VLOOKUP(TEXT(H473,"0"),IPRESS!$A$3:$B$212,2,0),"")</f>
        <v/>
      </c>
      <c r="J473" s="140"/>
      <c r="K473" s="138" t="str">
        <f aca="false">IFERROR(VLOOKUP(TEXT(O473,"0"),CONDUCTORES!$A$3:$G$54,7,0),"")</f>
        <v/>
      </c>
      <c r="L473" s="140"/>
      <c r="M473" s="140"/>
      <c r="N473" s="139" t="str">
        <f aca="false">IFERROR(IF(L473*M473=0,"",L473*M473),"")</f>
        <v/>
      </c>
      <c r="O473" s="140"/>
      <c r="P473" s="138" t="str">
        <f aca="false">IFERROR(VLOOKUP(TEXT(O473,"0"),CONDUCTORES!$A$3:$G$54,2,0),"")</f>
        <v/>
      </c>
      <c r="Q473" s="138" t="str">
        <f aca="false">IFERROR(VLOOKUP(TEXT(O473,"0"),CONDUCTORES!$A$3:$H$54,6,0),"")</f>
        <v/>
      </c>
      <c r="R473" s="140"/>
      <c r="S473" s="140"/>
      <c r="T473" s="140"/>
      <c r="U473" s="140"/>
      <c r="V473" s="140"/>
      <c r="W473" s="140"/>
      <c r="X473" s="140"/>
      <c r="Y473" s="140"/>
      <c r="Z473" s="185" t="str">
        <f aca="false">IF(AND(G473&lt;&gt;"",R473&lt;&gt;"",V473&lt;&gt;"",W473&lt;&gt;""),"COMPLETADO","OBSERVADO")</f>
        <v>OBSERVADO</v>
      </c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138" t="str">
        <f aca="false">IFERROR(VLOOKUP(TEXT(H474,"0"),IPRESS!$A$3:$B$212,2,0),"")</f>
        <v/>
      </c>
      <c r="J474" s="85"/>
      <c r="K474" s="138" t="str">
        <f aca="false">IFERROR(VLOOKUP(TEXT(O474,"0"),CONDUCTORES!$A$3:$G$54,7,0),"")</f>
        <v/>
      </c>
      <c r="L474" s="85"/>
      <c r="M474" s="85"/>
      <c r="N474" s="139" t="str">
        <f aca="false">IFERROR(IF(L474*M474=0,"",L474*M474),"")</f>
        <v/>
      </c>
      <c r="O474" s="85"/>
      <c r="P474" s="138" t="str">
        <f aca="false">IFERROR(VLOOKUP(TEXT(O474,"0"),CONDUCTORES!$A$3:$G$54,2,0),"")</f>
        <v/>
      </c>
      <c r="Q474" s="138" t="str">
        <f aca="false">IFERROR(VLOOKUP(TEXT(O474,"0"),CONDUCTORES!$A$3:$H$54,6,0),"")</f>
        <v/>
      </c>
      <c r="R474" s="85"/>
      <c r="S474" s="85"/>
      <c r="T474" s="85"/>
      <c r="U474" s="85"/>
      <c r="V474" s="85"/>
      <c r="W474" s="85"/>
      <c r="X474" s="85"/>
      <c r="Y474" s="85"/>
      <c r="Z474" s="185" t="str">
        <f aca="false">IF(AND(G474&lt;&gt;"",R474&lt;&gt;"",V474&lt;&gt;"",W474&lt;&gt;""),"COMPLETADO","OBSERVADO")</f>
        <v>OBSERVADO</v>
      </c>
    </row>
    <row r="475" customFormat="false" ht="15" hidden="false" customHeight="true" outlineLevel="0" collapsed="false">
      <c r="A475" s="140"/>
      <c r="B475" s="140"/>
      <c r="C475" s="140"/>
      <c r="D475" s="140"/>
      <c r="E475" s="140"/>
      <c r="F475" s="140"/>
      <c r="G475" s="140"/>
      <c r="H475" s="140"/>
      <c r="I475" s="138" t="str">
        <f aca="false">IFERROR(VLOOKUP(TEXT(H475,"0"),IPRESS!$A$3:$B$212,2,0),"")</f>
        <v/>
      </c>
      <c r="J475" s="140"/>
      <c r="K475" s="138" t="str">
        <f aca="false">IFERROR(VLOOKUP(TEXT(O475,"0"),CONDUCTORES!$A$3:$G$54,7,0),"")</f>
        <v/>
      </c>
      <c r="L475" s="140"/>
      <c r="M475" s="140"/>
      <c r="N475" s="139" t="str">
        <f aca="false">IFERROR(IF(L475*M475=0,"",L475*M475),"")</f>
        <v/>
      </c>
      <c r="O475" s="140"/>
      <c r="P475" s="138" t="str">
        <f aca="false">IFERROR(VLOOKUP(TEXT(O475,"0"),CONDUCTORES!$A$3:$G$54,2,0),"")</f>
        <v/>
      </c>
      <c r="Q475" s="138" t="str">
        <f aca="false">IFERROR(VLOOKUP(TEXT(O475,"0"),CONDUCTORES!$A$3:$H$54,6,0),"")</f>
        <v/>
      </c>
      <c r="R475" s="140"/>
      <c r="S475" s="140"/>
      <c r="T475" s="140"/>
      <c r="U475" s="140"/>
      <c r="V475" s="140"/>
      <c r="W475" s="140"/>
      <c r="X475" s="140"/>
      <c r="Y475" s="140"/>
      <c r="Z475" s="185" t="str">
        <f aca="false">IF(AND(G475&lt;&gt;"",R475&lt;&gt;"",V475&lt;&gt;"",W475&lt;&gt;""),"COMPLETADO","OBSERVADO")</f>
        <v>OBSERVADO</v>
      </c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138" t="str">
        <f aca="false">IFERROR(VLOOKUP(TEXT(H476,"0"),IPRESS!$A$3:$B$212,2,0),"")</f>
        <v/>
      </c>
      <c r="J476" s="85"/>
      <c r="K476" s="138" t="str">
        <f aca="false">IFERROR(VLOOKUP(TEXT(O476,"0"),CONDUCTORES!$A$3:$G$54,7,0),"")</f>
        <v/>
      </c>
      <c r="L476" s="85"/>
      <c r="M476" s="85"/>
      <c r="N476" s="139" t="str">
        <f aca="false">IFERROR(IF(L476*M476=0,"",L476*M476),"")</f>
        <v/>
      </c>
      <c r="O476" s="85"/>
      <c r="P476" s="138" t="str">
        <f aca="false">IFERROR(VLOOKUP(TEXT(O476,"0"),CONDUCTORES!$A$3:$G$54,2,0),"")</f>
        <v/>
      </c>
      <c r="Q476" s="138" t="str">
        <f aca="false">IFERROR(VLOOKUP(TEXT(O476,"0"),CONDUCTORES!$A$3:$H$54,6,0),"")</f>
        <v/>
      </c>
      <c r="R476" s="85"/>
      <c r="S476" s="85"/>
      <c r="T476" s="85"/>
      <c r="U476" s="85"/>
      <c r="V476" s="85"/>
      <c r="W476" s="85"/>
      <c r="X476" s="85"/>
      <c r="Y476" s="85"/>
      <c r="Z476" s="185" t="str">
        <f aca="false">IF(AND(G476&lt;&gt;"",R476&lt;&gt;"",V476&lt;&gt;"",W476&lt;&gt;""),"COMPLETADO","OBSERVADO")</f>
        <v>OBSERVADO</v>
      </c>
    </row>
    <row r="477" customFormat="false" ht="15" hidden="false" customHeight="true" outlineLevel="0" collapsed="false">
      <c r="A477" s="140"/>
      <c r="B477" s="140"/>
      <c r="C477" s="140"/>
      <c r="D477" s="140"/>
      <c r="E477" s="140"/>
      <c r="F477" s="140"/>
      <c r="G477" s="140"/>
      <c r="H477" s="140"/>
      <c r="I477" s="138" t="str">
        <f aca="false">IFERROR(VLOOKUP(TEXT(H477,"0"),IPRESS!$A$3:$B$212,2,0),"")</f>
        <v/>
      </c>
      <c r="J477" s="140"/>
      <c r="K477" s="138" t="str">
        <f aca="false">IFERROR(VLOOKUP(TEXT(O477,"0"),CONDUCTORES!$A$3:$G$54,7,0),"")</f>
        <v/>
      </c>
      <c r="L477" s="140"/>
      <c r="M477" s="140"/>
      <c r="N477" s="139" t="str">
        <f aca="false">IFERROR(IF(L477*M477=0,"",L477*M477),"")</f>
        <v/>
      </c>
      <c r="O477" s="140"/>
      <c r="P477" s="138" t="str">
        <f aca="false">IFERROR(VLOOKUP(TEXT(O477,"0"),CONDUCTORES!$A$3:$G$54,2,0),"")</f>
        <v/>
      </c>
      <c r="Q477" s="138" t="str">
        <f aca="false">IFERROR(VLOOKUP(TEXT(O477,"0"),CONDUCTORES!$A$3:$H$54,6,0),"")</f>
        <v/>
      </c>
      <c r="R477" s="140"/>
      <c r="S477" s="140"/>
      <c r="T477" s="140"/>
      <c r="U477" s="140"/>
      <c r="V477" s="140"/>
      <c r="W477" s="140"/>
      <c r="X477" s="140"/>
      <c r="Y477" s="140"/>
      <c r="Z477" s="185" t="str">
        <f aca="false">IF(AND(G477&lt;&gt;"",R477&lt;&gt;"",V477&lt;&gt;"",W477&lt;&gt;""),"COMPLETADO","OBSERVADO")</f>
        <v>OBSERVADO</v>
      </c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138" t="str">
        <f aca="false">IFERROR(VLOOKUP(TEXT(H478,"0"),IPRESS!$A$3:$B$212,2,0),"")</f>
        <v/>
      </c>
      <c r="J478" s="85"/>
      <c r="K478" s="138" t="str">
        <f aca="false">IFERROR(VLOOKUP(TEXT(O478,"0"),CONDUCTORES!$A$3:$G$54,7,0),"")</f>
        <v/>
      </c>
      <c r="L478" s="85"/>
      <c r="M478" s="85"/>
      <c r="N478" s="139" t="str">
        <f aca="false">IFERROR(IF(L478*M478=0,"",L478*M478),"")</f>
        <v/>
      </c>
      <c r="O478" s="85"/>
      <c r="P478" s="138" t="str">
        <f aca="false">IFERROR(VLOOKUP(TEXT(O478,"0"),CONDUCTORES!$A$3:$G$54,2,0),"")</f>
        <v/>
      </c>
      <c r="Q478" s="138" t="str">
        <f aca="false">IFERROR(VLOOKUP(TEXT(O478,"0"),CONDUCTORES!$A$3:$H$54,6,0),"")</f>
        <v/>
      </c>
      <c r="R478" s="85"/>
      <c r="S478" s="85"/>
      <c r="T478" s="85"/>
      <c r="U478" s="85"/>
      <c r="V478" s="85"/>
      <c r="W478" s="85"/>
      <c r="X478" s="85"/>
      <c r="Y478" s="85"/>
      <c r="Z478" s="185" t="str">
        <f aca="false">IF(AND(G478&lt;&gt;"",R478&lt;&gt;"",V478&lt;&gt;"",W478&lt;&gt;""),"COMPLETADO","OBSERVADO")</f>
        <v>OBSERVADO</v>
      </c>
    </row>
    <row r="479" customFormat="false" ht="15" hidden="false" customHeight="true" outlineLevel="0" collapsed="false">
      <c r="A479" s="140"/>
      <c r="B479" s="140"/>
      <c r="C479" s="140"/>
      <c r="D479" s="140"/>
      <c r="E479" s="140"/>
      <c r="F479" s="140"/>
      <c r="G479" s="140"/>
      <c r="H479" s="140"/>
      <c r="I479" s="138" t="str">
        <f aca="false">IFERROR(VLOOKUP(TEXT(H479,"0"),IPRESS!$A$3:$B$212,2,0),"")</f>
        <v/>
      </c>
      <c r="J479" s="140"/>
      <c r="K479" s="138" t="str">
        <f aca="false">IFERROR(VLOOKUP(TEXT(O479,"0"),CONDUCTORES!$A$3:$G$54,7,0),"")</f>
        <v/>
      </c>
      <c r="L479" s="140"/>
      <c r="M479" s="140"/>
      <c r="N479" s="139" t="str">
        <f aca="false">IFERROR(IF(L479*M479=0,"",L479*M479),"")</f>
        <v/>
      </c>
      <c r="O479" s="140"/>
      <c r="P479" s="138" t="str">
        <f aca="false">IFERROR(VLOOKUP(TEXT(O479,"0"),CONDUCTORES!$A$3:$G$54,2,0),"")</f>
        <v/>
      </c>
      <c r="Q479" s="138" t="str">
        <f aca="false">IFERROR(VLOOKUP(TEXT(O479,"0"),CONDUCTORES!$A$3:$H$54,6,0),"")</f>
        <v/>
      </c>
      <c r="R479" s="140"/>
      <c r="S479" s="140"/>
      <c r="T479" s="140"/>
      <c r="U479" s="140"/>
      <c r="V479" s="140"/>
      <c r="W479" s="140"/>
      <c r="X479" s="140"/>
      <c r="Y479" s="140"/>
      <c r="Z479" s="185" t="str">
        <f aca="false">IF(AND(G479&lt;&gt;"",R479&lt;&gt;"",V479&lt;&gt;"",W479&lt;&gt;""),"COMPLETADO","OBSERVADO")</f>
        <v>OBSERVADO</v>
      </c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138" t="str">
        <f aca="false">IFERROR(VLOOKUP(TEXT(H480,"0"),IPRESS!$A$3:$B$212,2,0),"")</f>
        <v/>
      </c>
      <c r="J480" s="85"/>
      <c r="K480" s="138" t="str">
        <f aca="false">IFERROR(VLOOKUP(TEXT(O480,"0"),CONDUCTORES!$A$3:$G$54,7,0),"")</f>
        <v/>
      </c>
      <c r="L480" s="85"/>
      <c r="M480" s="85"/>
      <c r="N480" s="139" t="str">
        <f aca="false">IFERROR(IF(L480*M480=0,"",L480*M480),"")</f>
        <v/>
      </c>
      <c r="O480" s="85"/>
      <c r="P480" s="138" t="str">
        <f aca="false">IFERROR(VLOOKUP(TEXT(O480,"0"),CONDUCTORES!$A$3:$G$54,2,0),"")</f>
        <v/>
      </c>
      <c r="Q480" s="138" t="str">
        <f aca="false">IFERROR(VLOOKUP(TEXT(O480,"0"),CONDUCTORES!$A$3:$H$54,6,0),"")</f>
        <v/>
      </c>
      <c r="R480" s="85"/>
      <c r="S480" s="85"/>
      <c r="T480" s="85"/>
      <c r="U480" s="85"/>
      <c r="V480" s="85"/>
      <c r="W480" s="85"/>
      <c r="X480" s="85"/>
      <c r="Y480" s="85"/>
      <c r="Z480" s="185" t="str">
        <f aca="false">IF(AND(G480&lt;&gt;"",R480&lt;&gt;"",V480&lt;&gt;"",W480&lt;&gt;""),"COMPLETADO","OBSERVADO")</f>
        <v>OBSERVADO</v>
      </c>
    </row>
    <row r="481" customFormat="false" ht="15" hidden="false" customHeight="true" outlineLevel="0" collapsed="false">
      <c r="A481" s="140"/>
      <c r="B481" s="140"/>
      <c r="C481" s="140"/>
      <c r="D481" s="140"/>
      <c r="E481" s="140"/>
      <c r="F481" s="140"/>
      <c r="G481" s="140"/>
      <c r="H481" s="140"/>
      <c r="I481" s="138" t="str">
        <f aca="false">IFERROR(VLOOKUP(TEXT(H481,"0"),IPRESS!$A$3:$B$212,2,0),"")</f>
        <v/>
      </c>
      <c r="J481" s="140"/>
      <c r="K481" s="138" t="str">
        <f aca="false">IFERROR(VLOOKUP(TEXT(O481,"0"),CONDUCTORES!$A$3:$G$54,7,0),"")</f>
        <v/>
      </c>
      <c r="L481" s="140"/>
      <c r="M481" s="140"/>
      <c r="N481" s="139" t="str">
        <f aca="false">IFERROR(IF(L481*M481=0,"",L481*M481),"")</f>
        <v/>
      </c>
      <c r="O481" s="140"/>
      <c r="P481" s="138" t="str">
        <f aca="false">IFERROR(VLOOKUP(TEXT(O481,"0"),CONDUCTORES!$A$3:$G$54,2,0),"")</f>
        <v/>
      </c>
      <c r="Q481" s="138" t="str">
        <f aca="false">IFERROR(VLOOKUP(TEXT(O481,"0"),CONDUCTORES!$A$3:$H$54,6,0),"")</f>
        <v/>
      </c>
      <c r="R481" s="140"/>
      <c r="S481" s="140"/>
      <c r="T481" s="140"/>
      <c r="U481" s="140"/>
      <c r="V481" s="140"/>
      <c r="W481" s="140"/>
      <c r="X481" s="140"/>
      <c r="Y481" s="140"/>
      <c r="Z481" s="185" t="str">
        <f aca="false">IF(AND(G481&lt;&gt;"",R481&lt;&gt;"",V481&lt;&gt;"",W481&lt;&gt;""),"COMPLETADO","OBSERVADO")</f>
        <v>OBSERVADO</v>
      </c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138" t="str">
        <f aca="false">IFERROR(VLOOKUP(TEXT(H482,"0"),IPRESS!$A$3:$B$212,2,0),"")</f>
        <v/>
      </c>
      <c r="J482" s="85"/>
      <c r="K482" s="138" t="str">
        <f aca="false">IFERROR(VLOOKUP(TEXT(O482,"0"),CONDUCTORES!$A$3:$G$54,7,0),"")</f>
        <v/>
      </c>
      <c r="L482" s="85"/>
      <c r="M482" s="85"/>
      <c r="N482" s="139" t="str">
        <f aca="false">IFERROR(IF(L482*M482=0,"",L482*M482),"")</f>
        <v/>
      </c>
      <c r="O482" s="85"/>
      <c r="P482" s="138" t="str">
        <f aca="false">IFERROR(VLOOKUP(TEXT(O482,"0"),CONDUCTORES!$A$3:$G$54,2,0),"")</f>
        <v/>
      </c>
      <c r="Q482" s="138" t="str">
        <f aca="false">IFERROR(VLOOKUP(TEXT(O482,"0"),CONDUCTORES!$A$3:$H$54,6,0),"")</f>
        <v/>
      </c>
      <c r="R482" s="85"/>
      <c r="S482" s="85"/>
      <c r="T482" s="85"/>
      <c r="U482" s="85"/>
      <c r="V482" s="85"/>
      <c r="W482" s="85"/>
      <c r="X482" s="85"/>
      <c r="Y482" s="85"/>
      <c r="Z482" s="185" t="str">
        <f aca="false">IF(AND(G482&lt;&gt;"",R482&lt;&gt;"",V482&lt;&gt;"",W482&lt;&gt;""),"COMPLETADO","OBSERVADO")</f>
        <v>OBSERVADO</v>
      </c>
    </row>
    <row r="483" customFormat="false" ht="15" hidden="false" customHeight="true" outlineLevel="0" collapsed="false">
      <c r="A483" s="140"/>
      <c r="B483" s="140"/>
      <c r="C483" s="140"/>
      <c r="D483" s="140"/>
      <c r="E483" s="140"/>
      <c r="F483" s="140"/>
      <c r="G483" s="140"/>
      <c r="H483" s="140"/>
      <c r="I483" s="138" t="str">
        <f aca="false">IFERROR(VLOOKUP(TEXT(H483,"0"),IPRESS!$A$3:$B$212,2,0),"")</f>
        <v/>
      </c>
      <c r="J483" s="140"/>
      <c r="K483" s="138" t="str">
        <f aca="false">IFERROR(VLOOKUP(TEXT(O483,"0"),CONDUCTORES!$A$3:$G$54,7,0),"")</f>
        <v/>
      </c>
      <c r="L483" s="140"/>
      <c r="M483" s="140"/>
      <c r="N483" s="139" t="str">
        <f aca="false">IFERROR(IF(L483*M483=0,"",L483*M483),"")</f>
        <v/>
      </c>
      <c r="O483" s="140"/>
      <c r="P483" s="138" t="str">
        <f aca="false">IFERROR(VLOOKUP(TEXT(O483,"0"),CONDUCTORES!$A$3:$G$54,2,0),"")</f>
        <v/>
      </c>
      <c r="Q483" s="138" t="str">
        <f aca="false">IFERROR(VLOOKUP(TEXT(O483,"0"),CONDUCTORES!$A$3:$H$54,6,0),"")</f>
        <v/>
      </c>
      <c r="R483" s="140"/>
      <c r="S483" s="140"/>
      <c r="T483" s="140"/>
      <c r="U483" s="140"/>
      <c r="V483" s="140"/>
      <c r="W483" s="140"/>
      <c r="X483" s="140"/>
      <c r="Y483" s="140"/>
      <c r="Z483" s="185" t="str">
        <f aca="false">IF(AND(G483&lt;&gt;"",R483&lt;&gt;"",V483&lt;&gt;"",W483&lt;&gt;""),"COMPLETADO","OBSERVADO")</f>
        <v>OBSERVADO</v>
      </c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138" t="str">
        <f aca="false">IFERROR(VLOOKUP(TEXT(H484,"0"),IPRESS!$A$3:$B$212,2,0),"")</f>
        <v/>
      </c>
      <c r="J484" s="85"/>
      <c r="K484" s="138" t="str">
        <f aca="false">IFERROR(VLOOKUP(TEXT(O484,"0"),CONDUCTORES!$A$3:$G$54,7,0),"")</f>
        <v/>
      </c>
      <c r="L484" s="85"/>
      <c r="M484" s="85"/>
      <c r="N484" s="139" t="str">
        <f aca="false">IFERROR(IF(L484*M484=0,"",L484*M484),"")</f>
        <v/>
      </c>
      <c r="O484" s="85"/>
      <c r="P484" s="138" t="str">
        <f aca="false">IFERROR(VLOOKUP(TEXT(O484,"0"),CONDUCTORES!$A$3:$G$54,2,0),"")</f>
        <v/>
      </c>
      <c r="Q484" s="138" t="str">
        <f aca="false">IFERROR(VLOOKUP(TEXT(O484,"0"),CONDUCTORES!$A$3:$H$54,6,0),"")</f>
        <v/>
      </c>
      <c r="R484" s="85"/>
      <c r="S484" s="85"/>
      <c r="T484" s="85"/>
      <c r="U484" s="85"/>
      <c r="V484" s="85"/>
      <c r="W484" s="85"/>
      <c r="X484" s="85"/>
      <c r="Y484" s="85"/>
      <c r="Z484" s="185" t="str">
        <f aca="false">IF(AND(G484&lt;&gt;"",R484&lt;&gt;"",V484&lt;&gt;"",W484&lt;&gt;""),"COMPLETADO","OBSERVADO")</f>
        <v>OBSERVADO</v>
      </c>
    </row>
    <row r="485" customFormat="false" ht="15" hidden="false" customHeight="true" outlineLevel="0" collapsed="false">
      <c r="A485" s="140"/>
      <c r="B485" s="140"/>
      <c r="C485" s="140"/>
      <c r="D485" s="140"/>
      <c r="E485" s="140"/>
      <c r="F485" s="140"/>
      <c r="G485" s="140"/>
      <c r="H485" s="140"/>
      <c r="I485" s="138" t="str">
        <f aca="false">IFERROR(VLOOKUP(TEXT(H485,"0"),IPRESS!$A$3:$B$212,2,0),"")</f>
        <v/>
      </c>
      <c r="J485" s="140"/>
      <c r="K485" s="138" t="str">
        <f aca="false">IFERROR(VLOOKUP(TEXT(O485,"0"),CONDUCTORES!$A$3:$G$54,7,0),"")</f>
        <v/>
      </c>
      <c r="L485" s="140"/>
      <c r="M485" s="140"/>
      <c r="N485" s="139" t="str">
        <f aca="false">IFERROR(IF(L485*M485=0,"",L485*M485),"")</f>
        <v/>
      </c>
      <c r="O485" s="140"/>
      <c r="P485" s="138" t="str">
        <f aca="false">IFERROR(VLOOKUP(TEXT(O485,"0"),CONDUCTORES!$A$3:$G$54,2,0),"")</f>
        <v/>
      </c>
      <c r="Q485" s="138" t="str">
        <f aca="false">IFERROR(VLOOKUP(TEXT(O485,"0"),CONDUCTORES!$A$3:$H$54,6,0),"")</f>
        <v/>
      </c>
      <c r="R485" s="140"/>
      <c r="S485" s="140"/>
      <c r="T485" s="140"/>
      <c r="U485" s="140"/>
      <c r="V485" s="140"/>
      <c r="W485" s="140"/>
      <c r="X485" s="140"/>
      <c r="Y485" s="140"/>
      <c r="Z485" s="185" t="str">
        <f aca="false">IF(AND(G485&lt;&gt;"",R485&lt;&gt;"",V485&lt;&gt;"",W485&lt;&gt;""),"COMPLETADO","OBSERVADO")</f>
        <v>OBSERVADO</v>
      </c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138" t="str">
        <f aca="false">IFERROR(VLOOKUP(TEXT(H486,"0"),IPRESS!$A$3:$B$212,2,0),"")</f>
        <v/>
      </c>
      <c r="J486" s="85"/>
      <c r="K486" s="138" t="str">
        <f aca="false">IFERROR(VLOOKUP(TEXT(O486,"0"),CONDUCTORES!$A$3:$G$54,7,0),"")</f>
        <v/>
      </c>
      <c r="L486" s="85"/>
      <c r="M486" s="85"/>
      <c r="N486" s="139" t="str">
        <f aca="false">IFERROR(IF(L486*M486=0,"",L486*M486),"")</f>
        <v/>
      </c>
      <c r="O486" s="85"/>
      <c r="P486" s="138" t="str">
        <f aca="false">IFERROR(VLOOKUP(TEXT(O486,"0"),CONDUCTORES!$A$3:$G$54,2,0),"")</f>
        <v/>
      </c>
      <c r="Q486" s="138" t="str">
        <f aca="false">IFERROR(VLOOKUP(TEXT(O486,"0"),CONDUCTORES!$A$3:$H$54,6,0),"")</f>
        <v/>
      </c>
      <c r="R486" s="85"/>
      <c r="S486" s="85"/>
      <c r="T486" s="85"/>
      <c r="U486" s="85"/>
      <c r="V486" s="85"/>
      <c r="W486" s="85"/>
      <c r="X486" s="85"/>
      <c r="Y486" s="85"/>
      <c r="Z486" s="185" t="str">
        <f aca="false">IF(AND(G486&lt;&gt;"",R486&lt;&gt;"",V486&lt;&gt;"",W486&lt;&gt;""),"COMPLETADO","OBSERVADO")</f>
        <v>OBSERVADO</v>
      </c>
    </row>
    <row r="487" customFormat="false" ht="15" hidden="false" customHeight="true" outlineLevel="0" collapsed="false">
      <c r="A487" s="140"/>
      <c r="B487" s="140"/>
      <c r="C487" s="140"/>
      <c r="D487" s="140"/>
      <c r="E487" s="140"/>
      <c r="F487" s="140"/>
      <c r="G487" s="140"/>
      <c r="H487" s="140"/>
      <c r="I487" s="138" t="str">
        <f aca="false">IFERROR(VLOOKUP(TEXT(H487,"0"),IPRESS!$A$3:$B$212,2,0),"")</f>
        <v/>
      </c>
      <c r="J487" s="140"/>
      <c r="K487" s="138" t="str">
        <f aca="false">IFERROR(VLOOKUP(TEXT(O487,"0"),CONDUCTORES!$A$3:$G$54,7,0),"")</f>
        <v/>
      </c>
      <c r="L487" s="140"/>
      <c r="M487" s="140"/>
      <c r="N487" s="139" t="str">
        <f aca="false">IFERROR(IF(L487*M487=0,"",L487*M487),"")</f>
        <v/>
      </c>
      <c r="O487" s="140"/>
      <c r="P487" s="138" t="str">
        <f aca="false">IFERROR(VLOOKUP(TEXT(O487,"0"),CONDUCTORES!$A$3:$G$54,2,0),"")</f>
        <v/>
      </c>
      <c r="Q487" s="138" t="str">
        <f aca="false">IFERROR(VLOOKUP(TEXT(O487,"0"),CONDUCTORES!$A$3:$H$54,6,0),"")</f>
        <v/>
      </c>
      <c r="R487" s="140"/>
      <c r="S487" s="140"/>
      <c r="T487" s="140"/>
      <c r="U487" s="140"/>
      <c r="V487" s="140"/>
      <c r="W487" s="140"/>
      <c r="X487" s="140"/>
      <c r="Y487" s="140"/>
      <c r="Z487" s="185" t="str">
        <f aca="false">IF(AND(G487&lt;&gt;"",R487&lt;&gt;"",V487&lt;&gt;"",W487&lt;&gt;""),"COMPLETADO","OBSERVADO")</f>
        <v>OBSERVADO</v>
      </c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138" t="str">
        <f aca="false">IFERROR(VLOOKUP(TEXT(H488,"0"),IPRESS!$A$3:$B$212,2,0),"")</f>
        <v/>
      </c>
      <c r="J488" s="85"/>
      <c r="K488" s="138" t="str">
        <f aca="false">IFERROR(VLOOKUP(TEXT(O488,"0"),CONDUCTORES!$A$3:$G$54,7,0),"")</f>
        <v/>
      </c>
      <c r="L488" s="85"/>
      <c r="M488" s="85"/>
      <c r="N488" s="139" t="str">
        <f aca="false">IFERROR(IF(L488*M488=0,"",L488*M488),"")</f>
        <v/>
      </c>
      <c r="O488" s="85"/>
      <c r="P488" s="138" t="str">
        <f aca="false">IFERROR(VLOOKUP(TEXT(O488,"0"),CONDUCTORES!$A$3:$G$54,2,0),"")</f>
        <v/>
      </c>
      <c r="Q488" s="138" t="str">
        <f aca="false">IFERROR(VLOOKUP(TEXT(O488,"0"),CONDUCTORES!$A$3:$H$54,6,0),"")</f>
        <v/>
      </c>
      <c r="R488" s="85"/>
      <c r="S488" s="85"/>
      <c r="T488" s="85"/>
      <c r="U488" s="85"/>
      <c r="V488" s="85"/>
      <c r="W488" s="85"/>
      <c r="X488" s="85"/>
      <c r="Y488" s="85"/>
      <c r="Z488" s="185" t="str">
        <f aca="false">IF(AND(G488&lt;&gt;"",R488&lt;&gt;"",V488&lt;&gt;"",W488&lt;&gt;""),"COMPLETADO","OBSERVADO")</f>
        <v>OBSERVADO</v>
      </c>
    </row>
    <row r="489" customFormat="false" ht="15" hidden="false" customHeight="true" outlineLevel="0" collapsed="false">
      <c r="A489" s="140"/>
      <c r="B489" s="140"/>
      <c r="C489" s="140"/>
      <c r="D489" s="140"/>
      <c r="E489" s="140"/>
      <c r="F489" s="140"/>
      <c r="G489" s="140"/>
      <c r="H489" s="140"/>
      <c r="I489" s="138" t="str">
        <f aca="false">IFERROR(VLOOKUP(TEXT(H489,"0"),IPRESS!$A$3:$B$212,2,0),"")</f>
        <v/>
      </c>
      <c r="J489" s="140"/>
      <c r="K489" s="138" t="str">
        <f aca="false">IFERROR(VLOOKUP(TEXT(O489,"0"),CONDUCTORES!$A$3:$G$54,7,0),"")</f>
        <v/>
      </c>
      <c r="L489" s="140"/>
      <c r="M489" s="140"/>
      <c r="N489" s="139" t="str">
        <f aca="false">IFERROR(IF(L489*M489=0,"",L489*M489),"")</f>
        <v/>
      </c>
      <c r="O489" s="140"/>
      <c r="P489" s="138" t="str">
        <f aca="false">IFERROR(VLOOKUP(TEXT(O489,"0"),CONDUCTORES!$A$3:$G$54,2,0),"")</f>
        <v/>
      </c>
      <c r="Q489" s="138" t="str">
        <f aca="false">IFERROR(VLOOKUP(TEXT(O489,"0"),CONDUCTORES!$A$3:$H$54,6,0),"")</f>
        <v/>
      </c>
      <c r="R489" s="140"/>
      <c r="S489" s="140"/>
      <c r="T489" s="140"/>
      <c r="U489" s="140"/>
      <c r="V489" s="140"/>
      <c r="W489" s="140"/>
      <c r="X489" s="140"/>
      <c r="Y489" s="140"/>
      <c r="Z489" s="185" t="str">
        <f aca="false">IF(AND(G489&lt;&gt;"",R489&lt;&gt;"",V489&lt;&gt;"",W489&lt;&gt;""),"COMPLETADO","OBSERVADO")</f>
        <v>OBSERVADO</v>
      </c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138" t="str">
        <f aca="false">IFERROR(VLOOKUP(TEXT(H490,"0"),IPRESS!$A$3:$B$212,2,0),"")</f>
        <v/>
      </c>
      <c r="J490" s="85"/>
      <c r="K490" s="138" t="str">
        <f aca="false">IFERROR(VLOOKUP(TEXT(O490,"0"),CONDUCTORES!$A$3:$G$54,7,0),"")</f>
        <v/>
      </c>
      <c r="L490" s="85"/>
      <c r="M490" s="85"/>
      <c r="N490" s="139" t="str">
        <f aca="false">IFERROR(IF(L490*M490=0,"",L490*M490),"")</f>
        <v/>
      </c>
      <c r="O490" s="85"/>
      <c r="P490" s="138" t="str">
        <f aca="false">IFERROR(VLOOKUP(TEXT(O490,"0"),CONDUCTORES!$A$3:$G$54,2,0),"")</f>
        <v/>
      </c>
      <c r="Q490" s="138" t="str">
        <f aca="false">IFERROR(VLOOKUP(TEXT(O490,"0"),CONDUCTORES!$A$3:$H$54,6,0),"")</f>
        <v/>
      </c>
      <c r="R490" s="85"/>
      <c r="S490" s="85"/>
      <c r="T490" s="85"/>
      <c r="U490" s="85"/>
      <c r="V490" s="85"/>
      <c r="W490" s="85"/>
      <c r="X490" s="85"/>
      <c r="Y490" s="85"/>
      <c r="Z490" s="185" t="str">
        <f aca="false">IF(AND(G490&lt;&gt;"",R490&lt;&gt;"",V490&lt;&gt;"",W490&lt;&gt;""),"COMPLETADO","OBSERVADO")</f>
        <v>OBSERVADO</v>
      </c>
    </row>
    <row r="491" customFormat="false" ht="15" hidden="false" customHeight="true" outlineLevel="0" collapsed="false">
      <c r="A491" s="140"/>
      <c r="B491" s="140"/>
      <c r="C491" s="140"/>
      <c r="D491" s="140"/>
      <c r="E491" s="140"/>
      <c r="F491" s="140"/>
      <c r="G491" s="140"/>
      <c r="H491" s="140"/>
      <c r="I491" s="138" t="str">
        <f aca="false">IFERROR(VLOOKUP(TEXT(H491,"0"),IPRESS!$A$3:$B$212,2,0),"")</f>
        <v/>
      </c>
      <c r="J491" s="140"/>
      <c r="K491" s="138" t="str">
        <f aca="false">IFERROR(VLOOKUP(TEXT(O491,"0"),CONDUCTORES!$A$3:$G$54,7,0),"")</f>
        <v/>
      </c>
      <c r="L491" s="140"/>
      <c r="M491" s="140"/>
      <c r="N491" s="139" t="str">
        <f aca="false">IFERROR(IF(L491*M491=0,"",L491*M491),"")</f>
        <v/>
      </c>
      <c r="O491" s="140"/>
      <c r="P491" s="138" t="str">
        <f aca="false">IFERROR(VLOOKUP(TEXT(O491,"0"),CONDUCTORES!$A$3:$G$54,2,0),"")</f>
        <v/>
      </c>
      <c r="Q491" s="138" t="str">
        <f aca="false">IFERROR(VLOOKUP(TEXT(O491,"0"),CONDUCTORES!$A$3:$H$54,6,0),"")</f>
        <v/>
      </c>
      <c r="R491" s="140"/>
      <c r="S491" s="140"/>
      <c r="T491" s="140"/>
      <c r="U491" s="140"/>
      <c r="V491" s="140"/>
      <c r="W491" s="140"/>
      <c r="X491" s="140"/>
      <c r="Y491" s="140"/>
      <c r="Z491" s="185" t="str">
        <f aca="false">IF(AND(G491&lt;&gt;"",R491&lt;&gt;"",V491&lt;&gt;"",W491&lt;&gt;""),"COMPLETADO","OBSERVADO")</f>
        <v>OBSERVADO</v>
      </c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138" t="str">
        <f aca="false">IFERROR(VLOOKUP(TEXT(H492,"0"),IPRESS!$A$3:$B$212,2,0),"")</f>
        <v/>
      </c>
      <c r="J492" s="85"/>
      <c r="K492" s="138" t="str">
        <f aca="false">IFERROR(VLOOKUP(TEXT(O492,"0"),CONDUCTORES!$A$3:$G$54,7,0),"")</f>
        <v/>
      </c>
      <c r="L492" s="85"/>
      <c r="M492" s="85"/>
      <c r="N492" s="139" t="str">
        <f aca="false">IFERROR(IF(L492*M492=0,"",L492*M492),"")</f>
        <v/>
      </c>
      <c r="O492" s="85"/>
      <c r="P492" s="138" t="str">
        <f aca="false">IFERROR(VLOOKUP(TEXT(O492,"0"),CONDUCTORES!$A$3:$G$54,2,0),"")</f>
        <v/>
      </c>
      <c r="Q492" s="138" t="str">
        <f aca="false">IFERROR(VLOOKUP(TEXT(O492,"0"),CONDUCTORES!$A$3:$H$54,6,0),"")</f>
        <v/>
      </c>
      <c r="R492" s="85"/>
      <c r="S492" s="85"/>
      <c r="T492" s="85"/>
      <c r="U492" s="85"/>
      <c r="V492" s="85"/>
      <c r="W492" s="85"/>
      <c r="X492" s="85"/>
      <c r="Y492" s="85"/>
      <c r="Z492" s="185" t="str">
        <f aca="false">IF(AND(G492&lt;&gt;"",R492&lt;&gt;"",V492&lt;&gt;"",W492&lt;&gt;""),"COMPLETADO","OBSERVADO")</f>
        <v>OBSERVADO</v>
      </c>
    </row>
    <row r="493" customFormat="false" ht="15" hidden="false" customHeight="true" outlineLevel="0" collapsed="false">
      <c r="A493" s="140"/>
      <c r="B493" s="140"/>
      <c r="C493" s="140"/>
      <c r="D493" s="140"/>
      <c r="E493" s="140"/>
      <c r="F493" s="140"/>
      <c r="G493" s="140"/>
      <c r="H493" s="140"/>
      <c r="I493" s="138" t="str">
        <f aca="false">IFERROR(VLOOKUP(TEXT(H493,"0"),IPRESS!$A$3:$B$212,2,0),"")</f>
        <v/>
      </c>
      <c r="J493" s="140"/>
      <c r="K493" s="138" t="str">
        <f aca="false">IFERROR(VLOOKUP(TEXT(O493,"0"),CONDUCTORES!$A$3:$G$54,7,0),"")</f>
        <v/>
      </c>
      <c r="L493" s="140"/>
      <c r="M493" s="140"/>
      <c r="N493" s="139" t="str">
        <f aca="false">IFERROR(IF(L493*M493=0,"",L493*M493),"")</f>
        <v/>
      </c>
      <c r="O493" s="140"/>
      <c r="P493" s="138" t="str">
        <f aca="false">IFERROR(VLOOKUP(TEXT(O493,"0"),CONDUCTORES!$A$3:$G$54,2,0),"")</f>
        <v/>
      </c>
      <c r="Q493" s="138" t="str">
        <f aca="false">IFERROR(VLOOKUP(TEXT(O493,"0"),CONDUCTORES!$A$3:$H$54,6,0),"")</f>
        <v/>
      </c>
      <c r="R493" s="140"/>
      <c r="S493" s="140"/>
      <c r="T493" s="140"/>
      <c r="U493" s="140"/>
      <c r="V493" s="140"/>
      <c r="W493" s="140"/>
      <c r="X493" s="140"/>
      <c r="Y493" s="140"/>
      <c r="Z493" s="185" t="str">
        <f aca="false">IF(AND(G493&lt;&gt;"",R493&lt;&gt;"",V493&lt;&gt;"",W493&lt;&gt;""),"COMPLETADO","OBSERVADO")</f>
        <v>OBSERVADO</v>
      </c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138" t="str">
        <f aca="false">IFERROR(VLOOKUP(TEXT(H494,"0"),IPRESS!$A$3:$B$212,2,0),"")</f>
        <v/>
      </c>
      <c r="J494" s="85"/>
      <c r="K494" s="138" t="str">
        <f aca="false">IFERROR(VLOOKUP(TEXT(O494,"0"),CONDUCTORES!$A$3:$G$54,7,0),"")</f>
        <v/>
      </c>
      <c r="L494" s="85"/>
      <c r="M494" s="85"/>
      <c r="N494" s="139" t="str">
        <f aca="false">IFERROR(IF(L494*M494=0,"",L494*M494),"")</f>
        <v/>
      </c>
      <c r="O494" s="85"/>
      <c r="P494" s="138" t="str">
        <f aca="false">IFERROR(VLOOKUP(TEXT(O494,"0"),CONDUCTORES!$A$3:$G$54,2,0),"")</f>
        <v/>
      </c>
      <c r="Q494" s="138" t="str">
        <f aca="false">IFERROR(VLOOKUP(TEXT(O494,"0"),CONDUCTORES!$A$3:$H$54,6,0),"")</f>
        <v/>
      </c>
      <c r="R494" s="85"/>
      <c r="S494" s="85"/>
      <c r="T494" s="85"/>
      <c r="U494" s="85"/>
      <c r="V494" s="85"/>
      <c r="W494" s="85"/>
      <c r="X494" s="85"/>
      <c r="Y494" s="85"/>
      <c r="Z494" s="185" t="str">
        <f aca="false">IF(AND(G494&lt;&gt;"",R494&lt;&gt;"",V494&lt;&gt;"",W494&lt;&gt;""),"COMPLETADO","OBSERVADO")</f>
        <v>OBSERVADO</v>
      </c>
    </row>
    <row r="495" customFormat="false" ht="15" hidden="false" customHeight="true" outlineLevel="0" collapsed="false">
      <c r="A495" s="140"/>
      <c r="B495" s="140"/>
      <c r="C495" s="140"/>
      <c r="D495" s="140"/>
      <c r="E495" s="140"/>
      <c r="F495" s="140"/>
      <c r="G495" s="140"/>
      <c r="H495" s="140"/>
      <c r="I495" s="138" t="str">
        <f aca="false">IFERROR(VLOOKUP(TEXT(H495,"0"),IPRESS!$A$3:$B$212,2,0),"")</f>
        <v/>
      </c>
      <c r="J495" s="140"/>
      <c r="K495" s="138" t="str">
        <f aca="false">IFERROR(VLOOKUP(TEXT(O495,"0"),CONDUCTORES!$A$3:$G$54,7,0),"")</f>
        <v/>
      </c>
      <c r="L495" s="140"/>
      <c r="M495" s="140"/>
      <c r="N495" s="139" t="str">
        <f aca="false">IFERROR(IF(L495*M495=0,"",L495*M495),"")</f>
        <v/>
      </c>
      <c r="O495" s="140"/>
      <c r="P495" s="138" t="str">
        <f aca="false">IFERROR(VLOOKUP(TEXT(O495,"0"),CONDUCTORES!$A$3:$G$54,2,0),"")</f>
        <v/>
      </c>
      <c r="Q495" s="138" t="str">
        <f aca="false">IFERROR(VLOOKUP(TEXT(O495,"0"),CONDUCTORES!$A$3:$H$54,6,0),"")</f>
        <v/>
      </c>
      <c r="R495" s="140"/>
      <c r="S495" s="140"/>
      <c r="T495" s="140"/>
      <c r="U495" s="140"/>
      <c r="V495" s="140"/>
      <c r="W495" s="140"/>
      <c r="X495" s="140"/>
      <c r="Y495" s="140"/>
      <c r="Z495" s="185" t="str">
        <f aca="false">IF(AND(G495&lt;&gt;"",R495&lt;&gt;"",V495&lt;&gt;"",W495&lt;&gt;""),"COMPLETADO","OBSERVADO")</f>
        <v>OBSERVADO</v>
      </c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138" t="str">
        <f aca="false">IFERROR(VLOOKUP(TEXT(H496,"0"),IPRESS!$A$3:$B$212,2,0),"")</f>
        <v/>
      </c>
      <c r="J496" s="85"/>
      <c r="K496" s="138" t="str">
        <f aca="false">IFERROR(VLOOKUP(TEXT(O496,"0"),CONDUCTORES!$A$3:$G$54,7,0),"")</f>
        <v/>
      </c>
      <c r="L496" s="85"/>
      <c r="M496" s="85"/>
      <c r="N496" s="139" t="str">
        <f aca="false">IFERROR(IF(L496*M496=0,"",L496*M496),"")</f>
        <v/>
      </c>
      <c r="O496" s="85"/>
      <c r="P496" s="138" t="str">
        <f aca="false">IFERROR(VLOOKUP(TEXT(O496,"0"),CONDUCTORES!$A$3:$G$54,2,0),"")</f>
        <v/>
      </c>
      <c r="Q496" s="138" t="str">
        <f aca="false">IFERROR(VLOOKUP(TEXT(O496,"0"),CONDUCTORES!$A$3:$H$54,6,0),"")</f>
        <v/>
      </c>
      <c r="R496" s="85"/>
      <c r="S496" s="85"/>
      <c r="T496" s="85"/>
      <c r="U496" s="85"/>
      <c r="V496" s="85"/>
      <c r="W496" s="85"/>
      <c r="X496" s="85"/>
      <c r="Y496" s="85"/>
      <c r="Z496" s="185" t="str">
        <f aca="false">IF(AND(G496&lt;&gt;"",R496&lt;&gt;"",V496&lt;&gt;"",W496&lt;&gt;""),"COMPLETADO","OBSERVADO")</f>
        <v>OBSERVADO</v>
      </c>
    </row>
    <row r="497" customFormat="false" ht="15" hidden="false" customHeight="true" outlineLevel="0" collapsed="false">
      <c r="A497" s="140"/>
      <c r="B497" s="140"/>
      <c r="C497" s="140"/>
      <c r="D497" s="140"/>
      <c r="E497" s="140"/>
      <c r="F497" s="140"/>
      <c r="G497" s="140"/>
      <c r="H497" s="140"/>
      <c r="I497" s="138" t="str">
        <f aca="false">IFERROR(VLOOKUP(TEXT(H497,"0"),IPRESS!$A$3:$B$212,2,0),"")</f>
        <v/>
      </c>
      <c r="J497" s="140"/>
      <c r="K497" s="138" t="str">
        <f aca="false">IFERROR(VLOOKUP(TEXT(O497,"0"),CONDUCTORES!$A$3:$G$54,7,0),"")</f>
        <v/>
      </c>
      <c r="L497" s="140"/>
      <c r="M497" s="140"/>
      <c r="N497" s="139" t="str">
        <f aca="false">IFERROR(IF(L497*M497=0,"",L497*M497),"")</f>
        <v/>
      </c>
      <c r="O497" s="140"/>
      <c r="P497" s="138" t="str">
        <f aca="false">IFERROR(VLOOKUP(TEXT(O497,"0"),CONDUCTORES!$A$3:$G$54,2,0),"")</f>
        <v/>
      </c>
      <c r="Q497" s="138" t="str">
        <f aca="false">IFERROR(VLOOKUP(TEXT(O497,"0"),CONDUCTORES!$A$3:$H$54,6,0),"")</f>
        <v/>
      </c>
      <c r="R497" s="140"/>
      <c r="S497" s="140"/>
      <c r="T497" s="140"/>
      <c r="U497" s="140"/>
      <c r="V497" s="140"/>
      <c r="W497" s="140"/>
      <c r="X497" s="140"/>
      <c r="Y497" s="140"/>
      <c r="Z497" s="185" t="str">
        <f aca="false">IF(AND(G497&lt;&gt;"",R497&lt;&gt;"",V497&lt;&gt;"",W497&lt;&gt;""),"COMPLETADO","OBSERVADO")</f>
        <v>OBSERVADO</v>
      </c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138" t="str">
        <f aca="false">IFERROR(VLOOKUP(TEXT(H498,"0"),IPRESS!$A$3:$B$212,2,0),"")</f>
        <v/>
      </c>
      <c r="J498" s="85"/>
      <c r="K498" s="138" t="str">
        <f aca="false">IFERROR(VLOOKUP(TEXT(O498,"0"),CONDUCTORES!$A$3:$G$54,7,0),"")</f>
        <v/>
      </c>
      <c r="L498" s="85"/>
      <c r="M498" s="85"/>
      <c r="N498" s="139" t="str">
        <f aca="false">IFERROR(IF(L498*M498=0,"",L498*M498),"")</f>
        <v/>
      </c>
      <c r="O498" s="85"/>
      <c r="P498" s="138" t="str">
        <f aca="false">IFERROR(VLOOKUP(TEXT(O498,"0"),CONDUCTORES!$A$3:$G$54,2,0),"")</f>
        <v/>
      </c>
      <c r="Q498" s="138" t="str">
        <f aca="false">IFERROR(VLOOKUP(TEXT(O498,"0"),CONDUCTORES!$A$3:$H$54,6,0),"")</f>
        <v/>
      </c>
      <c r="R498" s="85"/>
      <c r="S498" s="85"/>
      <c r="T498" s="85"/>
      <c r="U498" s="85"/>
      <c r="V498" s="85"/>
      <c r="W498" s="85"/>
      <c r="X498" s="85"/>
      <c r="Y498" s="85"/>
      <c r="Z498" s="185" t="str">
        <f aca="false">IF(AND(G498&lt;&gt;"",R498&lt;&gt;"",V498&lt;&gt;"",W498&lt;&gt;""),"COMPLETADO","OBSERVADO")</f>
        <v>OBSERVADO</v>
      </c>
    </row>
    <row r="499" customFormat="false" ht="15" hidden="false" customHeight="true" outlineLevel="0" collapsed="false">
      <c r="A499" s="140"/>
      <c r="B499" s="140"/>
      <c r="C499" s="140"/>
      <c r="D499" s="140"/>
      <c r="E499" s="140"/>
      <c r="F499" s="140"/>
      <c r="G499" s="140"/>
      <c r="H499" s="140"/>
      <c r="I499" s="138" t="str">
        <f aca="false">IFERROR(VLOOKUP(TEXT(H499,"0"),IPRESS!$A$3:$B$212,2,0),"")</f>
        <v/>
      </c>
      <c r="J499" s="140"/>
      <c r="K499" s="138" t="str">
        <f aca="false">IFERROR(VLOOKUP(TEXT(O499,"0"),CONDUCTORES!$A$3:$G$54,7,0),"")</f>
        <v/>
      </c>
      <c r="L499" s="140"/>
      <c r="M499" s="140"/>
      <c r="N499" s="139" t="str">
        <f aca="false">IFERROR(IF(L499*M499=0,"",L499*M499),"")</f>
        <v/>
      </c>
      <c r="O499" s="140"/>
      <c r="P499" s="138" t="str">
        <f aca="false">IFERROR(VLOOKUP(TEXT(O499,"0"),CONDUCTORES!$A$3:$G$54,2,0),"")</f>
        <v/>
      </c>
      <c r="Q499" s="138" t="str">
        <f aca="false">IFERROR(VLOOKUP(TEXT(O499,"0"),CONDUCTORES!$A$3:$H$54,6,0),"")</f>
        <v/>
      </c>
      <c r="R499" s="140"/>
      <c r="S499" s="140"/>
      <c r="T499" s="140"/>
      <c r="U499" s="140"/>
      <c r="V499" s="140"/>
      <c r="W499" s="140"/>
      <c r="X499" s="140"/>
      <c r="Y499" s="140"/>
      <c r="Z499" s="185" t="str">
        <f aca="false">IF(AND(G499&lt;&gt;"",R499&lt;&gt;"",V499&lt;&gt;"",W499&lt;&gt;""),"COMPLETADO","OBSERVADO")</f>
        <v>OBSERVADO</v>
      </c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138" t="str">
        <f aca="false">IFERROR(VLOOKUP(TEXT(H500,"0"),IPRESS!$A$3:$B$212,2,0),"")</f>
        <v/>
      </c>
      <c r="J500" s="85"/>
      <c r="K500" s="138" t="str">
        <f aca="false">IFERROR(VLOOKUP(TEXT(O500,"0"),CONDUCTORES!$A$3:$G$54,7,0),"")</f>
        <v/>
      </c>
      <c r="L500" s="85"/>
      <c r="M500" s="85"/>
      <c r="N500" s="139" t="str">
        <f aca="false">IFERROR(IF(L500*M500=0,"",L500*M500),"")</f>
        <v/>
      </c>
      <c r="O500" s="85"/>
      <c r="P500" s="138" t="str">
        <f aca="false">IFERROR(VLOOKUP(TEXT(O500,"0"),CONDUCTORES!$A$3:$G$54,2,0),"")</f>
        <v/>
      </c>
      <c r="Q500" s="138" t="str">
        <f aca="false">IFERROR(VLOOKUP(TEXT(O500,"0"),CONDUCTORES!$A$3:$H$54,6,0),"")</f>
        <v/>
      </c>
      <c r="R500" s="85"/>
      <c r="S500" s="85"/>
      <c r="T500" s="85"/>
      <c r="U500" s="85"/>
      <c r="V500" s="85"/>
      <c r="W500" s="85"/>
      <c r="X500" s="85"/>
      <c r="Y500" s="85"/>
      <c r="Z500" s="185" t="str">
        <f aca="false">IF(AND(G500&lt;&gt;"",R500&lt;&gt;"",V500&lt;&gt;"",W500&lt;&gt;""),"COMPLETADO","OBSERVADO")</f>
        <v>OBSERVADO</v>
      </c>
    </row>
    <row r="501" customFormat="false" ht="15" hidden="false" customHeight="true" outlineLevel="0" collapsed="false">
      <c r="A501" s="140"/>
      <c r="B501" s="140"/>
      <c r="C501" s="140"/>
      <c r="D501" s="140"/>
      <c r="E501" s="140"/>
      <c r="F501" s="140"/>
      <c r="G501" s="140"/>
      <c r="H501" s="140"/>
      <c r="I501" s="138" t="str">
        <f aca="false">IFERROR(VLOOKUP(TEXT(H501,"0"),IPRESS!$A$3:$B$212,2,0),"")</f>
        <v/>
      </c>
      <c r="J501" s="140"/>
      <c r="K501" s="138" t="str">
        <f aca="false">IFERROR(VLOOKUP(TEXT(O501,"0"),CONDUCTORES!$A$3:$G$54,7,0),"")</f>
        <v/>
      </c>
      <c r="L501" s="140"/>
      <c r="M501" s="140"/>
      <c r="N501" s="139" t="str">
        <f aca="false">IFERROR(IF(L501*M501=0,"",L501*M501),"")</f>
        <v/>
      </c>
      <c r="O501" s="140"/>
      <c r="P501" s="138" t="str">
        <f aca="false">IFERROR(VLOOKUP(TEXT(O501,"0"),CONDUCTORES!$A$3:$G$54,2,0),"")</f>
        <v/>
      </c>
      <c r="Q501" s="138" t="str">
        <f aca="false">IFERROR(VLOOKUP(TEXT(O501,"0"),CONDUCTORES!$A$3:$H$54,6,0),"")</f>
        <v/>
      </c>
      <c r="R501" s="140"/>
      <c r="S501" s="140"/>
      <c r="T501" s="140"/>
      <c r="U501" s="140"/>
      <c r="V501" s="140"/>
      <c r="W501" s="140"/>
      <c r="X501" s="140"/>
      <c r="Y501" s="140"/>
      <c r="Z501" s="185" t="str">
        <f aca="false">IF(AND(G501&lt;&gt;"",R501&lt;&gt;"",V501&lt;&gt;"",W501&lt;&gt;""),"COMPLETADO","OBSERVADO")</f>
        <v>OBSERVADO</v>
      </c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138" t="str">
        <f aca="false">IFERROR(VLOOKUP(TEXT(H502,"0"),IPRESS!$A$3:$B$212,2,0),"")</f>
        <v/>
      </c>
      <c r="J502" s="85"/>
      <c r="K502" s="138" t="str">
        <f aca="false">IFERROR(VLOOKUP(TEXT(O502,"0"),CONDUCTORES!$A$3:$G$54,7,0),"")</f>
        <v/>
      </c>
      <c r="L502" s="85"/>
      <c r="M502" s="85"/>
      <c r="N502" s="139" t="str">
        <f aca="false">IFERROR(IF(L502*M502=0,"",L502*M502),"")</f>
        <v/>
      </c>
      <c r="O502" s="85"/>
      <c r="P502" s="138" t="str">
        <f aca="false">IFERROR(VLOOKUP(TEXT(O502,"0"),CONDUCTORES!$A$3:$G$54,2,0),"")</f>
        <v/>
      </c>
      <c r="Q502" s="138" t="str">
        <f aca="false">IFERROR(VLOOKUP(TEXT(O502,"0"),CONDUCTORES!$A$3:$H$54,6,0),"")</f>
        <v/>
      </c>
      <c r="R502" s="85"/>
      <c r="S502" s="85"/>
      <c r="T502" s="85"/>
      <c r="U502" s="85"/>
      <c r="V502" s="85"/>
      <c r="W502" s="85"/>
      <c r="X502" s="85"/>
      <c r="Y502" s="85"/>
      <c r="Z502" s="185" t="str">
        <f aca="false">IF(AND(G502&lt;&gt;"",R502&lt;&gt;"",V502&lt;&gt;"",W502&lt;&gt;""),"COMPLETADO","OBSERVADO")</f>
        <v>OBSERVADO</v>
      </c>
    </row>
    <row r="503" customFormat="false" ht="15" hidden="false" customHeight="true" outlineLevel="0" collapsed="false">
      <c r="A503" s="140"/>
      <c r="B503" s="140"/>
      <c r="C503" s="140"/>
      <c r="D503" s="140"/>
      <c r="E503" s="140"/>
      <c r="F503" s="140"/>
      <c r="G503" s="140"/>
      <c r="H503" s="140"/>
      <c r="I503" s="138" t="str">
        <f aca="false">IFERROR(VLOOKUP(TEXT(H503,"0"),IPRESS!$A$3:$B$212,2,0),"")</f>
        <v/>
      </c>
      <c r="J503" s="140"/>
      <c r="K503" s="138" t="str">
        <f aca="false">IFERROR(VLOOKUP(TEXT(O503,"0"),CONDUCTORES!$A$3:$G$54,7,0),"")</f>
        <v/>
      </c>
      <c r="L503" s="140"/>
      <c r="M503" s="140"/>
      <c r="N503" s="139" t="str">
        <f aca="false">IFERROR(IF(L503*M503=0,"",L503*M503),"")</f>
        <v/>
      </c>
      <c r="O503" s="140"/>
      <c r="P503" s="138" t="str">
        <f aca="false">IFERROR(VLOOKUP(TEXT(O503,"0"),CONDUCTORES!$A$3:$G$54,2,0),"")</f>
        <v/>
      </c>
      <c r="Q503" s="138" t="str">
        <f aca="false">IFERROR(VLOOKUP(TEXT(O503,"0"),CONDUCTORES!$A$3:$H$54,6,0),"")</f>
        <v/>
      </c>
      <c r="R503" s="140"/>
      <c r="S503" s="140"/>
      <c r="T503" s="140"/>
      <c r="U503" s="140"/>
      <c r="V503" s="140"/>
      <c r="W503" s="140"/>
      <c r="X503" s="140"/>
      <c r="Y503" s="140"/>
      <c r="Z503" s="185" t="str">
        <f aca="false">IF(AND(G503&lt;&gt;"",R503&lt;&gt;"",V503&lt;&gt;"",W503&lt;&gt;""),"COMPLETADO","OBSERVADO")</f>
        <v>OBSERVADO</v>
      </c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138" t="str">
        <f aca="false">IFERROR(VLOOKUP(TEXT(H504,"0"),IPRESS!$A$3:$B$212,2,0),"")</f>
        <v/>
      </c>
      <c r="J504" s="85"/>
      <c r="K504" s="138" t="str">
        <f aca="false">IFERROR(VLOOKUP(TEXT(O504,"0"),CONDUCTORES!$A$3:$G$54,7,0),"")</f>
        <v/>
      </c>
      <c r="L504" s="85"/>
      <c r="M504" s="85"/>
      <c r="N504" s="139" t="str">
        <f aca="false">IFERROR(IF(L504*M504=0,"",L504*M504),"")</f>
        <v/>
      </c>
      <c r="O504" s="85"/>
      <c r="P504" s="138" t="str">
        <f aca="false">IFERROR(VLOOKUP(TEXT(O504,"0"),CONDUCTORES!$A$3:$G$54,2,0),"")</f>
        <v/>
      </c>
      <c r="Q504" s="138" t="str">
        <f aca="false">IFERROR(VLOOKUP(TEXT(O504,"0"),CONDUCTORES!$A$3:$H$54,6,0),"")</f>
        <v/>
      </c>
      <c r="R504" s="85"/>
      <c r="S504" s="85"/>
      <c r="T504" s="85"/>
      <c r="U504" s="85"/>
      <c r="V504" s="85"/>
      <c r="W504" s="85"/>
      <c r="X504" s="85"/>
      <c r="Y504" s="85"/>
      <c r="Z504" s="185" t="str">
        <f aca="false">IF(AND(G504&lt;&gt;"",R504&lt;&gt;"",V504&lt;&gt;"",W504&lt;&gt;""),"COMPLETADO","OBSERVADO")</f>
        <v>OBSERVADO</v>
      </c>
    </row>
    <row r="505" customFormat="false" ht="15" hidden="false" customHeight="true" outlineLevel="0" collapsed="false">
      <c r="A505" s="140"/>
      <c r="B505" s="140"/>
      <c r="C505" s="140"/>
      <c r="D505" s="140"/>
      <c r="E505" s="140"/>
      <c r="F505" s="140"/>
      <c r="G505" s="140"/>
      <c r="H505" s="140"/>
      <c r="I505" s="138" t="str">
        <f aca="false">IFERROR(VLOOKUP(TEXT(H505,"0"),IPRESS!$A$3:$B$212,2,0),"")</f>
        <v/>
      </c>
      <c r="J505" s="140"/>
      <c r="K505" s="138" t="str">
        <f aca="false">IFERROR(VLOOKUP(TEXT(O505,"0"),CONDUCTORES!$A$3:$G$54,7,0),"")</f>
        <v/>
      </c>
      <c r="L505" s="140"/>
      <c r="M505" s="140"/>
      <c r="N505" s="139" t="str">
        <f aca="false">IFERROR(IF(L505*M505=0,"",L505*M505),"")</f>
        <v/>
      </c>
      <c r="O505" s="140"/>
      <c r="P505" s="138" t="str">
        <f aca="false">IFERROR(VLOOKUP(TEXT(O505,"0"),CONDUCTORES!$A$3:$G$54,2,0),"")</f>
        <v/>
      </c>
      <c r="Q505" s="138" t="str">
        <f aca="false">IFERROR(VLOOKUP(TEXT(O505,"0"),CONDUCTORES!$A$3:$H$54,6,0),"")</f>
        <v/>
      </c>
      <c r="R505" s="140"/>
      <c r="S505" s="140"/>
      <c r="T505" s="140"/>
      <c r="U505" s="140"/>
      <c r="V505" s="140"/>
      <c r="W505" s="140"/>
      <c r="X505" s="140"/>
      <c r="Y505" s="140"/>
      <c r="Z505" s="185" t="str">
        <f aca="false">IF(AND(G505&lt;&gt;"",R505&lt;&gt;"",V505&lt;&gt;"",W505&lt;&gt;""),"COMPLETADO","OBSERVADO")</f>
        <v>OBSERVADO</v>
      </c>
    </row>
    <row r="506" customFormat="false" ht="21.75" hidden="false" customHeight="true" outlineLevel="0" collapsed="false">
      <c r="A506" s="152" t="s">
        <v>1178</v>
      </c>
      <c r="B506" s="152"/>
      <c r="C506" s="152"/>
      <c r="D506" s="152"/>
      <c r="E506" s="152"/>
      <c r="F506" s="152"/>
      <c r="G506" s="152"/>
      <c r="M506" s="153" t="n">
        <f aca="false">SUM(M6:M505)</f>
        <v>0</v>
      </c>
      <c r="N506" s="153" t="n">
        <f aca="false">SUM(N6:N505)</f>
        <v>0</v>
      </c>
    </row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Y1"/>
    <mergeCell ref="A2:C2"/>
    <mergeCell ref="D2:F2"/>
    <mergeCell ref="G2:I2"/>
    <mergeCell ref="J2:L2"/>
    <mergeCell ref="M2:O2"/>
    <mergeCell ref="P2:R2"/>
    <mergeCell ref="S2:T2"/>
    <mergeCell ref="U2:V2"/>
    <mergeCell ref="W2:AC2"/>
    <mergeCell ref="A4:Y4"/>
    <mergeCell ref="A8:J8"/>
    <mergeCell ref="A506:G506"/>
  </mergeCells>
  <conditionalFormatting sqref="T6:T505">
    <cfRule type="expression" priority="2" aboveAverage="0" equalAverage="0" bottom="0" percent="0" rank="0" text="" dxfId="0">
      <formula>EXACT(T6,"APROBADO")</formula>
    </cfRule>
    <cfRule type="expression" priority="3" aboveAverage="0" equalAverage="0" bottom="0" percent="0" rank="0" text="" dxfId="7">
      <formula>EXACT(T6,"PENDIENTE")</formula>
    </cfRule>
    <cfRule type="expression" priority="4" aboveAverage="0" equalAverage="0" bottom="0" percent="0" rank="0" text="" dxfId="0">
      <formula>EXACT(T6,"APROBADO")</formula>
    </cfRule>
    <cfRule type="expression" priority="5" aboveAverage="0" equalAverage="0" bottom="0" percent="0" rank="0" text="" dxfId="7">
      <formula>EXACT(T6,"OBSERVADO")</formula>
    </cfRule>
  </conditionalFormatting>
  <conditionalFormatting sqref="K6:K505">
    <cfRule type="expression" priority="6" aboveAverage="0" equalAverage="0" bottom="0" percent="0" rank="0" text="" dxfId="8">
      <formula>EXACT(K6,"GASOLINA")</formula>
    </cfRule>
  </conditionalFormatting>
  <conditionalFormatting sqref="Z6:Z505">
    <cfRule type="expression" priority="7" aboveAverage="0" equalAverage="0" bottom="0" percent="0" rank="0" text="" dxfId="0">
      <formula>EXACT(Z6,"COMPLETADO")</formula>
    </cfRule>
    <cfRule type="expression" priority="8" aboveAverage="0" equalAverage="0" bottom="0" percent="0" rank="0" text="" dxfId="7">
      <formula>EXACT(Z6,"OBSERVADO")</formula>
    </cfRule>
  </conditionalFormatting>
  <conditionalFormatting sqref="T6:T110">
    <cfRule type="expression" priority="9" aboveAverage="0" equalAverage="0" bottom="0" percent="0" rank="0" text="" dxfId="0">
      <formula>EXACT(T6,"APROBADO")</formula>
    </cfRule>
    <cfRule type="expression" priority="10" aboveAverage="0" equalAverage="0" bottom="0" percent="0" rank="0" text="" dxfId="7">
      <formula>EXACT(T6,"OBSERVADO")</formula>
    </cfRule>
  </conditionalFormatting>
  <conditionalFormatting sqref="Z6:Z110">
    <cfRule type="expression" priority="11" aboveAverage="0" equalAverage="0" bottom="0" percent="0" rank="0" text="" dxfId="0">
      <formula>EXACT(Z6,"COMPLETADO")</formula>
    </cfRule>
    <cfRule type="expression" priority="12" aboveAverage="0" equalAverage="0" bottom="0" percent="0" rank="0" text="" dxfId="7">
      <formula>EXACT(Z6,"OBSERVADO")</formula>
    </cfRule>
    <cfRule type="expression" priority="13" aboveAverage="0" equalAverage="0" bottom="0" percent="0" rank="0" text="" dxfId="0">
      <formula>Z6="ENTREGADO"</formula>
    </cfRule>
    <cfRule type="expression" priority="14" aboveAverage="0" equalAverage="0" bottom="0" percent="0" rank="0" text="" dxfId="7">
      <formula>Z6="POR RECOGER"</formula>
    </cfRule>
  </conditionalFormatting>
  <conditionalFormatting sqref="Y6:Y110">
    <cfRule type="expression" priority="15" aboveAverage="0" equalAverage="0" bottom="0" percent="0" rank="0" text="" dxfId="9">
      <formula>Y6&lt;&gt;""</formula>
    </cfRule>
  </conditionalFormatting>
  <dataValidations count="5">
    <dataValidation allowBlank="true" errorStyle="stop" operator="between" showDropDown="false" showErrorMessage="false" showInputMessage="false" sqref="Y6:Y110" type="list">
      <formula1>CONDUCTORES!$H$3:$H$104</formula1>
      <formula2>0</formula2>
    </dataValidation>
    <dataValidation allowBlank="true" errorStyle="stop" operator="between" showDropDown="false" showErrorMessage="false" showInputMessage="false" sqref="K6:K505" type="list">
      <formula1>"PETROLEO,GASOLINA"</formula1>
      <formula2>0</formula2>
    </dataValidation>
    <dataValidation allowBlank="true" errorStyle="stop" operator="between" showDropDown="false" showErrorMessage="false" showInputMessage="false" sqref="E6:E7 E9:E505" type="list">
      <formula1>"DNI,CE,PASAPORTE"</formula1>
      <formula2>0</formula2>
    </dataValidation>
    <dataValidation allowBlank="true" errorStyle="stop" operator="between" showDropDown="false" showErrorMessage="false" showInputMessage="false" sqref="T6:T110" type="list">
      <formula1>"APROBADO,OBSERVADO"</formula1>
      <formula2>0</formula2>
    </dataValidation>
    <dataValidation allowBlank="true" errorStyle="stop" operator="between" prompt="Valor no válido - Solo se permite: APROBADO u OBSERVADO" showDropDown="false" showErrorMessage="true" showInputMessage="true" sqref="T111:T505" type="list">
      <formula1>"APROBADO,OBSERVADO"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6" min="1" style="1" width="8.71"/>
  </cols>
  <sheetData>
    <row r="1" customFormat="false" ht="15" hidden="false" customHeight="true" outlineLevel="0" collapsed="false">
      <c r="A1" s="186" t="s">
        <v>32</v>
      </c>
      <c r="B1" s="186" t="s">
        <v>6</v>
      </c>
      <c r="C1" s="186" t="s">
        <v>5161</v>
      </c>
      <c r="D1" s="186" t="s">
        <v>5162</v>
      </c>
      <c r="E1" s="186" t="s">
        <v>5163</v>
      </c>
      <c r="F1" s="186" t="s">
        <v>5164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" t="s">
        <v>305</v>
      </c>
      <c r="B2" s="1" t="s">
        <v>5165</v>
      </c>
      <c r="C2" s="187" t="n">
        <f aca="false">IFERROR(SUMPRODUCT((IF('ENERO 2026'!Y6:Y119&lt;&gt;"",'ENERO 2026'!Y6:Y119,'ENERO 2026'!I6:I119)="BUENOS AIRES")*('ENERO 2026'!K6:K119="PETROLEO")*'ENERO 2026'!M6:M119),0)</f>
        <v>0</v>
      </c>
      <c r="D2" s="187" t="n">
        <f aca="false">IFERROR(SUMPRODUCT((IF('ENERO 2026'!Y6:Y119&lt;&gt;"",'ENERO 2026'!Y6:Y119,'ENERO 2026'!I6:I119)="BUENOS AIRES")*('ENERO 2026'!K6:K119="PETROLEO")*'ENERO 2026'!L6:L119*'ENERO 2026'!M6:M119),0)</f>
        <v>0</v>
      </c>
      <c r="E2" s="187" t="n">
        <f aca="false">IFERROR(SUMPRODUCT((IF('ENERO 2026'!Y6:Y119&lt;&gt;"",'ENERO 2026'!Y6:Y119,'ENERO 2026'!I6:I119)="BUENOS AIRES")*('ENERO 2026'!K6:K119="GASOLINA")*'ENERO 2026'!M6:M119),0)</f>
        <v>0</v>
      </c>
      <c r="F2" s="187" t="n">
        <f aca="false">IFERROR(SUMPRODUCT((IF('ENERO 2026'!Y6:Y119&lt;&gt;"",'ENERO 2026'!Y6:Y119,'ENERO 2026'!I6:I119)="BUENOS AIRES")*('ENERO 2026'!K6:K119="GASOLINA")*'ENERO 2026'!L6:L119*'ENERO 2026'!M6:M119),0)</f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" t="s">
        <v>305</v>
      </c>
      <c r="B3" s="1" t="s">
        <v>5166</v>
      </c>
      <c r="C3" s="187" t="n">
        <f aca="false">IFERROR(SUMPRODUCT((IF('FEBRERO 2026'!Y6:Y124&lt;&gt;"",'FEBRERO 2026'!Y6:Y124,'FEBRERO 2026'!I6:I124)="BUENOS AIRES")*('FEBRERO 2026'!K6:K124="PETROLEO")*'FEBRERO 2026'!M6:M124),0)</f>
        <v>0</v>
      </c>
      <c r="D3" s="187" t="n">
        <f aca="false">IFERROR(SUMPRODUCT((IF('FEBRERO 2026'!Y6:Y124&lt;&gt;"",'FEBRERO 2026'!Y6:Y124,'FEBRERO 2026'!I6:I124)="BUENOS AIRES")*('FEBRERO 2026'!K6:K124="PETROLEO")*'FEBRERO 2026'!L6:L124*'FEBRERO 2026'!M6:M124),0)</f>
        <v>0</v>
      </c>
      <c r="E3" s="187" t="n">
        <f aca="false">IFERROR(SUMPRODUCT((IF('FEBRERO 2026'!Y6:Y124&lt;&gt;"",'FEBRERO 2026'!Y6:Y124,'FEBRERO 2026'!I6:I124)="BUENOS AIRES")*('FEBRERO 2026'!K6:K124="GASOLINA")*'FEBRERO 2026'!M6:M124),0)</f>
        <v>10</v>
      </c>
      <c r="F3" s="187" t="n">
        <f aca="false">IFERROR(SUMPRODUCT((IF('FEBRERO 2026'!Y6:Y124&lt;&gt;"",'FEBRERO 2026'!Y6:Y124,'FEBRERO 2026'!I6:I124)="BUENOS AIRES")*('FEBRERO 2026'!K6:K124="GASOLINA")*'FEBRERO 2026'!L6:L124*'FEBRERO 2026'!M6:M124),0)</f>
        <v>179.5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1" t="s">
        <v>305</v>
      </c>
      <c r="B4" s="1" t="s">
        <v>5167</v>
      </c>
      <c r="C4" s="187" t="n">
        <f aca="false">IFERROR(SUMPRODUCT((IF('MARZO 2026'!Y6:Y119&lt;&gt;"",'MARZO 2026'!Y6:Y119,'MARZO 2026'!I6:I119)="BUENOS AIRES")*('MARZO 2026'!K6:K119="PETROLEO")*'MARZO 2026'!M6:M119),0)</f>
        <v>0</v>
      </c>
      <c r="D4" s="187" t="n">
        <f aca="false">IFERROR(SUMPRODUCT((IF('MARZO 2026'!Y6:Y119&lt;&gt;"",'MARZO 2026'!Y6:Y119,'MARZO 2026'!I6:I119)="BUENOS AIRES")*('MARZO 2026'!K6:K119="PETROLEO")*'MARZO 2026'!L6:L119*'MARZO 2026'!M6:M119),0)</f>
        <v>0</v>
      </c>
      <c r="E4" s="187" t="n">
        <f aca="false">IFERROR(SUMPRODUCT((IF('MARZO 2026'!Y6:Y119&lt;&gt;"",'MARZO 2026'!Y6:Y119,'MARZO 2026'!I6:I119)="BUENOS AIRES")*('MARZO 2026'!K6:K119="GASOLINA")*'MARZO 2026'!M6:M119),0)</f>
        <v>20</v>
      </c>
      <c r="F4" s="187" t="n">
        <f aca="false">IFERROR(SUMPRODUCT((IF('MARZO 2026'!Y6:Y119&lt;&gt;"",'MARZO 2026'!Y6:Y119,'MARZO 2026'!I6:I119)="BUENOS AIRES")*('MARZO 2026'!K6:K119="GASOLINA")*'MARZO 2026'!L6:L119*'MARZO 2026'!M6:M119),0)</f>
        <v>359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" t="s">
        <v>305</v>
      </c>
      <c r="B5" s="1" t="s">
        <v>5168</v>
      </c>
      <c r="C5" s="187" t="n">
        <f aca="false">IFERROR(SUMPRODUCT((IF('ABRIL 2026'!Y6:Y119&lt;&gt;"",'ABRIL 2026'!Y6:Y119,'ABRIL 2026'!I6:I119)="BUENOS AIRES")*('ABRIL 2026'!K6:K119="PETROLEO")*'ABRIL 2026'!M6:M119),0)</f>
        <v>0</v>
      </c>
      <c r="D5" s="187" t="n">
        <f aca="false">IFERROR(SUMPRODUCT((IF('ABRIL 2026'!Y6:Y119&lt;&gt;"",'ABRIL 2026'!Y6:Y119,'ABRIL 2026'!I6:I119)="BUENOS AIRES")*('ABRIL 2026'!K6:K119="PETROLEO")*'ABRIL 2026'!L6:L119*'ABRIL 2026'!M6:M119),0)</f>
        <v>0</v>
      </c>
      <c r="E5" s="187" t="n">
        <f aca="false">IFERROR(SUMPRODUCT((IF('ABRIL 2026'!Y6:Y119&lt;&gt;"",'ABRIL 2026'!Y6:Y119,'ABRIL 2026'!I6:I119)="BUENOS AIRES")*('ABRIL 2026'!K6:K119="GASOLINA")*'ABRIL 2026'!M6:M119),0)</f>
        <v>0</v>
      </c>
      <c r="F5" s="187" t="n">
        <f aca="false">IFERROR(SUMPRODUCT((IF('ABRIL 2026'!Y6:Y119&lt;&gt;"",'ABRIL 2026'!Y6:Y119,'ABRIL 2026'!I6:I119)="BUENOS AIRES")*('ABRIL 2026'!K6:K119="GASOLINA")*'ABRIL 2026'!L6:L119*'ABRIL 2026'!M6:M119),0)</f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" t="s">
        <v>305</v>
      </c>
      <c r="B6" s="1" t="s">
        <v>5169</v>
      </c>
      <c r="C6" s="187" t="n">
        <f aca="false">IFERROR(SUMPRODUCT((IF('MAYO 2026'!Y6:Y110&lt;&gt;"",'MAYO 2026'!Y6:Y110,'MAYO 2026'!I6:I110)="BUENOS AIRES")*('MAYO 2026'!K6:K110="PETROLEO")*'MAYO 2026'!M6:M110),0)</f>
        <v>0</v>
      </c>
      <c r="D6" s="187" t="n">
        <f aca="false">IFERROR(SUMPRODUCT((IF('MAYO 2026'!Y6:Y110&lt;&gt;"",'MAYO 2026'!Y6:Y110,'MAYO 2026'!I6:I110)="BUENOS AIRES")*('MAYO 2026'!K6:K110="PETROLEO")*'MAYO 2026'!L6:L110*'MAYO 2026'!M6:M110),0)</f>
        <v>0</v>
      </c>
      <c r="E6" s="187" t="n">
        <f aca="false">IFERROR(SUMPRODUCT((IF('MAYO 2026'!Y6:Y110&lt;&gt;"",'MAYO 2026'!Y6:Y110,'MAYO 2026'!I6:I110)="BUENOS AIRES")*('MAYO 2026'!K6:K110="GASOLINA")*'MAYO 2026'!M6:M110),0)</f>
        <v>0</v>
      </c>
      <c r="F6" s="187" t="n">
        <f aca="false">IFERROR(SUMPRODUCT((IF('MAYO 2026'!Y6:Y110&lt;&gt;"",'MAYO 2026'!Y6:Y110,'MAYO 2026'!I6:I110)="BUENOS AIRES")*('MAYO 2026'!K6:K110="GASOLINA")*'MAYO 2026'!L6:L110*'MAYO 2026'!M6:M110),0)</f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" t="s">
        <v>305</v>
      </c>
      <c r="B7" s="1" t="s">
        <v>5170</v>
      </c>
      <c r="C7" s="187" t="n">
        <f aca="false">IFERROR(SUMPRODUCT((IF('JUNIO 2026'!Y6:Y110&lt;&gt;"",'JUNIO 2026'!Y6:Y110,'JUNIO 2026'!I6:I110)="BUENOS AIRES")*('JUNIO 2026'!K6:K110="PETROLEO")*'JUNIO 2026'!M6:M110),0)</f>
        <v>0</v>
      </c>
      <c r="D7" s="187" t="n">
        <f aca="false">IFERROR(SUMPRODUCT((IF('JUNIO 2026'!Y6:Y110&lt;&gt;"",'JUNIO 2026'!Y6:Y110,'JUNIO 2026'!I6:I110)="BUENOS AIRES")*('JUNIO 2026'!K6:K110="PETROLEO")*'JUNIO 2026'!L6:L110*'JUNIO 2026'!M6:M110),0)</f>
        <v>0</v>
      </c>
      <c r="E7" s="187" t="n">
        <f aca="false">IFERROR(SUMPRODUCT((IF('JUNIO 2026'!Y6:Y110&lt;&gt;"",'JUNIO 2026'!Y6:Y110,'JUNIO 2026'!I6:I110)="BUENOS AIRES")*('JUNIO 2026'!K6:K110="GASOLINA")*'JUNIO 2026'!M6:M110),0)</f>
        <v>0</v>
      </c>
      <c r="F7" s="187" t="n">
        <f aca="false">IFERROR(SUMPRODUCT((IF('JUNIO 2026'!Y6:Y110&lt;&gt;"",'JUNIO 2026'!Y6:Y110,'JUNIO 2026'!I6:I110)="BUENOS AIRES")*('JUNIO 2026'!K6:K110="GASOLINA")*'JUNIO 2026'!L6:L110*'JUNIO 2026'!M6:M110),0)</f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" t="s">
        <v>305</v>
      </c>
      <c r="B8" s="1" t="s">
        <v>5171</v>
      </c>
      <c r="C8" s="187" t="n">
        <f aca="false">IFERROR(SUMPRODUCT((IF('JULIO 2026'!Y6:Y110&lt;&gt;"",'JULIO 2026'!Y6:Y110,'JULIO 2026'!I6:I110)="BUENOS AIRES")*('JULIO 2026'!K6:K110="PETROLEO")*'JULIO 2026'!M6:M110),0)</f>
        <v>0</v>
      </c>
      <c r="D8" s="187" t="n">
        <f aca="false">IFERROR(SUMPRODUCT((IF('JULIO 2026'!Y6:Y110&lt;&gt;"",'JULIO 2026'!Y6:Y110,'JULIO 2026'!I6:I110)="BUENOS AIRES")*('JULIO 2026'!K6:K110="PETROLEO")*'JULIO 2026'!L6:L110*'JULIO 2026'!M6:M110),0)</f>
        <v>0</v>
      </c>
      <c r="E8" s="187" t="n">
        <f aca="false">IFERROR(SUMPRODUCT((IF('JULIO 2026'!Y6:Y110&lt;&gt;"",'JULIO 2026'!Y6:Y110,'JULIO 2026'!I6:I110)="BUENOS AIRES")*('JULIO 2026'!K6:K110="GASOLINA")*'JULIO 2026'!M6:M110),0)</f>
        <v>0</v>
      </c>
      <c r="F8" s="187" t="n">
        <f aca="false">IFERROR(SUMPRODUCT((IF('JULIO 2026'!Y6:Y110&lt;&gt;"",'JULIO 2026'!Y6:Y110,'JULIO 2026'!I6:I110)="BUENOS AIRES")*('JULIO 2026'!K6:K110="GASOLINA")*'JULIO 2026'!L6:L110*'JULIO 2026'!M6:M110),0)</f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" t="s">
        <v>305</v>
      </c>
      <c r="B9" s="1" t="s">
        <v>5172</v>
      </c>
      <c r="C9" s="187" t="n">
        <f aca="false">IFERROR(SUMPRODUCT((IF('AGOSTO 2026'!Y6:Y110&lt;&gt;"",'AGOSTO 2026'!Y6:Y110,'AGOSTO 2026'!I6:I110)="BUENOS AIRES")*('AGOSTO 2026'!K6:K110="PETROLEO")*'AGOSTO 2026'!M6:M110),0)</f>
        <v>0</v>
      </c>
      <c r="D9" s="187" t="n">
        <f aca="false">IFERROR(SUMPRODUCT((IF('AGOSTO 2026'!Y6:Y110&lt;&gt;"",'AGOSTO 2026'!Y6:Y110,'AGOSTO 2026'!I6:I110)="BUENOS AIRES")*('AGOSTO 2026'!K6:K110="PETROLEO")*'AGOSTO 2026'!L6:L110*'AGOSTO 2026'!M6:M110),0)</f>
        <v>0</v>
      </c>
      <c r="E9" s="187" t="n">
        <f aca="false">IFERROR(SUMPRODUCT((IF('AGOSTO 2026'!Y6:Y110&lt;&gt;"",'AGOSTO 2026'!Y6:Y110,'AGOSTO 2026'!I6:I110)="BUENOS AIRES")*('AGOSTO 2026'!K6:K110="GASOLINA")*'AGOSTO 2026'!M6:M110),0)</f>
        <v>0</v>
      </c>
      <c r="F9" s="187" t="n">
        <f aca="false">IFERROR(SUMPRODUCT((IF('AGOSTO 2026'!Y6:Y110&lt;&gt;"",'AGOSTO 2026'!Y6:Y110,'AGOSTO 2026'!I6:I110)="BUENOS AIRES")*('AGOSTO 2026'!K6:K110="GASOLINA")*'AGOSTO 2026'!L6:L110*'AGOSTO 2026'!M6:M110),0)</f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" t="s">
        <v>305</v>
      </c>
      <c r="B10" s="1" t="s">
        <v>5173</v>
      </c>
      <c r="C10" s="187" t="n">
        <f aca="false">IFERROR(SUMPRODUCT((IF('SETIEMBRE 2026'!Y6:Y110&lt;&gt;"",'SETIEMBRE 2026'!Y6:Y110,'SETIEMBRE 2026'!I6:I110)="BUENOS AIRES")*('SETIEMBRE 2026'!K6:K110="PETROLEO")*'SETIEMBRE 2026'!M6:M110),0)</f>
        <v>0</v>
      </c>
      <c r="D10" s="187" t="n">
        <f aca="false">IFERROR(SUMPRODUCT((IF('SETIEMBRE 2026'!Y6:Y110&lt;&gt;"",'SETIEMBRE 2026'!Y6:Y110,'SETIEMBRE 2026'!I6:I110)="BUENOS AIRES")*('SETIEMBRE 2026'!K6:K110="PETROLEO")*'SETIEMBRE 2026'!L6:L110*'SETIEMBRE 2026'!M6:M110),0)</f>
        <v>0</v>
      </c>
      <c r="E10" s="187" t="n">
        <f aca="false">IFERROR(SUMPRODUCT((IF('SETIEMBRE 2026'!Y6:Y110&lt;&gt;"",'SETIEMBRE 2026'!Y6:Y110,'SETIEMBRE 2026'!I6:I110)="BUENOS AIRES")*('SETIEMBRE 2026'!K6:K110="GASOLINA")*'SETIEMBRE 2026'!M6:M110),0)</f>
        <v>0</v>
      </c>
      <c r="F10" s="187" t="n">
        <f aca="false">IFERROR(SUMPRODUCT((IF('SETIEMBRE 2026'!Y6:Y110&lt;&gt;"",'SETIEMBRE 2026'!Y6:Y110,'SETIEMBRE 2026'!I6:I110)="BUENOS AIRES")*('SETIEMBRE 2026'!K6:K110="GASOLINA")*'SETIEMBRE 2026'!L6:L110*'SETIEMBRE 2026'!M6:M110),0)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" t="s">
        <v>305</v>
      </c>
      <c r="B11" s="1" t="s">
        <v>5174</v>
      </c>
      <c r="C11" s="187" t="n">
        <f aca="false">IFERROR(SUMPRODUCT((IF('OCTUBRE 2026'!Y6:Y110&lt;&gt;"",'OCTUBRE 2026'!Y6:Y110,'OCTUBRE 2026'!I6:I110)="BUENOS AIRES")*('OCTUBRE 2026'!K6:K110="PETROLEO")*'OCTUBRE 2026'!M6:M110),0)</f>
        <v>0</v>
      </c>
      <c r="D11" s="187" t="n">
        <f aca="false">IFERROR(SUMPRODUCT((IF('OCTUBRE 2026'!Y6:Y110&lt;&gt;"",'OCTUBRE 2026'!Y6:Y110,'OCTUBRE 2026'!I6:I110)="BUENOS AIRES")*('OCTUBRE 2026'!K6:K110="PETROLEO")*'OCTUBRE 2026'!L6:L110*'OCTUBRE 2026'!M6:M110),0)</f>
        <v>0</v>
      </c>
      <c r="E11" s="187" t="n">
        <f aca="false">IFERROR(SUMPRODUCT((IF('OCTUBRE 2026'!Y6:Y110&lt;&gt;"",'OCTUBRE 2026'!Y6:Y110,'OCTUBRE 2026'!I6:I110)="BUENOS AIRES")*('OCTUBRE 2026'!K6:K110="GASOLINA")*'OCTUBRE 2026'!M6:M110),0)</f>
        <v>0</v>
      </c>
      <c r="F11" s="187" t="n">
        <f aca="false">IFERROR(SUMPRODUCT((IF('OCTUBRE 2026'!Y6:Y110&lt;&gt;"",'OCTUBRE 2026'!Y6:Y110,'OCTUBRE 2026'!I6:I110)="BUENOS AIRES")*('OCTUBRE 2026'!K6:K110="GASOLINA")*'OCTUBRE 2026'!L6:L110*'OCTUBRE 2026'!M6:M110),0)</f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" t="s">
        <v>305</v>
      </c>
      <c r="B12" s="1" t="s">
        <v>5175</v>
      </c>
      <c r="C12" s="187" t="n">
        <f aca="false">IFERROR(SUMPRODUCT((IF('NOVIEMBRE 2026'!Y6:Y110&lt;&gt;"",'NOVIEMBRE 2026'!Y6:Y110,'NOVIEMBRE 2026'!I6:I110)="BUENOS AIRES")*('NOVIEMBRE 2026'!K6:K110="PETROLEO")*'NOVIEMBRE 2026'!M6:M110),0)</f>
        <v>0</v>
      </c>
      <c r="D12" s="187" t="n">
        <f aca="false">IFERROR(SUMPRODUCT((IF('NOVIEMBRE 2026'!Y6:Y110&lt;&gt;"",'NOVIEMBRE 2026'!Y6:Y110,'NOVIEMBRE 2026'!I6:I110)="BUENOS AIRES")*('NOVIEMBRE 2026'!K6:K110="PETROLEO")*'NOVIEMBRE 2026'!L6:L110*'NOVIEMBRE 2026'!M6:M110),0)</f>
        <v>0</v>
      </c>
      <c r="E12" s="187" t="n">
        <f aca="false">IFERROR(SUMPRODUCT((IF('NOVIEMBRE 2026'!Y6:Y110&lt;&gt;"",'NOVIEMBRE 2026'!Y6:Y110,'NOVIEMBRE 2026'!I6:I110)="BUENOS AIRES")*('NOVIEMBRE 2026'!K6:K110="GASOLINA")*'NOVIEMBRE 2026'!M6:M110),0)</f>
        <v>0</v>
      </c>
      <c r="F12" s="187" t="n">
        <f aca="false">IFERROR(SUMPRODUCT((IF('NOVIEMBRE 2026'!Y6:Y110&lt;&gt;"",'NOVIEMBRE 2026'!Y6:Y110,'NOVIEMBRE 2026'!I6:I110)="BUENOS AIRES")*('NOVIEMBRE 2026'!K6:K110="GASOLINA")*'NOVIEMBRE 2026'!L6:L110*'NOVIEMBRE 2026'!M6:M110),0)</f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" t="s">
        <v>305</v>
      </c>
      <c r="B13" s="1" t="s">
        <v>5176</v>
      </c>
      <c r="C13" s="187" t="n">
        <f aca="false">IFERROR(SUMPRODUCT((IF('DICIEMBRE 2026'!Y6:Y110&lt;&gt;"",'DICIEMBRE 2026'!Y6:Y110,'DICIEMBRE 2026'!I6:I110)="BUENOS AIRES")*('DICIEMBRE 2026'!K6:K110="PETROLEO")*'DICIEMBRE 2026'!M6:M110),0)</f>
        <v>0</v>
      </c>
      <c r="D13" s="187" t="n">
        <f aca="false">IFERROR(SUMPRODUCT((IF('DICIEMBRE 2026'!Y6:Y110&lt;&gt;"",'DICIEMBRE 2026'!Y6:Y110,'DICIEMBRE 2026'!I6:I110)="BUENOS AIRES")*('DICIEMBRE 2026'!K6:K110="PETROLEO")*'DICIEMBRE 2026'!L6:L110*'DICIEMBRE 2026'!M6:M110),0)</f>
        <v>0</v>
      </c>
      <c r="E13" s="187" t="n">
        <f aca="false">IFERROR(SUMPRODUCT((IF('DICIEMBRE 2026'!Y6:Y110&lt;&gt;"",'DICIEMBRE 2026'!Y6:Y110,'DICIEMBRE 2026'!I6:I110)="BUENOS AIRES")*('DICIEMBRE 2026'!K6:K110="GASOLINA")*'DICIEMBRE 2026'!M6:M110),0)</f>
        <v>0</v>
      </c>
      <c r="F13" s="187" t="n">
        <f aca="false">IFERROR(SUMPRODUCT((IF('DICIEMBRE 2026'!Y6:Y110&lt;&gt;"",'DICIEMBRE 2026'!Y6:Y110,'DICIEMBRE 2026'!I6:I110)="BUENOS AIRES")*('DICIEMBRE 2026'!K6:K110="GASOLINA")*'DICIEMBRE 2026'!L6:L110*'DICIEMBRE 2026'!M6:M110),0)</f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" t="s">
        <v>37</v>
      </c>
      <c r="B14" s="1" t="s">
        <v>5165</v>
      </c>
      <c r="C14" s="187" t="n">
        <f aca="false">IFERROR(SUMPRODUCT((IF('ENERO 2026'!Y6:Y119&lt;&gt;"",'ENERO 2026'!Y6:Y119,'ENERO 2026'!I6:I119)="CAMPORREDONDO")*('ENERO 2026'!K6:K119="PETROLEO")*'ENERO 2026'!M6:M119),0)</f>
        <v>20</v>
      </c>
      <c r="D14" s="187" t="n">
        <f aca="false">IFERROR(SUMPRODUCT((IF('ENERO 2026'!Y6:Y119&lt;&gt;"",'ENERO 2026'!Y6:Y119,'ENERO 2026'!I6:I119)="CAMPORREDONDO")*('ENERO 2026'!K6:K119="PETROLEO")*'ENERO 2026'!L6:L119*'ENERO 2026'!M6:M119),0)</f>
        <v>363.6</v>
      </c>
      <c r="E14" s="187" t="n">
        <f aca="false">IFERROR(SUMPRODUCT((IF('ENERO 2026'!Y6:Y119&lt;&gt;"",'ENERO 2026'!Y6:Y119,'ENERO 2026'!I6:I119)="CAMPORREDONDO")*('ENERO 2026'!K6:K119="GASOLINA")*'ENERO 2026'!M6:M119),0)</f>
        <v>0</v>
      </c>
      <c r="F14" s="187" t="n">
        <f aca="false">IFERROR(SUMPRODUCT((IF('ENERO 2026'!Y6:Y119&lt;&gt;"",'ENERO 2026'!Y6:Y119,'ENERO 2026'!I6:I119)="CAMPORREDONDO")*('ENERO 2026'!K6:K119="GASOLINA")*'ENERO 2026'!L6:L119*'ENERO 2026'!M6:M119),0)</f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" t="s">
        <v>37</v>
      </c>
      <c r="B15" s="1" t="s">
        <v>5166</v>
      </c>
      <c r="C15" s="187" t="n">
        <f aca="false">IFERROR(SUMPRODUCT((IF('FEBRERO 2026'!Y6:Y124&lt;&gt;"",'FEBRERO 2026'!Y6:Y124,'FEBRERO 2026'!I6:I124)="CAMPORREDONDO")*('FEBRERO 2026'!K6:K124="PETROLEO")*'FEBRERO 2026'!M6:M124),0)</f>
        <v>20</v>
      </c>
      <c r="D15" s="187" t="n">
        <f aca="false">IFERROR(SUMPRODUCT((IF('FEBRERO 2026'!Y6:Y124&lt;&gt;"",'FEBRERO 2026'!Y6:Y124,'FEBRERO 2026'!I6:I124)="CAMPORREDONDO")*('FEBRERO 2026'!K6:K124="PETROLEO")*'FEBRERO 2026'!L6:L124*'FEBRERO 2026'!M6:M124),0)</f>
        <v>363.6</v>
      </c>
      <c r="E15" s="187" t="n">
        <f aca="false">IFERROR(SUMPRODUCT((IF('FEBRERO 2026'!Y6:Y124&lt;&gt;"",'FEBRERO 2026'!Y6:Y124,'FEBRERO 2026'!I6:I124)="CAMPORREDONDO")*('FEBRERO 2026'!K6:K124="GASOLINA")*'FEBRERO 2026'!M6:M124),0)</f>
        <v>0</v>
      </c>
      <c r="F15" s="187" t="n">
        <f aca="false">IFERROR(SUMPRODUCT((IF('FEBRERO 2026'!Y6:Y124&lt;&gt;"",'FEBRERO 2026'!Y6:Y124,'FEBRERO 2026'!I6:I124)="CAMPORREDONDO")*('FEBRERO 2026'!K6:K124="GASOLINA")*'FEBRERO 2026'!L6:L124*'FEBRERO 2026'!M6:M124),0)</f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 t="s">
        <v>37</v>
      </c>
      <c r="B16" s="1" t="s">
        <v>5167</v>
      </c>
      <c r="C16" s="187" t="n">
        <f aca="false">IFERROR(SUMPRODUCT((IF('MARZO 2026'!Y6:Y119&lt;&gt;"",'MARZO 2026'!Y6:Y119,'MARZO 2026'!I6:I119)="CAMPORREDONDO")*('MARZO 2026'!K6:K119="PETROLEO")*'MARZO 2026'!M6:M119),0)</f>
        <v>0</v>
      </c>
      <c r="D16" s="187" t="n">
        <f aca="false">IFERROR(SUMPRODUCT((IF('MARZO 2026'!Y6:Y119&lt;&gt;"",'MARZO 2026'!Y6:Y119,'MARZO 2026'!I6:I119)="CAMPORREDONDO")*('MARZO 2026'!K6:K119="PETROLEO")*'MARZO 2026'!L6:L119*'MARZO 2026'!M6:M119),0)</f>
        <v>0</v>
      </c>
      <c r="E16" s="187" t="n">
        <f aca="false">IFERROR(SUMPRODUCT((IF('MARZO 2026'!Y6:Y119&lt;&gt;"",'MARZO 2026'!Y6:Y119,'MARZO 2026'!I6:I119)="CAMPORREDONDO")*('MARZO 2026'!K6:K119="GASOLINA")*'MARZO 2026'!M6:M119),0)</f>
        <v>0</v>
      </c>
      <c r="F16" s="187" t="n">
        <f aca="false">IFERROR(SUMPRODUCT((IF('MARZO 2026'!Y6:Y119&lt;&gt;"",'MARZO 2026'!Y6:Y119,'MARZO 2026'!I6:I119)="CAMPORREDONDO")*('MARZO 2026'!K6:K119="GASOLINA")*'MARZO 2026'!L6:L119*'MARZO 2026'!M6:M119),0)</f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" t="s">
        <v>37</v>
      </c>
      <c r="B17" s="1" t="s">
        <v>5168</v>
      </c>
      <c r="C17" s="187" t="n">
        <f aca="false">IFERROR(SUMPRODUCT((IF('ABRIL 2026'!Y6:Y119&lt;&gt;"",'ABRIL 2026'!Y6:Y119,'ABRIL 2026'!I6:I119)="CAMPORREDONDO")*('ABRIL 2026'!K6:K119="PETROLEO")*'ABRIL 2026'!M6:M119),0)</f>
        <v>0</v>
      </c>
      <c r="D17" s="187" t="n">
        <f aca="false">IFERROR(SUMPRODUCT((IF('ABRIL 2026'!Y6:Y119&lt;&gt;"",'ABRIL 2026'!Y6:Y119,'ABRIL 2026'!I6:I119)="CAMPORREDONDO")*('ABRIL 2026'!K6:K119="PETROLEO")*'ABRIL 2026'!L6:L119*'ABRIL 2026'!M6:M119),0)</f>
        <v>0</v>
      </c>
      <c r="E17" s="187" t="n">
        <f aca="false">IFERROR(SUMPRODUCT((IF('ABRIL 2026'!Y6:Y119&lt;&gt;"",'ABRIL 2026'!Y6:Y119,'ABRIL 2026'!I6:I119)="CAMPORREDONDO")*('ABRIL 2026'!K6:K119="GASOLINA")*'ABRIL 2026'!M6:M119),0)</f>
        <v>0</v>
      </c>
      <c r="F17" s="187" t="n">
        <f aca="false">IFERROR(SUMPRODUCT((IF('ABRIL 2026'!Y6:Y119&lt;&gt;"",'ABRIL 2026'!Y6:Y119,'ABRIL 2026'!I6:I119)="CAMPORREDONDO")*('ABRIL 2026'!K6:K119="GASOLINA")*'ABRIL 2026'!L6:L119*'ABRIL 2026'!M6:M119),0)</f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" t="s">
        <v>37</v>
      </c>
      <c r="B18" s="1" t="s">
        <v>5169</v>
      </c>
      <c r="C18" s="187" t="n">
        <f aca="false">IFERROR(SUMPRODUCT((IF('MAYO 2026'!Y6:Y110&lt;&gt;"",'MAYO 2026'!Y6:Y110,'MAYO 2026'!I6:I110)="CAMPORREDONDO")*('MAYO 2026'!K6:K110="PETROLEO")*'MAYO 2026'!M6:M110),0)</f>
        <v>0</v>
      </c>
      <c r="D18" s="187" t="n">
        <f aca="false">IFERROR(SUMPRODUCT((IF('MAYO 2026'!Y6:Y110&lt;&gt;"",'MAYO 2026'!Y6:Y110,'MAYO 2026'!I6:I110)="CAMPORREDONDO")*('MAYO 2026'!K6:K110="PETROLEO")*'MAYO 2026'!L6:L110*'MAYO 2026'!M6:M110),0)</f>
        <v>0</v>
      </c>
      <c r="E18" s="187" t="n">
        <f aca="false">IFERROR(SUMPRODUCT((IF('MAYO 2026'!Y6:Y110&lt;&gt;"",'MAYO 2026'!Y6:Y110,'MAYO 2026'!I6:I110)="CAMPORREDONDO")*('MAYO 2026'!K6:K110="GASOLINA")*'MAYO 2026'!M6:M110),0)</f>
        <v>0</v>
      </c>
      <c r="F18" s="187" t="n">
        <f aca="false">IFERROR(SUMPRODUCT((IF('MAYO 2026'!Y6:Y110&lt;&gt;"",'MAYO 2026'!Y6:Y110,'MAYO 2026'!I6:I110)="CAMPORREDONDO")*('MAYO 2026'!K6:K110="GASOLINA")*'MAYO 2026'!L6:L110*'MAYO 2026'!M6:M110),0)</f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" t="s">
        <v>37</v>
      </c>
      <c r="B19" s="1" t="s">
        <v>5170</v>
      </c>
      <c r="C19" s="187" t="n">
        <f aca="false">IFERROR(SUMPRODUCT((IF('JUNIO 2026'!Y6:Y110&lt;&gt;"",'JUNIO 2026'!Y6:Y110,'JUNIO 2026'!I6:I110)="CAMPORREDONDO")*('JUNIO 2026'!K6:K110="PETROLEO")*'JUNIO 2026'!M6:M110),0)</f>
        <v>0</v>
      </c>
      <c r="D19" s="187" t="n">
        <f aca="false">IFERROR(SUMPRODUCT((IF('JUNIO 2026'!Y6:Y110&lt;&gt;"",'JUNIO 2026'!Y6:Y110,'JUNIO 2026'!I6:I110)="CAMPORREDONDO")*('JUNIO 2026'!K6:K110="PETROLEO")*'JUNIO 2026'!L6:L110*'JUNIO 2026'!M6:M110),0)</f>
        <v>0</v>
      </c>
      <c r="E19" s="187" t="n">
        <f aca="false">IFERROR(SUMPRODUCT((IF('JUNIO 2026'!Y6:Y110&lt;&gt;"",'JUNIO 2026'!Y6:Y110,'JUNIO 2026'!I6:I110)="CAMPORREDONDO")*('JUNIO 2026'!K6:K110="GASOLINA")*'JUNIO 2026'!M6:M110),0)</f>
        <v>0</v>
      </c>
      <c r="F19" s="187" t="n">
        <f aca="false">IFERROR(SUMPRODUCT((IF('JUNIO 2026'!Y6:Y110&lt;&gt;"",'JUNIO 2026'!Y6:Y110,'JUNIO 2026'!I6:I110)="CAMPORREDONDO")*('JUNIO 2026'!K6:K110="GASOLINA")*'JUNIO 2026'!L6:L110*'JUNIO 2026'!M6:M110),0)</f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" t="s">
        <v>37</v>
      </c>
      <c r="B20" s="1" t="s">
        <v>5171</v>
      </c>
      <c r="C20" s="187" t="n">
        <f aca="false">IFERROR(SUMPRODUCT((IF('JULIO 2026'!Y6:Y110&lt;&gt;"",'JULIO 2026'!Y6:Y110,'JULIO 2026'!I6:I110)="CAMPORREDONDO")*('JULIO 2026'!K6:K110="PETROLEO")*'JULIO 2026'!M6:M110),0)</f>
        <v>0</v>
      </c>
      <c r="D20" s="187" t="n">
        <f aca="false">IFERROR(SUMPRODUCT((IF('JULIO 2026'!Y6:Y110&lt;&gt;"",'JULIO 2026'!Y6:Y110,'JULIO 2026'!I6:I110)="CAMPORREDONDO")*('JULIO 2026'!K6:K110="PETROLEO")*'JULIO 2026'!L6:L110*'JULIO 2026'!M6:M110),0)</f>
        <v>0</v>
      </c>
      <c r="E20" s="187" t="n">
        <f aca="false">IFERROR(SUMPRODUCT((IF('JULIO 2026'!Y6:Y110&lt;&gt;"",'JULIO 2026'!Y6:Y110,'JULIO 2026'!I6:I110)="CAMPORREDONDO")*('JULIO 2026'!K6:K110="GASOLINA")*'JULIO 2026'!M6:M110),0)</f>
        <v>0</v>
      </c>
      <c r="F20" s="187" t="n">
        <f aca="false">IFERROR(SUMPRODUCT((IF('JULIO 2026'!Y6:Y110&lt;&gt;"",'JULIO 2026'!Y6:Y110,'JULIO 2026'!I6:I110)="CAMPORREDONDO")*('JULIO 2026'!K6:K110="GASOLINA")*'JULIO 2026'!L6:L110*'JULIO 2026'!M6:M110),0)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1" t="s">
        <v>37</v>
      </c>
      <c r="B21" s="1" t="s">
        <v>5172</v>
      </c>
      <c r="C21" s="187" t="n">
        <f aca="false">IFERROR(SUMPRODUCT((IF('AGOSTO 2026'!Y6:Y110&lt;&gt;"",'AGOSTO 2026'!Y6:Y110,'AGOSTO 2026'!I6:I110)="CAMPORREDONDO")*('AGOSTO 2026'!K6:K110="PETROLEO")*'AGOSTO 2026'!M6:M110),0)</f>
        <v>0</v>
      </c>
      <c r="D21" s="187" t="n">
        <f aca="false">IFERROR(SUMPRODUCT((IF('AGOSTO 2026'!Y6:Y110&lt;&gt;"",'AGOSTO 2026'!Y6:Y110,'AGOSTO 2026'!I6:I110)="CAMPORREDONDO")*('AGOSTO 2026'!K6:K110="PETROLEO")*'AGOSTO 2026'!L6:L110*'AGOSTO 2026'!M6:M110),0)</f>
        <v>0</v>
      </c>
      <c r="E21" s="187" t="n">
        <f aca="false">IFERROR(SUMPRODUCT((IF('AGOSTO 2026'!Y6:Y110&lt;&gt;"",'AGOSTO 2026'!Y6:Y110,'AGOSTO 2026'!I6:I110)="CAMPORREDONDO")*('AGOSTO 2026'!K6:K110="GASOLINA")*'AGOSTO 2026'!M6:M110),0)</f>
        <v>0</v>
      </c>
      <c r="F21" s="187" t="n">
        <f aca="false">IFERROR(SUMPRODUCT((IF('AGOSTO 2026'!Y6:Y110&lt;&gt;"",'AGOSTO 2026'!Y6:Y110,'AGOSTO 2026'!I6:I110)="CAMPORREDONDO")*('AGOSTO 2026'!K6:K110="GASOLINA")*'AGOSTO 2026'!L6:L110*'AGOSTO 2026'!M6:M110),0)</f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1" t="s">
        <v>37</v>
      </c>
      <c r="B22" s="1" t="s">
        <v>5173</v>
      </c>
      <c r="C22" s="187" t="n">
        <f aca="false">IFERROR(SUMPRODUCT((IF('SETIEMBRE 2026'!Y6:Y110&lt;&gt;"",'SETIEMBRE 2026'!Y6:Y110,'SETIEMBRE 2026'!I6:I110)="CAMPORREDONDO")*('SETIEMBRE 2026'!K6:K110="PETROLEO")*'SETIEMBRE 2026'!M6:M110),0)</f>
        <v>0</v>
      </c>
      <c r="D22" s="187" t="n">
        <f aca="false">IFERROR(SUMPRODUCT((IF('SETIEMBRE 2026'!Y6:Y110&lt;&gt;"",'SETIEMBRE 2026'!Y6:Y110,'SETIEMBRE 2026'!I6:I110)="CAMPORREDONDO")*('SETIEMBRE 2026'!K6:K110="PETROLEO")*'SETIEMBRE 2026'!L6:L110*'SETIEMBRE 2026'!M6:M110),0)</f>
        <v>0</v>
      </c>
      <c r="E22" s="187" t="n">
        <f aca="false">IFERROR(SUMPRODUCT((IF('SETIEMBRE 2026'!Y6:Y110&lt;&gt;"",'SETIEMBRE 2026'!Y6:Y110,'SETIEMBRE 2026'!I6:I110)="CAMPORREDONDO")*('SETIEMBRE 2026'!K6:K110="GASOLINA")*'SETIEMBRE 2026'!M6:M110),0)</f>
        <v>0</v>
      </c>
      <c r="F22" s="187" t="n">
        <f aca="false">IFERROR(SUMPRODUCT((IF('SETIEMBRE 2026'!Y6:Y110&lt;&gt;"",'SETIEMBRE 2026'!Y6:Y110,'SETIEMBRE 2026'!I6:I110)="CAMPORREDONDO")*('SETIEMBRE 2026'!K6:K110="GASOLINA")*'SETIEMBRE 2026'!L6:L110*'SETIEMBRE 2026'!M6:M110),0)</f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1" t="s">
        <v>37</v>
      </c>
      <c r="B23" s="1" t="s">
        <v>5174</v>
      </c>
      <c r="C23" s="187" t="n">
        <f aca="false">IFERROR(SUMPRODUCT((IF('OCTUBRE 2026'!Y6:Y110&lt;&gt;"",'OCTUBRE 2026'!Y6:Y110,'OCTUBRE 2026'!I6:I110)="CAMPORREDONDO")*('OCTUBRE 2026'!K6:K110="PETROLEO")*'OCTUBRE 2026'!M6:M110),0)</f>
        <v>0</v>
      </c>
      <c r="D23" s="187" t="n">
        <f aca="false">IFERROR(SUMPRODUCT((IF('OCTUBRE 2026'!Y6:Y110&lt;&gt;"",'OCTUBRE 2026'!Y6:Y110,'OCTUBRE 2026'!I6:I110)="CAMPORREDONDO")*('OCTUBRE 2026'!K6:K110="PETROLEO")*'OCTUBRE 2026'!L6:L110*'OCTUBRE 2026'!M6:M110),0)</f>
        <v>0</v>
      </c>
      <c r="E23" s="187" t="n">
        <f aca="false">IFERROR(SUMPRODUCT((IF('OCTUBRE 2026'!Y6:Y110&lt;&gt;"",'OCTUBRE 2026'!Y6:Y110,'OCTUBRE 2026'!I6:I110)="CAMPORREDONDO")*('OCTUBRE 2026'!K6:K110="GASOLINA")*'OCTUBRE 2026'!M6:M110),0)</f>
        <v>0</v>
      </c>
      <c r="F23" s="187" t="n">
        <f aca="false">IFERROR(SUMPRODUCT((IF('OCTUBRE 2026'!Y6:Y110&lt;&gt;"",'OCTUBRE 2026'!Y6:Y110,'OCTUBRE 2026'!I6:I110)="CAMPORREDONDO")*('OCTUBRE 2026'!K6:K110="GASOLINA")*'OCTUBRE 2026'!L6:L110*'OCTUBRE 2026'!M6:M110),0)</f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1" t="s">
        <v>37</v>
      </c>
      <c r="B24" s="1" t="s">
        <v>5175</v>
      </c>
      <c r="C24" s="187" t="n">
        <f aca="false">IFERROR(SUMPRODUCT((IF('NOVIEMBRE 2026'!Y6:Y110&lt;&gt;"",'NOVIEMBRE 2026'!Y6:Y110,'NOVIEMBRE 2026'!I6:I110)="CAMPORREDONDO")*('NOVIEMBRE 2026'!K6:K110="PETROLEO")*'NOVIEMBRE 2026'!M6:M110),0)</f>
        <v>0</v>
      </c>
      <c r="D24" s="187" t="n">
        <f aca="false">IFERROR(SUMPRODUCT((IF('NOVIEMBRE 2026'!Y6:Y110&lt;&gt;"",'NOVIEMBRE 2026'!Y6:Y110,'NOVIEMBRE 2026'!I6:I110)="CAMPORREDONDO")*('NOVIEMBRE 2026'!K6:K110="PETROLEO")*'NOVIEMBRE 2026'!L6:L110*'NOVIEMBRE 2026'!M6:M110),0)</f>
        <v>0</v>
      </c>
      <c r="E24" s="187" t="n">
        <f aca="false">IFERROR(SUMPRODUCT((IF('NOVIEMBRE 2026'!Y6:Y110&lt;&gt;"",'NOVIEMBRE 2026'!Y6:Y110,'NOVIEMBRE 2026'!I6:I110)="CAMPORREDONDO")*('NOVIEMBRE 2026'!K6:K110="GASOLINA")*'NOVIEMBRE 2026'!M6:M110),0)</f>
        <v>0</v>
      </c>
      <c r="F24" s="187" t="n">
        <f aca="false">IFERROR(SUMPRODUCT((IF('NOVIEMBRE 2026'!Y6:Y110&lt;&gt;"",'NOVIEMBRE 2026'!Y6:Y110,'NOVIEMBRE 2026'!I6:I110)="CAMPORREDONDO")*('NOVIEMBRE 2026'!K6:K110="GASOLINA")*'NOVIEMBRE 2026'!L6:L110*'NOVIEMBRE 2026'!M6:M110),0)</f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1" t="s">
        <v>37</v>
      </c>
      <c r="B25" s="1" t="s">
        <v>5176</v>
      </c>
      <c r="C25" s="187" t="n">
        <f aca="false">IFERROR(SUMPRODUCT((IF('DICIEMBRE 2026'!Y6:Y110&lt;&gt;"",'DICIEMBRE 2026'!Y6:Y110,'DICIEMBRE 2026'!I6:I110)="CAMPORREDONDO")*('DICIEMBRE 2026'!K6:K110="PETROLEO")*'DICIEMBRE 2026'!M6:M110),0)</f>
        <v>0</v>
      </c>
      <c r="D25" s="187" t="n">
        <f aca="false">IFERROR(SUMPRODUCT((IF('DICIEMBRE 2026'!Y6:Y110&lt;&gt;"",'DICIEMBRE 2026'!Y6:Y110,'DICIEMBRE 2026'!I6:I110)="CAMPORREDONDO")*('DICIEMBRE 2026'!K6:K110="PETROLEO")*'DICIEMBRE 2026'!L6:L110*'DICIEMBRE 2026'!M6:M110),0)</f>
        <v>0</v>
      </c>
      <c r="E25" s="187" t="n">
        <f aca="false">IFERROR(SUMPRODUCT((IF('DICIEMBRE 2026'!Y6:Y110&lt;&gt;"",'DICIEMBRE 2026'!Y6:Y110,'DICIEMBRE 2026'!I6:I110)="CAMPORREDONDO")*('DICIEMBRE 2026'!K6:K110="GASOLINA")*'DICIEMBRE 2026'!M6:M110),0)</f>
        <v>0</v>
      </c>
      <c r="F25" s="187" t="n">
        <f aca="false">IFERROR(SUMPRODUCT((IF('DICIEMBRE 2026'!Y6:Y110&lt;&gt;"",'DICIEMBRE 2026'!Y6:Y110,'DICIEMBRE 2026'!I6:I110)="CAMPORREDONDO")*('DICIEMBRE 2026'!K6:K110="GASOLINA")*'DICIEMBRE 2026'!L6:L110*'DICIEMBRE 2026'!M6:M110),0)</f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1" t="s">
        <v>132</v>
      </c>
      <c r="B26" s="1" t="s">
        <v>5165</v>
      </c>
      <c r="C26" s="187" t="n">
        <f aca="false">IFERROR(SUMPRODUCT((IF('ENERO 2026'!Y6:Y119&lt;&gt;"",'ENERO 2026'!Y6:Y119,'ENERO 2026'!I6:I119)="CHUQUIBAMBA")*('ENERO 2026'!K6:K119="PETROLEO")*'ENERO 2026'!M6:M119),0)</f>
        <v>15</v>
      </c>
      <c r="D26" s="187" t="n">
        <f aca="false">IFERROR(SUMPRODUCT((IF('ENERO 2026'!Y6:Y119&lt;&gt;"",'ENERO 2026'!Y6:Y119,'ENERO 2026'!I6:I119)="CHUQUIBAMBA")*('ENERO 2026'!K6:K119="PETROLEO")*'ENERO 2026'!L6:L119*'ENERO 2026'!M6:M119),0)</f>
        <v>272.7</v>
      </c>
      <c r="E26" s="187" t="n">
        <f aca="false">IFERROR(SUMPRODUCT((IF('ENERO 2026'!Y6:Y119&lt;&gt;"",'ENERO 2026'!Y6:Y119,'ENERO 2026'!I6:I119)="CHUQUIBAMBA")*('ENERO 2026'!K6:K119="GASOLINA")*'ENERO 2026'!M6:M119),0)</f>
        <v>0</v>
      </c>
      <c r="F26" s="187" t="n">
        <f aca="false">IFERROR(SUMPRODUCT((IF('ENERO 2026'!Y6:Y119&lt;&gt;"",'ENERO 2026'!Y6:Y119,'ENERO 2026'!I6:I119)="CHUQUIBAMBA")*('ENERO 2026'!K6:K119="GASOLINA")*'ENERO 2026'!L6:L119*'ENERO 2026'!M6:M119),0)</f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1" t="s">
        <v>132</v>
      </c>
      <c r="B27" s="1" t="s">
        <v>5166</v>
      </c>
      <c r="C27" s="187" t="n">
        <f aca="false">IFERROR(SUMPRODUCT((IF('FEBRERO 2026'!Y6:Y124&lt;&gt;"",'FEBRERO 2026'!Y6:Y124,'FEBRERO 2026'!I6:I124)="CHUQUIBAMBA")*('FEBRERO 2026'!K6:K124="PETROLEO")*'FEBRERO 2026'!M6:M124),0)</f>
        <v>0</v>
      </c>
      <c r="D27" s="187" t="n">
        <f aca="false">IFERROR(SUMPRODUCT((IF('FEBRERO 2026'!Y6:Y124&lt;&gt;"",'FEBRERO 2026'!Y6:Y124,'FEBRERO 2026'!I6:I124)="CHUQUIBAMBA")*('FEBRERO 2026'!K6:K124="PETROLEO")*'FEBRERO 2026'!L6:L124*'FEBRERO 2026'!M6:M124),0)</f>
        <v>0</v>
      </c>
      <c r="E27" s="187" t="n">
        <f aca="false">IFERROR(SUMPRODUCT((IF('FEBRERO 2026'!Y6:Y124&lt;&gt;"",'FEBRERO 2026'!Y6:Y124,'FEBRERO 2026'!I6:I124)="CHUQUIBAMBA")*('FEBRERO 2026'!K6:K124="GASOLINA")*'FEBRERO 2026'!M6:M124),0)</f>
        <v>0</v>
      </c>
      <c r="F27" s="187" t="n">
        <f aca="false">IFERROR(SUMPRODUCT((IF('FEBRERO 2026'!Y6:Y124&lt;&gt;"",'FEBRERO 2026'!Y6:Y124,'FEBRERO 2026'!I6:I124)="CHUQUIBAMBA")*('FEBRERO 2026'!K6:K124="GASOLINA")*'FEBRERO 2026'!L6:L124*'FEBRERO 2026'!M6:M124),0)</f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1" t="s">
        <v>132</v>
      </c>
      <c r="B28" s="1" t="s">
        <v>5167</v>
      </c>
      <c r="C28" s="187" t="n">
        <f aca="false">IFERROR(SUMPRODUCT((IF('MARZO 2026'!Y6:Y119&lt;&gt;"",'MARZO 2026'!Y6:Y119,'MARZO 2026'!I6:I119)="CHUQUIBAMBA")*('MARZO 2026'!K6:K119="PETROLEO")*'MARZO 2026'!M6:M119),0)</f>
        <v>0</v>
      </c>
      <c r="D28" s="187" t="n">
        <f aca="false">IFERROR(SUMPRODUCT((IF('MARZO 2026'!Y6:Y119&lt;&gt;"",'MARZO 2026'!Y6:Y119,'MARZO 2026'!I6:I119)="CHUQUIBAMBA")*('MARZO 2026'!K6:K119="PETROLEO")*'MARZO 2026'!L6:L119*'MARZO 2026'!M6:M119),0)</f>
        <v>0</v>
      </c>
      <c r="E28" s="187" t="n">
        <f aca="false">IFERROR(SUMPRODUCT((IF('MARZO 2026'!Y6:Y119&lt;&gt;"",'MARZO 2026'!Y6:Y119,'MARZO 2026'!I6:I119)="CHUQUIBAMBA")*('MARZO 2026'!K6:K119="GASOLINA")*'MARZO 2026'!M6:M119),0)</f>
        <v>0</v>
      </c>
      <c r="F28" s="187" t="n">
        <f aca="false">IFERROR(SUMPRODUCT((IF('MARZO 2026'!Y6:Y119&lt;&gt;"",'MARZO 2026'!Y6:Y119,'MARZO 2026'!I6:I119)="CHUQUIBAMBA")*('MARZO 2026'!K6:K119="GASOLINA")*'MARZO 2026'!L6:L119*'MARZO 2026'!M6:M119),0)</f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1" t="s">
        <v>132</v>
      </c>
      <c r="B29" s="1" t="s">
        <v>5168</v>
      </c>
      <c r="C29" s="187" t="n">
        <f aca="false">IFERROR(SUMPRODUCT((IF('ABRIL 2026'!Y6:Y119&lt;&gt;"",'ABRIL 2026'!Y6:Y119,'ABRIL 2026'!I6:I119)="CHUQUIBAMBA")*('ABRIL 2026'!K6:K119="PETROLEO")*'ABRIL 2026'!M6:M119),0)</f>
        <v>0</v>
      </c>
      <c r="D29" s="187" t="n">
        <f aca="false">IFERROR(SUMPRODUCT((IF('ABRIL 2026'!Y6:Y119&lt;&gt;"",'ABRIL 2026'!Y6:Y119,'ABRIL 2026'!I6:I119)="CHUQUIBAMBA")*('ABRIL 2026'!K6:K119="PETROLEO")*'ABRIL 2026'!L6:L119*'ABRIL 2026'!M6:M119),0)</f>
        <v>0</v>
      </c>
      <c r="E29" s="187" t="n">
        <f aca="false">IFERROR(SUMPRODUCT((IF('ABRIL 2026'!Y6:Y119&lt;&gt;"",'ABRIL 2026'!Y6:Y119,'ABRIL 2026'!I6:I119)="CHUQUIBAMBA")*('ABRIL 2026'!K6:K119="GASOLINA")*'ABRIL 2026'!M6:M119),0)</f>
        <v>0</v>
      </c>
      <c r="F29" s="187" t="n">
        <f aca="false">IFERROR(SUMPRODUCT((IF('ABRIL 2026'!Y6:Y119&lt;&gt;"",'ABRIL 2026'!Y6:Y119,'ABRIL 2026'!I6:I119)="CHUQUIBAMBA")*('ABRIL 2026'!K6:K119="GASOLINA")*'ABRIL 2026'!L6:L119*'ABRIL 2026'!M6:M119),0)</f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A30" s="1" t="s">
        <v>132</v>
      </c>
      <c r="B30" s="1" t="s">
        <v>5169</v>
      </c>
      <c r="C30" s="187" t="n">
        <f aca="false">IFERROR(SUMPRODUCT((IF('MAYO 2026'!Y6:Y110&lt;&gt;"",'MAYO 2026'!Y6:Y110,'MAYO 2026'!I6:I110)="CHUQUIBAMBA")*('MAYO 2026'!K6:K110="PETROLEO")*'MAYO 2026'!M6:M110),0)</f>
        <v>0</v>
      </c>
      <c r="D30" s="187" t="n">
        <f aca="false">IFERROR(SUMPRODUCT((IF('MAYO 2026'!Y6:Y110&lt;&gt;"",'MAYO 2026'!Y6:Y110,'MAYO 2026'!I6:I110)="CHUQUIBAMBA")*('MAYO 2026'!K6:K110="PETROLEO")*'MAYO 2026'!L6:L110*'MAYO 2026'!M6:M110),0)</f>
        <v>0</v>
      </c>
      <c r="E30" s="187" t="n">
        <f aca="false">IFERROR(SUMPRODUCT((IF('MAYO 2026'!Y6:Y110&lt;&gt;"",'MAYO 2026'!Y6:Y110,'MAYO 2026'!I6:I110)="CHUQUIBAMBA")*('MAYO 2026'!K6:K110="GASOLINA")*'MAYO 2026'!M6:M110),0)</f>
        <v>0</v>
      </c>
      <c r="F30" s="187" t="n">
        <f aca="false">IFERROR(SUMPRODUCT((IF('MAYO 2026'!Y6:Y110&lt;&gt;"",'MAYO 2026'!Y6:Y110,'MAYO 2026'!I6:I110)="CHUQUIBAMBA")*('MAYO 2026'!K6:K110="GASOLINA")*'MAYO 2026'!L6:L110*'MAYO 2026'!M6:M110),0)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true" outlineLevel="0" collapsed="false">
      <c r="A31" s="1" t="s">
        <v>132</v>
      </c>
      <c r="B31" s="1" t="s">
        <v>5170</v>
      </c>
      <c r="C31" s="187" t="n">
        <f aca="false">IFERROR(SUMPRODUCT((IF('JUNIO 2026'!Y6:Y110&lt;&gt;"",'JUNIO 2026'!Y6:Y110,'JUNIO 2026'!I6:I110)="CHUQUIBAMBA")*('JUNIO 2026'!K6:K110="PETROLEO")*'JUNIO 2026'!M6:M110),0)</f>
        <v>0</v>
      </c>
      <c r="D31" s="187" t="n">
        <f aca="false">IFERROR(SUMPRODUCT((IF('JUNIO 2026'!Y6:Y110&lt;&gt;"",'JUNIO 2026'!Y6:Y110,'JUNIO 2026'!I6:I110)="CHUQUIBAMBA")*('JUNIO 2026'!K6:K110="PETROLEO")*'JUNIO 2026'!L6:L110*'JUNIO 2026'!M6:M110),0)</f>
        <v>0</v>
      </c>
      <c r="E31" s="187" t="n">
        <f aca="false">IFERROR(SUMPRODUCT((IF('JUNIO 2026'!Y6:Y110&lt;&gt;"",'JUNIO 2026'!Y6:Y110,'JUNIO 2026'!I6:I110)="CHUQUIBAMBA")*('JUNIO 2026'!K6:K110="GASOLINA")*'JUNIO 2026'!M6:M110),0)</f>
        <v>0</v>
      </c>
      <c r="F31" s="187" t="n">
        <f aca="false">IFERROR(SUMPRODUCT((IF('JUNIO 2026'!Y6:Y110&lt;&gt;"",'JUNIO 2026'!Y6:Y110,'JUNIO 2026'!I6:I110)="CHUQUIBAMBA")*('JUNIO 2026'!K6:K110="GASOLINA")*'JUNIO 2026'!L6:L110*'JUNIO 2026'!M6:M110),0)</f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true" outlineLevel="0" collapsed="false">
      <c r="A32" s="1" t="s">
        <v>132</v>
      </c>
      <c r="B32" s="1" t="s">
        <v>5171</v>
      </c>
      <c r="C32" s="187" t="n">
        <f aca="false">IFERROR(SUMPRODUCT((IF('JULIO 2026'!Y6:Y110&lt;&gt;"",'JULIO 2026'!Y6:Y110,'JULIO 2026'!I6:I110)="CHUQUIBAMBA")*('JULIO 2026'!K6:K110="PETROLEO")*'JULIO 2026'!M6:M110),0)</f>
        <v>0</v>
      </c>
      <c r="D32" s="187" t="n">
        <f aca="false">IFERROR(SUMPRODUCT((IF('JULIO 2026'!Y6:Y110&lt;&gt;"",'JULIO 2026'!Y6:Y110,'JULIO 2026'!I6:I110)="CHUQUIBAMBA")*('JULIO 2026'!K6:K110="PETROLEO")*'JULIO 2026'!L6:L110*'JULIO 2026'!M6:M110),0)</f>
        <v>0</v>
      </c>
      <c r="E32" s="187" t="n">
        <f aca="false">IFERROR(SUMPRODUCT((IF('JULIO 2026'!Y6:Y110&lt;&gt;"",'JULIO 2026'!Y6:Y110,'JULIO 2026'!I6:I110)="CHUQUIBAMBA")*('JULIO 2026'!K6:K110="GASOLINA")*'JULIO 2026'!M6:M110),0)</f>
        <v>0</v>
      </c>
      <c r="F32" s="187" t="n">
        <f aca="false">IFERROR(SUMPRODUCT((IF('JULIO 2026'!Y6:Y110&lt;&gt;"",'JULIO 2026'!Y6:Y110,'JULIO 2026'!I6:I110)="CHUQUIBAMBA")*('JULIO 2026'!K6:K110="GASOLINA")*'JULIO 2026'!L6:L110*'JULIO 2026'!M6:M110),0)</f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true" outlineLevel="0" collapsed="false">
      <c r="A33" s="1" t="s">
        <v>132</v>
      </c>
      <c r="B33" s="1" t="s">
        <v>5172</v>
      </c>
      <c r="C33" s="187" t="n">
        <f aca="false">IFERROR(SUMPRODUCT((IF('AGOSTO 2026'!Y6:Y110&lt;&gt;"",'AGOSTO 2026'!Y6:Y110,'AGOSTO 2026'!I6:I110)="CHUQUIBAMBA")*('AGOSTO 2026'!K6:K110="PETROLEO")*'AGOSTO 2026'!M6:M110),0)</f>
        <v>0</v>
      </c>
      <c r="D33" s="187" t="n">
        <f aca="false">IFERROR(SUMPRODUCT((IF('AGOSTO 2026'!Y6:Y110&lt;&gt;"",'AGOSTO 2026'!Y6:Y110,'AGOSTO 2026'!I6:I110)="CHUQUIBAMBA")*('AGOSTO 2026'!K6:K110="PETROLEO")*'AGOSTO 2026'!L6:L110*'AGOSTO 2026'!M6:M110),0)</f>
        <v>0</v>
      </c>
      <c r="E33" s="187" t="n">
        <f aca="false">IFERROR(SUMPRODUCT((IF('AGOSTO 2026'!Y6:Y110&lt;&gt;"",'AGOSTO 2026'!Y6:Y110,'AGOSTO 2026'!I6:I110)="CHUQUIBAMBA")*('AGOSTO 2026'!K6:K110="GASOLINA")*'AGOSTO 2026'!M6:M110),0)</f>
        <v>0</v>
      </c>
      <c r="F33" s="187" t="n">
        <f aca="false">IFERROR(SUMPRODUCT((IF('AGOSTO 2026'!Y6:Y110&lt;&gt;"",'AGOSTO 2026'!Y6:Y110,'AGOSTO 2026'!I6:I110)="CHUQUIBAMBA")*('AGOSTO 2026'!K6:K110="GASOLINA")*'AGOSTO 2026'!L6:L110*'AGOSTO 2026'!M6:M110),0)</f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true" outlineLevel="0" collapsed="false">
      <c r="A34" s="1" t="s">
        <v>132</v>
      </c>
      <c r="B34" s="1" t="s">
        <v>5173</v>
      </c>
      <c r="C34" s="187" t="n">
        <f aca="false">IFERROR(SUMPRODUCT((IF('SETIEMBRE 2026'!Y6:Y110&lt;&gt;"",'SETIEMBRE 2026'!Y6:Y110,'SETIEMBRE 2026'!I6:I110)="CHUQUIBAMBA")*('SETIEMBRE 2026'!K6:K110="PETROLEO")*'SETIEMBRE 2026'!M6:M110),0)</f>
        <v>0</v>
      </c>
      <c r="D34" s="187" t="n">
        <f aca="false">IFERROR(SUMPRODUCT((IF('SETIEMBRE 2026'!Y6:Y110&lt;&gt;"",'SETIEMBRE 2026'!Y6:Y110,'SETIEMBRE 2026'!I6:I110)="CHUQUIBAMBA")*('SETIEMBRE 2026'!K6:K110="PETROLEO")*'SETIEMBRE 2026'!L6:L110*'SETIEMBRE 2026'!M6:M110),0)</f>
        <v>0</v>
      </c>
      <c r="E34" s="187" t="n">
        <f aca="false">IFERROR(SUMPRODUCT((IF('SETIEMBRE 2026'!Y6:Y110&lt;&gt;"",'SETIEMBRE 2026'!Y6:Y110,'SETIEMBRE 2026'!I6:I110)="CHUQUIBAMBA")*('SETIEMBRE 2026'!K6:K110="GASOLINA")*'SETIEMBRE 2026'!M6:M110),0)</f>
        <v>0</v>
      </c>
      <c r="F34" s="187" t="n">
        <f aca="false">IFERROR(SUMPRODUCT((IF('SETIEMBRE 2026'!Y6:Y110&lt;&gt;"",'SETIEMBRE 2026'!Y6:Y110,'SETIEMBRE 2026'!I6:I110)="CHUQUIBAMBA")*('SETIEMBRE 2026'!K6:K110="GASOLINA")*'SETIEMBRE 2026'!L6:L110*'SETIEMBRE 2026'!M6:M110),0)</f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true" outlineLevel="0" collapsed="false">
      <c r="A35" s="1" t="s">
        <v>132</v>
      </c>
      <c r="B35" s="1" t="s">
        <v>5174</v>
      </c>
      <c r="C35" s="187" t="n">
        <f aca="false">IFERROR(SUMPRODUCT((IF('OCTUBRE 2026'!Y6:Y110&lt;&gt;"",'OCTUBRE 2026'!Y6:Y110,'OCTUBRE 2026'!I6:I110)="CHUQUIBAMBA")*('OCTUBRE 2026'!K6:K110="PETROLEO")*'OCTUBRE 2026'!M6:M110),0)</f>
        <v>0</v>
      </c>
      <c r="D35" s="187" t="n">
        <f aca="false">IFERROR(SUMPRODUCT((IF('OCTUBRE 2026'!Y6:Y110&lt;&gt;"",'OCTUBRE 2026'!Y6:Y110,'OCTUBRE 2026'!I6:I110)="CHUQUIBAMBA")*('OCTUBRE 2026'!K6:K110="PETROLEO")*'OCTUBRE 2026'!L6:L110*'OCTUBRE 2026'!M6:M110),0)</f>
        <v>0</v>
      </c>
      <c r="E35" s="187" t="n">
        <f aca="false">IFERROR(SUMPRODUCT((IF('OCTUBRE 2026'!Y6:Y110&lt;&gt;"",'OCTUBRE 2026'!Y6:Y110,'OCTUBRE 2026'!I6:I110)="CHUQUIBAMBA")*('OCTUBRE 2026'!K6:K110="GASOLINA")*'OCTUBRE 2026'!M6:M110),0)</f>
        <v>0</v>
      </c>
      <c r="F35" s="187" t="n">
        <f aca="false">IFERROR(SUMPRODUCT((IF('OCTUBRE 2026'!Y6:Y110&lt;&gt;"",'OCTUBRE 2026'!Y6:Y110,'OCTUBRE 2026'!I6:I110)="CHUQUIBAMBA")*('OCTUBRE 2026'!K6:K110="GASOLINA")*'OCTUBRE 2026'!L6:L110*'OCTUBRE 2026'!M6:M110),0)</f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1" t="s">
        <v>132</v>
      </c>
      <c r="B36" s="1" t="s">
        <v>5175</v>
      </c>
      <c r="C36" s="187" t="n">
        <f aca="false">IFERROR(SUMPRODUCT((IF('NOVIEMBRE 2026'!Y6:Y110&lt;&gt;"",'NOVIEMBRE 2026'!Y6:Y110,'NOVIEMBRE 2026'!I6:I110)="CHUQUIBAMBA")*('NOVIEMBRE 2026'!K6:K110="PETROLEO")*'NOVIEMBRE 2026'!M6:M110),0)</f>
        <v>0</v>
      </c>
      <c r="D36" s="187" t="n">
        <f aca="false">IFERROR(SUMPRODUCT((IF('NOVIEMBRE 2026'!Y6:Y110&lt;&gt;"",'NOVIEMBRE 2026'!Y6:Y110,'NOVIEMBRE 2026'!I6:I110)="CHUQUIBAMBA")*('NOVIEMBRE 2026'!K6:K110="PETROLEO")*'NOVIEMBRE 2026'!L6:L110*'NOVIEMBRE 2026'!M6:M110),0)</f>
        <v>0</v>
      </c>
      <c r="E36" s="187" t="n">
        <f aca="false">IFERROR(SUMPRODUCT((IF('NOVIEMBRE 2026'!Y6:Y110&lt;&gt;"",'NOVIEMBRE 2026'!Y6:Y110,'NOVIEMBRE 2026'!I6:I110)="CHUQUIBAMBA")*('NOVIEMBRE 2026'!K6:K110="GASOLINA")*'NOVIEMBRE 2026'!M6:M110),0)</f>
        <v>0</v>
      </c>
      <c r="F36" s="187" t="n">
        <f aca="false">IFERROR(SUMPRODUCT((IF('NOVIEMBRE 2026'!Y6:Y110&lt;&gt;"",'NOVIEMBRE 2026'!Y6:Y110,'NOVIEMBRE 2026'!I6:I110)="CHUQUIBAMBA")*('NOVIEMBRE 2026'!K6:K110="GASOLINA")*'NOVIEMBRE 2026'!L6:L110*'NOVIEMBRE 2026'!M6:M110),0)</f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true" outlineLevel="0" collapsed="false">
      <c r="A37" s="1" t="s">
        <v>132</v>
      </c>
      <c r="B37" s="1" t="s">
        <v>5176</v>
      </c>
      <c r="C37" s="187" t="n">
        <f aca="false">IFERROR(SUMPRODUCT((IF('DICIEMBRE 2026'!Y6:Y110&lt;&gt;"",'DICIEMBRE 2026'!Y6:Y110,'DICIEMBRE 2026'!I6:I110)="CHUQUIBAMBA")*('DICIEMBRE 2026'!K6:K110="PETROLEO")*'DICIEMBRE 2026'!M6:M110),0)</f>
        <v>0</v>
      </c>
      <c r="D37" s="187" t="n">
        <f aca="false">IFERROR(SUMPRODUCT((IF('DICIEMBRE 2026'!Y6:Y110&lt;&gt;"",'DICIEMBRE 2026'!Y6:Y110,'DICIEMBRE 2026'!I6:I110)="CHUQUIBAMBA")*('DICIEMBRE 2026'!K6:K110="PETROLEO")*'DICIEMBRE 2026'!L6:L110*'DICIEMBRE 2026'!M6:M110),0)</f>
        <v>0</v>
      </c>
      <c r="E37" s="187" t="n">
        <f aca="false">IFERROR(SUMPRODUCT((IF('DICIEMBRE 2026'!Y6:Y110&lt;&gt;"",'DICIEMBRE 2026'!Y6:Y110,'DICIEMBRE 2026'!I6:I110)="CHUQUIBAMBA")*('DICIEMBRE 2026'!K6:K110="GASOLINA")*'DICIEMBRE 2026'!M6:M110),0)</f>
        <v>0</v>
      </c>
      <c r="F37" s="187" t="n">
        <f aca="false">IFERROR(SUMPRODUCT((IF('DICIEMBRE 2026'!Y6:Y110&lt;&gt;"",'DICIEMBRE 2026'!Y6:Y110,'DICIEMBRE 2026'!I6:I110)="CHUQUIBAMBA")*('DICIEMBRE 2026'!K6:K110="GASOLINA")*'DICIEMBRE 2026'!L6:L110*'DICIEMBRE 2026'!M6:M110),0)</f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true" outlineLevel="0" collapsed="false">
      <c r="A38" s="1" t="s">
        <v>295</v>
      </c>
      <c r="B38" s="1" t="s">
        <v>5165</v>
      </c>
      <c r="C38" s="187" t="n">
        <f aca="false">IFERROR(SUMPRODUCT((IF('ENERO 2026'!Y6:Y119&lt;&gt;"",'ENERO 2026'!Y6:Y119,'ENERO 2026'!I6:I119)="COCABAMBA")*('ENERO 2026'!K6:K119="PETROLEO")*'ENERO 2026'!M6:M119),0)</f>
        <v>0</v>
      </c>
      <c r="D38" s="187" t="n">
        <f aca="false">IFERROR(SUMPRODUCT((IF('ENERO 2026'!Y6:Y119&lt;&gt;"",'ENERO 2026'!Y6:Y119,'ENERO 2026'!I6:I119)="COCABAMBA")*('ENERO 2026'!K6:K119="PETROLEO")*'ENERO 2026'!L6:L119*'ENERO 2026'!M6:M119),0)</f>
        <v>0</v>
      </c>
      <c r="E38" s="187" t="n">
        <f aca="false">IFERROR(SUMPRODUCT((IF('ENERO 2026'!Y6:Y119&lt;&gt;"",'ENERO 2026'!Y6:Y119,'ENERO 2026'!I6:I119)="COCABAMBA")*('ENERO 2026'!K6:K119="GASOLINA")*'ENERO 2026'!M6:M119),0)</f>
        <v>0</v>
      </c>
      <c r="F38" s="187" t="n">
        <f aca="false">IFERROR(SUMPRODUCT((IF('ENERO 2026'!Y6:Y119&lt;&gt;"",'ENERO 2026'!Y6:Y119,'ENERO 2026'!I6:I119)="COCABAMBA")*('ENERO 2026'!K6:K119="GASOLINA")*'ENERO 2026'!L6:L119*'ENERO 2026'!M6:M119),0)</f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true" outlineLevel="0" collapsed="false">
      <c r="A39" s="1" t="s">
        <v>295</v>
      </c>
      <c r="B39" s="1" t="s">
        <v>5166</v>
      </c>
      <c r="C39" s="187" t="n">
        <f aca="false">IFERROR(SUMPRODUCT((IF('FEBRERO 2026'!Y6:Y124&lt;&gt;"",'FEBRERO 2026'!Y6:Y124,'FEBRERO 2026'!I6:I124)="COCABAMBA")*('FEBRERO 2026'!K6:K124="PETROLEO")*'FEBRERO 2026'!M6:M124),0)</f>
        <v>0</v>
      </c>
      <c r="D39" s="187" t="n">
        <f aca="false">IFERROR(SUMPRODUCT((IF('FEBRERO 2026'!Y6:Y124&lt;&gt;"",'FEBRERO 2026'!Y6:Y124,'FEBRERO 2026'!I6:I124)="COCABAMBA")*('FEBRERO 2026'!K6:K124="PETROLEO")*'FEBRERO 2026'!L6:L124*'FEBRERO 2026'!M6:M124),0)</f>
        <v>0</v>
      </c>
      <c r="E39" s="187" t="n">
        <f aca="false">IFERROR(SUMPRODUCT((IF('FEBRERO 2026'!Y6:Y124&lt;&gt;"",'FEBRERO 2026'!Y6:Y124,'FEBRERO 2026'!I6:I124)="COCABAMBA")*('FEBRERO 2026'!K6:K124="GASOLINA")*'FEBRERO 2026'!M6:M124),0)</f>
        <v>26</v>
      </c>
      <c r="F39" s="187" t="n">
        <f aca="false">IFERROR(SUMPRODUCT((IF('FEBRERO 2026'!Y6:Y124&lt;&gt;"",'FEBRERO 2026'!Y6:Y124,'FEBRERO 2026'!I6:I124)="COCABAMBA")*('FEBRERO 2026'!K6:K124="GASOLINA")*'FEBRERO 2026'!L6:L124*'FEBRERO 2026'!M6:M124),0)</f>
        <v>466.7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true" outlineLevel="0" collapsed="false">
      <c r="A40" s="1" t="s">
        <v>295</v>
      </c>
      <c r="B40" s="1" t="s">
        <v>5167</v>
      </c>
      <c r="C40" s="187" t="n">
        <f aca="false">IFERROR(SUMPRODUCT((IF('MARZO 2026'!Y6:Y119&lt;&gt;"",'MARZO 2026'!Y6:Y119,'MARZO 2026'!I6:I119)="COCABAMBA")*('MARZO 2026'!K6:K119="PETROLEO")*'MARZO 2026'!M6:M119),0)</f>
        <v>0</v>
      </c>
      <c r="D40" s="187" t="n">
        <f aca="false">IFERROR(SUMPRODUCT((IF('MARZO 2026'!Y6:Y119&lt;&gt;"",'MARZO 2026'!Y6:Y119,'MARZO 2026'!I6:I119)="COCABAMBA")*('MARZO 2026'!K6:K119="PETROLEO")*'MARZO 2026'!L6:L119*'MARZO 2026'!M6:M119),0)</f>
        <v>0</v>
      </c>
      <c r="E40" s="187" t="n">
        <f aca="false">IFERROR(SUMPRODUCT((IF('MARZO 2026'!Y6:Y119&lt;&gt;"",'MARZO 2026'!Y6:Y119,'MARZO 2026'!I6:I119)="COCABAMBA")*('MARZO 2026'!K6:K119="GASOLINA")*'MARZO 2026'!M6:M119),0)</f>
        <v>0</v>
      </c>
      <c r="F40" s="187" t="n">
        <f aca="false">IFERROR(SUMPRODUCT((IF('MARZO 2026'!Y6:Y119&lt;&gt;"",'MARZO 2026'!Y6:Y119,'MARZO 2026'!I6:I119)="COCABAMBA")*('MARZO 2026'!K6:K119="GASOLINA")*'MARZO 2026'!L6:L119*'MARZO 2026'!M6:M119),0)</f>
        <v>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1" t="s">
        <v>295</v>
      </c>
      <c r="B41" s="1" t="s">
        <v>5168</v>
      </c>
      <c r="C41" s="187" t="n">
        <f aca="false">IFERROR(SUMPRODUCT((IF('ABRIL 2026'!Y6:Y119&lt;&gt;"",'ABRIL 2026'!Y6:Y119,'ABRIL 2026'!I6:I119)="COCABAMBA")*('ABRIL 2026'!K6:K119="PETROLEO")*'ABRIL 2026'!M6:M119),0)</f>
        <v>0</v>
      </c>
      <c r="D41" s="187" t="n">
        <f aca="false">IFERROR(SUMPRODUCT((IF('ABRIL 2026'!Y6:Y119&lt;&gt;"",'ABRIL 2026'!Y6:Y119,'ABRIL 2026'!I6:I119)="COCABAMBA")*('ABRIL 2026'!K6:K119="PETROLEO")*'ABRIL 2026'!L6:L119*'ABRIL 2026'!M6:M119),0)</f>
        <v>0</v>
      </c>
      <c r="E41" s="187" t="n">
        <f aca="false">IFERROR(SUMPRODUCT((IF('ABRIL 2026'!Y6:Y119&lt;&gt;"",'ABRIL 2026'!Y6:Y119,'ABRIL 2026'!I6:I119)="COCABAMBA")*('ABRIL 2026'!K6:K119="GASOLINA")*'ABRIL 2026'!M6:M119),0)</f>
        <v>0</v>
      </c>
      <c r="F41" s="187" t="n">
        <f aca="false">IFERROR(SUMPRODUCT((IF('ABRIL 2026'!Y6:Y119&lt;&gt;"",'ABRIL 2026'!Y6:Y119,'ABRIL 2026'!I6:I119)="COCABAMBA")*('ABRIL 2026'!K6:K119="GASOLINA")*'ABRIL 2026'!L6:L119*'ABRIL 2026'!M6:M119),0)</f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true" outlineLevel="0" collapsed="false">
      <c r="A42" s="1" t="s">
        <v>295</v>
      </c>
      <c r="B42" s="1" t="s">
        <v>5169</v>
      </c>
      <c r="C42" s="187" t="n">
        <f aca="false">IFERROR(SUMPRODUCT((IF('MAYO 2026'!Y6:Y110&lt;&gt;"",'MAYO 2026'!Y6:Y110,'MAYO 2026'!I6:I110)="COCABAMBA")*('MAYO 2026'!K6:K110="PETROLEO")*'MAYO 2026'!M6:M110),0)</f>
        <v>0</v>
      </c>
      <c r="D42" s="187" t="n">
        <f aca="false">IFERROR(SUMPRODUCT((IF('MAYO 2026'!Y6:Y110&lt;&gt;"",'MAYO 2026'!Y6:Y110,'MAYO 2026'!I6:I110)="COCABAMBA")*('MAYO 2026'!K6:K110="PETROLEO")*'MAYO 2026'!L6:L110*'MAYO 2026'!M6:M110),0)</f>
        <v>0</v>
      </c>
      <c r="E42" s="187" t="n">
        <f aca="false">IFERROR(SUMPRODUCT((IF('MAYO 2026'!Y6:Y110&lt;&gt;"",'MAYO 2026'!Y6:Y110,'MAYO 2026'!I6:I110)="COCABAMBA")*('MAYO 2026'!K6:K110="GASOLINA")*'MAYO 2026'!M6:M110),0)</f>
        <v>0</v>
      </c>
      <c r="F42" s="187" t="n">
        <f aca="false">IFERROR(SUMPRODUCT((IF('MAYO 2026'!Y6:Y110&lt;&gt;"",'MAYO 2026'!Y6:Y110,'MAYO 2026'!I6:I110)="COCABAMBA")*('MAYO 2026'!K6:K110="GASOLINA")*'MAYO 2026'!L6:L110*'MAYO 2026'!M6:M110),0)</f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true" outlineLevel="0" collapsed="false">
      <c r="A43" s="1" t="s">
        <v>295</v>
      </c>
      <c r="B43" s="1" t="s">
        <v>5170</v>
      </c>
      <c r="C43" s="187" t="n">
        <f aca="false">IFERROR(SUMPRODUCT((IF('JUNIO 2026'!Y6:Y110&lt;&gt;"",'JUNIO 2026'!Y6:Y110,'JUNIO 2026'!I6:I110)="COCABAMBA")*('JUNIO 2026'!K6:K110="PETROLEO")*'JUNIO 2026'!M6:M110),0)</f>
        <v>0</v>
      </c>
      <c r="D43" s="187" t="n">
        <f aca="false">IFERROR(SUMPRODUCT((IF('JUNIO 2026'!Y6:Y110&lt;&gt;"",'JUNIO 2026'!Y6:Y110,'JUNIO 2026'!I6:I110)="COCABAMBA")*('JUNIO 2026'!K6:K110="PETROLEO")*'JUNIO 2026'!L6:L110*'JUNIO 2026'!M6:M110),0)</f>
        <v>0</v>
      </c>
      <c r="E43" s="187" t="n">
        <f aca="false">IFERROR(SUMPRODUCT((IF('JUNIO 2026'!Y6:Y110&lt;&gt;"",'JUNIO 2026'!Y6:Y110,'JUNIO 2026'!I6:I110)="COCABAMBA")*('JUNIO 2026'!K6:K110="GASOLINA")*'JUNIO 2026'!M6:M110),0)</f>
        <v>0</v>
      </c>
      <c r="F43" s="187" t="n">
        <f aca="false">IFERROR(SUMPRODUCT((IF('JUNIO 2026'!Y6:Y110&lt;&gt;"",'JUNIO 2026'!Y6:Y110,'JUNIO 2026'!I6:I110)="COCABAMBA")*('JUNIO 2026'!K6:K110="GASOLINA")*'JUNIO 2026'!L6:L110*'JUNIO 2026'!M6:M110),0)</f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" hidden="false" customHeight="true" outlineLevel="0" collapsed="false">
      <c r="A44" s="1" t="s">
        <v>295</v>
      </c>
      <c r="B44" s="1" t="s">
        <v>5171</v>
      </c>
      <c r="C44" s="187" t="n">
        <f aca="false">IFERROR(SUMPRODUCT((IF('JULIO 2026'!Y6:Y110&lt;&gt;"",'JULIO 2026'!Y6:Y110,'JULIO 2026'!I6:I110)="COCABAMBA")*('JULIO 2026'!K6:K110="PETROLEO")*'JULIO 2026'!M6:M110),0)</f>
        <v>0</v>
      </c>
      <c r="D44" s="187" t="n">
        <f aca="false">IFERROR(SUMPRODUCT((IF('JULIO 2026'!Y6:Y110&lt;&gt;"",'JULIO 2026'!Y6:Y110,'JULIO 2026'!I6:I110)="COCABAMBA")*('JULIO 2026'!K6:K110="PETROLEO")*'JULIO 2026'!L6:L110*'JULIO 2026'!M6:M110),0)</f>
        <v>0</v>
      </c>
      <c r="E44" s="187" t="n">
        <f aca="false">IFERROR(SUMPRODUCT((IF('JULIO 2026'!Y6:Y110&lt;&gt;"",'JULIO 2026'!Y6:Y110,'JULIO 2026'!I6:I110)="COCABAMBA")*('JULIO 2026'!K6:K110="GASOLINA")*'JULIO 2026'!M6:M110),0)</f>
        <v>0</v>
      </c>
      <c r="F44" s="187" t="n">
        <f aca="false">IFERROR(SUMPRODUCT((IF('JULIO 2026'!Y6:Y110&lt;&gt;"",'JULIO 2026'!Y6:Y110,'JULIO 2026'!I6:I110)="COCABAMBA")*('JULIO 2026'!K6:K110="GASOLINA")*'JULIO 2026'!L6:L110*'JULIO 2026'!M6:M110),0)</f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true" outlineLevel="0" collapsed="false">
      <c r="A45" s="1" t="s">
        <v>295</v>
      </c>
      <c r="B45" s="1" t="s">
        <v>5172</v>
      </c>
      <c r="C45" s="187" t="n">
        <f aca="false">IFERROR(SUMPRODUCT((IF('AGOSTO 2026'!Y6:Y110&lt;&gt;"",'AGOSTO 2026'!Y6:Y110,'AGOSTO 2026'!I6:I110)="COCABAMBA")*('AGOSTO 2026'!K6:K110="PETROLEO")*'AGOSTO 2026'!M6:M110),0)</f>
        <v>0</v>
      </c>
      <c r="D45" s="187" t="n">
        <f aca="false">IFERROR(SUMPRODUCT((IF('AGOSTO 2026'!Y6:Y110&lt;&gt;"",'AGOSTO 2026'!Y6:Y110,'AGOSTO 2026'!I6:I110)="COCABAMBA")*('AGOSTO 2026'!K6:K110="PETROLEO")*'AGOSTO 2026'!L6:L110*'AGOSTO 2026'!M6:M110),0)</f>
        <v>0</v>
      </c>
      <c r="E45" s="187" t="n">
        <f aca="false">IFERROR(SUMPRODUCT((IF('AGOSTO 2026'!Y6:Y110&lt;&gt;"",'AGOSTO 2026'!Y6:Y110,'AGOSTO 2026'!I6:I110)="COCABAMBA")*('AGOSTO 2026'!K6:K110="GASOLINA")*'AGOSTO 2026'!M6:M110),0)</f>
        <v>0</v>
      </c>
      <c r="F45" s="187" t="n">
        <f aca="false">IFERROR(SUMPRODUCT((IF('AGOSTO 2026'!Y6:Y110&lt;&gt;"",'AGOSTO 2026'!Y6:Y110,'AGOSTO 2026'!I6:I110)="COCABAMBA")*('AGOSTO 2026'!K6:K110="GASOLINA")*'AGOSTO 2026'!L6:L110*'AGOSTO 2026'!M6:M110),0)</f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true" outlineLevel="0" collapsed="false">
      <c r="A46" s="1" t="s">
        <v>295</v>
      </c>
      <c r="B46" s="1" t="s">
        <v>5173</v>
      </c>
      <c r="C46" s="187" t="n">
        <f aca="false">IFERROR(SUMPRODUCT((IF('SETIEMBRE 2026'!Y6:Y110&lt;&gt;"",'SETIEMBRE 2026'!Y6:Y110,'SETIEMBRE 2026'!I6:I110)="COCABAMBA")*('SETIEMBRE 2026'!K6:K110="PETROLEO")*'SETIEMBRE 2026'!M6:M110),0)</f>
        <v>0</v>
      </c>
      <c r="D46" s="187" t="n">
        <f aca="false">IFERROR(SUMPRODUCT((IF('SETIEMBRE 2026'!Y6:Y110&lt;&gt;"",'SETIEMBRE 2026'!Y6:Y110,'SETIEMBRE 2026'!I6:I110)="COCABAMBA")*('SETIEMBRE 2026'!K6:K110="PETROLEO")*'SETIEMBRE 2026'!L6:L110*'SETIEMBRE 2026'!M6:M110),0)</f>
        <v>0</v>
      </c>
      <c r="E46" s="187" t="n">
        <f aca="false">IFERROR(SUMPRODUCT((IF('SETIEMBRE 2026'!Y6:Y110&lt;&gt;"",'SETIEMBRE 2026'!Y6:Y110,'SETIEMBRE 2026'!I6:I110)="COCABAMBA")*('SETIEMBRE 2026'!K6:K110="GASOLINA")*'SETIEMBRE 2026'!M6:M110),0)</f>
        <v>0</v>
      </c>
      <c r="F46" s="187" t="n">
        <f aca="false">IFERROR(SUMPRODUCT((IF('SETIEMBRE 2026'!Y6:Y110&lt;&gt;"",'SETIEMBRE 2026'!Y6:Y110,'SETIEMBRE 2026'!I6:I110)="COCABAMBA")*('SETIEMBRE 2026'!K6:K110="GASOLINA")*'SETIEMBRE 2026'!L6:L110*'SETIEMBRE 2026'!M6:M110),0)</f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true" outlineLevel="0" collapsed="false">
      <c r="A47" s="1" t="s">
        <v>295</v>
      </c>
      <c r="B47" s="1" t="s">
        <v>5174</v>
      </c>
      <c r="C47" s="187" t="n">
        <f aca="false">IFERROR(SUMPRODUCT((IF('OCTUBRE 2026'!Y6:Y110&lt;&gt;"",'OCTUBRE 2026'!Y6:Y110,'OCTUBRE 2026'!I6:I110)="COCABAMBA")*('OCTUBRE 2026'!K6:K110="PETROLEO")*'OCTUBRE 2026'!M6:M110),0)</f>
        <v>0</v>
      </c>
      <c r="D47" s="187" t="n">
        <f aca="false">IFERROR(SUMPRODUCT((IF('OCTUBRE 2026'!Y6:Y110&lt;&gt;"",'OCTUBRE 2026'!Y6:Y110,'OCTUBRE 2026'!I6:I110)="COCABAMBA")*('OCTUBRE 2026'!K6:K110="PETROLEO")*'OCTUBRE 2026'!L6:L110*'OCTUBRE 2026'!M6:M110),0)</f>
        <v>0</v>
      </c>
      <c r="E47" s="187" t="n">
        <f aca="false">IFERROR(SUMPRODUCT((IF('OCTUBRE 2026'!Y6:Y110&lt;&gt;"",'OCTUBRE 2026'!Y6:Y110,'OCTUBRE 2026'!I6:I110)="COCABAMBA")*('OCTUBRE 2026'!K6:K110="GASOLINA")*'OCTUBRE 2026'!M6:M110),0)</f>
        <v>0</v>
      </c>
      <c r="F47" s="187" t="n">
        <f aca="false">IFERROR(SUMPRODUCT((IF('OCTUBRE 2026'!Y6:Y110&lt;&gt;"",'OCTUBRE 2026'!Y6:Y110,'OCTUBRE 2026'!I6:I110)="COCABAMBA")*('OCTUBRE 2026'!K6:K110="GASOLINA")*'OCTUBRE 2026'!L6:L110*'OCTUBRE 2026'!M6:M110),0)</f>
        <v>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true" outlineLevel="0" collapsed="false">
      <c r="A48" s="1" t="s">
        <v>295</v>
      </c>
      <c r="B48" s="1" t="s">
        <v>5175</v>
      </c>
      <c r="C48" s="187" t="n">
        <f aca="false">IFERROR(SUMPRODUCT((IF('NOVIEMBRE 2026'!Y6:Y110&lt;&gt;"",'NOVIEMBRE 2026'!Y6:Y110,'NOVIEMBRE 2026'!I6:I110)="COCABAMBA")*('NOVIEMBRE 2026'!K6:K110="PETROLEO")*'NOVIEMBRE 2026'!M6:M110),0)</f>
        <v>0</v>
      </c>
      <c r="D48" s="187" t="n">
        <f aca="false">IFERROR(SUMPRODUCT((IF('NOVIEMBRE 2026'!Y6:Y110&lt;&gt;"",'NOVIEMBRE 2026'!Y6:Y110,'NOVIEMBRE 2026'!I6:I110)="COCABAMBA")*('NOVIEMBRE 2026'!K6:K110="PETROLEO")*'NOVIEMBRE 2026'!L6:L110*'NOVIEMBRE 2026'!M6:M110),0)</f>
        <v>0</v>
      </c>
      <c r="E48" s="187" t="n">
        <f aca="false">IFERROR(SUMPRODUCT((IF('NOVIEMBRE 2026'!Y6:Y110&lt;&gt;"",'NOVIEMBRE 2026'!Y6:Y110,'NOVIEMBRE 2026'!I6:I110)="COCABAMBA")*('NOVIEMBRE 2026'!K6:K110="GASOLINA")*'NOVIEMBRE 2026'!M6:M110),0)</f>
        <v>0</v>
      </c>
      <c r="F48" s="187" t="n">
        <f aca="false">IFERROR(SUMPRODUCT((IF('NOVIEMBRE 2026'!Y6:Y110&lt;&gt;"",'NOVIEMBRE 2026'!Y6:Y110,'NOVIEMBRE 2026'!I6:I110)="COCABAMBA")*('NOVIEMBRE 2026'!K6:K110="GASOLINA")*'NOVIEMBRE 2026'!L6:L110*'NOVIEMBRE 2026'!M6:M110),0)</f>
        <v>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true" outlineLevel="0" collapsed="false">
      <c r="A49" s="1" t="s">
        <v>295</v>
      </c>
      <c r="B49" s="1" t="s">
        <v>5176</v>
      </c>
      <c r="C49" s="187" t="n">
        <f aca="false">IFERROR(SUMPRODUCT((IF('DICIEMBRE 2026'!Y6:Y110&lt;&gt;"",'DICIEMBRE 2026'!Y6:Y110,'DICIEMBRE 2026'!I6:I110)="COCABAMBA")*('DICIEMBRE 2026'!K6:K110="PETROLEO")*'DICIEMBRE 2026'!M6:M110),0)</f>
        <v>0</v>
      </c>
      <c r="D49" s="187" t="n">
        <f aca="false">IFERROR(SUMPRODUCT((IF('DICIEMBRE 2026'!Y6:Y110&lt;&gt;"",'DICIEMBRE 2026'!Y6:Y110,'DICIEMBRE 2026'!I6:I110)="COCABAMBA")*('DICIEMBRE 2026'!K6:K110="PETROLEO")*'DICIEMBRE 2026'!L6:L110*'DICIEMBRE 2026'!M6:M110),0)</f>
        <v>0</v>
      </c>
      <c r="E49" s="187" t="n">
        <f aca="false">IFERROR(SUMPRODUCT((IF('DICIEMBRE 2026'!Y6:Y110&lt;&gt;"",'DICIEMBRE 2026'!Y6:Y110,'DICIEMBRE 2026'!I6:I110)="COCABAMBA")*('DICIEMBRE 2026'!K6:K110="GASOLINA")*'DICIEMBRE 2026'!M6:M110),0)</f>
        <v>0</v>
      </c>
      <c r="F49" s="187" t="n">
        <f aca="false">IFERROR(SUMPRODUCT((IF('DICIEMBRE 2026'!Y6:Y110&lt;&gt;"",'DICIEMBRE 2026'!Y6:Y110,'DICIEMBRE 2026'!I6:I110)="COCABAMBA")*('DICIEMBRE 2026'!K6:K110="GASOLINA")*'DICIEMBRE 2026'!L6:L110*'DICIEMBRE 2026'!M6:M110),0)</f>
        <v>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true" outlineLevel="0" collapsed="false">
      <c r="A50" s="1" t="s">
        <v>311</v>
      </c>
      <c r="B50" s="1" t="s">
        <v>5165</v>
      </c>
      <c r="C50" s="187" t="n">
        <f aca="false">IFERROR(SUMPRODUCT((IF('ENERO 2026'!Y6:Y119&lt;&gt;"",'ENERO 2026'!Y6:Y119,'ENERO 2026'!I6:I119)="COCOCHO")*('ENERO 2026'!K6:K119="PETROLEO")*'ENERO 2026'!M6:M119),0)</f>
        <v>0</v>
      </c>
      <c r="D50" s="187" t="n">
        <f aca="false">IFERROR(SUMPRODUCT((IF('ENERO 2026'!Y6:Y119&lt;&gt;"",'ENERO 2026'!Y6:Y119,'ENERO 2026'!I6:I119)="COCOCHO")*('ENERO 2026'!K6:K119="PETROLEO")*'ENERO 2026'!L6:L119*'ENERO 2026'!M6:M119),0)</f>
        <v>0</v>
      </c>
      <c r="E50" s="187" t="n">
        <f aca="false">IFERROR(SUMPRODUCT((IF('ENERO 2026'!Y6:Y119&lt;&gt;"",'ENERO 2026'!Y6:Y119,'ENERO 2026'!I6:I119)="COCOCHO")*('ENERO 2026'!K6:K119="GASOLINA")*'ENERO 2026'!M6:M119),0)</f>
        <v>0</v>
      </c>
      <c r="F50" s="187" t="n">
        <f aca="false">IFERROR(SUMPRODUCT((IF('ENERO 2026'!Y6:Y119&lt;&gt;"",'ENERO 2026'!Y6:Y119,'ENERO 2026'!I6:I119)="COCOCHO")*('ENERO 2026'!K6:K119="GASOLINA")*'ENERO 2026'!L6:L119*'ENERO 2026'!M6:M119),0)</f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true" outlineLevel="0" collapsed="false">
      <c r="A51" s="1" t="s">
        <v>311</v>
      </c>
      <c r="B51" s="1" t="s">
        <v>5166</v>
      </c>
      <c r="C51" s="187" t="n">
        <f aca="false">IFERROR(SUMPRODUCT((IF('FEBRERO 2026'!Y6:Y124&lt;&gt;"",'FEBRERO 2026'!Y6:Y124,'FEBRERO 2026'!I6:I124)="COCOCHO")*('FEBRERO 2026'!K6:K124="PETROLEO")*'FEBRERO 2026'!M6:M124),0)</f>
        <v>20</v>
      </c>
      <c r="D51" s="187" t="n">
        <f aca="false">IFERROR(SUMPRODUCT((IF('FEBRERO 2026'!Y6:Y124&lt;&gt;"",'FEBRERO 2026'!Y6:Y124,'FEBRERO 2026'!I6:I124)="COCOCHO")*('FEBRERO 2026'!K6:K124="PETROLEO")*'FEBRERO 2026'!L6:L124*'FEBRERO 2026'!M6:M124),0)</f>
        <v>363.6</v>
      </c>
      <c r="E51" s="187" t="n">
        <f aca="false">IFERROR(SUMPRODUCT((IF('FEBRERO 2026'!Y6:Y124&lt;&gt;"",'FEBRERO 2026'!Y6:Y124,'FEBRERO 2026'!I6:I124)="COCOCHO")*('FEBRERO 2026'!K6:K124="GASOLINA")*'FEBRERO 2026'!M6:M124),0)</f>
        <v>0</v>
      </c>
      <c r="F51" s="187" t="n">
        <f aca="false">IFERROR(SUMPRODUCT((IF('FEBRERO 2026'!Y6:Y124&lt;&gt;"",'FEBRERO 2026'!Y6:Y124,'FEBRERO 2026'!I6:I124)="COCOCHO")*('FEBRERO 2026'!K6:K124="GASOLINA")*'FEBRERO 2026'!L6:L124*'FEBRERO 2026'!M6:M124),0)</f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true" outlineLevel="0" collapsed="false">
      <c r="A52" s="1" t="s">
        <v>311</v>
      </c>
      <c r="B52" s="1" t="s">
        <v>5167</v>
      </c>
      <c r="C52" s="187" t="n">
        <f aca="false">IFERROR(SUMPRODUCT((IF('MARZO 2026'!Y6:Y119&lt;&gt;"",'MARZO 2026'!Y6:Y119,'MARZO 2026'!I6:I119)="COCOCHO")*('MARZO 2026'!K6:K119="PETROLEO")*'MARZO 2026'!M6:M119),0)</f>
        <v>42</v>
      </c>
      <c r="D52" s="187" t="n">
        <f aca="false">IFERROR(SUMPRODUCT((IF('MARZO 2026'!Y6:Y119&lt;&gt;"",'MARZO 2026'!Y6:Y119,'MARZO 2026'!I6:I119)="COCOCHO")*('MARZO 2026'!K6:K119="PETROLEO")*'MARZO 2026'!L6:L119*'MARZO 2026'!M6:M119),0)</f>
        <v>763.56</v>
      </c>
      <c r="E52" s="187" t="n">
        <f aca="false">IFERROR(SUMPRODUCT((IF('MARZO 2026'!Y6:Y119&lt;&gt;"",'MARZO 2026'!Y6:Y119,'MARZO 2026'!I6:I119)="COCOCHO")*('MARZO 2026'!K6:K119="GASOLINA")*'MARZO 2026'!M6:M119),0)</f>
        <v>0</v>
      </c>
      <c r="F52" s="187" t="n">
        <f aca="false">IFERROR(SUMPRODUCT((IF('MARZO 2026'!Y6:Y119&lt;&gt;"",'MARZO 2026'!Y6:Y119,'MARZO 2026'!I6:I119)="COCOCHO")*('MARZO 2026'!K6:K119="GASOLINA")*'MARZO 2026'!L6:L119*'MARZO 2026'!M6:M119),0)</f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true" outlineLevel="0" collapsed="false">
      <c r="A53" s="1" t="s">
        <v>311</v>
      </c>
      <c r="B53" s="1" t="s">
        <v>5168</v>
      </c>
      <c r="C53" s="187" t="n">
        <f aca="false">IFERROR(SUMPRODUCT((IF('ABRIL 2026'!Y6:Y119&lt;&gt;"",'ABRIL 2026'!Y6:Y119,'ABRIL 2026'!I6:I119)="COCOCHO")*('ABRIL 2026'!K6:K119="PETROLEO")*'ABRIL 2026'!M6:M119),0)</f>
        <v>0</v>
      </c>
      <c r="D53" s="187" t="n">
        <f aca="false">IFERROR(SUMPRODUCT((IF('ABRIL 2026'!Y6:Y119&lt;&gt;"",'ABRIL 2026'!Y6:Y119,'ABRIL 2026'!I6:I119)="COCOCHO")*('ABRIL 2026'!K6:K119="PETROLEO")*'ABRIL 2026'!L6:L119*'ABRIL 2026'!M6:M119),0)</f>
        <v>0</v>
      </c>
      <c r="E53" s="187" t="n">
        <f aca="false">IFERROR(SUMPRODUCT((IF('ABRIL 2026'!Y6:Y119&lt;&gt;"",'ABRIL 2026'!Y6:Y119,'ABRIL 2026'!I6:I119)="COCOCHO")*('ABRIL 2026'!K6:K119="GASOLINA")*'ABRIL 2026'!M6:M119),0)</f>
        <v>0</v>
      </c>
      <c r="F53" s="187" t="n">
        <f aca="false">IFERROR(SUMPRODUCT((IF('ABRIL 2026'!Y6:Y119&lt;&gt;"",'ABRIL 2026'!Y6:Y119,'ABRIL 2026'!I6:I119)="COCOCHO")*('ABRIL 2026'!K6:K119="GASOLINA")*'ABRIL 2026'!L6:L119*'ABRIL 2026'!M6:M119),0)</f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true" outlineLevel="0" collapsed="false">
      <c r="A54" s="1" t="s">
        <v>311</v>
      </c>
      <c r="B54" s="1" t="s">
        <v>5169</v>
      </c>
      <c r="C54" s="187" t="n">
        <f aca="false">IFERROR(SUMPRODUCT((IF('MAYO 2026'!Y6:Y110&lt;&gt;"",'MAYO 2026'!Y6:Y110,'MAYO 2026'!I6:I110)="COCOCHO")*('MAYO 2026'!K6:K110="PETROLEO")*'MAYO 2026'!M6:M110),0)</f>
        <v>0</v>
      </c>
      <c r="D54" s="187" t="n">
        <f aca="false">IFERROR(SUMPRODUCT((IF('MAYO 2026'!Y6:Y110&lt;&gt;"",'MAYO 2026'!Y6:Y110,'MAYO 2026'!I6:I110)="COCOCHO")*('MAYO 2026'!K6:K110="PETROLEO")*'MAYO 2026'!L6:L110*'MAYO 2026'!M6:M110),0)</f>
        <v>0</v>
      </c>
      <c r="E54" s="187" t="n">
        <f aca="false">IFERROR(SUMPRODUCT((IF('MAYO 2026'!Y6:Y110&lt;&gt;"",'MAYO 2026'!Y6:Y110,'MAYO 2026'!I6:I110)="COCOCHO")*('MAYO 2026'!K6:K110="GASOLINA")*'MAYO 2026'!M6:M110),0)</f>
        <v>0</v>
      </c>
      <c r="F54" s="187" t="n">
        <f aca="false">IFERROR(SUMPRODUCT((IF('MAYO 2026'!Y6:Y110&lt;&gt;"",'MAYO 2026'!Y6:Y110,'MAYO 2026'!I6:I110)="COCOCHO")*('MAYO 2026'!K6:K110="GASOLINA")*'MAYO 2026'!L6:L110*'MAYO 2026'!M6:M110),0)</f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true" outlineLevel="0" collapsed="false">
      <c r="A55" s="1" t="s">
        <v>311</v>
      </c>
      <c r="B55" s="1" t="s">
        <v>5170</v>
      </c>
      <c r="C55" s="187" t="n">
        <f aca="false">IFERROR(SUMPRODUCT((IF('JUNIO 2026'!Y6:Y110&lt;&gt;"",'JUNIO 2026'!Y6:Y110,'JUNIO 2026'!I6:I110)="COCOCHO")*('JUNIO 2026'!K6:K110="PETROLEO")*'JUNIO 2026'!M6:M110),0)</f>
        <v>0</v>
      </c>
      <c r="D55" s="187" t="n">
        <f aca="false">IFERROR(SUMPRODUCT((IF('JUNIO 2026'!Y6:Y110&lt;&gt;"",'JUNIO 2026'!Y6:Y110,'JUNIO 2026'!I6:I110)="COCOCHO")*('JUNIO 2026'!K6:K110="PETROLEO")*'JUNIO 2026'!L6:L110*'JUNIO 2026'!M6:M110),0)</f>
        <v>0</v>
      </c>
      <c r="E55" s="187" t="n">
        <f aca="false">IFERROR(SUMPRODUCT((IF('JUNIO 2026'!Y6:Y110&lt;&gt;"",'JUNIO 2026'!Y6:Y110,'JUNIO 2026'!I6:I110)="COCOCHO")*('JUNIO 2026'!K6:K110="GASOLINA")*'JUNIO 2026'!M6:M110),0)</f>
        <v>0</v>
      </c>
      <c r="F55" s="187" t="n">
        <f aca="false">IFERROR(SUMPRODUCT((IF('JUNIO 2026'!Y6:Y110&lt;&gt;"",'JUNIO 2026'!Y6:Y110,'JUNIO 2026'!I6:I110)="COCOCHO")*('JUNIO 2026'!K6:K110="GASOLINA")*'JUNIO 2026'!L6:L110*'JUNIO 2026'!M6:M110),0)</f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true" outlineLevel="0" collapsed="false">
      <c r="A56" s="1" t="s">
        <v>311</v>
      </c>
      <c r="B56" s="1" t="s">
        <v>5171</v>
      </c>
      <c r="C56" s="187" t="n">
        <f aca="false">IFERROR(SUMPRODUCT((IF('JULIO 2026'!Y6:Y110&lt;&gt;"",'JULIO 2026'!Y6:Y110,'JULIO 2026'!I6:I110)="COCOCHO")*('JULIO 2026'!K6:K110="PETROLEO")*'JULIO 2026'!M6:M110),0)</f>
        <v>0</v>
      </c>
      <c r="D56" s="187" t="n">
        <f aca="false">IFERROR(SUMPRODUCT((IF('JULIO 2026'!Y6:Y110&lt;&gt;"",'JULIO 2026'!Y6:Y110,'JULIO 2026'!I6:I110)="COCOCHO")*('JULIO 2026'!K6:K110="PETROLEO")*'JULIO 2026'!L6:L110*'JULIO 2026'!M6:M110),0)</f>
        <v>0</v>
      </c>
      <c r="E56" s="187" t="n">
        <f aca="false">IFERROR(SUMPRODUCT((IF('JULIO 2026'!Y6:Y110&lt;&gt;"",'JULIO 2026'!Y6:Y110,'JULIO 2026'!I6:I110)="COCOCHO")*('JULIO 2026'!K6:K110="GASOLINA")*'JULIO 2026'!M6:M110),0)</f>
        <v>0</v>
      </c>
      <c r="F56" s="187" t="n">
        <f aca="false">IFERROR(SUMPRODUCT((IF('JULIO 2026'!Y6:Y110&lt;&gt;"",'JULIO 2026'!Y6:Y110,'JULIO 2026'!I6:I110)="COCOCHO")*('JULIO 2026'!K6:K110="GASOLINA")*'JULIO 2026'!L6:L110*'JULIO 2026'!M6:M110),0)</f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true" outlineLevel="0" collapsed="false">
      <c r="A57" s="1" t="s">
        <v>311</v>
      </c>
      <c r="B57" s="1" t="s">
        <v>5172</v>
      </c>
      <c r="C57" s="187" t="n">
        <f aca="false">IFERROR(SUMPRODUCT((IF('AGOSTO 2026'!Y6:Y110&lt;&gt;"",'AGOSTO 2026'!Y6:Y110,'AGOSTO 2026'!I6:I110)="COCOCHO")*('AGOSTO 2026'!K6:K110="PETROLEO")*'AGOSTO 2026'!M6:M110),0)</f>
        <v>0</v>
      </c>
      <c r="D57" s="187" t="n">
        <f aca="false">IFERROR(SUMPRODUCT((IF('AGOSTO 2026'!Y6:Y110&lt;&gt;"",'AGOSTO 2026'!Y6:Y110,'AGOSTO 2026'!I6:I110)="COCOCHO")*('AGOSTO 2026'!K6:K110="PETROLEO")*'AGOSTO 2026'!L6:L110*'AGOSTO 2026'!M6:M110),0)</f>
        <v>0</v>
      </c>
      <c r="E57" s="187" t="n">
        <f aca="false">IFERROR(SUMPRODUCT((IF('AGOSTO 2026'!Y6:Y110&lt;&gt;"",'AGOSTO 2026'!Y6:Y110,'AGOSTO 2026'!I6:I110)="COCOCHO")*('AGOSTO 2026'!K6:K110="GASOLINA")*'AGOSTO 2026'!M6:M110),0)</f>
        <v>0</v>
      </c>
      <c r="F57" s="187" t="n">
        <f aca="false">IFERROR(SUMPRODUCT((IF('AGOSTO 2026'!Y6:Y110&lt;&gt;"",'AGOSTO 2026'!Y6:Y110,'AGOSTO 2026'!I6:I110)="COCOCHO")*('AGOSTO 2026'!K6:K110="GASOLINA")*'AGOSTO 2026'!L6:L110*'AGOSTO 2026'!M6:M110),0)</f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true" outlineLevel="0" collapsed="false">
      <c r="A58" s="1" t="s">
        <v>311</v>
      </c>
      <c r="B58" s="1" t="s">
        <v>5173</v>
      </c>
      <c r="C58" s="187" t="n">
        <f aca="false">IFERROR(SUMPRODUCT((IF('SETIEMBRE 2026'!Y6:Y110&lt;&gt;"",'SETIEMBRE 2026'!Y6:Y110,'SETIEMBRE 2026'!I6:I110)="COCOCHO")*('SETIEMBRE 2026'!K6:K110="PETROLEO")*'SETIEMBRE 2026'!M6:M110),0)</f>
        <v>0</v>
      </c>
      <c r="D58" s="187" t="n">
        <f aca="false">IFERROR(SUMPRODUCT((IF('SETIEMBRE 2026'!Y6:Y110&lt;&gt;"",'SETIEMBRE 2026'!Y6:Y110,'SETIEMBRE 2026'!I6:I110)="COCOCHO")*('SETIEMBRE 2026'!K6:K110="PETROLEO")*'SETIEMBRE 2026'!L6:L110*'SETIEMBRE 2026'!M6:M110),0)</f>
        <v>0</v>
      </c>
      <c r="E58" s="187" t="n">
        <f aca="false">IFERROR(SUMPRODUCT((IF('SETIEMBRE 2026'!Y6:Y110&lt;&gt;"",'SETIEMBRE 2026'!Y6:Y110,'SETIEMBRE 2026'!I6:I110)="COCOCHO")*('SETIEMBRE 2026'!K6:K110="GASOLINA")*'SETIEMBRE 2026'!M6:M110),0)</f>
        <v>0</v>
      </c>
      <c r="F58" s="187" t="n">
        <f aca="false">IFERROR(SUMPRODUCT((IF('SETIEMBRE 2026'!Y6:Y110&lt;&gt;"",'SETIEMBRE 2026'!Y6:Y110,'SETIEMBRE 2026'!I6:I110)="COCOCHO")*('SETIEMBRE 2026'!K6:K110="GASOLINA")*'SETIEMBRE 2026'!L6:L110*'SETIEMBRE 2026'!M6:M110),0)</f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true" outlineLevel="0" collapsed="false">
      <c r="A59" s="1" t="s">
        <v>311</v>
      </c>
      <c r="B59" s="1" t="s">
        <v>5174</v>
      </c>
      <c r="C59" s="187" t="n">
        <f aca="false">IFERROR(SUMPRODUCT((IF('OCTUBRE 2026'!Y6:Y110&lt;&gt;"",'OCTUBRE 2026'!Y6:Y110,'OCTUBRE 2026'!I6:I110)="COCOCHO")*('OCTUBRE 2026'!K6:K110="PETROLEO")*'OCTUBRE 2026'!M6:M110),0)</f>
        <v>0</v>
      </c>
      <c r="D59" s="187" t="n">
        <f aca="false">IFERROR(SUMPRODUCT((IF('OCTUBRE 2026'!Y6:Y110&lt;&gt;"",'OCTUBRE 2026'!Y6:Y110,'OCTUBRE 2026'!I6:I110)="COCOCHO")*('OCTUBRE 2026'!K6:K110="PETROLEO")*'OCTUBRE 2026'!L6:L110*'OCTUBRE 2026'!M6:M110),0)</f>
        <v>0</v>
      </c>
      <c r="E59" s="187" t="n">
        <f aca="false">IFERROR(SUMPRODUCT((IF('OCTUBRE 2026'!Y6:Y110&lt;&gt;"",'OCTUBRE 2026'!Y6:Y110,'OCTUBRE 2026'!I6:I110)="COCOCHO")*('OCTUBRE 2026'!K6:K110="GASOLINA")*'OCTUBRE 2026'!M6:M110),0)</f>
        <v>0</v>
      </c>
      <c r="F59" s="187" t="n">
        <f aca="false">IFERROR(SUMPRODUCT((IF('OCTUBRE 2026'!Y6:Y110&lt;&gt;"",'OCTUBRE 2026'!Y6:Y110,'OCTUBRE 2026'!I6:I110)="COCOCHO")*('OCTUBRE 2026'!K6:K110="GASOLINA")*'OCTUBRE 2026'!L6:L110*'OCTUBRE 2026'!M6:M110),0)</f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true" outlineLevel="0" collapsed="false">
      <c r="A60" s="1" t="s">
        <v>311</v>
      </c>
      <c r="B60" s="1" t="s">
        <v>5175</v>
      </c>
      <c r="C60" s="187" t="n">
        <f aca="false">IFERROR(SUMPRODUCT((IF('NOVIEMBRE 2026'!Y6:Y110&lt;&gt;"",'NOVIEMBRE 2026'!Y6:Y110,'NOVIEMBRE 2026'!I6:I110)="COCOCHO")*('NOVIEMBRE 2026'!K6:K110="PETROLEO")*'NOVIEMBRE 2026'!M6:M110),0)</f>
        <v>0</v>
      </c>
      <c r="D60" s="187" t="n">
        <f aca="false">IFERROR(SUMPRODUCT((IF('NOVIEMBRE 2026'!Y6:Y110&lt;&gt;"",'NOVIEMBRE 2026'!Y6:Y110,'NOVIEMBRE 2026'!I6:I110)="COCOCHO")*('NOVIEMBRE 2026'!K6:K110="PETROLEO")*'NOVIEMBRE 2026'!L6:L110*'NOVIEMBRE 2026'!M6:M110),0)</f>
        <v>0</v>
      </c>
      <c r="E60" s="187" t="n">
        <f aca="false">IFERROR(SUMPRODUCT((IF('NOVIEMBRE 2026'!Y6:Y110&lt;&gt;"",'NOVIEMBRE 2026'!Y6:Y110,'NOVIEMBRE 2026'!I6:I110)="COCOCHO")*('NOVIEMBRE 2026'!K6:K110="GASOLINA")*'NOVIEMBRE 2026'!M6:M110),0)</f>
        <v>0</v>
      </c>
      <c r="F60" s="187" t="n">
        <f aca="false">IFERROR(SUMPRODUCT((IF('NOVIEMBRE 2026'!Y6:Y110&lt;&gt;"",'NOVIEMBRE 2026'!Y6:Y110,'NOVIEMBRE 2026'!I6:I110)="COCOCHO")*('NOVIEMBRE 2026'!K6:K110="GASOLINA")*'NOVIEMBRE 2026'!L6:L110*'NOVIEMBRE 2026'!M6:M110),0)</f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true" outlineLevel="0" collapsed="false">
      <c r="A61" s="1" t="s">
        <v>311</v>
      </c>
      <c r="B61" s="1" t="s">
        <v>5176</v>
      </c>
      <c r="C61" s="187" t="n">
        <f aca="false">IFERROR(SUMPRODUCT((IF('DICIEMBRE 2026'!Y6:Y110&lt;&gt;"",'DICIEMBRE 2026'!Y6:Y110,'DICIEMBRE 2026'!I6:I110)="COCOCHO")*('DICIEMBRE 2026'!K6:K110="PETROLEO")*'DICIEMBRE 2026'!M6:M110),0)</f>
        <v>0</v>
      </c>
      <c r="D61" s="187" t="n">
        <f aca="false">IFERROR(SUMPRODUCT((IF('DICIEMBRE 2026'!Y6:Y110&lt;&gt;"",'DICIEMBRE 2026'!Y6:Y110,'DICIEMBRE 2026'!I6:I110)="COCOCHO")*('DICIEMBRE 2026'!K6:K110="PETROLEO")*'DICIEMBRE 2026'!L6:L110*'DICIEMBRE 2026'!M6:M110),0)</f>
        <v>0</v>
      </c>
      <c r="E61" s="187" t="n">
        <f aca="false">IFERROR(SUMPRODUCT((IF('DICIEMBRE 2026'!Y6:Y110&lt;&gt;"",'DICIEMBRE 2026'!Y6:Y110,'DICIEMBRE 2026'!I6:I110)="COCOCHO")*('DICIEMBRE 2026'!K6:K110="GASOLINA")*'DICIEMBRE 2026'!M6:M110),0)</f>
        <v>0</v>
      </c>
      <c r="F61" s="187" t="n">
        <f aca="false">IFERROR(SUMPRODUCT((IF('DICIEMBRE 2026'!Y6:Y110&lt;&gt;"",'DICIEMBRE 2026'!Y6:Y110,'DICIEMBRE 2026'!I6:I110)="COCOCHO")*('DICIEMBRE 2026'!K6:K110="GASOLINA")*'DICIEMBRE 2026'!L6:L110*'DICIEMBRE 2026'!M6:M110),0)</f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true" outlineLevel="0" collapsed="false">
      <c r="A62" s="1" t="s">
        <v>119</v>
      </c>
      <c r="B62" s="1" t="s">
        <v>5165</v>
      </c>
      <c r="C62" s="187" t="n">
        <f aca="false">IFERROR(SUMPRODUCT((IF('ENERO 2026'!Y6:Y119&lt;&gt;"",'ENERO 2026'!Y6:Y119,'ENERO 2026'!I6:I119)="COLCAMAR")*('ENERO 2026'!K6:K119="PETROLEO")*'ENERO 2026'!M6:M119),0)</f>
        <v>28</v>
      </c>
      <c r="D62" s="187" t="n">
        <f aca="false">IFERROR(SUMPRODUCT((IF('ENERO 2026'!Y6:Y119&lt;&gt;"",'ENERO 2026'!Y6:Y119,'ENERO 2026'!I6:I119)="COLCAMAR")*('ENERO 2026'!K6:K119="PETROLEO")*'ENERO 2026'!L6:L119*'ENERO 2026'!M6:M119),0)</f>
        <v>509.04</v>
      </c>
      <c r="E62" s="187" t="n">
        <f aca="false">IFERROR(SUMPRODUCT((IF('ENERO 2026'!Y6:Y119&lt;&gt;"",'ENERO 2026'!Y6:Y119,'ENERO 2026'!I6:I119)="COLCAMAR")*('ENERO 2026'!K6:K119="GASOLINA")*'ENERO 2026'!M6:M119),0)</f>
        <v>0</v>
      </c>
      <c r="F62" s="187" t="n">
        <f aca="false">IFERROR(SUMPRODUCT((IF('ENERO 2026'!Y6:Y119&lt;&gt;"",'ENERO 2026'!Y6:Y119,'ENERO 2026'!I6:I119)="COLCAMAR")*('ENERO 2026'!K6:K119="GASOLINA")*'ENERO 2026'!L6:L119*'ENERO 2026'!M6:M119),0)</f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true" outlineLevel="0" collapsed="false">
      <c r="A63" s="1" t="s">
        <v>119</v>
      </c>
      <c r="B63" s="1" t="s">
        <v>5166</v>
      </c>
      <c r="C63" s="187" t="n">
        <f aca="false">IFERROR(SUMPRODUCT((IF('FEBRERO 2026'!Y6:Y124&lt;&gt;"",'FEBRERO 2026'!Y6:Y124,'FEBRERO 2026'!I6:I124)="COLCAMAR")*('FEBRERO 2026'!K6:K124="PETROLEO")*'FEBRERO 2026'!M6:M124),0)</f>
        <v>0</v>
      </c>
      <c r="D63" s="187" t="n">
        <f aca="false">IFERROR(SUMPRODUCT((IF('FEBRERO 2026'!Y6:Y124&lt;&gt;"",'FEBRERO 2026'!Y6:Y124,'FEBRERO 2026'!I6:I124)="COLCAMAR")*('FEBRERO 2026'!K6:K124="PETROLEO")*'FEBRERO 2026'!L6:L124*'FEBRERO 2026'!M6:M124),0)</f>
        <v>0</v>
      </c>
      <c r="E63" s="187" t="n">
        <f aca="false">IFERROR(SUMPRODUCT((IF('FEBRERO 2026'!Y6:Y124&lt;&gt;"",'FEBRERO 2026'!Y6:Y124,'FEBRERO 2026'!I6:I124)="COLCAMAR")*('FEBRERO 2026'!K6:K124="GASOLINA")*'FEBRERO 2026'!M6:M124),0)</f>
        <v>0</v>
      </c>
      <c r="F63" s="187" t="n">
        <f aca="false">IFERROR(SUMPRODUCT((IF('FEBRERO 2026'!Y6:Y124&lt;&gt;"",'FEBRERO 2026'!Y6:Y124,'FEBRERO 2026'!I6:I124)="COLCAMAR")*('FEBRERO 2026'!K6:K124="GASOLINA")*'FEBRERO 2026'!L6:L124*'FEBRERO 2026'!M6:M124),0)</f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true" outlineLevel="0" collapsed="false">
      <c r="A64" s="1" t="s">
        <v>119</v>
      </c>
      <c r="B64" s="1" t="s">
        <v>5167</v>
      </c>
      <c r="C64" s="187" t="n">
        <f aca="false">IFERROR(SUMPRODUCT((IF('MARZO 2026'!Y6:Y119&lt;&gt;"",'MARZO 2026'!Y6:Y119,'MARZO 2026'!I6:I119)="COLCAMAR")*('MARZO 2026'!K6:K119="PETROLEO")*'MARZO 2026'!M6:M119),0)</f>
        <v>0</v>
      </c>
      <c r="D64" s="187" t="n">
        <f aca="false">IFERROR(SUMPRODUCT((IF('MARZO 2026'!Y6:Y119&lt;&gt;"",'MARZO 2026'!Y6:Y119,'MARZO 2026'!I6:I119)="COLCAMAR")*('MARZO 2026'!K6:K119="PETROLEO")*'MARZO 2026'!L6:L119*'MARZO 2026'!M6:M119),0)</f>
        <v>0</v>
      </c>
      <c r="E64" s="187" t="n">
        <f aca="false">IFERROR(SUMPRODUCT((IF('MARZO 2026'!Y6:Y119&lt;&gt;"",'MARZO 2026'!Y6:Y119,'MARZO 2026'!I6:I119)="COLCAMAR")*('MARZO 2026'!K6:K119="GASOLINA")*'MARZO 2026'!M6:M119),0)</f>
        <v>0</v>
      </c>
      <c r="F64" s="187" t="n">
        <f aca="false">IFERROR(SUMPRODUCT((IF('MARZO 2026'!Y6:Y119&lt;&gt;"",'MARZO 2026'!Y6:Y119,'MARZO 2026'!I6:I119)="COLCAMAR")*('MARZO 2026'!K6:K119="GASOLINA")*'MARZO 2026'!L6:L119*'MARZO 2026'!M6:M119),0)</f>
        <v>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true" outlineLevel="0" collapsed="false">
      <c r="A65" s="1" t="s">
        <v>119</v>
      </c>
      <c r="B65" s="1" t="s">
        <v>5168</v>
      </c>
      <c r="C65" s="187" t="n">
        <f aca="false">IFERROR(SUMPRODUCT((IF('ABRIL 2026'!Y6:Y119&lt;&gt;"",'ABRIL 2026'!Y6:Y119,'ABRIL 2026'!I6:I119)="COLCAMAR")*('ABRIL 2026'!K6:K119="PETROLEO")*'ABRIL 2026'!M6:M119),0)</f>
        <v>0</v>
      </c>
      <c r="D65" s="187" t="n">
        <f aca="false">IFERROR(SUMPRODUCT((IF('ABRIL 2026'!Y6:Y119&lt;&gt;"",'ABRIL 2026'!Y6:Y119,'ABRIL 2026'!I6:I119)="COLCAMAR")*('ABRIL 2026'!K6:K119="PETROLEO")*'ABRIL 2026'!L6:L119*'ABRIL 2026'!M6:M119),0)</f>
        <v>0</v>
      </c>
      <c r="E65" s="187" t="n">
        <f aca="false">IFERROR(SUMPRODUCT((IF('ABRIL 2026'!Y6:Y119&lt;&gt;"",'ABRIL 2026'!Y6:Y119,'ABRIL 2026'!I6:I119)="COLCAMAR")*('ABRIL 2026'!K6:K119="GASOLINA")*'ABRIL 2026'!M6:M119),0)</f>
        <v>0</v>
      </c>
      <c r="F65" s="187" t="n">
        <f aca="false">IFERROR(SUMPRODUCT((IF('ABRIL 2026'!Y6:Y119&lt;&gt;"",'ABRIL 2026'!Y6:Y119,'ABRIL 2026'!I6:I119)="COLCAMAR")*('ABRIL 2026'!K6:K119="GASOLINA")*'ABRIL 2026'!L6:L119*'ABRIL 2026'!M6:M119),0)</f>
        <v>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true" outlineLevel="0" collapsed="false">
      <c r="A66" s="1" t="s">
        <v>119</v>
      </c>
      <c r="B66" s="1" t="s">
        <v>5169</v>
      </c>
      <c r="C66" s="187" t="n">
        <f aca="false">IFERROR(SUMPRODUCT((IF('MAYO 2026'!Y6:Y110&lt;&gt;"",'MAYO 2026'!Y6:Y110,'MAYO 2026'!I6:I110)="COLCAMAR")*('MAYO 2026'!K6:K110="PETROLEO")*'MAYO 2026'!M6:M110),0)</f>
        <v>0</v>
      </c>
      <c r="D66" s="187" t="n">
        <f aca="false">IFERROR(SUMPRODUCT((IF('MAYO 2026'!Y6:Y110&lt;&gt;"",'MAYO 2026'!Y6:Y110,'MAYO 2026'!I6:I110)="COLCAMAR")*('MAYO 2026'!K6:K110="PETROLEO")*'MAYO 2026'!L6:L110*'MAYO 2026'!M6:M110),0)</f>
        <v>0</v>
      </c>
      <c r="E66" s="187" t="n">
        <f aca="false">IFERROR(SUMPRODUCT((IF('MAYO 2026'!Y6:Y110&lt;&gt;"",'MAYO 2026'!Y6:Y110,'MAYO 2026'!I6:I110)="COLCAMAR")*('MAYO 2026'!K6:K110="GASOLINA")*'MAYO 2026'!M6:M110),0)</f>
        <v>0</v>
      </c>
      <c r="F66" s="187" t="n">
        <f aca="false">IFERROR(SUMPRODUCT((IF('MAYO 2026'!Y6:Y110&lt;&gt;"",'MAYO 2026'!Y6:Y110,'MAYO 2026'!I6:I110)="COLCAMAR")*('MAYO 2026'!K6:K110="GASOLINA")*'MAYO 2026'!L6:L110*'MAYO 2026'!M6:M110),0)</f>
        <v>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true" outlineLevel="0" collapsed="false">
      <c r="A67" s="1" t="s">
        <v>119</v>
      </c>
      <c r="B67" s="1" t="s">
        <v>5170</v>
      </c>
      <c r="C67" s="187" t="n">
        <f aca="false">IFERROR(SUMPRODUCT((IF('JUNIO 2026'!Y6:Y110&lt;&gt;"",'JUNIO 2026'!Y6:Y110,'JUNIO 2026'!I6:I110)="COLCAMAR")*('JUNIO 2026'!K6:K110="PETROLEO")*'JUNIO 2026'!M6:M110),0)</f>
        <v>0</v>
      </c>
      <c r="D67" s="187" t="n">
        <f aca="false">IFERROR(SUMPRODUCT((IF('JUNIO 2026'!Y6:Y110&lt;&gt;"",'JUNIO 2026'!Y6:Y110,'JUNIO 2026'!I6:I110)="COLCAMAR")*('JUNIO 2026'!K6:K110="PETROLEO")*'JUNIO 2026'!L6:L110*'JUNIO 2026'!M6:M110),0)</f>
        <v>0</v>
      </c>
      <c r="E67" s="187" t="n">
        <f aca="false">IFERROR(SUMPRODUCT((IF('JUNIO 2026'!Y6:Y110&lt;&gt;"",'JUNIO 2026'!Y6:Y110,'JUNIO 2026'!I6:I110)="COLCAMAR")*('JUNIO 2026'!K6:K110="GASOLINA")*'JUNIO 2026'!M6:M110),0)</f>
        <v>0</v>
      </c>
      <c r="F67" s="187" t="n">
        <f aca="false">IFERROR(SUMPRODUCT((IF('JUNIO 2026'!Y6:Y110&lt;&gt;"",'JUNIO 2026'!Y6:Y110,'JUNIO 2026'!I6:I110)="COLCAMAR")*('JUNIO 2026'!K6:K110="GASOLINA")*'JUNIO 2026'!L6:L110*'JUNIO 2026'!M6:M110),0)</f>
        <v>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true" outlineLevel="0" collapsed="false">
      <c r="A68" s="1" t="s">
        <v>119</v>
      </c>
      <c r="B68" s="1" t="s">
        <v>5171</v>
      </c>
      <c r="C68" s="187" t="n">
        <f aca="false">IFERROR(SUMPRODUCT((IF('JULIO 2026'!Y6:Y110&lt;&gt;"",'JULIO 2026'!Y6:Y110,'JULIO 2026'!I6:I110)="COLCAMAR")*('JULIO 2026'!K6:K110="PETROLEO")*'JULIO 2026'!M6:M110),0)</f>
        <v>0</v>
      </c>
      <c r="D68" s="187" t="n">
        <f aca="false">IFERROR(SUMPRODUCT((IF('JULIO 2026'!Y6:Y110&lt;&gt;"",'JULIO 2026'!Y6:Y110,'JULIO 2026'!I6:I110)="COLCAMAR")*('JULIO 2026'!K6:K110="PETROLEO")*'JULIO 2026'!L6:L110*'JULIO 2026'!M6:M110),0)</f>
        <v>0</v>
      </c>
      <c r="E68" s="187" t="n">
        <f aca="false">IFERROR(SUMPRODUCT((IF('JULIO 2026'!Y6:Y110&lt;&gt;"",'JULIO 2026'!Y6:Y110,'JULIO 2026'!I6:I110)="COLCAMAR")*('JULIO 2026'!K6:K110="GASOLINA")*'JULIO 2026'!M6:M110),0)</f>
        <v>0</v>
      </c>
      <c r="F68" s="187" t="n">
        <f aca="false">IFERROR(SUMPRODUCT((IF('JULIO 2026'!Y6:Y110&lt;&gt;"",'JULIO 2026'!Y6:Y110,'JULIO 2026'!I6:I110)="COLCAMAR")*('JULIO 2026'!K6:K110="GASOLINA")*'JULIO 2026'!L6:L110*'JULIO 2026'!M6:M110),0)</f>
        <v>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true" outlineLevel="0" collapsed="false">
      <c r="A69" s="1" t="s">
        <v>119</v>
      </c>
      <c r="B69" s="1" t="s">
        <v>5172</v>
      </c>
      <c r="C69" s="187" t="n">
        <f aca="false">IFERROR(SUMPRODUCT((IF('AGOSTO 2026'!Y6:Y110&lt;&gt;"",'AGOSTO 2026'!Y6:Y110,'AGOSTO 2026'!I6:I110)="COLCAMAR")*('AGOSTO 2026'!K6:K110="PETROLEO")*'AGOSTO 2026'!M6:M110),0)</f>
        <v>0</v>
      </c>
      <c r="D69" s="187" t="n">
        <f aca="false">IFERROR(SUMPRODUCT((IF('AGOSTO 2026'!Y6:Y110&lt;&gt;"",'AGOSTO 2026'!Y6:Y110,'AGOSTO 2026'!I6:I110)="COLCAMAR")*('AGOSTO 2026'!K6:K110="PETROLEO")*'AGOSTO 2026'!L6:L110*'AGOSTO 2026'!M6:M110),0)</f>
        <v>0</v>
      </c>
      <c r="E69" s="187" t="n">
        <f aca="false">IFERROR(SUMPRODUCT((IF('AGOSTO 2026'!Y6:Y110&lt;&gt;"",'AGOSTO 2026'!Y6:Y110,'AGOSTO 2026'!I6:I110)="COLCAMAR")*('AGOSTO 2026'!K6:K110="GASOLINA")*'AGOSTO 2026'!M6:M110),0)</f>
        <v>0</v>
      </c>
      <c r="F69" s="187" t="n">
        <f aca="false">IFERROR(SUMPRODUCT((IF('AGOSTO 2026'!Y6:Y110&lt;&gt;"",'AGOSTO 2026'!Y6:Y110,'AGOSTO 2026'!I6:I110)="COLCAMAR")*('AGOSTO 2026'!K6:K110="GASOLINA")*'AGOSTO 2026'!L6:L110*'AGOSTO 2026'!M6:M110),0)</f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true" outlineLevel="0" collapsed="false">
      <c r="A70" s="1" t="s">
        <v>119</v>
      </c>
      <c r="B70" s="1" t="s">
        <v>5173</v>
      </c>
      <c r="C70" s="187" t="n">
        <f aca="false">IFERROR(SUMPRODUCT((IF('SETIEMBRE 2026'!Y6:Y110&lt;&gt;"",'SETIEMBRE 2026'!Y6:Y110,'SETIEMBRE 2026'!I6:I110)="COLCAMAR")*('SETIEMBRE 2026'!K6:K110="PETROLEO")*'SETIEMBRE 2026'!M6:M110),0)</f>
        <v>0</v>
      </c>
      <c r="D70" s="187" t="n">
        <f aca="false">IFERROR(SUMPRODUCT((IF('SETIEMBRE 2026'!Y6:Y110&lt;&gt;"",'SETIEMBRE 2026'!Y6:Y110,'SETIEMBRE 2026'!I6:I110)="COLCAMAR")*('SETIEMBRE 2026'!K6:K110="PETROLEO")*'SETIEMBRE 2026'!L6:L110*'SETIEMBRE 2026'!M6:M110),0)</f>
        <v>0</v>
      </c>
      <c r="E70" s="187" t="n">
        <f aca="false">IFERROR(SUMPRODUCT((IF('SETIEMBRE 2026'!Y6:Y110&lt;&gt;"",'SETIEMBRE 2026'!Y6:Y110,'SETIEMBRE 2026'!I6:I110)="COLCAMAR")*('SETIEMBRE 2026'!K6:K110="GASOLINA")*'SETIEMBRE 2026'!M6:M110),0)</f>
        <v>0</v>
      </c>
      <c r="F70" s="187" t="n">
        <f aca="false">IFERROR(SUMPRODUCT((IF('SETIEMBRE 2026'!Y6:Y110&lt;&gt;"",'SETIEMBRE 2026'!Y6:Y110,'SETIEMBRE 2026'!I6:I110)="COLCAMAR")*('SETIEMBRE 2026'!K6:K110="GASOLINA")*'SETIEMBRE 2026'!L6:L110*'SETIEMBRE 2026'!M6:M110),0)</f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true" outlineLevel="0" collapsed="false">
      <c r="A71" s="1" t="s">
        <v>119</v>
      </c>
      <c r="B71" s="1" t="s">
        <v>5174</v>
      </c>
      <c r="C71" s="187" t="n">
        <f aca="false">IFERROR(SUMPRODUCT((IF('OCTUBRE 2026'!Y6:Y110&lt;&gt;"",'OCTUBRE 2026'!Y6:Y110,'OCTUBRE 2026'!I6:I110)="COLCAMAR")*('OCTUBRE 2026'!K6:K110="PETROLEO")*'OCTUBRE 2026'!M6:M110),0)</f>
        <v>0</v>
      </c>
      <c r="D71" s="187" t="n">
        <f aca="false">IFERROR(SUMPRODUCT((IF('OCTUBRE 2026'!Y6:Y110&lt;&gt;"",'OCTUBRE 2026'!Y6:Y110,'OCTUBRE 2026'!I6:I110)="COLCAMAR")*('OCTUBRE 2026'!K6:K110="PETROLEO")*'OCTUBRE 2026'!L6:L110*'OCTUBRE 2026'!M6:M110),0)</f>
        <v>0</v>
      </c>
      <c r="E71" s="187" t="n">
        <f aca="false">IFERROR(SUMPRODUCT((IF('OCTUBRE 2026'!Y6:Y110&lt;&gt;"",'OCTUBRE 2026'!Y6:Y110,'OCTUBRE 2026'!I6:I110)="COLCAMAR")*('OCTUBRE 2026'!K6:K110="GASOLINA")*'OCTUBRE 2026'!M6:M110),0)</f>
        <v>0</v>
      </c>
      <c r="F71" s="187" t="n">
        <f aca="false">IFERROR(SUMPRODUCT((IF('OCTUBRE 2026'!Y6:Y110&lt;&gt;"",'OCTUBRE 2026'!Y6:Y110,'OCTUBRE 2026'!I6:I110)="COLCAMAR")*('OCTUBRE 2026'!K6:K110="GASOLINA")*'OCTUBRE 2026'!L6:L110*'OCTUBRE 2026'!M6:M110),0)</f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true" outlineLevel="0" collapsed="false">
      <c r="A72" s="1" t="s">
        <v>119</v>
      </c>
      <c r="B72" s="1" t="s">
        <v>5175</v>
      </c>
      <c r="C72" s="187" t="n">
        <f aca="false">IFERROR(SUMPRODUCT((IF('NOVIEMBRE 2026'!Y6:Y110&lt;&gt;"",'NOVIEMBRE 2026'!Y6:Y110,'NOVIEMBRE 2026'!I6:I110)="COLCAMAR")*('NOVIEMBRE 2026'!K6:K110="PETROLEO")*'NOVIEMBRE 2026'!M6:M110),0)</f>
        <v>0</v>
      </c>
      <c r="D72" s="187" t="n">
        <f aca="false">IFERROR(SUMPRODUCT((IF('NOVIEMBRE 2026'!Y6:Y110&lt;&gt;"",'NOVIEMBRE 2026'!Y6:Y110,'NOVIEMBRE 2026'!I6:I110)="COLCAMAR")*('NOVIEMBRE 2026'!K6:K110="PETROLEO")*'NOVIEMBRE 2026'!L6:L110*'NOVIEMBRE 2026'!M6:M110),0)</f>
        <v>0</v>
      </c>
      <c r="E72" s="187" t="n">
        <f aca="false">IFERROR(SUMPRODUCT((IF('NOVIEMBRE 2026'!Y6:Y110&lt;&gt;"",'NOVIEMBRE 2026'!Y6:Y110,'NOVIEMBRE 2026'!I6:I110)="COLCAMAR")*('NOVIEMBRE 2026'!K6:K110="GASOLINA")*'NOVIEMBRE 2026'!M6:M110),0)</f>
        <v>0</v>
      </c>
      <c r="F72" s="187" t="n">
        <f aca="false">IFERROR(SUMPRODUCT((IF('NOVIEMBRE 2026'!Y6:Y110&lt;&gt;"",'NOVIEMBRE 2026'!Y6:Y110,'NOVIEMBRE 2026'!I6:I110)="COLCAMAR")*('NOVIEMBRE 2026'!K6:K110="GASOLINA")*'NOVIEMBRE 2026'!L6:L110*'NOVIEMBRE 2026'!M6:M110),0)</f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true" outlineLevel="0" collapsed="false">
      <c r="A73" s="1" t="s">
        <v>119</v>
      </c>
      <c r="B73" s="1" t="s">
        <v>5176</v>
      </c>
      <c r="C73" s="187" t="n">
        <f aca="false">IFERROR(SUMPRODUCT((IF('DICIEMBRE 2026'!Y6:Y110&lt;&gt;"",'DICIEMBRE 2026'!Y6:Y110,'DICIEMBRE 2026'!I6:I110)="COLCAMAR")*('DICIEMBRE 2026'!K6:K110="PETROLEO")*'DICIEMBRE 2026'!M6:M110),0)</f>
        <v>0</v>
      </c>
      <c r="D73" s="187" t="n">
        <f aca="false">IFERROR(SUMPRODUCT((IF('DICIEMBRE 2026'!Y6:Y110&lt;&gt;"",'DICIEMBRE 2026'!Y6:Y110,'DICIEMBRE 2026'!I6:I110)="COLCAMAR")*('DICIEMBRE 2026'!K6:K110="PETROLEO")*'DICIEMBRE 2026'!L6:L110*'DICIEMBRE 2026'!M6:M110),0)</f>
        <v>0</v>
      </c>
      <c r="E73" s="187" t="n">
        <f aca="false">IFERROR(SUMPRODUCT((IF('DICIEMBRE 2026'!Y6:Y110&lt;&gt;"",'DICIEMBRE 2026'!Y6:Y110,'DICIEMBRE 2026'!I6:I110)="COLCAMAR")*('DICIEMBRE 2026'!K6:K110="GASOLINA")*'DICIEMBRE 2026'!M6:M110),0)</f>
        <v>0</v>
      </c>
      <c r="F73" s="187" t="n">
        <f aca="false">IFERROR(SUMPRODUCT((IF('DICIEMBRE 2026'!Y6:Y110&lt;&gt;"",'DICIEMBRE 2026'!Y6:Y110,'DICIEMBRE 2026'!I6:I110)="COLCAMAR")*('DICIEMBRE 2026'!K6:K110="GASOLINA")*'DICIEMBRE 2026'!L6:L110*'DICIEMBRE 2026'!M6:M110),0)</f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true" outlineLevel="0" collapsed="false">
      <c r="A74" s="1" t="s">
        <v>44</v>
      </c>
      <c r="B74" s="1" t="s">
        <v>5165</v>
      </c>
      <c r="C74" s="187" t="n">
        <f aca="false">IFERROR(SUMPRODUCT((IF('ENERO 2026'!Y6:Y119&lt;&gt;"",'ENERO 2026'!Y6:Y119,'ENERO 2026'!I6:I119)="COLLONCE")*('ENERO 2026'!K6:K119="PETROLEO")*'ENERO 2026'!M6:M119),0)</f>
        <v>80</v>
      </c>
      <c r="D74" s="187" t="n">
        <f aca="false">IFERROR(SUMPRODUCT((IF('ENERO 2026'!Y6:Y119&lt;&gt;"",'ENERO 2026'!Y6:Y119,'ENERO 2026'!I6:I119)="COLLONCE")*('ENERO 2026'!K6:K119="PETROLEO")*'ENERO 2026'!L6:L119*'ENERO 2026'!M6:M119),0)</f>
        <v>1454.4</v>
      </c>
      <c r="E74" s="187" t="n">
        <f aca="false">IFERROR(SUMPRODUCT((IF('ENERO 2026'!Y6:Y119&lt;&gt;"",'ENERO 2026'!Y6:Y119,'ENERO 2026'!I6:I119)="COLLONCE")*('ENERO 2026'!K6:K119="GASOLINA")*'ENERO 2026'!M6:M119),0)</f>
        <v>0</v>
      </c>
      <c r="F74" s="187" t="n">
        <f aca="false">IFERROR(SUMPRODUCT((IF('ENERO 2026'!Y6:Y119&lt;&gt;"",'ENERO 2026'!Y6:Y119,'ENERO 2026'!I6:I119)="COLLONCE")*('ENERO 2026'!K6:K119="GASOLINA")*'ENERO 2026'!L6:L119*'ENERO 2026'!M6:M119),0)</f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true" outlineLevel="0" collapsed="false">
      <c r="A75" s="1" t="s">
        <v>44</v>
      </c>
      <c r="B75" s="1" t="s">
        <v>5166</v>
      </c>
      <c r="C75" s="187" t="n">
        <f aca="false">IFERROR(SUMPRODUCT((IF('FEBRERO 2026'!Y6:Y124&lt;&gt;"",'FEBRERO 2026'!Y6:Y124,'FEBRERO 2026'!I6:I124)="COLLONCE")*('FEBRERO 2026'!K6:K124="PETROLEO")*'FEBRERO 2026'!M6:M124),0)</f>
        <v>20</v>
      </c>
      <c r="D75" s="187" t="n">
        <f aca="false">IFERROR(SUMPRODUCT((IF('FEBRERO 2026'!Y6:Y124&lt;&gt;"",'FEBRERO 2026'!Y6:Y124,'FEBRERO 2026'!I6:I124)="COLLONCE")*('FEBRERO 2026'!K6:K124="PETROLEO")*'FEBRERO 2026'!L6:L124*'FEBRERO 2026'!M6:M124),0)</f>
        <v>363.6</v>
      </c>
      <c r="E75" s="187" t="n">
        <f aca="false">IFERROR(SUMPRODUCT((IF('FEBRERO 2026'!Y6:Y124&lt;&gt;"",'FEBRERO 2026'!Y6:Y124,'FEBRERO 2026'!I6:I124)="COLLONCE")*('FEBRERO 2026'!K6:K124="GASOLINA")*'FEBRERO 2026'!M6:M124),0)</f>
        <v>0</v>
      </c>
      <c r="F75" s="187" t="n">
        <f aca="false">IFERROR(SUMPRODUCT((IF('FEBRERO 2026'!Y6:Y124&lt;&gt;"",'FEBRERO 2026'!Y6:Y124,'FEBRERO 2026'!I6:I124)="COLLONCE")*('FEBRERO 2026'!K6:K124="GASOLINA")*'FEBRERO 2026'!L6:L124*'FEBRERO 2026'!M6:M124),0)</f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" hidden="false" customHeight="true" outlineLevel="0" collapsed="false">
      <c r="A76" s="1" t="s">
        <v>44</v>
      </c>
      <c r="B76" s="1" t="s">
        <v>5167</v>
      </c>
      <c r="C76" s="187" t="n">
        <f aca="false">IFERROR(SUMPRODUCT((IF('MARZO 2026'!Y6:Y119&lt;&gt;"",'MARZO 2026'!Y6:Y119,'MARZO 2026'!I6:I119)="COLLONCE")*('MARZO 2026'!K6:K119="PETROLEO")*'MARZO 2026'!M6:M119),0)</f>
        <v>0</v>
      </c>
      <c r="D76" s="187" t="n">
        <f aca="false">IFERROR(SUMPRODUCT((IF('MARZO 2026'!Y6:Y119&lt;&gt;"",'MARZO 2026'!Y6:Y119,'MARZO 2026'!I6:I119)="COLLONCE")*('MARZO 2026'!K6:K119="PETROLEO")*'MARZO 2026'!L6:L119*'MARZO 2026'!M6:M119),0)</f>
        <v>0</v>
      </c>
      <c r="E76" s="187" t="n">
        <f aca="false">IFERROR(SUMPRODUCT((IF('MARZO 2026'!Y6:Y119&lt;&gt;"",'MARZO 2026'!Y6:Y119,'MARZO 2026'!I6:I119)="COLLONCE")*('MARZO 2026'!K6:K119="GASOLINA")*'MARZO 2026'!M6:M119),0)</f>
        <v>0</v>
      </c>
      <c r="F76" s="187" t="n">
        <f aca="false">IFERROR(SUMPRODUCT((IF('MARZO 2026'!Y6:Y119&lt;&gt;"",'MARZO 2026'!Y6:Y119,'MARZO 2026'!I6:I119)="COLLONCE")*('MARZO 2026'!K6:K119="GASOLINA")*'MARZO 2026'!L6:L119*'MARZO 2026'!M6:M119),0)</f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" hidden="false" customHeight="true" outlineLevel="0" collapsed="false">
      <c r="A77" s="1" t="s">
        <v>44</v>
      </c>
      <c r="B77" s="1" t="s">
        <v>5168</v>
      </c>
      <c r="C77" s="187" t="n">
        <f aca="false">IFERROR(SUMPRODUCT((IF('ABRIL 2026'!Y6:Y119&lt;&gt;"",'ABRIL 2026'!Y6:Y119,'ABRIL 2026'!I6:I119)="COLLONCE")*('ABRIL 2026'!K6:K119="PETROLEO")*'ABRIL 2026'!M6:M119),0)</f>
        <v>0</v>
      </c>
      <c r="D77" s="187" t="n">
        <f aca="false">IFERROR(SUMPRODUCT((IF('ABRIL 2026'!Y6:Y119&lt;&gt;"",'ABRIL 2026'!Y6:Y119,'ABRIL 2026'!I6:I119)="COLLONCE")*('ABRIL 2026'!K6:K119="PETROLEO")*'ABRIL 2026'!L6:L119*'ABRIL 2026'!M6:M119),0)</f>
        <v>0</v>
      </c>
      <c r="E77" s="187" t="n">
        <f aca="false">IFERROR(SUMPRODUCT((IF('ABRIL 2026'!Y6:Y119&lt;&gt;"",'ABRIL 2026'!Y6:Y119,'ABRIL 2026'!I6:I119)="COLLONCE")*('ABRIL 2026'!K6:K119="GASOLINA")*'ABRIL 2026'!M6:M119),0)</f>
        <v>0</v>
      </c>
      <c r="F77" s="187" t="n">
        <f aca="false">IFERROR(SUMPRODUCT((IF('ABRIL 2026'!Y6:Y119&lt;&gt;"",'ABRIL 2026'!Y6:Y119,'ABRIL 2026'!I6:I119)="COLLONCE")*('ABRIL 2026'!K6:K119="GASOLINA")*'ABRIL 2026'!L6:L119*'ABRIL 2026'!M6:M119),0)</f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" hidden="false" customHeight="true" outlineLevel="0" collapsed="false">
      <c r="A78" s="1" t="s">
        <v>44</v>
      </c>
      <c r="B78" s="1" t="s">
        <v>5169</v>
      </c>
      <c r="C78" s="187" t="n">
        <f aca="false">IFERROR(SUMPRODUCT((IF('MAYO 2026'!Y6:Y110&lt;&gt;"",'MAYO 2026'!Y6:Y110,'MAYO 2026'!I6:I110)="COLLONCE")*('MAYO 2026'!K6:K110="PETROLEO")*'MAYO 2026'!M6:M110),0)</f>
        <v>0</v>
      </c>
      <c r="D78" s="187" t="n">
        <f aca="false">IFERROR(SUMPRODUCT((IF('MAYO 2026'!Y6:Y110&lt;&gt;"",'MAYO 2026'!Y6:Y110,'MAYO 2026'!I6:I110)="COLLONCE")*('MAYO 2026'!K6:K110="PETROLEO")*'MAYO 2026'!L6:L110*'MAYO 2026'!M6:M110),0)</f>
        <v>0</v>
      </c>
      <c r="E78" s="187" t="n">
        <f aca="false">IFERROR(SUMPRODUCT((IF('MAYO 2026'!Y6:Y110&lt;&gt;"",'MAYO 2026'!Y6:Y110,'MAYO 2026'!I6:I110)="COLLONCE")*('MAYO 2026'!K6:K110="GASOLINA")*'MAYO 2026'!M6:M110),0)</f>
        <v>0</v>
      </c>
      <c r="F78" s="187" t="n">
        <f aca="false">IFERROR(SUMPRODUCT((IF('MAYO 2026'!Y6:Y110&lt;&gt;"",'MAYO 2026'!Y6:Y110,'MAYO 2026'!I6:I110)="COLLONCE")*('MAYO 2026'!K6:K110="GASOLINA")*'MAYO 2026'!L6:L110*'MAYO 2026'!M6:M110),0)</f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" hidden="false" customHeight="true" outlineLevel="0" collapsed="false">
      <c r="A79" s="1" t="s">
        <v>44</v>
      </c>
      <c r="B79" s="1" t="s">
        <v>5170</v>
      </c>
      <c r="C79" s="187" t="n">
        <f aca="false">IFERROR(SUMPRODUCT((IF('JUNIO 2026'!Y6:Y110&lt;&gt;"",'JUNIO 2026'!Y6:Y110,'JUNIO 2026'!I6:I110)="COLLONCE")*('JUNIO 2026'!K6:K110="PETROLEO")*'JUNIO 2026'!M6:M110),0)</f>
        <v>0</v>
      </c>
      <c r="D79" s="187" t="n">
        <f aca="false">IFERROR(SUMPRODUCT((IF('JUNIO 2026'!Y6:Y110&lt;&gt;"",'JUNIO 2026'!Y6:Y110,'JUNIO 2026'!I6:I110)="COLLONCE")*('JUNIO 2026'!K6:K110="PETROLEO")*'JUNIO 2026'!L6:L110*'JUNIO 2026'!M6:M110),0)</f>
        <v>0</v>
      </c>
      <c r="E79" s="187" t="n">
        <f aca="false">IFERROR(SUMPRODUCT((IF('JUNIO 2026'!Y6:Y110&lt;&gt;"",'JUNIO 2026'!Y6:Y110,'JUNIO 2026'!I6:I110)="COLLONCE")*('JUNIO 2026'!K6:K110="GASOLINA")*'JUNIO 2026'!M6:M110),0)</f>
        <v>0</v>
      </c>
      <c r="F79" s="187" t="n">
        <f aca="false">IFERROR(SUMPRODUCT((IF('JUNIO 2026'!Y6:Y110&lt;&gt;"",'JUNIO 2026'!Y6:Y110,'JUNIO 2026'!I6:I110)="COLLONCE")*('JUNIO 2026'!K6:K110="GASOLINA")*'JUNIO 2026'!L6:L110*'JUNIO 2026'!M6:M110),0)</f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" hidden="false" customHeight="true" outlineLevel="0" collapsed="false">
      <c r="A80" s="1" t="s">
        <v>44</v>
      </c>
      <c r="B80" s="1" t="s">
        <v>5171</v>
      </c>
      <c r="C80" s="187" t="n">
        <f aca="false">IFERROR(SUMPRODUCT((IF('JULIO 2026'!Y6:Y110&lt;&gt;"",'JULIO 2026'!Y6:Y110,'JULIO 2026'!I6:I110)="COLLONCE")*('JULIO 2026'!K6:K110="PETROLEO")*'JULIO 2026'!M6:M110),0)</f>
        <v>0</v>
      </c>
      <c r="D80" s="187" t="n">
        <f aca="false">IFERROR(SUMPRODUCT((IF('JULIO 2026'!Y6:Y110&lt;&gt;"",'JULIO 2026'!Y6:Y110,'JULIO 2026'!I6:I110)="COLLONCE")*('JULIO 2026'!K6:K110="PETROLEO")*'JULIO 2026'!L6:L110*'JULIO 2026'!M6:M110),0)</f>
        <v>0</v>
      </c>
      <c r="E80" s="187" t="n">
        <f aca="false">IFERROR(SUMPRODUCT((IF('JULIO 2026'!Y6:Y110&lt;&gt;"",'JULIO 2026'!Y6:Y110,'JULIO 2026'!I6:I110)="COLLONCE")*('JULIO 2026'!K6:K110="GASOLINA")*'JULIO 2026'!M6:M110),0)</f>
        <v>0</v>
      </c>
      <c r="F80" s="187" t="n">
        <f aca="false">IFERROR(SUMPRODUCT((IF('JULIO 2026'!Y6:Y110&lt;&gt;"",'JULIO 2026'!Y6:Y110,'JULIO 2026'!I6:I110)="COLLONCE")*('JULIO 2026'!K6:K110="GASOLINA")*'JULIO 2026'!L6:L110*'JULIO 2026'!M6:M110),0)</f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" hidden="false" customHeight="true" outlineLevel="0" collapsed="false">
      <c r="A81" s="1" t="s">
        <v>44</v>
      </c>
      <c r="B81" s="1" t="s">
        <v>5172</v>
      </c>
      <c r="C81" s="187" t="n">
        <f aca="false">IFERROR(SUMPRODUCT((IF('AGOSTO 2026'!Y6:Y110&lt;&gt;"",'AGOSTO 2026'!Y6:Y110,'AGOSTO 2026'!I6:I110)="COLLONCE")*('AGOSTO 2026'!K6:K110="PETROLEO")*'AGOSTO 2026'!M6:M110),0)</f>
        <v>0</v>
      </c>
      <c r="D81" s="187" t="n">
        <f aca="false">IFERROR(SUMPRODUCT((IF('AGOSTO 2026'!Y6:Y110&lt;&gt;"",'AGOSTO 2026'!Y6:Y110,'AGOSTO 2026'!I6:I110)="COLLONCE")*('AGOSTO 2026'!K6:K110="PETROLEO")*'AGOSTO 2026'!L6:L110*'AGOSTO 2026'!M6:M110),0)</f>
        <v>0</v>
      </c>
      <c r="E81" s="187" t="n">
        <f aca="false">IFERROR(SUMPRODUCT((IF('AGOSTO 2026'!Y6:Y110&lt;&gt;"",'AGOSTO 2026'!Y6:Y110,'AGOSTO 2026'!I6:I110)="COLLONCE")*('AGOSTO 2026'!K6:K110="GASOLINA")*'AGOSTO 2026'!M6:M110),0)</f>
        <v>0</v>
      </c>
      <c r="F81" s="187" t="n">
        <f aca="false">IFERROR(SUMPRODUCT((IF('AGOSTO 2026'!Y6:Y110&lt;&gt;"",'AGOSTO 2026'!Y6:Y110,'AGOSTO 2026'!I6:I110)="COLLONCE")*('AGOSTO 2026'!K6:K110="GASOLINA")*'AGOSTO 2026'!L6:L110*'AGOSTO 2026'!M6:M110),0)</f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" hidden="false" customHeight="true" outlineLevel="0" collapsed="false">
      <c r="A82" s="1" t="s">
        <v>44</v>
      </c>
      <c r="B82" s="1" t="s">
        <v>5173</v>
      </c>
      <c r="C82" s="187" t="n">
        <f aca="false">IFERROR(SUMPRODUCT((IF('SETIEMBRE 2026'!Y6:Y110&lt;&gt;"",'SETIEMBRE 2026'!Y6:Y110,'SETIEMBRE 2026'!I6:I110)="COLLONCE")*('SETIEMBRE 2026'!K6:K110="PETROLEO")*'SETIEMBRE 2026'!M6:M110),0)</f>
        <v>0</v>
      </c>
      <c r="D82" s="187" t="n">
        <f aca="false">IFERROR(SUMPRODUCT((IF('SETIEMBRE 2026'!Y6:Y110&lt;&gt;"",'SETIEMBRE 2026'!Y6:Y110,'SETIEMBRE 2026'!I6:I110)="COLLONCE")*('SETIEMBRE 2026'!K6:K110="PETROLEO")*'SETIEMBRE 2026'!L6:L110*'SETIEMBRE 2026'!M6:M110),0)</f>
        <v>0</v>
      </c>
      <c r="E82" s="187" t="n">
        <f aca="false">IFERROR(SUMPRODUCT((IF('SETIEMBRE 2026'!Y6:Y110&lt;&gt;"",'SETIEMBRE 2026'!Y6:Y110,'SETIEMBRE 2026'!I6:I110)="COLLONCE")*('SETIEMBRE 2026'!K6:K110="GASOLINA")*'SETIEMBRE 2026'!M6:M110),0)</f>
        <v>0</v>
      </c>
      <c r="F82" s="187" t="n">
        <f aca="false">IFERROR(SUMPRODUCT((IF('SETIEMBRE 2026'!Y6:Y110&lt;&gt;"",'SETIEMBRE 2026'!Y6:Y110,'SETIEMBRE 2026'!I6:I110)="COLLONCE")*('SETIEMBRE 2026'!K6:K110="GASOLINA")*'SETIEMBRE 2026'!L6:L110*'SETIEMBRE 2026'!M6:M110),0)</f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" hidden="false" customHeight="true" outlineLevel="0" collapsed="false">
      <c r="A83" s="1" t="s">
        <v>44</v>
      </c>
      <c r="B83" s="1" t="s">
        <v>5174</v>
      </c>
      <c r="C83" s="187" t="n">
        <f aca="false">IFERROR(SUMPRODUCT((IF('OCTUBRE 2026'!Y6:Y110&lt;&gt;"",'OCTUBRE 2026'!Y6:Y110,'OCTUBRE 2026'!I6:I110)="COLLONCE")*('OCTUBRE 2026'!K6:K110="PETROLEO")*'OCTUBRE 2026'!M6:M110),0)</f>
        <v>0</v>
      </c>
      <c r="D83" s="187" t="n">
        <f aca="false">IFERROR(SUMPRODUCT((IF('OCTUBRE 2026'!Y6:Y110&lt;&gt;"",'OCTUBRE 2026'!Y6:Y110,'OCTUBRE 2026'!I6:I110)="COLLONCE")*('OCTUBRE 2026'!K6:K110="PETROLEO")*'OCTUBRE 2026'!L6:L110*'OCTUBRE 2026'!M6:M110),0)</f>
        <v>0</v>
      </c>
      <c r="E83" s="187" t="n">
        <f aca="false">IFERROR(SUMPRODUCT((IF('OCTUBRE 2026'!Y6:Y110&lt;&gt;"",'OCTUBRE 2026'!Y6:Y110,'OCTUBRE 2026'!I6:I110)="COLLONCE")*('OCTUBRE 2026'!K6:K110="GASOLINA")*'OCTUBRE 2026'!M6:M110),0)</f>
        <v>0</v>
      </c>
      <c r="F83" s="187" t="n">
        <f aca="false">IFERROR(SUMPRODUCT((IF('OCTUBRE 2026'!Y6:Y110&lt;&gt;"",'OCTUBRE 2026'!Y6:Y110,'OCTUBRE 2026'!I6:I110)="COLLONCE")*('OCTUBRE 2026'!K6:K110="GASOLINA")*'OCTUBRE 2026'!L6:L110*'OCTUBRE 2026'!M6:M110),0)</f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" hidden="false" customHeight="true" outlineLevel="0" collapsed="false">
      <c r="A84" s="1" t="s">
        <v>44</v>
      </c>
      <c r="B84" s="1" t="s">
        <v>5175</v>
      </c>
      <c r="C84" s="187" t="n">
        <f aca="false">IFERROR(SUMPRODUCT((IF('NOVIEMBRE 2026'!Y6:Y110&lt;&gt;"",'NOVIEMBRE 2026'!Y6:Y110,'NOVIEMBRE 2026'!I6:I110)="COLLONCE")*('NOVIEMBRE 2026'!K6:K110="PETROLEO")*'NOVIEMBRE 2026'!M6:M110),0)</f>
        <v>0</v>
      </c>
      <c r="D84" s="187" t="n">
        <f aca="false">IFERROR(SUMPRODUCT((IF('NOVIEMBRE 2026'!Y6:Y110&lt;&gt;"",'NOVIEMBRE 2026'!Y6:Y110,'NOVIEMBRE 2026'!I6:I110)="COLLONCE")*('NOVIEMBRE 2026'!K6:K110="PETROLEO")*'NOVIEMBRE 2026'!L6:L110*'NOVIEMBRE 2026'!M6:M110),0)</f>
        <v>0</v>
      </c>
      <c r="E84" s="187" t="n">
        <f aca="false">IFERROR(SUMPRODUCT((IF('NOVIEMBRE 2026'!Y6:Y110&lt;&gt;"",'NOVIEMBRE 2026'!Y6:Y110,'NOVIEMBRE 2026'!I6:I110)="COLLONCE")*('NOVIEMBRE 2026'!K6:K110="GASOLINA")*'NOVIEMBRE 2026'!M6:M110),0)</f>
        <v>0</v>
      </c>
      <c r="F84" s="187" t="n">
        <f aca="false">IFERROR(SUMPRODUCT((IF('NOVIEMBRE 2026'!Y6:Y110&lt;&gt;"",'NOVIEMBRE 2026'!Y6:Y110,'NOVIEMBRE 2026'!I6:I110)="COLLONCE")*('NOVIEMBRE 2026'!K6:K110="GASOLINA")*'NOVIEMBRE 2026'!L6:L110*'NOVIEMBRE 2026'!M6:M110),0)</f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" hidden="false" customHeight="true" outlineLevel="0" collapsed="false">
      <c r="A85" s="1" t="s">
        <v>44</v>
      </c>
      <c r="B85" s="1" t="s">
        <v>5176</v>
      </c>
      <c r="C85" s="187" t="n">
        <f aca="false">IFERROR(SUMPRODUCT((IF('DICIEMBRE 2026'!Y6:Y110&lt;&gt;"",'DICIEMBRE 2026'!Y6:Y110,'DICIEMBRE 2026'!I6:I110)="COLLONCE")*('DICIEMBRE 2026'!K6:K110="PETROLEO")*'DICIEMBRE 2026'!M6:M110),0)</f>
        <v>0</v>
      </c>
      <c r="D85" s="187" t="n">
        <f aca="false">IFERROR(SUMPRODUCT((IF('DICIEMBRE 2026'!Y6:Y110&lt;&gt;"",'DICIEMBRE 2026'!Y6:Y110,'DICIEMBRE 2026'!I6:I110)="COLLONCE")*('DICIEMBRE 2026'!K6:K110="PETROLEO")*'DICIEMBRE 2026'!L6:L110*'DICIEMBRE 2026'!M6:M110),0)</f>
        <v>0</v>
      </c>
      <c r="E85" s="187" t="n">
        <f aca="false">IFERROR(SUMPRODUCT((IF('DICIEMBRE 2026'!Y6:Y110&lt;&gt;"",'DICIEMBRE 2026'!Y6:Y110,'DICIEMBRE 2026'!I6:I110)="COLLONCE")*('DICIEMBRE 2026'!K6:K110="GASOLINA")*'DICIEMBRE 2026'!M6:M110),0)</f>
        <v>0</v>
      </c>
      <c r="F85" s="187" t="n">
        <f aca="false">IFERROR(SUMPRODUCT((IF('DICIEMBRE 2026'!Y6:Y110&lt;&gt;"",'DICIEMBRE 2026'!Y6:Y110,'DICIEMBRE 2026'!I6:I110)="COLLONCE")*('DICIEMBRE 2026'!K6:K110="GASOLINA")*'DICIEMBRE 2026'!L6:L110*'DICIEMBRE 2026'!M6:M110),0)</f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" hidden="false" customHeight="true" outlineLevel="0" collapsed="false">
      <c r="A86" s="1" t="s">
        <v>48</v>
      </c>
      <c r="B86" s="1" t="s">
        <v>5165</v>
      </c>
      <c r="C86" s="187" t="n">
        <f aca="false">IFERROR(SUMPRODUCT((IF('ENERO 2026'!Y6:Y119&lt;&gt;"",'ENERO 2026'!Y6:Y119,'ENERO 2026'!I6:I119)="HUAMBO")*('ENERO 2026'!K6:K119="PETROLEO")*'ENERO 2026'!M6:M119),0)</f>
        <v>19</v>
      </c>
      <c r="D86" s="187" t="n">
        <f aca="false">IFERROR(SUMPRODUCT((IF('ENERO 2026'!Y6:Y119&lt;&gt;"",'ENERO 2026'!Y6:Y119,'ENERO 2026'!I6:I119)="HUAMBO")*('ENERO 2026'!K6:K119="PETROLEO")*'ENERO 2026'!L6:L119*'ENERO 2026'!M6:M119),0)</f>
        <v>384.75</v>
      </c>
      <c r="E86" s="187" t="n">
        <f aca="false">IFERROR(SUMPRODUCT((IF('ENERO 2026'!Y6:Y119&lt;&gt;"",'ENERO 2026'!Y6:Y119,'ENERO 2026'!I6:I119)="HUAMBO")*('ENERO 2026'!K6:K119="GASOLINA")*'ENERO 2026'!M6:M119),0)</f>
        <v>0</v>
      </c>
      <c r="F86" s="187" t="n">
        <f aca="false">IFERROR(SUMPRODUCT((IF('ENERO 2026'!Y6:Y119&lt;&gt;"",'ENERO 2026'!Y6:Y119,'ENERO 2026'!I6:I119)="HUAMBO")*('ENERO 2026'!K6:K119="GASOLINA")*'ENERO 2026'!L6:L119*'ENERO 2026'!M6:M119),0)</f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" hidden="false" customHeight="true" outlineLevel="0" collapsed="false">
      <c r="A87" s="1" t="s">
        <v>48</v>
      </c>
      <c r="B87" s="1" t="s">
        <v>5166</v>
      </c>
      <c r="C87" s="187" t="n">
        <f aca="false">IFERROR(SUMPRODUCT((IF('FEBRERO 2026'!Y6:Y124&lt;&gt;"",'FEBRERO 2026'!Y6:Y124,'FEBRERO 2026'!I6:I124)="HUAMBO")*('FEBRERO 2026'!K6:K124="PETROLEO")*'FEBRERO 2026'!M6:M124),0)</f>
        <v>26</v>
      </c>
      <c r="D87" s="187" t="n">
        <f aca="false">IFERROR(SUMPRODUCT((IF('FEBRERO 2026'!Y6:Y124&lt;&gt;"",'FEBRERO 2026'!Y6:Y124,'FEBRERO 2026'!I6:I124)="HUAMBO")*('FEBRERO 2026'!K6:K124="PETROLEO")*'FEBRERO 2026'!L6:L124*'FEBRERO 2026'!M6:M124),0)</f>
        <v>526.5</v>
      </c>
      <c r="E87" s="187" t="n">
        <f aca="false">IFERROR(SUMPRODUCT((IF('FEBRERO 2026'!Y6:Y124&lt;&gt;"",'FEBRERO 2026'!Y6:Y124,'FEBRERO 2026'!I6:I124)="HUAMBO")*('FEBRERO 2026'!K6:K124="GASOLINA")*'FEBRERO 2026'!M6:M124),0)</f>
        <v>0</v>
      </c>
      <c r="F87" s="187" t="n">
        <f aca="false">IFERROR(SUMPRODUCT((IF('FEBRERO 2026'!Y6:Y124&lt;&gt;"",'FEBRERO 2026'!Y6:Y124,'FEBRERO 2026'!I6:I124)="HUAMBO")*('FEBRERO 2026'!K6:K124="GASOLINA")*'FEBRERO 2026'!L6:L124*'FEBRERO 2026'!M6:M124),0)</f>
        <v>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" hidden="false" customHeight="true" outlineLevel="0" collapsed="false">
      <c r="A88" s="1" t="s">
        <v>48</v>
      </c>
      <c r="B88" s="1" t="s">
        <v>5167</v>
      </c>
      <c r="C88" s="187" t="n">
        <f aca="false">IFERROR(SUMPRODUCT((IF('MARZO 2026'!Y6:Y119&lt;&gt;"",'MARZO 2026'!Y6:Y119,'MARZO 2026'!I6:I119)="HUAMBO")*('MARZO 2026'!K6:K119="PETROLEO")*'MARZO 2026'!M6:M119),0)</f>
        <v>0</v>
      </c>
      <c r="D88" s="187" t="n">
        <f aca="false">IFERROR(SUMPRODUCT((IF('MARZO 2026'!Y6:Y119&lt;&gt;"",'MARZO 2026'!Y6:Y119,'MARZO 2026'!I6:I119)="HUAMBO")*('MARZO 2026'!K6:K119="PETROLEO")*'MARZO 2026'!L6:L119*'MARZO 2026'!M6:M119),0)</f>
        <v>0</v>
      </c>
      <c r="E88" s="187" t="n">
        <f aca="false">IFERROR(SUMPRODUCT((IF('MARZO 2026'!Y6:Y119&lt;&gt;"",'MARZO 2026'!Y6:Y119,'MARZO 2026'!I6:I119)="HUAMBO")*('MARZO 2026'!K6:K119="GASOLINA")*'MARZO 2026'!M6:M119),0)</f>
        <v>0</v>
      </c>
      <c r="F88" s="187" t="n">
        <f aca="false">IFERROR(SUMPRODUCT((IF('MARZO 2026'!Y6:Y119&lt;&gt;"",'MARZO 2026'!Y6:Y119,'MARZO 2026'!I6:I119)="HUAMBO")*('MARZO 2026'!K6:K119="GASOLINA")*'MARZO 2026'!L6:L119*'MARZO 2026'!M6:M119),0)</f>
        <v>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" hidden="false" customHeight="true" outlineLevel="0" collapsed="false">
      <c r="A89" s="1" t="s">
        <v>48</v>
      </c>
      <c r="B89" s="1" t="s">
        <v>5168</v>
      </c>
      <c r="C89" s="187" t="n">
        <f aca="false">IFERROR(SUMPRODUCT((IF('ABRIL 2026'!Y6:Y119&lt;&gt;"",'ABRIL 2026'!Y6:Y119,'ABRIL 2026'!I6:I119)="HUAMBO")*('ABRIL 2026'!K6:K119="PETROLEO")*'ABRIL 2026'!M6:M119),0)</f>
        <v>0</v>
      </c>
      <c r="D89" s="187" t="n">
        <f aca="false">IFERROR(SUMPRODUCT((IF('ABRIL 2026'!Y6:Y119&lt;&gt;"",'ABRIL 2026'!Y6:Y119,'ABRIL 2026'!I6:I119)="HUAMBO")*('ABRIL 2026'!K6:K119="PETROLEO")*'ABRIL 2026'!L6:L119*'ABRIL 2026'!M6:M119),0)</f>
        <v>0</v>
      </c>
      <c r="E89" s="187" t="n">
        <f aca="false">IFERROR(SUMPRODUCT((IF('ABRIL 2026'!Y6:Y119&lt;&gt;"",'ABRIL 2026'!Y6:Y119,'ABRIL 2026'!I6:I119)="HUAMBO")*('ABRIL 2026'!K6:K119="GASOLINA")*'ABRIL 2026'!M6:M119),0)</f>
        <v>0</v>
      </c>
      <c r="F89" s="187" t="n">
        <f aca="false">IFERROR(SUMPRODUCT((IF('ABRIL 2026'!Y6:Y119&lt;&gt;"",'ABRIL 2026'!Y6:Y119,'ABRIL 2026'!I6:I119)="HUAMBO")*('ABRIL 2026'!K6:K119="GASOLINA")*'ABRIL 2026'!L6:L119*'ABRIL 2026'!M6:M119),0)</f>
        <v>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" hidden="false" customHeight="true" outlineLevel="0" collapsed="false">
      <c r="A90" s="1" t="s">
        <v>48</v>
      </c>
      <c r="B90" s="1" t="s">
        <v>5169</v>
      </c>
      <c r="C90" s="187" t="n">
        <f aca="false">IFERROR(SUMPRODUCT((IF('MAYO 2026'!Y6:Y110&lt;&gt;"",'MAYO 2026'!Y6:Y110,'MAYO 2026'!I6:I110)="HUAMBO")*('MAYO 2026'!K6:K110="PETROLEO")*'MAYO 2026'!M6:M110),0)</f>
        <v>0</v>
      </c>
      <c r="D90" s="187" t="n">
        <f aca="false">IFERROR(SUMPRODUCT((IF('MAYO 2026'!Y6:Y110&lt;&gt;"",'MAYO 2026'!Y6:Y110,'MAYO 2026'!I6:I110)="HUAMBO")*('MAYO 2026'!K6:K110="PETROLEO")*'MAYO 2026'!L6:L110*'MAYO 2026'!M6:M110),0)</f>
        <v>0</v>
      </c>
      <c r="E90" s="187" t="n">
        <f aca="false">IFERROR(SUMPRODUCT((IF('MAYO 2026'!Y6:Y110&lt;&gt;"",'MAYO 2026'!Y6:Y110,'MAYO 2026'!I6:I110)="HUAMBO")*('MAYO 2026'!K6:K110="GASOLINA")*'MAYO 2026'!M6:M110),0)</f>
        <v>0</v>
      </c>
      <c r="F90" s="187" t="n">
        <f aca="false">IFERROR(SUMPRODUCT((IF('MAYO 2026'!Y6:Y110&lt;&gt;"",'MAYO 2026'!Y6:Y110,'MAYO 2026'!I6:I110)="HUAMBO")*('MAYO 2026'!K6:K110="GASOLINA")*'MAYO 2026'!L6:L110*'MAYO 2026'!M6:M110),0)</f>
        <v>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" hidden="false" customHeight="true" outlineLevel="0" collapsed="false">
      <c r="A91" s="1" t="s">
        <v>48</v>
      </c>
      <c r="B91" s="1" t="s">
        <v>5170</v>
      </c>
      <c r="C91" s="187" t="n">
        <f aca="false">IFERROR(SUMPRODUCT((IF('JUNIO 2026'!Y6:Y110&lt;&gt;"",'JUNIO 2026'!Y6:Y110,'JUNIO 2026'!I6:I110)="HUAMBO")*('JUNIO 2026'!K6:K110="PETROLEO")*'JUNIO 2026'!M6:M110),0)</f>
        <v>0</v>
      </c>
      <c r="D91" s="187" t="n">
        <f aca="false">IFERROR(SUMPRODUCT((IF('JUNIO 2026'!Y6:Y110&lt;&gt;"",'JUNIO 2026'!Y6:Y110,'JUNIO 2026'!I6:I110)="HUAMBO")*('JUNIO 2026'!K6:K110="PETROLEO")*'JUNIO 2026'!L6:L110*'JUNIO 2026'!M6:M110),0)</f>
        <v>0</v>
      </c>
      <c r="E91" s="187" t="n">
        <f aca="false">IFERROR(SUMPRODUCT((IF('JUNIO 2026'!Y6:Y110&lt;&gt;"",'JUNIO 2026'!Y6:Y110,'JUNIO 2026'!I6:I110)="HUAMBO")*('JUNIO 2026'!K6:K110="GASOLINA")*'JUNIO 2026'!M6:M110),0)</f>
        <v>0</v>
      </c>
      <c r="F91" s="187" t="n">
        <f aca="false">IFERROR(SUMPRODUCT((IF('JUNIO 2026'!Y6:Y110&lt;&gt;"",'JUNIO 2026'!Y6:Y110,'JUNIO 2026'!I6:I110)="HUAMBO")*('JUNIO 2026'!K6:K110="GASOLINA")*'JUNIO 2026'!L6:L110*'JUNIO 2026'!M6:M110),0)</f>
        <v>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" hidden="false" customHeight="true" outlineLevel="0" collapsed="false">
      <c r="A92" s="1" t="s">
        <v>48</v>
      </c>
      <c r="B92" s="1" t="s">
        <v>5171</v>
      </c>
      <c r="C92" s="187" t="n">
        <f aca="false">IFERROR(SUMPRODUCT((IF('JULIO 2026'!Y6:Y110&lt;&gt;"",'JULIO 2026'!Y6:Y110,'JULIO 2026'!I6:I110)="HUAMBO")*('JULIO 2026'!K6:K110="PETROLEO")*'JULIO 2026'!M6:M110),0)</f>
        <v>0</v>
      </c>
      <c r="D92" s="187" t="n">
        <f aca="false">IFERROR(SUMPRODUCT((IF('JULIO 2026'!Y6:Y110&lt;&gt;"",'JULIO 2026'!Y6:Y110,'JULIO 2026'!I6:I110)="HUAMBO")*('JULIO 2026'!K6:K110="PETROLEO")*'JULIO 2026'!L6:L110*'JULIO 2026'!M6:M110),0)</f>
        <v>0</v>
      </c>
      <c r="E92" s="187" t="n">
        <f aca="false">IFERROR(SUMPRODUCT((IF('JULIO 2026'!Y6:Y110&lt;&gt;"",'JULIO 2026'!Y6:Y110,'JULIO 2026'!I6:I110)="HUAMBO")*('JULIO 2026'!K6:K110="GASOLINA")*'JULIO 2026'!M6:M110),0)</f>
        <v>0</v>
      </c>
      <c r="F92" s="187" t="n">
        <f aca="false">IFERROR(SUMPRODUCT((IF('JULIO 2026'!Y6:Y110&lt;&gt;"",'JULIO 2026'!Y6:Y110,'JULIO 2026'!I6:I110)="HUAMBO")*('JULIO 2026'!K6:K110="GASOLINA")*'JULIO 2026'!L6:L110*'JULIO 2026'!M6:M110),0)</f>
        <v>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" hidden="false" customHeight="true" outlineLevel="0" collapsed="false">
      <c r="A93" s="1" t="s">
        <v>48</v>
      </c>
      <c r="B93" s="1" t="s">
        <v>5172</v>
      </c>
      <c r="C93" s="187" t="n">
        <f aca="false">IFERROR(SUMPRODUCT((IF('AGOSTO 2026'!Y6:Y110&lt;&gt;"",'AGOSTO 2026'!Y6:Y110,'AGOSTO 2026'!I6:I110)="HUAMBO")*('AGOSTO 2026'!K6:K110="PETROLEO")*'AGOSTO 2026'!M6:M110),0)</f>
        <v>0</v>
      </c>
      <c r="D93" s="187" t="n">
        <f aca="false">IFERROR(SUMPRODUCT((IF('AGOSTO 2026'!Y6:Y110&lt;&gt;"",'AGOSTO 2026'!Y6:Y110,'AGOSTO 2026'!I6:I110)="HUAMBO")*('AGOSTO 2026'!K6:K110="PETROLEO")*'AGOSTO 2026'!L6:L110*'AGOSTO 2026'!M6:M110),0)</f>
        <v>0</v>
      </c>
      <c r="E93" s="187" t="n">
        <f aca="false">IFERROR(SUMPRODUCT((IF('AGOSTO 2026'!Y6:Y110&lt;&gt;"",'AGOSTO 2026'!Y6:Y110,'AGOSTO 2026'!I6:I110)="HUAMBO")*('AGOSTO 2026'!K6:K110="GASOLINA")*'AGOSTO 2026'!M6:M110),0)</f>
        <v>0</v>
      </c>
      <c r="F93" s="187" t="n">
        <f aca="false">IFERROR(SUMPRODUCT((IF('AGOSTO 2026'!Y6:Y110&lt;&gt;"",'AGOSTO 2026'!Y6:Y110,'AGOSTO 2026'!I6:I110)="HUAMBO")*('AGOSTO 2026'!K6:K110="GASOLINA")*'AGOSTO 2026'!L6:L110*'AGOSTO 2026'!M6:M110),0)</f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" hidden="false" customHeight="true" outlineLevel="0" collapsed="false">
      <c r="A94" s="1" t="s">
        <v>48</v>
      </c>
      <c r="B94" s="1" t="s">
        <v>5173</v>
      </c>
      <c r="C94" s="187" t="n">
        <f aca="false">IFERROR(SUMPRODUCT((IF('SETIEMBRE 2026'!Y6:Y110&lt;&gt;"",'SETIEMBRE 2026'!Y6:Y110,'SETIEMBRE 2026'!I6:I110)="HUAMBO")*('SETIEMBRE 2026'!K6:K110="PETROLEO")*'SETIEMBRE 2026'!M6:M110),0)</f>
        <v>0</v>
      </c>
      <c r="D94" s="187" t="n">
        <f aca="false">IFERROR(SUMPRODUCT((IF('SETIEMBRE 2026'!Y6:Y110&lt;&gt;"",'SETIEMBRE 2026'!Y6:Y110,'SETIEMBRE 2026'!I6:I110)="HUAMBO")*('SETIEMBRE 2026'!K6:K110="PETROLEO")*'SETIEMBRE 2026'!L6:L110*'SETIEMBRE 2026'!M6:M110),0)</f>
        <v>0</v>
      </c>
      <c r="E94" s="187" t="n">
        <f aca="false">IFERROR(SUMPRODUCT((IF('SETIEMBRE 2026'!Y6:Y110&lt;&gt;"",'SETIEMBRE 2026'!Y6:Y110,'SETIEMBRE 2026'!I6:I110)="HUAMBO")*('SETIEMBRE 2026'!K6:K110="GASOLINA")*'SETIEMBRE 2026'!M6:M110),0)</f>
        <v>0</v>
      </c>
      <c r="F94" s="187" t="n">
        <f aca="false">IFERROR(SUMPRODUCT((IF('SETIEMBRE 2026'!Y6:Y110&lt;&gt;"",'SETIEMBRE 2026'!Y6:Y110,'SETIEMBRE 2026'!I6:I110)="HUAMBO")*('SETIEMBRE 2026'!K6:K110="GASOLINA")*'SETIEMBRE 2026'!L6:L110*'SETIEMBRE 2026'!M6:M110),0)</f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" hidden="false" customHeight="true" outlineLevel="0" collapsed="false">
      <c r="A95" s="1" t="s">
        <v>48</v>
      </c>
      <c r="B95" s="1" t="s">
        <v>5174</v>
      </c>
      <c r="C95" s="187" t="n">
        <f aca="false">IFERROR(SUMPRODUCT((IF('OCTUBRE 2026'!Y6:Y110&lt;&gt;"",'OCTUBRE 2026'!Y6:Y110,'OCTUBRE 2026'!I6:I110)="HUAMBO")*('OCTUBRE 2026'!K6:K110="PETROLEO")*'OCTUBRE 2026'!M6:M110),0)</f>
        <v>0</v>
      </c>
      <c r="D95" s="187" t="n">
        <f aca="false">IFERROR(SUMPRODUCT((IF('OCTUBRE 2026'!Y6:Y110&lt;&gt;"",'OCTUBRE 2026'!Y6:Y110,'OCTUBRE 2026'!I6:I110)="HUAMBO")*('OCTUBRE 2026'!K6:K110="PETROLEO")*'OCTUBRE 2026'!L6:L110*'OCTUBRE 2026'!M6:M110),0)</f>
        <v>0</v>
      </c>
      <c r="E95" s="187" t="n">
        <f aca="false">IFERROR(SUMPRODUCT((IF('OCTUBRE 2026'!Y6:Y110&lt;&gt;"",'OCTUBRE 2026'!Y6:Y110,'OCTUBRE 2026'!I6:I110)="HUAMBO")*('OCTUBRE 2026'!K6:K110="GASOLINA")*'OCTUBRE 2026'!M6:M110),0)</f>
        <v>0</v>
      </c>
      <c r="F95" s="187" t="n">
        <f aca="false">IFERROR(SUMPRODUCT((IF('OCTUBRE 2026'!Y6:Y110&lt;&gt;"",'OCTUBRE 2026'!Y6:Y110,'OCTUBRE 2026'!I6:I110)="HUAMBO")*('OCTUBRE 2026'!K6:K110="GASOLINA")*'OCTUBRE 2026'!L6:L110*'OCTUBRE 2026'!M6:M110),0)</f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" hidden="false" customHeight="true" outlineLevel="0" collapsed="false">
      <c r="A96" s="1" t="s">
        <v>48</v>
      </c>
      <c r="B96" s="1" t="s">
        <v>5175</v>
      </c>
      <c r="C96" s="187" t="n">
        <f aca="false">IFERROR(SUMPRODUCT((IF('NOVIEMBRE 2026'!Y6:Y110&lt;&gt;"",'NOVIEMBRE 2026'!Y6:Y110,'NOVIEMBRE 2026'!I6:I110)="HUAMBO")*('NOVIEMBRE 2026'!K6:K110="PETROLEO")*'NOVIEMBRE 2026'!M6:M110),0)</f>
        <v>0</v>
      </c>
      <c r="D96" s="187" t="n">
        <f aca="false">IFERROR(SUMPRODUCT((IF('NOVIEMBRE 2026'!Y6:Y110&lt;&gt;"",'NOVIEMBRE 2026'!Y6:Y110,'NOVIEMBRE 2026'!I6:I110)="HUAMBO")*('NOVIEMBRE 2026'!K6:K110="PETROLEO")*'NOVIEMBRE 2026'!L6:L110*'NOVIEMBRE 2026'!M6:M110),0)</f>
        <v>0</v>
      </c>
      <c r="E96" s="187" t="n">
        <f aca="false">IFERROR(SUMPRODUCT((IF('NOVIEMBRE 2026'!Y6:Y110&lt;&gt;"",'NOVIEMBRE 2026'!Y6:Y110,'NOVIEMBRE 2026'!I6:I110)="HUAMBO")*('NOVIEMBRE 2026'!K6:K110="GASOLINA")*'NOVIEMBRE 2026'!M6:M110),0)</f>
        <v>0</v>
      </c>
      <c r="F96" s="187" t="n">
        <f aca="false">IFERROR(SUMPRODUCT((IF('NOVIEMBRE 2026'!Y6:Y110&lt;&gt;"",'NOVIEMBRE 2026'!Y6:Y110,'NOVIEMBRE 2026'!I6:I110)="HUAMBO")*('NOVIEMBRE 2026'!K6:K110="GASOLINA")*'NOVIEMBRE 2026'!L6:L110*'NOVIEMBRE 2026'!M6:M110),0)</f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" hidden="false" customHeight="true" outlineLevel="0" collapsed="false">
      <c r="A97" s="1" t="s">
        <v>48</v>
      </c>
      <c r="B97" s="1" t="s">
        <v>5176</v>
      </c>
      <c r="C97" s="187" t="n">
        <f aca="false">IFERROR(SUMPRODUCT((IF('DICIEMBRE 2026'!Y6:Y110&lt;&gt;"",'DICIEMBRE 2026'!Y6:Y110,'DICIEMBRE 2026'!I6:I110)="HUAMBO")*('DICIEMBRE 2026'!K6:K110="PETROLEO")*'DICIEMBRE 2026'!M6:M110),0)</f>
        <v>0</v>
      </c>
      <c r="D97" s="187" t="n">
        <f aca="false">IFERROR(SUMPRODUCT((IF('DICIEMBRE 2026'!Y6:Y110&lt;&gt;"",'DICIEMBRE 2026'!Y6:Y110,'DICIEMBRE 2026'!I6:I110)="HUAMBO")*('DICIEMBRE 2026'!K6:K110="PETROLEO")*'DICIEMBRE 2026'!L6:L110*'DICIEMBRE 2026'!M6:M110),0)</f>
        <v>0</v>
      </c>
      <c r="E97" s="187" t="n">
        <f aca="false">IFERROR(SUMPRODUCT((IF('DICIEMBRE 2026'!Y6:Y110&lt;&gt;"",'DICIEMBRE 2026'!Y6:Y110,'DICIEMBRE 2026'!I6:I110)="HUAMBO")*('DICIEMBRE 2026'!K6:K110="GASOLINA")*'DICIEMBRE 2026'!M6:M110),0)</f>
        <v>0</v>
      </c>
      <c r="F97" s="187" t="n">
        <f aca="false">IFERROR(SUMPRODUCT((IF('DICIEMBRE 2026'!Y6:Y110&lt;&gt;"",'DICIEMBRE 2026'!Y6:Y110,'DICIEMBRE 2026'!I6:I110)="HUAMBO")*('DICIEMBRE 2026'!K6:K110="GASOLINA")*'DICIEMBRE 2026'!L6:L110*'DICIEMBRE 2026'!M6:M110),0)</f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" hidden="false" customHeight="true" outlineLevel="0" collapsed="false">
      <c r="A98" s="1" t="s">
        <v>165</v>
      </c>
      <c r="B98" s="1" t="s">
        <v>5165</v>
      </c>
      <c r="C98" s="187" t="n">
        <f aca="false">IFERROR(SUMPRODUCT((IF('ENERO 2026'!Y6:Y119&lt;&gt;"",'ENERO 2026'!Y6:Y119,'ENERO 2026'!I6:I119)="JALCA GRANDE")*('ENERO 2026'!K6:K119="PETROLEO")*'ENERO 2026'!M6:M119),0)</f>
        <v>14</v>
      </c>
      <c r="D98" s="187" t="n">
        <f aca="false">IFERROR(SUMPRODUCT((IF('ENERO 2026'!Y6:Y119&lt;&gt;"",'ENERO 2026'!Y6:Y119,'ENERO 2026'!I6:I119)="JALCA GRANDE")*('ENERO 2026'!K6:K119="PETROLEO")*'ENERO 2026'!L6:L119*'ENERO 2026'!M6:M119),0)</f>
        <v>254.52</v>
      </c>
      <c r="E98" s="187" t="n">
        <f aca="false">IFERROR(SUMPRODUCT((IF('ENERO 2026'!Y6:Y119&lt;&gt;"",'ENERO 2026'!Y6:Y119,'ENERO 2026'!I6:I119)="JALCA GRANDE")*('ENERO 2026'!K6:K119="GASOLINA")*'ENERO 2026'!M6:M119),0)</f>
        <v>0</v>
      </c>
      <c r="F98" s="187" t="n">
        <f aca="false">IFERROR(SUMPRODUCT((IF('ENERO 2026'!Y6:Y119&lt;&gt;"",'ENERO 2026'!Y6:Y119,'ENERO 2026'!I6:I119)="JALCA GRANDE")*('ENERO 2026'!K6:K119="GASOLINA")*'ENERO 2026'!L6:L119*'ENERO 2026'!M6:M119),0)</f>
        <v>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" hidden="false" customHeight="true" outlineLevel="0" collapsed="false">
      <c r="A99" s="1" t="s">
        <v>165</v>
      </c>
      <c r="B99" s="1" t="s">
        <v>5166</v>
      </c>
      <c r="C99" s="187" t="n">
        <f aca="false">IFERROR(SUMPRODUCT((IF('FEBRERO 2026'!Y6:Y124&lt;&gt;"",'FEBRERO 2026'!Y6:Y124,'FEBRERO 2026'!I6:I124)="JALCA GRANDE")*('FEBRERO 2026'!K6:K124="PETROLEO")*'FEBRERO 2026'!M6:M124),0)</f>
        <v>28</v>
      </c>
      <c r="D99" s="187" t="n">
        <f aca="false">IFERROR(SUMPRODUCT((IF('FEBRERO 2026'!Y6:Y124&lt;&gt;"",'FEBRERO 2026'!Y6:Y124,'FEBRERO 2026'!I6:I124)="JALCA GRANDE")*('FEBRERO 2026'!K6:K124="PETROLEO")*'FEBRERO 2026'!L6:L124*'FEBRERO 2026'!M6:M124),0)</f>
        <v>509.04</v>
      </c>
      <c r="E99" s="187" t="n">
        <f aca="false">IFERROR(SUMPRODUCT((IF('FEBRERO 2026'!Y6:Y124&lt;&gt;"",'FEBRERO 2026'!Y6:Y124,'FEBRERO 2026'!I6:I124)="JALCA GRANDE")*('FEBRERO 2026'!K6:K124="GASOLINA")*'FEBRERO 2026'!M6:M124),0)</f>
        <v>0</v>
      </c>
      <c r="F99" s="187" t="n">
        <f aca="false">IFERROR(SUMPRODUCT((IF('FEBRERO 2026'!Y6:Y124&lt;&gt;"",'FEBRERO 2026'!Y6:Y124,'FEBRERO 2026'!I6:I124)="JALCA GRANDE")*('FEBRERO 2026'!K6:K124="GASOLINA")*'FEBRERO 2026'!L6:L124*'FEBRERO 2026'!M6:M124),0)</f>
        <v>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" hidden="false" customHeight="true" outlineLevel="0" collapsed="false">
      <c r="A100" s="1" t="s">
        <v>165</v>
      </c>
      <c r="B100" s="1" t="s">
        <v>5167</v>
      </c>
      <c r="C100" s="187" t="n">
        <f aca="false">IFERROR(SUMPRODUCT((IF('MARZO 2026'!Y6:Y119&lt;&gt;"",'MARZO 2026'!Y6:Y119,'MARZO 2026'!I6:I119)="JALCA GRANDE")*('MARZO 2026'!K6:K119="PETROLEO")*'MARZO 2026'!M6:M119),0)</f>
        <v>7</v>
      </c>
      <c r="D100" s="187" t="n">
        <f aca="false">IFERROR(SUMPRODUCT((IF('MARZO 2026'!Y6:Y119&lt;&gt;"",'MARZO 2026'!Y6:Y119,'MARZO 2026'!I6:I119)="JALCA GRANDE")*('MARZO 2026'!K6:K119="PETROLEO")*'MARZO 2026'!L6:L119*'MARZO 2026'!M6:M119),0)</f>
        <v>127.26</v>
      </c>
      <c r="E100" s="187" t="n">
        <f aca="false">IFERROR(SUMPRODUCT((IF('MARZO 2026'!Y6:Y119&lt;&gt;"",'MARZO 2026'!Y6:Y119,'MARZO 2026'!I6:I119)="JALCA GRANDE")*('MARZO 2026'!K6:K119="GASOLINA")*'MARZO 2026'!M6:M119),0)</f>
        <v>0</v>
      </c>
      <c r="F100" s="187" t="n">
        <f aca="false">IFERROR(SUMPRODUCT((IF('MARZO 2026'!Y6:Y119&lt;&gt;"",'MARZO 2026'!Y6:Y119,'MARZO 2026'!I6:I119)="JALCA GRANDE")*('MARZO 2026'!K6:K119="GASOLINA")*'MARZO 2026'!L6:L119*'MARZO 2026'!M6:M119),0)</f>
        <v>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" hidden="false" customHeight="true" outlineLevel="0" collapsed="false">
      <c r="A101" s="1" t="s">
        <v>165</v>
      </c>
      <c r="B101" s="1" t="s">
        <v>5168</v>
      </c>
      <c r="C101" s="187" t="n">
        <f aca="false">IFERROR(SUMPRODUCT((IF('ABRIL 2026'!Y6:Y119&lt;&gt;"",'ABRIL 2026'!Y6:Y119,'ABRIL 2026'!I6:I119)="JALCA GRANDE")*('ABRIL 2026'!K6:K119="PETROLEO")*'ABRIL 2026'!M6:M119),0)</f>
        <v>0</v>
      </c>
      <c r="D101" s="187" t="n">
        <f aca="false">IFERROR(SUMPRODUCT((IF('ABRIL 2026'!Y6:Y119&lt;&gt;"",'ABRIL 2026'!Y6:Y119,'ABRIL 2026'!I6:I119)="JALCA GRANDE")*('ABRIL 2026'!K6:K119="PETROLEO")*'ABRIL 2026'!L6:L119*'ABRIL 2026'!M6:M119),0)</f>
        <v>0</v>
      </c>
      <c r="E101" s="187" t="n">
        <f aca="false">IFERROR(SUMPRODUCT((IF('ABRIL 2026'!Y6:Y119&lt;&gt;"",'ABRIL 2026'!Y6:Y119,'ABRIL 2026'!I6:I119)="JALCA GRANDE")*('ABRIL 2026'!K6:K119="GASOLINA")*'ABRIL 2026'!M6:M119),0)</f>
        <v>0</v>
      </c>
      <c r="F101" s="187" t="n">
        <f aca="false">IFERROR(SUMPRODUCT((IF('ABRIL 2026'!Y6:Y119&lt;&gt;"",'ABRIL 2026'!Y6:Y119,'ABRIL 2026'!I6:I119)="JALCA GRANDE")*('ABRIL 2026'!K6:K119="GASOLINA")*'ABRIL 2026'!L6:L119*'ABRIL 2026'!M6:M119),0)</f>
        <v>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" hidden="false" customHeight="true" outlineLevel="0" collapsed="false">
      <c r="A102" s="1" t="s">
        <v>165</v>
      </c>
      <c r="B102" s="1" t="s">
        <v>5169</v>
      </c>
      <c r="C102" s="187" t="n">
        <f aca="false">IFERROR(SUMPRODUCT((IF('MAYO 2026'!Y6:Y110&lt;&gt;"",'MAYO 2026'!Y6:Y110,'MAYO 2026'!I6:I110)="JALCA GRANDE")*('MAYO 2026'!K6:K110="PETROLEO")*'MAYO 2026'!M6:M110),0)</f>
        <v>0</v>
      </c>
      <c r="D102" s="187" t="n">
        <f aca="false">IFERROR(SUMPRODUCT((IF('MAYO 2026'!Y6:Y110&lt;&gt;"",'MAYO 2026'!Y6:Y110,'MAYO 2026'!I6:I110)="JALCA GRANDE")*('MAYO 2026'!K6:K110="PETROLEO")*'MAYO 2026'!L6:L110*'MAYO 2026'!M6:M110),0)</f>
        <v>0</v>
      </c>
      <c r="E102" s="187" t="n">
        <f aca="false">IFERROR(SUMPRODUCT((IF('MAYO 2026'!Y6:Y110&lt;&gt;"",'MAYO 2026'!Y6:Y110,'MAYO 2026'!I6:I110)="JALCA GRANDE")*('MAYO 2026'!K6:K110="GASOLINA")*'MAYO 2026'!M6:M110),0)</f>
        <v>0</v>
      </c>
      <c r="F102" s="187" t="n">
        <f aca="false">IFERROR(SUMPRODUCT((IF('MAYO 2026'!Y6:Y110&lt;&gt;"",'MAYO 2026'!Y6:Y110,'MAYO 2026'!I6:I110)="JALCA GRANDE")*('MAYO 2026'!K6:K110="GASOLINA")*'MAYO 2026'!L6:L110*'MAYO 2026'!M6:M110),0)</f>
        <v>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" hidden="false" customHeight="true" outlineLevel="0" collapsed="false">
      <c r="A103" s="1" t="s">
        <v>165</v>
      </c>
      <c r="B103" s="1" t="s">
        <v>5170</v>
      </c>
      <c r="C103" s="187" t="n">
        <f aca="false">IFERROR(SUMPRODUCT((IF('JUNIO 2026'!Y6:Y110&lt;&gt;"",'JUNIO 2026'!Y6:Y110,'JUNIO 2026'!I6:I110)="JALCA GRANDE")*('JUNIO 2026'!K6:K110="PETROLEO")*'JUNIO 2026'!M6:M110),0)</f>
        <v>0</v>
      </c>
      <c r="D103" s="187" t="n">
        <f aca="false">IFERROR(SUMPRODUCT((IF('JUNIO 2026'!Y6:Y110&lt;&gt;"",'JUNIO 2026'!Y6:Y110,'JUNIO 2026'!I6:I110)="JALCA GRANDE")*('JUNIO 2026'!K6:K110="PETROLEO")*'JUNIO 2026'!L6:L110*'JUNIO 2026'!M6:M110),0)</f>
        <v>0</v>
      </c>
      <c r="E103" s="187" t="n">
        <f aca="false">IFERROR(SUMPRODUCT((IF('JUNIO 2026'!Y6:Y110&lt;&gt;"",'JUNIO 2026'!Y6:Y110,'JUNIO 2026'!I6:I110)="JALCA GRANDE")*('JUNIO 2026'!K6:K110="GASOLINA")*'JUNIO 2026'!M6:M110),0)</f>
        <v>0</v>
      </c>
      <c r="F103" s="187" t="n">
        <f aca="false">IFERROR(SUMPRODUCT((IF('JUNIO 2026'!Y6:Y110&lt;&gt;"",'JUNIO 2026'!Y6:Y110,'JUNIO 2026'!I6:I110)="JALCA GRANDE")*('JUNIO 2026'!K6:K110="GASOLINA")*'JUNIO 2026'!L6:L110*'JUNIO 2026'!M6:M110),0)</f>
        <v>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" hidden="false" customHeight="true" outlineLevel="0" collapsed="false">
      <c r="A104" s="1" t="s">
        <v>165</v>
      </c>
      <c r="B104" s="1" t="s">
        <v>5171</v>
      </c>
      <c r="C104" s="187" t="n">
        <f aca="false">IFERROR(SUMPRODUCT((IF('JULIO 2026'!Y6:Y110&lt;&gt;"",'JULIO 2026'!Y6:Y110,'JULIO 2026'!I6:I110)="JALCA GRANDE")*('JULIO 2026'!K6:K110="PETROLEO")*'JULIO 2026'!M6:M110),0)</f>
        <v>0</v>
      </c>
      <c r="D104" s="187" t="n">
        <f aca="false">IFERROR(SUMPRODUCT((IF('JULIO 2026'!Y6:Y110&lt;&gt;"",'JULIO 2026'!Y6:Y110,'JULIO 2026'!I6:I110)="JALCA GRANDE")*('JULIO 2026'!K6:K110="PETROLEO")*'JULIO 2026'!L6:L110*'JULIO 2026'!M6:M110),0)</f>
        <v>0</v>
      </c>
      <c r="E104" s="187" t="n">
        <f aca="false">IFERROR(SUMPRODUCT((IF('JULIO 2026'!Y6:Y110&lt;&gt;"",'JULIO 2026'!Y6:Y110,'JULIO 2026'!I6:I110)="JALCA GRANDE")*('JULIO 2026'!K6:K110="GASOLINA")*'JULIO 2026'!M6:M110),0)</f>
        <v>0</v>
      </c>
      <c r="F104" s="187" t="n">
        <f aca="false">IFERROR(SUMPRODUCT((IF('JULIO 2026'!Y6:Y110&lt;&gt;"",'JULIO 2026'!Y6:Y110,'JULIO 2026'!I6:I110)="JALCA GRANDE")*('JULIO 2026'!K6:K110="GASOLINA")*'JULIO 2026'!L6:L110*'JULIO 2026'!M6:M110),0)</f>
        <v>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" hidden="false" customHeight="true" outlineLevel="0" collapsed="false">
      <c r="A105" s="1" t="s">
        <v>165</v>
      </c>
      <c r="B105" s="1" t="s">
        <v>5172</v>
      </c>
      <c r="C105" s="187" t="n">
        <f aca="false">IFERROR(SUMPRODUCT((IF('AGOSTO 2026'!Y6:Y110&lt;&gt;"",'AGOSTO 2026'!Y6:Y110,'AGOSTO 2026'!I6:I110)="JALCA GRANDE")*('AGOSTO 2026'!K6:K110="PETROLEO")*'AGOSTO 2026'!M6:M110),0)</f>
        <v>0</v>
      </c>
      <c r="D105" s="187" t="n">
        <f aca="false">IFERROR(SUMPRODUCT((IF('AGOSTO 2026'!Y6:Y110&lt;&gt;"",'AGOSTO 2026'!Y6:Y110,'AGOSTO 2026'!I6:I110)="JALCA GRANDE")*('AGOSTO 2026'!K6:K110="PETROLEO")*'AGOSTO 2026'!L6:L110*'AGOSTO 2026'!M6:M110),0)</f>
        <v>0</v>
      </c>
      <c r="E105" s="187" t="n">
        <f aca="false">IFERROR(SUMPRODUCT((IF('AGOSTO 2026'!Y6:Y110&lt;&gt;"",'AGOSTO 2026'!Y6:Y110,'AGOSTO 2026'!I6:I110)="JALCA GRANDE")*('AGOSTO 2026'!K6:K110="GASOLINA")*'AGOSTO 2026'!M6:M110),0)</f>
        <v>0</v>
      </c>
      <c r="F105" s="187" t="n">
        <f aca="false">IFERROR(SUMPRODUCT((IF('AGOSTO 2026'!Y6:Y110&lt;&gt;"",'AGOSTO 2026'!Y6:Y110,'AGOSTO 2026'!I6:I110)="JALCA GRANDE")*('AGOSTO 2026'!K6:K110="GASOLINA")*'AGOSTO 2026'!L6:L110*'AGOSTO 2026'!M6:M110),0)</f>
        <v>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" hidden="false" customHeight="true" outlineLevel="0" collapsed="false">
      <c r="A106" s="1" t="s">
        <v>165</v>
      </c>
      <c r="B106" s="1" t="s">
        <v>5173</v>
      </c>
      <c r="C106" s="187" t="n">
        <f aca="false">IFERROR(SUMPRODUCT((IF('SETIEMBRE 2026'!Y6:Y110&lt;&gt;"",'SETIEMBRE 2026'!Y6:Y110,'SETIEMBRE 2026'!I6:I110)="JALCA GRANDE")*('SETIEMBRE 2026'!K6:K110="PETROLEO")*'SETIEMBRE 2026'!M6:M110),0)</f>
        <v>0</v>
      </c>
      <c r="D106" s="187" t="n">
        <f aca="false">IFERROR(SUMPRODUCT((IF('SETIEMBRE 2026'!Y6:Y110&lt;&gt;"",'SETIEMBRE 2026'!Y6:Y110,'SETIEMBRE 2026'!I6:I110)="JALCA GRANDE")*('SETIEMBRE 2026'!K6:K110="PETROLEO")*'SETIEMBRE 2026'!L6:L110*'SETIEMBRE 2026'!M6:M110),0)</f>
        <v>0</v>
      </c>
      <c r="E106" s="187" t="n">
        <f aca="false">IFERROR(SUMPRODUCT((IF('SETIEMBRE 2026'!Y6:Y110&lt;&gt;"",'SETIEMBRE 2026'!Y6:Y110,'SETIEMBRE 2026'!I6:I110)="JALCA GRANDE")*('SETIEMBRE 2026'!K6:K110="GASOLINA")*'SETIEMBRE 2026'!M6:M110),0)</f>
        <v>0</v>
      </c>
      <c r="F106" s="187" t="n">
        <f aca="false">IFERROR(SUMPRODUCT((IF('SETIEMBRE 2026'!Y6:Y110&lt;&gt;"",'SETIEMBRE 2026'!Y6:Y110,'SETIEMBRE 2026'!I6:I110)="JALCA GRANDE")*('SETIEMBRE 2026'!K6:K110="GASOLINA")*'SETIEMBRE 2026'!L6:L110*'SETIEMBRE 2026'!M6:M110),0)</f>
        <v>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" hidden="false" customHeight="true" outlineLevel="0" collapsed="false">
      <c r="A107" s="1" t="s">
        <v>165</v>
      </c>
      <c r="B107" s="1" t="s">
        <v>5174</v>
      </c>
      <c r="C107" s="187" t="n">
        <f aca="false">IFERROR(SUMPRODUCT((IF('OCTUBRE 2026'!Y6:Y110&lt;&gt;"",'OCTUBRE 2026'!Y6:Y110,'OCTUBRE 2026'!I6:I110)="JALCA GRANDE")*('OCTUBRE 2026'!K6:K110="PETROLEO")*'OCTUBRE 2026'!M6:M110),0)</f>
        <v>0</v>
      </c>
      <c r="D107" s="187" t="n">
        <f aca="false">IFERROR(SUMPRODUCT((IF('OCTUBRE 2026'!Y6:Y110&lt;&gt;"",'OCTUBRE 2026'!Y6:Y110,'OCTUBRE 2026'!I6:I110)="JALCA GRANDE")*('OCTUBRE 2026'!K6:K110="PETROLEO")*'OCTUBRE 2026'!L6:L110*'OCTUBRE 2026'!M6:M110),0)</f>
        <v>0</v>
      </c>
      <c r="E107" s="187" t="n">
        <f aca="false">IFERROR(SUMPRODUCT((IF('OCTUBRE 2026'!Y6:Y110&lt;&gt;"",'OCTUBRE 2026'!Y6:Y110,'OCTUBRE 2026'!I6:I110)="JALCA GRANDE")*('OCTUBRE 2026'!K6:K110="GASOLINA")*'OCTUBRE 2026'!M6:M110),0)</f>
        <v>0</v>
      </c>
      <c r="F107" s="187" t="n">
        <f aca="false">IFERROR(SUMPRODUCT((IF('OCTUBRE 2026'!Y6:Y110&lt;&gt;"",'OCTUBRE 2026'!Y6:Y110,'OCTUBRE 2026'!I6:I110)="JALCA GRANDE")*('OCTUBRE 2026'!K6:K110="GASOLINA")*'OCTUBRE 2026'!L6:L110*'OCTUBRE 2026'!M6:M110),0)</f>
        <v>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" hidden="false" customHeight="true" outlineLevel="0" collapsed="false">
      <c r="A108" s="1" t="s">
        <v>165</v>
      </c>
      <c r="B108" s="1" t="s">
        <v>5175</v>
      </c>
      <c r="C108" s="187" t="n">
        <f aca="false">IFERROR(SUMPRODUCT((IF('NOVIEMBRE 2026'!Y6:Y110&lt;&gt;"",'NOVIEMBRE 2026'!Y6:Y110,'NOVIEMBRE 2026'!I6:I110)="JALCA GRANDE")*('NOVIEMBRE 2026'!K6:K110="PETROLEO")*'NOVIEMBRE 2026'!M6:M110),0)</f>
        <v>0</v>
      </c>
      <c r="D108" s="187" t="n">
        <f aca="false">IFERROR(SUMPRODUCT((IF('NOVIEMBRE 2026'!Y6:Y110&lt;&gt;"",'NOVIEMBRE 2026'!Y6:Y110,'NOVIEMBRE 2026'!I6:I110)="JALCA GRANDE")*('NOVIEMBRE 2026'!K6:K110="PETROLEO")*'NOVIEMBRE 2026'!L6:L110*'NOVIEMBRE 2026'!M6:M110),0)</f>
        <v>0</v>
      </c>
      <c r="E108" s="187" t="n">
        <f aca="false">IFERROR(SUMPRODUCT((IF('NOVIEMBRE 2026'!Y6:Y110&lt;&gt;"",'NOVIEMBRE 2026'!Y6:Y110,'NOVIEMBRE 2026'!I6:I110)="JALCA GRANDE")*('NOVIEMBRE 2026'!K6:K110="GASOLINA")*'NOVIEMBRE 2026'!M6:M110),0)</f>
        <v>0</v>
      </c>
      <c r="F108" s="187" t="n">
        <f aca="false">IFERROR(SUMPRODUCT((IF('NOVIEMBRE 2026'!Y6:Y110&lt;&gt;"",'NOVIEMBRE 2026'!Y6:Y110,'NOVIEMBRE 2026'!I6:I110)="JALCA GRANDE")*('NOVIEMBRE 2026'!K6:K110="GASOLINA")*'NOVIEMBRE 2026'!L6:L110*'NOVIEMBRE 2026'!M6:M110),0)</f>
        <v>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" hidden="false" customHeight="true" outlineLevel="0" collapsed="false">
      <c r="A109" s="1" t="s">
        <v>165</v>
      </c>
      <c r="B109" s="1" t="s">
        <v>5176</v>
      </c>
      <c r="C109" s="187" t="n">
        <f aca="false">IFERROR(SUMPRODUCT((IF('DICIEMBRE 2026'!Y6:Y110&lt;&gt;"",'DICIEMBRE 2026'!Y6:Y110,'DICIEMBRE 2026'!I6:I110)="JALCA GRANDE")*('DICIEMBRE 2026'!K6:K110="PETROLEO")*'DICIEMBRE 2026'!M6:M110),0)</f>
        <v>0</v>
      </c>
      <c r="D109" s="187" t="n">
        <f aca="false">IFERROR(SUMPRODUCT((IF('DICIEMBRE 2026'!Y6:Y110&lt;&gt;"",'DICIEMBRE 2026'!Y6:Y110,'DICIEMBRE 2026'!I6:I110)="JALCA GRANDE")*('DICIEMBRE 2026'!K6:K110="PETROLEO")*'DICIEMBRE 2026'!L6:L110*'DICIEMBRE 2026'!M6:M110),0)</f>
        <v>0</v>
      </c>
      <c r="E109" s="187" t="n">
        <f aca="false">IFERROR(SUMPRODUCT((IF('DICIEMBRE 2026'!Y6:Y110&lt;&gt;"",'DICIEMBRE 2026'!Y6:Y110,'DICIEMBRE 2026'!I6:I110)="JALCA GRANDE")*('DICIEMBRE 2026'!K6:K110="GASOLINA")*'DICIEMBRE 2026'!M6:M110),0)</f>
        <v>0</v>
      </c>
      <c r="F109" s="187" t="n">
        <f aca="false">IFERROR(SUMPRODUCT((IF('DICIEMBRE 2026'!Y6:Y110&lt;&gt;"",'DICIEMBRE 2026'!Y6:Y110,'DICIEMBRE 2026'!I6:I110)="JALCA GRANDE")*('DICIEMBRE 2026'!K6:K110="GASOLINA")*'DICIEMBRE 2026'!L6:L110*'DICIEMBRE 2026'!M6:M110),0)</f>
        <v>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" hidden="false" customHeight="true" outlineLevel="0" collapsed="false">
      <c r="A110" s="1" t="s">
        <v>51</v>
      </c>
      <c r="B110" s="1" t="s">
        <v>5165</v>
      </c>
      <c r="C110" s="187" t="n">
        <f aca="false">IFERROR(SUMPRODUCT((IF('ENERO 2026'!Y6:Y119&lt;&gt;"",'ENERO 2026'!Y6:Y119,'ENERO 2026'!I6:I119)="JUMBILLA")*('ENERO 2026'!K6:K119="PETROLEO")*'ENERO 2026'!M6:M119),0)</f>
        <v>5</v>
      </c>
      <c r="D110" s="187" t="n">
        <f aca="false">IFERROR(SUMPRODUCT((IF('ENERO 2026'!Y6:Y119&lt;&gt;"",'ENERO 2026'!Y6:Y119,'ENERO 2026'!I6:I119)="JUMBILLA")*('ENERO 2026'!K6:K119="PETROLEO")*'ENERO 2026'!L6:L119*'ENERO 2026'!M6:M119),0)</f>
        <v>90.9</v>
      </c>
      <c r="E110" s="187" t="n">
        <f aca="false">IFERROR(SUMPRODUCT((IF('ENERO 2026'!Y6:Y119&lt;&gt;"",'ENERO 2026'!Y6:Y119,'ENERO 2026'!I6:I119)="JUMBILLA")*('ENERO 2026'!K6:K119="GASOLINA")*'ENERO 2026'!M6:M119),0)</f>
        <v>0</v>
      </c>
      <c r="F110" s="187" t="n">
        <f aca="false">IFERROR(SUMPRODUCT((IF('ENERO 2026'!Y6:Y119&lt;&gt;"",'ENERO 2026'!Y6:Y119,'ENERO 2026'!I6:I119)="JUMBILLA")*('ENERO 2026'!K6:K119="GASOLINA")*'ENERO 2026'!L6:L119*'ENERO 2026'!M6:M119),0)</f>
        <v>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" hidden="false" customHeight="true" outlineLevel="0" collapsed="false">
      <c r="A111" s="1" t="s">
        <v>51</v>
      </c>
      <c r="B111" s="1" t="s">
        <v>5166</v>
      </c>
      <c r="C111" s="187" t="n">
        <f aca="false">IFERROR(SUMPRODUCT((IF('FEBRERO 2026'!Y6:Y124&lt;&gt;"",'FEBRERO 2026'!Y6:Y124,'FEBRERO 2026'!I6:I124)="JUMBILLA")*('FEBRERO 2026'!K6:K124="PETROLEO")*'FEBRERO 2026'!M6:M124),0)</f>
        <v>29</v>
      </c>
      <c r="D111" s="187" t="n">
        <f aca="false">IFERROR(SUMPRODUCT((IF('FEBRERO 2026'!Y6:Y124&lt;&gt;"",'FEBRERO 2026'!Y6:Y124,'FEBRERO 2026'!I6:I124)="JUMBILLA")*('FEBRERO 2026'!K6:K124="PETROLEO")*'FEBRERO 2026'!L6:L124*'FEBRERO 2026'!M6:M124),0)</f>
        <v>527.22</v>
      </c>
      <c r="E111" s="187" t="n">
        <f aca="false">IFERROR(SUMPRODUCT((IF('FEBRERO 2026'!Y6:Y124&lt;&gt;"",'FEBRERO 2026'!Y6:Y124,'FEBRERO 2026'!I6:I124)="JUMBILLA")*('FEBRERO 2026'!K6:K124="GASOLINA")*'FEBRERO 2026'!M6:M124),0)</f>
        <v>0</v>
      </c>
      <c r="F111" s="187" t="n">
        <f aca="false">IFERROR(SUMPRODUCT((IF('FEBRERO 2026'!Y6:Y124&lt;&gt;"",'FEBRERO 2026'!Y6:Y124,'FEBRERO 2026'!I6:I124)="JUMBILLA")*('FEBRERO 2026'!K6:K124="GASOLINA")*'FEBRERO 2026'!L6:L124*'FEBRERO 2026'!M6:M124),0)</f>
        <v>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" hidden="false" customHeight="true" outlineLevel="0" collapsed="false">
      <c r="A112" s="1" t="s">
        <v>51</v>
      </c>
      <c r="B112" s="1" t="s">
        <v>5167</v>
      </c>
      <c r="C112" s="187" t="n">
        <f aca="false">IFERROR(SUMPRODUCT((IF('MARZO 2026'!Y6:Y119&lt;&gt;"",'MARZO 2026'!Y6:Y119,'MARZO 2026'!I6:I119)="JUMBILLA")*('MARZO 2026'!K6:K119="PETROLEO")*'MARZO 2026'!M6:M119),0)</f>
        <v>0</v>
      </c>
      <c r="D112" s="187" t="n">
        <f aca="false">IFERROR(SUMPRODUCT((IF('MARZO 2026'!Y6:Y119&lt;&gt;"",'MARZO 2026'!Y6:Y119,'MARZO 2026'!I6:I119)="JUMBILLA")*('MARZO 2026'!K6:K119="PETROLEO")*'MARZO 2026'!L6:L119*'MARZO 2026'!M6:M119),0)</f>
        <v>0</v>
      </c>
      <c r="E112" s="187" t="n">
        <f aca="false">IFERROR(SUMPRODUCT((IF('MARZO 2026'!Y6:Y119&lt;&gt;"",'MARZO 2026'!Y6:Y119,'MARZO 2026'!I6:I119)="JUMBILLA")*('MARZO 2026'!K6:K119="GASOLINA")*'MARZO 2026'!M6:M119),0)</f>
        <v>0</v>
      </c>
      <c r="F112" s="187" t="n">
        <f aca="false">IFERROR(SUMPRODUCT((IF('MARZO 2026'!Y6:Y119&lt;&gt;"",'MARZO 2026'!Y6:Y119,'MARZO 2026'!I6:I119)="JUMBILLA")*('MARZO 2026'!K6:K119="GASOLINA")*'MARZO 2026'!L6:L119*'MARZO 2026'!M6:M119),0)</f>
        <v>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" hidden="false" customHeight="true" outlineLevel="0" collapsed="false">
      <c r="A113" s="1" t="s">
        <v>51</v>
      </c>
      <c r="B113" s="1" t="s">
        <v>5168</v>
      </c>
      <c r="C113" s="187" t="n">
        <f aca="false">IFERROR(SUMPRODUCT((IF('ABRIL 2026'!Y6:Y119&lt;&gt;"",'ABRIL 2026'!Y6:Y119,'ABRIL 2026'!I6:I119)="JUMBILLA")*('ABRIL 2026'!K6:K119="PETROLEO")*'ABRIL 2026'!M6:M119),0)</f>
        <v>0</v>
      </c>
      <c r="D113" s="187" t="n">
        <f aca="false">IFERROR(SUMPRODUCT((IF('ABRIL 2026'!Y6:Y119&lt;&gt;"",'ABRIL 2026'!Y6:Y119,'ABRIL 2026'!I6:I119)="JUMBILLA")*('ABRIL 2026'!K6:K119="PETROLEO")*'ABRIL 2026'!L6:L119*'ABRIL 2026'!M6:M119),0)</f>
        <v>0</v>
      </c>
      <c r="E113" s="187" t="n">
        <f aca="false">IFERROR(SUMPRODUCT((IF('ABRIL 2026'!Y6:Y119&lt;&gt;"",'ABRIL 2026'!Y6:Y119,'ABRIL 2026'!I6:I119)="JUMBILLA")*('ABRIL 2026'!K6:K119="GASOLINA")*'ABRIL 2026'!M6:M119),0)</f>
        <v>0</v>
      </c>
      <c r="F113" s="187" t="n">
        <f aca="false">IFERROR(SUMPRODUCT((IF('ABRIL 2026'!Y6:Y119&lt;&gt;"",'ABRIL 2026'!Y6:Y119,'ABRIL 2026'!I6:I119)="JUMBILLA")*('ABRIL 2026'!K6:K119="GASOLINA")*'ABRIL 2026'!L6:L119*'ABRIL 2026'!M6:M119),0)</f>
        <v>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" hidden="false" customHeight="true" outlineLevel="0" collapsed="false">
      <c r="A114" s="1" t="s">
        <v>51</v>
      </c>
      <c r="B114" s="1" t="s">
        <v>5169</v>
      </c>
      <c r="C114" s="187" t="n">
        <f aca="false">IFERROR(SUMPRODUCT((IF('MAYO 2026'!Y6:Y110&lt;&gt;"",'MAYO 2026'!Y6:Y110,'MAYO 2026'!I6:I110)="JUMBILLA")*('MAYO 2026'!K6:K110="PETROLEO")*'MAYO 2026'!M6:M110),0)</f>
        <v>0</v>
      </c>
      <c r="D114" s="187" t="n">
        <f aca="false">IFERROR(SUMPRODUCT((IF('MAYO 2026'!Y6:Y110&lt;&gt;"",'MAYO 2026'!Y6:Y110,'MAYO 2026'!I6:I110)="JUMBILLA")*('MAYO 2026'!K6:K110="PETROLEO")*'MAYO 2026'!L6:L110*'MAYO 2026'!M6:M110),0)</f>
        <v>0</v>
      </c>
      <c r="E114" s="187" t="n">
        <f aca="false">IFERROR(SUMPRODUCT((IF('MAYO 2026'!Y6:Y110&lt;&gt;"",'MAYO 2026'!Y6:Y110,'MAYO 2026'!I6:I110)="JUMBILLA")*('MAYO 2026'!K6:K110="GASOLINA")*'MAYO 2026'!M6:M110),0)</f>
        <v>0</v>
      </c>
      <c r="F114" s="187" t="n">
        <f aca="false">IFERROR(SUMPRODUCT((IF('MAYO 2026'!Y6:Y110&lt;&gt;"",'MAYO 2026'!Y6:Y110,'MAYO 2026'!I6:I110)="JUMBILLA")*('MAYO 2026'!K6:K110="GASOLINA")*'MAYO 2026'!L6:L110*'MAYO 2026'!M6:M110),0)</f>
        <v>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" hidden="false" customHeight="true" outlineLevel="0" collapsed="false">
      <c r="A115" s="1" t="s">
        <v>51</v>
      </c>
      <c r="B115" s="1" t="s">
        <v>5170</v>
      </c>
      <c r="C115" s="187" t="n">
        <f aca="false">IFERROR(SUMPRODUCT((IF('JUNIO 2026'!Y6:Y110&lt;&gt;"",'JUNIO 2026'!Y6:Y110,'JUNIO 2026'!I6:I110)="JUMBILLA")*('JUNIO 2026'!K6:K110="PETROLEO")*'JUNIO 2026'!M6:M110),0)</f>
        <v>0</v>
      </c>
      <c r="D115" s="187" t="n">
        <f aca="false">IFERROR(SUMPRODUCT((IF('JUNIO 2026'!Y6:Y110&lt;&gt;"",'JUNIO 2026'!Y6:Y110,'JUNIO 2026'!I6:I110)="JUMBILLA")*('JUNIO 2026'!K6:K110="PETROLEO")*'JUNIO 2026'!L6:L110*'JUNIO 2026'!M6:M110),0)</f>
        <v>0</v>
      </c>
      <c r="E115" s="187" t="n">
        <f aca="false">IFERROR(SUMPRODUCT((IF('JUNIO 2026'!Y6:Y110&lt;&gt;"",'JUNIO 2026'!Y6:Y110,'JUNIO 2026'!I6:I110)="JUMBILLA")*('JUNIO 2026'!K6:K110="GASOLINA")*'JUNIO 2026'!M6:M110),0)</f>
        <v>0</v>
      </c>
      <c r="F115" s="187" t="n">
        <f aca="false">IFERROR(SUMPRODUCT((IF('JUNIO 2026'!Y6:Y110&lt;&gt;"",'JUNIO 2026'!Y6:Y110,'JUNIO 2026'!I6:I110)="JUMBILLA")*('JUNIO 2026'!K6:K110="GASOLINA")*'JUNIO 2026'!L6:L110*'JUNIO 2026'!M6:M110),0)</f>
        <v>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" hidden="false" customHeight="true" outlineLevel="0" collapsed="false">
      <c r="A116" s="1" t="s">
        <v>51</v>
      </c>
      <c r="B116" s="1" t="s">
        <v>5171</v>
      </c>
      <c r="C116" s="187" t="n">
        <f aca="false">IFERROR(SUMPRODUCT((IF('JULIO 2026'!Y6:Y110&lt;&gt;"",'JULIO 2026'!Y6:Y110,'JULIO 2026'!I6:I110)="JUMBILLA")*('JULIO 2026'!K6:K110="PETROLEO")*'JULIO 2026'!M6:M110),0)</f>
        <v>0</v>
      </c>
      <c r="D116" s="187" t="n">
        <f aca="false">IFERROR(SUMPRODUCT((IF('JULIO 2026'!Y6:Y110&lt;&gt;"",'JULIO 2026'!Y6:Y110,'JULIO 2026'!I6:I110)="JUMBILLA")*('JULIO 2026'!K6:K110="PETROLEO")*'JULIO 2026'!L6:L110*'JULIO 2026'!M6:M110),0)</f>
        <v>0</v>
      </c>
      <c r="E116" s="187" t="n">
        <f aca="false">IFERROR(SUMPRODUCT((IF('JULIO 2026'!Y6:Y110&lt;&gt;"",'JULIO 2026'!Y6:Y110,'JULIO 2026'!I6:I110)="JUMBILLA")*('JULIO 2026'!K6:K110="GASOLINA")*'JULIO 2026'!M6:M110),0)</f>
        <v>0</v>
      </c>
      <c r="F116" s="187" t="n">
        <f aca="false">IFERROR(SUMPRODUCT((IF('JULIO 2026'!Y6:Y110&lt;&gt;"",'JULIO 2026'!Y6:Y110,'JULIO 2026'!I6:I110)="JUMBILLA")*('JULIO 2026'!K6:K110="GASOLINA")*'JULIO 2026'!L6:L110*'JULIO 2026'!M6:M110),0)</f>
        <v>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" hidden="false" customHeight="true" outlineLevel="0" collapsed="false">
      <c r="A117" s="1" t="s">
        <v>51</v>
      </c>
      <c r="B117" s="1" t="s">
        <v>5172</v>
      </c>
      <c r="C117" s="187" t="n">
        <f aca="false">IFERROR(SUMPRODUCT((IF('AGOSTO 2026'!Y6:Y110&lt;&gt;"",'AGOSTO 2026'!Y6:Y110,'AGOSTO 2026'!I6:I110)="JUMBILLA")*('AGOSTO 2026'!K6:K110="PETROLEO")*'AGOSTO 2026'!M6:M110),0)</f>
        <v>0</v>
      </c>
      <c r="D117" s="187" t="n">
        <f aca="false">IFERROR(SUMPRODUCT((IF('AGOSTO 2026'!Y6:Y110&lt;&gt;"",'AGOSTO 2026'!Y6:Y110,'AGOSTO 2026'!I6:I110)="JUMBILLA")*('AGOSTO 2026'!K6:K110="PETROLEO")*'AGOSTO 2026'!L6:L110*'AGOSTO 2026'!M6:M110),0)</f>
        <v>0</v>
      </c>
      <c r="E117" s="187" t="n">
        <f aca="false">IFERROR(SUMPRODUCT((IF('AGOSTO 2026'!Y6:Y110&lt;&gt;"",'AGOSTO 2026'!Y6:Y110,'AGOSTO 2026'!I6:I110)="JUMBILLA")*('AGOSTO 2026'!K6:K110="GASOLINA")*'AGOSTO 2026'!M6:M110),0)</f>
        <v>0</v>
      </c>
      <c r="F117" s="187" t="n">
        <f aca="false">IFERROR(SUMPRODUCT((IF('AGOSTO 2026'!Y6:Y110&lt;&gt;"",'AGOSTO 2026'!Y6:Y110,'AGOSTO 2026'!I6:I110)="JUMBILLA")*('AGOSTO 2026'!K6:K110="GASOLINA")*'AGOSTO 2026'!L6:L110*'AGOSTO 2026'!M6:M110),0)</f>
        <v>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" hidden="false" customHeight="true" outlineLevel="0" collapsed="false">
      <c r="A118" s="1" t="s">
        <v>51</v>
      </c>
      <c r="B118" s="1" t="s">
        <v>5173</v>
      </c>
      <c r="C118" s="187" t="n">
        <f aca="false">IFERROR(SUMPRODUCT((IF('SETIEMBRE 2026'!Y6:Y110&lt;&gt;"",'SETIEMBRE 2026'!Y6:Y110,'SETIEMBRE 2026'!I6:I110)="JUMBILLA")*('SETIEMBRE 2026'!K6:K110="PETROLEO")*'SETIEMBRE 2026'!M6:M110),0)</f>
        <v>0</v>
      </c>
      <c r="D118" s="187" t="n">
        <f aca="false">IFERROR(SUMPRODUCT((IF('SETIEMBRE 2026'!Y6:Y110&lt;&gt;"",'SETIEMBRE 2026'!Y6:Y110,'SETIEMBRE 2026'!I6:I110)="JUMBILLA")*('SETIEMBRE 2026'!K6:K110="PETROLEO")*'SETIEMBRE 2026'!L6:L110*'SETIEMBRE 2026'!M6:M110),0)</f>
        <v>0</v>
      </c>
      <c r="E118" s="187" t="n">
        <f aca="false">IFERROR(SUMPRODUCT((IF('SETIEMBRE 2026'!Y6:Y110&lt;&gt;"",'SETIEMBRE 2026'!Y6:Y110,'SETIEMBRE 2026'!I6:I110)="JUMBILLA")*('SETIEMBRE 2026'!K6:K110="GASOLINA")*'SETIEMBRE 2026'!M6:M110),0)</f>
        <v>0</v>
      </c>
      <c r="F118" s="187" t="n">
        <f aca="false">IFERROR(SUMPRODUCT((IF('SETIEMBRE 2026'!Y6:Y110&lt;&gt;"",'SETIEMBRE 2026'!Y6:Y110,'SETIEMBRE 2026'!I6:I110)="JUMBILLA")*('SETIEMBRE 2026'!K6:K110="GASOLINA")*'SETIEMBRE 2026'!L6:L110*'SETIEMBRE 2026'!M6:M110),0)</f>
        <v>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" hidden="false" customHeight="true" outlineLevel="0" collapsed="false">
      <c r="A119" s="1" t="s">
        <v>51</v>
      </c>
      <c r="B119" s="1" t="s">
        <v>5174</v>
      </c>
      <c r="C119" s="187" t="n">
        <f aca="false">IFERROR(SUMPRODUCT((IF('OCTUBRE 2026'!Y6:Y110&lt;&gt;"",'OCTUBRE 2026'!Y6:Y110,'OCTUBRE 2026'!I6:I110)="JUMBILLA")*('OCTUBRE 2026'!K6:K110="PETROLEO")*'OCTUBRE 2026'!M6:M110),0)</f>
        <v>0</v>
      </c>
      <c r="D119" s="187" t="n">
        <f aca="false">IFERROR(SUMPRODUCT((IF('OCTUBRE 2026'!Y6:Y110&lt;&gt;"",'OCTUBRE 2026'!Y6:Y110,'OCTUBRE 2026'!I6:I110)="JUMBILLA")*('OCTUBRE 2026'!K6:K110="PETROLEO")*'OCTUBRE 2026'!L6:L110*'OCTUBRE 2026'!M6:M110),0)</f>
        <v>0</v>
      </c>
      <c r="E119" s="187" t="n">
        <f aca="false">IFERROR(SUMPRODUCT((IF('OCTUBRE 2026'!Y6:Y110&lt;&gt;"",'OCTUBRE 2026'!Y6:Y110,'OCTUBRE 2026'!I6:I110)="JUMBILLA")*('OCTUBRE 2026'!K6:K110="GASOLINA")*'OCTUBRE 2026'!M6:M110),0)</f>
        <v>0</v>
      </c>
      <c r="F119" s="187" t="n">
        <f aca="false">IFERROR(SUMPRODUCT((IF('OCTUBRE 2026'!Y6:Y110&lt;&gt;"",'OCTUBRE 2026'!Y6:Y110,'OCTUBRE 2026'!I6:I110)="JUMBILLA")*('OCTUBRE 2026'!K6:K110="GASOLINA")*'OCTUBRE 2026'!L6:L110*'OCTUBRE 2026'!M6:M110),0)</f>
        <v>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" hidden="false" customHeight="true" outlineLevel="0" collapsed="false">
      <c r="A120" s="1" t="s">
        <v>51</v>
      </c>
      <c r="B120" s="1" t="s">
        <v>5175</v>
      </c>
      <c r="C120" s="187" t="n">
        <f aca="false">IFERROR(SUMPRODUCT((IF('NOVIEMBRE 2026'!Y6:Y110&lt;&gt;"",'NOVIEMBRE 2026'!Y6:Y110,'NOVIEMBRE 2026'!I6:I110)="JUMBILLA")*('NOVIEMBRE 2026'!K6:K110="PETROLEO")*'NOVIEMBRE 2026'!M6:M110),0)</f>
        <v>0</v>
      </c>
      <c r="D120" s="187" t="n">
        <f aca="false">IFERROR(SUMPRODUCT((IF('NOVIEMBRE 2026'!Y6:Y110&lt;&gt;"",'NOVIEMBRE 2026'!Y6:Y110,'NOVIEMBRE 2026'!I6:I110)="JUMBILLA")*('NOVIEMBRE 2026'!K6:K110="PETROLEO")*'NOVIEMBRE 2026'!L6:L110*'NOVIEMBRE 2026'!M6:M110),0)</f>
        <v>0</v>
      </c>
      <c r="E120" s="187" t="n">
        <f aca="false">IFERROR(SUMPRODUCT((IF('NOVIEMBRE 2026'!Y6:Y110&lt;&gt;"",'NOVIEMBRE 2026'!Y6:Y110,'NOVIEMBRE 2026'!I6:I110)="JUMBILLA")*('NOVIEMBRE 2026'!K6:K110="GASOLINA")*'NOVIEMBRE 2026'!M6:M110),0)</f>
        <v>0</v>
      </c>
      <c r="F120" s="187" t="n">
        <f aca="false">IFERROR(SUMPRODUCT((IF('NOVIEMBRE 2026'!Y6:Y110&lt;&gt;"",'NOVIEMBRE 2026'!Y6:Y110,'NOVIEMBRE 2026'!I6:I110)="JUMBILLA")*('NOVIEMBRE 2026'!K6:K110="GASOLINA")*'NOVIEMBRE 2026'!L6:L110*'NOVIEMBRE 2026'!M6:M110),0)</f>
        <v>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" hidden="false" customHeight="true" outlineLevel="0" collapsed="false">
      <c r="A121" s="1" t="s">
        <v>51</v>
      </c>
      <c r="B121" s="1" t="s">
        <v>5176</v>
      </c>
      <c r="C121" s="187" t="n">
        <f aca="false">IFERROR(SUMPRODUCT((IF('DICIEMBRE 2026'!Y6:Y110&lt;&gt;"",'DICIEMBRE 2026'!Y6:Y110,'DICIEMBRE 2026'!I6:I110)="JUMBILLA")*('DICIEMBRE 2026'!K6:K110="PETROLEO")*'DICIEMBRE 2026'!M6:M110),0)</f>
        <v>0</v>
      </c>
      <c r="D121" s="187" t="n">
        <f aca="false">IFERROR(SUMPRODUCT((IF('DICIEMBRE 2026'!Y6:Y110&lt;&gt;"",'DICIEMBRE 2026'!Y6:Y110,'DICIEMBRE 2026'!I6:I110)="JUMBILLA")*('DICIEMBRE 2026'!K6:K110="PETROLEO")*'DICIEMBRE 2026'!L6:L110*'DICIEMBRE 2026'!M6:M110),0)</f>
        <v>0</v>
      </c>
      <c r="E121" s="187" t="n">
        <f aca="false">IFERROR(SUMPRODUCT((IF('DICIEMBRE 2026'!Y6:Y110&lt;&gt;"",'DICIEMBRE 2026'!Y6:Y110,'DICIEMBRE 2026'!I6:I110)="JUMBILLA")*('DICIEMBRE 2026'!K6:K110="GASOLINA")*'DICIEMBRE 2026'!M6:M110),0)</f>
        <v>0</v>
      </c>
      <c r="F121" s="187" t="n">
        <f aca="false">IFERROR(SUMPRODUCT((IF('DICIEMBRE 2026'!Y6:Y110&lt;&gt;"",'DICIEMBRE 2026'!Y6:Y110,'DICIEMBRE 2026'!I6:I110)="JUMBILLA")*('DICIEMBRE 2026'!K6:K110="GASOLINA")*'DICIEMBRE 2026'!L6:L110*'DICIEMBRE 2026'!M6:M110),0)</f>
        <v>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" hidden="false" customHeight="true" outlineLevel="0" collapsed="false">
      <c r="A122" s="1" t="s">
        <v>53</v>
      </c>
      <c r="B122" s="1" t="s">
        <v>5165</v>
      </c>
      <c r="C122" s="187" t="n">
        <f aca="false">IFERROR(SUMPRODUCT((IF('ENERO 2026'!Y6:Y119&lt;&gt;"",'ENERO 2026'!Y6:Y119,'ENERO 2026'!I6:I119)="LAMUD")*('ENERO 2026'!K6:K119="PETROLEO")*'ENERO 2026'!M6:M119),0)</f>
        <v>24</v>
      </c>
      <c r="D122" s="187" t="n">
        <f aca="false">IFERROR(SUMPRODUCT((IF('ENERO 2026'!Y6:Y119&lt;&gt;"",'ENERO 2026'!Y6:Y119,'ENERO 2026'!I6:I119)="LAMUD")*('ENERO 2026'!K6:K119="PETROLEO")*'ENERO 2026'!L6:L119*'ENERO 2026'!M6:M119),0)</f>
        <v>436.32</v>
      </c>
      <c r="E122" s="187" t="n">
        <f aca="false">IFERROR(SUMPRODUCT((IF('ENERO 2026'!Y6:Y119&lt;&gt;"",'ENERO 2026'!Y6:Y119,'ENERO 2026'!I6:I119)="LAMUD")*('ENERO 2026'!K6:K119="GASOLINA")*'ENERO 2026'!M6:M119),0)</f>
        <v>0</v>
      </c>
      <c r="F122" s="187" t="n">
        <f aca="false">IFERROR(SUMPRODUCT((IF('ENERO 2026'!Y6:Y119&lt;&gt;"",'ENERO 2026'!Y6:Y119,'ENERO 2026'!I6:I119)="LAMUD")*('ENERO 2026'!K6:K119="GASOLINA")*'ENERO 2026'!L6:L119*'ENERO 2026'!M6:M119),0)</f>
        <v>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" hidden="false" customHeight="true" outlineLevel="0" collapsed="false">
      <c r="A123" s="1" t="s">
        <v>53</v>
      </c>
      <c r="B123" s="1" t="s">
        <v>5166</v>
      </c>
      <c r="C123" s="187" t="n">
        <f aca="false">IFERROR(SUMPRODUCT((IF('FEBRERO 2026'!Y6:Y124&lt;&gt;"",'FEBRERO 2026'!Y6:Y124,'FEBRERO 2026'!I6:I124)="LAMUD")*('FEBRERO 2026'!K6:K124="PETROLEO")*'FEBRERO 2026'!M6:M124),0)</f>
        <v>28</v>
      </c>
      <c r="D123" s="187" t="n">
        <f aca="false">IFERROR(SUMPRODUCT((IF('FEBRERO 2026'!Y6:Y124&lt;&gt;"",'FEBRERO 2026'!Y6:Y124,'FEBRERO 2026'!I6:I124)="LAMUD")*('FEBRERO 2026'!K6:K124="PETROLEO")*'FEBRERO 2026'!L6:L124*'FEBRERO 2026'!M6:M124),0)</f>
        <v>509.04</v>
      </c>
      <c r="E123" s="187" t="n">
        <f aca="false">IFERROR(SUMPRODUCT((IF('FEBRERO 2026'!Y6:Y124&lt;&gt;"",'FEBRERO 2026'!Y6:Y124,'FEBRERO 2026'!I6:I124)="LAMUD")*('FEBRERO 2026'!K6:K124="GASOLINA")*'FEBRERO 2026'!M6:M124),0)</f>
        <v>0</v>
      </c>
      <c r="F123" s="187" t="n">
        <f aca="false">IFERROR(SUMPRODUCT((IF('FEBRERO 2026'!Y6:Y124&lt;&gt;"",'FEBRERO 2026'!Y6:Y124,'FEBRERO 2026'!I6:I124)="LAMUD")*('FEBRERO 2026'!K6:K124="GASOLINA")*'FEBRERO 2026'!L6:L124*'FEBRERO 2026'!M6:M124),0)</f>
        <v>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" hidden="false" customHeight="true" outlineLevel="0" collapsed="false">
      <c r="A124" s="1" t="s">
        <v>53</v>
      </c>
      <c r="B124" s="1" t="s">
        <v>5167</v>
      </c>
      <c r="C124" s="187" t="n">
        <f aca="false">IFERROR(SUMPRODUCT((IF('MARZO 2026'!Y6:Y119&lt;&gt;"",'MARZO 2026'!Y6:Y119,'MARZO 2026'!I6:I119)="LAMUD")*('MARZO 2026'!K6:K119="PETROLEO")*'MARZO 2026'!M6:M119),0)</f>
        <v>0</v>
      </c>
      <c r="D124" s="187" t="n">
        <f aca="false">IFERROR(SUMPRODUCT((IF('MARZO 2026'!Y6:Y119&lt;&gt;"",'MARZO 2026'!Y6:Y119,'MARZO 2026'!I6:I119)="LAMUD")*('MARZO 2026'!K6:K119="PETROLEO")*'MARZO 2026'!L6:L119*'MARZO 2026'!M6:M119),0)</f>
        <v>0</v>
      </c>
      <c r="E124" s="187" t="n">
        <f aca="false">IFERROR(SUMPRODUCT((IF('MARZO 2026'!Y6:Y119&lt;&gt;"",'MARZO 2026'!Y6:Y119,'MARZO 2026'!I6:I119)="LAMUD")*('MARZO 2026'!K6:K119="GASOLINA")*'MARZO 2026'!M6:M119),0)</f>
        <v>0</v>
      </c>
      <c r="F124" s="187" t="n">
        <f aca="false">IFERROR(SUMPRODUCT((IF('MARZO 2026'!Y6:Y119&lt;&gt;"",'MARZO 2026'!Y6:Y119,'MARZO 2026'!I6:I119)="LAMUD")*('MARZO 2026'!K6:K119="GASOLINA")*'MARZO 2026'!L6:L119*'MARZO 2026'!M6:M119),0)</f>
        <v>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" hidden="false" customHeight="true" outlineLevel="0" collapsed="false">
      <c r="A125" s="1" t="s">
        <v>53</v>
      </c>
      <c r="B125" s="1" t="s">
        <v>5168</v>
      </c>
      <c r="C125" s="187" t="n">
        <f aca="false">IFERROR(SUMPRODUCT((IF('ABRIL 2026'!Y6:Y119&lt;&gt;"",'ABRIL 2026'!Y6:Y119,'ABRIL 2026'!I6:I119)="LAMUD")*('ABRIL 2026'!K6:K119="PETROLEO")*'ABRIL 2026'!M6:M119),0)</f>
        <v>0</v>
      </c>
      <c r="D125" s="187" t="n">
        <f aca="false">IFERROR(SUMPRODUCT((IF('ABRIL 2026'!Y6:Y119&lt;&gt;"",'ABRIL 2026'!Y6:Y119,'ABRIL 2026'!I6:I119)="LAMUD")*('ABRIL 2026'!K6:K119="PETROLEO")*'ABRIL 2026'!L6:L119*'ABRIL 2026'!M6:M119),0)</f>
        <v>0</v>
      </c>
      <c r="E125" s="187" t="n">
        <f aca="false">IFERROR(SUMPRODUCT((IF('ABRIL 2026'!Y6:Y119&lt;&gt;"",'ABRIL 2026'!Y6:Y119,'ABRIL 2026'!I6:I119)="LAMUD")*('ABRIL 2026'!K6:K119="GASOLINA")*'ABRIL 2026'!M6:M119),0)</f>
        <v>0</v>
      </c>
      <c r="F125" s="187" t="n">
        <f aca="false">IFERROR(SUMPRODUCT((IF('ABRIL 2026'!Y6:Y119&lt;&gt;"",'ABRIL 2026'!Y6:Y119,'ABRIL 2026'!I6:I119)="LAMUD")*('ABRIL 2026'!K6:K119="GASOLINA")*'ABRIL 2026'!L6:L119*'ABRIL 2026'!M6:M119),0)</f>
        <v>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" hidden="false" customHeight="true" outlineLevel="0" collapsed="false">
      <c r="A126" s="1" t="s">
        <v>53</v>
      </c>
      <c r="B126" s="1" t="s">
        <v>5169</v>
      </c>
      <c r="C126" s="187" t="n">
        <f aca="false">IFERROR(SUMPRODUCT((IF('MAYO 2026'!Y6:Y110&lt;&gt;"",'MAYO 2026'!Y6:Y110,'MAYO 2026'!I6:I110)="LAMUD")*('MAYO 2026'!K6:K110="PETROLEO")*'MAYO 2026'!M6:M110),0)</f>
        <v>0</v>
      </c>
      <c r="D126" s="187" t="n">
        <f aca="false">IFERROR(SUMPRODUCT((IF('MAYO 2026'!Y6:Y110&lt;&gt;"",'MAYO 2026'!Y6:Y110,'MAYO 2026'!I6:I110)="LAMUD")*('MAYO 2026'!K6:K110="PETROLEO")*'MAYO 2026'!L6:L110*'MAYO 2026'!M6:M110),0)</f>
        <v>0</v>
      </c>
      <c r="E126" s="187" t="n">
        <f aca="false">IFERROR(SUMPRODUCT((IF('MAYO 2026'!Y6:Y110&lt;&gt;"",'MAYO 2026'!Y6:Y110,'MAYO 2026'!I6:I110)="LAMUD")*('MAYO 2026'!K6:K110="GASOLINA")*'MAYO 2026'!M6:M110),0)</f>
        <v>0</v>
      </c>
      <c r="F126" s="187" t="n">
        <f aca="false">IFERROR(SUMPRODUCT((IF('MAYO 2026'!Y6:Y110&lt;&gt;"",'MAYO 2026'!Y6:Y110,'MAYO 2026'!I6:I110)="LAMUD")*('MAYO 2026'!K6:K110="GASOLINA")*'MAYO 2026'!L6:L110*'MAYO 2026'!M6:M110),0)</f>
        <v>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" hidden="false" customHeight="true" outlineLevel="0" collapsed="false">
      <c r="A127" s="1" t="s">
        <v>53</v>
      </c>
      <c r="B127" s="1" t="s">
        <v>5170</v>
      </c>
      <c r="C127" s="187" t="n">
        <f aca="false">IFERROR(SUMPRODUCT((IF('JUNIO 2026'!Y6:Y110&lt;&gt;"",'JUNIO 2026'!Y6:Y110,'JUNIO 2026'!I6:I110)="LAMUD")*('JUNIO 2026'!K6:K110="PETROLEO")*'JUNIO 2026'!M6:M110),0)</f>
        <v>0</v>
      </c>
      <c r="D127" s="187" t="n">
        <f aca="false">IFERROR(SUMPRODUCT((IF('JUNIO 2026'!Y6:Y110&lt;&gt;"",'JUNIO 2026'!Y6:Y110,'JUNIO 2026'!I6:I110)="LAMUD")*('JUNIO 2026'!K6:K110="PETROLEO")*'JUNIO 2026'!L6:L110*'JUNIO 2026'!M6:M110),0)</f>
        <v>0</v>
      </c>
      <c r="E127" s="187" t="n">
        <f aca="false">IFERROR(SUMPRODUCT((IF('JUNIO 2026'!Y6:Y110&lt;&gt;"",'JUNIO 2026'!Y6:Y110,'JUNIO 2026'!I6:I110)="LAMUD")*('JUNIO 2026'!K6:K110="GASOLINA")*'JUNIO 2026'!M6:M110),0)</f>
        <v>0</v>
      </c>
      <c r="F127" s="187" t="n">
        <f aca="false">IFERROR(SUMPRODUCT((IF('JUNIO 2026'!Y6:Y110&lt;&gt;"",'JUNIO 2026'!Y6:Y110,'JUNIO 2026'!I6:I110)="LAMUD")*('JUNIO 2026'!K6:K110="GASOLINA")*'JUNIO 2026'!L6:L110*'JUNIO 2026'!M6:M110),0)</f>
        <v>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" hidden="false" customHeight="true" outlineLevel="0" collapsed="false">
      <c r="A128" s="1" t="s">
        <v>53</v>
      </c>
      <c r="B128" s="1" t="s">
        <v>5171</v>
      </c>
      <c r="C128" s="187" t="n">
        <f aca="false">IFERROR(SUMPRODUCT((IF('JULIO 2026'!Y6:Y110&lt;&gt;"",'JULIO 2026'!Y6:Y110,'JULIO 2026'!I6:I110)="LAMUD")*('JULIO 2026'!K6:K110="PETROLEO")*'JULIO 2026'!M6:M110),0)</f>
        <v>0</v>
      </c>
      <c r="D128" s="187" t="n">
        <f aca="false">IFERROR(SUMPRODUCT((IF('JULIO 2026'!Y6:Y110&lt;&gt;"",'JULIO 2026'!Y6:Y110,'JULIO 2026'!I6:I110)="LAMUD")*('JULIO 2026'!K6:K110="PETROLEO")*'JULIO 2026'!L6:L110*'JULIO 2026'!M6:M110),0)</f>
        <v>0</v>
      </c>
      <c r="E128" s="187" t="n">
        <f aca="false">IFERROR(SUMPRODUCT((IF('JULIO 2026'!Y6:Y110&lt;&gt;"",'JULIO 2026'!Y6:Y110,'JULIO 2026'!I6:I110)="LAMUD")*('JULIO 2026'!K6:K110="GASOLINA")*'JULIO 2026'!M6:M110),0)</f>
        <v>0</v>
      </c>
      <c r="F128" s="187" t="n">
        <f aca="false">IFERROR(SUMPRODUCT((IF('JULIO 2026'!Y6:Y110&lt;&gt;"",'JULIO 2026'!Y6:Y110,'JULIO 2026'!I6:I110)="LAMUD")*('JULIO 2026'!K6:K110="GASOLINA")*'JULIO 2026'!L6:L110*'JULIO 2026'!M6:M110),0)</f>
        <v>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" hidden="false" customHeight="true" outlineLevel="0" collapsed="false">
      <c r="A129" s="1" t="s">
        <v>53</v>
      </c>
      <c r="B129" s="1" t="s">
        <v>5172</v>
      </c>
      <c r="C129" s="187" t="n">
        <f aca="false">IFERROR(SUMPRODUCT((IF('AGOSTO 2026'!Y6:Y110&lt;&gt;"",'AGOSTO 2026'!Y6:Y110,'AGOSTO 2026'!I6:I110)="LAMUD")*('AGOSTO 2026'!K6:K110="PETROLEO")*'AGOSTO 2026'!M6:M110),0)</f>
        <v>0</v>
      </c>
      <c r="D129" s="187" t="n">
        <f aca="false">IFERROR(SUMPRODUCT((IF('AGOSTO 2026'!Y6:Y110&lt;&gt;"",'AGOSTO 2026'!Y6:Y110,'AGOSTO 2026'!I6:I110)="LAMUD")*('AGOSTO 2026'!K6:K110="PETROLEO")*'AGOSTO 2026'!L6:L110*'AGOSTO 2026'!M6:M110),0)</f>
        <v>0</v>
      </c>
      <c r="E129" s="187" t="n">
        <f aca="false">IFERROR(SUMPRODUCT((IF('AGOSTO 2026'!Y6:Y110&lt;&gt;"",'AGOSTO 2026'!Y6:Y110,'AGOSTO 2026'!I6:I110)="LAMUD")*('AGOSTO 2026'!K6:K110="GASOLINA")*'AGOSTO 2026'!M6:M110),0)</f>
        <v>0</v>
      </c>
      <c r="F129" s="187" t="n">
        <f aca="false">IFERROR(SUMPRODUCT((IF('AGOSTO 2026'!Y6:Y110&lt;&gt;"",'AGOSTO 2026'!Y6:Y110,'AGOSTO 2026'!I6:I110)="LAMUD")*('AGOSTO 2026'!K6:K110="GASOLINA")*'AGOSTO 2026'!L6:L110*'AGOSTO 2026'!M6:M110),0)</f>
        <v>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" hidden="false" customHeight="true" outlineLevel="0" collapsed="false">
      <c r="A130" s="1" t="s">
        <v>53</v>
      </c>
      <c r="B130" s="1" t="s">
        <v>5173</v>
      </c>
      <c r="C130" s="187" t="n">
        <f aca="false">IFERROR(SUMPRODUCT((IF('SETIEMBRE 2026'!Y6:Y110&lt;&gt;"",'SETIEMBRE 2026'!Y6:Y110,'SETIEMBRE 2026'!I6:I110)="LAMUD")*('SETIEMBRE 2026'!K6:K110="PETROLEO")*'SETIEMBRE 2026'!M6:M110),0)</f>
        <v>0</v>
      </c>
      <c r="D130" s="187" t="n">
        <f aca="false">IFERROR(SUMPRODUCT((IF('SETIEMBRE 2026'!Y6:Y110&lt;&gt;"",'SETIEMBRE 2026'!Y6:Y110,'SETIEMBRE 2026'!I6:I110)="LAMUD")*('SETIEMBRE 2026'!K6:K110="PETROLEO")*'SETIEMBRE 2026'!L6:L110*'SETIEMBRE 2026'!M6:M110),0)</f>
        <v>0</v>
      </c>
      <c r="E130" s="187" t="n">
        <f aca="false">IFERROR(SUMPRODUCT((IF('SETIEMBRE 2026'!Y6:Y110&lt;&gt;"",'SETIEMBRE 2026'!Y6:Y110,'SETIEMBRE 2026'!I6:I110)="LAMUD")*('SETIEMBRE 2026'!K6:K110="GASOLINA")*'SETIEMBRE 2026'!M6:M110),0)</f>
        <v>0</v>
      </c>
      <c r="F130" s="187" t="n">
        <f aca="false">IFERROR(SUMPRODUCT((IF('SETIEMBRE 2026'!Y6:Y110&lt;&gt;"",'SETIEMBRE 2026'!Y6:Y110,'SETIEMBRE 2026'!I6:I110)="LAMUD")*('SETIEMBRE 2026'!K6:K110="GASOLINA")*'SETIEMBRE 2026'!L6:L110*'SETIEMBRE 2026'!M6:M110),0)</f>
        <v>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" hidden="false" customHeight="true" outlineLevel="0" collapsed="false">
      <c r="A131" s="1" t="s">
        <v>53</v>
      </c>
      <c r="B131" s="1" t="s">
        <v>5174</v>
      </c>
      <c r="C131" s="187" t="n">
        <f aca="false">IFERROR(SUMPRODUCT((IF('OCTUBRE 2026'!Y6:Y110&lt;&gt;"",'OCTUBRE 2026'!Y6:Y110,'OCTUBRE 2026'!I6:I110)="LAMUD")*('OCTUBRE 2026'!K6:K110="PETROLEO")*'OCTUBRE 2026'!M6:M110),0)</f>
        <v>0</v>
      </c>
      <c r="D131" s="187" t="n">
        <f aca="false">IFERROR(SUMPRODUCT((IF('OCTUBRE 2026'!Y6:Y110&lt;&gt;"",'OCTUBRE 2026'!Y6:Y110,'OCTUBRE 2026'!I6:I110)="LAMUD")*('OCTUBRE 2026'!K6:K110="PETROLEO")*'OCTUBRE 2026'!L6:L110*'OCTUBRE 2026'!M6:M110),0)</f>
        <v>0</v>
      </c>
      <c r="E131" s="187" t="n">
        <f aca="false">IFERROR(SUMPRODUCT((IF('OCTUBRE 2026'!Y6:Y110&lt;&gt;"",'OCTUBRE 2026'!Y6:Y110,'OCTUBRE 2026'!I6:I110)="LAMUD")*('OCTUBRE 2026'!K6:K110="GASOLINA")*'OCTUBRE 2026'!M6:M110),0)</f>
        <v>0</v>
      </c>
      <c r="F131" s="187" t="n">
        <f aca="false">IFERROR(SUMPRODUCT((IF('OCTUBRE 2026'!Y6:Y110&lt;&gt;"",'OCTUBRE 2026'!Y6:Y110,'OCTUBRE 2026'!I6:I110)="LAMUD")*('OCTUBRE 2026'!K6:K110="GASOLINA")*'OCTUBRE 2026'!L6:L110*'OCTUBRE 2026'!M6:M110),0)</f>
        <v>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" hidden="false" customHeight="true" outlineLevel="0" collapsed="false">
      <c r="A132" s="1" t="s">
        <v>53</v>
      </c>
      <c r="B132" s="1" t="s">
        <v>5175</v>
      </c>
      <c r="C132" s="187" t="n">
        <f aca="false">IFERROR(SUMPRODUCT((IF('NOVIEMBRE 2026'!Y6:Y110&lt;&gt;"",'NOVIEMBRE 2026'!Y6:Y110,'NOVIEMBRE 2026'!I6:I110)="LAMUD")*('NOVIEMBRE 2026'!K6:K110="PETROLEO")*'NOVIEMBRE 2026'!M6:M110),0)</f>
        <v>0</v>
      </c>
      <c r="D132" s="187" t="n">
        <f aca="false">IFERROR(SUMPRODUCT((IF('NOVIEMBRE 2026'!Y6:Y110&lt;&gt;"",'NOVIEMBRE 2026'!Y6:Y110,'NOVIEMBRE 2026'!I6:I110)="LAMUD")*('NOVIEMBRE 2026'!K6:K110="PETROLEO")*'NOVIEMBRE 2026'!L6:L110*'NOVIEMBRE 2026'!M6:M110),0)</f>
        <v>0</v>
      </c>
      <c r="E132" s="187" t="n">
        <f aca="false">IFERROR(SUMPRODUCT((IF('NOVIEMBRE 2026'!Y6:Y110&lt;&gt;"",'NOVIEMBRE 2026'!Y6:Y110,'NOVIEMBRE 2026'!I6:I110)="LAMUD")*('NOVIEMBRE 2026'!K6:K110="GASOLINA")*'NOVIEMBRE 2026'!M6:M110),0)</f>
        <v>0</v>
      </c>
      <c r="F132" s="187" t="n">
        <f aca="false">IFERROR(SUMPRODUCT((IF('NOVIEMBRE 2026'!Y6:Y110&lt;&gt;"",'NOVIEMBRE 2026'!Y6:Y110,'NOVIEMBRE 2026'!I6:I110)="LAMUD")*('NOVIEMBRE 2026'!K6:K110="GASOLINA")*'NOVIEMBRE 2026'!L6:L110*'NOVIEMBRE 2026'!M6:M110),0)</f>
        <v>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" hidden="false" customHeight="true" outlineLevel="0" collapsed="false">
      <c r="A133" s="1" t="s">
        <v>53</v>
      </c>
      <c r="B133" s="1" t="s">
        <v>5176</v>
      </c>
      <c r="C133" s="187" t="n">
        <f aca="false">IFERROR(SUMPRODUCT((IF('DICIEMBRE 2026'!Y6:Y110&lt;&gt;"",'DICIEMBRE 2026'!Y6:Y110,'DICIEMBRE 2026'!I6:I110)="LAMUD")*('DICIEMBRE 2026'!K6:K110="PETROLEO")*'DICIEMBRE 2026'!M6:M110),0)</f>
        <v>0</v>
      </c>
      <c r="D133" s="187" t="n">
        <f aca="false">IFERROR(SUMPRODUCT((IF('DICIEMBRE 2026'!Y6:Y110&lt;&gt;"",'DICIEMBRE 2026'!Y6:Y110,'DICIEMBRE 2026'!I6:I110)="LAMUD")*('DICIEMBRE 2026'!K6:K110="PETROLEO")*'DICIEMBRE 2026'!L6:L110*'DICIEMBRE 2026'!M6:M110),0)</f>
        <v>0</v>
      </c>
      <c r="E133" s="187" t="n">
        <f aca="false">IFERROR(SUMPRODUCT((IF('DICIEMBRE 2026'!Y6:Y110&lt;&gt;"",'DICIEMBRE 2026'!Y6:Y110,'DICIEMBRE 2026'!I6:I110)="LAMUD")*('DICIEMBRE 2026'!K6:K110="GASOLINA")*'DICIEMBRE 2026'!M6:M110),0)</f>
        <v>0</v>
      </c>
      <c r="F133" s="187" t="n">
        <f aca="false">IFERROR(SUMPRODUCT((IF('DICIEMBRE 2026'!Y6:Y110&lt;&gt;"",'DICIEMBRE 2026'!Y6:Y110,'DICIEMBRE 2026'!I6:I110)="LAMUD")*('DICIEMBRE 2026'!K6:K110="GASOLINA")*'DICIEMBRE 2026'!L6:L110*'DICIEMBRE 2026'!M6:M110),0)</f>
        <v>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" hidden="false" customHeight="true" outlineLevel="0" collapsed="false">
      <c r="A134" s="1" t="s">
        <v>186</v>
      </c>
      <c r="B134" s="1" t="s">
        <v>5165</v>
      </c>
      <c r="C134" s="187" t="n">
        <f aca="false">IFERROR(SUMPRODUCT((IF('ENERO 2026'!Y6:Y119&lt;&gt;"",'ENERO 2026'!Y6:Y119,'ENERO 2026'!I6:I119)="LEYMEBAMBA")*('ENERO 2026'!K6:K119="PETROLEO")*'ENERO 2026'!M6:M119),0)</f>
        <v>21</v>
      </c>
      <c r="D134" s="187" t="n">
        <f aca="false">IFERROR(SUMPRODUCT((IF('ENERO 2026'!Y6:Y119&lt;&gt;"",'ENERO 2026'!Y6:Y119,'ENERO 2026'!I6:I119)="LEYMEBAMBA")*('ENERO 2026'!K6:K119="PETROLEO")*'ENERO 2026'!L6:L119*'ENERO 2026'!M6:M119),0)</f>
        <v>381.78</v>
      </c>
      <c r="E134" s="187" t="n">
        <f aca="false">IFERROR(SUMPRODUCT((IF('ENERO 2026'!Y6:Y119&lt;&gt;"",'ENERO 2026'!Y6:Y119,'ENERO 2026'!I6:I119)="LEYMEBAMBA")*('ENERO 2026'!K6:K119="GASOLINA")*'ENERO 2026'!M6:M119),0)</f>
        <v>0</v>
      </c>
      <c r="F134" s="187" t="n">
        <f aca="false">IFERROR(SUMPRODUCT((IF('ENERO 2026'!Y6:Y119&lt;&gt;"",'ENERO 2026'!Y6:Y119,'ENERO 2026'!I6:I119)="LEYMEBAMBA")*('ENERO 2026'!K6:K119="GASOLINA")*'ENERO 2026'!L6:L119*'ENERO 2026'!M6:M119),0)</f>
        <v>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" hidden="false" customHeight="true" outlineLevel="0" collapsed="false">
      <c r="A135" s="1" t="s">
        <v>186</v>
      </c>
      <c r="B135" s="1" t="s">
        <v>5166</v>
      </c>
      <c r="C135" s="187" t="n">
        <f aca="false">IFERROR(SUMPRODUCT((IF('FEBRERO 2026'!Y6:Y124&lt;&gt;"",'FEBRERO 2026'!Y6:Y124,'FEBRERO 2026'!I6:I124)="LEYMEBAMBA")*('FEBRERO 2026'!K6:K124="PETROLEO")*'FEBRERO 2026'!M6:M124),0)</f>
        <v>15</v>
      </c>
      <c r="D135" s="187" t="n">
        <f aca="false">IFERROR(SUMPRODUCT((IF('FEBRERO 2026'!Y6:Y124&lt;&gt;"",'FEBRERO 2026'!Y6:Y124,'FEBRERO 2026'!I6:I124)="LEYMEBAMBA")*('FEBRERO 2026'!K6:K124="PETROLEO")*'FEBRERO 2026'!L6:L124*'FEBRERO 2026'!M6:M124),0)</f>
        <v>272.7</v>
      </c>
      <c r="E135" s="187" t="n">
        <f aca="false">IFERROR(SUMPRODUCT((IF('FEBRERO 2026'!Y6:Y124&lt;&gt;"",'FEBRERO 2026'!Y6:Y124,'FEBRERO 2026'!I6:I124)="LEYMEBAMBA")*('FEBRERO 2026'!K6:K124="GASOLINA")*'FEBRERO 2026'!M6:M124),0)</f>
        <v>0</v>
      </c>
      <c r="F135" s="187" t="n">
        <f aca="false">IFERROR(SUMPRODUCT((IF('FEBRERO 2026'!Y6:Y124&lt;&gt;"",'FEBRERO 2026'!Y6:Y124,'FEBRERO 2026'!I6:I124)="LEYMEBAMBA")*('FEBRERO 2026'!K6:K124="GASOLINA")*'FEBRERO 2026'!L6:L124*'FEBRERO 2026'!M6:M124),0)</f>
        <v>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" hidden="false" customHeight="true" outlineLevel="0" collapsed="false">
      <c r="A136" s="1" t="s">
        <v>186</v>
      </c>
      <c r="B136" s="1" t="s">
        <v>5167</v>
      </c>
      <c r="C136" s="187" t="n">
        <f aca="false">IFERROR(SUMPRODUCT((IF('MARZO 2026'!Y6:Y119&lt;&gt;"",'MARZO 2026'!Y6:Y119,'MARZO 2026'!I6:I119)="LEYMEBAMBA")*('MARZO 2026'!K6:K119="PETROLEO")*'MARZO 2026'!M6:M119),0)</f>
        <v>0</v>
      </c>
      <c r="D136" s="187" t="n">
        <f aca="false">IFERROR(SUMPRODUCT((IF('MARZO 2026'!Y6:Y119&lt;&gt;"",'MARZO 2026'!Y6:Y119,'MARZO 2026'!I6:I119)="LEYMEBAMBA")*('MARZO 2026'!K6:K119="PETROLEO")*'MARZO 2026'!L6:L119*'MARZO 2026'!M6:M119),0)</f>
        <v>0</v>
      </c>
      <c r="E136" s="187" t="n">
        <f aca="false">IFERROR(SUMPRODUCT((IF('MARZO 2026'!Y6:Y119&lt;&gt;"",'MARZO 2026'!Y6:Y119,'MARZO 2026'!I6:I119)="LEYMEBAMBA")*('MARZO 2026'!K6:K119="GASOLINA")*'MARZO 2026'!M6:M119),0)</f>
        <v>0</v>
      </c>
      <c r="F136" s="187" t="n">
        <f aca="false">IFERROR(SUMPRODUCT((IF('MARZO 2026'!Y6:Y119&lt;&gt;"",'MARZO 2026'!Y6:Y119,'MARZO 2026'!I6:I119)="LEYMEBAMBA")*('MARZO 2026'!K6:K119="GASOLINA")*'MARZO 2026'!L6:L119*'MARZO 2026'!M6:M119),0)</f>
        <v>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" hidden="false" customHeight="true" outlineLevel="0" collapsed="false">
      <c r="A137" s="1" t="s">
        <v>186</v>
      </c>
      <c r="B137" s="1" t="s">
        <v>5168</v>
      </c>
      <c r="C137" s="187" t="n">
        <f aca="false">IFERROR(SUMPRODUCT((IF('ABRIL 2026'!Y6:Y119&lt;&gt;"",'ABRIL 2026'!Y6:Y119,'ABRIL 2026'!I6:I119)="LEYMEBAMBA")*('ABRIL 2026'!K6:K119="PETROLEO")*'ABRIL 2026'!M6:M119),0)</f>
        <v>0</v>
      </c>
      <c r="D137" s="187" t="n">
        <f aca="false">IFERROR(SUMPRODUCT((IF('ABRIL 2026'!Y6:Y119&lt;&gt;"",'ABRIL 2026'!Y6:Y119,'ABRIL 2026'!I6:I119)="LEYMEBAMBA")*('ABRIL 2026'!K6:K119="PETROLEO")*'ABRIL 2026'!L6:L119*'ABRIL 2026'!M6:M119),0)</f>
        <v>0</v>
      </c>
      <c r="E137" s="187" t="n">
        <f aca="false">IFERROR(SUMPRODUCT((IF('ABRIL 2026'!Y6:Y119&lt;&gt;"",'ABRIL 2026'!Y6:Y119,'ABRIL 2026'!I6:I119)="LEYMEBAMBA")*('ABRIL 2026'!K6:K119="GASOLINA")*'ABRIL 2026'!M6:M119),0)</f>
        <v>0</v>
      </c>
      <c r="F137" s="187" t="n">
        <f aca="false">IFERROR(SUMPRODUCT((IF('ABRIL 2026'!Y6:Y119&lt;&gt;"",'ABRIL 2026'!Y6:Y119,'ABRIL 2026'!I6:I119)="LEYMEBAMBA")*('ABRIL 2026'!K6:K119="GASOLINA")*'ABRIL 2026'!L6:L119*'ABRIL 2026'!M6:M119),0)</f>
        <v>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" hidden="false" customHeight="true" outlineLevel="0" collapsed="false">
      <c r="A138" s="1" t="s">
        <v>186</v>
      </c>
      <c r="B138" s="1" t="s">
        <v>5169</v>
      </c>
      <c r="C138" s="187" t="n">
        <f aca="false">IFERROR(SUMPRODUCT((IF('MAYO 2026'!Y6:Y110&lt;&gt;"",'MAYO 2026'!Y6:Y110,'MAYO 2026'!I6:I110)="LEYMEBAMBA")*('MAYO 2026'!K6:K110="PETROLEO")*'MAYO 2026'!M6:M110),0)</f>
        <v>0</v>
      </c>
      <c r="D138" s="187" t="n">
        <f aca="false">IFERROR(SUMPRODUCT((IF('MAYO 2026'!Y6:Y110&lt;&gt;"",'MAYO 2026'!Y6:Y110,'MAYO 2026'!I6:I110)="LEYMEBAMBA")*('MAYO 2026'!K6:K110="PETROLEO")*'MAYO 2026'!L6:L110*'MAYO 2026'!M6:M110),0)</f>
        <v>0</v>
      </c>
      <c r="E138" s="187" t="n">
        <f aca="false">IFERROR(SUMPRODUCT((IF('MAYO 2026'!Y6:Y110&lt;&gt;"",'MAYO 2026'!Y6:Y110,'MAYO 2026'!I6:I110)="LEYMEBAMBA")*('MAYO 2026'!K6:K110="GASOLINA")*'MAYO 2026'!M6:M110),0)</f>
        <v>0</v>
      </c>
      <c r="F138" s="187" t="n">
        <f aca="false">IFERROR(SUMPRODUCT((IF('MAYO 2026'!Y6:Y110&lt;&gt;"",'MAYO 2026'!Y6:Y110,'MAYO 2026'!I6:I110)="LEYMEBAMBA")*('MAYO 2026'!K6:K110="GASOLINA")*'MAYO 2026'!L6:L110*'MAYO 2026'!M6:M110),0)</f>
        <v>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" hidden="false" customHeight="true" outlineLevel="0" collapsed="false">
      <c r="A139" s="1" t="s">
        <v>186</v>
      </c>
      <c r="B139" s="1" t="s">
        <v>5170</v>
      </c>
      <c r="C139" s="187" t="n">
        <f aca="false">IFERROR(SUMPRODUCT((IF('JUNIO 2026'!Y6:Y110&lt;&gt;"",'JUNIO 2026'!Y6:Y110,'JUNIO 2026'!I6:I110)="LEYMEBAMBA")*('JUNIO 2026'!K6:K110="PETROLEO")*'JUNIO 2026'!M6:M110),0)</f>
        <v>0</v>
      </c>
      <c r="D139" s="187" t="n">
        <f aca="false">IFERROR(SUMPRODUCT((IF('JUNIO 2026'!Y6:Y110&lt;&gt;"",'JUNIO 2026'!Y6:Y110,'JUNIO 2026'!I6:I110)="LEYMEBAMBA")*('JUNIO 2026'!K6:K110="PETROLEO")*'JUNIO 2026'!L6:L110*'JUNIO 2026'!M6:M110),0)</f>
        <v>0</v>
      </c>
      <c r="E139" s="187" t="n">
        <f aca="false">IFERROR(SUMPRODUCT((IF('JUNIO 2026'!Y6:Y110&lt;&gt;"",'JUNIO 2026'!Y6:Y110,'JUNIO 2026'!I6:I110)="LEYMEBAMBA")*('JUNIO 2026'!K6:K110="GASOLINA")*'JUNIO 2026'!M6:M110),0)</f>
        <v>0</v>
      </c>
      <c r="F139" s="187" t="n">
        <f aca="false">IFERROR(SUMPRODUCT((IF('JUNIO 2026'!Y6:Y110&lt;&gt;"",'JUNIO 2026'!Y6:Y110,'JUNIO 2026'!I6:I110)="LEYMEBAMBA")*('JUNIO 2026'!K6:K110="GASOLINA")*'JUNIO 2026'!L6:L110*'JUNIO 2026'!M6:M110),0)</f>
        <v>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" hidden="false" customHeight="true" outlineLevel="0" collapsed="false">
      <c r="A140" s="1" t="s">
        <v>186</v>
      </c>
      <c r="B140" s="1" t="s">
        <v>5171</v>
      </c>
      <c r="C140" s="187" t="n">
        <f aca="false">IFERROR(SUMPRODUCT((IF('JULIO 2026'!Y6:Y110&lt;&gt;"",'JULIO 2026'!Y6:Y110,'JULIO 2026'!I6:I110)="LEYMEBAMBA")*('JULIO 2026'!K6:K110="PETROLEO")*'JULIO 2026'!M6:M110),0)</f>
        <v>0</v>
      </c>
      <c r="D140" s="187" t="n">
        <f aca="false">IFERROR(SUMPRODUCT((IF('JULIO 2026'!Y6:Y110&lt;&gt;"",'JULIO 2026'!Y6:Y110,'JULIO 2026'!I6:I110)="LEYMEBAMBA")*('JULIO 2026'!K6:K110="PETROLEO")*'JULIO 2026'!L6:L110*'JULIO 2026'!M6:M110),0)</f>
        <v>0</v>
      </c>
      <c r="E140" s="187" t="n">
        <f aca="false">IFERROR(SUMPRODUCT((IF('JULIO 2026'!Y6:Y110&lt;&gt;"",'JULIO 2026'!Y6:Y110,'JULIO 2026'!I6:I110)="LEYMEBAMBA")*('JULIO 2026'!K6:K110="GASOLINA")*'JULIO 2026'!M6:M110),0)</f>
        <v>0</v>
      </c>
      <c r="F140" s="187" t="n">
        <f aca="false">IFERROR(SUMPRODUCT((IF('JULIO 2026'!Y6:Y110&lt;&gt;"",'JULIO 2026'!Y6:Y110,'JULIO 2026'!I6:I110)="LEYMEBAMBA")*('JULIO 2026'!K6:K110="GASOLINA")*'JULIO 2026'!L6:L110*'JULIO 2026'!M6:M110),0)</f>
        <v>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" hidden="false" customHeight="true" outlineLevel="0" collapsed="false">
      <c r="A141" s="1" t="s">
        <v>186</v>
      </c>
      <c r="B141" s="1" t="s">
        <v>5172</v>
      </c>
      <c r="C141" s="187" t="n">
        <f aca="false">IFERROR(SUMPRODUCT((IF('AGOSTO 2026'!Y6:Y110&lt;&gt;"",'AGOSTO 2026'!Y6:Y110,'AGOSTO 2026'!I6:I110)="LEYMEBAMBA")*('AGOSTO 2026'!K6:K110="PETROLEO")*'AGOSTO 2026'!M6:M110),0)</f>
        <v>0</v>
      </c>
      <c r="D141" s="187" t="n">
        <f aca="false">IFERROR(SUMPRODUCT((IF('AGOSTO 2026'!Y6:Y110&lt;&gt;"",'AGOSTO 2026'!Y6:Y110,'AGOSTO 2026'!I6:I110)="LEYMEBAMBA")*('AGOSTO 2026'!K6:K110="PETROLEO")*'AGOSTO 2026'!L6:L110*'AGOSTO 2026'!M6:M110),0)</f>
        <v>0</v>
      </c>
      <c r="E141" s="187" t="n">
        <f aca="false">IFERROR(SUMPRODUCT((IF('AGOSTO 2026'!Y6:Y110&lt;&gt;"",'AGOSTO 2026'!Y6:Y110,'AGOSTO 2026'!I6:I110)="LEYMEBAMBA")*('AGOSTO 2026'!K6:K110="GASOLINA")*'AGOSTO 2026'!M6:M110),0)</f>
        <v>0</v>
      </c>
      <c r="F141" s="187" t="n">
        <f aca="false">IFERROR(SUMPRODUCT((IF('AGOSTO 2026'!Y6:Y110&lt;&gt;"",'AGOSTO 2026'!Y6:Y110,'AGOSTO 2026'!I6:I110)="LEYMEBAMBA")*('AGOSTO 2026'!K6:K110="GASOLINA")*'AGOSTO 2026'!L6:L110*'AGOSTO 2026'!M6:M110),0)</f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" hidden="false" customHeight="true" outlineLevel="0" collapsed="false">
      <c r="A142" s="1" t="s">
        <v>186</v>
      </c>
      <c r="B142" s="1" t="s">
        <v>5173</v>
      </c>
      <c r="C142" s="187" t="n">
        <f aca="false">IFERROR(SUMPRODUCT((IF('SETIEMBRE 2026'!Y6:Y110&lt;&gt;"",'SETIEMBRE 2026'!Y6:Y110,'SETIEMBRE 2026'!I6:I110)="LEYMEBAMBA")*('SETIEMBRE 2026'!K6:K110="PETROLEO")*'SETIEMBRE 2026'!M6:M110),0)</f>
        <v>0</v>
      </c>
      <c r="D142" s="187" t="n">
        <f aca="false">IFERROR(SUMPRODUCT((IF('SETIEMBRE 2026'!Y6:Y110&lt;&gt;"",'SETIEMBRE 2026'!Y6:Y110,'SETIEMBRE 2026'!I6:I110)="LEYMEBAMBA")*('SETIEMBRE 2026'!K6:K110="PETROLEO")*'SETIEMBRE 2026'!L6:L110*'SETIEMBRE 2026'!M6:M110),0)</f>
        <v>0</v>
      </c>
      <c r="E142" s="187" t="n">
        <f aca="false">IFERROR(SUMPRODUCT((IF('SETIEMBRE 2026'!Y6:Y110&lt;&gt;"",'SETIEMBRE 2026'!Y6:Y110,'SETIEMBRE 2026'!I6:I110)="LEYMEBAMBA")*('SETIEMBRE 2026'!K6:K110="GASOLINA")*'SETIEMBRE 2026'!M6:M110),0)</f>
        <v>0</v>
      </c>
      <c r="F142" s="187" t="n">
        <f aca="false">IFERROR(SUMPRODUCT((IF('SETIEMBRE 2026'!Y6:Y110&lt;&gt;"",'SETIEMBRE 2026'!Y6:Y110,'SETIEMBRE 2026'!I6:I110)="LEYMEBAMBA")*('SETIEMBRE 2026'!K6:K110="GASOLINA")*'SETIEMBRE 2026'!L6:L110*'SETIEMBRE 2026'!M6:M110),0)</f>
        <v>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" hidden="false" customHeight="true" outlineLevel="0" collapsed="false">
      <c r="A143" s="1" t="s">
        <v>186</v>
      </c>
      <c r="B143" s="1" t="s">
        <v>5174</v>
      </c>
      <c r="C143" s="187" t="n">
        <f aca="false">IFERROR(SUMPRODUCT((IF('OCTUBRE 2026'!Y6:Y110&lt;&gt;"",'OCTUBRE 2026'!Y6:Y110,'OCTUBRE 2026'!I6:I110)="LEYMEBAMBA")*('OCTUBRE 2026'!K6:K110="PETROLEO")*'OCTUBRE 2026'!M6:M110),0)</f>
        <v>0</v>
      </c>
      <c r="D143" s="187" t="n">
        <f aca="false">IFERROR(SUMPRODUCT((IF('OCTUBRE 2026'!Y6:Y110&lt;&gt;"",'OCTUBRE 2026'!Y6:Y110,'OCTUBRE 2026'!I6:I110)="LEYMEBAMBA")*('OCTUBRE 2026'!K6:K110="PETROLEO")*'OCTUBRE 2026'!L6:L110*'OCTUBRE 2026'!M6:M110),0)</f>
        <v>0</v>
      </c>
      <c r="E143" s="187" t="n">
        <f aca="false">IFERROR(SUMPRODUCT((IF('OCTUBRE 2026'!Y6:Y110&lt;&gt;"",'OCTUBRE 2026'!Y6:Y110,'OCTUBRE 2026'!I6:I110)="LEYMEBAMBA")*('OCTUBRE 2026'!K6:K110="GASOLINA")*'OCTUBRE 2026'!M6:M110),0)</f>
        <v>0</v>
      </c>
      <c r="F143" s="187" t="n">
        <f aca="false">IFERROR(SUMPRODUCT((IF('OCTUBRE 2026'!Y6:Y110&lt;&gt;"",'OCTUBRE 2026'!Y6:Y110,'OCTUBRE 2026'!I6:I110)="LEYMEBAMBA")*('OCTUBRE 2026'!K6:K110="GASOLINA")*'OCTUBRE 2026'!L6:L110*'OCTUBRE 2026'!M6:M110),0)</f>
        <v>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" hidden="false" customHeight="true" outlineLevel="0" collapsed="false">
      <c r="A144" s="1" t="s">
        <v>186</v>
      </c>
      <c r="B144" s="1" t="s">
        <v>5175</v>
      </c>
      <c r="C144" s="187" t="n">
        <f aca="false">IFERROR(SUMPRODUCT((IF('NOVIEMBRE 2026'!Y6:Y110&lt;&gt;"",'NOVIEMBRE 2026'!Y6:Y110,'NOVIEMBRE 2026'!I6:I110)="LEYMEBAMBA")*('NOVIEMBRE 2026'!K6:K110="PETROLEO")*'NOVIEMBRE 2026'!M6:M110),0)</f>
        <v>0</v>
      </c>
      <c r="D144" s="187" t="n">
        <f aca="false">IFERROR(SUMPRODUCT((IF('NOVIEMBRE 2026'!Y6:Y110&lt;&gt;"",'NOVIEMBRE 2026'!Y6:Y110,'NOVIEMBRE 2026'!I6:I110)="LEYMEBAMBA")*('NOVIEMBRE 2026'!K6:K110="PETROLEO")*'NOVIEMBRE 2026'!L6:L110*'NOVIEMBRE 2026'!M6:M110),0)</f>
        <v>0</v>
      </c>
      <c r="E144" s="187" t="n">
        <f aca="false">IFERROR(SUMPRODUCT((IF('NOVIEMBRE 2026'!Y6:Y110&lt;&gt;"",'NOVIEMBRE 2026'!Y6:Y110,'NOVIEMBRE 2026'!I6:I110)="LEYMEBAMBA")*('NOVIEMBRE 2026'!K6:K110="GASOLINA")*'NOVIEMBRE 2026'!M6:M110),0)</f>
        <v>0</v>
      </c>
      <c r="F144" s="187" t="n">
        <f aca="false">IFERROR(SUMPRODUCT((IF('NOVIEMBRE 2026'!Y6:Y110&lt;&gt;"",'NOVIEMBRE 2026'!Y6:Y110,'NOVIEMBRE 2026'!I6:I110)="LEYMEBAMBA")*('NOVIEMBRE 2026'!K6:K110="GASOLINA")*'NOVIEMBRE 2026'!L6:L110*'NOVIEMBRE 2026'!M6:M110),0)</f>
        <v>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" hidden="false" customHeight="true" outlineLevel="0" collapsed="false">
      <c r="A145" s="1" t="s">
        <v>186</v>
      </c>
      <c r="B145" s="1" t="s">
        <v>5176</v>
      </c>
      <c r="C145" s="187" t="n">
        <f aca="false">IFERROR(SUMPRODUCT((IF('DICIEMBRE 2026'!Y6:Y110&lt;&gt;"",'DICIEMBRE 2026'!Y6:Y110,'DICIEMBRE 2026'!I6:I110)="LEYMEBAMBA")*('DICIEMBRE 2026'!K6:K110="PETROLEO")*'DICIEMBRE 2026'!M6:M110),0)</f>
        <v>0</v>
      </c>
      <c r="D145" s="187" t="n">
        <f aca="false">IFERROR(SUMPRODUCT((IF('DICIEMBRE 2026'!Y6:Y110&lt;&gt;"",'DICIEMBRE 2026'!Y6:Y110,'DICIEMBRE 2026'!I6:I110)="LEYMEBAMBA")*('DICIEMBRE 2026'!K6:K110="PETROLEO")*'DICIEMBRE 2026'!L6:L110*'DICIEMBRE 2026'!M6:M110),0)</f>
        <v>0</v>
      </c>
      <c r="E145" s="187" t="n">
        <f aca="false">IFERROR(SUMPRODUCT((IF('DICIEMBRE 2026'!Y6:Y110&lt;&gt;"",'DICIEMBRE 2026'!Y6:Y110,'DICIEMBRE 2026'!I6:I110)="LEYMEBAMBA")*('DICIEMBRE 2026'!K6:K110="GASOLINA")*'DICIEMBRE 2026'!M6:M110),0)</f>
        <v>0</v>
      </c>
      <c r="F145" s="187" t="n">
        <f aca="false">IFERROR(SUMPRODUCT((IF('DICIEMBRE 2026'!Y6:Y110&lt;&gt;"",'DICIEMBRE 2026'!Y6:Y110,'DICIEMBRE 2026'!I6:I110)="LEYMEBAMBA")*('DICIEMBRE 2026'!K6:K110="GASOLINA")*'DICIEMBRE 2026'!L6:L110*'DICIEMBRE 2026'!M6:M110),0)</f>
        <v>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" hidden="false" customHeight="true" outlineLevel="0" collapsed="false">
      <c r="A146" s="1" t="s">
        <v>56</v>
      </c>
      <c r="B146" s="1" t="s">
        <v>5165</v>
      </c>
      <c r="C146" s="187" t="n">
        <f aca="false">IFERROR(SUMPRODUCT((IF('ENERO 2026'!Y6:Y119&lt;&gt;"",'ENERO 2026'!Y6:Y119,'ENERO 2026'!I6:I119)="LUYA")*('ENERO 2026'!K6:K119="PETROLEO")*'ENERO 2026'!M6:M119),0)</f>
        <v>0</v>
      </c>
      <c r="D146" s="187" t="n">
        <f aca="false">IFERROR(SUMPRODUCT((IF('ENERO 2026'!Y6:Y119&lt;&gt;"",'ENERO 2026'!Y6:Y119,'ENERO 2026'!I6:I119)="LUYA")*('ENERO 2026'!K6:K119="PETROLEO")*'ENERO 2026'!L6:L119*'ENERO 2026'!M6:M119),0)</f>
        <v>0</v>
      </c>
      <c r="E146" s="187" t="n">
        <f aca="false">IFERROR(SUMPRODUCT((IF('ENERO 2026'!Y6:Y119&lt;&gt;"",'ENERO 2026'!Y6:Y119,'ENERO 2026'!I6:I119)="LUYA")*('ENERO 2026'!K6:K119="GASOLINA")*'ENERO 2026'!M6:M119),0)</f>
        <v>0</v>
      </c>
      <c r="F146" s="187" t="n">
        <f aca="false">IFERROR(SUMPRODUCT((IF('ENERO 2026'!Y6:Y119&lt;&gt;"",'ENERO 2026'!Y6:Y119,'ENERO 2026'!I6:I119)="LUYA")*('ENERO 2026'!K6:K119="GASOLINA")*'ENERO 2026'!L6:L119*'ENERO 2026'!M6:M119),0)</f>
        <v>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" hidden="false" customHeight="true" outlineLevel="0" collapsed="false">
      <c r="A147" s="1" t="s">
        <v>56</v>
      </c>
      <c r="B147" s="1" t="s">
        <v>5166</v>
      </c>
      <c r="C147" s="187" t="n">
        <f aca="false">IFERROR(SUMPRODUCT((IF('FEBRERO 2026'!Y6:Y124&lt;&gt;"",'FEBRERO 2026'!Y6:Y124,'FEBRERO 2026'!I6:I124)="LUYA")*('FEBRERO 2026'!K6:K124="PETROLEO")*'FEBRERO 2026'!M6:M124),0)</f>
        <v>24</v>
      </c>
      <c r="D147" s="187" t="n">
        <f aca="false">IFERROR(SUMPRODUCT((IF('FEBRERO 2026'!Y6:Y124&lt;&gt;"",'FEBRERO 2026'!Y6:Y124,'FEBRERO 2026'!I6:I124)="LUYA")*('FEBRERO 2026'!K6:K124="PETROLEO")*'FEBRERO 2026'!L6:L124*'FEBRERO 2026'!M6:M124),0)</f>
        <v>436.32</v>
      </c>
      <c r="E147" s="187" t="n">
        <f aca="false">IFERROR(SUMPRODUCT((IF('FEBRERO 2026'!Y6:Y124&lt;&gt;"",'FEBRERO 2026'!Y6:Y124,'FEBRERO 2026'!I6:I124)="LUYA")*('FEBRERO 2026'!K6:K124="GASOLINA")*'FEBRERO 2026'!M6:M124),0)</f>
        <v>0</v>
      </c>
      <c r="F147" s="187" t="n">
        <f aca="false">IFERROR(SUMPRODUCT((IF('FEBRERO 2026'!Y6:Y124&lt;&gt;"",'FEBRERO 2026'!Y6:Y124,'FEBRERO 2026'!I6:I124)="LUYA")*('FEBRERO 2026'!K6:K124="GASOLINA")*'FEBRERO 2026'!L6:L124*'FEBRERO 2026'!M6:M124),0)</f>
        <v>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" hidden="false" customHeight="true" outlineLevel="0" collapsed="false">
      <c r="A148" s="1" t="s">
        <v>56</v>
      </c>
      <c r="B148" s="1" t="s">
        <v>5167</v>
      </c>
      <c r="C148" s="187" t="n">
        <f aca="false">IFERROR(SUMPRODUCT((IF('MARZO 2026'!Y6:Y119&lt;&gt;"",'MARZO 2026'!Y6:Y119,'MARZO 2026'!I6:I119)="LUYA")*('MARZO 2026'!K6:K119="PETROLEO")*'MARZO 2026'!M6:M119),0)</f>
        <v>4</v>
      </c>
      <c r="D148" s="187" t="n">
        <f aca="false">IFERROR(SUMPRODUCT((IF('MARZO 2026'!Y6:Y119&lt;&gt;"",'MARZO 2026'!Y6:Y119,'MARZO 2026'!I6:I119)="LUYA")*('MARZO 2026'!K6:K119="PETROLEO")*'MARZO 2026'!L6:L119*'MARZO 2026'!M6:M119),0)</f>
        <v>72.72</v>
      </c>
      <c r="E148" s="187" t="n">
        <f aca="false">IFERROR(SUMPRODUCT((IF('MARZO 2026'!Y6:Y119&lt;&gt;"",'MARZO 2026'!Y6:Y119,'MARZO 2026'!I6:I119)="LUYA")*('MARZO 2026'!K6:K119="GASOLINA")*'MARZO 2026'!M6:M119),0)</f>
        <v>0</v>
      </c>
      <c r="F148" s="187" t="n">
        <f aca="false">IFERROR(SUMPRODUCT((IF('MARZO 2026'!Y6:Y119&lt;&gt;"",'MARZO 2026'!Y6:Y119,'MARZO 2026'!I6:I119)="LUYA")*('MARZO 2026'!K6:K119="GASOLINA")*'MARZO 2026'!L6:L119*'MARZO 2026'!M6:M119),0)</f>
        <v>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" hidden="false" customHeight="true" outlineLevel="0" collapsed="false">
      <c r="A149" s="1" t="s">
        <v>56</v>
      </c>
      <c r="B149" s="1" t="s">
        <v>5168</v>
      </c>
      <c r="C149" s="187" t="n">
        <f aca="false">IFERROR(SUMPRODUCT((IF('ABRIL 2026'!Y6:Y119&lt;&gt;"",'ABRIL 2026'!Y6:Y119,'ABRIL 2026'!I6:I119)="LUYA")*('ABRIL 2026'!K6:K119="PETROLEO")*'ABRIL 2026'!M6:M119),0)</f>
        <v>0</v>
      </c>
      <c r="D149" s="187" t="n">
        <f aca="false">IFERROR(SUMPRODUCT((IF('ABRIL 2026'!Y6:Y119&lt;&gt;"",'ABRIL 2026'!Y6:Y119,'ABRIL 2026'!I6:I119)="LUYA")*('ABRIL 2026'!K6:K119="PETROLEO")*'ABRIL 2026'!L6:L119*'ABRIL 2026'!M6:M119),0)</f>
        <v>0</v>
      </c>
      <c r="E149" s="187" t="n">
        <f aca="false">IFERROR(SUMPRODUCT((IF('ABRIL 2026'!Y6:Y119&lt;&gt;"",'ABRIL 2026'!Y6:Y119,'ABRIL 2026'!I6:I119)="LUYA")*('ABRIL 2026'!K6:K119="GASOLINA")*'ABRIL 2026'!M6:M119),0)</f>
        <v>0</v>
      </c>
      <c r="F149" s="187" t="n">
        <f aca="false">IFERROR(SUMPRODUCT((IF('ABRIL 2026'!Y6:Y119&lt;&gt;"",'ABRIL 2026'!Y6:Y119,'ABRIL 2026'!I6:I119)="LUYA")*('ABRIL 2026'!K6:K119="GASOLINA")*'ABRIL 2026'!L6:L119*'ABRIL 2026'!M6:M119),0)</f>
        <v>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" hidden="false" customHeight="true" outlineLevel="0" collapsed="false">
      <c r="A150" s="1" t="s">
        <v>56</v>
      </c>
      <c r="B150" s="1" t="s">
        <v>5169</v>
      </c>
      <c r="C150" s="187" t="n">
        <f aca="false">IFERROR(SUMPRODUCT((IF('MAYO 2026'!Y6:Y110&lt;&gt;"",'MAYO 2026'!Y6:Y110,'MAYO 2026'!I6:I110)="LUYA")*('MAYO 2026'!K6:K110="PETROLEO")*'MAYO 2026'!M6:M110),0)</f>
        <v>0</v>
      </c>
      <c r="D150" s="187" t="n">
        <f aca="false">IFERROR(SUMPRODUCT((IF('MAYO 2026'!Y6:Y110&lt;&gt;"",'MAYO 2026'!Y6:Y110,'MAYO 2026'!I6:I110)="LUYA")*('MAYO 2026'!K6:K110="PETROLEO")*'MAYO 2026'!L6:L110*'MAYO 2026'!M6:M110),0)</f>
        <v>0</v>
      </c>
      <c r="E150" s="187" t="n">
        <f aca="false">IFERROR(SUMPRODUCT((IF('MAYO 2026'!Y6:Y110&lt;&gt;"",'MAYO 2026'!Y6:Y110,'MAYO 2026'!I6:I110)="LUYA")*('MAYO 2026'!K6:K110="GASOLINA")*'MAYO 2026'!M6:M110),0)</f>
        <v>0</v>
      </c>
      <c r="F150" s="187" t="n">
        <f aca="false">IFERROR(SUMPRODUCT((IF('MAYO 2026'!Y6:Y110&lt;&gt;"",'MAYO 2026'!Y6:Y110,'MAYO 2026'!I6:I110)="LUYA")*('MAYO 2026'!K6:K110="GASOLINA")*'MAYO 2026'!L6:L110*'MAYO 2026'!M6:M110),0)</f>
        <v>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" hidden="false" customHeight="true" outlineLevel="0" collapsed="false">
      <c r="A151" s="1" t="s">
        <v>56</v>
      </c>
      <c r="B151" s="1" t="s">
        <v>5170</v>
      </c>
      <c r="C151" s="187" t="n">
        <f aca="false">IFERROR(SUMPRODUCT((IF('JUNIO 2026'!Y6:Y110&lt;&gt;"",'JUNIO 2026'!Y6:Y110,'JUNIO 2026'!I6:I110)="LUYA")*('JUNIO 2026'!K6:K110="PETROLEO")*'JUNIO 2026'!M6:M110),0)</f>
        <v>0</v>
      </c>
      <c r="D151" s="187" t="n">
        <f aca="false">IFERROR(SUMPRODUCT((IF('JUNIO 2026'!Y6:Y110&lt;&gt;"",'JUNIO 2026'!Y6:Y110,'JUNIO 2026'!I6:I110)="LUYA")*('JUNIO 2026'!K6:K110="PETROLEO")*'JUNIO 2026'!L6:L110*'JUNIO 2026'!M6:M110),0)</f>
        <v>0</v>
      </c>
      <c r="E151" s="187" t="n">
        <f aca="false">IFERROR(SUMPRODUCT((IF('JUNIO 2026'!Y6:Y110&lt;&gt;"",'JUNIO 2026'!Y6:Y110,'JUNIO 2026'!I6:I110)="LUYA")*('JUNIO 2026'!K6:K110="GASOLINA")*'JUNIO 2026'!M6:M110),0)</f>
        <v>0</v>
      </c>
      <c r="F151" s="187" t="n">
        <f aca="false">IFERROR(SUMPRODUCT((IF('JUNIO 2026'!Y6:Y110&lt;&gt;"",'JUNIO 2026'!Y6:Y110,'JUNIO 2026'!I6:I110)="LUYA")*('JUNIO 2026'!K6:K110="GASOLINA")*'JUNIO 2026'!L6:L110*'JUNIO 2026'!M6:M110),0)</f>
        <v>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" hidden="false" customHeight="true" outlineLevel="0" collapsed="false">
      <c r="A152" s="1" t="s">
        <v>56</v>
      </c>
      <c r="B152" s="1" t="s">
        <v>5171</v>
      </c>
      <c r="C152" s="187" t="n">
        <f aca="false">IFERROR(SUMPRODUCT((IF('JULIO 2026'!Y6:Y110&lt;&gt;"",'JULIO 2026'!Y6:Y110,'JULIO 2026'!I6:I110)="LUYA")*('JULIO 2026'!K6:K110="PETROLEO")*'JULIO 2026'!M6:M110),0)</f>
        <v>0</v>
      </c>
      <c r="D152" s="187" t="n">
        <f aca="false">IFERROR(SUMPRODUCT((IF('JULIO 2026'!Y6:Y110&lt;&gt;"",'JULIO 2026'!Y6:Y110,'JULIO 2026'!I6:I110)="LUYA")*('JULIO 2026'!K6:K110="PETROLEO")*'JULIO 2026'!L6:L110*'JULIO 2026'!M6:M110),0)</f>
        <v>0</v>
      </c>
      <c r="E152" s="187" t="n">
        <f aca="false">IFERROR(SUMPRODUCT((IF('JULIO 2026'!Y6:Y110&lt;&gt;"",'JULIO 2026'!Y6:Y110,'JULIO 2026'!I6:I110)="LUYA")*('JULIO 2026'!K6:K110="GASOLINA")*'JULIO 2026'!M6:M110),0)</f>
        <v>0</v>
      </c>
      <c r="F152" s="187" t="n">
        <f aca="false">IFERROR(SUMPRODUCT((IF('JULIO 2026'!Y6:Y110&lt;&gt;"",'JULIO 2026'!Y6:Y110,'JULIO 2026'!I6:I110)="LUYA")*('JULIO 2026'!K6:K110="GASOLINA")*'JULIO 2026'!L6:L110*'JULIO 2026'!M6:M110),0)</f>
        <v>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" hidden="false" customHeight="true" outlineLevel="0" collapsed="false">
      <c r="A153" s="1" t="s">
        <v>56</v>
      </c>
      <c r="B153" s="1" t="s">
        <v>5172</v>
      </c>
      <c r="C153" s="187" t="n">
        <f aca="false">IFERROR(SUMPRODUCT((IF('AGOSTO 2026'!Y6:Y110&lt;&gt;"",'AGOSTO 2026'!Y6:Y110,'AGOSTO 2026'!I6:I110)="LUYA")*('AGOSTO 2026'!K6:K110="PETROLEO")*'AGOSTO 2026'!M6:M110),0)</f>
        <v>0</v>
      </c>
      <c r="D153" s="187" t="n">
        <f aca="false">IFERROR(SUMPRODUCT((IF('AGOSTO 2026'!Y6:Y110&lt;&gt;"",'AGOSTO 2026'!Y6:Y110,'AGOSTO 2026'!I6:I110)="LUYA")*('AGOSTO 2026'!K6:K110="PETROLEO")*'AGOSTO 2026'!L6:L110*'AGOSTO 2026'!M6:M110),0)</f>
        <v>0</v>
      </c>
      <c r="E153" s="187" t="n">
        <f aca="false">IFERROR(SUMPRODUCT((IF('AGOSTO 2026'!Y6:Y110&lt;&gt;"",'AGOSTO 2026'!Y6:Y110,'AGOSTO 2026'!I6:I110)="LUYA")*('AGOSTO 2026'!K6:K110="GASOLINA")*'AGOSTO 2026'!M6:M110),0)</f>
        <v>0</v>
      </c>
      <c r="F153" s="187" t="n">
        <f aca="false">IFERROR(SUMPRODUCT((IF('AGOSTO 2026'!Y6:Y110&lt;&gt;"",'AGOSTO 2026'!Y6:Y110,'AGOSTO 2026'!I6:I110)="LUYA")*('AGOSTO 2026'!K6:K110="GASOLINA")*'AGOSTO 2026'!L6:L110*'AGOSTO 2026'!M6:M110),0)</f>
        <v>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" hidden="false" customHeight="true" outlineLevel="0" collapsed="false">
      <c r="A154" s="1" t="s">
        <v>56</v>
      </c>
      <c r="B154" s="1" t="s">
        <v>5173</v>
      </c>
      <c r="C154" s="187" t="n">
        <f aca="false">IFERROR(SUMPRODUCT((IF('SETIEMBRE 2026'!Y6:Y110&lt;&gt;"",'SETIEMBRE 2026'!Y6:Y110,'SETIEMBRE 2026'!I6:I110)="LUYA")*('SETIEMBRE 2026'!K6:K110="PETROLEO")*'SETIEMBRE 2026'!M6:M110),0)</f>
        <v>0</v>
      </c>
      <c r="D154" s="187" t="n">
        <f aca="false">IFERROR(SUMPRODUCT((IF('SETIEMBRE 2026'!Y6:Y110&lt;&gt;"",'SETIEMBRE 2026'!Y6:Y110,'SETIEMBRE 2026'!I6:I110)="LUYA")*('SETIEMBRE 2026'!K6:K110="PETROLEO")*'SETIEMBRE 2026'!L6:L110*'SETIEMBRE 2026'!M6:M110),0)</f>
        <v>0</v>
      </c>
      <c r="E154" s="187" t="n">
        <f aca="false">IFERROR(SUMPRODUCT((IF('SETIEMBRE 2026'!Y6:Y110&lt;&gt;"",'SETIEMBRE 2026'!Y6:Y110,'SETIEMBRE 2026'!I6:I110)="LUYA")*('SETIEMBRE 2026'!K6:K110="GASOLINA")*'SETIEMBRE 2026'!M6:M110),0)</f>
        <v>0</v>
      </c>
      <c r="F154" s="187" t="n">
        <f aca="false">IFERROR(SUMPRODUCT((IF('SETIEMBRE 2026'!Y6:Y110&lt;&gt;"",'SETIEMBRE 2026'!Y6:Y110,'SETIEMBRE 2026'!I6:I110)="LUYA")*('SETIEMBRE 2026'!K6:K110="GASOLINA")*'SETIEMBRE 2026'!L6:L110*'SETIEMBRE 2026'!M6:M110),0)</f>
        <v>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" hidden="false" customHeight="true" outlineLevel="0" collapsed="false">
      <c r="A155" s="1" t="s">
        <v>56</v>
      </c>
      <c r="B155" s="1" t="s">
        <v>5174</v>
      </c>
      <c r="C155" s="187" t="n">
        <f aca="false">IFERROR(SUMPRODUCT((IF('OCTUBRE 2026'!Y6:Y110&lt;&gt;"",'OCTUBRE 2026'!Y6:Y110,'OCTUBRE 2026'!I6:I110)="LUYA")*('OCTUBRE 2026'!K6:K110="PETROLEO")*'OCTUBRE 2026'!M6:M110),0)</f>
        <v>0</v>
      </c>
      <c r="D155" s="187" t="n">
        <f aca="false">IFERROR(SUMPRODUCT((IF('OCTUBRE 2026'!Y6:Y110&lt;&gt;"",'OCTUBRE 2026'!Y6:Y110,'OCTUBRE 2026'!I6:I110)="LUYA")*('OCTUBRE 2026'!K6:K110="PETROLEO")*'OCTUBRE 2026'!L6:L110*'OCTUBRE 2026'!M6:M110),0)</f>
        <v>0</v>
      </c>
      <c r="E155" s="187" t="n">
        <f aca="false">IFERROR(SUMPRODUCT((IF('OCTUBRE 2026'!Y6:Y110&lt;&gt;"",'OCTUBRE 2026'!Y6:Y110,'OCTUBRE 2026'!I6:I110)="LUYA")*('OCTUBRE 2026'!K6:K110="GASOLINA")*'OCTUBRE 2026'!M6:M110),0)</f>
        <v>0</v>
      </c>
      <c r="F155" s="187" t="n">
        <f aca="false">IFERROR(SUMPRODUCT((IF('OCTUBRE 2026'!Y6:Y110&lt;&gt;"",'OCTUBRE 2026'!Y6:Y110,'OCTUBRE 2026'!I6:I110)="LUYA")*('OCTUBRE 2026'!K6:K110="GASOLINA")*'OCTUBRE 2026'!L6:L110*'OCTUBRE 2026'!M6:M110),0)</f>
        <v>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" hidden="false" customHeight="true" outlineLevel="0" collapsed="false">
      <c r="A156" s="1" t="s">
        <v>56</v>
      </c>
      <c r="B156" s="1" t="s">
        <v>5175</v>
      </c>
      <c r="C156" s="187" t="n">
        <f aca="false">IFERROR(SUMPRODUCT((IF('NOVIEMBRE 2026'!Y6:Y110&lt;&gt;"",'NOVIEMBRE 2026'!Y6:Y110,'NOVIEMBRE 2026'!I6:I110)="LUYA")*('NOVIEMBRE 2026'!K6:K110="PETROLEO")*'NOVIEMBRE 2026'!M6:M110),0)</f>
        <v>0</v>
      </c>
      <c r="D156" s="187" t="n">
        <f aca="false">IFERROR(SUMPRODUCT((IF('NOVIEMBRE 2026'!Y6:Y110&lt;&gt;"",'NOVIEMBRE 2026'!Y6:Y110,'NOVIEMBRE 2026'!I6:I110)="LUYA")*('NOVIEMBRE 2026'!K6:K110="PETROLEO")*'NOVIEMBRE 2026'!L6:L110*'NOVIEMBRE 2026'!M6:M110),0)</f>
        <v>0</v>
      </c>
      <c r="E156" s="187" t="n">
        <f aca="false">IFERROR(SUMPRODUCT((IF('NOVIEMBRE 2026'!Y6:Y110&lt;&gt;"",'NOVIEMBRE 2026'!Y6:Y110,'NOVIEMBRE 2026'!I6:I110)="LUYA")*('NOVIEMBRE 2026'!K6:K110="GASOLINA")*'NOVIEMBRE 2026'!M6:M110),0)</f>
        <v>0</v>
      </c>
      <c r="F156" s="187" t="n">
        <f aca="false">IFERROR(SUMPRODUCT((IF('NOVIEMBRE 2026'!Y6:Y110&lt;&gt;"",'NOVIEMBRE 2026'!Y6:Y110,'NOVIEMBRE 2026'!I6:I110)="LUYA")*('NOVIEMBRE 2026'!K6:K110="GASOLINA")*'NOVIEMBRE 2026'!L6:L110*'NOVIEMBRE 2026'!M6:M110),0)</f>
        <v>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" hidden="false" customHeight="true" outlineLevel="0" collapsed="false">
      <c r="A157" s="1" t="s">
        <v>56</v>
      </c>
      <c r="B157" s="1" t="s">
        <v>5176</v>
      </c>
      <c r="C157" s="187" t="n">
        <f aca="false">IFERROR(SUMPRODUCT((IF('DICIEMBRE 2026'!Y6:Y110&lt;&gt;"",'DICIEMBRE 2026'!Y6:Y110,'DICIEMBRE 2026'!I6:I110)="LUYA")*('DICIEMBRE 2026'!K6:K110="PETROLEO")*'DICIEMBRE 2026'!M6:M110),0)</f>
        <v>0</v>
      </c>
      <c r="D157" s="187" t="n">
        <f aca="false">IFERROR(SUMPRODUCT((IF('DICIEMBRE 2026'!Y6:Y110&lt;&gt;"",'DICIEMBRE 2026'!Y6:Y110,'DICIEMBRE 2026'!I6:I110)="LUYA")*('DICIEMBRE 2026'!K6:K110="PETROLEO")*'DICIEMBRE 2026'!L6:L110*'DICIEMBRE 2026'!M6:M110),0)</f>
        <v>0</v>
      </c>
      <c r="E157" s="187" t="n">
        <f aca="false">IFERROR(SUMPRODUCT((IF('DICIEMBRE 2026'!Y6:Y110&lt;&gt;"",'DICIEMBRE 2026'!Y6:Y110,'DICIEMBRE 2026'!I6:I110)="LUYA")*('DICIEMBRE 2026'!K6:K110="GASOLINA")*'DICIEMBRE 2026'!M6:M110),0)</f>
        <v>0</v>
      </c>
      <c r="F157" s="187" t="n">
        <f aca="false">IFERROR(SUMPRODUCT((IF('DICIEMBRE 2026'!Y6:Y110&lt;&gt;"",'DICIEMBRE 2026'!Y6:Y110,'DICIEMBRE 2026'!I6:I110)="LUYA")*('DICIEMBRE 2026'!K6:K110="GASOLINA")*'DICIEMBRE 2026'!L6:L110*'DICIEMBRE 2026'!M6:M110),0)</f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" hidden="false" customHeight="true" outlineLevel="0" collapsed="false">
      <c r="A158" s="1" t="s">
        <v>58</v>
      </c>
      <c r="B158" s="1" t="s">
        <v>5165</v>
      </c>
      <c r="C158" s="187" t="n">
        <f aca="false">IFERROR(SUMPRODUCT((IF('ENERO 2026'!Y6:Y119&lt;&gt;"",'ENERO 2026'!Y6:Y119,'ENERO 2026'!I6:I119)="MARIA")*('ENERO 2026'!K6:K119="PETROLEO")*'ENERO 2026'!M6:M119),0)</f>
        <v>12</v>
      </c>
      <c r="D158" s="187" t="n">
        <f aca="false">IFERROR(SUMPRODUCT((IF('ENERO 2026'!Y6:Y119&lt;&gt;"",'ENERO 2026'!Y6:Y119,'ENERO 2026'!I6:I119)="MARIA")*('ENERO 2026'!K6:K119="PETROLEO")*'ENERO 2026'!L6:L119*'ENERO 2026'!M6:M119),0)</f>
        <v>218.16</v>
      </c>
      <c r="E158" s="187" t="n">
        <f aca="false">IFERROR(SUMPRODUCT((IF('ENERO 2026'!Y6:Y119&lt;&gt;"",'ENERO 2026'!Y6:Y119,'ENERO 2026'!I6:I119)="MARIA")*('ENERO 2026'!K6:K119="GASOLINA")*'ENERO 2026'!M6:M119),0)</f>
        <v>0</v>
      </c>
      <c r="F158" s="187" t="n">
        <f aca="false">IFERROR(SUMPRODUCT((IF('ENERO 2026'!Y6:Y119&lt;&gt;"",'ENERO 2026'!Y6:Y119,'ENERO 2026'!I6:I119)="MARIA")*('ENERO 2026'!K6:K119="GASOLINA")*'ENERO 2026'!L6:L119*'ENERO 2026'!M6:M119),0)</f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" hidden="false" customHeight="true" outlineLevel="0" collapsed="false">
      <c r="A159" s="1" t="s">
        <v>58</v>
      </c>
      <c r="B159" s="1" t="s">
        <v>5166</v>
      </c>
      <c r="C159" s="187" t="n">
        <f aca="false">IFERROR(SUMPRODUCT((IF('FEBRERO 2026'!Y6:Y124&lt;&gt;"",'FEBRERO 2026'!Y6:Y124,'FEBRERO 2026'!I6:I124)="MARIA")*('FEBRERO 2026'!K6:K124="PETROLEO")*'FEBRERO 2026'!M6:M124),0)</f>
        <v>36</v>
      </c>
      <c r="D159" s="187" t="n">
        <f aca="false">IFERROR(SUMPRODUCT((IF('FEBRERO 2026'!Y6:Y124&lt;&gt;"",'FEBRERO 2026'!Y6:Y124,'FEBRERO 2026'!I6:I124)="MARIA")*('FEBRERO 2026'!K6:K124="PETROLEO")*'FEBRERO 2026'!L6:L124*'FEBRERO 2026'!M6:M124),0)</f>
        <v>654.48</v>
      </c>
      <c r="E159" s="187" t="n">
        <f aca="false">IFERROR(SUMPRODUCT((IF('FEBRERO 2026'!Y6:Y124&lt;&gt;"",'FEBRERO 2026'!Y6:Y124,'FEBRERO 2026'!I6:I124)="MARIA")*('FEBRERO 2026'!K6:K124="GASOLINA")*'FEBRERO 2026'!M6:M124),0)</f>
        <v>0</v>
      </c>
      <c r="F159" s="187" t="n">
        <f aca="false">IFERROR(SUMPRODUCT((IF('FEBRERO 2026'!Y6:Y124&lt;&gt;"",'FEBRERO 2026'!Y6:Y124,'FEBRERO 2026'!I6:I124)="MARIA")*('FEBRERO 2026'!K6:K124="GASOLINA")*'FEBRERO 2026'!L6:L124*'FEBRERO 2026'!M6:M124),0)</f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" hidden="false" customHeight="true" outlineLevel="0" collapsed="false">
      <c r="A160" s="1" t="s">
        <v>58</v>
      </c>
      <c r="B160" s="1" t="s">
        <v>5167</v>
      </c>
      <c r="C160" s="187" t="n">
        <f aca="false">IFERROR(SUMPRODUCT((IF('MARZO 2026'!Y6:Y119&lt;&gt;"",'MARZO 2026'!Y6:Y119,'MARZO 2026'!I6:I119)="MARIA")*('MARZO 2026'!K6:K119="PETROLEO")*'MARZO 2026'!M6:M119),0)</f>
        <v>0</v>
      </c>
      <c r="D160" s="187" t="n">
        <f aca="false">IFERROR(SUMPRODUCT((IF('MARZO 2026'!Y6:Y119&lt;&gt;"",'MARZO 2026'!Y6:Y119,'MARZO 2026'!I6:I119)="MARIA")*('MARZO 2026'!K6:K119="PETROLEO")*'MARZO 2026'!L6:L119*'MARZO 2026'!M6:M119),0)</f>
        <v>0</v>
      </c>
      <c r="E160" s="187" t="n">
        <f aca="false">IFERROR(SUMPRODUCT((IF('MARZO 2026'!Y6:Y119&lt;&gt;"",'MARZO 2026'!Y6:Y119,'MARZO 2026'!I6:I119)="MARIA")*('MARZO 2026'!K6:K119="GASOLINA")*'MARZO 2026'!M6:M119),0)</f>
        <v>0</v>
      </c>
      <c r="F160" s="187" t="n">
        <f aca="false">IFERROR(SUMPRODUCT((IF('MARZO 2026'!Y6:Y119&lt;&gt;"",'MARZO 2026'!Y6:Y119,'MARZO 2026'!I6:I119)="MARIA")*('MARZO 2026'!K6:K119="GASOLINA")*'MARZO 2026'!L6:L119*'MARZO 2026'!M6:M119),0)</f>
        <v>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" hidden="false" customHeight="true" outlineLevel="0" collapsed="false">
      <c r="A161" s="1" t="s">
        <v>58</v>
      </c>
      <c r="B161" s="1" t="s">
        <v>5168</v>
      </c>
      <c r="C161" s="187" t="n">
        <f aca="false">IFERROR(SUMPRODUCT((IF('ABRIL 2026'!Y6:Y119&lt;&gt;"",'ABRIL 2026'!Y6:Y119,'ABRIL 2026'!I6:I119)="MARIA")*('ABRIL 2026'!K6:K119="PETROLEO")*'ABRIL 2026'!M6:M119),0)</f>
        <v>0</v>
      </c>
      <c r="D161" s="187" t="n">
        <f aca="false">IFERROR(SUMPRODUCT((IF('ABRIL 2026'!Y6:Y119&lt;&gt;"",'ABRIL 2026'!Y6:Y119,'ABRIL 2026'!I6:I119)="MARIA")*('ABRIL 2026'!K6:K119="PETROLEO")*'ABRIL 2026'!L6:L119*'ABRIL 2026'!M6:M119),0)</f>
        <v>0</v>
      </c>
      <c r="E161" s="187" t="n">
        <f aca="false">IFERROR(SUMPRODUCT((IF('ABRIL 2026'!Y6:Y119&lt;&gt;"",'ABRIL 2026'!Y6:Y119,'ABRIL 2026'!I6:I119)="MARIA")*('ABRIL 2026'!K6:K119="GASOLINA")*'ABRIL 2026'!M6:M119),0)</f>
        <v>0</v>
      </c>
      <c r="F161" s="187" t="n">
        <f aca="false">IFERROR(SUMPRODUCT((IF('ABRIL 2026'!Y6:Y119&lt;&gt;"",'ABRIL 2026'!Y6:Y119,'ABRIL 2026'!I6:I119)="MARIA")*('ABRIL 2026'!K6:K119="GASOLINA")*'ABRIL 2026'!L6:L119*'ABRIL 2026'!M6:M119),0)</f>
        <v>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" hidden="false" customHeight="true" outlineLevel="0" collapsed="false">
      <c r="A162" s="1" t="s">
        <v>58</v>
      </c>
      <c r="B162" s="1" t="s">
        <v>5169</v>
      </c>
      <c r="C162" s="187" t="n">
        <f aca="false">IFERROR(SUMPRODUCT((IF('MAYO 2026'!Y6:Y110&lt;&gt;"",'MAYO 2026'!Y6:Y110,'MAYO 2026'!I6:I110)="MARIA")*('MAYO 2026'!K6:K110="PETROLEO")*'MAYO 2026'!M6:M110),0)</f>
        <v>0</v>
      </c>
      <c r="D162" s="187" t="n">
        <f aca="false">IFERROR(SUMPRODUCT((IF('MAYO 2026'!Y6:Y110&lt;&gt;"",'MAYO 2026'!Y6:Y110,'MAYO 2026'!I6:I110)="MARIA")*('MAYO 2026'!K6:K110="PETROLEO")*'MAYO 2026'!L6:L110*'MAYO 2026'!M6:M110),0)</f>
        <v>0</v>
      </c>
      <c r="E162" s="187" t="n">
        <f aca="false">IFERROR(SUMPRODUCT((IF('MAYO 2026'!Y6:Y110&lt;&gt;"",'MAYO 2026'!Y6:Y110,'MAYO 2026'!I6:I110)="MARIA")*('MAYO 2026'!K6:K110="GASOLINA")*'MAYO 2026'!M6:M110),0)</f>
        <v>0</v>
      </c>
      <c r="F162" s="187" t="n">
        <f aca="false">IFERROR(SUMPRODUCT((IF('MAYO 2026'!Y6:Y110&lt;&gt;"",'MAYO 2026'!Y6:Y110,'MAYO 2026'!I6:I110)="MARIA")*('MAYO 2026'!K6:K110="GASOLINA")*'MAYO 2026'!L6:L110*'MAYO 2026'!M6:M110),0)</f>
        <v>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" hidden="false" customHeight="true" outlineLevel="0" collapsed="false">
      <c r="A163" s="1" t="s">
        <v>58</v>
      </c>
      <c r="B163" s="1" t="s">
        <v>5170</v>
      </c>
      <c r="C163" s="187" t="n">
        <f aca="false">IFERROR(SUMPRODUCT((IF('JUNIO 2026'!Y6:Y110&lt;&gt;"",'JUNIO 2026'!Y6:Y110,'JUNIO 2026'!I6:I110)="MARIA")*('JUNIO 2026'!K6:K110="PETROLEO")*'JUNIO 2026'!M6:M110),0)</f>
        <v>0</v>
      </c>
      <c r="D163" s="187" t="n">
        <f aca="false">IFERROR(SUMPRODUCT((IF('JUNIO 2026'!Y6:Y110&lt;&gt;"",'JUNIO 2026'!Y6:Y110,'JUNIO 2026'!I6:I110)="MARIA")*('JUNIO 2026'!K6:K110="PETROLEO")*'JUNIO 2026'!L6:L110*'JUNIO 2026'!M6:M110),0)</f>
        <v>0</v>
      </c>
      <c r="E163" s="187" t="n">
        <f aca="false">IFERROR(SUMPRODUCT((IF('JUNIO 2026'!Y6:Y110&lt;&gt;"",'JUNIO 2026'!Y6:Y110,'JUNIO 2026'!I6:I110)="MARIA")*('JUNIO 2026'!K6:K110="GASOLINA")*'JUNIO 2026'!M6:M110),0)</f>
        <v>0</v>
      </c>
      <c r="F163" s="187" t="n">
        <f aca="false">IFERROR(SUMPRODUCT((IF('JUNIO 2026'!Y6:Y110&lt;&gt;"",'JUNIO 2026'!Y6:Y110,'JUNIO 2026'!I6:I110)="MARIA")*('JUNIO 2026'!K6:K110="GASOLINA")*'JUNIO 2026'!L6:L110*'JUNIO 2026'!M6:M110),0)</f>
        <v>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" hidden="false" customHeight="true" outlineLevel="0" collapsed="false">
      <c r="A164" s="1" t="s">
        <v>58</v>
      </c>
      <c r="B164" s="1" t="s">
        <v>5171</v>
      </c>
      <c r="C164" s="187" t="n">
        <f aca="false">IFERROR(SUMPRODUCT((IF('JULIO 2026'!Y6:Y110&lt;&gt;"",'JULIO 2026'!Y6:Y110,'JULIO 2026'!I6:I110)="MARIA")*('JULIO 2026'!K6:K110="PETROLEO")*'JULIO 2026'!M6:M110),0)</f>
        <v>0</v>
      </c>
      <c r="D164" s="187" t="n">
        <f aca="false">IFERROR(SUMPRODUCT((IF('JULIO 2026'!Y6:Y110&lt;&gt;"",'JULIO 2026'!Y6:Y110,'JULIO 2026'!I6:I110)="MARIA")*('JULIO 2026'!K6:K110="PETROLEO")*'JULIO 2026'!L6:L110*'JULIO 2026'!M6:M110),0)</f>
        <v>0</v>
      </c>
      <c r="E164" s="187" t="n">
        <f aca="false">IFERROR(SUMPRODUCT((IF('JULIO 2026'!Y6:Y110&lt;&gt;"",'JULIO 2026'!Y6:Y110,'JULIO 2026'!I6:I110)="MARIA")*('JULIO 2026'!K6:K110="GASOLINA")*'JULIO 2026'!M6:M110),0)</f>
        <v>0</v>
      </c>
      <c r="F164" s="187" t="n">
        <f aca="false">IFERROR(SUMPRODUCT((IF('JULIO 2026'!Y6:Y110&lt;&gt;"",'JULIO 2026'!Y6:Y110,'JULIO 2026'!I6:I110)="MARIA")*('JULIO 2026'!K6:K110="GASOLINA")*'JULIO 2026'!L6:L110*'JULIO 2026'!M6:M110),0)</f>
        <v>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" hidden="false" customHeight="true" outlineLevel="0" collapsed="false">
      <c r="A165" s="1" t="s">
        <v>58</v>
      </c>
      <c r="B165" s="1" t="s">
        <v>5172</v>
      </c>
      <c r="C165" s="187" t="n">
        <f aca="false">IFERROR(SUMPRODUCT((IF('AGOSTO 2026'!Y6:Y110&lt;&gt;"",'AGOSTO 2026'!Y6:Y110,'AGOSTO 2026'!I6:I110)="MARIA")*('AGOSTO 2026'!K6:K110="PETROLEO")*'AGOSTO 2026'!M6:M110),0)</f>
        <v>0</v>
      </c>
      <c r="D165" s="187" t="n">
        <f aca="false">IFERROR(SUMPRODUCT((IF('AGOSTO 2026'!Y6:Y110&lt;&gt;"",'AGOSTO 2026'!Y6:Y110,'AGOSTO 2026'!I6:I110)="MARIA")*('AGOSTO 2026'!K6:K110="PETROLEO")*'AGOSTO 2026'!L6:L110*'AGOSTO 2026'!M6:M110),0)</f>
        <v>0</v>
      </c>
      <c r="E165" s="187" t="n">
        <f aca="false">IFERROR(SUMPRODUCT((IF('AGOSTO 2026'!Y6:Y110&lt;&gt;"",'AGOSTO 2026'!Y6:Y110,'AGOSTO 2026'!I6:I110)="MARIA")*('AGOSTO 2026'!K6:K110="GASOLINA")*'AGOSTO 2026'!M6:M110),0)</f>
        <v>0</v>
      </c>
      <c r="F165" s="187" t="n">
        <f aca="false">IFERROR(SUMPRODUCT((IF('AGOSTO 2026'!Y6:Y110&lt;&gt;"",'AGOSTO 2026'!Y6:Y110,'AGOSTO 2026'!I6:I110)="MARIA")*('AGOSTO 2026'!K6:K110="GASOLINA")*'AGOSTO 2026'!L6:L110*'AGOSTO 2026'!M6:M110),0)</f>
        <v>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" hidden="false" customHeight="true" outlineLevel="0" collapsed="false">
      <c r="A166" s="1" t="s">
        <v>58</v>
      </c>
      <c r="B166" s="1" t="s">
        <v>5173</v>
      </c>
      <c r="C166" s="187" t="n">
        <f aca="false">IFERROR(SUMPRODUCT((IF('SETIEMBRE 2026'!Y6:Y110&lt;&gt;"",'SETIEMBRE 2026'!Y6:Y110,'SETIEMBRE 2026'!I6:I110)="MARIA")*('SETIEMBRE 2026'!K6:K110="PETROLEO")*'SETIEMBRE 2026'!M6:M110),0)</f>
        <v>0</v>
      </c>
      <c r="D166" s="187" t="n">
        <f aca="false">IFERROR(SUMPRODUCT((IF('SETIEMBRE 2026'!Y6:Y110&lt;&gt;"",'SETIEMBRE 2026'!Y6:Y110,'SETIEMBRE 2026'!I6:I110)="MARIA")*('SETIEMBRE 2026'!K6:K110="PETROLEO")*'SETIEMBRE 2026'!L6:L110*'SETIEMBRE 2026'!M6:M110),0)</f>
        <v>0</v>
      </c>
      <c r="E166" s="187" t="n">
        <f aca="false">IFERROR(SUMPRODUCT((IF('SETIEMBRE 2026'!Y6:Y110&lt;&gt;"",'SETIEMBRE 2026'!Y6:Y110,'SETIEMBRE 2026'!I6:I110)="MARIA")*('SETIEMBRE 2026'!K6:K110="GASOLINA")*'SETIEMBRE 2026'!M6:M110),0)</f>
        <v>0</v>
      </c>
      <c r="F166" s="187" t="n">
        <f aca="false">IFERROR(SUMPRODUCT((IF('SETIEMBRE 2026'!Y6:Y110&lt;&gt;"",'SETIEMBRE 2026'!Y6:Y110,'SETIEMBRE 2026'!I6:I110)="MARIA")*('SETIEMBRE 2026'!K6:K110="GASOLINA")*'SETIEMBRE 2026'!L6:L110*'SETIEMBRE 2026'!M6:M110),0)</f>
        <v>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" hidden="false" customHeight="true" outlineLevel="0" collapsed="false">
      <c r="A167" s="1" t="s">
        <v>58</v>
      </c>
      <c r="B167" s="1" t="s">
        <v>5174</v>
      </c>
      <c r="C167" s="187" t="n">
        <f aca="false">IFERROR(SUMPRODUCT((IF('OCTUBRE 2026'!Y6:Y110&lt;&gt;"",'OCTUBRE 2026'!Y6:Y110,'OCTUBRE 2026'!I6:I110)="MARIA")*('OCTUBRE 2026'!K6:K110="PETROLEO")*'OCTUBRE 2026'!M6:M110),0)</f>
        <v>0</v>
      </c>
      <c r="D167" s="187" t="n">
        <f aca="false">IFERROR(SUMPRODUCT((IF('OCTUBRE 2026'!Y6:Y110&lt;&gt;"",'OCTUBRE 2026'!Y6:Y110,'OCTUBRE 2026'!I6:I110)="MARIA")*('OCTUBRE 2026'!K6:K110="PETROLEO")*'OCTUBRE 2026'!L6:L110*'OCTUBRE 2026'!M6:M110),0)</f>
        <v>0</v>
      </c>
      <c r="E167" s="187" t="n">
        <f aca="false">IFERROR(SUMPRODUCT((IF('OCTUBRE 2026'!Y6:Y110&lt;&gt;"",'OCTUBRE 2026'!Y6:Y110,'OCTUBRE 2026'!I6:I110)="MARIA")*('OCTUBRE 2026'!K6:K110="GASOLINA")*'OCTUBRE 2026'!M6:M110),0)</f>
        <v>0</v>
      </c>
      <c r="F167" s="187" t="n">
        <f aca="false">IFERROR(SUMPRODUCT((IF('OCTUBRE 2026'!Y6:Y110&lt;&gt;"",'OCTUBRE 2026'!Y6:Y110,'OCTUBRE 2026'!I6:I110)="MARIA")*('OCTUBRE 2026'!K6:K110="GASOLINA")*'OCTUBRE 2026'!L6:L110*'OCTUBRE 2026'!M6:M110),0)</f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" hidden="false" customHeight="true" outlineLevel="0" collapsed="false">
      <c r="A168" s="1" t="s">
        <v>58</v>
      </c>
      <c r="B168" s="1" t="s">
        <v>5175</v>
      </c>
      <c r="C168" s="187" t="n">
        <f aca="false">IFERROR(SUMPRODUCT((IF('NOVIEMBRE 2026'!Y6:Y110&lt;&gt;"",'NOVIEMBRE 2026'!Y6:Y110,'NOVIEMBRE 2026'!I6:I110)="MARIA")*('NOVIEMBRE 2026'!K6:K110="PETROLEO")*'NOVIEMBRE 2026'!M6:M110),0)</f>
        <v>0</v>
      </c>
      <c r="D168" s="187" t="n">
        <f aca="false">IFERROR(SUMPRODUCT((IF('NOVIEMBRE 2026'!Y6:Y110&lt;&gt;"",'NOVIEMBRE 2026'!Y6:Y110,'NOVIEMBRE 2026'!I6:I110)="MARIA")*('NOVIEMBRE 2026'!K6:K110="PETROLEO")*'NOVIEMBRE 2026'!L6:L110*'NOVIEMBRE 2026'!M6:M110),0)</f>
        <v>0</v>
      </c>
      <c r="E168" s="187" t="n">
        <f aca="false">IFERROR(SUMPRODUCT((IF('NOVIEMBRE 2026'!Y6:Y110&lt;&gt;"",'NOVIEMBRE 2026'!Y6:Y110,'NOVIEMBRE 2026'!I6:I110)="MARIA")*('NOVIEMBRE 2026'!K6:K110="GASOLINA")*'NOVIEMBRE 2026'!M6:M110),0)</f>
        <v>0</v>
      </c>
      <c r="F168" s="187" t="n">
        <f aca="false">IFERROR(SUMPRODUCT((IF('NOVIEMBRE 2026'!Y6:Y110&lt;&gt;"",'NOVIEMBRE 2026'!Y6:Y110,'NOVIEMBRE 2026'!I6:I110)="MARIA")*('NOVIEMBRE 2026'!K6:K110="GASOLINA")*'NOVIEMBRE 2026'!L6:L110*'NOVIEMBRE 2026'!M6:M110),0)</f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" hidden="false" customHeight="true" outlineLevel="0" collapsed="false">
      <c r="A169" s="1" t="s">
        <v>58</v>
      </c>
      <c r="B169" s="1" t="s">
        <v>5176</v>
      </c>
      <c r="C169" s="187" t="n">
        <f aca="false">IFERROR(SUMPRODUCT((IF('DICIEMBRE 2026'!Y6:Y110&lt;&gt;"",'DICIEMBRE 2026'!Y6:Y110,'DICIEMBRE 2026'!I6:I110)="MARIA")*('DICIEMBRE 2026'!K6:K110="PETROLEO")*'DICIEMBRE 2026'!M6:M110),0)</f>
        <v>0</v>
      </c>
      <c r="D169" s="187" t="n">
        <f aca="false">IFERROR(SUMPRODUCT((IF('DICIEMBRE 2026'!Y6:Y110&lt;&gt;"",'DICIEMBRE 2026'!Y6:Y110,'DICIEMBRE 2026'!I6:I110)="MARIA")*('DICIEMBRE 2026'!K6:K110="PETROLEO")*'DICIEMBRE 2026'!L6:L110*'DICIEMBRE 2026'!M6:M110),0)</f>
        <v>0</v>
      </c>
      <c r="E169" s="187" t="n">
        <f aca="false">IFERROR(SUMPRODUCT((IF('DICIEMBRE 2026'!Y6:Y110&lt;&gt;"",'DICIEMBRE 2026'!Y6:Y110,'DICIEMBRE 2026'!I6:I110)="MARIA")*('DICIEMBRE 2026'!K6:K110="GASOLINA")*'DICIEMBRE 2026'!M6:M110),0)</f>
        <v>0</v>
      </c>
      <c r="F169" s="187" t="n">
        <f aca="false">IFERROR(SUMPRODUCT((IF('DICIEMBRE 2026'!Y6:Y110&lt;&gt;"",'DICIEMBRE 2026'!Y6:Y110,'DICIEMBRE 2026'!I6:I110)="MARIA")*('DICIEMBRE 2026'!K6:K110="GASOLINA")*'DICIEMBRE 2026'!L6:L110*'DICIEMBRE 2026'!M6:M110),0)</f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" hidden="false" customHeight="true" outlineLevel="0" collapsed="false">
      <c r="A170" s="1" t="s">
        <v>138</v>
      </c>
      <c r="B170" s="1" t="s">
        <v>5165</v>
      </c>
      <c r="C170" s="187" t="n">
        <f aca="false">IFERROR(SUMPRODUCT((IF('ENERO 2026'!Y6:Y119&lt;&gt;"",'ENERO 2026'!Y6:Y119,'ENERO 2026'!I6:I119)="MARIA AUXILIADORA")*('ENERO 2026'!K6:K119="PETROLEO")*'ENERO 2026'!M6:M119),0)</f>
        <v>144.55</v>
      </c>
      <c r="D170" s="187" t="n">
        <f aca="false">IFERROR(SUMPRODUCT((IF('ENERO 2026'!Y6:Y119&lt;&gt;"",'ENERO 2026'!Y6:Y119,'ENERO 2026'!I6:I119)="MARIA AUXILIADORA")*('ENERO 2026'!K6:K119="PETROLEO")*'ENERO 2026'!L6:L119*'ENERO 2026'!M6:M119),0)</f>
        <v>2927.1375</v>
      </c>
      <c r="E170" s="187" t="n">
        <f aca="false">IFERROR(SUMPRODUCT((IF('ENERO 2026'!Y6:Y119&lt;&gt;"",'ENERO 2026'!Y6:Y119,'ENERO 2026'!I6:I119)="MARIA AUXILIADORA")*('ENERO 2026'!K6:K119="GASOLINA")*'ENERO 2026'!M6:M119),0)</f>
        <v>0</v>
      </c>
      <c r="F170" s="187" t="n">
        <f aca="false">IFERROR(SUMPRODUCT((IF('ENERO 2026'!Y6:Y119&lt;&gt;"",'ENERO 2026'!Y6:Y119,'ENERO 2026'!I6:I119)="MARIA AUXILIADORA")*('ENERO 2026'!K6:K119="GASOLINA")*'ENERO 2026'!L6:L119*'ENERO 2026'!M6:M119),0)</f>
        <v>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" hidden="false" customHeight="true" outlineLevel="0" collapsed="false">
      <c r="A171" s="1" t="s">
        <v>138</v>
      </c>
      <c r="B171" s="1" t="s">
        <v>5166</v>
      </c>
      <c r="C171" s="187" t="n">
        <f aca="false">IFERROR(SUMPRODUCT((IF('FEBRERO 2026'!Y6:Y124&lt;&gt;"",'FEBRERO 2026'!Y6:Y124,'FEBRERO 2026'!I6:I124)="MARIA AUXILIADORA")*('FEBRERO 2026'!K6:K124="PETROLEO")*'FEBRERO 2026'!M6:M124),0)</f>
        <v>124.09</v>
      </c>
      <c r="D171" s="187" t="n">
        <f aca="false">IFERROR(SUMPRODUCT((IF('FEBRERO 2026'!Y6:Y124&lt;&gt;"",'FEBRERO 2026'!Y6:Y124,'FEBRERO 2026'!I6:I124)="MARIA AUXILIADORA")*('FEBRERO 2026'!K6:K124="PETROLEO")*'FEBRERO 2026'!L6:L124*'FEBRERO 2026'!M6:M124),0)</f>
        <v>2492.1225</v>
      </c>
      <c r="E171" s="187" t="n">
        <f aca="false">IFERROR(SUMPRODUCT((IF('FEBRERO 2026'!Y6:Y124&lt;&gt;"",'FEBRERO 2026'!Y6:Y124,'FEBRERO 2026'!I6:I124)="MARIA AUXILIADORA")*('FEBRERO 2026'!K6:K124="GASOLINA")*'FEBRERO 2026'!M6:M124),0)</f>
        <v>0</v>
      </c>
      <c r="F171" s="187" t="n">
        <f aca="false">IFERROR(SUMPRODUCT((IF('FEBRERO 2026'!Y6:Y124&lt;&gt;"",'FEBRERO 2026'!Y6:Y124,'FEBRERO 2026'!I6:I124)="MARIA AUXILIADORA")*('FEBRERO 2026'!K6:K124="GASOLINA")*'FEBRERO 2026'!L6:L124*'FEBRERO 2026'!M6:M124),0)</f>
        <v>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" hidden="false" customHeight="true" outlineLevel="0" collapsed="false">
      <c r="A172" s="1" t="s">
        <v>138</v>
      </c>
      <c r="B172" s="1" t="s">
        <v>5167</v>
      </c>
      <c r="C172" s="187" t="n">
        <f aca="false">IFERROR(SUMPRODUCT((IF('MARZO 2026'!Y6:Y119&lt;&gt;"",'MARZO 2026'!Y6:Y119,'MARZO 2026'!I6:I119)="MARIA AUXILIADORA")*('MARZO 2026'!K6:K119="PETROLEO")*'MARZO 2026'!M6:M119),0)</f>
        <v>113.16</v>
      </c>
      <c r="D172" s="187" t="n">
        <f aca="false">IFERROR(SUMPRODUCT((IF('MARZO 2026'!Y6:Y119&lt;&gt;"",'MARZO 2026'!Y6:Y119,'MARZO 2026'!I6:I119)="MARIA AUXILIADORA")*('MARZO 2026'!K6:K119="PETROLEO")*'MARZO 2026'!L6:L119*'MARZO 2026'!M6:M119),0)</f>
        <v>2291.49</v>
      </c>
      <c r="E172" s="187" t="n">
        <f aca="false">IFERROR(SUMPRODUCT((IF('MARZO 2026'!Y6:Y119&lt;&gt;"",'MARZO 2026'!Y6:Y119,'MARZO 2026'!I6:I119)="MARIA AUXILIADORA")*('MARZO 2026'!K6:K119="GASOLINA")*'MARZO 2026'!M6:M119),0)</f>
        <v>0</v>
      </c>
      <c r="F172" s="187" t="n">
        <f aca="false">IFERROR(SUMPRODUCT((IF('MARZO 2026'!Y6:Y119&lt;&gt;"",'MARZO 2026'!Y6:Y119,'MARZO 2026'!I6:I119)="MARIA AUXILIADORA")*('MARZO 2026'!K6:K119="GASOLINA")*'MARZO 2026'!L6:L119*'MARZO 2026'!M6:M119),0)</f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" hidden="false" customHeight="true" outlineLevel="0" collapsed="false">
      <c r="A173" s="1" t="s">
        <v>138</v>
      </c>
      <c r="B173" s="1" t="s">
        <v>5168</v>
      </c>
      <c r="C173" s="187" t="n">
        <f aca="false">IFERROR(SUMPRODUCT((IF('ABRIL 2026'!Y6:Y119&lt;&gt;"",'ABRIL 2026'!Y6:Y119,'ABRIL 2026'!I6:I119)="MARIA AUXILIADORA")*('ABRIL 2026'!K6:K119="PETROLEO")*'ABRIL 2026'!M6:M119),0)</f>
        <v>0</v>
      </c>
      <c r="D173" s="187" t="n">
        <f aca="false">IFERROR(SUMPRODUCT((IF('ABRIL 2026'!Y6:Y119&lt;&gt;"",'ABRIL 2026'!Y6:Y119,'ABRIL 2026'!I6:I119)="MARIA AUXILIADORA")*('ABRIL 2026'!K6:K119="PETROLEO")*'ABRIL 2026'!L6:L119*'ABRIL 2026'!M6:M119),0)</f>
        <v>0</v>
      </c>
      <c r="E173" s="187" t="n">
        <f aca="false">IFERROR(SUMPRODUCT((IF('ABRIL 2026'!Y6:Y119&lt;&gt;"",'ABRIL 2026'!Y6:Y119,'ABRIL 2026'!I6:I119)="MARIA AUXILIADORA")*('ABRIL 2026'!K6:K119="GASOLINA")*'ABRIL 2026'!M6:M119),0)</f>
        <v>0</v>
      </c>
      <c r="F173" s="187" t="n">
        <f aca="false">IFERROR(SUMPRODUCT((IF('ABRIL 2026'!Y6:Y119&lt;&gt;"",'ABRIL 2026'!Y6:Y119,'ABRIL 2026'!I6:I119)="MARIA AUXILIADORA")*('ABRIL 2026'!K6:K119="GASOLINA")*'ABRIL 2026'!L6:L119*'ABRIL 2026'!M6:M119),0)</f>
        <v>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" hidden="false" customHeight="true" outlineLevel="0" collapsed="false">
      <c r="A174" s="1" t="s">
        <v>138</v>
      </c>
      <c r="B174" s="1" t="s">
        <v>5169</v>
      </c>
      <c r="C174" s="187" t="n">
        <f aca="false">IFERROR(SUMPRODUCT((IF('MAYO 2026'!Y6:Y110&lt;&gt;"",'MAYO 2026'!Y6:Y110,'MAYO 2026'!I6:I110)="MARIA AUXILIADORA")*('MAYO 2026'!K6:K110="PETROLEO")*'MAYO 2026'!M6:M110),0)</f>
        <v>0</v>
      </c>
      <c r="D174" s="187" t="n">
        <f aca="false">IFERROR(SUMPRODUCT((IF('MAYO 2026'!Y6:Y110&lt;&gt;"",'MAYO 2026'!Y6:Y110,'MAYO 2026'!I6:I110)="MARIA AUXILIADORA")*('MAYO 2026'!K6:K110="PETROLEO")*'MAYO 2026'!L6:L110*'MAYO 2026'!M6:M110),0)</f>
        <v>0</v>
      </c>
      <c r="E174" s="187" t="n">
        <f aca="false">IFERROR(SUMPRODUCT((IF('MAYO 2026'!Y6:Y110&lt;&gt;"",'MAYO 2026'!Y6:Y110,'MAYO 2026'!I6:I110)="MARIA AUXILIADORA")*('MAYO 2026'!K6:K110="GASOLINA")*'MAYO 2026'!M6:M110),0)</f>
        <v>0</v>
      </c>
      <c r="F174" s="187" t="n">
        <f aca="false">IFERROR(SUMPRODUCT((IF('MAYO 2026'!Y6:Y110&lt;&gt;"",'MAYO 2026'!Y6:Y110,'MAYO 2026'!I6:I110)="MARIA AUXILIADORA")*('MAYO 2026'!K6:K110="GASOLINA")*'MAYO 2026'!L6:L110*'MAYO 2026'!M6:M110),0)</f>
        <v>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" hidden="false" customHeight="true" outlineLevel="0" collapsed="false">
      <c r="A175" s="1" t="s">
        <v>138</v>
      </c>
      <c r="B175" s="1" t="s">
        <v>5170</v>
      </c>
      <c r="C175" s="187" t="n">
        <f aca="false">IFERROR(SUMPRODUCT((IF('JUNIO 2026'!Y6:Y110&lt;&gt;"",'JUNIO 2026'!Y6:Y110,'JUNIO 2026'!I6:I110)="MARIA AUXILIADORA")*('JUNIO 2026'!K6:K110="PETROLEO")*'JUNIO 2026'!M6:M110),0)</f>
        <v>0</v>
      </c>
      <c r="D175" s="187" t="n">
        <f aca="false">IFERROR(SUMPRODUCT((IF('JUNIO 2026'!Y6:Y110&lt;&gt;"",'JUNIO 2026'!Y6:Y110,'JUNIO 2026'!I6:I110)="MARIA AUXILIADORA")*('JUNIO 2026'!K6:K110="PETROLEO")*'JUNIO 2026'!L6:L110*'JUNIO 2026'!M6:M110),0)</f>
        <v>0</v>
      </c>
      <c r="E175" s="187" t="n">
        <f aca="false">IFERROR(SUMPRODUCT((IF('JUNIO 2026'!Y6:Y110&lt;&gt;"",'JUNIO 2026'!Y6:Y110,'JUNIO 2026'!I6:I110)="MARIA AUXILIADORA")*('JUNIO 2026'!K6:K110="GASOLINA")*'JUNIO 2026'!M6:M110),0)</f>
        <v>0</v>
      </c>
      <c r="F175" s="187" t="n">
        <f aca="false">IFERROR(SUMPRODUCT((IF('JUNIO 2026'!Y6:Y110&lt;&gt;"",'JUNIO 2026'!Y6:Y110,'JUNIO 2026'!I6:I110)="MARIA AUXILIADORA")*('JUNIO 2026'!K6:K110="GASOLINA")*'JUNIO 2026'!L6:L110*'JUNIO 2026'!M6:M110),0)</f>
        <v>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" hidden="false" customHeight="true" outlineLevel="0" collapsed="false">
      <c r="A176" s="1" t="s">
        <v>138</v>
      </c>
      <c r="B176" s="1" t="s">
        <v>5171</v>
      </c>
      <c r="C176" s="187" t="n">
        <f aca="false">IFERROR(SUMPRODUCT((IF('JULIO 2026'!Y6:Y110&lt;&gt;"",'JULIO 2026'!Y6:Y110,'JULIO 2026'!I6:I110)="MARIA AUXILIADORA")*('JULIO 2026'!K6:K110="PETROLEO")*'JULIO 2026'!M6:M110),0)</f>
        <v>0</v>
      </c>
      <c r="D176" s="187" t="n">
        <f aca="false">IFERROR(SUMPRODUCT((IF('JULIO 2026'!Y6:Y110&lt;&gt;"",'JULIO 2026'!Y6:Y110,'JULIO 2026'!I6:I110)="MARIA AUXILIADORA")*('JULIO 2026'!K6:K110="PETROLEO")*'JULIO 2026'!L6:L110*'JULIO 2026'!M6:M110),0)</f>
        <v>0</v>
      </c>
      <c r="E176" s="187" t="n">
        <f aca="false">IFERROR(SUMPRODUCT((IF('JULIO 2026'!Y6:Y110&lt;&gt;"",'JULIO 2026'!Y6:Y110,'JULIO 2026'!I6:I110)="MARIA AUXILIADORA")*('JULIO 2026'!K6:K110="GASOLINA")*'JULIO 2026'!M6:M110),0)</f>
        <v>0</v>
      </c>
      <c r="F176" s="187" t="n">
        <f aca="false">IFERROR(SUMPRODUCT((IF('JULIO 2026'!Y6:Y110&lt;&gt;"",'JULIO 2026'!Y6:Y110,'JULIO 2026'!I6:I110)="MARIA AUXILIADORA")*('JULIO 2026'!K6:K110="GASOLINA")*'JULIO 2026'!L6:L110*'JULIO 2026'!M6:M110),0)</f>
        <v>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" hidden="false" customHeight="true" outlineLevel="0" collapsed="false">
      <c r="A177" s="1" t="s">
        <v>138</v>
      </c>
      <c r="B177" s="1" t="s">
        <v>5172</v>
      </c>
      <c r="C177" s="187" t="n">
        <f aca="false">IFERROR(SUMPRODUCT((IF('AGOSTO 2026'!Y6:Y110&lt;&gt;"",'AGOSTO 2026'!Y6:Y110,'AGOSTO 2026'!I6:I110)="MARIA AUXILIADORA")*('AGOSTO 2026'!K6:K110="PETROLEO")*'AGOSTO 2026'!M6:M110),0)</f>
        <v>0</v>
      </c>
      <c r="D177" s="187" t="n">
        <f aca="false">IFERROR(SUMPRODUCT((IF('AGOSTO 2026'!Y6:Y110&lt;&gt;"",'AGOSTO 2026'!Y6:Y110,'AGOSTO 2026'!I6:I110)="MARIA AUXILIADORA")*('AGOSTO 2026'!K6:K110="PETROLEO")*'AGOSTO 2026'!L6:L110*'AGOSTO 2026'!M6:M110),0)</f>
        <v>0</v>
      </c>
      <c r="E177" s="187" t="n">
        <f aca="false">IFERROR(SUMPRODUCT((IF('AGOSTO 2026'!Y6:Y110&lt;&gt;"",'AGOSTO 2026'!Y6:Y110,'AGOSTO 2026'!I6:I110)="MARIA AUXILIADORA")*('AGOSTO 2026'!K6:K110="GASOLINA")*'AGOSTO 2026'!M6:M110),0)</f>
        <v>0</v>
      </c>
      <c r="F177" s="187" t="n">
        <f aca="false">IFERROR(SUMPRODUCT((IF('AGOSTO 2026'!Y6:Y110&lt;&gt;"",'AGOSTO 2026'!Y6:Y110,'AGOSTO 2026'!I6:I110)="MARIA AUXILIADORA")*('AGOSTO 2026'!K6:K110="GASOLINA")*'AGOSTO 2026'!L6:L110*'AGOSTO 2026'!M6:M110),0)</f>
        <v>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" hidden="false" customHeight="true" outlineLevel="0" collapsed="false">
      <c r="A178" s="1" t="s">
        <v>138</v>
      </c>
      <c r="B178" s="1" t="s">
        <v>5173</v>
      </c>
      <c r="C178" s="187" t="n">
        <f aca="false">IFERROR(SUMPRODUCT((IF('SETIEMBRE 2026'!Y6:Y110&lt;&gt;"",'SETIEMBRE 2026'!Y6:Y110,'SETIEMBRE 2026'!I6:I110)="MARIA AUXILIADORA")*('SETIEMBRE 2026'!K6:K110="PETROLEO")*'SETIEMBRE 2026'!M6:M110),0)</f>
        <v>0</v>
      </c>
      <c r="D178" s="187" t="n">
        <f aca="false">IFERROR(SUMPRODUCT((IF('SETIEMBRE 2026'!Y6:Y110&lt;&gt;"",'SETIEMBRE 2026'!Y6:Y110,'SETIEMBRE 2026'!I6:I110)="MARIA AUXILIADORA")*('SETIEMBRE 2026'!K6:K110="PETROLEO")*'SETIEMBRE 2026'!L6:L110*'SETIEMBRE 2026'!M6:M110),0)</f>
        <v>0</v>
      </c>
      <c r="E178" s="187" t="n">
        <f aca="false">IFERROR(SUMPRODUCT((IF('SETIEMBRE 2026'!Y6:Y110&lt;&gt;"",'SETIEMBRE 2026'!Y6:Y110,'SETIEMBRE 2026'!I6:I110)="MARIA AUXILIADORA")*('SETIEMBRE 2026'!K6:K110="GASOLINA")*'SETIEMBRE 2026'!M6:M110),0)</f>
        <v>0</v>
      </c>
      <c r="F178" s="187" t="n">
        <f aca="false">IFERROR(SUMPRODUCT((IF('SETIEMBRE 2026'!Y6:Y110&lt;&gt;"",'SETIEMBRE 2026'!Y6:Y110,'SETIEMBRE 2026'!I6:I110)="MARIA AUXILIADORA")*('SETIEMBRE 2026'!K6:K110="GASOLINA")*'SETIEMBRE 2026'!L6:L110*'SETIEMBRE 2026'!M6:M110),0)</f>
        <v>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" hidden="false" customHeight="true" outlineLevel="0" collapsed="false">
      <c r="A179" s="1" t="s">
        <v>138</v>
      </c>
      <c r="B179" s="1" t="s">
        <v>5174</v>
      </c>
      <c r="C179" s="187" t="n">
        <f aca="false">IFERROR(SUMPRODUCT((IF('OCTUBRE 2026'!Y6:Y110&lt;&gt;"",'OCTUBRE 2026'!Y6:Y110,'OCTUBRE 2026'!I6:I110)="MARIA AUXILIADORA")*('OCTUBRE 2026'!K6:K110="PETROLEO")*'OCTUBRE 2026'!M6:M110),0)</f>
        <v>0</v>
      </c>
      <c r="D179" s="187" t="n">
        <f aca="false">IFERROR(SUMPRODUCT((IF('OCTUBRE 2026'!Y6:Y110&lt;&gt;"",'OCTUBRE 2026'!Y6:Y110,'OCTUBRE 2026'!I6:I110)="MARIA AUXILIADORA")*('OCTUBRE 2026'!K6:K110="PETROLEO")*'OCTUBRE 2026'!L6:L110*'OCTUBRE 2026'!M6:M110),0)</f>
        <v>0</v>
      </c>
      <c r="E179" s="187" t="n">
        <f aca="false">IFERROR(SUMPRODUCT((IF('OCTUBRE 2026'!Y6:Y110&lt;&gt;"",'OCTUBRE 2026'!Y6:Y110,'OCTUBRE 2026'!I6:I110)="MARIA AUXILIADORA")*('OCTUBRE 2026'!K6:K110="GASOLINA")*'OCTUBRE 2026'!M6:M110),0)</f>
        <v>0</v>
      </c>
      <c r="F179" s="187" t="n">
        <f aca="false">IFERROR(SUMPRODUCT((IF('OCTUBRE 2026'!Y6:Y110&lt;&gt;"",'OCTUBRE 2026'!Y6:Y110,'OCTUBRE 2026'!I6:I110)="MARIA AUXILIADORA")*('OCTUBRE 2026'!K6:K110="GASOLINA")*'OCTUBRE 2026'!L6:L110*'OCTUBRE 2026'!M6:M110),0)</f>
        <v>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" hidden="false" customHeight="true" outlineLevel="0" collapsed="false">
      <c r="A180" s="1" t="s">
        <v>138</v>
      </c>
      <c r="B180" s="1" t="s">
        <v>5175</v>
      </c>
      <c r="C180" s="187" t="n">
        <f aca="false">IFERROR(SUMPRODUCT((IF('NOVIEMBRE 2026'!Y6:Y110&lt;&gt;"",'NOVIEMBRE 2026'!Y6:Y110,'NOVIEMBRE 2026'!I6:I110)="MARIA AUXILIADORA")*('NOVIEMBRE 2026'!K6:K110="PETROLEO")*'NOVIEMBRE 2026'!M6:M110),0)</f>
        <v>0</v>
      </c>
      <c r="D180" s="187" t="n">
        <f aca="false">IFERROR(SUMPRODUCT((IF('NOVIEMBRE 2026'!Y6:Y110&lt;&gt;"",'NOVIEMBRE 2026'!Y6:Y110,'NOVIEMBRE 2026'!I6:I110)="MARIA AUXILIADORA")*('NOVIEMBRE 2026'!K6:K110="PETROLEO")*'NOVIEMBRE 2026'!L6:L110*'NOVIEMBRE 2026'!M6:M110),0)</f>
        <v>0</v>
      </c>
      <c r="E180" s="187" t="n">
        <f aca="false">IFERROR(SUMPRODUCT((IF('NOVIEMBRE 2026'!Y6:Y110&lt;&gt;"",'NOVIEMBRE 2026'!Y6:Y110,'NOVIEMBRE 2026'!I6:I110)="MARIA AUXILIADORA")*('NOVIEMBRE 2026'!K6:K110="GASOLINA")*'NOVIEMBRE 2026'!M6:M110),0)</f>
        <v>0</v>
      </c>
      <c r="F180" s="187" t="n">
        <f aca="false">IFERROR(SUMPRODUCT((IF('NOVIEMBRE 2026'!Y6:Y110&lt;&gt;"",'NOVIEMBRE 2026'!Y6:Y110,'NOVIEMBRE 2026'!I6:I110)="MARIA AUXILIADORA")*('NOVIEMBRE 2026'!K6:K110="GASOLINA")*'NOVIEMBRE 2026'!L6:L110*'NOVIEMBRE 2026'!M6:M110),0)</f>
        <v>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" hidden="false" customHeight="true" outlineLevel="0" collapsed="false">
      <c r="A181" s="1" t="s">
        <v>138</v>
      </c>
      <c r="B181" s="1" t="s">
        <v>5176</v>
      </c>
      <c r="C181" s="187" t="n">
        <f aca="false">IFERROR(SUMPRODUCT((IF('DICIEMBRE 2026'!Y6:Y110&lt;&gt;"",'DICIEMBRE 2026'!Y6:Y110,'DICIEMBRE 2026'!I6:I110)="MARIA AUXILIADORA")*('DICIEMBRE 2026'!K6:K110="PETROLEO")*'DICIEMBRE 2026'!M6:M110),0)</f>
        <v>0</v>
      </c>
      <c r="D181" s="187" t="n">
        <f aca="false">IFERROR(SUMPRODUCT((IF('DICIEMBRE 2026'!Y6:Y110&lt;&gt;"",'DICIEMBRE 2026'!Y6:Y110,'DICIEMBRE 2026'!I6:I110)="MARIA AUXILIADORA")*('DICIEMBRE 2026'!K6:K110="PETROLEO")*'DICIEMBRE 2026'!L6:L110*'DICIEMBRE 2026'!M6:M110),0)</f>
        <v>0</v>
      </c>
      <c r="E181" s="187" t="n">
        <f aca="false">IFERROR(SUMPRODUCT((IF('DICIEMBRE 2026'!Y6:Y110&lt;&gt;"",'DICIEMBRE 2026'!Y6:Y110,'DICIEMBRE 2026'!I6:I110)="MARIA AUXILIADORA")*('DICIEMBRE 2026'!K6:K110="GASOLINA")*'DICIEMBRE 2026'!M6:M110),0)</f>
        <v>0</v>
      </c>
      <c r="F181" s="187" t="n">
        <f aca="false">IFERROR(SUMPRODUCT((IF('DICIEMBRE 2026'!Y6:Y110&lt;&gt;"",'DICIEMBRE 2026'!Y6:Y110,'DICIEMBRE 2026'!I6:I110)="MARIA AUXILIADORA")*('DICIEMBRE 2026'!K6:K110="GASOLINA")*'DICIEMBRE 2026'!L6:L110*'DICIEMBRE 2026'!M6:M110),0)</f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" hidden="false" customHeight="true" outlineLevel="0" collapsed="false">
      <c r="A182" s="1" t="s">
        <v>213</v>
      </c>
      <c r="B182" s="1" t="s">
        <v>5165</v>
      </c>
      <c r="C182" s="187" t="n">
        <f aca="false">IFERROR(SUMPRODUCT((IF('ENERO 2026'!Y6:Y119&lt;&gt;"",'ENERO 2026'!Y6:Y119,'ENERO 2026'!I6:I119)="MARISCAL BENAVIDES")*('ENERO 2026'!K6:K119="PETROLEO")*'ENERO 2026'!M6:M119),0)</f>
        <v>0</v>
      </c>
      <c r="D182" s="187" t="n">
        <f aca="false">IFERROR(SUMPRODUCT((IF('ENERO 2026'!Y6:Y119&lt;&gt;"",'ENERO 2026'!Y6:Y119,'ENERO 2026'!I6:I119)="MARISCAL BENAVIDES")*('ENERO 2026'!K6:K119="PETROLEO")*'ENERO 2026'!L6:L119*'ENERO 2026'!M6:M119),0)</f>
        <v>0</v>
      </c>
      <c r="E182" s="187" t="n">
        <f aca="false">IFERROR(SUMPRODUCT((IF('ENERO 2026'!Y6:Y119&lt;&gt;"",'ENERO 2026'!Y6:Y119,'ENERO 2026'!I6:I119)="MARISCAL BENAVIDES")*('ENERO 2026'!K6:K119="GASOLINA")*'ENERO 2026'!M6:M119),0)</f>
        <v>0</v>
      </c>
      <c r="F182" s="187" t="n">
        <f aca="false">IFERROR(SUMPRODUCT((IF('ENERO 2026'!Y6:Y119&lt;&gt;"",'ENERO 2026'!Y6:Y119,'ENERO 2026'!I6:I119)="MARISCAL BENAVIDES")*('ENERO 2026'!K6:K119="GASOLINA")*'ENERO 2026'!L6:L119*'ENERO 2026'!M6:M119),0)</f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" hidden="false" customHeight="true" outlineLevel="0" collapsed="false">
      <c r="A183" s="1" t="s">
        <v>213</v>
      </c>
      <c r="B183" s="1" t="s">
        <v>5166</v>
      </c>
      <c r="C183" s="187" t="n">
        <f aca="false">IFERROR(SUMPRODUCT((IF('FEBRERO 2026'!Y6:Y124&lt;&gt;"",'FEBRERO 2026'!Y6:Y124,'FEBRERO 2026'!I6:I124)="MARISCAL BENAVIDES")*('FEBRERO 2026'!K6:K124="PETROLEO")*'FEBRERO 2026'!M6:M124),0)</f>
        <v>0</v>
      </c>
      <c r="D183" s="187" t="n">
        <f aca="false">IFERROR(SUMPRODUCT((IF('FEBRERO 2026'!Y6:Y124&lt;&gt;"",'FEBRERO 2026'!Y6:Y124,'FEBRERO 2026'!I6:I124)="MARISCAL BENAVIDES")*('FEBRERO 2026'!K6:K124="PETROLEO")*'FEBRERO 2026'!L6:L124*'FEBRERO 2026'!M6:M124),0)</f>
        <v>0</v>
      </c>
      <c r="E183" s="187" t="n">
        <f aca="false">IFERROR(SUMPRODUCT((IF('FEBRERO 2026'!Y6:Y124&lt;&gt;"",'FEBRERO 2026'!Y6:Y124,'FEBRERO 2026'!I6:I124)="MARISCAL BENAVIDES")*('FEBRERO 2026'!K6:K124="GASOLINA")*'FEBRERO 2026'!M6:M124),0)</f>
        <v>0</v>
      </c>
      <c r="F183" s="187" t="n">
        <f aca="false">IFERROR(SUMPRODUCT((IF('FEBRERO 2026'!Y6:Y124&lt;&gt;"",'FEBRERO 2026'!Y6:Y124,'FEBRERO 2026'!I6:I124)="MARISCAL BENAVIDES")*('FEBRERO 2026'!K6:K124="GASOLINA")*'FEBRERO 2026'!L6:L124*'FEBRERO 2026'!M6:M124),0)</f>
        <v>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" hidden="false" customHeight="true" outlineLevel="0" collapsed="false">
      <c r="A184" s="1" t="s">
        <v>213</v>
      </c>
      <c r="B184" s="1" t="s">
        <v>5167</v>
      </c>
      <c r="C184" s="187" t="n">
        <f aca="false">IFERROR(SUMPRODUCT((IF('MARZO 2026'!Y6:Y119&lt;&gt;"",'MARZO 2026'!Y6:Y119,'MARZO 2026'!I6:I119)="MARISCAL BENAVIDES")*('MARZO 2026'!K6:K119="PETROLEO")*'MARZO 2026'!M6:M119),0)</f>
        <v>0</v>
      </c>
      <c r="D184" s="187" t="n">
        <f aca="false">IFERROR(SUMPRODUCT((IF('MARZO 2026'!Y6:Y119&lt;&gt;"",'MARZO 2026'!Y6:Y119,'MARZO 2026'!I6:I119)="MARISCAL BENAVIDES")*('MARZO 2026'!K6:K119="PETROLEO")*'MARZO 2026'!L6:L119*'MARZO 2026'!M6:M119),0)</f>
        <v>0</v>
      </c>
      <c r="E184" s="187" t="n">
        <f aca="false">IFERROR(SUMPRODUCT((IF('MARZO 2026'!Y6:Y119&lt;&gt;"",'MARZO 2026'!Y6:Y119,'MARZO 2026'!I6:I119)="MARISCAL BENAVIDES")*('MARZO 2026'!K6:K119="GASOLINA")*'MARZO 2026'!M6:M119),0)</f>
        <v>0</v>
      </c>
      <c r="F184" s="187" t="n">
        <f aca="false">IFERROR(SUMPRODUCT((IF('MARZO 2026'!Y6:Y119&lt;&gt;"",'MARZO 2026'!Y6:Y119,'MARZO 2026'!I6:I119)="MARISCAL BENAVIDES")*('MARZO 2026'!K6:K119="GASOLINA")*'MARZO 2026'!L6:L119*'MARZO 2026'!M6:M119),0)</f>
        <v>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" hidden="false" customHeight="true" outlineLevel="0" collapsed="false">
      <c r="A185" s="1" t="s">
        <v>213</v>
      </c>
      <c r="B185" s="1" t="s">
        <v>5168</v>
      </c>
      <c r="C185" s="187" t="n">
        <f aca="false">IFERROR(SUMPRODUCT((IF('ABRIL 2026'!Y6:Y119&lt;&gt;"",'ABRIL 2026'!Y6:Y119,'ABRIL 2026'!I6:I119)="MARISCAL BENAVIDES")*('ABRIL 2026'!K6:K119="PETROLEO")*'ABRIL 2026'!M6:M119),0)</f>
        <v>0</v>
      </c>
      <c r="D185" s="187" t="n">
        <f aca="false">IFERROR(SUMPRODUCT((IF('ABRIL 2026'!Y6:Y119&lt;&gt;"",'ABRIL 2026'!Y6:Y119,'ABRIL 2026'!I6:I119)="MARISCAL BENAVIDES")*('ABRIL 2026'!K6:K119="PETROLEO")*'ABRIL 2026'!L6:L119*'ABRIL 2026'!M6:M119),0)</f>
        <v>0</v>
      </c>
      <c r="E185" s="187" t="n">
        <f aca="false">IFERROR(SUMPRODUCT((IF('ABRIL 2026'!Y6:Y119&lt;&gt;"",'ABRIL 2026'!Y6:Y119,'ABRIL 2026'!I6:I119)="MARISCAL BENAVIDES")*('ABRIL 2026'!K6:K119="GASOLINA")*'ABRIL 2026'!M6:M119),0)</f>
        <v>0</v>
      </c>
      <c r="F185" s="187" t="n">
        <f aca="false">IFERROR(SUMPRODUCT((IF('ABRIL 2026'!Y6:Y119&lt;&gt;"",'ABRIL 2026'!Y6:Y119,'ABRIL 2026'!I6:I119)="MARISCAL BENAVIDES")*('ABRIL 2026'!K6:K119="GASOLINA")*'ABRIL 2026'!L6:L119*'ABRIL 2026'!M6:M119),0)</f>
        <v>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" hidden="false" customHeight="true" outlineLevel="0" collapsed="false">
      <c r="A186" s="1" t="s">
        <v>213</v>
      </c>
      <c r="B186" s="1" t="s">
        <v>5169</v>
      </c>
      <c r="C186" s="187" t="n">
        <f aca="false">IFERROR(SUMPRODUCT((IF('MAYO 2026'!Y6:Y110&lt;&gt;"",'MAYO 2026'!Y6:Y110,'MAYO 2026'!I6:I110)="MARISCAL BENAVIDES")*('MAYO 2026'!K6:K110="PETROLEO")*'MAYO 2026'!M6:M110),0)</f>
        <v>0</v>
      </c>
      <c r="D186" s="187" t="n">
        <f aca="false">IFERROR(SUMPRODUCT((IF('MAYO 2026'!Y6:Y110&lt;&gt;"",'MAYO 2026'!Y6:Y110,'MAYO 2026'!I6:I110)="MARISCAL BENAVIDES")*('MAYO 2026'!K6:K110="PETROLEO")*'MAYO 2026'!L6:L110*'MAYO 2026'!M6:M110),0)</f>
        <v>0</v>
      </c>
      <c r="E186" s="187" t="n">
        <f aca="false">IFERROR(SUMPRODUCT((IF('MAYO 2026'!Y6:Y110&lt;&gt;"",'MAYO 2026'!Y6:Y110,'MAYO 2026'!I6:I110)="MARISCAL BENAVIDES")*('MAYO 2026'!K6:K110="GASOLINA")*'MAYO 2026'!M6:M110),0)</f>
        <v>0</v>
      </c>
      <c r="F186" s="187" t="n">
        <f aca="false">IFERROR(SUMPRODUCT((IF('MAYO 2026'!Y6:Y110&lt;&gt;"",'MAYO 2026'!Y6:Y110,'MAYO 2026'!I6:I110)="MARISCAL BENAVIDES")*('MAYO 2026'!K6:K110="GASOLINA")*'MAYO 2026'!L6:L110*'MAYO 2026'!M6:M110),0)</f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" hidden="false" customHeight="true" outlineLevel="0" collapsed="false">
      <c r="A187" s="1" t="s">
        <v>213</v>
      </c>
      <c r="B187" s="1" t="s">
        <v>5170</v>
      </c>
      <c r="C187" s="187" t="n">
        <f aca="false">IFERROR(SUMPRODUCT((IF('JUNIO 2026'!Y6:Y110&lt;&gt;"",'JUNIO 2026'!Y6:Y110,'JUNIO 2026'!I6:I110)="MARISCAL BENAVIDES")*('JUNIO 2026'!K6:K110="PETROLEO")*'JUNIO 2026'!M6:M110),0)</f>
        <v>0</v>
      </c>
      <c r="D187" s="187" t="n">
        <f aca="false">IFERROR(SUMPRODUCT((IF('JUNIO 2026'!Y6:Y110&lt;&gt;"",'JUNIO 2026'!Y6:Y110,'JUNIO 2026'!I6:I110)="MARISCAL BENAVIDES")*('JUNIO 2026'!K6:K110="PETROLEO")*'JUNIO 2026'!L6:L110*'JUNIO 2026'!M6:M110),0)</f>
        <v>0</v>
      </c>
      <c r="E187" s="187" t="n">
        <f aca="false">IFERROR(SUMPRODUCT((IF('JUNIO 2026'!Y6:Y110&lt;&gt;"",'JUNIO 2026'!Y6:Y110,'JUNIO 2026'!I6:I110)="MARISCAL BENAVIDES")*('JUNIO 2026'!K6:K110="GASOLINA")*'JUNIO 2026'!M6:M110),0)</f>
        <v>0</v>
      </c>
      <c r="F187" s="187" t="n">
        <f aca="false">IFERROR(SUMPRODUCT((IF('JUNIO 2026'!Y6:Y110&lt;&gt;"",'JUNIO 2026'!Y6:Y110,'JUNIO 2026'!I6:I110)="MARISCAL BENAVIDES")*('JUNIO 2026'!K6:K110="GASOLINA")*'JUNIO 2026'!L6:L110*'JUNIO 2026'!M6:M110),0)</f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" hidden="false" customHeight="true" outlineLevel="0" collapsed="false">
      <c r="A188" s="1" t="s">
        <v>213</v>
      </c>
      <c r="B188" s="1" t="s">
        <v>5171</v>
      </c>
      <c r="C188" s="187" t="n">
        <f aca="false">IFERROR(SUMPRODUCT((IF('JULIO 2026'!Y6:Y110&lt;&gt;"",'JULIO 2026'!Y6:Y110,'JULIO 2026'!I6:I110)="MARISCAL BENAVIDES")*('JULIO 2026'!K6:K110="PETROLEO")*'JULIO 2026'!M6:M110),0)</f>
        <v>0</v>
      </c>
      <c r="D188" s="187" t="n">
        <f aca="false">IFERROR(SUMPRODUCT((IF('JULIO 2026'!Y6:Y110&lt;&gt;"",'JULIO 2026'!Y6:Y110,'JULIO 2026'!I6:I110)="MARISCAL BENAVIDES")*('JULIO 2026'!K6:K110="PETROLEO")*'JULIO 2026'!L6:L110*'JULIO 2026'!M6:M110),0)</f>
        <v>0</v>
      </c>
      <c r="E188" s="187" t="n">
        <f aca="false">IFERROR(SUMPRODUCT((IF('JULIO 2026'!Y6:Y110&lt;&gt;"",'JULIO 2026'!Y6:Y110,'JULIO 2026'!I6:I110)="MARISCAL BENAVIDES")*('JULIO 2026'!K6:K110="GASOLINA")*'JULIO 2026'!M6:M110),0)</f>
        <v>0</v>
      </c>
      <c r="F188" s="187" t="n">
        <f aca="false">IFERROR(SUMPRODUCT((IF('JULIO 2026'!Y6:Y110&lt;&gt;"",'JULIO 2026'!Y6:Y110,'JULIO 2026'!I6:I110)="MARISCAL BENAVIDES")*('JULIO 2026'!K6:K110="GASOLINA")*'JULIO 2026'!L6:L110*'JULIO 2026'!M6:M110),0)</f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" hidden="false" customHeight="true" outlineLevel="0" collapsed="false">
      <c r="A189" s="1" t="s">
        <v>213</v>
      </c>
      <c r="B189" s="1" t="s">
        <v>5172</v>
      </c>
      <c r="C189" s="187" t="n">
        <f aca="false">IFERROR(SUMPRODUCT((IF('AGOSTO 2026'!Y6:Y110&lt;&gt;"",'AGOSTO 2026'!Y6:Y110,'AGOSTO 2026'!I6:I110)="MARISCAL BENAVIDES")*('AGOSTO 2026'!K6:K110="PETROLEO")*'AGOSTO 2026'!M6:M110),0)</f>
        <v>0</v>
      </c>
      <c r="D189" s="187" t="n">
        <f aca="false">IFERROR(SUMPRODUCT((IF('AGOSTO 2026'!Y6:Y110&lt;&gt;"",'AGOSTO 2026'!Y6:Y110,'AGOSTO 2026'!I6:I110)="MARISCAL BENAVIDES")*('AGOSTO 2026'!K6:K110="PETROLEO")*'AGOSTO 2026'!L6:L110*'AGOSTO 2026'!M6:M110),0)</f>
        <v>0</v>
      </c>
      <c r="E189" s="187" t="n">
        <f aca="false">IFERROR(SUMPRODUCT((IF('AGOSTO 2026'!Y6:Y110&lt;&gt;"",'AGOSTO 2026'!Y6:Y110,'AGOSTO 2026'!I6:I110)="MARISCAL BENAVIDES")*('AGOSTO 2026'!K6:K110="GASOLINA")*'AGOSTO 2026'!M6:M110),0)</f>
        <v>0</v>
      </c>
      <c r="F189" s="187" t="n">
        <f aca="false">IFERROR(SUMPRODUCT((IF('AGOSTO 2026'!Y6:Y110&lt;&gt;"",'AGOSTO 2026'!Y6:Y110,'AGOSTO 2026'!I6:I110)="MARISCAL BENAVIDES")*('AGOSTO 2026'!K6:K110="GASOLINA")*'AGOSTO 2026'!L6:L110*'AGOSTO 2026'!M6:M110),0)</f>
        <v>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" hidden="false" customHeight="true" outlineLevel="0" collapsed="false">
      <c r="A190" s="1" t="s">
        <v>213</v>
      </c>
      <c r="B190" s="1" t="s">
        <v>5173</v>
      </c>
      <c r="C190" s="187" t="n">
        <f aca="false">IFERROR(SUMPRODUCT((IF('SETIEMBRE 2026'!Y6:Y110&lt;&gt;"",'SETIEMBRE 2026'!Y6:Y110,'SETIEMBRE 2026'!I6:I110)="MARISCAL BENAVIDES")*('SETIEMBRE 2026'!K6:K110="PETROLEO")*'SETIEMBRE 2026'!M6:M110),0)</f>
        <v>0</v>
      </c>
      <c r="D190" s="187" t="n">
        <f aca="false">IFERROR(SUMPRODUCT((IF('SETIEMBRE 2026'!Y6:Y110&lt;&gt;"",'SETIEMBRE 2026'!Y6:Y110,'SETIEMBRE 2026'!I6:I110)="MARISCAL BENAVIDES")*('SETIEMBRE 2026'!K6:K110="PETROLEO")*'SETIEMBRE 2026'!L6:L110*'SETIEMBRE 2026'!M6:M110),0)</f>
        <v>0</v>
      </c>
      <c r="E190" s="187" t="n">
        <f aca="false">IFERROR(SUMPRODUCT((IF('SETIEMBRE 2026'!Y6:Y110&lt;&gt;"",'SETIEMBRE 2026'!Y6:Y110,'SETIEMBRE 2026'!I6:I110)="MARISCAL BENAVIDES")*('SETIEMBRE 2026'!K6:K110="GASOLINA")*'SETIEMBRE 2026'!M6:M110),0)</f>
        <v>0</v>
      </c>
      <c r="F190" s="187" t="n">
        <f aca="false">IFERROR(SUMPRODUCT((IF('SETIEMBRE 2026'!Y6:Y110&lt;&gt;"",'SETIEMBRE 2026'!Y6:Y110,'SETIEMBRE 2026'!I6:I110)="MARISCAL BENAVIDES")*('SETIEMBRE 2026'!K6:K110="GASOLINA")*'SETIEMBRE 2026'!L6:L110*'SETIEMBRE 2026'!M6:M110),0)</f>
        <v>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" hidden="false" customHeight="true" outlineLevel="0" collapsed="false">
      <c r="A191" s="1" t="s">
        <v>213</v>
      </c>
      <c r="B191" s="1" t="s">
        <v>5174</v>
      </c>
      <c r="C191" s="187" t="n">
        <f aca="false">IFERROR(SUMPRODUCT((IF('OCTUBRE 2026'!Y6:Y110&lt;&gt;"",'OCTUBRE 2026'!Y6:Y110,'OCTUBRE 2026'!I6:I110)="MARISCAL BENAVIDES")*('OCTUBRE 2026'!K6:K110="PETROLEO")*'OCTUBRE 2026'!M6:M110),0)</f>
        <v>0</v>
      </c>
      <c r="D191" s="187" t="n">
        <f aca="false">IFERROR(SUMPRODUCT((IF('OCTUBRE 2026'!Y6:Y110&lt;&gt;"",'OCTUBRE 2026'!Y6:Y110,'OCTUBRE 2026'!I6:I110)="MARISCAL BENAVIDES")*('OCTUBRE 2026'!K6:K110="PETROLEO")*'OCTUBRE 2026'!L6:L110*'OCTUBRE 2026'!M6:M110),0)</f>
        <v>0</v>
      </c>
      <c r="E191" s="187" t="n">
        <f aca="false">IFERROR(SUMPRODUCT((IF('OCTUBRE 2026'!Y6:Y110&lt;&gt;"",'OCTUBRE 2026'!Y6:Y110,'OCTUBRE 2026'!I6:I110)="MARISCAL BENAVIDES")*('OCTUBRE 2026'!K6:K110="GASOLINA")*'OCTUBRE 2026'!M6:M110),0)</f>
        <v>0</v>
      </c>
      <c r="F191" s="187" t="n">
        <f aca="false">IFERROR(SUMPRODUCT((IF('OCTUBRE 2026'!Y6:Y110&lt;&gt;"",'OCTUBRE 2026'!Y6:Y110,'OCTUBRE 2026'!I6:I110)="MARISCAL BENAVIDES")*('OCTUBRE 2026'!K6:K110="GASOLINA")*'OCTUBRE 2026'!L6:L110*'OCTUBRE 2026'!M6:M110),0)</f>
        <v>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" hidden="false" customHeight="true" outlineLevel="0" collapsed="false">
      <c r="A192" s="1" t="s">
        <v>213</v>
      </c>
      <c r="B192" s="1" t="s">
        <v>5175</v>
      </c>
      <c r="C192" s="187" t="n">
        <f aca="false">IFERROR(SUMPRODUCT((IF('NOVIEMBRE 2026'!Y6:Y110&lt;&gt;"",'NOVIEMBRE 2026'!Y6:Y110,'NOVIEMBRE 2026'!I6:I110)="MARISCAL BENAVIDES")*('NOVIEMBRE 2026'!K6:K110="PETROLEO")*'NOVIEMBRE 2026'!M6:M110),0)</f>
        <v>0</v>
      </c>
      <c r="D192" s="187" t="n">
        <f aca="false">IFERROR(SUMPRODUCT((IF('NOVIEMBRE 2026'!Y6:Y110&lt;&gt;"",'NOVIEMBRE 2026'!Y6:Y110,'NOVIEMBRE 2026'!I6:I110)="MARISCAL BENAVIDES")*('NOVIEMBRE 2026'!K6:K110="PETROLEO")*'NOVIEMBRE 2026'!L6:L110*'NOVIEMBRE 2026'!M6:M110),0)</f>
        <v>0</v>
      </c>
      <c r="E192" s="187" t="n">
        <f aca="false">IFERROR(SUMPRODUCT((IF('NOVIEMBRE 2026'!Y6:Y110&lt;&gt;"",'NOVIEMBRE 2026'!Y6:Y110,'NOVIEMBRE 2026'!I6:I110)="MARISCAL BENAVIDES")*('NOVIEMBRE 2026'!K6:K110="GASOLINA")*'NOVIEMBRE 2026'!M6:M110),0)</f>
        <v>0</v>
      </c>
      <c r="F192" s="187" t="n">
        <f aca="false">IFERROR(SUMPRODUCT((IF('NOVIEMBRE 2026'!Y6:Y110&lt;&gt;"",'NOVIEMBRE 2026'!Y6:Y110,'NOVIEMBRE 2026'!I6:I110)="MARISCAL BENAVIDES")*('NOVIEMBRE 2026'!K6:K110="GASOLINA")*'NOVIEMBRE 2026'!L6:L110*'NOVIEMBRE 2026'!M6:M110),0)</f>
        <v>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" hidden="false" customHeight="true" outlineLevel="0" collapsed="false">
      <c r="A193" s="1" t="s">
        <v>213</v>
      </c>
      <c r="B193" s="1" t="s">
        <v>5176</v>
      </c>
      <c r="C193" s="187" t="n">
        <f aca="false">IFERROR(SUMPRODUCT((IF('DICIEMBRE 2026'!Y6:Y110&lt;&gt;"",'DICIEMBRE 2026'!Y6:Y110,'DICIEMBRE 2026'!I6:I110)="MARISCAL BENAVIDES")*('DICIEMBRE 2026'!K6:K110="PETROLEO")*'DICIEMBRE 2026'!M6:M110),0)</f>
        <v>0</v>
      </c>
      <c r="D193" s="187" t="n">
        <f aca="false">IFERROR(SUMPRODUCT((IF('DICIEMBRE 2026'!Y6:Y110&lt;&gt;"",'DICIEMBRE 2026'!Y6:Y110,'DICIEMBRE 2026'!I6:I110)="MARISCAL BENAVIDES")*('DICIEMBRE 2026'!K6:K110="PETROLEO")*'DICIEMBRE 2026'!L6:L110*'DICIEMBRE 2026'!M6:M110),0)</f>
        <v>0</v>
      </c>
      <c r="E193" s="187" t="n">
        <f aca="false">IFERROR(SUMPRODUCT((IF('DICIEMBRE 2026'!Y6:Y110&lt;&gt;"",'DICIEMBRE 2026'!Y6:Y110,'DICIEMBRE 2026'!I6:I110)="MARISCAL BENAVIDES")*('DICIEMBRE 2026'!K6:K110="GASOLINA")*'DICIEMBRE 2026'!M6:M110),0)</f>
        <v>0</v>
      </c>
      <c r="F193" s="187" t="n">
        <f aca="false">IFERROR(SUMPRODUCT((IF('DICIEMBRE 2026'!Y6:Y110&lt;&gt;"",'DICIEMBRE 2026'!Y6:Y110,'DICIEMBRE 2026'!I6:I110)="MARISCAL BENAVIDES")*('DICIEMBRE 2026'!K6:K110="GASOLINA")*'DICIEMBRE 2026'!L6:L110*'DICIEMBRE 2026'!M6:M110),0)</f>
        <v>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" hidden="false" customHeight="true" outlineLevel="0" collapsed="false">
      <c r="A194" s="1" t="s">
        <v>93</v>
      </c>
      <c r="B194" s="1" t="s">
        <v>5165</v>
      </c>
      <c r="C194" s="187" t="n">
        <f aca="false">IFERROR(SUMPRODUCT((IF('ENERO 2026'!Y6:Y119&lt;&gt;"",'ENERO 2026'!Y6:Y119,'ENERO 2026'!I6:I119)="MOLINOPAMPA")*('ENERO 2026'!K6:K119="PETROLEO")*'ENERO 2026'!M6:M119),0)</f>
        <v>0</v>
      </c>
      <c r="D194" s="187" t="n">
        <f aca="false">IFERROR(SUMPRODUCT((IF('ENERO 2026'!Y6:Y119&lt;&gt;"",'ENERO 2026'!Y6:Y119,'ENERO 2026'!I6:I119)="MOLINOPAMPA")*('ENERO 2026'!K6:K119="PETROLEO")*'ENERO 2026'!L6:L119*'ENERO 2026'!M6:M119),0)</f>
        <v>0</v>
      </c>
      <c r="E194" s="187" t="n">
        <f aca="false">IFERROR(SUMPRODUCT((IF('ENERO 2026'!Y6:Y119&lt;&gt;"",'ENERO 2026'!Y6:Y119,'ENERO 2026'!I6:I119)="MOLINOPAMPA")*('ENERO 2026'!K6:K119="GASOLINA")*'ENERO 2026'!M6:M119),0)</f>
        <v>24</v>
      </c>
      <c r="F194" s="187" t="n">
        <f aca="false">IFERROR(SUMPRODUCT((IF('ENERO 2026'!Y6:Y119&lt;&gt;"",'ENERO 2026'!Y6:Y119,'ENERO 2026'!I6:I119)="MOLINOPAMPA")*('ENERO 2026'!K6:K119="GASOLINA")*'ENERO 2026'!L6:L119*'ENERO 2026'!M6:M119),0)</f>
        <v>430.8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" hidden="false" customHeight="true" outlineLevel="0" collapsed="false">
      <c r="A195" s="1" t="s">
        <v>93</v>
      </c>
      <c r="B195" s="1" t="s">
        <v>5166</v>
      </c>
      <c r="C195" s="187" t="n">
        <f aca="false">IFERROR(SUMPRODUCT((IF('FEBRERO 2026'!Y6:Y124&lt;&gt;"",'FEBRERO 2026'!Y6:Y124,'FEBRERO 2026'!I6:I124)="MOLINOPAMPA")*('FEBRERO 2026'!K6:K124="PETROLEO")*'FEBRERO 2026'!M6:M124),0)</f>
        <v>0</v>
      </c>
      <c r="D195" s="187" t="n">
        <f aca="false">IFERROR(SUMPRODUCT((IF('FEBRERO 2026'!Y6:Y124&lt;&gt;"",'FEBRERO 2026'!Y6:Y124,'FEBRERO 2026'!I6:I124)="MOLINOPAMPA")*('FEBRERO 2026'!K6:K124="PETROLEO")*'FEBRERO 2026'!L6:L124*'FEBRERO 2026'!M6:M124),0)</f>
        <v>0</v>
      </c>
      <c r="E195" s="187" t="n">
        <f aca="false">IFERROR(SUMPRODUCT((IF('FEBRERO 2026'!Y6:Y124&lt;&gt;"",'FEBRERO 2026'!Y6:Y124,'FEBRERO 2026'!I6:I124)="MOLINOPAMPA")*('FEBRERO 2026'!K6:K124="GASOLINA")*'FEBRERO 2026'!M6:M124),0)</f>
        <v>0</v>
      </c>
      <c r="F195" s="187" t="n">
        <f aca="false">IFERROR(SUMPRODUCT((IF('FEBRERO 2026'!Y6:Y124&lt;&gt;"",'FEBRERO 2026'!Y6:Y124,'FEBRERO 2026'!I6:I124)="MOLINOPAMPA")*('FEBRERO 2026'!K6:K124="GASOLINA")*'FEBRERO 2026'!L6:L124*'FEBRERO 2026'!M6:M124),0)</f>
        <v>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" hidden="false" customHeight="true" outlineLevel="0" collapsed="false">
      <c r="A196" s="1" t="s">
        <v>93</v>
      </c>
      <c r="B196" s="1" t="s">
        <v>5167</v>
      </c>
      <c r="C196" s="187" t="n">
        <f aca="false">IFERROR(SUMPRODUCT((IF('MARZO 2026'!Y6:Y119&lt;&gt;"",'MARZO 2026'!Y6:Y119,'MARZO 2026'!I6:I119)="MOLINOPAMPA")*('MARZO 2026'!K6:K119="PETROLEO")*'MARZO 2026'!M6:M119),0)</f>
        <v>0</v>
      </c>
      <c r="D196" s="187" t="n">
        <f aca="false">IFERROR(SUMPRODUCT((IF('MARZO 2026'!Y6:Y119&lt;&gt;"",'MARZO 2026'!Y6:Y119,'MARZO 2026'!I6:I119)="MOLINOPAMPA")*('MARZO 2026'!K6:K119="PETROLEO")*'MARZO 2026'!L6:L119*'MARZO 2026'!M6:M119),0)</f>
        <v>0</v>
      </c>
      <c r="E196" s="187" t="n">
        <f aca="false">IFERROR(SUMPRODUCT((IF('MARZO 2026'!Y6:Y119&lt;&gt;"",'MARZO 2026'!Y6:Y119,'MARZO 2026'!I6:I119)="MOLINOPAMPA")*('MARZO 2026'!K6:K119="GASOLINA")*'MARZO 2026'!M6:M119),0)</f>
        <v>0</v>
      </c>
      <c r="F196" s="187" t="n">
        <f aca="false">IFERROR(SUMPRODUCT((IF('MARZO 2026'!Y6:Y119&lt;&gt;"",'MARZO 2026'!Y6:Y119,'MARZO 2026'!I6:I119)="MOLINOPAMPA")*('MARZO 2026'!K6:K119="GASOLINA")*'MARZO 2026'!L6:L119*'MARZO 2026'!M6:M119),0)</f>
        <v>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" hidden="false" customHeight="true" outlineLevel="0" collapsed="false">
      <c r="A197" s="1" t="s">
        <v>93</v>
      </c>
      <c r="B197" s="1" t="s">
        <v>5168</v>
      </c>
      <c r="C197" s="187" t="n">
        <f aca="false">IFERROR(SUMPRODUCT((IF('ABRIL 2026'!Y6:Y119&lt;&gt;"",'ABRIL 2026'!Y6:Y119,'ABRIL 2026'!I6:I119)="MOLINOPAMPA")*('ABRIL 2026'!K6:K119="PETROLEO")*'ABRIL 2026'!M6:M119),0)</f>
        <v>0</v>
      </c>
      <c r="D197" s="187" t="n">
        <f aca="false">IFERROR(SUMPRODUCT((IF('ABRIL 2026'!Y6:Y119&lt;&gt;"",'ABRIL 2026'!Y6:Y119,'ABRIL 2026'!I6:I119)="MOLINOPAMPA")*('ABRIL 2026'!K6:K119="PETROLEO")*'ABRIL 2026'!L6:L119*'ABRIL 2026'!M6:M119),0)</f>
        <v>0</v>
      </c>
      <c r="E197" s="187" t="n">
        <f aca="false">IFERROR(SUMPRODUCT((IF('ABRIL 2026'!Y6:Y119&lt;&gt;"",'ABRIL 2026'!Y6:Y119,'ABRIL 2026'!I6:I119)="MOLINOPAMPA")*('ABRIL 2026'!K6:K119="GASOLINA")*'ABRIL 2026'!M6:M119),0)</f>
        <v>0</v>
      </c>
      <c r="F197" s="187" t="n">
        <f aca="false">IFERROR(SUMPRODUCT((IF('ABRIL 2026'!Y6:Y119&lt;&gt;"",'ABRIL 2026'!Y6:Y119,'ABRIL 2026'!I6:I119)="MOLINOPAMPA")*('ABRIL 2026'!K6:K119="GASOLINA")*'ABRIL 2026'!L6:L119*'ABRIL 2026'!M6:M119),0)</f>
        <v>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" hidden="false" customHeight="true" outlineLevel="0" collapsed="false">
      <c r="A198" s="1" t="s">
        <v>93</v>
      </c>
      <c r="B198" s="1" t="s">
        <v>5169</v>
      </c>
      <c r="C198" s="187" t="n">
        <f aca="false">IFERROR(SUMPRODUCT((IF('MAYO 2026'!Y6:Y110&lt;&gt;"",'MAYO 2026'!Y6:Y110,'MAYO 2026'!I6:I110)="MOLINOPAMPA")*('MAYO 2026'!K6:K110="PETROLEO")*'MAYO 2026'!M6:M110),0)</f>
        <v>0</v>
      </c>
      <c r="D198" s="187" t="n">
        <f aca="false">IFERROR(SUMPRODUCT((IF('MAYO 2026'!Y6:Y110&lt;&gt;"",'MAYO 2026'!Y6:Y110,'MAYO 2026'!I6:I110)="MOLINOPAMPA")*('MAYO 2026'!K6:K110="PETROLEO")*'MAYO 2026'!L6:L110*'MAYO 2026'!M6:M110),0)</f>
        <v>0</v>
      </c>
      <c r="E198" s="187" t="n">
        <f aca="false">IFERROR(SUMPRODUCT((IF('MAYO 2026'!Y6:Y110&lt;&gt;"",'MAYO 2026'!Y6:Y110,'MAYO 2026'!I6:I110)="MOLINOPAMPA")*('MAYO 2026'!K6:K110="GASOLINA")*'MAYO 2026'!M6:M110),0)</f>
        <v>0</v>
      </c>
      <c r="F198" s="187" t="n">
        <f aca="false">IFERROR(SUMPRODUCT((IF('MAYO 2026'!Y6:Y110&lt;&gt;"",'MAYO 2026'!Y6:Y110,'MAYO 2026'!I6:I110)="MOLINOPAMPA")*('MAYO 2026'!K6:K110="GASOLINA")*'MAYO 2026'!L6:L110*'MAYO 2026'!M6:M110),0)</f>
        <v>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" hidden="false" customHeight="true" outlineLevel="0" collapsed="false">
      <c r="A199" s="1" t="s">
        <v>93</v>
      </c>
      <c r="B199" s="1" t="s">
        <v>5170</v>
      </c>
      <c r="C199" s="187" t="n">
        <f aca="false">IFERROR(SUMPRODUCT((IF('JUNIO 2026'!Y6:Y110&lt;&gt;"",'JUNIO 2026'!Y6:Y110,'JUNIO 2026'!I6:I110)="MOLINOPAMPA")*('JUNIO 2026'!K6:K110="PETROLEO")*'JUNIO 2026'!M6:M110),0)</f>
        <v>0</v>
      </c>
      <c r="D199" s="187" t="n">
        <f aca="false">IFERROR(SUMPRODUCT((IF('JUNIO 2026'!Y6:Y110&lt;&gt;"",'JUNIO 2026'!Y6:Y110,'JUNIO 2026'!I6:I110)="MOLINOPAMPA")*('JUNIO 2026'!K6:K110="PETROLEO")*'JUNIO 2026'!L6:L110*'JUNIO 2026'!M6:M110),0)</f>
        <v>0</v>
      </c>
      <c r="E199" s="187" t="n">
        <f aca="false">IFERROR(SUMPRODUCT((IF('JUNIO 2026'!Y6:Y110&lt;&gt;"",'JUNIO 2026'!Y6:Y110,'JUNIO 2026'!I6:I110)="MOLINOPAMPA")*('JUNIO 2026'!K6:K110="GASOLINA")*'JUNIO 2026'!M6:M110),0)</f>
        <v>0</v>
      </c>
      <c r="F199" s="187" t="n">
        <f aca="false">IFERROR(SUMPRODUCT((IF('JUNIO 2026'!Y6:Y110&lt;&gt;"",'JUNIO 2026'!Y6:Y110,'JUNIO 2026'!I6:I110)="MOLINOPAMPA")*('JUNIO 2026'!K6:K110="GASOLINA")*'JUNIO 2026'!L6:L110*'JUNIO 2026'!M6:M110),0)</f>
        <v>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" hidden="false" customHeight="true" outlineLevel="0" collapsed="false">
      <c r="A200" s="1" t="s">
        <v>93</v>
      </c>
      <c r="B200" s="1" t="s">
        <v>5171</v>
      </c>
      <c r="C200" s="187" t="n">
        <f aca="false">IFERROR(SUMPRODUCT((IF('JULIO 2026'!Y6:Y110&lt;&gt;"",'JULIO 2026'!Y6:Y110,'JULIO 2026'!I6:I110)="MOLINOPAMPA")*('JULIO 2026'!K6:K110="PETROLEO")*'JULIO 2026'!M6:M110),0)</f>
        <v>0</v>
      </c>
      <c r="D200" s="187" t="n">
        <f aca="false">IFERROR(SUMPRODUCT((IF('JULIO 2026'!Y6:Y110&lt;&gt;"",'JULIO 2026'!Y6:Y110,'JULIO 2026'!I6:I110)="MOLINOPAMPA")*('JULIO 2026'!K6:K110="PETROLEO")*'JULIO 2026'!L6:L110*'JULIO 2026'!M6:M110),0)</f>
        <v>0</v>
      </c>
      <c r="E200" s="187" t="n">
        <f aca="false">IFERROR(SUMPRODUCT((IF('JULIO 2026'!Y6:Y110&lt;&gt;"",'JULIO 2026'!Y6:Y110,'JULIO 2026'!I6:I110)="MOLINOPAMPA")*('JULIO 2026'!K6:K110="GASOLINA")*'JULIO 2026'!M6:M110),0)</f>
        <v>0</v>
      </c>
      <c r="F200" s="187" t="n">
        <f aca="false">IFERROR(SUMPRODUCT((IF('JULIO 2026'!Y6:Y110&lt;&gt;"",'JULIO 2026'!Y6:Y110,'JULIO 2026'!I6:I110)="MOLINOPAMPA")*('JULIO 2026'!K6:K110="GASOLINA")*'JULIO 2026'!L6:L110*'JULIO 2026'!M6:M110),0)</f>
        <v>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" hidden="false" customHeight="true" outlineLevel="0" collapsed="false">
      <c r="A201" s="1" t="s">
        <v>93</v>
      </c>
      <c r="B201" s="1" t="s">
        <v>5172</v>
      </c>
      <c r="C201" s="187" t="n">
        <f aca="false">IFERROR(SUMPRODUCT((IF('AGOSTO 2026'!Y6:Y110&lt;&gt;"",'AGOSTO 2026'!Y6:Y110,'AGOSTO 2026'!I6:I110)="MOLINOPAMPA")*('AGOSTO 2026'!K6:K110="PETROLEO")*'AGOSTO 2026'!M6:M110),0)</f>
        <v>0</v>
      </c>
      <c r="D201" s="187" t="n">
        <f aca="false">IFERROR(SUMPRODUCT((IF('AGOSTO 2026'!Y6:Y110&lt;&gt;"",'AGOSTO 2026'!Y6:Y110,'AGOSTO 2026'!I6:I110)="MOLINOPAMPA")*('AGOSTO 2026'!K6:K110="PETROLEO")*'AGOSTO 2026'!L6:L110*'AGOSTO 2026'!M6:M110),0)</f>
        <v>0</v>
      </c>
      <c r="E201" s="187" t="n">
        <f aca="false">IFERROR(SUMPRODUCT((IF('AGOSTO 2026'!Y6:Y110&lt;&gt;"",'AGOSTO 2026'!Y6:Y110,'AGOSTO 2026'!I6:I110)="MOLINOPAMPA")*('AGOSTO 2026'!K6:K110="GASOLINA")*'AGOSTO 2026'!M6:M110),0)</f>
        <v>0</v>
      </c>
      <c r="F201" s="187" t="n">
        <f aca="false">IFERROR(SUMPRODUCT((IF('AGOSTO 2026'!Y6:Y110&lt;&gt;"",'AGOSTO 2026'!Y6:Y110,'AGOSTO 2026'!I6:I110)="MOLINOPAMPA")*('AGOSTO 2026'!K6:K110="GASOLINA")*'AGOSTO 2026'!L6:L110*'AGOSTO 2026'!M6:M110),0)</f>
        <v>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" hidden="false" customHeight="true" outlineLevel="0" collapsed="false">
      <c r="A202" s="1" t="s">
        <v>93</v>
      </c>
      <c r="B202" s="1" t="s">
        <v>5173</v>
      </c>
      <c r="C202" s="187" t="n">
        <f aca="false">IFERROR(SUMPRODUCT((IF('SETIEMBRE 2026'!Y6:Y110&lt;&gt;"",'SETIEMBRE 2026'!Y6:Y110,'SETIEMBRE 2026'!I6:I110)="MOLINOPAMPA")*('SETIEMBRE 2026'!K6:K110="PETROLEO")*'SETIEMBRE 2026'!M6:M110),0)</f>
        <v>0</v>
      </c>
      <c r="D202" s="187" t="n">
        <f aca="false">IFERROR(SUMPRODUCT((IF('SETIEMBRE 2026'!Y6:Y110&lt;&gt;"",'SETIEMBRE 2026'!Y6:Y110,'SETIEMBRE 2026'!I6:I110)="MOLINOPAMPA")*('SETIEMBRE 2026'!K6:K110="PETROLEO")*'SETIEMBRE 2026'!L6:L110*'SETIEMBRE 2026'!M6:M110),0)</f>
        <v>0</v>
      </c>
      <c r="E202" s="187" t="n">
        <f aca="false">IFERROR(SUMPRODUCT((IF('SETIEMBRE 2026'!Y6:Y110&lt;&gt;"",'SETIEMBRE 2026'!Y6:Y110,'SETIEMBRE 2026'!I6:I110)="MOLINOPAMPA")*('SETIEMBRE 2026'!K6:K110="GASOLINA")*'SETIEMBRE 2026'!M6:M110),0)</f>
        <v>0</v>
      </c>
      <c r="F202" s="187" t="n">
        <f aca="false">IFERROR(SUMPRODUCT((IF('SETIEMBRE 2026'!Y6:Y110&lt;&gt;"",'SETIEMBRE 2026'!Y6:Y110,'SETIEMBRE 2026'!I6:I110)="MOLINOPAMPA")*('SETIEMBRE 2026'!K6:K110="GASOLINA")*'SETIEMBRE 2026'!L6:L110*'SETIEMBRE 2026'!M6:M110),0)</f>
        <v>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" hidden="false" customHeight="true" outlineLevel="0" collapsed="false">
      <c r="A203" s="1" t="s">
        <v>93</v>
      </c>
      <c r="B203" s="1" t="s">
        <v>5174</v>
      </c>
      <c r="C203" s="187" t="n">
        <f aca="false">IFERROR(SUMPRODUCT((IF('OCTUBRE 2026'!Y6:Y110&lt;&gt;"",'OCTUBRE 2026'!Y6:Y110,'OCTUBRE 2026'!I6:I110)="MOLINOPAMPA")*('OCTUBRE 2026'!K6:K110="PETROLEO")*'OCTUBRE 2026'!M6:M110),0)</f>
        <v>0</v>
      </c>
      <c r="D203" s="187" t="n">
        <f aca="false">IFERROR(SUMPRODUCT((IF('OCTUBRE 2026'!Y6:Y110&lt;&gt;"",'OCTUBRE 2026'!Y6:Y110,'OCTUBRE 2026'!I6:I110)="MOLINOPAMPA")*('OCTUBRE 2026'!K6:K110="PETROLEO")*'OCTUBRE 2026'!L6:L110*'OCTUBRE 2026'!M6:M110),0)</f>
        <v>0</v>
      </c>
      <c r="E203" s="187" t="n">
        <f aca="false">IFERROR(SUMPRODUCT((IF('OCTUBRE 2026'!Y6:Y110&lt;&gt;"",'OCTUBRE 2026'!Y6:Y110,'OCTUBRE 2026'!I6:I110)="MOLINOPAMPA")*('OCTUBRE 2026'!K6:K110="GASOLINA")*'OCTUBRE 2026'!M6:M110),0)</f>
        <v>0</v>
      </c>
      <c r="F203" s="187" t="n">
        <f aca="false">IFERROR(SUMPRODUCT((IF('OCTUBRE 2026'!Y6:Y110&lt;&gt;"",'OCTUBRE 2026'!Y6:Y110,'OCTUBRE 2026'!I6:I110)="MOLINOPAMPA")*('OCTUBRE 2026'!K6:K110="GASOLINA")*'OCTUBRE 2026'!L6:L110*'OCTUBRE 2026'!M6:M110),0)</f>
        <v>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" hidden="false" customHeight="true" outlineLevel="0" collapsed="false">
      <c r="A204" s="1" t="s">
        <v>93</v>
      </c>
      <c r="B204" s="1" t="s">
        <v>5175</v>
      </c>
      <c r="C204" s="187" t="n">
        <f aca="false">IFERROR(SUMPRODUCT((IF('NOVIEMBRE 2026'!Y6:Y110&lt;&gt;"",'NOVIEMBRE 2026'!Y6:Y110,'NOVIEMBRE 2026'!I6:I110)="MOLINOPAMPA")*('NOVIEMBRE 2026'!K6:K110="PETROLEO")*'NOVIEMBRE 2026'!M6:M110),0)</f>
        <v>0</v>
      </c>
      <c r="D204" s="187" t="n">
        <f aca="false">IFERROR(SUMPRODUCT((IF('NOVIEMBRE 2026'!Y6:Y110&lt;&gt;"",'NOVIEMBRE 2026'!Y6:Y110,'NOVIEMBRE 2026'!I6:I110)="MOLINOPAMPA")*('NOVIEMBRE 2026'!K6:K110="PETROLEO")*'NOVIEMBRE 2026'!L6:L110*'NOVIEMBRE 2026'!M6:M110),0)</f>
        <v>0</v>
      </c>
      <c r="E204" s="187" t="n">
        <f aca="false">IFERROR(SUMPRODUCT((IF('NOVIEMBRE 2026'!Y6:Y110&lt;&gt;"",'NOVIEMBRE 2026'!Y6:Y110,'NOVIEMBRE 2026'!I6:I110)="MOLINOPAMPA")*('NOVIEMBRE 2026'!K6:K110="GASOLINA")*'NOVIEMBRE 2026'!M6:M110),0)</f>
        <v>0</v>
      </c>
      <c r="F204" s="187" t="n">
        <f aca="false">IFERROR(SUMPRODUCT((IF('NOVIEMBRE 2026'!Y6:Y110&lt;&gt;"",'NOVIEMBRE 2026'!Y6:Y110,'NOVIEMBRE 2026'!I6:I110)="MOLINOPAMPA")*('NOVIEMBRE 2026'!K6:K110="GASOLINA")*'NOVIEMBRE 2026'!L6:L110*'NOVIEMBRE 2026'!M6:M110),0)</f>
        <v>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" hidden="false" customHeight="true" outlineLevel="0" collapsed="false">
      <c r="A205" s="1" t="s">
        <v>93</v>
      </c>
      <c r="B205" s="1" t="s">
        <v>5176</v>
      </c>
      <c r="C205" s="187" t="n">
        <f aca="false">IFERROR(SUMPRODUCT((IF('DICIEMBRE 2026'!Y6:Y110&lt;&gt;"",'DICIEMBRE 2026'!Y6:Y110,'DICIEMBRE 2026'!I6:I110)="MOLINOPAMPA")*('DICIEMBRE 2026'!K6:K110="PETROLEO")*'DICIEMBRE 2026'!M6:M110),0)</f>
        <v>0</v>
      </c>
      <c r="D205" s="187" t="n">
        <f aca="false">IFERROR(SUMPRODUCT((IF('DICIEMBRE 2026'!Y6:Y110&lt;&gt;"",'DICIEMBRE 2026'!Y6:Y110,'DICIEMBRE 2026'!I6:I110)="MOLINOPAMPA")*('DICIEMBRE 2026'!K6:K110="PETROLEO")*'DICIEMBRE 2026'!L6:L110*'DICIEMBRE 2026'!M6:M110),0)</f>
        <v>0</v>
      </c>
      <c r="E205" s="187" t="n">
        <f aca="false">IFERROR(SUMPRODUCT((IF('DICIEMBRE 2026'!Y6:Y110&lt;&gt;"",'DICIEMBRE 2026'!Y6:Y110,'DICIEMBRE 2026'!I6:I110)="MOLINOPAMPA")*('DICIEMBRE 2026'!K6:K110="GASOLINA")*'DICIEMBRE 2026'!M6:M110),0)</f>
        <v>0</v>
      </c>
      <c r="F205" s="187" t="n">
        <f aca="false">IFERROR(SUMPRODUCT((IF('DICIEMBRE 2026'!Y6:Y110&lt;&gt;"",'DICIEMBRE 2026'!Y6:Y110,'DICIEMBRE 2026'!I6:I110)="MOLINOPAMPA")*('DICIEMBRE 2026'!K6:K110="GASOLINA")*'DICIEMBRE 2026'!L6:L110*'DICIEMBRE 2026'!M6:M110),0)</f>
        <v>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" hidden="false" customHeight="true" outlineLevel="0" collapsed="false">
      <c r="A206" s="1" t="s">
        <v>64</v>
      </c>
      <c r="B206" s="1" t="s">
        <v>5165</v>
      </c>
      <c r="C206" s="187" t="n">
        <f aca="false">IFERROR(SUMPRODUCT((IF('ENERO 2026'!Y6:Y119&lt;&gt;"",'ENERO 2026'!Y6:Y119,'ENERO 2026'!I6:I119)="NUEVO CHIRIMOTO")*('ENERO 2026'!K6:K119="PETROLEO")*'ENERO 2026'!M6:M119),0)</f>
        <v>0</v>
      </c>
      <c r="D206" s="187" t="n">
        <f aca="false">IFERROR(SUMPRODUCT((IF('ENERO 2026'!Y6:Y119&lt;&gt;"",'ENERO 2026'!Y6:Y119,'ENERO 2026'!I6:I119)="NUEVO CHIRIMOTO")*('ENERO 2026'!K6:K119="PETROLEO")*'ENERO 2026'!L6:L119*'ENERO 2026'!M6:M119),0)</f>
        <v>0</v>
      </c>
      <c r="E206" s="187" t="n">
        <f aca="false">IFERROR(SUMPRODUCT((IF('ENERO 2026'!Y6:Y119&lt;&gt;"",'ENERO 2026'!Y6:Y119,'ENERO 2026'!I6:I119)="NUEVO CHIRIMOTO")*('ENERO 2026'!K6:K119="GASOLINA")*'ENERO 2026'!M6:M119),0)</f>
        <v>0</v>
      </c>
      <c r="F206" s="187" t="n">
        <f aca="false">IFERROR(SUMPRODUCT((IF('ENERO 2026'!Y6:Y119&lt;&gt;"",'ENERO 2026'!Y6:Y119,'ENERO 2026'!I6:I119)="NUEVO CHIRIMOTO")*('ENERO 2026'!K6:K119="GASOLINA")*'ENERO 2026'!L6:L119*'ENERO 2026'!M6:M119),0)</f>
        <v>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" hidden="false" customHeight="true" outlineLevel="0" collapsed="false">
      <c r="A207" s="1" t="s">
        <v>64</v>
      </c>
      <c r="B207" s="1" t="s">
        <v>5166</v>
      </c>
      <c r="C207" s="187" t="n">
        <f aca="false">IFERROR(SUMPRODUCT((IF('FEBRERO 2026'!Y6:Y124&lt;&gt;"",'FEBRERO 2026'!Y6:Y124,'FEBRERO 2026'!I6:I124)="NUEVO CHIRIMOTO")*('FEBRERO 2026'!K6:K124="PETROLEO")*'FEBRERO 2026'!M6:M124),0)</f>
        <v>0</v>
      </c>
      <c r="D207" s="187" t="n">
        <f aca="false">IFERROR(SUMPRODUCT((IF('FEBRERO 2026'!Y6:Y124&lt;&gt;"",'FEBRERO 2026'!Y6:Y124,'FEBRERO 2026'!I6:I124)="NUEVO CHIRIMOTO")*('FEBRERO 2026'!K6:K124="PETROLEO")*'FEBRERO 2026'!L6:L124*'FEBRERO 2026'!M6:M124),0)</f>
        <v>0</v>
      </c>
      <c r="E207" s="187" t="n">
        <f aca="false">IFERROR(SUMPRODUCT((IF('FEBRERO 2026'!Y6:Y124&lt;&gt;"",'FEBRERO 2026'!Y6:Y124,'FEBRERO 2026'!I6:I124)="NUEVO CHIRIMOTO")*('FEBRERO 2026'!K6:K124="GASOLINA")*'FEBRERO 2026'!M6:M124),0)</f>
        <v>0</v>
      </c>
      <c r="F207" s="187" t="n">
        <f aca="false">IFERROR(SUMPRODUCT((IF('FEBRERO 2026'!Y6:Y124&lt;&gt;"",'FEBRERO 2026'!Y6:Y124,'FEBRERO 2026'!I6:I124)="NUEVO CHIRIMOTO")*('FEBRERO 2026'!K6:K124="GASOLINA")*'FEBRERO 2026'!L6:L124*'FEBRERO 2026'!M6:M124),0)</f>
        <v>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" hidden="false" customHeight="true" outlineLevel="0" collapsed="false">
      <c r="A208" s="1" t="s">
        <v>64</v>
      </c>
      <c r="B208" s="1" t="s">
        <v>5167</v>
      </c>
      <c r="C208" s="187" t="n">
        <f aca="false">IFERROR(SUMPRODUCT((IF('MARZO 2026'!Y6:Y119&lt;&gt;"",'MARZO 2026'!Y6:Y119,'MARZO 2026'!I6:I119)="NUEVO CHIRIMOTO")*('MARZO 2026'!K6:K119="PETROLEO")*'MARZO 2026'!M6:M119),0)</f>
        <v>0</v>
      </c>
      <c r="D208" s="187" t="n">
        <f aca="false">IFERROR(SUMPRODUCT((IF('MARZO 2026'!Y6:Y119&lt;&gt;"",'MARZO 2026'!Y6:Y119,'MARZO 2026'!I6:I119)="NUEVO CHIRIMOTO")*('MARZO 2026'!K6:K119="PETROLEO")*'MARZO 2026'!L6:L119*'MARZO 2026'!M6:M119),0)</f>
        <v>0</v>
      </c>
      <c r="E208" s="187" t="n">
        <f aca="false">IFERROR(SUMPRODUCT((IF('MARZO 2026'!Y6:Y119&lt;&gt;"",'MARZO 2026'!Y6:Y119,'MARZO 2026'!I6:I119)="NUEVO CHIRIMOTO")*('MARZO 2026'!K6:K119="GASOLINA")*'MARZO 2026'!M6:M119),0)</f>
        <v>0</v>
      </c>
      <c r="F208" s="187" t="n">
        <f aca="false">IFERROR(SUMPRODUCT((IF('MARZO 2026'!Y6:Y119&lt;&gt;"",'MARZO 2026'!Y6:Y119,'MARZO 2026'!I6:I119)="NUEVO CHIRIMOTO")*('MARZO 2026'!K6:K119="GASOLINA")*'MARZO 2026'!L6:L119*'MARZO 2026'!M6:M119),0)</f>
        <v>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" hidden="false" customHeight="true" outlineLevel="0" collapsed="false">
      <c r="A209" s="1" t="s">
        <v>64</v>
      </c>
      <c r="B209" s="1" t="s">
        <v>5168</v>
      </c>
      <c r="C209" s="187" t="n">
        <f aca="false">IFERROR(SUMPRODUCT((IF('ABRIL 2026'!Y6:Y119&lt;&gt;"",'ABRIL 2026'!Y6:Y119,'ABRIL 2026'!I6:I119)="NUEVO CHIRIMOTO")*('ABRIL 2026'!K6:K119="PETROLEO")*'ABRIL 2026'!M6:M119),0)</f>
        <v>0</v>
      </c>
      <c r="D209" s="187" t="n">
        <f aca="false">IFERROR(SUMPRODUCT((IF('ABRIL 2026'!Y6:Y119&lt;&gt;"",'ABRIL 2026'!Y6:Y119,'ABRIL 2026'!I6:I119)="NUEVO CHIRIMOTO")*('ABRIL 2026'!K6:K119="PETROLEO")*'ABRIL 2026'!L6:L119*'ABRIL 2026'!M6:M119),0)</f>
        <v>0</v>
      </c>
      <c r="E209" s="187" t="n">
        <f aca="false">IFERROR(SUMPRODUCT((IF('ABRIL 2026'!Y6:Y119&lt;&gt;"",'ABRIL 2026'!Y6:Y119,'ABRIL 2026'!I6:I119)="NUEVO CHIRIMOTO")*('ABRIL 2026'!K6:K119="GASOLINA")*'ABRIL 2026'!M6:M119),0)</f>
        <v>0</v>
      </c>
      <c r="F209" s="187" t="n">
        <f aca="false">IFERROR(SUMPRODUCT((IF('ABRIL 2026'!Y6:Y119&lt;&gt;"",'ABRIL 2026'!Y6:Y119,'ABRIL 2026'!I6:I119)="NUEVO CHIRIMOTO")*('ABRIL 2026'!K6:K119="GASOLINA")*'ABRIL 2026'!L6:L119*'ABRIL 2026'!M6:M119),0)</f>
        <v>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" hidden="false" customHeight="true" outlineLevel="0" collapsed="false">
      <c r="A210" s="1" t="s">
        <v>64</v>
      </c>
      <c r="B210" s="1" t="s">
        <v>5169</v>
      </c>
      <c r="C210" s="187" t="n">
        <f aca="false">IFERROR(SUMPRODUCT((IF('MAYO 2026'!Y6:Y110&lt;&gt;"",'MAYO 2026'!Y6:Y110,'MAYO 2026'!I6:I110)="NUEVO CHIRIMOTO")*('MAYO 2026'!K6:K110="PETROLEO")*'MAYO 2026'!M6:M110),0)</f>
        <v>0</v>
      </c>
      <c r="D210" s="187" t="n">
        <f aca="false">IFERROR(SUMPRODUCT((IF('MAYO 2026'!Y6:Y110&lt;&gt;"",'MAYO 2026'!Y6:Y110,'MAYO 2026'!I6:I110)="NUEVO CHIRIMOTO")*('MAYO 2026'!K6:K110="PETROLEO")*'MAYO 2026'!L6:L110*'MAYO 2026'!M6:M110),0)</f>
        <v>0</v>
      </c>
      <c r="E210" s="187" t="n">
        <f aca="false">IFERROR(SUMPRODUCT((IF('MAYO 2026'!Y6:Y110&lt;&gt;"",'MAYO 2026'!Y6:Y110,'MAYO 2026'!I6:I110)="NUEVO CHIRIMOTO")*('MAYO 2026'!K6:K110="GASOLINA")*'MAYO 2026'!M6:M110),0)</f>
        <v>0</v>
      </c>
      <c r="F210" s="187" t="n">
        <f aca="false">IFERROR(SUMPRODUCT((IF('MAYO 2026'!Y6:Y110&lt;&gt;"",'MAYO 2026'!Y6:Y110,'MAYO 2026'!I6:I110)="NUEVO CHIRIMOTO")*('MAYO 2026'!K6:K110="GASOLINA")*'MAYO 2026'!L6:L110*'MAYO 2026'!M6:M110),0)</f>
        <v>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" hidden="false" customHeight="true" outlineLevel="0" collapsed="false">
      <c r="A211" s="1" t="s">
        <v>64</v>
      </c>
      <c r="B211" s="1" t="s">
        <v>5170</v>
      </c>
      <c r="C211" s="187" t="n">
        <f aca="false">IFERROR(SUMPRODUCT((IF('JUNIO 2026'!Y6:Y110&lt;&gt;"",'JUNIO 2026'!Y6:Y110,'JUNIO 2026'!I6:I110)="NUEVO CHIRIMOTO")*('JUNIO 2026'!K6:K110="PETROLEO")*'JUNIO 2026'!M6:M110),0)</f>
        <v>0</v>
      </c>
      <c r="D211" s="187" t="n">
        <f aca="false">IFERROR(SUMPRODUCT((IF('JUNIO 2026'!Y6:Y110&lt;&gt;"",'JUNIO 2026'!Y6:Y110,'JUNIO 2026'!I6:I110)="NUEVO CHIRIMOTO")*('JUNIO 2026'!K6:K110="PETROLEO")*'JUNIO 2026'!L6:L110*'JUNIO 2026'!M6:M110),0)</f>
        <v>0</v>
      </c>
      <c r="E211" s="187" t="n">
        <f aca="false">IFERROR(SUMPRODUCT((IF('JUNIO 2026'!Y6:Y110&lt;&gt;"",'JUNIO 2026'!Y6:Y110,'JUNIO 2026'!I6:I110)="NUEVO CHIRIMOTO")*('JUNIO 2026'!K6:K110="GASOLINA")*'JUNIO 2026'!M6:M110),0)</f>
        <v>0</v>
      </c>
      <c r="F211" s="187" t="n">
        <f aca="false">IFERROR(SUMPRODUCT((IF('JUNIO 2026'!Y6:Y110&lt;&gt;"",'JUNIO 2026'!Y6:Y110,'JUNIO 2026'!I6:I110)="NUEVO CHIRIMOTO")*('JUNIO 2026'!K6:K110="GASOLINA")*'JUNIO 2026'!L6:L110*'JUNIO 2026'!M6:M110),0)</f>
        <v>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" hidden="false" customHeight="true" outlineLevel="0" collapsed="false">
      <c r="A212" s="1" t="s">
        <v>64</v>
      </c>
      <c r="B212" s="1" t="s">
        <v>5171</v>
      </c>
      <c r="C212" s="187" t="n">
        <f aca="false">IFERROR(SUMPRODUCT((IF('JULIO 2026'!Y6:Y110&lt;&gt;"",'JULIO 2026'!Y6:Y110,'JULIO 2026'!I6:I110)="NUEVO CHIRIMOTO")*('JULIO 2026'!K6:K110="PETROLEO")*'JULIO 2026'!M6:M110),0)</f>
        <v>0</v>
      </c>
      <c r="D212" s="187" t="n">
        <f aca="false">IFERROR(SUMPRODUCT((IF('JULIO 2026'!Y6:Y110&lt;&gt;"",'JULIO 2026'!Y6:Y110,'JULIO 2026'!I6:I110)="NUEVO CHIRIMOTO")*('JULIO 2026'!K6:K110="PETROLEO")*'JULIO 2026'!L6:L110*'JULIO 2026'!M6:M110),0)</f>
        <v>0</v>
      </c>
      <c r="E212" s="187" t="n">
        <f aca="false">IFERROR(SUMPRODUCT((IF('JULIO 2026'!Y6:Y110&lt;&gt;"",'JULIO 2026'!Y6:Y110,'JULIO 2026'!I6:I110)="NUEVO CHIRIMOTO")*('JULIO 2026'!K6:K110="GASOLINA")*'JULIO 2026'!M6:M110),0)</f>
        <v>0</v>
      </c>
      <c r="F212" s="187" t="n">
        <f aca="false">IFERROR(SUMPRODUCT((IF('JULIO 2026'!Y6:Y110&lt;&gt;"",'JULIO 2026'!Y6:Y110,'JULIO 2026'!I6:I110)="NUEVO CHIRIMOTO")*('JULIO 2026'!K6:K110="GASOLINA")*'JULIO 2026'!L6:L110*'JULIO 2026'!M6:M110),0)</f>
        <v>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" hidden="false" customHeight="true" outlineLevel="0" collapsed="false">
      <c r="A213" s="1" t="s">
        <v>64</v>
      </c>
      <c r="B213" s="1" t="s">
        <v>5172</v>
      </c>
      <c r="C213" s="187" t="n">
        <f aca="false">IFERROR(SUMPRODUCT((IF('AGOSTO 2026'!Y6:Y110&lt;&gt;"",'AGOSTO 2026'!Y6:Y110,'AGOSTO 2026'!I6:I110)="NUEVO CHIRIMOTO")*('AGOSTO 2026'!K6:K110="PETROLEO")*'AGOSTO 2026'!M6:M110),0)</f>
        <v>0</v>
      </c>
      <c r="D213" s="187" t="n">
        <f aca="false">IFERROR(SUMPRODUCT((IF('AGOSTO 2026'!Y6:Y110&lt;&gt;"",'AGOSTO 2026'!Y6:Y110,'AGOSTO 2026'!I6:I110)="NUEVO CHIRIMOTO")*('AGOSTO 2026'!K6:K110="PETROLEO")*'AGOSTO 2026'!L6:L110*'AGOSTO 2026'!M6:M110),0)</f>
        <v>0</v>
      </c>
      <c r="E213" s="187" t="n">
        <f aca="false">IFERROR(SUMPRODUCT((IF('AGOSTO 2026'!Y6:Y110&lt;&gt;"",'AGOSTO 2026'!Y6:Y110,'AGOSTO 2026'!I6:I110)="NUEVO CHIRIMOTO")*('AGOSTO 2026'!K6:K110="GASOLINA")*'AGOSTO 2026'!M6:M110),0)</f>
        <v>0</v>
      </c>
      <c r="F213" s="187" t="n">
        <f aca="false">IFERROR(SUMPRODUCT((IF('AGOSTO 2026'!Y6:Y110&lt;&gt;"",'AGOSTO 2026'!Y6:Y110,'AGOSTO 2026'!I6:I110)="NUEVO CHIRIMOTO")*('AGOSTO 2026'!K6:K110="GASOLINA")*'AGOSTO 2026'!L6:L110*'AGOSTO 2026'!M6:M110),0)</f>
        <v>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" hidden="false" customHeight="true" outlineLevel="0" collapsed="false">
      <c r="A214" s="1" t="s">
        <v>64</v>
      </c>
      <c r="B214" s="1" t="s">
        <v>5173</v>
      </c>
      <c r="C214" s="187" t="n">
        <f aca="false">IFERROR(SUMPRODUCT((IF('SETIEMBRE 2026'!Y6:Y110&lt;&gt;"",'SETIEMBRE 2026'!Y6:Y110,'SETIEMBRE 2026'!I6:I110)="NUEVO CHIRIMOTO")*('SETIEMBRE 2026'!K6:K110="PETROLEO")*'SETIEMBRE 2026'!M6:M110),0)</f>
        <v>0</v>
      </c>
      <c r="D214" s="187" t="n">
        <f aca="false">IFERROR(SUMPRODUCT((IF('SETIEMBRE 2026'!Y6:Y110&lt;&gt;"",'SETIEMBRE 2026'!Y6:Y110,'SETIEMBRE 2026'!I6:I110)="NUEVO CHIRIMOTO")*('SETIEMBRE 2026'!K6:K110="PETROLEO")*'SETIEMBRE 2026'!L6:L110*'SETIEMBRE 2026'!M6:M110),0)</f>
        <v>0</v>
      </c>
      <c r="E214" s="187" t="n">
        <f aca="false">IFERROR(SUMPRODUCT((IF('SETIEMBRE 2026'!Y6:Y110&lt;&gt;"",'SETIEMBRE 2026'!Y6:Y110,'SETIEMBRE 2026'!I6:I110)="NUEVO CHIRIMOTO")*('SETIEMBRE 2026'!K6:K110="GASOLINA")*'SETIEMBRE 2026'!M6:M110),0)</f>
        <v>0</v>
      </c>
      <c r="F214" s="187" t="n">
        <f aca="false">IFERROR(SUMPRODUCT((IF('SETIEMBRE 2026'!Y6:Y110&lt;&gt;"",'SETIEMBRE 2026'!Y6:Y110,'SETIEMBRE 2026'!I6:I110)="NUEVO CHIRIMOTO")*('SETIEMBRE 2026'!K6:K110="GASOLINA")*'SETIEMBRE 2026'!L6:L110*'SETIEMBRE 2026'!M6:M110),0)</f>
        <v>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" hidden="false" customHeight="true" outlineLevel="0" collapsed="false">
      <c r="A215" s="1" t="s">
        <v>64</v>
      </c>
      <c r="B215" s="1" t="s">
        <v>5174</v>
      </c>
      <c r="C215" s="187" t="n">
        <f aca="false">IFERROR(SUMPRODUCT((IF('OCTUBRE 2026'!Y6:Y110&lt;&gt;"",'OCTUBRE 2026'!Y6:Y110,'OCTUBRE 2026'!I6:I110)="NUEVO CHIRIMOTO")*('OCTUBRE 2026'!K6:K110="PETROLEO")*'OCTUBRE 2026'!M6:M110),0)</f>
        <v>0</v>
      </c>
      <c r="D215" s="187" t="n">
        <f aca="false">IFERROR(SUMPRODUCT((IF('OCTUBRE 2026'!Y6:Y110&lt;&gt;"",'OCTUBRE 2026'!Y6:Y110,'OCTUBRE 2026'!I6:I110)="NUEVO CHIRIMOTO")*('OCTUBRE 2026'!K6:K110="PETROLEO")*'OCTUBRE 2026'!L6:L110*'OCTUBRE 2026'!M6:M110),0)</f>
        <v>0</v>
      </c>
      <c r="E215" s="187" t="n">
        <f aca="false">IFERROR(SUMPRODUCT((IF('OCTUBRE 2026'!Y6:Y110&lt;&gt;"",'OCTUBRE 2026'!Y6:Y110,'OCTUBRE 2026'!I6:I110)="NUEVO CHIRIMOTO")*('OCTUBRE 2026'!K6:K110="GASOLINA")*'OCTUBRE 2026'!M6:M110),0)</f>
        <v>0</v>
      </c>
      <c r="F215" s="187" t="n">
        <f aca="false">IFERROR(SUMPRODUCT((IF('OCTUBRE 2026'!Y6:Y110&lt;&gt;"",'OCTUBRE 2026'!Y6:Y110,'OCTUBRE 2026'!I6:I110)="NUEVO CHIRIMOTO")*('OCTUBRE 2026'!K6:K110="GASOLINA")*'OCTUBRE 2026'!L6:L110*'OCTUBRE 2026'!M6:M110),0)</f>
        <v>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" hidden="false" customHeight="true" outlineLevel="0" collapsed="false">
      <c r="A216" s="1" t="s">
        <v>64</v>
      </c>
      <c r="B216" s="1" t="s">
        <v>5175</v>
      </c>
      <c r="C216" s="187" t="n">
        <f aca="false">IFERROR(SUMPRODUCT((IF('NOVIEMBRE 2026'!Y6:Y110&lt;&gt;"",'NOVIEMBRE 2026'!Y6:Y110,'NOVIEMBRE 2026'!I6:I110)="NUEVO CHIRIMOTO")*('NOVIEMBRE 2026'!K6:K110="PETROLEO")*'NOVIEMBRE 2026'!M6:M110),0)</f>
        <v>0</v>
      </c>
      <c r="D216" s="187" t="n">
        <f aca="false">IFERROR(SUMPRODUCT((IF('NOVIEMBRE 2026'!Y6:Y110&lt;&gt;"",'NOVIEMBRE 2026'!Y6:Y110,'NOVIEMBRE 2026'!I6:I110)="NUEVO CHIRIMOTO")*('NOVIEMBRE 2026'!K6:K110="PETROLEO")*'NOVIEMBRE 2026'!L6:L110*'NOVIEMBRE 2026'!M6:M110),0)</f>
        <v>0</v>
      </c>
      <c r="E216" s="187" t="n">
        <f aca="false">IFERROR(SUMPRODUCT((IF('NOVIEMBRE 2026'!Y6:Y110&lt;&gt;"",'NOVIEMBRE 2026'!Y6:Y110,'NOVIEMBRE 2026'!I6:I110)="NUEVO CHIRIMOTO")*('NOVIEMBRE 2026'!K6:K110="GASOLINA")*'NOVIEMBRE 2026'!M6:M110),0)</f>
        <v>0</v>
      </c>
      <c r="F216" s="187" t="n">
        <f aca="false">IFERROR(SUMPRODUCT((IF('NOVIEMBRE 2026'!Y6:Y110&lt;&gt;"",'NOVIEMBRE 2026'!Y6:Y110,'NOVIEMBRE 2026'!I6:I110)="NUEVO CHIRIMOTO")*('NOVIEMBRE 2026'!K6:K110="GASOLINA")*'NOVIEMBRE 2026'!L6:L110*'NOVIEMBRE 2026'!M6:M110),0)</f>
        <v>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" hidden="false" customHeight="true" outlineLevel="0" collapsed="false">
      <c r="A217" s="1" t="s">
        <v>64</v>
      </c>
      <c r="B217" s="1" t="s">
        <v>5176</v>
      </c>
      <c r="C217" s="187" t="n">
        <f aca="false">IFERROR(SUMPRODUCT((IF('DICIEMBRE 2026'!Y6:Y110&lt;&gt;"",'DICIEMBRE 2026'!Y6:Y110,'DICIEMBRE 2026'!I6:I110)="NUEVO CHIRIMOTO")*('DICIEMBRE 2026'!K6:K110="PETROLEO")*'DICIEMBRE 2026'!M6:M110),0)</f>
        <v>0</v>
      </c>
      <c r="D217" s="187" t="n">
        <f aca="false">IFERROR(SUMPRODUCT((IF('DICIEMBRE 2026'!Y6:Y110&lt;&gt;"",'DICIEMBRE 2026'!Y6:Y110,'DICIEMBRE 2026'!I6:I110)="NUEVO CHIRIMOTO")*('DICIEMBRE 2026'!K6:K110="PETROLEO")*'DICIEMBRE 2026'!L6:L110*'DICIEMBRE 2026'!M6:M110),0)</f>
        <v>0</v>
      </c>
      <c r="E217" s="187" t="n">
        <f aca="false">IFERROR(SUMPRODUCT((IF('DICIEMBRE 2026'!Y6:Y110&lt;&gt;"",'DICIEMBRE 2026'!Y6:Y110,'DICIEMBRE 2026'!I6:I110)="NUEVO CHIRIMOTO")*('DICIEMBRE 2026'!K6:K110="GASOLINA")*'DICIEMBRE 2026'!M6:M110),0)</f>
        <v>0</v>
      </c>
      <c r="F217" s="187" t="n">
        <f aca="false">IFERROR(SUMPRODUCT((IF('DICIEMBRE 2026'!Y6:Y110&lt;&gt;"",'DICIEMBRE 2026'!Y6:Y110,'DICIEMBRE 2026'!I6:I110)="NUEVO CHIRIMOTO")*('DICIEMBRE 2026'!K6:K110="GASOLINA")*'DICIEMBRE 2026'!L6:L110*'DICIEMBRE 2026'!M6:M110),0)</f>
        <v>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 t="s">
        <v>66</v>
      </c>
      <c r="B218" s="1" t="s">
        <v>5165</v>
      </c>
      <c r="C218" s="187" t="n">
        <f aca="false">IFERROR(SUMPRODUCT((IF('ENERO 2026'!Y6:Y119&lt;&gt;"",'ENERO 2026'!Y6:Y119,'ENERO 2026'!I6:I119)="OCALLI")*('ENERO 2026'!K6:K119="PETROLEO")*'ENERO 2026'!M6:M119),0)</f>
        <v>40</v>
      </c>
      <c r="D218" s="187" t="n">
        <f aca="false">IFERROR(SUMPRODUCT((IF('ENERO 2026'!Y6:Y119&lt;&gt;"",'ENERO 2026'!Y6:Y119,'ENERO 2026'!I6:I119)="OCALLI")*('ENERO 2026'!K6:K119="PETROLEO")*'ENERO 2026'!L6:L119*'ENERO 2026'!M6:M119),0)</f>
        <v>727.2</v>
      </c>
      <c r="E218" s="187" t="n">
        <f aca="false">IFERROR(SUMPRODUCT((IF('ENERO 2026'!Y6:Y119&lt;&gt;"",'ENERO 2026'!Y6:Y119,'ENERO 2026'!I6:I119)="OCALLI")*('ENERO 2026'!K6:K119="GASOLINA")*'ENERO 2026'!M6:M119),0)</f>
        <v>0</v>
      </c>
      <c r="F218" s="187" t="n">
        <f aca="false">IFERROR(SUMPRODUCT((IF('ENERO 2026'!Y6:Y119&lt;&gt;"",'ENERO 2026'!Y6:Y119,'ENERO 2026'!I6:I119)="OCALLI")*('ENERO 2026'!K6:K119="GASOLINA")*'ENERO 2026'!L6:L119*'ENERO 2026'!M6:M119),0)</f>
        <v>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 t="s">
        <v>66</v>
      </c>
      <c r="B219" s="1" t="s">
        <v>5166</v>
      </c>
      <c r="C219" s="187" t="n">
        <f aca="false">IFERROR(SUMPRODUCT((IF('FEBRERO 2026'!Y6:Y124&lt;&gt;"",'FEBRERO 2026'!Y6:Y124,'FEBRERO 2026'!I6:I124)="OCALLI")*('FEBRERO 2026'!K6:K124="PETROLEO")*'FEBRERO 2026'!M6:M124),0)</f>
        <v>46</v>
      </c>
      <c r="D219" s="187" t="n">
        <f aca="false">IFERROR(SUMPRODUCT((IF('FEBRERO 2026'!Y6:Y124&lt;&gt;"",'FEBRERO 2026'!Y6:Y124,'FEBRERO 2026'!I6:I124)="OCALLI")*('FEBRERO 2026'!K6:K124="PETROLEO")*'FEBRERO 2026'!L6:L124*'FEBRERO 2026'!M6:M124),0)</f>
        <v>836.28</v>
      </c>
      <c r="E219" s="187" t="n">
        <f aca="false">IFERROR(SUMPRODUCT((IF('FEBRERO 2026'!Y6:Y124&lt;&gt;"",'FEBRERO 2026'!Y6:Y124,'FEBRERO 2026'!I6:I124)="OCALLI")*('FEBRERO 2026'!K6:K124="GASOLINA")*'FEBRERO 2026'!M6:M124),0)</f>
        <v>0</v>
      </c>
      <c r="F219" s="187" t="n">
        <f aca="false">IFERROR(SUMPRODUCT((IF('FEBRERO 2026'!Y6:Y124&lt;&gt;"",'FEBRERO 2026'!Y6:Y124,'FEBRERO 2026'!I6:I124)="OCALLI")*('FEBRERO 2026'!K6:K124="GASOLINA")*'FEBRERO 2026'!L6:L124*'FEBRERO 2026'!M6:M124),0)</f>
        <v>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 t="s">
        <v>66</v>
      </c>
      <c r="B220" s="1" t="s">
        <v>5167</v>
      </c>
      <c r="C220" s="187" t="n">
        <f aca="false">IFERROR(SUMPRODUCT((IF('MARZO 2026'!Y6:Y119&lt;&gt;"",'MARZO 2026'!Y6:Y119,'MARZO 2026'!I6:I119)="OCALLI")*('MARZO 2026'!K6:K119="PETROLEO")*'MARZO 2026'!M6:M119),0)</f>
        <v>42</v>
      </c>
      <c r="D220" s="187" t="n">
        <f aca="false">IFERROR(SUMPRODUCT((IF('MARZO 2026'!Y6:Y119&lt;&gt;"",'MARZO 2026'!Y6:Y119,'MARZO 2026'!I6:I119)="OCALLI")*('MARZO 2026'!K6:K119="PETROLEO")*'MARZO 2026'!L6:L119*'MARZO 2026'!M6:M119),0)</f>
        <v>763.56</v>
      </c>
      <c r="E220" s="187" t="n">
        <f aca="false">IFERROR(SUMPRODUCT((IF('MARZO 2026'!Y6:Y119&lt;&gt;"",'MARZO 2026'!Y6:Y119,'MARZO 2026'!I6:I119)="OCALLI")*('MARZO 2026'!K6:K119="GASOLINA")*'MARZO 2026'!M6:M119),0)</f>
        <v>0</v>
      </c>
      <c r="F220" s="187" t="n">
        <f aca="false">IFERROR(SUMPRODUCT((IF('MARZO 2026'!Y6:Y119&lt;&gt;"",'MARZO 2026'!Y6:Y119,'MARZO 2026'!I6:I119)="OCALLI")*('MARZO 2026'!K6:K119="GASOLINA")*'MARZO 2026'!L6:L119*'MARZO 2026'!M6:M119),0)</f>
        <v>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 t="s">
        <v>66</v>
      </c>
      <c r="B221" s="1" t="s">
        <v>5168</v>
      </c>
      <c r="C221" s="187" t="n">
        <f aca="false">IFERROR(SUMPRODUCT((IF('ABRIL 2026'!Y6:Y119&lt;&gt;"",'ABRIL 2026'!Y6:Y119,'ABRIL 2026'!I6:I119)="OCALLI")*('ABRIL 2026'!K6:K119="PETROLEO")*'ABRIL 2026'!M6:M119),0)</f>
        <v>0</v>
      </c>
      <c r="D221" s="187" t="n">
        <f aca="false">IFERROR(SUMPRODUCT((IF('ABRIL 2026'!Y6:Y119&lt;&gt;"",'ABRIL 2026'!Y6:Y119,'ABRIL 2026'!I6:I119)="OCALLI")*('ABRIL 2026'!K6:K119="PETROLEO")*'ABRIL 2026'!L6:L119*'ABRIL 2026'!M6:M119),0)</f>
        <v>0</v>
      </c>
      <c r="E221" s="187" t="n">
        <f aca="false">IFERROR(SUMPRODUCT((IF('ABRIL 2026'!Y6:Y119&lt;&gt;"",'ABRIL 2026'!Y6:Y119,'ABRIL 2026'!I6:I119)="OCALLI")*('ABRIL 2026'!K6:K119="GASOLINA")*'ABRIL 2026'!M6:M119),0)</f>
        <v>0</v>
      </c>
      <c r="F221" s="187" t="n">
        <f aca="false">IFERROR(SUMPRODUCT((IF('ABRIL 2026'!Y6:Y119&lt;&gt;"",'ABRIL 2026'!Y6:Y119,'ABRIL 2026'!I6:I119)="OCALLI")*('ABRIL 2026'!K6:K119="GASOLINA")*'ABRIL 2026'!L6:L119*'ABRIL 2026'!M6:M119),0)</f>
        <v>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 t="s">
        <v>66</v>
      </c>
      <c r="B222" s="1" t="s">
        <v>5169</v>
      </c>
      <c r="C222" s="187" t="n">
        <f aca="false">IFERROR(SUMPRODUCT((IF('MAYO 2026'!Y6:Y110&lt;&gt;"",'MAYO 2026'!Y6:Y110,'MAYO 2026'!I6:I110)="OCALLI")*('MAYO 2026'!K6:K110="PETROLEO")*'MAYO 2026'!M6:M110),0)</f>
        <v>0</v>
      </c>
      <c r="D222" s="187" t="n">
        <f aca="false">IFERROR(SUMPRODUCT((IF('MAYO 2026'!Y6:Y110&lt;&gt;"",'MAYO 2026'!Y6:Y110,'MAYO 2026'!I6:I110)="OCALLI")*('MAYO 2026'!K6:K110="PETROLEO")*'MAYO 2026'!L6:L110*'MAYO 2026'!M6:M110),0)</f>
        <v>0</v>
      </c>
      <c r="E222" s="187" t="n">
        <f aca="false">IFERROR(SUMPRODUCT((IF('MAYO 2026'!Y6:Y110&lt;&gt;"",'MAYO 2026'!Y6:Y110,'MAYO 2026'!I6:I110)="OCALLI")*('MAYO 2026'!K6:K110="GASOLINA")*'MAYO 2026'!M6:M110),0)</f>
        <v>0</v>
      </c>
      <c r="F222" s="187" t="n">
        <f aca="false">IFERROR(SUMPRODUCT((IF('MAYO 2026'!Y6:Y110&lt;&gt;"",'MAYO 2026'!Y6:Y110,'MAYO 2026'!I6:I110)="OCALLI")*('MAYO 2026'!K6:K110="GASOLINA")*'MAYO 2026'!L6:L110*'MAYO 2026'!M6:M110),0)</f>
        <v>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 t="s">
        <v>66</v>
      </c>
      <c r="B223" s="1" t="s">
        <v>5170</v>
      </c>
      <c r="C223" s="187" t="n">
        <f aca="false">IFERROR(SUMPRODUCT((IF('JUNIO 2026'!Y6:Y110&lt;&gt;"",'JUNIO 2026'!Y6:Y110,'JUNIO 2026'!I6:I110)="OCALLI")*('JUNIO 2026'!K6:K110="PETROLEO")*'JUNIO 2026'!M6:M110),0)</f>
        <v>0</v>
      </c>
      <c r="D223" s="187" t="n">
        <f aca="false">IFERROR(SUMPRODUCT((IF('JUNIO 2026'!Y6:Y110&lt;&gt;"",'JUNIO 2026'!Y6:Y110,'JUNIO 2026'!I6:I110)="OCALLI")*('JUNIO 2026'!K6:K110="PETROLEO")*'JUNIO 2026'!L6:L110*'JUNIO 2026'!M6:M110),0)</f>
        <v>0</v>
      </c>
      <c r="E223" s="187" t="n">
        <f aca="false">IFERROR(SUMPRODUCT((IF('JUNIO 2026'!Y6:Y110&lt;&gt;"",'JUNIO 2026'!Y6:Y110,'JUNIO 2026'!I6:I110)="OCALLI")*('JUNIO 2026'!K6:K110="GASOLINA")*'JUNIO 2026'!M6:M110),0)</f>
        <v>0</v>
      </c>
      <c r="F223" s="187" t="n">
        <f aca="false">IFERROR(SUMPRODUCT((IF('JUNIO 2026'!Y6:Y110&lt;&gt;"",'JUNIO 2026'!Y6:Y110,'JUNIO 2026'!I6:I110)="OCALLI")*('JUNIO 2026'!K6:K110="GASOLINA")*'JUNIO 2026'!L6:L110*'JUNIO 2026'!M6:M110),0)</f>
        <v>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 t="s">
        <v>66</v>
      </c>
      <c r="B224" s="1" t="s">
        <v>5171</v>
      </c>
      <c r="C224" s="187" t="n">
        <f aca="false">IFERROR(SUMPRODUCT((IF('JULIO 2026'!Y6:Y110&lt;&gt;"",'JULIO 2026'!Y6:Y110,'JULIO 2026'!I6:I110)="OCALLI")*('JULIO 2026'!K6:K110="PETROLEO")*'JULIO 2026'!M6:M110),0)</f>
        <v>0</v>
      </c>
      <c r="D224" s="187" t="n">
        <f aca="false">IFERROR(SUMPRODUCT((IF('JULIO 2026'!Y6:Y110&lt;&gt;"",'JULIO 2026'!Y6:Y110,'JULIO 2026'!I6:I110)="OCALLI")*('JULIO 2026'!K6:K110="PETROLEO")*'JULIO 2026'!L6:L110*'JULIO 2026'!M6:M110),0)</f>
        <v>0</v>
      </c>
      <c r="E224" s="187" t="n">
        <f aca="false">IFERROR(SUMPRODUCT((IF('JULIO 2026'!Y6:Y110&lt;&gt;"",'JULIO 2026'!Y6:Y110,'JULIO 2026'!I6:I110)="OCALLI")*('JULIO 2026'!K6:K110="GASOLINA")*'JULIO 2026'!M6:M110),0)</f>
        <v>0</v>
      </c>
      <c r="F224" s="187" t="n">
        <f aca="false">IFERROR(SUMPRODUCT((IF('JULIO 2026'!Y6:Y110&lt;&gt;"",'JULIO 2026'!Y6:Y110,'JULIO 2026'!I6:I110)="OCALLI")*('JULIO 2026'!K6:K110="GASOLINA")*'JULIO 2026'!L6:L110*'JULIO 2026'!M6:M110),0)</f>
        <v>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 t="s">
        <v>66</v>
      </c>
      <c r="B225" s="1" t="s">
        <v>5172</v>
      </c>
      <c r="C225" s="187" t="n">
        <f aca="false">IFERROR(SUMPRODUCT((IF('AGOSTO 2026'!Y6:Y110&lt;&gt;"",'AGOSTO 2026'!Y6:Y110,'AGOSTO 2026'!I6:I110)="OCALLI")*('AGOSTO 2026'!K6:K110="PETROLEO")*'AGOSTO 2026'!M6:M110),0)</f>
        <v>0</v>
      </c>
      <c r="D225" s="187" t="n">
        <f aca="false">IFERROR(SUMPRODUCT((IF('AGOSTO 2026'!Y6:Y110&lt;&gt;"",'AGOSTO 2026'!Y6:Y110,'AGOSTO 2026'!I6:I110)="OCALLI")*('AGOSTO 2026'!K6:K110="PETROLEO")*'AGOSTO 2026'!L6:L110*'AGOSTO 2026'!M6:M110),0)</f>
        <v>0</v>
      </c>
      <c r="E225" s="187" t="n">
        <f aca="false">IFERROR(SUMPRODUCT((IF('AGOSTO 2026'!Y6:Y110&lt;&gt;"",'AGOSTO 2026'!Y6:Y110,'AGOSTO 2026'!I6:I110)="OCALLI")*('AGOSTO 2026'!K6:K110="GASOLINA")*'AGOSTO 2026'!M6:M110),0)</f>
        <v>0</v>
      </c>
      <c r="F225" s="187" t="n">
        <f aca="false">IFERROR(SUMPRODUCT((IF('AGOSTO 2026'!Y6:Y110&lt;&gt;"",'AGOSTO 2026'!Y6:Y110,'AGOSTO 2026'!I6:I110)="OCALLI")*('AGOSTO 2026'!K6:K110="GASOLINA")*'AGOSTO 2026'!L6:L110*'AGOSTO 2026'!M6:M110),0)</f>
        <v>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 t="s">
        <v>66</v>
      </c>
      <c r="B226" s="1" t="s">
        <v>5173</v>
      </c>
      <c r="C226" s="187" t="n">
        <f aca="false">IFERROR(SUMPRODUCT((IF('SETIEMBRE 2026'!Y6:Y110&lt;&gt;"",'SETIEMBRE 2026'!Y6:Y110,'SETIEMBRE 2026'!I6:I110)="OCALLI")*('SETIEMBRE 2026'!K6:K110="PETROLEO")*'SETIEMBRE 2026'!M6:M110),0)</f>
        <v>0</v>
      </c>
      <c r="D226" s="187" t="n">
        <f aca="false">IFERROR(SUMPRODUCT((IF('SETIEMBRE 2026'!Y6:Y110&lt;&gt;"",'SETIEMBRE 2026'!Y6:Y110,'SETIEMBRE 2026'!I6:I110)="OCALLI")*('SETIEMBRE 2026'!K6:K110="PETROLEO")*'SETIEMBRE 2026'!L6:L110*'SETIEMBRE 2026'!M6:M110),0)</f>
        <v>0</v>
      </c>
      <c r="E226" s="187" t="n">
        <f aca="false">IFERROR(SUMPRODUCT((IF('SETIEMBRE 2026'!Y6:Y110&lt;&gt;"",'SETIEMBRE 2026'!Y6:Y110,'SETIEMBRE 2026'!I6:I110)="OCALLI")*('SETIEMBRE 2026'!K6:K110="GASOLINA")*'SETIEMBRE 2026'!M6:M110),0)</f>
        <v>0</v>
      </c>
      <c r="F226" s="187" t="n">
        <f aca="false">IFERROR(SUMPRODUCT((IF('SETIEMBRE 2026'!Y6:Y110&lt;&gt;"",'SETIEMBRE 2026'!Y6:Y110,'SETIEMBRE 2026'!I6:I110)="OCALLI")*('SETIEMBRE 2026'!K6:K110="GASOLINA")*'SETIEMBRE 2026'!L6:L110*'SETIEMBRE 2026'!M6:M110),0)</f>
        <v>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 t="s">
        <v>66</v>
      </c>
      <c r="B227" s="1" t="s">
        <v>5174</v>
      </c>
      <c r="C227" s="187" t="n">
        <f aca="false">IFERROR(SUMPRODUCT((IF('OCTUBRE 2026'!Y6:Y110&lt;&gt;"",'OCTUBRE 2026'!Y6:Y110,'OCTUBRE 2026'!I6:I110)="OCALLI")*('OCTUBRE 2026'!K6:K110="PETROLEO")*'OCTUBRE 2026'!M6:M110),0)</f>
        <v>0</v>
      </c>
      <c r="D227" s="187" t="n">
        <f aca="false">IFERROR(SUMPRODUCT((IF('OCTUBRE 2026'!Y6:Y110&lt;&gt;"",'OCTUBRE 2026'!Y6:Y110,'OCTUBRE 2026'!I6:I110)="OCALLI")*('OCTUBRE 2026'!K6:K110="PETROLEO")*'OCTUBRE 2026'!L6:L110*'OCTUBRE 2026'!M6:M110),0)</f>
        <v>0</v>
      </c>
      <c r="E227" s="187" t="n">
        <f aca="false">IFERROR(SUMPRODUCT((IF('OCTUBRE 2026'!Y6:Y110&lt;&gt;"",'OCTUBRE 2026'!Y6:Y110,'OCTUBRE 2026'!I6:I110)="OCALLI")*('OCTUBRE 2026'!K6:K110="GASOLINA")*'OCTUBRE 2026'!M6:M110),0)</f>
        <v>0</v>
      </c>
      <c r="F227" s="187" t="n">
        <f aca="false">IFERROR(SUMPRODUCT((IF('OCTUBRE 2026'!Y6:Y110&lt;&gt;"",'OCTUBRE 2026'!Y6:Y110,'OCTUBRE 2026'!I6:I110)="OCALLI")*('OCTUBRE 2026'!K6:K110="GASOLINA")*'OCTUBRE 2026'!L6:L110*'OCTUBRE 2026'!M6:M110),0)</f>
        <v>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 t="s">
        <v>66</v>
      </c>
      <c r="B228" s="1" t="s">
        <v>5175</v>
      </c>
      <c r="C228" s="187" t="n">
        <f aca="false">IFERROR(SUMPRODUCT((IF('NOVIEMBRE 2026'!Y6:Y110&lt;&gt;"",'NOVIEMBRE 2026'!Y6:Y110,'NOVIEMBRE 2026'!I6:I110)="OCALLI")*('NOVIEMBRE 2026'!K6:K110="PETROLEO")*'NOVIEMBRE 2026'!M6:M110),0)</f>
        <v>0</v>
      </c>
      <c r="D228" s="187" t="n">
        <f aca="false">IFERROR(SUMPRODUCT((IF('NOVIEMBRE 2026'!Y6:Y110&lt;&gt;"",'NOVIEMBRE 2026'!Y6:Y110,'NOVIEMBRE 2026'!I6:I110)="OCALLI")*('NOVIEMBRE 2026'!K6:K110="PETROLEO")*'NOVIEMBRE 2026'!L6:L110*'NOVIEMBRE 2026'!M6:M110),0)</f>
        <v>0</v>
      </c>
      <c r="E228" s="187" t="n">
        <f aca="false">IFERROR(SUMPRODUCT((IF('NOVIEMBRE 2026'!Y6:Y110&lt;&gt;"",'NOVIEMBRE 2026'!Y6:Y110,'NOVIEMBRE 2026'!I6:I110)="OCALLI")*('NOVIEMBRE 2026'!K6:K110="GASOLINA")*'NOVIEMBRE 2026'!M6:M110),0)</f>
        <v>0</v>
      </c>
      <c r="F228" s="187" t="n">
        <f aca="false">IFERROR(SUMPRODUCT((IF('NOVIEMBRE 2026'!Y6:Y110&lt;&gt;"",'NOVIEMBRE 2026'!Y6:Y110,'NOVIEMBRE 2026'!I6:I110)="OCALLI")*('NOVIEMBRE 2026'!K6:K110="GASOLINA")*'NOVIEMBRE 2026'!L6:L110*'NOVIEMBRE 2026'!M6:M110),0)</f>
        <v>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 t="s">
        <v>66</v>
      </c>
      <c r="B229" s="1" t="s">
        <v>5176</v>
      </c>
      <c r="C229" s="187" t="n">
        <f aca="false">IFERROR(SUMPRODUCT((IF('DICIEMBRE 2026'!Y6:Y110&lt;&gt;"",'DICIEMBRE 2026'!Y6:Y110,'DICIEMBRE 2026'!I6:I110)="OCALLI")*('DICIEMBRE 2026'!K6:K110="PETROLEO")*'DICIEMBRE 2026'!M6:M110),0)</f>
        <v>0</v>
      </c>
      <c r="D229" s="187" t="n">
        <f aca="false">IFERROR(SUMPRODUCT((IF('DICIEMBRE 2026'!Y6:Y110&lt;&gt;"",'DICIEMBRE 2026'!Y6:Y110,'DICIEMBRE 2026'!I6:I110)="OCALLI")*('DICIEMBRE 2026'!K6:K110="PETROLEO")*'DICIEMBRE 2026'!L6:L110*'DICIEMBRE 2026'!M6:M110),0)</f>
        <v>0</v>
      </c>
      <c r="E229" s="187" t="n">
        <f aca="false">IFERROR(SUMPRODUCT((IF('DICIEMBRE 2026'!Y6:Y110&lt;&gt;"",'DICIEMBRE 2026'!Y6:Y110,'DICIEMBRE 2026'!I6:I110)="OCALLI")*('DICIEMBRE 2026'!K6:K110="GASOLINA")*'DICIEMBRE 2026'!M6:M110),0)</f>
        <v>0</v>
      </c>
      <c r="F229" s="187" t="n">
        <f aca="false">IFERROR(SUMPRODUCT((IF('DICIEMBRE 2026'!Y6:Y110&lt;&gt;"",'DICIEMBRE 2026'!Y6:Y110,'DICIEMBRE 2026'!I6:I110)="OCALLI")*('DICIEMBRE 2026'!K6:K110="GASOLINA")*'DICIEMBRE 2026'!L6:L110*'DICIEMBRE 2026'!M6:M110),0)</f>
        <v>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 t="s">
        <v>68</v>
      </c>
      <c r="B230" s="1" t="s">
        <v>5165</v>
      </c>
      <c r="C230" s="187" t="n">
        <f aca="false">IFERROR(SUMPRODUCT((IF('ENERO 2026'!Y6:Y119&lt;&gt;"",'ENERO 2026'!Y6:Y119,'ENERO 2026'!I6:I119)="OMIA")*('ENERO 2026'!K6:K119="PETROLEO")*'ENERO 2026'!M6:M119),0)</f>
        <v>0</v>
      </c>
      <c r="D230" s="187" t="n">
        <f aca="false">IFERROR(SUMPRODUCT((IF('ENERO 2026'!Y6:Y119&lt;&gt;"",'ENERO 2026'!Y6:Y119,'ENERO 2026'!I6:I119)="OMIA")*('ENERO 2026'!K6:K119="PETROLEO")*'ENERO 2026'!L6:L119*'ENERO 2026'!M6:M119),0)</f>
        <v>0</v>
      </c>
      <c r="E230" s="187" t="n">
        <f aca="false">IFERROR(SUMPRODUCT((IF('ENERO 2026'!Y6:Y119&lt;&gt;"",'ENERO 2026'!Y6:Y119,'ENERO 2026'!I6:I119)="OMIA")*('ENERO 2026'!K6:K119="GASOLINA")*'ENERO 2026'!M6:M119),0)</f>
        <v>0</v>
      </c>
      <c r="F230" s="187" t="n">
        <f aca="false">IFERROR(SUMPRODUCT((IF('ENERO 2026'!Y6:Y119&lt;&gt;"",'ENERO 2026'!Y6:Y119,'ENERO 2026'!I6:I119)="OMIA")*('ENERO 2026'!K6:K119="GASOLINA")*'ENERO 2026'!L6:L119*'ENERO 2026'!M6:M119),0)</f>
        <v>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 t="s">
        <v>68</v>
      </c>
      <c r="B231" s="1" t="s">
        <v>5166</v>
      </c>
      <c r="C231" s="187" t="n">
        <f aca="false">IFERROR(SUMPRODUCT((IF('FEBRERO 2026'!Y6:Y124&lt;&gt;"",'FEBRERO 2026'!Y6:Y124,'FEBRERO 2026'!I6:I124)="OMIA")*('FEBRERO 2026'!K6:K124="PETROLEO")*'FEBRERO 2026'!M6:M124),0)</f>
        <v>33</v>
      </c>
      <c r="D231" s="187" t="n">
        <f aca="false">IFERROR(SUMPRODUCT((IF('FEBRERO 2026'!Y6:Y124&lt;&gt;"",'FEBRERO 2026'!Y6:Y124,'FEBRERO 2026'!I6:I124)="OMIA")*('FEBRERO 2026'!K6:K124="PETROLEO")*'FEBRERO 2026'!L6:L124*'FEBRERO 2026'!M6:M124),0)</f>
        <v>668.25</v>
      </c>
      <c r="E231" s="187" t="n">
        <f aca="false">IFERROR(SUMPRODUCT((IF('FEBRERO 2026'!Y6:Y124&lt;&gt;"",'FEBRERO 2026'!Y6:Y124,'FEBRERO 2026'!I6:I124)="OMIA")*('FEBRERO 2026'!K6:K124="GASOLINA")*'FEBRERO 2026'!M6:M124),0)</f>
        <v>0</v>
      </c>
      <c r="F231" s="187" t="n">
        <f aca="false">IFERROR(SUMPRODUCT((IF('FEBRERO 2026'!Y6:Y124&lt;&gt;"",'FEBRERO 2026'!Y6:Y124,'FEBRERO 2026'!I6:I124)="OMIA")*('FEBRERO 2026'!K6:K124="GASOLINA")*'FEBRERO 2026'!L6:L124*'FEBRERO 2026'!M6:M124),0)</f>
        <v>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 t="s">
        <v>68</v>
      </c>
      <c r="B232" s="1" t="s">
        <v>5167</v>
      </c>
      <c r="C232" s="187" t="n">
        <f aca="false">IFERROR(SUMPRODUCT((IF('MARZO 2026'!Y6:Y119&lt;&gt;"",'MARZO 2026'!Y6:Y119,'MARZO 2026'!I6:I119)="OMIA")*('MARZO 2026'!K6:K119="PETROLEO")*'MARZO 2026'!M6:M119),0)</f>
        <v>13</v>
      </c>
      <c r="D232" s="187" t="n">
        <f aca="false">IFERROR(SUMPRODUCT((IF('MARZO 2026'!Y6:Y119&lt;&gt;"",'MARZO 2026'!Y6:Y119,'MARZO 2026'!I6:I119)="OMIA")*('MARZO 2026'!K6:K119="PETROLEO")*'MARZO 2026'!L6:L119*'MARZO 2026'!M6:M119),0)</f>
        <v>263.25</v>
      </c>
      <c r="E232" s="187" t="n">
        <f aca="false">IFERROR(SUMPRODUCT((IF('MARZO 2026'!Y6:Y119&lt;&gt;"",'MARZO 2026'!Y6:Y119,'MARZO 2026'!I6:I119)="OMIA")*('MARZO 2026'!K6:K119="GASOLINA")*'MARZO 2026'!M6:M119),0)</f>
        <v>0</v>
      </c>
      <c r="F232" s="187" t="n">
        <f aca="false">IFERROR(SUMPRODUCT((IF('MARZO 2026'!Y6:Y119&lt;&gt;"",'MARZO 2026'!Y6:Y119,'MARZO 2026'!I6:I119)="OMIA")*('MARZO 2026'!K6:K119="GASOLINA")*'MARZO 2026'!L6:L119*'MARZO 2026'!M6:M119),0)</f>
        <v>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 t="s">
        <v>68</v>
      </c>
      <c r="B233" s="1" t="s">
        <v>5168</v>
      </c>
      <c r="C233" s="187" t="n">
        <f aca="false">IFERROR(SUMPRODUCT((IF('ABRIL 2026'!Y6:Y119&lt;&gt;"",'ABRIL 2026'!Y6:Y119,'ABRIL 2026'!I6:I119)="OMIA")*('ABRIL 2026'!K6:K119="PETROLEO")*'ABRIL 2026'!M6:M119),0)</f>
        <v>0</v>
      </c>
      <c r="D233" s="187" t="n">
        <f aca="false">IFERROR(SUMPRODUCT((IF('ABRIL 2026'!Y6:Y119&lt;&gt;"",'ABRIL 2026'!Y6:Y119,'ABRIL 2026'!I6:I119)="OMIA")*('ABRIL 2026'!K6:K119="PETROLEO")*'ABRIL 2026'!L6:L119*'ABRIL 2026'!M6:M119),0)</f>
        <v>0</v>
      </c>
      <c r="E233" s="187" t="n">
        <f aca="false">IFERROR(SUMPRODUCT((IF('ABRIL 2026'!Y6:Y119&lt;&gt;"",'ABRIL 2026'!Y6:Y119,'ABRIL 2026'!I6:I119)="OMIA")*('ABRIL 2026'!K6:K119="GASOLINA")*'ABRIL 2026'!M6:M119),0)</f>
        <v>0</v>
      </c>
      <c r="F233" s="187" t="n">
        <f aca="false">IFERROR(SUMPRODUCT((IF('ABRIL 2026'!Y6:Y119&lt;&gt;"",'ABRIL 2026'!Y6:Y119,'ABRIL 2026'!I6:I119)="OMIA")*('ABRIL 2026'!K6:K119="GASOLINA")*'ABRIL 2026'!L6:L119*'ABRIL 2026'!M6:M119),0)</f>
        <v>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 t="s">
        <v>68</v>
      </c>
      <c r="B234" s="1" t="s">
        <v>5169</v>
      </c>
      <c r="C234" s="187" t="n">
        <f aca="false">IFERROR(SUMPRODUCT((IF('MAYO 2026'!Y6:Y110&lt;&gt;"",'MAYO 2026'!Y6:Y110,'MAYO 2026'!I6:I110)="OMIA")*('MAYO 2026'!K6:K110="PETROLEO")*'MAYO 2026'!M6:M110),0)</f>
        <v>0</v>
      </c>
      <c r="D234" s="187" t="n">
        <f aca="false">IFERROR(SUMPRODUCT((IF('MAYO 2026'!Y6:Y110&lt;&gt;"",'MAYO 2026'!Y6:Y110,'MAYO 2026'!I6:I110)="OMIA")*('MAYO 2026'!K6:K110="PETROLEO")*'MAYO 2026'!L6:L110*'MAYO 2026'!M6:M110),0)</f>
        <v>0</v>
      </c>
      <c r="E234" s="187" t="n">
        <f aca="false">IFERROR(SUMPRODUCT((IF('MAYO 2026'!Y6:Y110&lt;&gt;"",'MAYO 2026'!Y6:Y110,'MAYO 2026'!I6:I110)="OMIA")*('MAYO 2026'!K6:K110="GASOLINA")*'MAYO 2026'!M6:M110),0)</f>
        <v>0</v>
      </c>
      <c r="F234" s="187" t="n">
        <f aca="false">IFERROR(SUMPRODUCT((IF('MAYO 2026'!Y6:Y110&lt;&gt;"",'MAYO 2026'!Y6:Y110,'MAYO 2026'!I6:I110)="OMIA")*('MAYO 2026'!K6:K110="GASOLINA")*'MAYO 2026'!L6:L110*'MAYO 2026'!M6:M110),0)</f>
        <v>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 t="s">
        <v>68</v>
      </c>
      <c r="B235" s="1" t="s">
        <v>5170</v>
      </c>
      <c r="C235" s="187" t="n">
        <f aca="false">IFERROR(SUMPRODUCT((IF('JUNIO 2026'!Y6:Y110&lt;&gt;"",'JUNIO 2026'!Y6:Y110,'JUNIO 2026'!I6:I110)="OMIA")*('JUNIO 2026'!K6:K110="PETROLEO")*'JUNIO 2026'!M6:M110),0)</f>
        <v>0</v>
      </c>
      <c r="D235" s="187" t="n">
        <f aca="false">IFERROR(SUMPRODUCT((IF('JUNIO 2026'!Y6:Y110&lt;&gt;"",'JUNIO 2026'!Y6:Y110,'JUNIO 2026'!I6:I110)="OMIA")*('JUNIO 2026'!K6:K110="PETROLEO")*'JUNIO 2026'!L6:L110*'JUNIO 2026'!M6:M110),0)</f>
        <v>0</v>
      </c>
      <c r="E235" s="187" t="n">
        <f aca="false">IFERROR(SUMPRODUCT((IF('JUNIO 2026'!Y6:Y110&lt;&gt;"",'JUNIO 2026'!Y6:Y110,'JUNIO 2026'!I6:I110)="OMIA")*('JUNIO 2026'!K6:K110="GASOLINA")*'JUNIO 2026'!M6:M110),0)</f>
        <v>0</v>
      </c>
      <c r="F235" s="187" t="n">
        <f aca="false">IFERROR(SUMPRODUCT((IF('JUNIO 2026'!Y6:Y110&lt;&gt;"",'JUNIO 2026'!Y6:Y110,'JUNIO 2026'!I6:I110)="OMIA")*('JUNIO 2026'!K6:K110="GASOLINA")*'JUNIO 2026'!L6:L110*'JUNIO 2026'!M6:M110),0)</f>
        <v>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 t="s">
        <v>68</v>
      </c>
      <c r="B236" s="1" t="s">
        <v>5171</v>
      </c>
      <c r="C236" s="187" t="n">
        <f aca="false">IFERROR(SUMPRODUCT((IF('JULIO 2026'!Y6:Y110&lt;&gt;"",'JULIO 2026'!Y6:Y110,'JULIO 2026'!I6:I110)="OMIA")*('JULIO 2026'!K6:K110="PETROLEO")*'JULIO 2026'!M6:M110),0)</f>
        <v>0</v>
      </c>
      <c r="D236" s="187" t="n">
        <f aca="false">IFERROR(SUMPRODUCT((IF('JULIO 2026'!Y6:Y110&lt;&gt;"",'JULIO 2026'!Y6:Y110,'JULIO 2026'!I6:I110)="OMIA")*('JULIO 2026'!K6:K110="PETROLEO")*'JULIO 2026'!L6:L110*'JULIO 2026'!M6:M110),0)</f>
        <v>0</v>
      </c>
      <c r="E236" s="187" t="n">
        <f aca="false">IFERROR(SUMPRODUCT((IF('JULIO 2026'!Y6:Y110&lt;&gt;"",'JULIO 2026'!Y6:Y110,'JULIO 2026'!I6:I110)="OMIA")*('JULIO 2026'!K6:K110="GASOLINA")*'JULIO 2026'!M6:M110),0)</f>
        <v>0</v>
      </c>
      <c r="F236" s="187" t="n">
        <f aca="false">IFERROR(SUMPRODUCT((IF('JULIO 2026'!Y6:Y110&lt;&gt;"",'JULIO 2026'!Y6:Y110,'JULIO 2026'!I6:I110)="OMIA")*('JULIO 2026'!K6:K110="GASOLINA")*'JULIO 2026'!L6:L110*'JULIO 2026'!M6:M110),0)</f>
        <v>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 t="s">
        <v>68</v>
      </c>
      <c r="B237" s="1" t="s">
        <v>5172</v>
      </c>
      <c r="C237" s="187" t="n">
        <f aca="false">IFERROR(SUMPRODUCT((IF('AGOSTO 2026'!Y6:Y110&lt;&gt;"",'AGOSTO 2026'!Y6:Y110,'AGOSTO 2026'!I6:I110)="OMIA")*('AGOSTO 2026'!K6:K110="PETROLEO")*'AGOSTO 2026'!M6:M110),0)</f>
        <v>0</v>
      </c>
      <c r="D237" s="187" t="n">
        <f aca="false">IFERROR(SUMPRODUCT((IF('AGOSTO 2026'!Y6:Y110&lt;&gt;"",'AGOSTO 2026'!Y6:Y110,'AGOSTO 2026'!I6:I110)="OMIA")*('AGOSTO 2026'!K6:K110="PETROLEO")*'AGOSTO 2026'!L6:L110*'AGOSTO 2026'!M6:M110),0)</f>
        <v>0</v>
      </c>
      <c r="E237" s="187" t="n">
        <f aca="false">IFERROR(SUMPRODUCT((IF('AGOSTO 2026'!Y6:Y110&lt;&gt;"",'AGOSTO 2026'!Y6:Y110,'AGOSTO 2026'!I6:I110)="OMIA")*('AGOSTO 2026'!K6:K110="GASOLINA")*'AGOSTO 2026'!M6:M110),0)</f>
        <v>0</v>
      </c>
      <c r="F237" s="187" t="n">
        <f aca="false">IFERROR(SUMPRODUCT((IF('AGOSTO 2026'!Y6:Y110&lt;&gt;"",'AGOSTO 2026'!Y6:Y110,'AGOSTO 2026'!I6:I110)="OMIA")*('AGOSTO 2026'!K6:K110="GASOLINA")*'AGOSTO 2026'!L6:L110*'AGOSTO 2026'!M6:M110),0)</f>
        <v>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 t="s">
        <v>68</v>
      </c>
      <c r="B238" s="1" t="s">
        <v>5173</v>
      </c>
      <c r="C238" s="187" t="n">
        <f aca="false">IFERROR(SUMPRODUCT((IF('SETIEMBRE 2026'!Y6:Y110&lt;&gt;"",'SETIEMBRE 2026'!Y6:Y110,'SETIEMBRE 2026'!I6:I110)="OMIA")*('SETIEMBRE 2026'!K6:K110="PETROLEO")*'SETIEMBRE 2026'!M6:M110),0)</f>
        <v>0</v>
      </c>
      <c r="D238" s="187" t="n">
        <f aca="false">IFERROR(SUMPRODUCT((IF('SETIEMBRE 2026'!Y6:Y110&lt;&gt;"",'SETIEMBRE 2026'!Y6:Y110,'SETIEMBRE 2026'!I6:I110)="OMIA")*('SETIEMBRE 2026'!K6:K110="PETROLEO")*'SETIEMBRE 2026'!L6:L110*'SETIEMBRE 2026'!M6:M110),0)</f>
        <v>0</v>
      </c>
      <c r="E238" s="187" t="n">
        <f aca="false">IFERROR(SUMPRODUCT((IF('SETIEMBRE 2026'!Y6:Y110&lt;&gt;"",'SETIEMBRE 2026'!Y6:Y110,'SETIEMBRE 2026'!I6:I110)="OMIA")*('SETIEMBRE 2026'!K6:K110="GASOLINA")*'SETIEMBRE 2026'!M6:M110),0)</f>
        <v>0</v>
      </c>
      <c r="F238" s="187" t="n">
        <f aca="false">IFERROR(SUMPRODUCT((IF('SETIEMBRE 2026'!Y6:Y110&lt;&gt;"",'SETIEMBRE 2026'!Y6:Y110,'SETIEMBRE 2026'!I6:I110)="OMIA")*('SETIEMBRE 2026'!K6:K110="GASOLINA")*'SETIEMBRE 2026'!L6:L110*'SETIEMBRE 2026'!M6:M110),0)</f>
        <v>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 t="s">
        <v>68</v>
      </c>
      <c r="B239" s="1" t="s">
        <v>5174</v>
      </c>
      <c r="C239" s="187" t="n">
        <f aca="false">IFERROR(SUMPRODUCT((IF('OCTUBRE 2026'!Y6:Y110&lt;&gt;"",'OCTUBRE 2026'!Y6:Y110,'OCTUBRE 2026'!I6:I110)="OMIA")*('OCTUBRE 2026'!K6:K110="PETROLEO")*'OCTUBRE 2026'!M6:M110),0)</f>
        <v>0</v>
      </c>
      <c r="D239" s="187" t="n">
        <f aca="false">IFERROR(SUMPRODUCT((IF('OCTUBRE 2026'!Y6:Y110&lt;&gt;"",'OCTUBRE 2026'!Y6:Y110,'OCTUBRE 2026'!I6:I110)="OMIA")*('OCTUBRE 2026'!K6:K110="PETROLEO")*'OCTUBRE 2026'!L6:L110*'OCTUBRE 2026'!M6:M110),0)</f>
        <v>0</v>
      </c>
      <c r="E239" s="187" t="n">
        <f aca="false">IFERROR(SUMPRODUCT((IF('OCTUBRE 2026'!Y6:Y110&lt;&gt;"",'OCTUBRE 2026'!Y6:Y110,'OCTUBRE 2026'!I6:I110)="OMIA")*('OCTUBRE 2026'!K6:K110="GASOLINA")*'OCTUBRE 2026'!M6:M110),0)</f>
        <v>0</v>
      </c>
      <c r="F239" s="187" t="n">
        <f aca="false">IFERROR(SUMPRODUCT((IF('OCTUBRE 2026'!Y6:Y110&lt;&gt;"",'OCTUBRE 2026'!Y6:Y110,'OCTUBRE 2026'!I6:I110)="OMIA")*('OCTUBRE 2026'!K6:K110="GASOLINA")*'OCTUBRE 2026'!L6:L110*'OCTUBRE 2026'!M6:M110),0)</f>
        <v>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 t="s">
        <v>68</v>
      </c>
      <c r="B240" s="1" t="s">
        <v>5175</v>
      </c>
      <c r="C240" s="187" t="n">
        <f aca="false">IFERROR(SUMPRODUCT((IF('NOVIEMBRE 2026'!Y6:Y110&lt;&gt;"",'NOVIEMBRE 2026'!Y6:Y110,'NOVIEMBRE 2026'!I6:I110)="OMIA")*('NOVIEMBRE 2026'!K6:K110="PETROLEO")*'NOVIEMBRE 2026'!M6:M110),0)</f>
        <v>0</v>
      </c>
      <c r="D240" s="187" t="n">
        <f aca="false">IFERROR(SUMPRODUCT((IF('NOVIEMBRE 2026'!Y6:Y110&lt;&gt;"",'NOVIEMBRE 2026'!Y6:Y110,'NOVIEMBRE 2026'!I6:I110)="OMIA")*('NOVIEMBRE 2026'!K6:K110="PETROLEO")*'NOVIEMBRE 2026'!L6:L110*'NOVIEMBRE 2026'!M6:M110),0)</f>
        <v>0</v>
      </c>
      <c r="E240" s="187" t="n">
        <f aca="false">IFERROR(SUMPRODUCT((IF('NOVIEMBRE 2026'!Y6:Y110&lt;&gt;"",'NOVIEMBRE 2026'!Y6:Y110,'NOVIEMBRE 2026'!I6:I110)="OMIA")*('NOVIEMBRE 2026'!K6:K110="GASOLINA")*'NOVIEMBRE 2026'!M6:M110),0)</f>
        <v>0</v>
      </c>
      <c r="F240" s="187" t="n">
        <f aca="false">IFERROR(SUMPRODUCT((IF('NOVIEMBRE 2026'!Y6:Y110&lt;&gt;"",'NOVIEMBRE 2026'!Y6:Y110,'NOVIEMBRE 2026'!I6:I110)="OMIA")*('NOVIEMBRE 2026'!K6:K110="GASOLINA")*'NOVIEMBRE 2026'!L6:L110*'NOVIEMBRE 2026'!M6:M110),0)</f>
        <v>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 t="s">
        <v>68</v>
      </c>
      <c r="B241" s="1" t="s">
        <v>5176</v>
      </c>
      <c r="C241" s="187" t="n">
        <f aca="false">IFERROR(SUMPRODUCT((IF('DICIEMBRE 2026'!Y6:Y110&lt;&gt;"",'DICIEMBRE 2026'!Y6:Y110,'DICIEMBRE 2026'!I6:I110)="OMIA")*('DICIEMBRE 2026'!K6:K110="PETROLEO")*'DICIEMBRE 2026'!M6:M110),0)</f>
        <v>0</v>
      </c>
      <c r="D241" s="187" t="n">
        <f aca="false">IFERROR(SUMPRODUCT((IF('DICIEMBRE 2026'!Y6:Y110&lt;&gt;"",'DICIEMBRE 2026'!Y6:Y110,'DICIEMBRE 2026'!I6:I110)="OMIA")*('DICIEMBRE 2026'!K6:K110="PETROLEO")*'DICIEMBRE 2026'!L6:L110*'DICIEMBRE 2026'!M6:M110),0)</f>
        <v>0</v>
      </c>
      <c r="E241" s="187" t="n">
        <f aca="false">IFERROR(SUMPRODUCT((IF('DICIEMBRE 2026'!Y6:Y110&lt;&gt;"",'DICIEMBRE 2026'!Y6:Y110,'DICIEMBRE 2026'!I6:I110)="OMIA")*('DICIEMBRE 2026'!K6:K110="GASOLINA")*'DICIEMBRE 2026'!M6:M110),0)</f>
        <v>0</v>
      </c>
      <c r="F241" s="187" t="n">
        <f aca="false">IFERROR(SUMPRODUCT((IF('DICIEMBRE 2026'!Y6:Y110&lt;&gt;"",'DICIEMBRE 2026'!Y6:Y110,'DICIEMBRE 2026'!I6:I110)="OMIA")*('DICIEMBRE 2026'!K6:K110="GASOLINA")*'DICIEMBRE 2026'!L6:L110*'DICIEMBRE 2026'!M6:M110),0)</f>
        <v>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 t="s">
        <v>70</v>
      </c>
      <c r="B242" s="1" t="s">
        <v>5165</v>
      </c>
      <c r="C242" s="187" t="n">
        <f aca="false">IFERROR(SUMPRODUCT((IF('ENERO 2026'!Y6:Y119&lt;&gt;"",'ENERO 2026'!Y6:Y119,'ENERO 2026'!I6:I119)="PEDRO RUIZ GALLO")*('ENERO 2026'!K6:K119="PETROLEO")*'ENERO 2026'!M6:M119),0)</f>
        <v>35</v>
      </c>
      <c r="D242" s="187" t="n">
        <f aca="false">IFERROR(SUMPRODUCT((IF('ENERO 2026'!Y6:Y119&lt;&gt;"",'ENERO 2026'!Y6:Y119,'ENERO 2026'!I6:I119)="PEDRO RUIZ GALLO")*('ENERO 2026'!K6:K119="PETROLEO")*'ENERO 2026'!L6:L119*'ENERO 2026'!M6:M119),0)</f>
        <v>636.3</v>
      </c>
      <c r="E242" s="187" t="n">
        <f aca="false">IFERROR(SUMPRODUCT((IF('ENERO 2026'!Y6:Y119&lt;&gt;"",'ENERO 2026'!Y6:Y119,'ENERO 2026'!I6:I119)="PEDRO RUIZ GALLO")*('ENERO 2026'!K6:K119="GASOLINA")*'ENERO 2026'!M6:M119),0)</f>
        <v>12</v>
      </c>
      <c r="F242" s="187" t="n">
        <f aca="false">IFERROR(SUMPRODUCT((IF('ENERO 2026'!Y6:Y119&lt;&gt;"",'ENERO 2026'!Y6:Y119,'ENERO 2026'!I6:I119)="PEDRO RUIZ GALLO")*('ENERO 2026'!K6:K119="GASOLINA")*'ENERO 2026'!L6:L119*'ENERO 2026'!M6:M119),0)</f>
        <v>215.4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 t="s">
        <v>70</v>
      </c>
      <c r="B243" s="1" t="s">
        <v>5166</v>
      </c>
      <c r="C243" s="187" t="n">
        <f aca="false">IFERROR(SUMPRODUCT((IF('FEBRERO 2026'!Y6:Y124&lt;&gt;"",'FEBRERO 2026'!Y6:Y124,'FEBRERO 2026'!I6:I124)="PEDRO RUIZ GALLO")*('FEBRERO 2026'!K6:K124="PETROLEO")*'FEBRERO 2026'!M6:M124),0)</f>
        <v>61</v>
      </c>
      <c r="D243" s="187" t="n">
        <f aca="false">IFERROR(SUMPRODUCT((IF('FEBRERO 2026'!Y6:Y124&lt;&gt;"",'FEBRERO 2026'!Y6:Y124,'FEBRERO 2026'!I6:I124)="PEDRO RUIZ GALLO")*('FEBRERO 2026'!K6:K124="PETROLEO")*'FEBRERO 2026'!L6:L124*'FEBRERO 2026'!M6:M124),0)</f>
        <v>1107.6</v>
      </c>
      <c r="E243" s="187" t="n">
        <f aca="false">IFERROR(SUMPRODUCT((IF('FEBRERO 2026'!Y6:Y124&lt;&gt;"",'FEBRERO 2026'!Y6:Y124,'FEBRERO 2026'!I6:I124)="PEDRO RUIZ GALLO")*('FEBRERO 2026'!K6:K124="GASOLINA")*'FEBRERO 2026'!M6:M124),0)</f>
        <v>18</v>
      </c>
      <c r="F243" s="187" t="n">
        <f aca="false">IFERROR(SUMPRODUCT((IF('FEBRERO 2026'!Y6:Y124&lt;&gt;"",'FEBRERO 2026'!Y6:Y124,'FEBRERO 2026'!I6:I124)="PEDRO RUIZ GALLO")*('FEBRERO 2026'!K6:K124="GASOLINA")*'FEBRERO 2026'!L6:L124*'FEBRERO 2026'!M6:M124),0)</f>
        <v>323.1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 t="s">
        <v>70</v>
      </c>
      <c r="B244" s="1" t="s">
        <v>5167</v>
      </c>
      <c r="C244" s="187" t="n">
        <f aca="false">IFERROR(SUMPRODUCT((IF('MARZO 2026'!Y6:Y119&lt;&gt;"",'MARZO 2026'!Y6:Y119,'MARZO 2026'!I6:I119)="PEDRO RUIZ GALLO")*('MARZO 2026'!K6:K119="PETROLEO")*'MARZO 2026'!M6:M119),0)</f>
        <v>20</v>
      </c>
      <c r="D244" s="187" t="n">
        <f aca="false">IFERROR(SUMPRODUCT((IF('MARZO 2026'!Y6:Y119&lt;&gt;"",'MARZO 2026'!Y6:Y119,'MARZO 2026'!I6:I119)="PEDRO RUIZ GALLO")*('MARZO 2026'!K6:K119="PETROLEO")*'MARZO 2026'!L6:L119*'MARZO 2026'!M6:M119),0)</f>
        <v>363.6</v>
      </c>
      <c r="E244" s="187" t="n">
        <f aca="false">IFERROR(SUMPRODUCT((IF('MARZO 2026'!Y6:Y119&lt;&gt;"",'MARZO 2026'!Y6:Y119,'MARZO 2026'!I6:I119)="PEDRO RUIZ GALLO")*('MARZO 2026'!K6:K119="GASOLINA")*'MARZO 2026'!M6:M119),0)</f>
        <v>24</v>
      </c>
      <c r="F244" s="187" t="n">
        <f aca="false">IFERROR(SUMPRODUCT((IF('MARZO 2026'!Y6:Y119&lt;&gt;"",'MARZO 2026'!Y6:Y119,'MARZO 2026'!I6:I119)="PEDRO RUIZ GALLO")*('MARZO 2026'!K6:K119="GASOLINA")*'MARZO 2026'!L6:L119*'MARZO 2026'!M6:M119),0)</f>
        <v>430.8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 t="s">
        <v>70</v>
      </c>
      <c r="B245" s="1" t="s">
        <v>5168</v>
      </c>
      <c r="C245" s="187" t="n">
        <f aca="false">IFERROR(SUMPRODUCT((IF('ABRIL 2026'!Y6:Y119&lt;&gt;"",'ABRIL 2026'!Y6:Y119,'ABRIL 2026'!I6:I119)="PEDRO RUIZ GALLO")*('ABRIL 2026'!K6:K119="PETROLEO")*'ABRIL 2026'!M6:M119),0)</f>
        <v>0</v>
      </c>
      <c r="D245" s="187" t="n">
        <f aca="false">IFERROR(SUMPRODUCT((IF('ABRIL 2026'!Y6:Y119&lt;&gt;"",'ABRIL 2026'!Y6:Y119,'ABRIL 2026'!I6:I119)="PEDRO RUIZ GALLO")*('ABRIL 2026'!K6:K119="PETROLEO")*'ABRIL 2026'!L6:L119*'ABRIL 2026'!M6:M119),0)</f>
        <v>0</v>
      </c>
      <c r="E245" s="187" t="n">
        <f aca="false">IFERROR(SUMPRODUCT((IF('ABRIL 2026'!Y6:Y119&lt;&gt;"",'ABRIL 2026'!Y6:Y119,'ABRIL 2026'!I6:I119)="PEDRO RUIZ GALLO")*('ABRIL 2026'!K6:K119="GASOLINA")*'ABRIL 2026'!M6:M119),0)</f>
        <v>0</v>
      </c>
      <c r="F245" s="187" t="n">
        <f aca="false">IFERROR(SUMPRODUCT((IF('ABRIL 2026'!Y6:Y119&lt;&gt;"",'ABRIL 2026'!Y6:Y119,'ABRIL 2026'!I6:I119)="PEDRO RUIZ GALLO")*('ABRIL 2026'!K6:K119="GASOLINA")*'ABRIL 2026'!L6:L119*'ABRIL 2026'!M6:M119),0)</f>
        <v>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 t="s">
        <v>70</v>
      </c>
      <c r="B246" s="1" t="s">
        <v>5169</v>
      </c>
      <c r="C246" s="187" t="n">
        <f aca="false">IFERROR(SUMPRODUCT((IF('MAYO 2026'!Y6:Y110&lt;&gt;"",'MAYO 2026'!Y6:Y110,'MAYO 2026'!I6:I110)="PEDRO RUIZ GALLO")*('MAYO 2026'!K6:K110="PETROLEO")*'MAYO 2026'!M6:M110),0)</f>
        <v>0</v>
      </c>
      <c r="D246" s="187" t="n">
        <f aca="false">IFERROR(SUMPRODUCT((IF('MAYO 2026'!Y6:Y110&lt;&gt;"",'MAYO 2026'!Y6:Y110,'MAYO 2026'!I6:I110)="PEDRO RUIZ GALLO")*('MAYO 2026'!K6:K110="PETROLEO")*'MAYO 2026'!L6:L110*'MAYO 2026'!M6:M110),0)</f>
        <v>0</v>
      </c>
      <c r="E246" s="187" t="n">
        <f aca="false">IFERROR(SUMPRODUCT((IF('MAYO 2026'!Y6:Y110&lt;&gt;"",'MAYO 2026'!Y6:Y110,'MAYO 2026'!I6:I110)="PEDRO RUIZ GALLO")*('MAYO 2026'!K6:K110="GASOLINA")*'MAYO 2026'!M6:M110),0)</f>
        <v>0</v>
      </c>
      <c r="F246" s="187" t="n">
        <f aca="false">IFERROR(SUMPRODUCT((IF('MAYO 2026'!Y6:Y110&lt;&gt;"",'MAYO 2026'!Y6:Y110,'MAYO 2026'!I6:I110)="PEDRO RUIZ GALLO")*('MAYO 2026'!K6:K110="GASOLINA")*'MAYO 2026'!L6:L110*'MAYO 2026'!M6:M110),0)</f>
        <v>0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 t="s">
        <v>70</v>
      </c>
      <c r="B247" s="1" t="s">
        <v>5170</v>
      </c>
      <c r="C247" s="187" t="n">
        <f aca="false">IFERROR(SUMPRODUCT((IF('JUNIO 2026'!Y6:Y110&lt;&gt;"",'JUNIO 2026'!Y6:Y110,'JUNIO 2026'!I6:I110)="PEDRO RUIZ GALLO")*('JUNIO 2026'!K6:K110="PETROLEO")*'JUNIO 2026'!M6:M110),0)</f>
        <v>0</v>
      </c>
      <c r="D247" s="187" t="n">
        <f aca="false">IFERROR(SUMPRODUCT((IF('JUNIO 2026'!Y6:Y110&lt;&gt;"",'JUNIO 2026'!Y6:Y110,'JUNIO 2026'!I6:I110)="PEDRO RUIZ GALLO")*('JUNIO 2026'!K6:K110="PETROLEO")*'JUNIO 2026'!L6:L110*'JUNIO 2026'!M6:M110),0)</f>
        <v>0</v>
      </c>
      <c r="E247" s="187" t="n">
        <f aca="false">IFERROR(SUMPRODUCT((IF('JUNIO 2026'!Y6:Y110&lt;&gt;"",'JUNIO 2026'!Y6:Y110,'JUNIO 2026'!I6:I110)="PEDRO RUIZ GALLO")*('JUNIO 2026'!K6:K110="GASOLINA")*'JUNIO 2026'!M6:M110),0)</f>
        <v>0</v>
      </c>
      <c r="F247" s="187" t="n">
        <f aca="false">IFERROR(SUMPRODUCT((IF('JUNIO 2026'!Y6:Y110&lt;&gt;"",'JUNIO 2026'!Y6:Y110,'JUNIO 2026'!I6:I110)="PEDRO RUIZ GALLO")*('JUNIO 2026'!K6:K110="GASOLINA")*'JUNIO 2026'!L6:L110*'JUNIO 2026'!M6:M110),0)</f>
        <v>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 t="s">
        <v>70</v>
      </c>
      <c r="B248" s="1" t="s">
        <v>5171</v>
      </c>
      <c r="C248" s="187" t="n">
        <f aca="false">IFERROR(SUMPRODUCT((IF('JULIO 2026'!Y6:Y110&lt;&gt;"",'JULIO 2026'!Y6:Y110,'JULIO 2026'!I6:I110)="PEDRO RUIZ GALLO")*('JULIO 2026'!K6:K110="PETROLEO")*'JULIO 2026'!M6:M110),0)</f>
        <v>0</v>
      </c>
      <c r="D248" s="187" t="n">
        <f aca="false">IFERROR(SUMPRODUCT((IF('JULIO 2026'!Y6:Y110&lt;&gt;"",'JULIO 2026'!Y6:Y110,'JULIO 2026'!I6:I110)="PEDRO RUIZ GALLO")*('JULIO 2026'!K6:K110="PETROLEO")*'JULIO 2026'!L6:L110*'JULIO 2026'!M6:M110),0)</f>
        <v>0</v>
      </c>
      <c r="E248" s="187" t="n">
        <f aca="false">IFERROR(SUMPRODUCT((IF('JULIO 2026'!Y6:Y110&lt;&gt;"",'JULIO 2026'!Y6:Y110,'JULIO 2026'!I6:I110)="PEDRO RUIZ GALLO")*('JULIO 2026'!K6:K110="GASOLINA")*'JULIO 2026'!M6:M110),0)</f>
        <v>0</v>
      </c>
      <c r="F248" s="187" t="n">
        <f aca="false">IFERROR(SUMPRODUCT((IF('JULIO 2026'!Y6:Y110&lt;&gt;"",'JULIO 2026'!Y6:Y110,'JULIO 2026'!I6:I110)="PEDRO RUIZ GALLO")*('JULIO 2026'!K6:K110="GASOLINA")*'JULIO 2026'!L6:L110*'JULIO 2026'!M6:M110),0)</f>
        <v>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 t="s">
        <v>70</v>
      </c>
      <c r="B249" s="1" t="s">
        <v>5172</v>
      </c>
      <c r="C249" s="187" t="n">
        <f aca="false">IFERROR(SUMPRODUCT((IF('AGOSTO 2026'!Y6:Y110&lt;&gt;"",'AGOSTO 2026'!Y6:Y110,'AGOSTO 2026'!I6:I110)="PEDRO RUIZ GALLO")*('AGOSTO 2026'!K6:K110="PETROLEO")*'AGOSTO 2026'!M6:M110),0)</f>
        <v>0</v>
      </c>
      <c r="D249" s="187" t="n">
        <f aca="false">IFERROR(SUMPRODUCT((IF('AGOSTO 2026'!Y6:Y110&lt;&gt;"",'AGOSTO 2026'!Y6:Y110,'AGOSTO 2026'!I6:I110)="PEDRO RUIZ GALLO")*('AGOSTO 2026'!K6:K110="PETROLEO")*'AGOSTO 2026'!L6:L110*'AGOSTO 2026'!M6:M110),0)</f>
        <v>0</v>
      </c>
      <c r="E249" s="187" t="n">
        <f aca="false">IFERROR(SUMPRODUCT((IF('AGOSTO 2026'!Y6:Y110&lt;&gt;"",'AGOSTO 2026'!Y6:Y110,'AGOSTO 2026'!I6:I110)="PEDRO RUIZ GALLO")*('AGOSTO 2026'!K6:K110="GASOLINA")*'AGOSTO 2026'!M6:M110),0)</f>
        <v>0</v>
      </c>
      <c r="F249" s="187" t="n">
        <f aca="false">IFERROR(SUMPRODUCT((IF('AGOSTO 2026'!Y6:Y110&lt;&gt;"",'AGOSTO 2026'!Y6:Y110,'AGOSTO 2026'!I6:I110)="PEDRO RUIZ GALLO")*('AGOSTO 2026'!K6:K110="GASOLINA")*'AGOSTO 2026'!L6:L110*'AGOSTO 2026'!M6:M110),0)</f>
        <v>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 t="s">
        <v>70</v>
      </c>
      <c r="B250" s="1" t="s">
        <v>5173</v>
      </c>
      <c r="C250" s="187" t="n">
        <f aca="false">IFERROR(SUMPRODUCT((IF('SETIEMBRE 2026'!Y6:Y110&lt;&gt;"",'SETIEMBRE 2026'!Y6:Y110,'SETIEMBRE 2026'!I6:I110)="PEDRO RUIZ GALLO")*('SETIEMBRE 2026'!K6:K110="PETROLEO")*'SETIEMBRE 2026'!M6:M110),0)</f>
        <v>0</v>
      </c>
      <c r="D250" s="187" t="n">
        <f aca="false">IFERROR(SUMPRODUCT((IF('SETIEMBRE 2026'!Y6:Y110&lt;&gt;"",'SETIEMBRE 2026'!Y6:Y110,'SETIEMBRE 2026'!I6:I110)="PEDRO RUIZ GALLO")*('SETIEMBRE 2026'!K6:K110="PETROLEO")*'SETIEMBRE 2026'!L6:L110*'SETIEMBRE 2026'!M6:M110),0)</f>
        <v>0</v>
      </c>
      <c r="E250" s="187" t="n">
        <f aca="false">IFERROR(SUMPRODUCT((IF('SETIEMBRE 2026'!Y6:Y110&lt;&gt;"",'SETIEMBRE 2026'!Y6:Y110,'SETIEMBRE 2026'!I6:I110)="PEDRO RUIZ GALLO")*('SETIEMBRE 2026'!K6:K110="GASOLINA")*'SETIEMBRE 2026'!M6:M110),0)</f>
        <v>0</v>
      </c>
      <c r="F250" s="187" t="n">
        <f aca="false">IFERROR(SUMPRODUCT((IF('SETIEMBRE 2026'!Y6:Y110&lt;&gt;"",'SETIEMBRE 2026'!Y6:Y110,'SETIEMBRE 2026'!I6:I110)="PEDRO RUIZ GALLO")*('SETIEMBRE 2026'!K6:K110="GASOLINA")*'SETIEMBRE 2026'!L6:L110*'SETIEMBRE 2026'!M6:M110),0)</f>
        <v>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 t="s">
        <v>70</v>
      </c>
      <c r="B251" s="1" t="s">
        <v>5174</v>
      </c>
      <c r="C251" s="187" t="n">
        <f aca="false">IFERROR(SUMPRODUCT((IF('OCTUBRE 2026'!Y6:Y110&lt;&gt;"",'OCTUBRE 2026'!Y6:Y110,'OCTUBRE 2026'!I6:I110)="PEDRO RUIZ GALLO")*('OCTUBRE 2026'!K6:K110="PETROLEO")*'OCTUBRE 2026'!M6:M110),0)</f>
        <v>0</v>
      </c>
      <c r="D251" s="187" t="n">
        <f aca="false">IFERROR(SUMPRODUCT((IF('OCTUBRE 2026'!Y6:Y110&lt;&gt;"",'OCTUBRE 2026'!Y6:Y110,'OCTUBRE 2026'!I6:I110)="PEDRO RUIZ GALLO")*('OCTUBRE 2026'!K6:K110="PETROLEO")*'OCTUBRE 2026'!L6:L110*'OCTUBRE 2026'!M6:M110),0)</f>
        <v>0</v>
      </c>
      <c r="E251" s="187" t="n">
        <f aca="false">IFERROR(SUMPRODUCT((IF('OCTUBRE 2026'!Y6:Y110&lt;&gt;"",'OCTUBRE 2026'!Y6:Y110,'OCTUBRE 2026'!I6:I110)="PEDRO RUIZ GALLO")*('OCTUBRE 2026'!K6:K110="GASOLINA")*'OCTUBRE 2026'!M6:M110),0)</f>
        <v>0</v>
      </c>
      <c r="F251" s="187" t="n">
        <f aca="false">IFERROR(SUMPRODUCT((IF('OCTUBRE 2026'!Y6:Y110&lt;&gt;"",'OCTUBRE 2026'!Y6:Y110,'OCTUBRE 2026'!I6:I110)="PEDRO RUIZ GALLO")*('OCTUBRE 2026'!K6:K110="GASOLINA")*'OCTUBRE 2026'!L6:L110*'OCTUBRE 2026'!M6:M110),0)</f>
        <v>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 t="s">
        <v>70</v>
      </c>
      <c r="B252" s="1" t="s">
        <v>5175</v>
      </c>
      <c r="C252" s="187" t="n">
        <f aca="false">IFERROR(SUMPRODUCT((IF('NOVIEMBRE 2026'!Y6:Y110&lt;&gt;"",'NOVIEMBRE 2026'!Y6:Y110,'NOVIEMBRE 2026'!I6:I110)="PEDRO RUIZ GALLO")*('NOVIEMBRE 2026'!K6:K110="PETROLEO")*'NOVIEMBRE 2026'!M6:M110),0)</f>
        <v>0</v>
      </c>
      <c r="D252" s="187" t="n">
        <f aca="false">IFERROR(SUMPRODUCT((IF('NOVIEMBRE 2026'!Y6:Y110&lt;&gt;"",'NOVIEMBRE 2026'!Y6:Y110,'NOVIEMBRE 2026'!I6:I110)="PEDRO RUIZ GALLO")*('NOVIEMBRE 2026'!K6:K110="PETROLEO")*'NOVIEMBRE 2026'!L6:L110*'NOVIEMBRE 2026'!M6:M110),0)</f>
        <v>0</v>
      </c>
      <c r="E252" s="187" t="n">
        <f aca="false">IFERROR(SUMPRODUCT((IF('NOVIEMBRE 2026'!Y6:Y110&lt;&gt;"",'NOVIEMBRE 2026'!Y6:Y110,'NOVIEMBRE 2026'!I6:I110)="PEDRO RUIZ GALLO")*('NOVIEMBRE 2026'!K6:K110="GASOLINA")*'NOVIEMBRE 2026'!M6:M110),0)</f>
        <v>0</v>
      </c>
      <c r="F252" s="187" t="n">
        <f aca="false">IFERROR(SUMPRODUCT((IF('NOVIEMBRE 2026'!Y6:Y110&lt;&gt;"",'NOVIEMBRE 2026'!Y6:Y110,'NOVIEMBRE 2026'!I6:I110)="PEDRO RUIZ GALLO")*('NOVIEMBRE 2026'!K6:K110="GASOLINA")*'NOVIEMBRE 2026'!L6:L110*'NOVIEMBRE 2026'!M6:M110),0)</f>
        <v>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 t="s">
        <v>70</v>
      </c>
      <c r="B253" s="1" t="s">
        <v>5176</v>
      </c>
      <c r="C253" s="187" t="n">
        <f aca="false">IFERROR(SUMPRODUCT((IF('DICIEMBRE 2026'!Y6:Y110&lt;&gt;"",'DICIEMBRE 2026'!Y6:Y110,'DICIEMBRE 2026'!I6:I110)="PEDRO RUIZ GALLO")*('DICIEMBRE 2026'!K6:K110="PETROLEO")*'DICIEMBRE 2026'!M6:M110),0)</f>
        <v>0</v>
      </c>
      <c r="D253" s="187" t="n">
        <f aca="false">IFERROR(SUMPRODUCT((IF('DICIEMBRE 2026'!Y6:Y110&lt;&gt;"",'DICIEMBRE 2026'!Y6:Y110,'DICIEMBRE 2026'!I6:I110)="PEDRO RUIZ GALLO")*('DICIEMBRE 2026'!K6:K110="PETROLEO")*'DICIEMBRE 2026'!L6:L110*'DICIEMBRE 2026'!M6:M110),0)</f>
        <v>0</v>
      </c>
      <c r="E253" s="187" t="n">
        <f aca="false">IFERROR(SUMPRODUCT((IF('DICIEMBRE 2026'!Y6:Y110&lt;&gt;"",'DICIEMBRE 2026'!Y6:Y110,'DICIEMBRE 2026'!I6:I110)="PEDRO RUIZ GALLO")*('DICIEMBRE 2026'!K6:K110="GASOLINA")*'DICIEMBRE 2026'!M6:M110),0)</f>
        <v>0</v>
      </c>
      <c r="F253" s="187" t="n">
        <f aca="false">IFERROR(SUMPRODUCT((IF('DICIEMBRE 2026'!Y6:Y110&lt;&gt;"",'DICIEMBRE 2026'!Y6:Y110,'DICIEMBRE 2026'!I6:I110)="PEDRO RUIZ GALLO")*('DICIEMBRE 2026'!K6:K110="GASOLINA")*'DICIEMBRE 2026'!L6:L110*'DICIEMBRE 2026'!M6:M110),0)</f>
        <v>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 t="s">
        <v>72</v>
      </c>
      <c r="B254" s="1" t="s">
        <v>5165</v>
      </c>
      <c r="C254" s="187" t="n">
        <f aca="false">IFERROR(SUMPRODUCT((IF('ENERO 2026'!Y6:Y119&lt;&gt;"",'ENERO 2026'!Y6:Y119,'ENERO 2026'!I6:I119)="POMACOCHAS")*('ENERO 2026'!K6:K119="PETROLEO")*'ENERO 2026'!M6:M119),0)</f>
        <v>66</v>
      </c>
      <c r="D254" s="187" t="n">
        <f aca="false">IFERROR(SUMPRODUCT((IF('ENERO 2026'!Y6:Y119&lt;&gt;"",'ENERO 2026'!Y6:Y119,'ENERO 2026'!I6:I119)="POMACOCHAS")*('ENERO 2026'!K6:K119="PETROLEO")*'ENERO 2026'!L6:L119*'ENERO 2026'!M6:M119),0)</f>
        <v>1199.88</v>
      </c>
      <c r="E254" s="187" t="n">
        <f aca="false">IFERROR(SUMPRODUCT((IF('ENERO 2026'!Y6:Y119&lt;&gt;"",'ENERO 2026'!Y6:Y119,'ENERO 2026'!I6:I119)="POMACOCHAS")*('ENERO 2026'!K6:K119="GASOLINA")*'ENERO 2026'!M6:M119),0)</f>
        <v>0</v>
      </c>
      <c r="F254" s="187" t="n">
        <f aca="false">IFERROR(SUMPRODUCT((IF('ENERO 2026'!Y6:Y119&lt;&gt;"",'ENERO 2026'!Y6:Y119,'ENERO 2026'!I6:I119)="POMACOCHAS")*('ENERO 2026'!K6:K119="GASOLINA")*'ENERO 2026'!L6:L119*'ENERO 2026'!M6:M119),0)</f>
        <v>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 t="s">
        <v>72</v>
      </c>
      <c r="B255" s="1" t="s">
        <v>5166</v>
      </c>
      <c r="C255" s="187" t="n">
        <f aca="false">IFERROR(SUMPRODUCT((IF('FEBRERO 2026'!Y6:Y124&lt;&gt;"",'FEBRERO 2026'!Y6:Y124,'FEBRERO 2026'!I6:I124)="POMACOCHAS")*('FEBRERO 2026'!K6:K124="PETROLEO")*'FEBRERO 2026'!M6:M124),0)</f>
        <v>66</v>
      </c>
      <c r="D255" s="187" t="n">
        <f aca="false">IFERROR(SUMPRODUCT((IF('FEBRERO 2026'!Y6:Y124&lt;&gt;"",'FEBRERO 2026'!Y6:Y124,'FEBRERO 2026'!I6:I124)="POMACOCHAS")*('FEBRERO 2026'!K6:K124="PETROLEO")*'FEBRERO 2026'!L6:L124*'FEBRERO 2026'!M6:M124),0)</f>
        <v>1199.88</v>
      </c>
      <c r="E255" s="187" t="n">
        <f aca="false">IFERROR(SUMPRODUCT((IF('FEBRERO 2026'!Y6:Y124&lt;&gt;"",'FEBRERO 2026'!Y6:Y124,'FEBRERO 2026'!I6:I124)="POMACOCHAS")*('FEBRERO 2026'!K6:K124="GASOLINA")*'FEBRERO 2026'!M6:M124),0)</f>
        <v>0</v>
      </c>
      <c r="F255" s="187" t="n">
        <f aca="false">IFERROR(SUMPRODUCT((IF('FEBRERO 2026'!Y6:Y124&lt;&gt;"",'FEBRERO 2026'!Y6:Y124,'FEBRERO 2026'!I6:I124)="POMACOCHAS")*('FEBRERO 2026'!K6:K124="GASOLINA")*'FEBRERO 2026'!L6:L124*'FEBRERO 2026'!M6:M124),0)</f>
        <v>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 t="s">
        <v>72</v>
      </c>
      <c r="B256" s="1" t="s">
        <v>5167</v>
      </c>
      <c r="C256" s="187" t="n">
        <f aca="false">IFERROR(SUMPRODUCT((IF('MARZO 2026'!Y6:Y119&lt;&gt;"",'MARZO 2026'!Y6:Y119,'MARZO 2026'!I6:I119)="POMACOCHAS")*('MARZO 2026'!K6:K119="PETROLEO")*'MARZO 2026'!M6:M119),0)</f>
        <v>30</v>
      </c>
      <c r="D256" s="187" t="n">
        <f aca="false">IFERROR(SUMPRODUCT((IF('MARZO 2026'!Y6:Y119&lt;&gt;"",'MARZO 2026'!Y6:Y119,'MARZO 2026'!I6:I119)="POMACOCHAS")*('MARZO 2026'!K6:K119="PETROLEO")*'MARZO 2026'!L6:L119*'MARZO 2026'!M6:M119),0)</f>
        <v>545.4</v>
      </c>
      <c r="E256" s="187" t="n">
        <f aca="false">IFERROR(SUMPRODUCT((IF('MARZO 2026'!Y6:Y119&lt;&gt;"",'MARZO 2026'!Y6:Y119,'MARZO 2026'!I6:I119)="POMACOCHAS")*('MARZO 2026'!K6:K119="GASOLINA")*'MARZO 2026'!M6:M119),0)</f>
        <v>11</v>
      </c>
      <c r="F256" s="187" t="n">
        <f aca="false">IFERROR(SUMPRODUCT((IF('MARZO 2026'!Y6:Y119&lt;&gt;"",'MARZO 2026'!Y6:Y119,'MARZO 2026'!I6:I119)="POMACOCHAS")*('MARZO 2026'!K6:K119="GASOLINA")*'MARZO 2026'!L6:L119*'MARZO 2026'!M6:M119),0)</f>
        <v>197.45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 t="s">
        <v>72</v>
      </c>
      <c r="B257" s="1" t="s">
        <v>5168</v>
      </c>
      <c r="C257" s="187" t="n">
        <f aca="false">IFERROR(SUMPRODUCT((IF('ABRIL 2026'!Y6:Y119&lt;&gt;"",'ABRIL 2026'!Y6:Y119,'ABRIL 2026'!I6:I119)="POMACOCHAS")*('ABRIL 2026'!K6:K119="PETROLEO")*'ABRIL 2026'!M6:M119),0)</f>
        <v>0</v>
      </c>
      <c r="D257" s="187" t="n">
        <f aca="false">IFERROR(SUMPRODUCT((IF('ABRIL 2026'!Y6:Y119&lt;&gt;"",'ABRIL 2026'!Y6:Y119,'ABRIL 2026'!I6:I119)="POMACOCHAS")*('ABRIL 2026'!K6:K119="PETROLEO")*'ABRIL 2026'!L6:L119*'ABRIL 2026'!M6:M119),0)</f>
        <v>0</v>
      </c>
      <c r="E257" s="187" t="n">
        <f aca="false">IFERROR(SUMPRODUCT((IF('ABRIL 2026'!Y6:Y119&lt;&gt;"",'ABRIL 2026'!Y6:Y119,'ABRIL 2026'!I6:I119)="POMACOCHAS")*('ABRIL 2026'!K6:K119="GASOLINA")*'ABRIL 2026'!M6:M119),0)</f>
        <v>0</v>
      </c>
      <c r="F257" s="187" t="n">
        <f aca="false">IFERROR(SUMPRODUCT((IF('ABRIL 2026'!Y6:Y119&lt;&gt;"",'ABRIL 2026'!Y6:Y119,'ABRIL 2026'!I6:I119)="POMACOCHAS")*('ABRIL 2026'!K6:K119="GASOLINA")*'ABRIL 2026'!L6:L119*'ABRIL 2026'!M6:M119),0)</f>
        <v>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 t="s">
        <v>72</v>
      </c>
      <c r="B258" s="1" t="s">
        <v>5169</v>
      </c>
      <c r="C258" s="187" t="n">
        <f aca="false">IFERROR(SUMPRODUCT((IF('MAYO 2026'!Y6:Y110&lt;&gt;"",'MAYO 2026'!Y6:Y110,'MAYO 2026'!I6:I110)="POMACOCHAS")*('MAYO 2026'!K6:K110="PETROLEO")*'MAYO 2026'!M6:M110),0)</f>
        <v>0</v>
      </c>
      <c r="D258" s="187" t="n">
        <f aca="false">IFERROR(SUMPRODUCT((IF('MAYO 2026'!Y6:Y110&lt;&gt;"",'MAYO 2026'!Y6:Y110,'MAYO 2026'!I6:I110)="POMACOCHAS")*('MAYO 2026'!K6:K110="PETROLEO")*'MAYO 2026'!L6:L110*'MAYO 2026'!M6:M110),0)</f>
        <v>0</v>
      </c>
      <c r="E258" s="187" t="n">
        <f aca="false">IFERROR(SUMPRODUCT((IF('MAYO 2026'!Y6:Y110&lt;&gt;"",'MAYO 2026'!Y6:Y110,'MAYO 2026'!I6:I110)="POMACOCHAS")*('MAYO 2026'!K6:K110="GASOLINA")*'MAYO 2026'!M6:M110),0)</f>
        <v>0</v>
      </c>
      <c r="F258" s="187" t="n">
        <f aca="false">IFERROR(SUMPRODUCT((IF('MAYO 2026'!Y6:Y110&lt;&gt;"",'MAYO 2026'!Y6:Y110,'MAYO 2026'!I6:I110)="POMACOCHAS")*('MAYO 2026'!K6:K110="GASOLINA")*'MAYO 2026'!L6:L110*'MAYO 2026'!M6:M110),0)</f>
        <v>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 t="s">
        <v>72</v>
      </c>
      <c r="B259" s="1" t="s">
        <v>5170</v>
      </c>
      <c r="C259" s="187" t="n">
        <f aca="false">IFERROR(SUMPRODUCT((IF('JUNIO 2026'!Y6:Y110&lt;&gt;"",'JUNIO 2026'!Y6:Y110,'JUNIO 2026'!I6:I110)="POMACOCHAS")*('JUNIO 2026'!K6:K110="PETROLEO")*'JUNIO 2026'!M6:M110),0)</f>
        <v>0</v>
      </c>
      <c r="D259" s="187" t="n">
        <f aca="false">IFERROR(SUMPRODUCT((IF('JUNIO 2026'!Y6:Y110&lt;&gt;"",'JUNIO 2026'!Y6:Y110,'JUNIO 2026'!I6:I110)="POMACOCHAS")*('JUNIO 2026'!K6:K110="PETROLEO")*'JUNIO 2026'!L6:L110*'JUNIO 2026'!M6:M110),0)</f>
        <v>0</v>
      </c>
      <c r="E259" s="187" t="n">
        <f aca="false">IFERROR(SUMPRODUCT((IF('JUNIO 2026'!Y6:Y110&lt;&gt;"",'JUNIO 2026'!Y6:Y110,'JUNIO 2026'!I6:I110)="POMACOCHAS")*('JUNIO 2026'!K6:K110="GASOLINA")*'JUNIO 2026'!M6:M110),0)</f>
        <v>0</v>
      </c>
      <c r="F259" s="187" t="n">
        <f aca="false">IFERROR(SUMPRODUCT((IF('JUNIO 2026'!Y6:Y110&lt;&gt;"",'JUNIO 2026'!Y6:Y110,'JUNIO 2026'!I6:I110)="POMACOCHAS")*('JUNIO 2026'!K6:K110="GASOLINA")*'JUNIO 2026'!L6:L110*'JUNIO 2026'!M6:M110),0)</f>
        <v>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 t="s">
        <v>72</v>
      </c>
      <c r="B260" s="1" t="s">
        <v>5171</v>
      </c>
      <c r="C260" s="187" t="n">
        <f aca="false">IFERROR(SUMPRODUCT((IF('JULIO 2026'!Y6:Y110&lt;&gt;"",'JULIO 2026'!Y6:Y110,'JULIO 2026'!I6:I110)="POMACOCHAS")*('JULIO 2026'!K6:K110="PETROLEO")*'JULIO 2026'!M6:M110),0)</f>
        <v>0</v>
      </c>
      <c r="D260" s="187" t="n">
        <f aca="false">IFERROR(SUMPRODUCT((IF('JULIO 2026'!Y6:Y110&lt;&gt;"",'JULIO 2026'!Y6:Y110,'JULIO 2026'!I6:I110)="POMACOCHAS")*('JULIO 2026'!K6:K110="PETROLEO")*'JULIO 2026'!L6:L110*'JULIO 2026'!M6:M110),0)</f>
        <v>0</v>
      </c>
      <c r="E260" s="187" t="n">
        <f aca="false">IFERROR(SUMPRODUCT((IF('JULIO 2026'!Y6:Y110&lt;&gt;"",'JULIO 2026'!Y6:Y110,'JULIO 2026'!I6:I110)="POMACOCHAS")*('JULIO 2026'!K6:K110="GASOLINA")*'JULIO 2026'!M6:M110),0)</f>
        <v>0</v>
      </c>
      <c r="F260" s="187" t="n">
        <f aca="false">IFERROR(SUMPRODUCT((IF('JULIO 2026'!Y6:Y110&lt;&gt;"",'JULIO 2026'!Y6:Y110,'JULIO 2026'!I6:I110)="POMACOCHAS")*('JULIO 2026'!K6:K110="GASOLINA")*'JULIO 2026'!L6:L110*'JULIO 2026'!M6:M110),0)</f>
        <v>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 t="s">
        <v>72</v>
      </c>
      <c r="B261" s="1" t="s">
        <v>5172</v>
      </c>
      <c r="C261" s="187" t="n">
        <f aca="false">IFERROR(SUMPRODUCT((IF('AGOSTO 2026'!Y6:Y110&lt;&gt;"",'AGOSTO 2026'!Y6:Y110,'AGOSTO 2026'!I6:I110)="POMACOCHAS")*('AGOSTO 2026'!K6:K110="PETROLEO")*'AGOSTO 2026'!M6:M110),0)</f>
        <v>0</v>
      </c>
      <c r="D261" s="187" t="n">
        <f aca="false">IFERROR(SUMPRODUCT((IF('AGOSTO 2026'!Y6:Y110&lt;&gt;"",'AGOSTO 2026'!Y6:Y110,'AGOSTO 2026'!I6:I110)="POMACOCHAS")*('AGOSTO 2026'!K6:K110="PETROLEO")*'AGOSTO 2026'!L6:L110*'AGOSTO 2026'!M6:M110),0)</f>
        <v>0</v>
      </c>
      <c r="E261" s="187" t="n">
        <f aca="false">IFERROR(SUMPRODUCT((IF('AGOSTO 2026'!Y6:Y110&lt;&gt;"",'AGOSTO 2026'!Y6:Y110,'AGOSTO 2026'!I6:I110)="POMACOCHAS")*('AGOSTO 2026'!K6:K110="GASOLINA")*'AGOSTO 2026'!M6:M110),0)</f>
        <v>0</v>
      </c>
      <c r="F261" s="187" t="n">
        <f aca="false">IFERROR(SUMPRODUCT((IF('AGOSTO 2026'!Y6:Y110&lt;&gt;"",'AGOSTO 2026'!Y6:Y110,'AGOSTO 2026'!I6:I110)="POMACOCHAS")*('AGOSTO 2026'!K6:K110="GASOLINA")*'AGOSTO 2026'!L6:L110*'AGOSTO 2026'!M6:M110),0)</f>
        <v>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 t="s">
        <v>72</v>
      </c>
      <c r="B262" s="1" t="s">
        <v>5173</v>
      </c>
      <c r="C262" s="187" t="n">
        <f aca="false">IFERROR(SUMPRODUCT((IF('SETIEMBRE 2026'!Y6:Y110&lt;&gt;"",'SETIEMBRE 2026'!Y6:Y110,'SETIEMBRE 2026'!I6:I110)="POMACOCHAS")*('SETIEMBRE 2026'!K6:K110="PETROLEO")*'SETIEMBRE 2026'!M6:M110),0)</f>
        <v>0</v>
      </c>
      <c r="D262" s="187" t="n">
        <f aca="false">IFERROR(SUMPRODUCT((IF('SETIEMBRE 2026'!Y6:Y110&lt;&gt;"",'SETIEMBRE 2026'!Y6:Y110,'SETIEMBRE 2026'!I6:I110)="POMACOCHAS")*('SETIEMBRE 2026'!K6:K110="PETROLEO")*'SETIEMBRE 2026'!L6:L110*'SETIEMBRE 2026'!M6:M110),0)</f>
        <v>0</v>
      </c>
      <c r="E262" s="187" t="n">
        <f aca="false">IFERROR(SUMPRODUCT((IF('SETIEMBRE 2026'!Y6:Y110&lt;&gt;"",'SETIEMBRE 2026'!Y6:Y110,'SETIEMBRE 2026'!I6:I110)="POMACOCHAS")*('SETIEMBRE 2026'!K6:K110="GASOLINA")*'SETIEMBRE 2026'!M6:M110),0)</f>
        <v>0</v>
      </c>
      <c r="F262" s="187" t="n">
        <f aca="false">IFERROR(SUMPRODUCT((IF('SETIEMBRE 2026'!Y6:Y110&lt;&gt;"",'SETIEMBRE 2026'!Y6:Y110,'SETIEMBRE 2026'!I6:I110)="POMACOCHAS")*('SETIEMBRE 2026'!K6:K110="GASOLINA")*'SETIEMBRE 2026'!L6:L110*'SETIEMBRE 2026'!M6:M110),0)</f>
        <v>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 t="s">
        <v>72</v>
      </c>
      <c r="B263" s="1" t="s">
        <v>5174</v>
      </c>
      <c r="C263" s="187" t="n">
        <f aca="false">IFERROR(SUMPRODUCT((IF('OCTUBRE 2026'!Y6:Y110&lt;&gt;"",'OCTUBRE 2026'!Y6:Y110,'OCTUBRE 2026'!I6:I110)="POMACOCHAS")*('OCTUBRE 2026'!K6:K110="PETROLEO")*'OCTUBRE 2026'!M6:M110),0)</f>
        <v>0</v>
      </c>
      <c r="D263" s="187" t="n">
        <f aca="false">IFERROR(SUMPRODUCT((IF('OCTUBRE 2026'!Y6:Y110&lt;&gt;"",'OCTUBRE 2026'!Y6:Y110,'OCTUBRE 2026'!I6:I110)="POMACOCHAS")*('OCTUBRE 2026'!K6:K110="PETROLEO")*'OCTUBRE 2026'!L6:L110*'OCTUBRE 2026'!M6:M110),0)</f>
        <v>0</v>
      </c>
      <c r="E263" s="187" t="n">
        <f aca="false">IFERROR(SUMPRODUCT((IF('OCTUBRE 2026'!Y6:Y110&lt;&gt;"",'OCTUBRE 2026'!Y6:Y110,'OCTUBRE 2026'!I6:I110)="POMACOCHAS")*('OCTUBRE 2026'!K6:K110="GASOLINA")*'OCTUBRE 2026'!M6:M110),0)</f>
        <v>0</v>
      </c>
      <c r="F263" s="187" t="n">
        <f aca="false">IFERROR(SUMPRODUCT((IF('OCTUBRE 2026'!Y6:Y110&lt;&gt;"",'OCTUBRE 2026'!Y6:Y110,'OCTUBRE 2026'!I6:I110)="POMACOCHAS")*('OCTUBRE 2026'!K6:K110="GASOLINA")*'OCTUBRE 2026'!L6:L110*'OCTUBRE 2026'!M6:M110),0)</f>
        <v>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 t="s">
        <v>72</v>
      </c>
      <c r="B264" s="1" t="s">
        <v>5175</v>
      </c>
      <c r="C264" s="187" t="n">
        <f aca="false">IFERROR(SUMPRODUCT((IF('NOVIEMBRE 2026'!Y6:Y110&lt;&gt;"",'NOVIEMBRE 2026'!Y6:Y110,'NOVIEMBRE 2026'!I6:I110)="POMACOCHAS")*('NOVIEMBRE 2026'!K6:K110="PETROLEO")*'NOVIEMBRE 2026'!M6:M110),0)</f>
        <v>0</v>
      </c>
      <c r="D264" s="187" t="n">
        <f aca="false">IFERROR(SUMPRODUCT((IF('NOVIEMBRE 2026'!Y6:Y110&lt;&gt;"",'NOVIEMBRE 2026'!Y6:Y110,'NOVIEMBRE 2026'!I6:I110)="POMACOCHAS")*('NOVIEMBRE 2026'!K6:K110="PETROLEO")*'NOVIEMBRE 2026'!L6:L110*'NOVIEMBRE 2026'!M6:M110),0)</f>
        <v>0</v>
      </c>
      <c r="E264" s="187" t="n">
        <f aca="false">IFERROR(SUMPRODUCT((IF('NOVIEMBRE 2026'!Y6:Y110&lt;&gt;"",'NOVIEMBRE 2026'!Y6:Y110,'NOVIEMBRE 2026'!I6:I110)="POMACOCHAS")*('NOVIEMBRE 2026'!K6:K110="GASOLINA")*'NOVIEMBRE 2026'!M6:M110),0)</f>
        <v>0</v>
      </c>
      <c r="F264" s="187" t="n">
        <f aca="false">IFERROR(SUMPRODUCT((IF('NOVIEMBRE 2026'!Y6:Y110&lt;&gt;"",'NOVIEMBRE 2026'!Y6:Y110,'NOVIEMBRE 2026'!I6:I110)="POMACOCHAS")*('NOVIEMBRE 2026'!K6:K110="GASOLINA")*'NOVIEMBRE 2026'!L6:L110*'NOVIEMBRE 2026'!M6:M110),0)</f>
        <v>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 t="s">
        <v>72</v>
      </c>
      <c r="B265" s="1" t="s">
        <v>5176</v>
      </c>
      <c r="C265" s="187" t="n">
        <f aca="false">IFERROR(SUMPRODUCT((IF('DICIEMBRE 2026'!Y6:Y110&lt;&gt;"",'DICIEMBRE 2026'!Y6:Y110,'DICIEMBRE 2026'!I6:I110)="POMACOCHAS")*('DICIEMBRE 2026'!K6:K110="PETROLEO")*'DICIEMBRE 2026'!M6:M110),0)</f>
        <v>0</v>
      </c>
      <c r="D265" s="187" t="n">
        <f aca="false">IFERROR(SUMPRODUCT((IF('DICIEMBRE 2026'!Y6:Y110&lt;&gt;"",'DICIEMBRE 2026'!Y6:Y110,'DICIEMBRE 2026'!I6:I110)="POMACOCHAS")*('DICIEMBRE 2026'!K6:K110="PETROLEO")*'DICIEMBRE 2026'!L6:L110*'DICIEMBRE 2026'!M6:M110),0)</f>
        <v>0</v>
      </c>
      <c r="E265" s="187" t="n">
        <f aca="false">IFERROR(SUMPRODUCT((IF('DICIEMBRE 2026'!Y6:Y110&lt;&gt;"",'DICIEMBRE 2026'!Y6:Y110,'DICIEMBRE 2026'!I6:I110)="POMACOCHAS")*('DICIEMBRE 2026'!K6:K110="GASOLINA")*'DICIEMBRE 2026'!M6:M110),0)</f>
        <v>0</v>
      </c>
      <c r="F265" s="187" t="n">
        <f aca="false">IFERROR(SUMPRODUCT((IF('DICIEMBRE 2026'!Y6:Y110&lt;&gt;"",'DICIEMBRE 2026'!Y6:Y110,'DICIEMBRE 2026'!I6:I110)="POMACOCHAS")*('DICIEMBRE 2026'!K6:K110="GASOLINA")*'DICIEMBRE 2026'!L6:L110*'DICIEMBRE 2026'!M6:M110),0)</f>
        <v>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 t="s">
        <v>262</v>
      </c>
      <c r="B266" s="1" t="s">
        <v>5165</v>
      </c>
      <c r="C266" s="187" t="n">
        <f aca="false">IFERROR(SUMPRODUCT((IF('ENERO 2026'!Y6:Y119&lt;&gt;"",'ENERO 2026'!Y6:Y119,'ENERO 2026'!I6:I119)="SALAZAR")*('ENERO 2026'!K6:K119="PETROLEO")*'ENERO 2026'!M6:M119),0)</f>
        <v>0</v>
      </c>
      <c r="D266" s="187" t="n">
        <f aca="false">IFERROR(SUMPRODUCT((IF('ENERO 2026'!Y6:Y119&lt;&gt;"",'ENERO 2026'!Y6:Y119,'ENERO 2026'!I6:I119)="SALAZAR")*('ENERO 2026'!K6:K119="PETROLEO")*'ENERO 2026'!L6:L119*'ENERO 2026'!M6:M119),0)</f>
        <v>0</v>
      </c>
      <c r="E266" s="187" t="n">
        <f aca="false">IFERROR(SUMPRODUCT((IF('ENERO 2026'!Y6:Y119&lt;&gt;"",'ENERO 2026'!Y6:Y119,'ENERO 2026'!I6:I119)="SALAZAR")*('ENERO 2026'!K6:K119="GASOLINA")*'ENERO 2026'!M6:M119),0)</f>
        <v>0</v>
      </c>
      <c r="F266" s="187" t="n">
        <f aca="false">IFERROR(SUMPRODUCT((IF('ENERO 2026'!Y6:Y119&lt;&gt;"",'ENERO 2026'!Y6:Y119,'ENERO 2026'!I6:I119)="SALAZAR")*('ENERO 2026'!K6:K119="GASOLINA")*'ENERO 2026'!L6:L119*'ENERO 2026'!M6:M119),0)</f>
        <v>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 t="s">
        <v>262</v>
      </c>
      <c r="B267" s="1" t="s">
        <v>5166</v>
      </c>
      <c r="C267" s="187" t="n">
        <f aca="false">IFERROR(SUMPRODUCT((IF('FEBRERO 2026'!Y6:Y124&lt;&gt;"",'FEBRERO 2026'!Y6:Y124,'FEBRERO 2026'!I6:I124)="SALAZAR")*('FEBRERO 2026'!K6:K124="PETROLEO")*'FEBRERO 2026'!M6:M124),0)</f>
        <v>0</v>
      </c>
      <c r="D267" s="187" t="n">
        <f aca="false">IFERROR(SUMPRODUCT((IF('FEBRERO 2026'!Y6:Y124&lt;&gt;"",'FEBRERO 2026'!Y6:Y124,'FEBRERO 2026'!I6:I124)="SALAZAR")*('FEBRERO 2026'!K6:K124="PETROLEO")*'FEBRERO 2026'!L6:L124*'FEBRERO 2026'!M6:M124),0)</f>
        <v>0</v>
      </c>
      <c r="E267" s="187" t="n">
        <f aca="false">IFERROR(SUMPRODUCT((IF('FEBRERO 2026'!Y6:Y124&lt;&gt;"",'FEBRERO 2026'!Y6:Y124,'FEBRERO 2026'!I6:I124)="SALAZAR")*('FEBRERO 2026'!K6:K124="GASOLINA")*'FEBRERO 2026'!M6:M124),0)</f>
        <v>84</v>
      </c>
      <c r="F267" s="187" t="n">
        <f aca="false">IFERROR(SUMPRODUCT((IF('FEBRERO 2026'!Y6:Y124&lt;&gt;"",'FEBRERO 2026'!Y6:Y124,'FEBRERO 2026'!I6:I124)="SALAZAR")*('FEBRERO 2026'!K6:K124="GASOLINA")*'FEBRERO 2026'!L6:L124*'FEBRERO 2026'!M6:M124),0)</f>
        <v>1507.8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 t="s">
        <v>262</v>
      </c>
      <c r="B268" s="1" t="s">
        <v>5167</v>
      </c>
      <c r="C268" s="187" t="n">
        <f aca="false">IFERROR(SUMPRODUCT((IF('MARZO 2026'!Y6:Y119&lt;&gt;"",'MARZO 2026'!Y6:Y119,'MARZO 2026'!I6:I119)="SALAZAR")*('MARZO 2026'!K6:K119="PETROLEO")*'MARZO 2026'!M6:M119),0)</f>
        <v>0</v>
      </c>
      <c r="D268" s="187" t="n">
        <f aca="false">IFERROR(SUMPRODUCT((IF('MARZO 2026'!Y6:Y119&lt;&gt;"",'MARZO 2026'!Y6:Y119,'MARZO 2026'!I6:I119)="SALAZAR")*('MARZO 2026'!K6:K119="PETROLEO")*'MARZO 2026'!L6:L119*'MARZO 2026'!M6:M119),0)</f>
        <v>0</v>
      </c>
      <c r="E268" s="187" t="n">
        <f aca="false">IFERROR(SUMPRODUCT((IF('MARZO 2026'!Y6:Y119&lt;&gt;"",'MARZO 2026'!Y6:Y119,'MARZO 2026'!I6:I119)="SALAZAR")*('MARZO 2026'!K6:K119="GASOLINA")*'MARZO 2026'!M6:M119),0)</f>
        <v>0</v>
      </c>
      <c r="F268" s="187" t="n">
        <f aca="false">IFERROR(SUMPRODUCT((IF('MARZO 2026'!Y6:Y119&lt;&gt;"",'MARZO 2026'!Y6:Y119,'MARZO 2026'!I6:I119)="SALAZAR")*('MARZO 2026'!K6:K119="GASOLINA")*'MARZO 2026'!L6:L119*'MARZO 2026'!M6:M119),0)</f>
        <v>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 t="s">
        <v>262</v>
      </c>
      <c r="B269" s="1" t="s">
        <v>5168</v>
      </c>
      <c r="C269" s="187" t="n">
        <f aca="false">IFERROR(SUMPRODUCT((IF('ABRIL 2026'!Y6:Y119&lt;&gt;"",'ABRIL 2026'!Y6:Y119,'ABRIL 2026'!I6:I119)="SALAZAR")*('ABRIL 2026'!K6:K119="PETROLEO")*'ABRIL 2026'!M6:M119),0)</f>
        <v>0</v>
      </c>
      <c r="D269" s="187" t="n">
        <f aca="false">IFERROR(SUMPRODUCT((IF('ABRIL 2026'!Y6:Y119&lt;&gt;"",'ABRIL 2026'!Y6:Y119,'ABRIL 2026'!I6:I119)="SALAZAR")*('ABRIL 2026'!K6:K119="PETROLEO")*'ABRIL 2026'!L6:L119*'ABRIL 2026'!M6:M119),0)</f>
        <v>0</v>
      </c>
      <c r="E269" s="187" t="n">
        <f aca="false">IFERROR(SUMPRODUCT((IF('ABRIL 2026'!Y6:Y119&lt;&gt;"",'ABRIL 2026'!Y6:Y119,'ABRIL 2026'!I6:I119)="SALAZAR")*('ABRIL 2026'!K6:K119="GASOLINA")*'ABRIL 2026'!M6:M119),0)</f>
        <v>0</v>
      </c>
      <c r="F269" s="187" t="n">
        <f aca="false">IFERROR(SUMPRODUCT((IF('ABRIL 2026'!Y6:Y119&lt;&gt;"",'ABRIL 2026'!Y6:Y119,'ABRIL 2026'!I6:I119)="SALAZAR")*('ABRIL 2026'!K6:K119="GASOLINA")*'ABRIL 2026'!L6:L119*'ABRIL 2026'!M6:M119),0)</f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 t="s">
        <v>262</v>
      </c>
      <c r="B270" s="1" t="s">
        <v>5169</v>
      </c>
      <c r="C270" s="187" t="n">
        <f aca="false">IFERROR(SUMPRODUCT((IF('MAYO 2026'!Y6:Y110&lt;&gt;"",'MAYO 2026'!Y6:Y110,'MAYO 2026'!I6:I110)="SALAZAR")*('MAYO 2026'!K6:K110="PETROLEO")*'MAYO 2026'!M6:M110),0)</f>
        <v>0</v>
      </c>
      <c r="D270" s="187" t="n">
        <f aca="false">IFERROR(SUMPRODUCT((IF('MAYO 2026'!Y6:Y110&lt;&gt;"",'MAYO 2026'!Y6:Y110,'MAYO 2026'!I6:I110)="SALAZAR")*('MAYO 2026'!K6:K110="PETROLEO")*'MAYO 2026'!L6:L110*'MAYO 2026'!M6:M110),0)</f>
        <v>0</v>
      </c>
      <c r="E270" s="187" t="n">
        <f aca="false">IFERROR(SUMPRODUCT((IF('MAYO 2026'!Y6:Y110&lt;&gt;"",'MAYO 2026'!Y6:Y110,'MAYO 2026'!I6:I110)="SALAZAR")*('MAYO 2026'!K6:K110="GASOLINA")*'MAYO 2026'!M6:M110),0)</f>
        <v>0</v>
      </c>
      <c r="F270" s="187" t="n">
        <f aca="false">IFERROR(SUMPRODUCT((IF('MAYO 2026'!Y6:Y110&lt;&gt;"",'MAYO 2026'!Y6:Y110,'MAYO 2026'!I6:I110)="SALAZAR")*('MAYO 2026'!K6:K110="GASOLINA")*'MAYO 2026'!L6:L110*'MAYO 2026'!M6:M110),0)</f>
        <v>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 t="s">
        <v>262</v>
      </c>
      <c r="B271" s="1" t="s">
        <v>5170</v>
      </c>
      <c r="C271" s="187" t="n">
        <f aca="false">IFERROR(SUMPRODUCT((IF('JUNIO 2026'!Y6:Y110&lt;&gt;"",'JUNIO 2026'!Y6:Y110,'JUNIO 2026'!I6:I110)="SALAZAR")*('JUNIO 2026'!K6:K110="PETROLEO")*'JUNIO 2026'!M6:M110),0)</f>
        <v>0</v>
      </c>
      <c r="D271" s="187" t="n">
        <f aca="false">IFERROR(SUMPRODUCT((IF('JUNIO 2026'!Y6:Y110&lt;&gt;"",'JUNIO 2026'!Y6:Y110,'JUNIO 2026'!I6:I110)="SALAZAR")*('JUNIO 2026'!K6:K110="PETROLEO")*'JUNIO 2026'!L6:L110*'JUNIO 2026'!M6:M110),0)</f>
        <v>0</v>
      </c>
      <c r="E271" s="187" t="n">
        <f aca="false">IFERROR(SUMPRODUCT((IF('JUNIO 2026'!Y6:Y110&lt;&gt;"",'JUNIO 2026'!Y6:Y110,'JUNIO 2026'!I6:I110)="SALAZAR")*('JUNIO 2026'!K6:K110="GASOLINA")*'JUNIO 2026'!M6:M110),0)</f>
        <v>0</v>
      </c>
      <c r="F271" s="187" t="n">
        <f aca="false">IFERROR(SUMPRODUCT((IF('JUNIO 2026'!Y6:Y110&lt;&gt;"",'JUNIO 2026'!Y6:Y110,'JUNIO 2026'!I6:I110)="SALAZAR")*('JUNIO 2026'!K6:K110="GASOLINA")*'JUNIO 2026'!L6:L110*'JUNIO 2026'!M6:M110),0)</f>
        <v>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 t="s">
        <v>262</v>
      </c>
      <c r="B272" s="1" t="s">
        <v>5171</v>
      </c>
      <c r="C272" s="187" t="n">
        <f aca="false">IFERROR(SUMPRODUCT((IF('JULIO 2026'!Y6:Y110&lt;&gt;"",'JULIO 2026'!Y6:Y110,'JULIO 2026'!I6:I110)="SALAZAR")*('JULIO 2026'!K6:K110="PETROLEO")*'JULIO 2026'!M6:M110),0)</f>
        <v>0</v>
      </c>
      <c r="D272" s="187" t="n">
        <f aca="false">IFERROR(SUMPRODUCT((IF('JULIO 2026'!Y6:Y110&lt;&gt;"",'JULIO 2026'!Y6:Y110,'JULIO 2026'!I6:I110)="SALAZAR")*('JULIO 2026'!K6:K110="PETROLEO")*'JULIO 2026'!L6:L110*'JULIO 2026'!M6:M110),0)</f>
        <v>0</v>
      </c>
      <c r="E272" s="187" t="n">
        <f aca="false">IFERROR(SUMPRODUCT((IF('JULIO 2026'!Y6:Y110&lt;&gt;"",'JULIO 2026'!Y6:Y110,'JULIO 2026'!I6:I110)="SALAZAR")*('JULIO 2026'!K6:K110="GASOLINA")*'JULIO 2026'!M6:M110),0)</f>
        <v>0</v>
      </c>
      <c r="F272" s="187" t="n">
        <f aca="false">IFERROR(SUMPRODUCT((IF('JULIO 2026'!Y6:Y110&lt;&gt;"",'JULIO 2026'!Y6:Y110,'JULIO 2026'!I6:I110)="SALAZAR")*('JULIO 2026'!K6:K110="GASOLINA")*'JULIO 2026'!L6:L110*'JULIO 2026'!M6:M110),0)</f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 t="s">
        <v>262</v>
      </c>
      <c r="B273" s="1" t="s">
        <v>5172</v>
      </c>
      <c r="C273" s="187" t="n">
        <f aca="false">IFERROR(SUMPRODUCT((IF('AGOSTO 2026'!Y6:Y110&lt;&gt;"",'AGOSTO 2026'!Y6:Y110,'AGOSTO 2026'!I6:I110)="SALAZAR")*('AGOSTO 2026'!K6:K110="PETROLEO")*'AGOSTO 2026'!M6:M110),0)</f>
        <v>0</v>
      </c>
      <c r="D273" s="187" t="n">
        <f aca="false">IFERROR(SUMPRODUCT((IF('AGOSTO 2026'!Y6:Y110&lt;&gt;"",'AGOSTO 2026'!Y6:Y110,'AGOSTO 2026'!I6:I110)="SALAZAR")*('AGOSTO 2026'!K6:K110="PETROLEO")*'AGOSTO 2026'!L6:L110*'AGOSTO 2026'!M6:M110),0)</f>
        <v>0</v>
      </c>
      <c r="E273" s="187" t="n">
        <f aca="false">IFERROR(SUMPRODUCT((IF('AGOSTO 2026'!Y6:Y110&lt;&gt;"",'AGOSTO 2026'!Y6:Y110,'AGOSTO 2026'!I6:I110)="SALAZAR")*('AGOSTO 2026'!K6:K110="GASOLINA")*'AGOSTO 2026'!M6:M110),0)</f>
        <v>0</v>
      </c>
      <c r="F273" s="187" t="n">
        <f aca="false">IFERROR(SUMPRODUCT((IF('AGOSTO 2026'!Y6:Y110&lt;&gt;"",'AGOSTO 2026'!Y6:Y110,'AGOSTO 2026'!I6:I110)="SALAZAR")*('AGOSTO 2026'!K6:K110="GASOLINA")*'AGOSTO 2026'!L6:L110*'AGOSTO 2026'!M6:M110),0)</f>
        <v>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 t="s">
        <v>262</v>
      </c>
      <c r="B274" s="1" t="s">
        <v>5173</v>
      </c>
      <c r="C274" s="187" t="n">
        <f aca="false">IFERROR(SUMPRODUCT((IF('SETIEMBRE 2026'!Y6:Y110&lt;&gt;"",'SETIEMBRE 2026'!Y6:Y110,'SETIEMBRE 2026'!I6:I110)="SALAZAR")*('SETIEMBRE 2026'!K6:K110="PETROLEO")*'SETIEMBRE 2026'!M6:M110),0)</f>
        <v>0</v>
      </c>
      <c r="D274" s="187" t="n">
        <f aca="false">IFERROR(SUMPRODUCT((IF('SETIEMBRE 2026'!Y6:Y110&lt;&gt;"",'SETIEMBRE 2026'!Y6:Y110,'SETIEMBRE 2026'!I6:I110)="SALAZAR")*('SETIEMBRE 2026'!K6:K110="PETROLEO")*'SETIEMBRE 2026'!L6:L110*'SETIEMBRE 2026'!M6:M110),0)</f>
        <v>0</v>
      </c>
      <c r="E274" s="187" t="n">
        <f aca="false">IFERROR(SUMPRODUCT((IF('SETIEMBRE 2026'!Y6:Y110&lt;&gt;"",'SETIEMBRE 2026'!Y6:Y110,'SETIEMBRE 2026'!I6:I110)="SALAZAR")*('SETIEMBRE 2026'!K6:K110="GASOLINA")*'SETIEMBRE 2026'!M6:M110),0)</f>
        <v>0</v>
      </c>
      <c r="F274" s="187" t="n">
        <f aca="false">IFERROR(SUMPRODUCT((IF('SETIEMBRE 2026'!Y6:Y110&lt;&gt;"",'SETIEMBRE 2026'!Y6:Y110,'SETIEMBRE 2026'!I6:I110)="SALAZAR")*('SETIEMBRE 2026'!K6:K110="GASOLINA")*'SETIEMBRE 2026'!L6:L110*'SETIEMBRE 2026'!M6:M110),0)</f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 t="s">
        <v>262</v>
      </c>
      <c r="B275" s="1" t="s">
        <v>5174</v>
      </c>
      <c r="C275" s="187" t="n">
        <f aca="false">IFERROR(SUMPRODUCT((IF('OCTUBRE 2026'!Y6:Y110&lt;&gt;"",'OCTUBRE 2026'!Y6:Y110,'OCTUBRE 2026'!I6:I110)="SALAZAR")*('OCTUBRE 2026'!K6:K110="PETROLEO")*'OCTUBRE 2026'!M6:M110),0)</f>
        <v>0</v>
      </c>
      <c r="D275" s="187" t="n">
        <f aca="false">IFERROR(SUMPRODUCT((IF('OCTUBRE 2026'!Y6:Y110&lt;&gt;"",'OCTUBRE 2026'!Y6:Y110,'OCTUBRE 2026'!I6:I110)="SALAZAR")*('OCTUBRE 2026'!K6:K110="PETROLEO")*'OCTUBRE 2026'!L6:L110*'OCTUBRE 2026'!M6:M110),0)</f>
        <v>0</v>
      </c>
      <c r="E275" s="187" t="n">
        <f aca="false">IFERROR(SUMPRODUCT((IF('OCTUBRE 2026'!Y6:Y110&lt;&gt;"",'OCTUBRE 2026'!Y6:Y110,'OCTUBRE 2026'!I6:I110)="SALAZAR")*('OCTUBRE 2026'!K6:K110="GASOLINA")*'OCTUBRE 2026'!M6:M110),0)</f>
        <v>0</v>
      </c>
      <c r="F275" s="187" t="n">
        <f aca="false">IFERROR(SUMPRODUCT((IF('OCTUBRE 2026'!Y6:Y110&lt;&gt;"",'OCTUBRE 2026'!Y6:Y110,'OCTUBRE 2026'!I6:I110)="SALAZAR")*('OCTUBRE 2026'!K6:K110="GASOLINA")*'OCTUBRE 2026'!L6:L110*'OCTUBRE 2026'!M6:M110),0)</f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 t="s">
        <v>262</v>
      </c>
      <c r="B276" s="1" t="s">
        <v>5175</v>
      </c>
      <c r="C276" s="187" t="n">
        <f aca="false">IFERROR(SUMPRODUCT((IF('NOVIEMBRE 2026'!Y6:Y110&lt;&gt;"",'NOVIEMBRE 2026'!Y6:Y110,'NOVIEMBRE 2026'!I6:I110)="SALAZAR")*('NOVIEMBRE 2026'!K6:K110="PETROLEO")*'NOVIEMBRE 2026'!M6:M110),0)</f>
        <v>0</v>
      </c>
      <c r="D276" s="187" t="n">
        <f aca="false">IFERROR(SUMPRODUCT((IF('NOVIEMBRE 2026'!Y6:Y110&lt;&gt;"",'NOVIEMBRE 2026'!Y6:Y110,'NOVIEMBRE 2026'!I6:I110)="SALAZAR")*('NOVIEMBRE 2026'!K6:K110="PETROLEO")*'NOVIEMBRE 2026'!L6:L110*'NOVIEMBRE 2026'!M6:M110),0)</f>
        <v>0</v>
      </c>
      <c r="E276" s="187" t="n">
        <f aca="false">IFERROR(SUMPRODUCT((IF('NOVIEMBRE 2026'!Y6:Y110&lt;&gt;"",'NOVIEMBRE 2026'!Y6:Y110,'NOVIEMBRE 2026'!I6:I110)="SALAZAR")*('NOVIEMBRE 2026'!K6:K110="GASOLINA")*'NOVIEMBRE 2026'!M6:M110),0)</f>
        <v>0</v>
      </c>
      <c r="F276" s="187" t="n">
        <f aca="false">IFERROR(SUMPRODUCT((IF('NOVIEMBRE 2026'!Y6:Y110&lt;&gt;"",'NOVIEMBRE 2026'!Y6:Y110,'NOVIEMBRE 2026'!I6:I110)="SALAZAR")*('NOVIEMBRE 2026'!K6:K110="GASOLINA")*'NOVIEMBRE 2026'!L6:L110*'NOVIEMBRE 2026'!M6:M110),0)</f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 t="s">
        <v>262</v>
      </c>
      <c r="B277" s="1" t="s">
        <v>5176</v>
      </c>
      <c r="C277" s="187" t="n">
        <f aca="false">IFERROR(SUMPRODUCT((IF('DICIEMBRE 2026'!Y6:Y110&lt;&gt;"",'DICIEMBRE 2026'!Y6:Y110,'DICIEMBRE 2026'!I6:I110)="SALAZAR")*('DICIEMBRE 2026'!K6:K110="PETROLEO")*'DICIEMBRE 2026'!M6:M110),0)</f>
        <v>0</v>
      </c>
      <c r="D277" s="187" t="n">
        <f aca="false">IFERROR(SUMPRODUCT((IF('DICIEMBRE 2026'!Y6:Y110&lt;&gt;"",'DICIEMBRE 2026'!Y6:Y110,'DICIEMBRE 2026'!I6:I110)="SALAZAR")*('DICIEMBRE 2026'!K6:K110="PETROLEO")*'DICIEMBRE 2026'!L6:L110*'DICIEMBRE 2026'!M6:M110),0)</f>
        <v>0</v>
      </c>
      <c r="E277" s="187" t="n">
        <f aca="false">IFERROR(SUMPRODUCT((IF('DICIEMBRE 2026'!Y6:Y110&lt;&gt;"",'DICIEMBRE 2026'!Y6:Y110,'DICIEMBRE 2026'!I6:I110)="SALAZAR")*('DICIEMBRE 2026'!K6:K110="GASOLINA")*'DICIEMBRE 2026'!M6:M110),0)</f>
        <v>0</v>
      </c>
      <c r="F277" s="187" t="n">
        <f aca="false">IFERROR(SUMPRODUCT((IF('DICIEMBRE 2026'!Y6:Y110&lt;&gt;"",'DICIEMBRE 2026'!Y6:Y110,'DICIEMBRE 2026'!I6:I110)="SALAZAR")*('DICIEMBRE 2026'!K6:K110="GASOLINA")*'DICIEMBRE 2026'!L6:L110*'DICIEMBRE 2026'!M6:M110),0)</f>
        <v>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 t="s">
        <v>75</v>
      </c>
      <c r="B278" s="1" t="s">
        <v>5165</v>
      </c>
      <c r="C278" s="187" t="n">
        <f aca="false">IFERROR(SUMPRODUCT((IF('ENERO 2026'!Y6:Y119&lt;&gt;"",'ENERO 2026'!Y6:Y119,'ENERO 2026'!I6:I119)="SANTO TOMAS")*('ENERO 2026'!K6:K119="PETROLEO")*'ENERO 2026'!M6:M119),0)</f>
        <v>20</v>
      </c>
      <c r="D278" s="187" t="n">
        <f aca="false">IFERROR(SUMPRODUCT((IF('ENERO 2026'!Y6:Y119&lt;&gt;"",'ENERO 2026'!Y6:Y119,'ENERO 2026'!I6:I119)="SANTO TOMAS")*('ENERO 2026'!K6:K119="PETROLEO")*'ENERO 2026'!L6:L119*'ENERO 2026'!M6:M119),0)</f>
        <v>363.6</v>
      </c>
      <c r="E278" s="187" t="n">
        <f aca="false">IFERROR(SUMPRODUCT((IF('ENERO 2026'!Y6:Y119&lt;&gt;"",'ENERO 2026'!Y6:Y119,'ENERO 2026'!I6:I119)="SANTO TOMAS")*('ENERO 2026'!K6:K119="GASOLINA")*'ENERO 2026'!M6:M119),0)</f>
        <v>0</v>
      </c>
      <c r="F278" s="187" t="n">
        <f aca="false">IFERROR(SUMPRODUCT((IF('ENERO 2026'!Y6:Y119&lt;&gt;"",'ENERO 2026'!Y6:Y119,'ENERO 2026'!I6:I119)="SANTO TOMAS")*('ENERO 2026'!K6:K119="GASOLINA")*'ENERO 2026'!L6:L119*'ENERO 2026'!M6:M119),0)</f>
        <v>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 t="s">
        <v>75</v>
      </c>
      <c r="B279" s="1" t="s">
        <v>5166</v>
      </c>
      <c r="C279" s="187" t="n">
        <f aca="false">IFERROR(SUMPRODUCT((IF('FEBRERO 2026'!Y6:Y124&lt;&gt;"",'FEBRERO 2026'!Y6:Y124,'FEBRERO 2026'!I6:I124)="SANTO TOMAS")*('FEBRERO 2026'!K6:K124="PETROLEO")*'FEBRERO 2026'!M6:M124),0)</f>
        <v>10</v>
      </c>
      <c r="D279" s="187" t="n">
        <f aca="false">IFERROR(SUMPRODUCT((IF('FEBRERO 2026'!Y6:Y124&lt;&gt;"",'FEBRERO 2026'!Y6:Y124,'FEBRERO 2026'!I6:I124)="SANTO TOMAS")*('FEBRERO 2026'!K6:K124="PETROLEO")*'FEBRERO 2026'!L6:L124*'FEBRERO 2026'!M6:M124),0)</f>
        <v>181.8</v>
      </c>
      <c r="E279" s="187" t="n">
        <f aca="false">IFERROR(SUMPRODUCT((IF('FEBRERO 2026'!Y6:Y124&lt;&gt;"",'FEBRERO 2026'!Y6:Y124,'FEBRERO 2026'!I6:I124)="SANTO TOMAS")*('FEBRERO 2026'!K6:K124="GASOLINA")*'FEBRERO 2026'!M6:M124),0)</f>
        <v>0</v>
      </c>
      <c r="F279" s="187" t="n">
        <f aca="false">IFERROR(SUMPRODUCT((IF('FEBRERO 2026'!Y6:Y124&lt;&gt;"",'FEBRERO 2026'!Y6:Y124,'FEBRERO 2026'!I6:I124)="SANTO TOMAS")*('FEBRERO 2026'!K6:K124="GASOLINA")*'FEBRERO 2026'!L6:L124*'FEBRERO 2026'!M6:M124),0)</f>
        <v>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 t="s">
        <v>75</v>
      </c>
      <c r="B280" s="1" t="s">
        <v>5167</v>
      </c>
      <c r="C280" s="187" t="n">
        <f aca="false">IFERROR(SUMPRODUCT((IF('MARZO 2026'!Y6:Y119&lt;&gt;"",'MARZO 2026'!Y6:Y119,'MARZO 2026'!I6:I119)="SANTO TOMAS")*('MARZO 2026'!K6:K119="PETROLEO")*'MARZO 2026'!M6:M119),0)</f>
        <v>0</v>
      </c>
      <c r="D280" s="187" t="n">
        <f aca="false">IFERROR(SUMPRODUCT((IF('MARZO 2026'!Y6:Y119&lt;&gt;"",'MARZO 2026'!Y6:Y119,'MARZO 2026'!I6:I119)="SANTO TOMAS")*('MARZO 2026'!K6:K119="PETROLEO")*'MARZO 2026'!L6:L119*'MARZO 2026'!M6:M119),0)</f>
        <v>0</v>
      </c>
      <c r="E280" s="187" t="n">
        <f aca="false">IFERROR(SUMPRODUCT((IF('MARZO 2026'!Y6:Y119&lt;&gt;"",'MARZO 2026'!Y6:Y119,'MARZO 2026'!I6:I119)="SANTO TOMAS")*('MARZO 2026'!K6:K119="GASOLINA")*'MARZO 2026'!M6:M119),0)</f>
        <v>0</v>
      </c>
      <c r="F280" s="187" t="n">
        <f aca="false">IFERROR(SUMPRODUCT((IF('MARZO 2026'!Y6:Y119&lt;&gt;"",'MARZO 2026'!Y6:Y119,'MARZO 2026'!I6:I119)="SANTO TOMAS")*('MARZO 2026'!K6:K119="GASOLINA")*'MARZO 2026'!L6:L119*'MARZO 2026'!M6:M119),0)</f>
        <v>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 t="s">
        <v>75</v>
      </c>
      <c r="B281" s="1" t="s">
        <v>5168</v>
      </c>
      <c r="C281" s="187" t="n">
        <f aca="false">IFERROR(SUMPRODUCT((IF('ABRIL 2026'!Y6:Y119&lt;&gt;"",'ABRIL 2026'!Y6:Y119,'ABRIL 2026'!I6:I119)="SANTO TOMAS")*('ABRIL 2026'!K6:K119="PETROLEO")*'ABRIL 2026'!M6:M119),0)</f>
        <v>0</v>
      </c>
      <c r="D281" s="187" t="n">
        <f aca="false">IFERROR(SUMPRODUCT((IF('ABRIL 2026'!Y6:Y119&lt;&gt;"",'ABRIL 2026'!Y6:Y119,'ABRIL 2026'!I6:I119)="SANTO TOMAS")*('ABRIL 2026'!K6:K119="PETROLEO")*'ABRIL 2026'!L6:L119*'ABRIL 2026'!M6:M119),0)</f>
        <v>0</v>
      </c>
      <c r="E281" s="187" t="n">
        <f aca="false">IFERROR(SUMPRODUCT((IF('ABRIL 2026'!Y6:Y119&lt;&gt;"",'ABRIL 2026'!Y6:Y119,'ABRIL 2026'!I6:I119)="SANTO TOMAS")*('ABRIL 2026'!K6:K119="GASOLINA")*'ABRIL 2026'!M6:M119),0)</f>
        <v>0</v>
      </c>
      <c r="F281" s="187" t="n">
        <f aca="false">IFERROR(SUMPRODUCT((IF('ABRIL 2026'!Y6:Y119&lt;&gt;"",'ABRIL 2026'!Y6:Y119,'ABRIL 2026'!I6:I119)="SANTO TOMAS")*('ABRIL 2026'!K6:K119="GASOLINA")*'ABRIL 2026'!L6:L119*'ABRIL 2026'!M6:M119),0)</f>
        <v>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 t="s">
        <v>75</v>
      </c>
      <c r="B282" s="1" t="s">
        <v>5169</v>
      </c>
      <c r="C282" s="187" t="n">
        <f aca="false">IFERROR(SUMPRODUCT((IF('MAYO 2026'!Y6:Y110&lt;&gt;"",'MAYO 2026'!Y6:Y110,'MAYO 2026'!I6:I110)="SANTO TOMAS")*('MAYO 2026'!K6:K110="PETROLEO")*'MAYO 2026'!M6:M110),0)</f>
        <v>0</v>
      </c>
      <c r="D282" s="187" t="n">
        <f aca="false">IFERROR(SUMPRODUCT((IF('MAYO 2026'!Y6:Y110&lt;&gt;"",'MAYO 2026'!Y6:Y110,'MAYO 2026'!I6:I110)="SANTO TOMAS")*('MAYO 2026'!K6:K110="PETROLEO")*'MAYO 2026'!L6:L110*'MAYO 2026'!M6:M110),0)</f>
        <v>0</v>
      </c>
      <c r="E282" s="187" t="n">
        <f aca="false">IFERROR(SUMPRODUCT((IF('MAYO 2026'!Y6:Y110&lt;&gt;"",'MAYO 2026'!Y6:Y110,'MAYO 2026'!I6:I110)="SANTO TOMAS")*('MAYO 2026'!K6:K110="GASOLINA")*'MAYO 2026'!M6:M110),0)</f>
        <v>0</v>
      </c>
      <c r="F282" s="187" t="n">
        <f aca="false">IFERROR(SUMPRODUCT((IF('MAYO 2026'!Y6:Y110&lt;&gt;"",'MAYO 2026'!Y6:Y110,'MAYO 2026'!I6:I110)="SANTO TOMAS")*('MAYO 2026'!K6:K110="GASOLINA")*'MAYO 2026'!L6:L110*'MAYO 2026'!M6:M110),0)</f>
        <v>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 t="s">
        <v>75</v>
      </c>
      <c r="B283" s="1" t="s">
        <v>5170</v>
      </c>
      <c r="C283" s="187" t="n">
        <f aca="false">IFERROR(SUMPRODUCT((IF('JUNIO 2026'!Y6:Y110&lt;&gt;"",'JUNIO 2026'!Y6:Y110,'JUNIO 2026'!I6:I110)="SANTO TOMAS")*('JUNIO 2026'!K6:K110="PETROLEO")*'JUNIO 2026'!M6:M110),0)</f>
        <v>0</v>
      </c>
      <c r="D283" s="187" t="n">
        <f aca="false">IFERROR(SUMPRODUCT((IF('JUNIO 2026'!Y6:Y110&lt;&gt;"",'JUNIO 2026'!Y6:Y110,'JUNIO 2026'!I6:I110)="SANTO TOMAS")*('JUNIO 2026'!K6:K110="PETROLEO")*'JUNIO 2026'!L6:L110*'JUNIO 2026'!M6:M110),0)</f>
        <v>0</v>
      </c>
      <c r="E283" s="187" t="n">
        <f aca="false">IFERROR(SUMPRODUCT((IF('JUNIO 2026'!Y6:Y110&lt;&gt;"",'JUNIO 2026'!Y6:Y110,'JUNIO 2026'!I6:I110)="SANTO TOMAS")*('JUNIO 2026'!K6:K110="GASOLINA")*'JUNIO 2026'!M6:M110),0)</f>
        <v>0</v>
      </c>
      <c r="F283" s="187" t="n">
        <f aca="false">IFERROR(SUMPRODUCT((IF('JUNIO 2026'!Y6:Y110&lt;&gt;"",'JUNIO 2026'!Y6:Y110,'JUNIO 2026'!I6:I110)="SANTO TOMAS")*('JUNIO 2026'!K6:K110="GASOLINA")*'JUNIO 2026'!L6:L110*'JUNIO 2026'!M6:M110),0)</f>
        <v>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 t="s">
        <v>75</v>
      </c>
      <c r="B284" s="1" t="s">
        <v>5171</v>
      </c>
      <c r="C284" s="187" t="n">
        <f aca="false">IFERROR(SUMPRODUCT((IF('JULIO 2026'!Y6:Y110&lt;&gt;"",'JULIO 2026'!Y6:Y110,'JULIO 2026'!I6:I110)="SANTO TOMAS")*('JULIO 2026'!K6:K110="PETROLEO")*'JULIO 2026'!M6:M110),0)</f>
        <v>0</v>
      </c>
      <c r="D284" s="187" t="n">
        <f aca="false">IFERROR(SUMPRODUCT((IF('JULIO 2026'!Y6:Y110&lt;&gt;"",'JULIO 2026'!Y6:Y110,'JULIO 2026'!I6:I110)="SANTO TOMAS")*('JULIO 2026'!K6:K110="PETROLEO")*'JULIO 2026'!L6:L110*'JULIO 2026'!M6:M110),0)</f>
        <v>0</v>
      </c>
      <c r="E284" s="187" t="n">
        <f aca="false">IFERROR(SUMPRODUCT((IF('JULIO 2026'!Y6:Y110&lt;&gt;"",'JULIO 2026'!Y6:Y110,'JULIO 2026'!I6:I110)="SANTO TOMAS")*('JULIO 2026'!K6:K110="GASOLINA")*'JULIO 2026'!M6:M110),0)</f>
        <v>0</v>
      </c>
      <c r="F284" s="187" t="n">
        <f aca="false">IFERROR(SUMPRODUCT((IF('JULIO 2026'!Y6:Y110&lt;&gt;"",'JULIO 2026'!Y6:Y110,'JULIO 2026'!I6:I110)="SANTO TOMAS")*('JULIO 2026'!K6:K110="GASOLINA")*'JULIO 2026'!L6:L110*'JULIO 2026'!M6:M110),0)</f>
        <v>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 t="s">
        <v>75</v>
      </c>
      <c r="B285" s="1" t="s">
        <v>5172</v>
      </c>
      <c r="C285" s="187" t="n">
        <f aca="false">IFERROR(SUMPRODUCT((IF('AGOSTO 2026'!Y6:Y110&lt;&gt;"",'AGOSTO 2026'!Y6:Y110,'AGOSTO 2026'!I6:I110)="SANTO TOMAS")*('AGOSTO 2026'!K6:K110="PETROLEO")*'AGOSTO 2026'!M6:M110),0)</f>
        <v>0</v>
      </c>
      <c r="D285" s="187" t="n">
        <f aca="false">IFERROR(SUMPRODUCT((IF('AGOSTO 2026'!Y6:Y110&lt;&gt;"",'AGOSTO 2026'!Y6:Y110,'AGOSTO 2026'!I6:I110)="SANTO TOMAS")*('AGOSTO 2026'!K6:K110="PETROLEO")*'AGOSTO 2026'!L6:L110*'AGOSTO 2026'!M6:M110),0)</f>
        <v>0</v>
      </c>
      <c r="E285" s="187" t="n">
        <f aca="false">IFERROR(SUMPRODUCT((IF('AGOSTO 2026'!Y6:Y110&lt;&gt;"",'AGOSTO 2026'!Y6:Y110,'AGOSTO 2026'!I6:I110)="SANTO TOMAS")*('AGOSTO 2026'!K6:K110="GASOLINA")*'AGOSTO 2026'!M6:M110),0)</f>
        <v>0</v>
      </c>
      <c r="F285" s="187" t="n">
        <f aca="false">IFERROR(SUMPRODUCT((IF('AGOSTO 2026'!Y6:Y110&lt;&gt;"",'AGOSTO 2026'!Y6:Y110,'AGOSTO 2026'!I6:I110)="SANTO TOMAS")*('AGOSTO 2026'!K6:K110="GASOLINA")*'AGOSTO 2026'!L6:L110*'AGOSTO 2026'!M6:M110),0)</f>
        <v>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 t="s">
        <v>75</v>
      </c>
      <c r="B286" s="1" t="s">
        <v>5173</v>
      </c>
      <c r="C286" s="187" t="n">
        <f aca="false">IFERROR(SUMPRODUCT((IF('SETIEMBRE 2026'!Y6:Y110&lt;&gt;"",'SETIEMBRE 2026'!Y6:Y110,'SETIEMBRE 2026'!I6:I110)="SANTO TOMAS")*('SETIEMBRE 2026'!K6:K110="PETROLEO")*'SETIEMBRE 2026'!M6:M110),0)</f>
        <v>0</v>
      </c>
      <c r="D286" s="187" t="n">
        <f aca="false">IFERROR(SUMPRODUCT((IF('SETIEMBRE 2026'!Y6:Y110&lt;&gt;"",'SETIEMBRE 2026'!Y6:Y110,'SETIEMBRE 2026'!I6:I110)="SANTO TOMAS")*('SETIEMBRE 2026'!K6:K110="PETROLEO")*'SETIEMBRE 2026'!L6:L110*'SETIEMBRE 2026'!M6:M110),0)</f>
        <v>0</v>
      </c>
      <c r="E286" s="187" t="n">
        <f aca="false">IFERROR(SUMPRODUCT((IF('SETIEMBRE 2026'!Y6:Y110&lt;&gt;"",'SETIEMBRE 2026'!Y6:Y110,'SETIEMBRE 2026'!I6:I110)="SANTO TOMAS")*('SETIEMBRE 2026'!K6:K110="GASOLINA")*'SETIEMBRE 2026'!M6:M110),0)</f>
        <v>0</v>
      </c>
      <c r="F286" s="187" t="n">
        <f aca="false">IFERROR(SUMPRODUCT((IF('SETIEMBRE 2026'!Y6:Y110&lt;&gt;"",'SETIEMBRE 2026'!Y6:Y110,'SETIEMBRE 2026'!I6:I110)="SANTO TOMAS")*('SETIEMBRE 2026'!K6:K110="GASOLINA")*'SETIEMBRE 2026'!L6:L110*'SETIEMBRE 2026'!M6:M110),0)</f>
        <v>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 t="s">
        <v>75</v>
      </c>
      <c r="B287" s="1" t="s">
        <v>5174</v>
      </c>
      <c r="C287" s="187" t="n">
        <f aca="false">IFERROR(SUMPRODUCT((IF('OCTUBRE 2026'!Y6:Y110&lt;&gt;"",'OCTUBRE 2026'!Y6:Y110,'OCTUBRE 2026'!I6:I110)="SANTO TOMAS")*('OCTUBRE 2026'!K6:K110="PETROLEO")*'OCTUBRE 2026'!M6:M110),0)</f>
        <v>0</v>
      </c>
      <c r="D287" s="187" t="n">
        <f aca="false">IFERROR(SUMPRODUCT((IF('OCTUBRE 2026'!Y6:Y110&lt;&gt;"",'OCTUBRE 2026'!Y6:Y110,'OCTUBRE 2026'!I6:I110)="SANTO TOMAS")*('OCTUBRE 2026'!K6:K110="PETROLEO")*'OCTUBRE 2026'!L6:L110*'OCTUBRE 2026'!M6:M110),0)</f>
        <v>0</v>
      </c>
      <c r="E287" s="187" t="n">
        <f aca="false">IFERROR(SUMPRODUCT((IF('OCTUBRE 2026'!Y6:Y110&lt;&gt;"",'OCTUBRE 2026'!Y6:Y110,'OCTUBRE 2026'!I6:I110)="SANTO TOMAS")*('OCTUBRE 2026'!K6:K110="GASOLINA")*'OCTUBRE 2026'!M6:M110),0)</f>
        <v>0</v>
      </c>
      <c r="F287" s="187" t="n">
        <f aca="false">IFERROR(SUMPRODUCT((IF('OCTUBRE 2026'!Y6:Y110&lt;&gt;"",'OCTUBRE 2026'!Y6:Y110,'OCTUBRE 2026'!I6:I110)="SANTO TOMAS")*('OCTUBRE 2026'!K6:K110="GASOLINA")*'OCTUBRE 2026'!L6:L110*'OCTUBRE 2026'!M6:M110),0)</f>
        <v>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 t="s">
        <v>75</v>
      </c>
      <c r="B288" s="1" t="s">
        <v>5175</v>
      </c>
      <c r="C288" s="187" t="n">
        <f aca="false">IFERROR(SUMPRODUCT((IF('NOVIEMBRE 2026'!Y6:Y110&lt;&gt;"",'NOVIEMBRE 2026'!Y6:Y110,'NOVIEMBRE 2026'!I6:I110)="SANTO TOMAS")*('NOVIEMBRE 2026'!K6:K110="PETROLEO")*'NOVIEMBRE 2026'!M6:M110),0)</f>
        <v>0</v>
      </c>
      <c r="D288" s="187" t="n">
        <f aca="false">IFERROR(SUMPRODUCT((IF('NOVIEMBRE 2026'!Y6:Y110&lt;&gt;"",'NOVIEMBRE 2026'!Y6:Y110,'NOVIEMBRE 2026'!I6:I110)="SANTO TOMAS")*('NOVIEMBRE 2026'!K6:K110="PETROLEO")*'NOVIEMBRE 2026'!L6:L110*'NOVIEMBRE 2026'!M6:M110),0)</f>
        <v>0</v>
      </c>
      <c r="E288" s="187" t="n">
        <f aca="false">IFERROR(SUMPRODUCT((IF('NOVIEMBRE 2026'!Y6:Y110&lt;&gt;"",'NOVIEMBRE 2026'!Y6:Y110,'NOVIEMBRE 2026'!I6:I110)="SANTO TOMAS")*('NOVIEMBRE 2026'!K6:K110="GASOLINA")*'NOVIEMBRE 2026'!M6:M110),0)</f>
        <v>0</v>
      </c>
      <c r="F288" s="187" t="n">
        <f aca="false">IFERROR(SUMPRODUCT((IF('NOVIEMBRE 2026'!Y6:Y110&lt;&gt;"",'NOVIEMBRE 2026'!Y6:Y110,'NOVIEMBRE 2026'!I6:I110)="SANTO TOMAS")*('NOVIEMBRE 2026'!K6:K110="GASOLINA")*'NOVIEMBRE 2026'!L6:L110*'NOVIEMBRE 2026'!M6:M110),0)</f>
        <v>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 t="s">
        <v>75</v>
      </c>
      <c r="B289" s="1" t="s">
        <v>5176</v>
      </c>
      <c r="C289" s="187" t="n">
        <f aca="false">IFERROR(SUMPRODUCT((IF('DICIEMBRE 2026'!Y6:Y110&lt;&gt;"",'DICIEMBRE 2026'!Y6:Y110,'DICIEMBRE 2026'!I6:I110)="SANTO TOMAS")*('DICIEMBRE 2026'!K6:K110="PETROLEO")*'DICIEMBRE 2026'!M6:M110),0)</f>
        <v>0</v>
      </c>
      <c r="D289" s="187" t="n">
        <f aca="false">IFERROR(SUMPRODUCT((IF('DICIEMBRE 2026'!Y6:Y110&lt;&gt;"",'DICIEMBRE 2026'!Y6:Y110,'DICIEMBRE 2026'!I6:I110)="SANTO TOMAS")*('DICIEMBRE 2026'!K6:K110="PETROLEO")*'DICIEMBRE 2026'!L6:L110*'DICIEMBRE 2026'!M6:M110),0)</f>
        <v>0</v>
      </c>
      <c r="E289" s="187" t="n">
        <f aca="false">IFERROR(SUMPRODUCT((IF('DICIEMBRE 2026'!Y6:Y110&lt;&gt;"",'DICIEMBRE 2026'!Y6:Y110,'DICIEMBRE 2026'!I6:I110)="SANTO TOMAS")*('DICIEMBRE 2026'!K6:K110="GASOLINA")*'DICIEMBRE 2026'!M6:M110),0)</f>
        <v>0</v>
      </c>
      <c r="F289" s="187" t="n">
        <f aca="false">IFERROR(SUMPRODUCT((IF('DICIEMBRE 2026'!Y6:Y110&lt;&gt;"",'DICIEMBRE 2026'!Y6:Y110,'DICIEMBRE 2026'!I6:I110)="SANTO TOMAS")*('DICIEMBRE 2026'!K6:K110="GASOLINA")*'DICIEMBRE 2026'!L6:L110*'DICIEMBRE 2026'!M6:M110),0)</f>
        <v>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 t="s">
        <v>78</v>
      </c>
      <c r="B290" s="1" t="s">
        <v>5165</v>
      </c>
      <c r="C290" s="187" t="n">
        <f aca="false">IFERROR(SUMPRODUCT((IF('ENERO 2026'!Y6:Y119&lt;&gt;"",'ENERO 2026'!Y6:Y119,'ENERO 2026'!I6:I119)="TINGO")*('ENERO 2026'!K6:K119="PETROLEO")*'ENERO 2026'!M6:M119),0)</f>
        <v>25</v>
      </c>
      <c r="D290" s="187" t="n">
        <f aca="false">IFERROR(SUMPRODUCT((IF('ENERO 2026'!Y6:Y119&lt;&gt;"",'ENERO 2026'!Y6:Y119,'ENERO 2026'!I6:I119)="TINGO")*('ENERO 2026'!K6:K119="PETROLEO")*'ENERO 2026'!L6:L119*'ENERO 2026'!M6:M119),0)</f>
        <v>454.5</v>
      </c>
      <c r="E290" s="187" t="n">
        <f aca="false">IFERROR(SUMPRODUCT((IF('ENERO 2026'!Y6:Y119&lt;&gt;"",'ENERO 2026'!Y6:Y119,'ENERO 2026'!I6:I119)="TINGO")*('ENERO 2026'!K6:K119="GASOLINA")*'ENERO 2026'!M6:M119),0)</f>
        <v>0</v>
      </c>
      <c r="F290" s="187" t="n">
        <f aca="false">IFERROR(SUMPRODUCT((IF('ENERO 2026'!Y6:Y119&lt;&gt;"",'ENERO 2026'!Y6:Y119,'ENERO 2026'!I6:I119)="TINGO")*('ENERO 2026'!K6:K119="GASOLINA")*'ENERO 2026'!L6:L119*'ENERO 2026'!M6:M119),0)</f>
        <v>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 t="s">
        <v>78</v>
      </c>
      <c r="B291" s="1" t="s">
        <v>5166</v>
      </c>
      <c r="C291" s="187" t="n">
        <f aca="false">IFERROR(SUMPRODUCT((IF('FEBRERO 2026'!Y6:Y124&lt;&gt;"",'FEBRERO 2026'!Y6:Y124,'FEBRERO 2026'!I6:I124)="TINGO")*('FEBRERO 2026'!K6:K124="PETROLEO")*'FEBRERO 2026'!M6:M124),0)</f>
        <v>10</v>
      </c>
      <c r="D291" s="187" t="n">
        <f aca="false">IFERROR(SUMPRODUCT((IF('FEBRERO 2026'!Y6:Y124&lt;&gt;"",'FEBRERO 2026'!Y6:Y124,'FEBRERO 2026'!I6:I124)="TINGO")*('FEBRERO 2026'!K6:K124="PETROLEO")*'FEBRERO 2026'!L6:L124*'FEBRERO 2026'!M6:M124),0)</f>
        <v>181.8</v>
      </c>
      <c r="E291" s="187" t="n">
        <f aca="false">IFERROR(SUMPRODUCT((IF('FEBRERO 2026'!Y6:Y124&lt;&gt;"",'FEBRERO 2026'!Y6:Y124,'FEBRERO 2026'!I6:I124)="TINGO")*('FEBRERO 2026'!K6:K124="GASOLINA")*'FEBRERO 2026'!M6:M124),0)</f>
        <v>0</v>
      </c>
      <c r="F291" s="187" t="n">
        <f aca="false">IFERROR(SUMPRODUCT((IF('FEBRERO 2026'!Y6:Y124&lt;&gt;"",'FEBRERO 2026'!Y6:Y124,'FEBRERO 2026'!I6:I124)="TINGO")*('FEBRERO 2026'!K6:K124="GASOLINA")*'FEBRERO 2026'!L6:L124*'FEBRERO 2026'!M6:M124),0)</f>
        <v>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 t="s">
        <v>78</v>
      </c>
      <c r="B292" s="1" t="s">
        <v>5167</v>
      </c>
      <c r="C292" s="187" t="n">
        <f aca="false">IFERROR(SUMPRODUCT((IF('MARZO 2026'!Y6:Y119&lt;&gt;"",'MARZO 2026'!Y6:Y119,'MARZO 2026'!I6:I119)="TINGO")*('MARZO 2026'!K6:K119="PETROLEO")*'MARZO 2026'!M6:M119),0)</f>
        <v>20</v>
      </c>
      <c r="D292" s="187" t="n">
        <f aca="false">IFERROR(SUMPRODUCT((IF('MARZO 2026'!Y6:Y119&lt;&gt;"",'MARZO 2026'!Y6:Y119,'MARZO 2026'!I6:I119)="TINGO")*('MARZO 2026'!K6:K119="PETROLEO")*'MARZO 2026'!L6:L119*'MARZO 2026'!M6:M119),0)</f>
        <v>363.6</v>
      </c>
      <c r="E292" s="187" t="n">
        <f aca="false">IFERROR(SUMPRODUCT((IF('MARZO 2026'!Y6:Y119&lt;&gt;"",'MARZO 2026'!Y6:Y119,'MARZO 2026'!I6:I119)="TINGO")*('MARZO 2026'!K6:K119="GASOLINA")*'MARZO 2026'!M6:M119),0)</f>
        <v>0</v>
      </c>
      <c r="F292" s="187" t="n">
        <f aca="false">IFERROR(SUMPRODUCT((IF('MARZO 2026'!Y6:Y119&lt;&gt;"",'MARZO 2026'!Y6:Y119,'MARZO 2026'!I6:I119)="TINGO")*('MARZO 2026'!K6:K119="GASOLINA")*'MARZO 2026'!L6:L119*'MARZO 2026'!M6:M119),0)</f>
        <v>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 t="s">
        <v>78</v>
      </c>
      <c r="B293" s="1" t="s">
        <v>5168</v>
      </c>
      <c r="C293" s="187" t="n">
        <f aca="false">IFERROR(SUMPRODUCT((IF('ABRIL 2026'!Y6:Y119&lt;&gt;"",'ABRIL 2026'!Y6:Y119,'ABRIL 2026'!I6:I119)="TINGO")*('ABRIL 2026'!K6:K119="PETROLEO")*'ABRIL 2026'!M6:M119),0)</f>
        <v>0</v>
      </c>
      <c r="D293" s="187" t="n">
        <f aca="false">IFERROR(SUMPRODUCT((IF('ABRIL 2026'!Y6:Y119&lt;&gt;"",'ABRIL 2026'!Y6:Y119,'ABRIL 2026'!I6:I119)="TINGO")*('ABRIL 2026'!K6:K119="PETROLEO")*'ABRIL 2026'!L6:L119*'ABRIL 2026'!M6:M119),0)</f>
        <v>0</v>
      </c>
      <c r="E293" s="187" t="n">
        <f aca="false">IFERROR(SUMPRODUCT((IF('ABRIL 2026'!Y6:Y119&lt;&gt;"",'ABRIL 2026'!Y6:Y119,'ABRIL 2026'!I6:I119)="TINGO")*('ABRIL 2026'!K6:K119="GASOLINA")*'ABRIL 2026'!M6:M119),0)</f>
        <v>0</v>
      </c>
      <c r="F293" s="187" t="n">
        <f aca="false">IFERROR(SUMPRODUCT((IF('ABRIL 2026'!Y6:Y119&lt;&gt;"",'ABRIL 2026'!Y6:Y119,'ABRIL 2026'!I6:I119)="TINGO")*('ABRIL 2026'!K6:K119="GASOLINA")*'ABRIL 2026'!L6:L119*'ABRIL 2026'!M6:M119),0)</f>
        <v>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 t="s">
        <v>78</v>
      </c>
      <c r="B294" s="1" t="s">
        <v>5169</v>
      </c>
      <c r="C294" s="187" t="n">
        <f aca="false">IFERROR(SUMPRODUCT((IF('MAYO 2026'!Y6:Y110&lt;&gt;"",'MAYO 2026'!Y6:Y110,'MAYO 2026'!I6:I110)="TINGO")*('MAYO 2026'!K6:K110="PETROLEO")*'MAYO 2026'!M6:M110),0)</f>
        <v>0</v>
      </c>
      <c r="D294" s="187" t="n">
        <f aca="false">IFERROR(SUMPRODUCT((IF('MAYO 2026'!Y6:Y110&lt;&gt;"",'MAYO 2026'!Y6:Y110,'MAYO 2026'!I6:I110)="TINGO")*('MAYO 2026'!K6:K110="PETROLEO")*'MAYO 2026'!L6:L110*'MAYO 2026'!M6:M110),0)</f>
        <v>0</v>
      </c>
      <c r="E294" s="187" t="n">
        <f aca="false">IFERROR(SUMPRODUCT((IF('MAYO 2026'!Y6:Y110&lt;&gt;"",'MAYO 2026'!Y6:Y110,'MAYO 2026'!I6:I110)="TINGO")*('MAYO 2026'!K6:K110="GASOLINA")*'MAYO 2026'!M6:M110),0)</f>
        <v>0</v>
      </c>
      <c r="F294" s="187" t="n">
        <f aca="false">IFERROR(SUMPRODUCT((IF('MAYO 2026'!Y6:Y110&lt;&gt;"",'MAYO 2026'!Y6:Y110,'MAYO 2026'!I6:I110)="TINGO")*('MAYO 2026'!K6:K110="GASOLINA")*'MAYO 2026'!L6:L110*'MAYO 2026'!M6:M110),0)</f>
        <v>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 t="s">
        <v>78</v>
      </c>
      <c r="B295" s="1" t="s">
        <v>5170</v>
      </c>
      <c r="C295" s="187" t="n">
        <f aca="false">IFERROR(SUMPRODUCT((IF('JUNIO 2026'!Y6:Y110&lt;&gt;"",'JUNIO 2026'!Y6:Y110,'JUNIO 2026'!I6:I110)="TINGO")*('JUNIO 2026'!K6:K110="PETROLEO")*'JUNIO 2026'!M6:M110),0)</f>
        <v>0</v>
      </c>
      <c r="D295" s="187" t="n">
        <f aca="false">IFERROR(SUMPRODUCT((IF('JUNIO 2026'!Y6:Y110&lt;&gt;"",'JUNIO 2026'!Y6:Y110,'JUNIO 2026'!I6:I110)="TINGO")*('JUNIO 2026'!K6:K110="PETROLEO")*'JUNIO 2026'!L6:L110*'JUNIO 2026'!M6:M110),0)</f>
        <v>0</v>
      </c>
      <c r="E295" s="187" t="n">
        <f aca="false">IFERROR(SUMPRODUCT((IF('JUNIO 2026'!Y6:Y110&lt;&gt;"",'JUNIO 2026'!Y6:Y110,'JUNIO 2026'!I6:I110)="TINGO")*('JUNIO 2026'!K6:K110="GASOLINA")*'JUNIO 2026'!M6:M110),0)</f>
        <v>0</v>
      </c>
      <c r="F295" s="187" t="n">
        <f aca="false">IFERROR(SUMPRODUCT((IF('JUNIO 2026'!Y6:Y110&lt;&gt;"",'JUNIO 2026'!Y6:Y110,'JUNIO 2026'!I6:I110)="TINGO")*('JUNIO 2026'!K6:K110="GASOLINA")*'JUNIO 2026'!L6:L110*'JUNIO 2026'!M6:M110),0)</f>
        <v>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 t="s">
        <v>78</v>
      </c>
      <c r="B296" s="1" t="s">
        <v>5171</v>
      </c>
      <c r="C296" s="187" t="n">
        <f aca="false">IFERROR(SUMPRODUCT((IF('JULIO 2026'!Y6:Y110&lt;&gt;"",'JULIO 2026'!Y6:Y110,'JULIO 2026'!I6:I110)="TINGO")*('JULIO 2026'!K6:K110="PETROLEO")*'JULIO 2026'!M6:M110),0)</f>
        <v>0</v>
      </c>
      <c r="D296" s="187" t="n">
        <f aca="false">IFERROR(SUMPRODUCT((IF('JULIO 2026'!Y6:Y110&lt;&gt;"",'JULIO 2026'!Y6:Y110,'JULIO 2026'!I6:I110)="TINGO")*('JULIO 2026'!K6:K110="PETROLEO")*'JULIO 2026'!L6:L110*'JULIO 2026'!M6:M110),0)</f>
        <v>0</v>
      </c>
      <c r="E296" s="187" t="n">
        <f aca="false">IFERROR(SUMPRODUCT((IF('JULIO 2026'!Y6:Y110&lt;&gt;"",'JULIO 2026'!Y6:Y110,'JULIO 2026'!I6:I110)="TINGO")*('JULIO 2026'!K6:K110="GASOLINA")*'JULIO 2026'!M6:M110),0)</f>
        <v>0</v>
      </c>
      <c r="F296" s="187" t="n">
        <f aca="false">IFERROR(SUMPRODUCT((IF('JULIO 2026'!Y6:Y110&lt;&gt;"",'JULIO 2026'!Y6:Y110,'JULIO 2026'!I6:I110)="TINGO")*('JULIO 2026'!K6:K110="GASOLINA")*'JULIO 2026'!L6:L110*'JULIO 2026'!M6:M110),0)</f>
        <v>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 t="s">
        <v>78</v>
      </c>
      <c r="B297" s="1" t="s">
        <v>5172</v>
      </c>
      <c r="C297" s="187" t="n">
        <f aca="false">IFERROR(SUMPRODUCT((IF('AGOSTO 2026'!Y6:Y110&lt;&gt;"",'AGOSTO 2026'!Y6:Y110,'AGOSTO 2026'!I6:I110)="TINGO")*('AGOSTO 2026'!K6:K110="PETROLEO")*'AGOSTO 2026'!M6:M110),0)</f>
        <v>0</v>
      </c>
      <c r="D297" s="187" t="n">
        <f aca="false">IFERROR(SUMPRODUCT((IF('AGOSTO 2026'!Y6:Y110&lt;&gt;"",'AGOSTO 2026'!Y6:Y110,'AGOSTO 2026'!I6:I110)="TINGO")*('AGOSTO 2026'!K6:K110="PETROLEO")*'AGOSTO 2026'!L6:L110*'AGOSTO 2026'!M6:M110),0)</f>
        <v>0</v>
      </c>
      <c r="E297" s="187" t="n">
        <f aca="false">IFERROR(SUMPRODUCT((IF('AGOSTO 2026'!Y6:Y110&lt;&gt;"",'AGOSTO 2026'!Y6:Y110,'AGOSTO 2026'!I6:I110)="TINGO")*('AGOSTO 2026'!K6:K110="GASOLINA")*'AGOSTO 2026'!M6:M110),0)</f>
        <v>0</v>
      </c>
      <c r="F297" s="187" t="n">
        <f aca="false">IFERROR(SUMPRODUCT((IF('AGOSTO 2026'!Y6:Y110&lt;&gt;"",'AGOSTO 2026'!Y6:Y110,'AGOSTO 2026'!I6:I110)="TINGO")*('AGOSTO 2026'!K6:K110="GASOLINA")*'AGOSTO 2026'!L6:L110*'AGOSTO 2026'!M6:M110),0)</f>
        <v>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 t="s">
        <v>78</v>
      </c>
      <c r="B298" s="1" t="s">
        <v>5173</v>
      </c>
      <c r="C298" s="187" t="n">
        <f aca="false">IFERROR(SUMPRODUCT((IF('SETIEMBRE 2026'!Y6:Y110&lt;&gt;"",'SETIEMBRE 2026'!Y6:Y110,'SETIEMBRE 2026'!I6:I110)="TINGO")*('SETIEMBRE 2026'!K6:K110="PETROLEO")*'SETIEMBRE 2026'!M6:M110),0)</f>
        <v>0</v>
      </c>
      <c r="D298" s="187" t="n">
        <f aca="false">IFERROR(SUMPRODUCT((IF('SETIEMBRE 2026'!Y6:Y110&lt;&gt;"",'SETIEMBRE 2026'!Y6:Y110,'SETIEMBRE 2026'!I6:I110)="TINGO")*('SETIEMBRE 2026'!K6:K110="PETROLEO")*'SETIEMBRE 2026'!L6:L110*'SETIEMBRE 2026'!M6:M110),0)</f>
        <v>0</v>
      </c>
      <c r="E298" s="187" t="n">
        <f aca="false">IFERROR(SUMPRODUCT((IF('SETIEMBRE 2026'!Y6:Y110&lt;&gt;"",'SETIEMBRE 2026'!Y6:Y110,'SETIEMBRE 2026'!I6:I110)="TINGO")*('SETIEMBRE 2026'!K6:K110="GASOLINA")*'SETIEMBRE 2026'!M6:M110),0)</f>
        <v>0</v>
      </c>
      <c r="F298" s="187" t="n">
        <f aca="false">IFERROR(SUMPRODUCT((IF('SETIEMBRE 2026'!Y6:Y110&lt;&gt;"",'SETIEMBRE 2026'!Y6:Y110,'SETIEMBRE 2026'!I6:I110)="TINGO")*('SETIEMBRE 2026'!K6:K110="GASOLINA")*'SETIEMBRE 2026'!L6:L110*'SETIEMBRE 2026'!M6:M110),0)</f>
        <v>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 t="s">
        <v>78</v>
      </c>
      <c r="B299" s="1" t="s">
        <v>5174</v>
      </c>
      <c r="C299" s="187" t="n">
        <f aca="false">IFERROR(SUMPRODUCT((IF('OCTUBRE 2026'!Y6:Y110&lt;&gt;"",'OCTUBRE 2026'!Y6:Y110,'OCTUBRE 2026'!I6:I110)="TINGO")*('OCTUBRE 2026'!K6:K110="PETROLEO")*'OCTUBRE 2026'!M6:M110),0)</f>
        <v>0</v>
      </c>
      <c r="D299" s="187" t="n">
        <f aca="false">IFERROR(SUMPRODUCT((IF('OCTUBRE 2026'!Y6:Y110&lt;&gt;"",'OCTUBRE 2026'!Y6:Y110,'OCTUBRE 2026'!I6:I110)="TINGO")*('OCTUBRE 2026'!K6:K110="PETROLEO")*'OCTUBRE 2026'!L6:L110*'OCTUBRE 2026'!M6:M110),0)</f>
        <v>0</v>
      </c>
      <c r="E299" s="187" t="n">
        <f aca="false">IFERROR(SUMPRODUCT((IF('OCTUBRE 2026'!Y6:Y110&lt;&gt;"",'OCTUBRE 2026'!Y6:Y110,'OCTUBRE 2026'!I6:I110)="TINGO")*('OCTUBRE 2026'!K6:K110="GASOLINA")*'OCTUBRE 2026'!M6:M110),0)</f>
        <v>0</v>
      </c>
      <c r="F299" s="187" t="n">
        <f aca="false">IFERROR(SUMPRODUCT((IF('OCTUBRE 2026'!Y6:Y110&lt;&gt;"",'OCTUBRE 2026'!Y6:Y110,'OCTUBRE 2026'!I6:I110)="TINGO")*('OCTUBRE 2026'!K6:K110="GASOLINA")*'OCTUBRE 2026'!L6:L110*'OCTUBRE 2026'!M6:M110),0)</f>
        <v>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 t="s">
        <v>78</v>
      </c>
      <c r="B300" s="1" t="s">
        <v>5175</v>
      </c>
      <c r="C300" s="187" t="n">
        <f aca="false">IFERROR(SUMPRODUCT((IF('NOVIEMBRE 2026'!Y6:Y110&lt;&gt;"",'NOVIEMBRE 2026'!Y6:Y110,'NOVIEMBRE 2026'!I6:I110)="TINGO")*('NOVIEMBRE 2026'!K6:K110="PETROLEO")*'NOVIEMBRE 2026'!M6:M110),0)</f>
        <v>0</v>
      </c>
      <c r="D300" s="187" t="n">
        <f aca="false">IFERROR(SUMPRODUCT((IF('NOVIEMBRE 2026'!Y6:Y110&lt;&gt;"",'NOVIEMBRE 2026'!Y6:Y110,'NOVIEMBRE 2026'!I6:I110)="TINGO")*('NOVIEMBRE 2026'!K6:K110="PETROLEO")*'NOVIEMBRE 2026'!L6:L110*'NOVIEMBRE 2026'!M6:M110),0)</f>
        <v>0</v>
      </c>
      <c r="E300" s="187" t="n">
        <f aca="false">IFERROR(SUMPRODUCT((IF('NOVIEMBRE 2026'!Y6:Y110&lt;&gt;"",'NOVIEMBRE 2026'!Y6:Y110,'NOVIEMBRE 2026'!I6:I110)="TINGO")*('NOVIEMBRE 2026'!K6:K110="GASOLINA")*'NOVIEMBRE 2026'!M6:M110),0)</f>
        <v>0</v>
      </c>
      <c r="F300" s="187" t="n">
        <f aca="false">IFERROR(SUMPRODUCT((IF('NOVIEMBRE 2026'!Y6:Y110&lt;&gt;"",'NOVIEMBRE 2026'!Y6:Y110,'NOVIEMBRE 2026'!I6:I110)="TINGO")*('NOVIEMBRE 2026'!K6:K110="GASOLINA")*'NOVIEMBRE 2026'!L6:L110*'NOVIEMBRE 2026'!M6:M110),0)</f>
        <v>0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 t="s">
        <v>78</v>
      </c>
      <c r="B301" s="1" t="s">
        <v>5176</v>
      </c>
      <c r="C301" s="187" t="n">
        <f aca="false">IFERROR(SUMPRODUCT((IF('DICIEMBRE 2026'!Y6:Y110&lt;&gt;"",'DICIEMBRE 2026'!Y6:Y110,'DICIEMBRE 2026'!I6:I110)="TINGO")*('DICIEMBRE 2026'!K6:K110="PETROLEO")*'DICIEMBRE 2026'!M6:M110),0)</f>
        <v>0</v>
      </c>
      <c r="D301" s="187" t="n">
        <f aca="false">IFERROR(SUMPRODUCT((IF('DICIEMBRE 2026'!Y6:Y110&lt;&gt;"",'DICIEMBRE 2026'!Y6:Y110,'DICIEMBRE 2026'!I6:I110)="TINGO")*('DICIEMBRE 2026'!K6:K110="PETROLEO")*'DICIEMBRE 2026'!L6:L110*'DICIEMBRE 2026'!M6:M110),0)</f>
        <v>0</v>
      </c>
      <c r="E301" s="187" t="n">
        <f aca="false">IFERROR(SUMPRODUCT((IF('DICIEMBRE 2026'!Y6:Y110&lt;&gt;"",'DICIEMBRE 2026'!Y6:Y110,'DICIEMBRE 2026'!I6:I110)="TINGO")*('DICIEMBRE 2026'!K6:K110="GASOLINA")*'DICIEMBRE 2026'!M6:M110),0)</f>
        <v>0</v>
      </c>
      <c r="F301" s="187" t="n">
        <f aca="false">IFERROR(SUMPRODUCT((IF('DICIEMBRE 2026'!Y6:Y110&lt;&gt;"",'DICIEMBRE 2026'!Y6:Y110,'DICIEMBRE 2026'!I6:I110)="TINGO")*('DICIEMBRE 2026'!K6:K110="GASOLINA")*'DICIEMBRE 2026'!L6:L110*'DICIEMBRE 2026'!M6:M110),0)</f>
        <v>0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 t="s">
        <v>80</v>
      </c>
      <c r="B302" s="1" t="s">
        <v>5165</v>
      </c>
      <c r="C302" s="187" t="n">
        <f aca="false">IFERROR(SUMPRODUCT((IF('ENERO 2026'!Y6:Y119&lt;&gt;"",'ENERO 2026'!Y6:Y119,'ENERO 2026'!I6:I119)="TOTORA")*('ENERO 2026'!K6:K119="PETROLEO")*'ENERO 2026'!M6:M119),0)</f>
        <v>36</v>
      </c>
      <c r="D302" s="187" t="n">
        <f aca="false">IFERROR(SUMPRODUCT((IF('ENERO 2026'!Y6:Y119&lt;&gt;"",'ENERO 2026'!Y6:Y119,'ENERO 2026'!I6:I119)="TOTORA")*('ENERO 2026'!K6:K119="PETROLEO")*'ENERO 2026'!L6:L119*'ENERO 2026'!M6:M119),0)</f>
        <v>729</v>
      </c>
      <c r="E302" s="187" t="n">
        <f aca="false">IFERROR(SUMPRODUCT((IF('ENERO 2026'!Y6:Y119&lt;&gt;"",'ENERO 2026'!Y6:Y119,'ENERO 2026'!I6:I119)="TOTORA")*('ENERO 2026'!K6:K119="GASOLINA")*'ENERO 2026'!M6:M119),0)</f>
        <v>0</v>
      </c>
      <c r="F302" s="187" t="n">
        <f aca="false">IFERROR(SUMPRODUCT((IF('ENERO 2026'!Y6:Y119&lt;&gt;"",'ENERO 2026'!Y6:Y119,'ENERO 2026'!I6:I119)="TOTORA")*('ENERO 2026'!K6:K119="GASOLINA")*'ENERO 2026'!L6:L119*'ENERO 2026'!M6:M119),0)</f>
        <v>0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 t="s">
        <v>80</v>
      </c>
      <c r="B303" s="1" t="s">
        <v>5166</v>
      </c>
      <c r="C303" s="187" t="n">
        <f aca="false">IFERROR(SUMPRODUCT((IF('FEBRERO 2026'!Y6:Y124&lt;&gt;"",'FEBRERO 2026'!Y6:Y124,'FEBRERO 2026'!I6:I124)="TOTORA")*('FEBRERO 2026'!K6:K124="PETROLEO")*'FEBRERO 2026'!M6:M124),0)</f>
        <v>0</v>
      </c>
      <c r="D303" s="187" t="n">
        <f aca="false">IFERROR(SUMPRODUCT((IF('FEBRERO 2026'!Y6:Y124&lt;&gt;"",'FEBRERO 2026'!Y6:Y124,'FEBRERO 2026'!I6:I124)="TOTORA")*('FEBRERO 2026'!K6:K124="PETROLEO")*'FEBRERO 2026'!L6:L124*'FEBRERO 2026'!M6:M124),0)</f>
        <v>0</v>
      </c>
      <c r="E303" s="187" t="n">
        <f aca="false">IFERROR(SUMPRODUCT((IF('FEBRERO 2026'!Y6:Y124&lt;&gt;"",'FEBRERO 2026'!Y6:Y124,'FEBRERO 2026'!I6:I124)="TOTORA")*('FEBRERO 2026'!K6:K124="GASOLINA")*'FEBRERO 2026'!M6:M124),0)</f>
        <v>0</v>
      </c>
      <c r="F303" s="187" t="n">
        <f aca="false">IFERROR(SUMPRODUCT((IF('FEBRERO 2026'!Y6:Y124&lt;&gt;"",'FEBRERO 2026'!Y6:Y124,'FEBRERO 2026'!I6:I124)="TOTORA")*('FEBRERO 2026'!K6:K124="GASOLINA")*'FEBRERO 2026'!L6:L124*'FEBRERO 2026'!M6:M124),0)</f>
        <v>0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 t="s">
        <v>80</v>
      </c>
      <c r="B304" s="1" t="s">
        <v>5167</v>
      </c>
      <c r="C304" s="187" t="n">
        <f aca="false">IFERROR(SUMPRODUCT((IF('MARZO 2026'!Y6:Y119&lt;&gt;"",'MARZO 2026'!Y6:Y119,'MARZO 2026'!I6:I119)="TOTORA")*('MARZO 2026'!K6:K119="PETROLEO")*'MARZO 2026'!M6:M119),0)</f>
        <v>0</v>
      </c>
      <c r="D304" s="187" t="n">
        <f aca="false">IFERROR(SUMPRODUCT((IF('MARZO 2026'!Y6:Y119&lt;&gt;"",'MARZO 2026'!Y6:Y119,'MARZO 2026'!I6:I119)="TOTORA")*('MARZO 2026'!K6:K119="PETROLEO")*'MARZO 2026'!L6:L119*'MARZO 2026'!M6:M119),0)</f>
        <v>0</v>
      </c>
      <c r="E304" s="187" t="n">
        <f aca="false">IFERROR(SUMPRODUCT((IF('MARZO 2026'!Y6:Y119&lt;&gt;"",'MARZO 2026'!Y6:Y119,'MARZO 2026'!I6:I119)="TOTORA")*('MARZO 2026'!K6:K119="GASOLINA")*'MARZO 2026'!M6:M119),0)</f>
        <v>0</v>
      </c>
      <c r="F304" s="187" t="n">
        <f aca="false">IFERROR(SUMPRODUCT((IF('MARZO 2026'!Y6:Y119&lt;&gt;"",'MARZO 2026'!Y6:Y119,'MARZO 2026'!I6:I119)="TOTORA")*('MARZO 2026'!K6:K119="GASOLINA")*'MARZO 2026'!L6:L119*'MARZO 2026'!M6:M119),0)</f>
        <v>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 t="s">
        <v>80</v>
      </c>
      <c r="B305" s="1" t="s">
        <v>5168</v>
      </c>
      <c r="C305" s="187" t="n">
        <f aca="false">IFERROR(SUMPRODUCT((IF('ABRIL 2026'!Y6:Y119&lt;&gt;"",'ABRIL 2026'!Y6:Y119,'ABRIL 2026'!I6:I119)="TOTORA")*('ABRIL 2026'!K6:K119="PETROLEO")*'ABRIL 2026'!M6:M119),0)</f>
        <v>0</v>
      </c>
      <c r="D305" s="187" t="n">
        <f aca="false">IFERROR(SUMPRODUCT((IF('ABRIL 2026'!Y6:Y119&lt;&gt;"",'ABRIL 2026'!Y6:Y119,'ABRIL 2026'!I6:I119)="TOTORA")*('ABRIL 2026'!K6:K119="PETROLEO")*'ABRIL 2026'!L6:L119*'ABRIL 2026'!M6:M119),0)</f>
        <v>0</v>
      </c>
      <c r="E305" s="187" t="n">
        <f aca="false">IFERROR(SUMPRODUCT((IF('ABRIL 2026'!Y6:Y119&lt;&gt;"",'ABRIL 2026'!Y6:Y119,'ABRIL 2026'!I6:I119)="TOTORA")*('ABRIL 2026'!K6:K119="GASOLINA")*'ABRIL 2026'!M6:M119),0)</f>
        <v>0</v>
      </c>
      <c r="F305" s="187" t="n">
        <f aca="false">IFERROR(SUMPRODUCT((IF('ABRIL 2026'!Y6:Y119&lt;&gt;"",'ABRIL 2026'!Y6:Y119,'ABRIL 2026'!I6:I119)="TOTORA")*('ABRIL 2026'!K6:K119="GASOLINA")*'ABRIL 2026'!L6:L119*'ABRIL 2026'!M6:M119),0)</f>
        <v>0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 t="s">
        <v>80</v>
      </c>
      <c r="B306" s="1" t="s">
        <v>5169</v>
      </c>
      <c r="C306" s="187" t="n">
        <f aca="false">IFERROR(SUMPRODUCT((IF('MAYO 2026'!Y6:Y110&lt;&gt;"",'MAYO 2026'!Y6:Y110,'MAYO 2026'!I6:I110)="TOTORA")*('MAYO 2026'!K6:K110="PETROLEO")*'MAYO 2026'!M6:M110),0)</f>
        <v>0</v>
      </c>
      <c r="D306" s="187" t="n">
        <f aca="false">IFERROR(SUMPRODUCT((IF('MAYO 2026'!Y6:Y110&lt;&gt;"",'MAYO 2026'!Y6:Y110,'MAYO 2026'!I6:I110)="TOTORA")*('MAYO 2026'!K6:K110="PETROLEO")*'MAYO 2026'!L6:L110*'MAYO 2026'!M6:M110),0)</f>
        <v>0</v>
      </c>
      <c r="E306" s="187" t="n">
        <f aca="false">IFERROR(SUMPRODUCT((IF('MAYO 2026'!Y6:Y110&lt;&gt;"",'MAYO 2026'!Y6:Y110,'MAYO 2026'!I6:I110)="TOTORA")*('MAYO 2026'!K6:K110="GASOLINA")*'MAYO 2026'!M6:M110),0)</f>
        <v>0</v>
      </c>
      <c r="F306" s="187" t="n">
        <f aca="false">IFERROR(SUMPRODUCT((IF('MAYO 2026'!Y6:Y110&lt;&gt;"",'MAYO 2026'!Y6:Y110,'MAYO 2026'!I6:I110)="TOTORA")*('MAYO 2026'!K6:K110="GASOLINA")*'MAYO 2026'!L6:L110*'MAYO 2026'!M6:M110),0)</f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 t="s">
        <v>80</v>
      </c>
      <c r="B307" s="1" t="s">
        <v>5170</v>
      </c>
      <c r="C307" s="187" t="n">
        <f aca="false">IFERROR(SUMPRODUCT((IF('JUNIO 2026'!Y6:Y110&lt;&gt;"",'JUNIO 2026'!Y6:Y110,'JUNIO 2026'!I6:I110)="TOTORA")*('JUNIO 2026'!K6:K110="PETROLEO")*'JUNIO 2026'!M6:M110),0)</f>
        <v>0</v>
      </c>
      <c r="D307" s="187" t="n">
        <f aca="false">IFERROR(SUMPRODUCT((IF('JUNIO 2026'!Y6:Y110&lt;&gt;"",'JUNIO 2026'!Y6:Y110,'JUNIO 2026'!I6:I110)="TOTORA")*('JUNIO 2026'!K6:K110="PETROLEO")*'JUNIO 2026'!L6:L110*'JUNIO 2026'!M6:M110),0)</f>
        <v>0</v>
      </c>
      <c r="E307" s="187" t="n">
        <f aca="false">IFERROR(SUMPRODUCT((IF('JUNIO 2026'!Y6:Y110&lt;&gt;"",'JUNIO 2026'!Y6:Y110,'JUNIO 2026'!I6:I110)="TOTORA")*('JUNIO 2026'!K6:K110="GASOLINA")*'JUNIO 2026'!M6:M110),0)</f>
        <v>0</v>
      </c>
      <c r="F307" s="187" t="n">
        <f aca="false">IFERROR(SUMPRODUCT((IF('JUNIO 2026'!Y6:Y110&lt;&gt;"",'JUNIO 2026'!Y6:Y110,'JUNIO 2026'!I6:I110)="TOTORA")*('JUNIO 2026'!K6:K110="GASOLINA")*'JUNIO 2026'!L6:L110*'JUNIO 2026'!M6:M110),0)</f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 t="s">
        <v>80</v>
      </c>
      <c r="B308" s="1" t="s">
        <v>5171</v>
      </c>
      <c r="C308" s="187" t="n">
        <f aca="false">IFERROR(SUMPRODUCT((IF('JULIO 2026'!Y6:Y110&lt;&gt;"",'JULIO 2026'!Y6:Y110,'JULIO 2026'!I6:I110)="TOTORA")*('JULIO 2026'!K6:K110="PETROLEO")*'JULIO 2026'!M6:M110),0)</f>
        <v>0</v>
      </c>
      <c r="D308" s="187" t="n">
        <f aca="false">IFERROR(SUMPRODUCT((IF('JULIO 2026'!Y6:Y110&lt;&gt;"",'JULIO 2026'!Y6:Y110,'JULIO 2026'!I6:I110)="TOTORA")*('JULIO 2026'!K6:K110="PETROLEO")*'JULIO 2026'!L6:L110*'JULIO 2026'!M6:M110),0)</f>
        <v>0</v>
      </c>
      <c r="E308" s="187" t="n">
        <f aca="false">IFERROR(SUMPRODUCT((IF('JULIO 2026'!Y6:Y110&lt;&gt;"",'JULIO 2026'!Y6:Y110,'JULIO 2026'!I6:I110)="TOTORA")*('JULIO 2026'!K6:K110="GASOLINA")*'JULIO 2026'!M6:M110),0)</f>
        <v>0</v>
      </c>
      <c r="F308" s="187" t="n">
        <f aca="false">IFERROR(SUMPRODUCT((IF('JULIO 2026'!Y6:Y110&lt;&gt;"",'JULIO 2026'!Y6:Y110,'JULIO 2026'!I6:I110)="TOTORA")*('JULIO 2026'!K6:K110="GASOLINA")*'JULIO 2026'!L6:L110*'JULIO 2026'!M6:M110),0)</f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 t="s">
        <v>80</v>
      </c>
      <c r="B309" s="1" t="s">
        <v>5172</v>
      </c>
      <c r="C309" s="187" t="n">
        <f aca="false">IFERROR(SUMPRODUCT((IF('AGOSTO 2026'!Y6:Y110&lt;&gt;"",'AGOSTO 2026'!Y6:Y110,'AGOSTO 2026'!I6:I110)="TOTORA")*('AGOSTO 2026'!K6:K110="PETROLEO")*'AGOSTO 2026'!M6:M110),0)</f>
        <v>0</v>
      </c>
      <c r="D309" s="187" t="n">
        <f aca="false">IFERROR(SUMPRODUCT((IF('AGOSTO 2026'!Y6:Y110&lt;&gt;"",'AGOSTO 2026'!Y6:Y110,'AGOSTO 2026'!I6:I110)="TOTORA")*('AGOSTO 2026'!K6:K110="PETROLEO")*'AGOSTO 2026'!L6:L110*'AGOSTO 2026'!M6:M110),0)</f>
        <v>0</v>
      </c>
      <c r="E309" s="187" t="n">
        <f aca="false">IFERROR(SUMPRODUCT((IF('AGOSTO 2026'!Y6:Y110&lt;&gt;"",'AGOSTO 2026'!Y6:Y110,'AGOSTO 2026'!I6:I110)="TOTORA")*('AGOSTO 2026'!K6:K110="GASOLINA")*'AGOSTO 2026'!M6:M110),0)</f>
        <v>0</v>
      </c>
      <c r="F309" s="187" t="n">
        <f aca="false">IFERROR(SUMPRODUCT((IF('AGOSTO 2026'!Y6:Y110&lt;&gt;"",'AGOSTO 2026'!Y6:Y110,'AGOSTO 2026'!I6:I110)="TOTORA")*('AGOSTO 2026'!K6:K110="GASOLINA")*'AGOSTO 2026'!L6:L110*'AGOSTO 2026'!M6:M110),0)</f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 t="s">
        <v>80</v>
      </c>
      <c r="B310" s="1" t="s">
        <v>5173</v>
      </c>
      <c r="C310" s="187" t="n">
        <f aca="false">IFERROR(SUMPRODUCT((IF('SETIEMBRE 2026'!Y6:Y110&lt;&gt;"",'SETIEMBRE 2026'!Y6:Y110,'SETIEMBRE 2026'!I6:I110)="TOTORA")*('SETIEMBRE 2026'!K6:K110="PETROLEO")*'SETIEMBRE 2026'!M6:M110),0)</f>
        <v>0</v>
      </c>
      <c r="D310" s="187" t="n">
        <f aca="false">IFERROR(SUMPRODUCT((IF('SETIEMBRE 2026'!Y6:Y110&lt;&gt;"",'SETIEMBRE 2026'!Y6:Y110,'SETIEMBRE 2026'!I6:I110)="TOTORA")*('SETIEMBRE 2026'!K6:K110="PETROLEO")*'SETIEMBRE 2026'!L6:L110*'SETIEMBRE 2026'!M6:M110),0)</f>
        <v>0</v>
      </c>
      <c r="E310" s="187" t="n">
        <f aca="false">IFERROR(SUMPRODUCT((IF('SETIEMBRE 2026'!Y6:Y110&lt;&gt;"",'SETIEMBRE 2026'!Y6:Y110,'SETIEMBRE 2026'!I6:I110)="TOTORA")*('SETIEMBRE 2026'!K6:K110="GASOLINA")*'SETIEMBRE 2026'!M6:M110),0)</f>
        <v>0</v>
      </c>
      <c r="F310" s="187" t="n">
        <f aca="false">IFERROR(SUMPRODUCT((IF('SETIEMBRE 2026'!Y6:Y110&lt;&gt;"",'SETIEMBRE 2026'!Y6:Y110,'SETIEMBRE 2026'!I6:I110)="TOTORA")*('SETIEMBRE 2026'!K6:K110="GASOLINA")*'SETIEMBRE 2026'!L6:L110*'SETIEMBRE 2026'!M6:M110),0)</f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 t="s">
        <v>80</v>
      </c>
      <c r="B311" s="1" t="s">
        <v>5174</v>
      </c>
      <c r="C311" s="187" t="n">
        <f aca="false">IFERROR(SUMPRODUCT((IF('OCTUBRE 2026'!Y6:Y110&lt;&gt;"",'OCTUBRE 2026'!Y6:Y110,'OCTUBRE 2026'!I6:I110)="TOTORA")*('OCTUBRE 2026'!K6:K110="PETROLEO")*'OCTUBRE 2026'!M6:M110),0)</f>
        <v>0</v>
      </c>
      <c r="D311" s="187" t="n">
        <f aca="false">IFERROR(SUMPRODUCT((IF('OCTUBRE 2026'!Y6:Y110&lt;&gt;"",'OCTUBRE 2026'!Y6:Y110,'OCTUBRE 2026'!I6:I110)="TOTORA")*('OCTUBRE 2026'!K6:K110="PETROLEO")*'OCTUBRE 2026'!L6:L110*'OCTUBRE 2026'!M6:M110),0)</f>
        <v>0</v>
      </c>
      <c r="E311" s="187" t="n">
        <f aca="false">IFERROR(SUMPRODUCT((IF('OCTUBRE 2026'!Y6:Y110&lt;&gt;"",'OCTUBRE 2026'!Y6:Y110,'OCTUBRE 2026'!I6:I110)="TOTORA")*('OCTUBRE 2026'!K6:K110="GASOLINA")*'OCTUBRE 2026'!M6:M110),0)</f>
        <v>0</v>
      </c>
      <c r="F311" s="187" t="n">
        <f aca="false">IFERROR(SUMPRODUCT((IF('OCTUBRE 2026'!Y6:Y110&lt;&gt;"",'OCTUBRE 2026'!Y6:Y110,'OCTUBRE 2026'!I6:I110)="TOTORA")*('OCTUBRE 2026'!K6:K110="GASOLINA")*'OCTUBRE 2026'!L6:L110*'OCTUBRE 2026'!M6:M110),0)</f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 t="s">
        <v>80</v>
      </c>
      <c r="B312" s="1" t="s">
        <v>5175</v>
      </c>
      <c r="C312" s="187" t="n">
        <f aca="false">IFERROR(SUMPRODUCT((IF('NOVIEMBRE 2026'!Y6:Y110&lt;&gt;"",'NOVIEMBRE 2026'!Y6:Y110,'NOVIEMBRE 2026'!I6:I110)="TOTORA")*('NOVIEMBRE 2026'!K6:K110="PETROLEO")*'NOVIEMBRE 2026'!M6:M110),0)</f>
        <v>0</v>
      </c>
      <c r="D312" s="187" t="n">
        <f aca="false">IFERROR(SUMPRODUCT((IF('NOVIEMBRE 2026'!Y6:Y110&lt;&gt;"",'NOVIEMBRE 2026'!Y6:Y110,'NOVIEMBRE 2026'!I6:I110)="TOTORA")*('NOVIEMBRE 2026'!K6:K110="PETROLEO")*'NOVIEMBRE 2026'!L6:L110*'NOVIEMBRE 2026'!M6:M110),0)</f>
        <v>0</v>
      </c>
      <c r="E312" s="187" t="n">
        <f aca="false">IFERROR(SUMPRODUCT((IF('NOVIEMBRE 2026'!Y6:Y110&lt;&gt;"",'NOVIEMBRE 2026'!Y6:Y110,'NOVIEMBRE 2026'!I6:I110)="TOTORA")*('NOVIEMBRE 2026'!K6:K110="GASOLINA")*'NOVIEMBRE 2026'!M6:M110),0)</f>
        <v>0</v>
      </c>
      <c r="F312" s="187" t="n">
        <f aca="false">IFERROR(SUMPRODUCT((IF('NOVIEMBRE 2026'!Y6:Y110&lt;&gt;"",'NOVIEMBRE 2026'!Y6:Y110,'NOVIEMBRE 2026'!I6:I110)="TOTORA")*('NOVIEMBRE 2026'!K6:K110="GASOLINA")*'NOVIEMBRE 2026'!L6:L110*'NOVIEMBRE 2026'!M6:M110),0)</f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 t="s">
        <v>80</v>
      </c>
      <c r="B313" s="1" t="s">
        <v>5176</v>
      </c>
      <c r="C313" s="187" t="n">
        <f aca="false">IFERROR(SUMPRODUCT((IF('DICIEMBRE 2026'!Y6:Y110&lt;&gt;"",'DICIEMBRE 2026'!Y6:Y110,'DICIEMBRE 2026'!I6:I110)="TOTORA")*('DICIEMBRE 2026'!K6:K110="PETROLEO")*'DICIEMBRE 2026'!M6:M110),0)</f>
        <v>0</v>
      </c>
      <c r="D313" s="187" t="n">
        <f aca="false">IFERROR(SUMPRODUCT((IF('DICIEMBRE 2026'!Y6:Y110&lt;&gt;"",'DICIEMBRE 2026'!Y6:Y110,'DICIEMBRE 2026'!I6:I110)="TOTORA")*('DICIEMBRE 2026'!K6:K110="PETROLEO")*'DICIEMBRE 2026'!L6:L110*'DICIEMBRE 2026'!M6:M110),0)</f>
        <v>0</v>
      </c>
      <c r="E313" s="187" t="n">
        <f aca="false">IFERROR(SUMPRODUCT((IF('DICIEMBRE 2026'!Y6:Y110&lt;&gt;"",'DICIEMBRE 2026'!Y6:Y110,'DICIEMBRE 2026'!I6:I110)="TOTORA")*('DICIEMBRE 2026'!K6:K110="GASOLINA")*'DICIEMBRE 2026'!M6:M110),0)</f>
        <v>0</v>
      </c>
      <c r="F313" s="187" t="n">
        <f aca="false">IFERROR(SUMPRODUCT((IF('DICIEMBRE 2026'!Y6:Y110&lt;&gt;"",'DICIEMBRE 2026'!Y6:Y110,'DICIEMBRE 2026'!I6:I110)="TOTORA")*('DICIEMBRE 2026'!K6:K110="GASOLINA")*'DICIEMBRE 2026'!L6:L110*'DICIEMBRE 2026'!M6:M110),0)</f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 t="s">
        <v>279</v>
      </c>
      <c r="B314" s="1" t="s">
        <v>5165</v>
      </c>
      <c r="C314" s="187" t="n">
        <f aca="false">IFERROR(SUMPRODUCT((IF('ENERO 2026'!Y6:Y119&lt;&gt;"",'ENERO 2026'!Y6:Y119,'ENERO 2026'!I6:I119)="YAMBRASBAMBA")*('ENERO 2026'!K6:K119="PETROLEO")*'ENERO 2026'!M6:M119),0)</f>
        <v>12</v>
      </c>
      <c r="D314" s="187" t="n">
        <f aca="false">IFERROR(SUMPRODUCT((IF('ENERO 2026'!Y6:Y119&lt;&gt;"",'ENERO 2026'!Y6:Y119,'ENERO 2026'!I6:I119)="YAMBRASBAMBA")*('ENERO 2026'!K6:K119="PETROLEO")*'ENERO 2026'!L6:L119*'ENERO 2026'!M6:M119),0)</f>
        <v>218.16</v>
      </c>
      <c r="E314" s="187" t="n">
        <f aca="false">IFERROR(SUMPRODUCT((IF('ENERO 2026'!Y6:Y119&lt;&gt;"",'ENERO 2026'!Y6:Y119,'ENERO 2026'!I6:I119)="YAMBRASBAMBA")*('ENERO 2026'!K6:K119="GASOLINA")*'ENERO 2026'!M6:M119),0)</f>
        <v>0</v>
      </c>
      <c r="F314" s="187" t="n">
        <f aca="false">IFERROR(SUMPRODUCT((IF('ENERO 2026'!Y6:Y119&lt;&gt;"",'ENERO 2026'!Y6:Y119,'ENERO 2026'!I6:I119)="YAMBRASBAMBA")*('ENERO 2026'!K6:K119="GASOLINA")*'ENERO 2026'!L6:L119*'ENERO 2026'!M6:M119),0)</f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 t="s">
        <v>279</v>
      </c>
      <c r="B315" s="1" t="s">
        <v>5166</v>
      </c>
      <c r="C315" s="187" t="n">
        <f aca="false">IFERROR(SUMPRODUCT((IF('FEBRERO 2026'!Y6:Y124&lt;&gt;"",'FEBRERO 2026'!Y6:Y124,'FEBRERO 2026'!I6:I124)="YAMBRASBAMBA")*('FEBRERO 2026'!K6:K124="PETROLEO")*'FEBRERO 2026'!M6:M124),0)</f>
        <v>0</v>
      </c>
      <c r="D315" s="187" t="n">
        <f aca="false">IFERROR(SUMPRODUCT((IF('FEBRERO 2026'!Y6:Y124&lt;&gt;"",'FEBRERO 2026'!Y6:Y124,'FEBRERO 2026'!I6:I124)="YAMBRASBAMBA")*('FEBRERO 2026'!K6:K124="PETROLEO")*'FEBRERO 2026'!L6:L124*'FEBRERO 2026'!M6:M124),0)</f>
        <v>0</v>
      </c>
      <c r="E315" s="187" t="n">
        <f aca="false">IFERROR(SUMPRODUCT((IF('FEBRERO 2026'!Y6:Y124&lt;&gt;"",'FEBRERO 2026'!Y6:Y124,'FEBRERO 2026'!I6:I124)="YAMBRASBAMBA")*('FEBRERO 2026'!K6:K124="GASOLINA")*'FEBRERO 2026'!M6:M124),0)</f>
        <v>0</v>
      </c>
      <c r="F315" s="187" t="n">
        <f aca="false">IFERROR(SUMPRODUCT((IF('FEBRERO 2026'!Y6:Y124&lt;&gt;"",'FEBRERO 2026'!Y6:Y124,'FEBRERO 2026'!I6:I124)="YAMBRASBAMBA")*('FEBRERO 2026'!K6:K124="GASOLINA")*'FEBRERO 2026'!L6:L124*'FEBRERO 2026'!M6:M124),0)</f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 t="s">
        <v>279</v>
      </c>
      <c r="B316" s="1" t="s">
        <v>5167</v>
      </c>
      <c r="C316" s="187" t="n">
        <f aca="false">IFERROR(SUMPRODUCT((IF('MARZO 2026'!Y6:Y119&lt;&gt;"",'MARZO 2026'!Y6:Y119,'MARZO 2026'!I6:I119)="YAMBRASBAMBA")*('MARZO 2026'!K6:K119="PETROLEO")*'MARZO 2026'!M6:M119),0)</f>
        <v>0</v>
      </c>
      <c r="D316" s="187" t="n">
        <f aca="false">IFERROR(SUMPRODUCT((IF('MARZO 2026'!Y6:Y119&lt;&gt;"",'MARZO 2026'!Y6:Y119,'MARZO 2026'!I6:I119)="YAMBRASBAMBA")*('MARZO 2026'!K6:K119="PETROLEO")*'MARZO 2026'!L6:L119*'MARZO 2026'!M6:M119),0)</f>
        <v>0</v>
      </c>
      <c r="E316" s="187" t="n">
        <f aca="false">IFERROR(SUMPRODUCT((IF('MARZO 2026'!Y6:Y119&lt;&gt;"",'MARZO 2026'!Y6:Y119,'MARZO 2026'!I6:I119)="YAMBRASBAMBA")*('MARZO 2026'!K6:K119="GASOLINA")*'MARZO 2026'!M6:M119),0)</f>
        <v>0</v>
      </c>
      <c r="F316" s="187" t="n">
        <f aca="false">IFERROR(SUMPRODUCT((IF('MARZO 2026'!Y6:Y119&lt;&gt;"",'MARZO 2026'!Y6:Y119,'MARZO 2026'!I6:I119)="YAMBRASBAMBA")*('MARZO 2026'!K6:K119="GASOLINA")*'MARZO 2026'!L6:L119*'MARZO 2026'!M6:M119),0)</f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 t="s">
        <v>279</v>
      </c>
      <c r="B317" s="1" t="s">
        <v>5168</v>
      </c>
      <c r="C317" s="187" t="n">
        <f aca="false">IFERROR(SUMPRODUCT((IF('ABRIL 2026'!Y6:Y119&lt;&gt;"",'ABRIL 2026'!Y6:Y119,'ABRIL 2026'!I6:I119)="YAMBRASBAMBA")*('ABRIL 2026'!K6:K119="PETROLEO")*'ABRIL 2026'!M6:M119),0)</f>
        <v>0</v>
      </c>
      <c r="D317" s="187" t="n">
        <f aca="false">IFERROR(SUMPRODUCT((IF('ABRIL 2026'!Y6:Y119&lt;&gt;"",'ABRIL 2026'!Y6:Y119,'ABRIL 2026'!I6:I119)="YAMBRASBAMBA")*('ABRIL 2026'!K6:K119="PETROLEO")*'ABRIL 2026'!L6:L119*'ABRIL 2026'!M6:M119),0)</f>
        <v>0</v>
      </c>
      <c r="E317" s="187" t="n">
        <f aca="false">IFERROR(SUMPRODUCT((IF('ABRIL 2026'!Y6:Y119&lt;&gt;"",'ABRIL 2026'!Y6:Y119,'ABRIL 2026'!I6:I119)="YAMBRASBAMBA")*('ABRIL 2026'!K6:K119="GASOLINA")*'ABRIL 2026'!M6:M119),0)</f>
        <v>0</v>
      </c>
      <c r="F317" s="187" t="n">
        <f aca="false">IFERROR(SUMPRODUCT((IF('ABRIL 2026'!Y6:Y119&lt;&gt;"",'ABRIL 2026'!Y6:Y119,'ABRIL 2026'!I6:I119)="YAMBRASBAMBA")*('ABRIL 2026'!K6:K119="GASOLINA")*'ABRIL 2026'!L6:L119*'ABRIL 2026'!M6:M119),0)</f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 t="s">
        <v>279</v>
      </c>
      <c r="B318" s="1" t="s">
        <v>5169</v>
      </c>
      <c r="C318" s="187" t="n">
        <f aca="false">IFERROR(SUMPRODUCT((IF('MAYO 2026'!Y6:Y110&lt;&gt;"",'MAYO 2026'!Y6:Y110,'MAYO 2026'!I6:I110)="YAMBRASBAMBA")*('MAYO 2026'!K6:K110="PETROLEO")*'MAYO 2026'!M6:M110),0)</f>
        <v>0</v>
      </c>
      <c r="D318" s="187" t="n">
        <f aca="false">IFERROR(SUMPRODUCT((IF('MAYO 2026'!Y6:Y110&lt;&gt;"",'MAYO 2026'!Y6:Y110,'MAYO 2026'!I6:I110)="YAMBRASBAMBA")*('MAYO 2026'!K6:K110="PETROLEO")*'MAYO 2026'!L6:L110*'MAYO 2026'!M6:M110),0)</f>
        <v>0</v>
      </c>
      <c r="E318" s="187" t="n">
        <f aca="false">IFERROR(SUMPRODUCT((IF('MAYO 2026'!Y6:Y110&lt;&gt;"",'MAYO 2026'!Y6:Y110,'MAYO 2026'!I6:I110)="YAMBRASBAMBA")*('MAYO 2026'!K6:K110="GASOLINA")*'MAYO 2026'!M6:M110),0)</f>
        <v>0</v>
      </c>
      <c r="F318" s="187" t="n">
        <f aca="false">IFERROR(SUMPRODUCT((IF('MAYO 2026'!Y6:Y110&lt;&gt;"",'MAYO 2026'!Y6:Y110,'MAYO 2026'!I6:I110)="YAMBRASBAMBA")*('MAYO 2026'!K6:K110="GASOLINA")*'MAYO 2026'!L6:L110*'MAYO 2026'!M6:M110),0)</f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 t="s">
        <v>279</v>
      </c>
      <c r="B319" s="1" t="s">
        <v>5170</v>
      </c>
      <c r="C319" s="187" t="n">
        <f aca="false">IFERROR(SUMPRODUCT((IF('JUNIO 2026'!Y6:Y110&lt;&gt;"",'JUNIO 2026'!Y6:Y110,'JUNIO 2026'!I6:I110)="YAMBRASBAMBA")*('JUNIO 2026'!K6:K110="PETROLEO")*'JUNIO 2026'!M6:M110),0)</f>
        <v>0</v>
      </c>
      <c r="D319" s="187" t="n">
        <f aca="false">IFERROR(SUMPRODUCT((IF('JUNIO 2026'!Y6:Y110&lt;&gt;"",'JUNIO 2026'!Y6:Y110,'JUNIO 2026'!I6:I110)="YAMBRASBAMBA")*('JUNIO 2026'!K6:K110="PETROLEO")*'JUNIO 2026'!L6:L110*'JUNIO 2026'!M6:M110),0)</f>
        <v>0</v>
      </c>
      <c r="E319" s="187" t="n">
        <f aca="false">IFERROR(SUMPRODUCT((IF('JUNIO 2026'!Y6:Y110&lt;&gt;"",'JUNIO 2026'!Y6:Y110,'JUNIO 2026'!I6:I110)="YAMBRASBAMBA")*('JUNIO 2026'!K6:K110="GASOLINA")*'JUNIO 2026'!M6:M110),0)</f>
        <v>0</v>
      </c>
      <c r="F319" s="187" t="n">
        <f aca="false">IFERROR(SUMPRODUCT((IF('JUNIO 2026'!Y6:Y110&lt;&gt;"",'JUNIO 2026'!Y6:Y110,'JUNIO 2026'!I6:I110)="YAMBRASBAMBA")*('JUNIO 2026'!K6:K110="GASOLINA")*'JUNIO 2026'!L6:L110*'JUNIO 2026'!M6:M110),0)</f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 t="s">
        <v>279</v>
      </c>
      <c r="B320" s="1" t="s">
        <v>5171</v>
      </c>
      <c r="C320" s="187" t="n">
        <f aca="false">IFERROR(SUMPRODUCT((IF('JULIO 2026'!Y6:Y110&lt;&gt;"",'JULIO 2026'!Y6:Y110,'JULIO 2026'!I6:I110)="YAMBRASBAMBA")*('JULIO 2026'!K6:K110="PETROLEO")*'JULIO 2026'!M6:M110),0)</f>
        <v>0</v>
      </c>
      <c r="D320" s="187" t="n">
        <f aca="false">IFERROR(SUMPRODUCT((IF('JULIO 2026'!Y6:Y110&lt;&gt;"",'JULIO 2026'!Y6:Y110,'JULIO 2026'!I6:I110)="YAMBRASBAMBA")*('JULIO 2026'!K6:K110="PETROLEO")*'JULIO 2026'!L6:L110*'JULIO 2026'!M6:M110),0)</f>
        <v>0</v>
      </c>
      <c r="E320" s="187" t="n">
        <f aca="false">IFERROR(SUMPRODUCT((IF('JULIO 2026'!Y6:Y110&lt;&gt;"",'JULIO 2026'!Y6:Y110,'JULIO 2026'!I6:I110)="YAMBRASBAMBA")*('JULIO 2026'!K6:K110="GASOLINA")*'JULIO 2026'!M6:M110),0)</f>
        <v>0</v>
      </c>
      <c r="F320" s="187" t="n">
        <f aca="false">IFERROR(SUMPRODUCT((IF('JULIO 2026'!Y6:Y110&lt;&gt;"",'JULIO 2026'!Y6:Y110,'JULIO 2026'!I6:I110)="YAMBRASBAMBA")*('JULIO 2026'!K6:K110="GASOLINA")*'JULIO 2026'!L6:L110*'JULIO 2026'!M6:M110),0)</f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 t="s">
        <v>279</v>
      </c>
      <c r="B321" s="1" t="s">
        <v>5172</v>
      </c>
      <c r="C321" s="187" t="n">
        <f aca="false">IFERROR(SUMPRODUCT((IF('AGOSTO 2026'!Y6:Y110&lt;&gt;"",'AGOSTO 2026'!Y6:Y110,'AGOSTO 2026'!I6:I110)="YAMBRASBAMBA")*('AGOSTO 2026'!K6:K110="PETROLEO")*'AGOSTO 2026'!M6:M110),0)</f>
        <v>0</v>
      </c>
      <c r="D321" s="187" t="n">
        <f aca="false">IFERROR(SUMPRODUCT((IF('AGOSTO 2026'!Y6:Y110&lt;&gt;"",'AGOSTO 2026'!Y6:Y110,'AGOSTO 2026'!I6:I110)="YAMBRASBAMBA")*('AGOSTO 2026'!K6:K110="PETROLEO")*'AGOSTO 2026'!L6:L110*'AGOSTO 2026'!M6:M110),0)</f>
        <v>0</v>
      </c>
      <c r="E321" s="187" t="n">
        <f aca="false">IFERROR(SUMPRODUCT((IF('AGOSTO 2026'!Y6:Y110&lt;&gt;"",'AGOSTO 2026'!Y6:Y110,'AGOSTO 2026'!I6:I110)="YAMBRASBAMBA")*('AGOSTO 2026'!K6:K110="GASOLINA")*'AGOSTO 2026'!M6:M110),0)</f>
        <v>0</v>
      </c>
      <c r="F321" s="187" t="n">
        <f aca="false">IFERROR(SUMPRODUCT((IF('AGOSTO 2026'!Y6:Y110&lt;&gt;"",'AGOSTO 2026'!Y6:Y110,'AGOSTO 2026'!I6:I110)="YAMBRASBAMBA")*('AGOSTO 2026'!K6:K110="GASOLINA")*'AGOSTO 2026'!L6:L110*'AGOSTO 2026'!M6:M110),0)</f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 t="s">
        <v>279</v>
      </c>
      <c r="B322" s="1" t="s">
        <v>5173</v>
      </c>
      <c r="C322" s="187" t="n">
        <f aca="false">IFERROR(SUMPRODUCT((IF('SETIEMBRE 2026'!Y6:Y110&lt;&gt;"",'SETIEMBRE 2026'!Y6:Y110,'SETIEMBRE 2026'!I6:I110)="YAMBRASBAMBA")*('SETIEMBRE 2026'!K6:K110="PETROLEO")*'SETIEMBRE 2026'!M6:M110),0)</f>
        <v>0</v>
      </c>
      <c r="D322" s="187" t="n">
        <f aca="false">IFERROR(SUMPRODUCT((IF('SETIEMBRE 2026'!Y6:Y110&lt;&gt;"",'SETIEMBRE 2026'!Y6:Y110,'SETIEMBRE 2026'!I6:I110)="YAMBRASBAMBA")*('SETIEMBRE 2026'!K6:K110="PETROLEO")*'SETIEMBRE 2026'!L6:L110*'SETIEMBRE 2026'!M6:M110),0)</f>
        <v>0</v>
      </c>
      <c r="E322" s="187" t="n">
        <f aca="false">IFERROR(SUMPRODUCT((IF('SETIEMBRE 2026'!Y6:Y110&lt;&gt;"",'SETIEMBRE 2026'!Y6:Y110,'SETIEMBRE 2026'!I6:I110)="YAMBRASBAMBA")*('SETIEMBRE 2026'!K6:K110="GASOLINA")*'SETIEMBRE 2026'!M6:M110),0)</f>
        <v>0</v>
      </c>
      <c r="F322" s="187" t="n">
        <f aca="false">IFERROR(SUMPRODUCT((IF('SETIEMBRE 2026'!Y6:Y110&lt;&gt;"",'SETIEMBRE 2026'!Y6:Y110,'SETIEMBRE 2026'!I6:I110)="YAMBRASBAMBA")*('SETIEMBRE 2026'!K6:K110="GASOLINA")*'SETIEMBRE 2026'!L6:L110*'SETIEMBRE 2026'!M6:M110),0)</f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 t="s">
        <v>279</v>
      </c>
      <c r="B323" s="1" t="s">
        <v>5174</v>
      </c>
      <c r="C323" s="187" t="n">
        <f aca="false">IFERROR(SUMPRODUCT((IF('OCTUBRE 2026'!Y6:Y110&lt;&gt;"",'OCTUBRE 2026'!Y6:Y110,'OCTUBRE 2026'!I6:I110)="YAMBRASBAMBA")*('OCTUBRE 2026'!K6:K110="PETROLEO")*'OCTUBRE 2026'!M6:M110),0)</f>
        <v>0</v>
      </c>
      <c r="D323" s="187" t="n">
        <f aca="false">IFERROR(SUMPRODUCT((IF('OCTUBRE 2026'!Y6:Y110&lt;&gt;"",'OCTUBRE 2026'!Y6:Y110,'OCTUBRE 2026'!I6:I110)="YAMBRASBAMBA")*('OCTUBRE 2026'!K6:K110="PETROLEO")*'OCTUBRE 2026'!L6:L110*'OCTUBRE 2026'!M6:M110),0)</f>
        <v>0</v>
      </c>
      <c r="E323" s="187" t="n">
        <f aca="false">IFERROR(SUMPRODUCT((IF('OCTUBRE 2026'!Y6:Y110&lt;&gt;"",'OCTUBRE 2026'!Y6:Y110,'OCTUBRE 2026'!I6:I110)="YAMBRASBAMBA")*('OCTUBRE 2026'!K6:K110="GASOLINA")*'OCTUBRE 2026'!M6:M110),0)</f>
        <v>0</v>
      </c>
      <c r="F323" s="187" t="n">
        <f aca="false">IFERROR(SUMPRODUCT((IF('OCTUBRE 2026'!Y6:Y110&lt;&gt;"",'OCTUBRE 2026'!Y6:Y110,'OCTUBRE 2026'!I6:I110)="YAMBRASBAMBA")*('OCTUBRE 2026'!K6:K110="GASOLINA")*'OCTUBRE 2026'!L6:L110*'OCTUBRE 2026'!M6:M110),0)</f>
        <v>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 t="s">
        <v>279</v>
      </c>
      <c r="B324" s="1" t="s">
        <v>5175</v>
      </c>
      <c r="C324" s="187" t="n">
        <f aca="false">IFERROR(SUMPRODUCT((IF('NOVIEMBRE 2026'!Y6:Y110&lt;&gt;"",'NOVIEMBRE 2026'!Y6:Y110,'NOVIEMBRE 2026'!I6:I110)="YAMBRASBAMBA")*('NOVIEMBRE 2026'!K6:K110="PETROLEO")*'NOVIEMBRE 2026'!M6:M110),0)</f>
        <v>0</v>
      </c>
      <c r="D324" s="187" t="n">
        <f aca="false">IFERROR(SUMPRODUCT((IF('NOVIEMBRE 2026'!Y6:Y110&lt;&gt;"",'NOVIEMBRE 2026'!Y6:Y110,'NOVIEMBRE 2026'!I6:I110)="YAMBRASBAMBA")*('NOVIEMBRE 2026'!K6:K110="PETROLEO")*'NOVIEMBRE 2026'!L6:L110*'NOVIEMBRE 2026'!M6:M110),0)</f>
        <v>0</v>
      </c>
      <c r="E324" s="187" t="n">
        <f aca="false">IFERROR(SUMPRODUCT((IF('NOVIEMBRE 2026'!Y6:Y110&lt;&gt;"",'NOVIEMBRE 2026'!Y6:Y110,'NOVIEMBRE 2026'!I6:I110)="YAMBRASBAMBA")*('NOVIEMBRE 2026'!K6:K110="GASOLINA")*'NOVIEMBRE 2026'!M6:M110),0)</f>
        <v>0</v>
      </c>
      <c r="F324" s="187" t="n">
        <f aca="false">IFERROR(SUMPRODUCT((IF('NOVIEMBRE 2026'!Y6:Y110&lt;&gt;"",'NOVIEMBRE 2026'!Y6:Y110,'NOVIEMBRE 2026'!I6:I110)="YAMBRASBAMBA")*('NOVIEMBRE 2026'!K6:K110="GASOLINA")*'NOVIEMBRE 2026'!L6:L110*'NOVIEMBRE 2026'!M6:M110),0)</f>
        <v>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 t="s">
        <v>279</v>
      </c>
      <c r="B325" s="1" t="s">
        <v>5176</v>
      </c>
      <c r="C325" s="187" t="n">
        <f aca="false">IFERROR(SUMPRODUCT((IF('DICIEMBRE 2026'!Y6:Y110&lt;&gt;"",'DICIEMBRE 2026'!Y6:Y110,'DICIEMBRE 2026'!I6:I110)="YAMBRASBAMBA")*('DICIEMBRE 2026'!K6:K110="PETROLEO")*'DICIEMBRE 2026'!M6:M110),0)</f>
        <v>0</v>
      </c>
      <c r="D325" s="187" t="n">
        <f aca="false">IFERROR(SUMPRODUCT((IF('DICIEMBRE 2026'!Y6:Y110&lt;&gt;"",'DICIEMBRE 2026'!Y6:Y110,'DICIEMBRE 2026'!I6:I110)="YAMBRASBAMBA")*('DICIEMBRE 2026'!K6:K110="PETROLEO")*'DICIEMBRE 2026'!L6:L110*'DICIEMBRE 2026'!M6:M110),0)</f>
        <v>0</v>
      </c>
      <c r="E325" s="187" t="n">
        <f aca="false">IFERROR(SUMPRODUCT((IF('DICIEMBRE 2026'!Y6:Y110&lt;&gt;"",'DICIEMBRE 2026'!Y6:Y110,'DICIEMBRE 2026'!I6:I110)="YAMBRASBAMBA")*('DICIEMBRE 2026'!K6:K110="GASOLINA")*'DICIEMBRE 2026'!M6:M110),0)</f>
        <v>0</v>
      </c>
      <c r="F325" s="187" t="n">
        <f aca="false">IFERROR(SUMPRODUCT((IF('DICIEMBRE 2026'!Y6:Y110&lt;&gt;"",'DICIEMBRE 2026'!Y6:Y110,'DICIEMBRE 2026'!I6:I110)="YAMBRASBAMBA")*('DICIEMBRE 2026'!K6:K110="GASOLINA")*'DICIEMBRE 2026'!L6:L110*'DICIEMBRE 2026'!M6:M110),0)</f>
        <v>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 t="s">
        <v>46</v>
      </c>
      <c r="B326" s="1" t="s">
        <v>5165</v>
      </c>
      <c r="C326" s="187" t="n">
        <f aca="false">IFERROR(SUMPRODUCT((IF('ENERO 2026'!Y6:Y119&lt;&gt;"",'ENERO 2026'!Y6:Y119,'ENERO 2026'!I6:I119)="YERBABUENA")*('ENERO 2026'!K6:K119="PETROLEO")*'ENERO 2026'!M6:M119),0)</f>
        <v>14</v>
      </c>
      <c r="D326" s="187" t="n">
        <f aca="false">IFERROR(SUMPRODUCT((IF('ENERO 2026'!Y6:Y119&lt;&gt;"",'ENERO 2026'!Y6:Y119,'ENERO 2026'!I6:I119)="YERBABUENA")*('ENERO 2026'!K6:K119="PETROLEO")*'ENERO 2026'!L6:L119*'ENERO 2026'!M6:M119),0)</f>
        <v>254.52</v>
      </c>
      <c r="E326" s="187" t="n">
        <f aca="false">IFERROR(SUMPRODUCT((IF('ENERO 2026'!Y6:Y119&lt;&gt;"",'ENERO 2026'!Y6:Y119,'ENERO 2026'!I6:I119)="YERBABUENA")*('ENERO 2026'!K6:K119="GASOLINA")*'ENERO 2026'!M6:M119),0)</f>
        <v>0</v>
      </c>
      <c r="F326" s="187" t="n">
        <f aca="false">IFERROR(SUMPRODUCT((IF('ENERO 2026'!Y6:Y119&lt;&gt;"",'ENERO 2026'!Y6:Y119,'ENERO 2026'!I6:I119)="YERBABUENA")*('ENERO 2026'!K6:K119="GASOLINA")*'ENERO 2026'!L6:L119*'ENERO 2026'!M6:M119),0)</f>
        <v>0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 t="s">
        <v>46</v>
      </c>
      <c r="B327" s="1" t="s">
        <v>5166</v>
      </c>
      <c r="C327" s="187" t="n">
        <f aca="false">IFERROR(SUMPRODUCT((IF('FEBRERO 2026'!Y6:Y124&lt;&gt;"",'FEBRERO 2026'!Y6:Y124,'FEBRERO 2026'!I6:I124)="YERBABUENA")*('FEBRERO 2026'!K6:K124="PETROLEO")*'FEBRERO 2026'!M6:M124),0)</f>
        <v>30</v>
      </c>
      <c r="D327" s="187" t="n">
        <f aca="false">IFERROR(SUMPRODUCT((IF('FEBRERO 2026'!Y6:Y124&lt;&gt;"",'FEBRERO 2026'!Y6:Y124,'FEBRERO 2026'!I6:I124)="YERBABUENA")*('FEBRERO 2026'!K6:K124="PETROLEO")*'FEBRERO 2026'!L6:L124*'FEBRERO 2026'!M6:M124),0)</f>
        <v>545.4</v>
      </c>
      <c r="E327" s="187" t="n">
        <f aca="false">IFERROR(SUMPRODUCT((IF('FEBRERO 2026'!Y6:Y124&lt;&gt;"",'FEBRERO 2026'!Y6:Y124,'FEBRERO 2026'!I6:I124)="YERBABUENA")*('FEBRERO 2026'!K6:K124="GASOLINA")*'FEBRERO 2026'!M6:M124),0)</f>
        <v>0</v>
      </c>
      <c r="F327" s="187" t="n">
        <f aca="false">IFERROR(SUMPRODUCT((IF('FEBRERO 2026'!Y6:Y124&lt;&gt;"",'FEBRERO 2026'!Y6:Y124,'FEBRERO 2026'!I6:I124)="YERBABUENA")*('FEBRERO 2026'!K6:K124="GASOLINA")*'FEBRERO 2026'!L6:L124*'FEBRERO 2026'!M6:M124),0)</f>
        <v>0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 t="s">
        <v>46</v>
      </c>
      <c r="B328" s="1" t="s">
        <v>5167</v>
      </c>
      <c r="C328" s="187" t="n">
        <f aca="false">IFERROR(SUMPRODUCT((IF('MARZO 2026'!Y6:Y119&lt;&gt;"",'MARZO 2026'!Y6:Y119,'MARZO 2026'!I6:I119)="YERBABUENA")*('MARZO 2026'!K6:K119="PETROLEO")*'MARZO 2026'!M6:M119),0)</f>
        <v>32</v>
      </c>
      <c r="D328" s="187" t="n">
        <f aca="false">IFERROR(SUMPRODUCT((IF('MARZO 2026'!Y6:Y119&lt;&gt;"",'MARZO 2026'!Y6:Y119,'MARZO 2026'!I6:I119)="YERBABUENA")*('MARZO 2026'!K6:K119="PETROLEO")*'MARZO 2026'!L6:L119*'MARZO 2026'!M6:M119),0)</f>
        <v>581.76</v>
      </c>
      <c r="E328" s="187" t="n">
        <f aca="false">IFERROR(SUMPRODUCT((IF('MARZO 2026'!Y6:Y119&lt;&gt;"",'MARZO 2026'!Y6:Y119,'MARZO 2026'!I6:I119)="YERBABUENA")*('MARZO 2026'!K6:K119="GASOLINA")*'MARZO 2026'!M6:M119),0)</f>
        <v>0</v>
      </c>
      <c r="F328" s="187" t="n">
        <f aca="false">IFERROR(SUMPRODUCT((IF('MARZO 2026'!Y6:Y119&lt;&gt;"",'MARZO 2026'!Y6:Y119,'MARZO 2026'!I6:I119)="YERBABUENA")*('MARZO 2026'!K6:K119="GASOLINA")*'MARZO 2026'!L6:L119*'MARZO 2026'!M6:M119),0)</f>
        <v>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 t="s">
        <v>46</v>
      </c>
      <c r="B329" s="1" t="s">
        <v>5168</v>
      </c>
      <c r="C329" s="187" t="n">
        <f aca="false">IFERROR(SUMPRODUCT((IF('ABRIL 2026'!Y6:Y119&lt;&gt;"",'ABRIL 2026'!Y6:Y119,'ABRIL 2026'!I6:I119)="YERBABUENA")*('ABRIL 2026'!K6:K119="PETROLEO")*'ABRIL 2026'!M6:M119),0)</f>
        <v>0</v>
      </c>
      <c r="D329" s="187" t="n">
        <f aca="false">IFERROR(SUMPRODUCT((IF('ABRIL 2026'!Y6:Y119&lt;&gt;"",'ABRIL 2026'!Y6:Y119,'ABRIL 2026'!I6:I119)="YERBABUENA")*('ABRIL 2026'!K6:K119="PETROLEO")*'ABRIL 2026'!L6:L119*'ABRIL 2026'!M6:M119),0)</f>
        <v>0</v>
      </c>
      <c r="E329" s="187" t="n">
        <f aca="false">IFERROR(SUMPRODUCT((IF('ABRIL 2026'!Y6:Y119&lt;&gt;"",'ABRIL 2026'!Y6:Y119,'ABRIL 2026'!I6:I119)="YERBABUENA")*('ABRIL 2026'!K6:K119="GASOLINA")*'ABRIL 2026'!M6:M119),0)</f>
        <v>0</v>
      </c>
      <c r="F329" s="187" t="n">
        <f aca="false">IFERROR(SUMPRODUCT((IF('ABRIL 2026'!Y6:Y119&lt;&gt;"",'ABRIL 2026'!Y6:Y119,'ABRIL 2026'!I6:I119)="YERBABUENA")*('ABRIL 2026'!K6:K119="GASOLINA")*'ABRIL 2026'!L6:L119*'ABRIL 2026'!M6:M119),0)</f>
        <v>0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 t="s">
        <v>46</v>
      </c>
      <c r="B330" s="1" t="s">
        <v>5169</v>
      </c>
      <c r="C330" s="187" t="n">
        <f aca="false">IFERROR(SUMPRODUCT((IF('MAYO 2026'!Y6:Y110&lt;&gt;"",'MAYO 2026'!Y6:Y110,'MAYO 2026'!I6:I110)="YERBABUENA")*('MAYO 2026'!K6:K110="PETROLEO")*'MAYO 2026'!M6:M110),0)</f>
        <v>0</v>
      </c>
      <c r="D330" s="187" t="n">
        <f aca="false">IFERROR(SUMPRODUCT((IF('MAYO 2026'!Y6:Y110&lt;&gt;"",'MAYO 2026'!Y6:Y110,'MAYO 2026'!I6:I110)="YERBABUENA")*('MAYO 2026'!K6:K110="PETROLEO")*'MAYO 2026'!L6:L110*'MAYO 2026'!M6:M110),0)</f>
        <v>0</v>
      </c>
      <c r="E330" s="187" t="n">
        <f aca="false">IFERROR(SUMPRODUCT((IF('MAYO 2026'!Y6:Y110&lt;&gt;"",'MAYO 2026'!Y6:Y110,'MAYO 2026'!I6:I110)="YERBABUENA")*('MAYO 2026'!K6:K110="GASOLINA")*'MAYO 2026'!M6:M110),0)</f>
        <v>0</v>
      </c>
      <c r="F330" s="187" t="n">
        <f aca="false">IFERROR(SUMPRODUCT((IF('MAYO 2026'!Y6:Y110&lt;&gt;"",'MAYO 2026'!Y6:Y110,'MAYO 2026'!I6:I110)="YERBABUENA")*('MAYO 2026'!K6:K110="GASOLINA")*'MAYO 2026'!L6:L110*'MAYO 2026'!M6:M110),0)</f>
        <v>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 t="s">
        <v>46</v>
      </c>
      <c r="B331" s="1" t="s">
        <v>5170</v>
      </c>
      <c r="C331" s="187" t="n">
        <f aca="false">IFERROR(SUMPRODUCT((IF('JUNIO 2026'!Y6:Y110&lt;&gt;"",'JUNIO 2026'!Y6:Y110,'JUNIO 2026'!I6:I110)="YERBABUENA")*('JUNIO 2026'!K6:K110="PETROLEO")*'JUNIO 2026'!M6:M110),0)</f>
        <v>0</v>
      </c>
      <c r="D331" s="187" t="n">
        <f aca="false">IFERROR(SUMPRODUCT((IF('JUNIO 2026'!Y6:Y110&lt;&gt;"",'JUNIO 2026'!Y6:Y110,'JUNIO 2026'!I6:I110)="YERBABUENA")*('JUNIO 2026'!K6:K110="PETROLEO")*'JUNIO 2026'!L6:L110*'JUNIO 2026'!M6:M110),0)</f>
        <v>0</v>
      </c>
      <c r="E331" s="187" t="n">
        <f aca="false">IFERROR(SUMPRODUCT((IF('JUNIO 2026'!Y6:Y110&lt;&gt;"",'JUNIO 2026'!Y6:Y110,'JUNIO 2026'!I6:I110)="YERBABUENA")*('JUNIO 2026'!K6:K110="GASOLINA")*'JUNIO 2026'!M6:M110),0)</f>
        <v>0</v>
      </c>
      <c r="F331" s="187" t="n">
        <f aca="false">IFERROR(SUMPRODUCT((IF('JUNIO 2026'!Y6:Y110&lt;&gt;"",'JUNIO 2026'!Y6:Y110,'JUNIO 2026'!I6:I110)="YERBABUENA")*('JUNIO 2026'!K6:K110="GASOLINA")*'JUNIO 2026'!L6:L110*'JUNIO 2026'!M6:M110),0)</f>
        <v>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 t="s">
        <v>46</v>
      </c>
      <c r="B332" s="1" t="s">
        <v>5171</v>
      </c>
      <c r="C332" s="187" t="n">
        <f aca="false">IFERROR(SUMPRODUCT((IF('JULIO 2026'!Y6:Y110&lt;&gt;"",'JULIO 2026'!Y6:Y110,'JULIO 2026'!I6:I110)="YERBABUENA")*('JULIO 2026'!K6:K110="PETROLEO")*'JULIO 2026'!M6:M110),0)</f>
        <v>0</v>
      </c>
      <c r="D332" s="187" t="n">
        <f aca="false">IFERROR(SUMPRODUCT((IF('JULIO 2026'!Y6:Y110&lt;&gt;"",'JULIO 2026'!Y6:Y110,'JULIO 2026'!I6:I110)="YERBABUENA")*('JULIO 2026'!K6:K110="PETROLEO")*'JULIO 2026'!L6:L110*'JULIO 2026'!M6:M110),0)</f>
        <v>0</v>
      </c>
      <c r="E332" s="187" t="n">
        <f aca="false">IFERROR(SUMPRODUCT((IF('JULIO 2026'!Y6:Y110&lt;&gt;"",'JULIO 2026'!Y6:Y110,'JULIO 2026'!I6:I110)="YERBABUENA")*('JULIO 2026'!K6:K110="GASOLINA")*'JULIO 2026'!M6:M110),0)</f>
        <v>0</v>
      </c>
      <c r="F332" s="187" t="n">
        <f aca="false">IFERROR(SUMPRODUCT((IF('JULIO 2026'!Y6:Y110&lt;&gt;"",'JULIO 2026'!Y6:Y110,'JULIO 2026'!I6:I110)="YERBABUENA")*('JULIO 2026'!K6:K110="GASOLINA")*'JULIO 2026'!L6:L110*'JULIO 2026'!M6:M110),0)</f>
        <v>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 t="s">
        <v>46</v>
      </c>
      <c r="B333" s="1" t="s">
        <v>5172</v>
      </c>
      <c r="C333" s="187" t="n">
        <f aca="false">IFERROR(SUMPRODUCT((IF('AGOSTO 2026'!Y6:Y110&lt;&gt;"",'AGOSTO 2026'!Y6:Y110,'AGOSTO 2026'!I6:I110)="YERBABUENA")*('AGOSTO 2026'!K6:K110="PETROLEO")*'AGOSTO 2026'!M6:M110),0)</f>
        <v>0</v>
      </c>
      <c r="D333" s="187" t="n">
        <f aca="false">IFERROR(SUMPRODUCT((IF('AGOSTO 2026'!Y6:Y110&lt;&gt;"",'AGOSTO 2026'!Y6:Y110,'AGOSTO 2026'!I6:I110)="YERBABUENA")*('AGOSTO 2026'!K6:K110="PETROLEO")*'AGOSTO 2026'!L6:L110*'AGOSTO 2026'!M6:M110),0)</f>
        <v>0</v>
      </c>
      <c r="E333" s="187" t="n">
        <f aca="false">IFERROR(SUMPRODUCT((IF('AGOSTO 2026'!Y6:Y110&lt;&gt;"",'AGOSTO 2026'!Y6:Y110,'AGOSTO 2026'!I6:I110)="YERBABUENA")*('AGOSTO 2026'!K6:K110="GASOLINA")*'AGOSTO 2026'!M6:M110),0)</f>
        <v>0</v>
      </c>
      <c r="F333" s="187" t="n">
        <f aca="false">IFERROR(SUMPRODUCT((IF('AGOSTO 2026'!Y6:Y110&lt;&gt;"",'AGOSTO 2026'!Y6:Y110,'AGOSTO 2026'!I6:I110)="YERBABUENA")*('AGOSTO 2026'!K6:K110="GASOLINA")*'AGOSTO 2026'!L6:L110*'AGOSTO 2026'!M6:M110),0)</f>
        <v>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 t="s">
        <v>46</v>
      </c>
      <c r="B334" s="1" t="s">
        <v>5173</v>
      </c>
      <c r="C334" s="187" t="n">
        <f aca="false">IFERROR(SUMPRODUCT((IF('SETIEMBRE 2026'!Y6:Y110&lt;&gt;"",'SETIEMBRE 2026'!Y6:Y110,'SETIEMBRE 2026'!I6:I110)="YERBABUENA")*('SETIEMBRE 2026'!K6:K110="PETROLEO")*'SETIEMBRE 2026'!M6:M110),0)</f>
        <v>0</v>
      </c>
      <c r="D334" s="187" t="n">
        <f aca="false">IFERROR(SUMPRODUCT((IF('SETIEMBRE 2026'!Y6:Y110&lt;&gt;"",'SETIEMBRE 2026'!Y6:Y110,'SETIEMBRE 2026'!I6:I110)="YERBABUENA")*('SETIEMBRE 2026'!K6:K110="PETROLEO")*'SETIEMBRE 2026'!L6:L110*'SETIEMBRE 2026'!M6:M110),0)</f>
        <v>0</v>
      </c>
      <c r="E334" s="187" t="n">
        <f aca="false">IFERROR(SUMPRODUCT((IF('SETIEMBRE 2026'!Y6:Y110&lt;&gt;"",'SETIEMBRE 2026'!Y6:Y110,'SETIEMBRE 2026'!I6:I110)="YERBABUENA")*('SETIEMBRE 2026'!K6:K110="GASOLINA")*'SETIEMBRE 2026'!M6:M110),0)</f>
        <v>0</v>
      </c>
      <c r="F334" s="187" t="n">
        <f aca="false">IFERROR(SUMPRODUCT((IF('SETIEMBRE 2026'!Y6:Y110&lt;&gt;"",'SETIEMBRE 2026'!Y6:Y110,'SETIEMBRE 2026'!I6:I110)="YERBABUENA")*('SETIEMBRE 2026'!K6:K110="GASOLINA")*'SETIEMBRE 2026'!L6:L110*'SETIEMBRE 2026'!M6:M110),0)</f>
        <v>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 t="s">
        <v>46</v>
      </c>
      <c r="B335" s="1" t="s">
        <v>5174</v>
      </c>
      <c r="C335" s="187" t="n">
        <f aca="false">IFERROR(SUMPRODUCT((IF('OCTUBRE 2026'!Y6:Y110&lt;&gt;"",'OCTUBRE 2026'!Y6:Y110,'OCTUBRE 2026'!I6:I110)="YERBABUENA")*('OCTUBRE 2026'!K6:K110="PETROLEO")*'OCTUBRE 2026'!M6:M110),0)</f>
        <v>0</v>
      </c>
      <c r="D335" s="187" t="n">
        <f aca="false">IFERROR(SUMPRODUCT((IF('OCTUBRE 2026'!Y6:Y110&lt;&gt;"",'OCTUBRE 2026'!Y6:Y110,'OCTUBRE 2026'!I6:I110)="YERBABUENA")*('OCTUBRE 2026'!K6:K110="PETROLEO")*'OCTUBRE 2026'!L6:L110*'OCTUBRE 2026'!M6:M110),0)</f>
        <v>0</v>
      </c>
      <c r="E335" s="187" t="n">
        <f aca="false">IFERROR(SUMPRODUCT((IF('OCTUBRE 2026'!Y6:Y110&lt;&gt;"",'OCTUBRE 2026'!Y6:Y110,'OCTUBRE 2026'!I6:I110)="YERBABUENA")*('OCTUBRE 2026'!K6:K110="GASOLINA")*'OCTUBRE 2026'!M6:M110),0)</f>
        <v>0</v>
      </c>
      <c r="F335" s="187" t="n">
        <f aca="false">IFERROR(SUMPRODUCT((IF('OCTUBRE 2026'!Y6:Y110&lt;&gt;"",'OCTUBRE 2026'!Y6:Y110,'OCTUBRE 2026'!I6:I110)="YERBABUENA")*('OCTUBRE 2026'!K6:K110="GASOLINA")*'OCTUBRE 2026'!L6:L110*'OCTUBRE 2026'!M6:M110),0)</f>
        <v>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 t="s">
        <v>46</v>
      </c>
      <c r="B336" s="1" t="s">
        <v>5175</v>
      </c>
      <c r="C336" s="187" t="n">
        <f aca="false">IFERROR(SUMPRODUCT((IF('NOVIEMBRE 2026'!Y6:Y110&lt;&gt;"",'NOVIEMBRE 2026'!Y6:Y110,'NOVIEMBRE 2026'!I6:I110)="YERBABUENA")*('NOVIEMBRE 2026'!K6:K110="PETROLEO")*'NOVIEMBRE 2026'!M6:M110),0)</f>
        <v>0</v>
      </c>
      <c r="D336" s="187" t="n">
        <f aca="false">IFERROR(SUMPRODUCT((IF('NOVIEMBRE 2026'!Y6:Y110&lt;&gt;"",'NOVIEMBRE 2026'!Y6:Y110,'NOVIEMBRE 2026'!I6:I110)="YERBABUENA")*('NOVIEMBRE 2026'!K6:K110="PETROLEO")*'NOVIEMBRE 2026'!L6:L110*'NOVIEMBRE 2026'!M6:M110),0)</f>
        <v>0</v>
      </c>
      <c r="E336" s="187" t="n">
        <f aca="false">IFERROR(SUMPRODUCT((IF('NOVIEMBRE 2026'!Y6:Y110&lt;&gt;"",'NOVIEMBRE 2026'!Y6:Y110,'NOVIEMBRE 2026'!I6:I110)="YERBABUENA")*('NOVIEMBRE 2026'!K6:K110="GASOLINA")*'NOVIEMBRE 2026'!M6:M110),0)</f>
        <v>0</v>
      </c>
      <c r="F336" s="187" t="n">
        <f aca="false">IFERROR(SUMPRODUCT((IF('NOVIEMBRE 2026'!Y6:Y110&lt;&gt;"",'NOVIEMBRE 2026'!Y6:Y110,'NOVIEMBRE 2026'!I6:I110)="YERBABUENA")*('NOVIEMBRE 2026'!K6:K110="GASOLINA")*'NOVIEMBRE 2026'!L6:L110*'NOVIEMBRE 2026'!M6:M110),0)</f>
        <v>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 t="s">
        <v>46</v>
      </c>
      <c r="B337" s="1" t="s">
        <v>5176</v>
      </c>
      <c r="C337" s="187" t="n">
        <f aca="false">IFERROR(SUMPRODUCT((IF('DICIEMBRE 2026'!Y6:Y110&lt;&gt;"",'DICIEMBRE 2026'!Y6:Y110,'DICIEMBRE 2026'!I6:I110)="YERBABUENA")*('DICIEMBRE 2026'!K6:K110="PETROLEO")*'DICIEMBRE 2026'!M6:M110),0)</f>
        <v>0</v>
      </c>
      <c r="D337" s="187" t="n">
        <f aca="false">IFERROR(SUMPRODUCT((IF('DICIEMBRE 2026'!Y6:Y110&lt;&gt;"",'DICIEMBRE 2026'!Y6:Y110,'DICIEMBRE 2026'!I6:I110)="YERBABUENA")*('DICIEMBRE 2026'!K6:K110="PETROLEO")*'DICIEMBRE 2026'!L6:L110*'DICIEMBRE 2026'!M6:M110),0)</f>
        <v>0</v>
      </c>
      <c r="E337" s="187" t="n">
        <f aca="false">IFERROR(SUMPRODUCT((IF('DICIEMBRE 2026'!Y6:Y110&lt;&gt;"",'DICIEMBRE 2026'!Y6:Y110,'DICIEMBRE 2026'!I6:I110)="YERBABUENA")*('DICIEMBRE 2026'!K6:K110="GASOLINA")*'DICIEMBRE 2026'!M6:M110),0)</f>
        <v>0</v>
      </c>
      <c r="F337" s="187" t="n">
        <f aca="false">IFERROR(SUMPRODUCT((IF('DICIEMBRE 2026'!Y6:Y110&lt;&gt;"",'DICIEMBRE 2026'!Y6:Y110,'DICIEMBRE 2026'!I6:I110)="YERBABUENA")*('DICIEMBRE 2026'!K6:K110="GASOLINA")*'DICIEMBRE 2026'!L6:L110*'DICIEMBRE 2026'!M6:M110),0)</f>
        <v>0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 t="s">
        <v>85</v>
      </c>
      <c r="B338" s="1" t="s">
        <v>5165</v>
      </c>
      <c r="C338" s="187" t="n">
        <f aca="false">IFERROR(SUMPRODUCT((IF('ENERO 2026'!Y6:Y119&lt;&gt;"",'ENERO 2026'!Y6:Y119,'ENERO 2026'!I6:I119)="ZARUMILLA")*('ENERO 2026'!K6:K119="PETROLEO")*'ENERO 2026'!M6:M119),0)</f>
        <v>0</v>
      </c>
      <c r="D338" s="187" t="n">
        <f aca="false">IFERROR(SUMPRODUCT((IF('ENERO 2026'!Y6:Y119&lt;&gt;"",'ENERO 2026'!Y6:Y119,'ENERO 2026'!I6:I119)="ZARUMILLA")*('ENERO 2026'!K6:K119="PETROLEO")*'ENERO 2026'!L6:L119*'ENERO 2026'!M6:M119),0)</f>
        <v>0</v>
      </c>
      <c r="E338" s="187" t="n">
        <f aca="false">IFERROR(SUMPRODUCT((IF('ENERO 2026'!Y6:Y119&lt;&gt;"",'ENERO 2026'!Y6:Y119,'ENERO 2026'!I6:I119)="ZARUMILLA")*('ENERO 2026'!K6:K119="GASOLINA")*'ENERO 2026'!M6:M119),0)</f>
        <v>0</v>
      </c>
      <c r="F338" s="187" t="n">
        <f aca="false">IFERROR(SUMPRODUCT((IF('ENERO 2026'!Y6:Y119&lt;&gt;"",'ENERO 2026'!Y6:Y119,'ENERO 2026'!I6:I119)="ZARUMILLA")*('ENERO 2026'!K6:K119="GASOLINA")*'ENERO 2026'!L6:L119*'ENERO 2026'!M6:M119),0)</f>
        <v>0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 t="s">
        <v>85</v>
      </c>
      <c r="B339" s="1" t="s">
        <v>5166</v>
      </c>
      <c r="C339" s="187" t="n">
        <f aca="false">IFERROR(SUMPRODUCT((IF('FEBRERO 2026'!Y6:Y124&lt;&gt;"",'FEBRERO 2026'!Y6:Y124,'FEBRERO 2026'!I6:I124)="ZARUMILLA")*('FEBRERO 2026'!K6:K124="PETROLEO")*'FEBRERO 2026'!M6:M124),0)</f>
        <v>0</v>
      </c>
      <c r="D339" s="187" t="n">
        <f aca="false">IFERROR(SUMPRODUCT((IF('FEBRERO 2026'!Y6:Y124&lt;&gt;"",'FEBRERO 2026'!Y6:Y124,'FEBRERO 2026'!I6:I124)="ZARUMILLA")*('FEBRERO 2026'!K6:K124="PETROLEO")*'FEBRERO 2026'!L6:L124*'FEBRERO 2026'!M6:M124),0)</f>
        <v>0</v>
      </c>
      <c r="E339" s="187" t="n">
        <f aca="false">IFERROR(SUMPRODUCT((IF('FEBRERO 2026'!Y6:Y124&lt;&gt;"",'FEBRERO 2026'!Y6:Y124,'FEBRERO 2026'!I6:I124)="ZARUMILLA")*('FEBRERO 2026'!K6:K124="GASOLINA")*'FEBRERO 2026'!M6:M124),0)</f>
        <v>0</v>
      </c>
      <c r="F339" s="187" t="n">
        <f aca="false">IFERROR(SUMPRODUCT((IF('FEBRERO 2026'!Y6:Y124&lt;&gt;"",'FEBRERO 2026'!Y6:Y124,'FEBRERO 2026'!I6:I124)="ZARUMILLA")*('FEBRERO 2026'!K6:K124="GASOLINA")*'FEBRERO 2026'!L6:L124*'FEBRERO 2026'!M6:M124),0)</f>
        <v>0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 t="s">
        <v>85</v>
      </c>
      <c r="B340" s="1" t="s">
        <v>5167</v>
      </c>
      <c r="C340" s="187" t="n">
        <f aca="false">IFERROR(SUMPRODUCT((IF('MARZO 2026'!Y6:Y119&lt;&gt;"",'MARZO 2026'!Y6:Y119,'MARZO 2026'!I6:I119)="ZARUMILLA")*('MARZO 2026'!K6:K119="PETROLEO")*'MARZO 2026'!M6:M119),0)</f>
        <v>0</v>
      </c>
      <c r="D340" s="187" t="n">
        <f aca="false">IFERROR(SUMPRODUCT((IF('MARZO 2026'!Y6:Y119&lt;&gt;"",'MARZO 2026'!Y6:Y119,'MARZO 2026'!I6:I119)="ZARUMILLA")*('MARZO 2026'!K6:K119="PETROLEO")*'MARZO 2026'!L6:L119*'MARZO 2026'!M6:M119),0)</f>
        <v>0</v>
      </c>
      <c r="E340" s="187" t="n">
        <f aca="false">IFERROR(SUMPRODUCT((IF('MARZO 2026'!Y6:Y119&lt;&gt;"",'MARZO 2026'!Y6:Y119,'MARZO 2026'!I6:I119)="ZARUMILLA")*('MARZO 2026'!K6:K119="GASOLINA")*'MARZO 2026'!M6:M119),0)</f>
        <v>0</v>
      </c>
      <c r="F340" s="187" t="n">
        <f aca="false">IFERROR(SUMPRODUCT((IF('MARZO 2026'!Y6:Y119&lt;&gt;"",'MARZO 2026'!Y6:Y119,'MARZO 2026'!I6:I119)="ZARUMILLA")*('MARZO 2026'!K6:K119="GASOLINA")*'MARZO 2026'!L6:L119*'MARZO 2026'!M6:M119),0)</f>
        <v>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 t="s">
        <v>85</v>
      </c>
      <c r="B341" s="1" t="s">
        <v>5168</v>
      </c>
      <c r="C341" s="187" t="n">
        <f aca="false">IFERROR(SUMPRODUCT((IF('ABRIL 2026'!Y6:Y119&lt;&gt;"",'ABRIL 2026'!Y6:Y119,'ABRIL 2026'!I6:I119)="ZARUMILLA")*('ABRIL 2026'!K6:K119="PETROLEO")*'ABRIL 2026'!M6:M119),0)</f>
        <v>0</v>
      </c>
      <c r="D341" s="187" t="n">
        <f aca="false">IFERROR(SUMPRODUCT((IF('ABRIL 2026'!Y6:Y119&lt;&gt;"",'ABRIL 2026'!Y6:Y119,'ABRIL 2026'!I6:I119)="ZARUMILLA")*('ABRIL 2026'!K6:K119="PETROLEO")*'ABRIL 2026'!L6:L119*'ABRIL 2026'!M6:M119),0)</f>
        <v>0</v>
      </c>
      <c r="E341" s="187" t="n">
        <f aca="false">IFERROR(SUMPRODUCT((IF('ABRIL 2026'!Y6:Y119&lt;&gt;"",'ABRIL 2026'!Y6:Y119,'ABRIL 2026'!I6:I119)="ZARUMILLA")*('ABRIL 2026'!K6:K119="GASOLINA")*'ABRIL 2026'!M6:M119),0)</f>
        <v>0</v>
      </c>
      <c r="F341" s="187" t="n">
        <f aca="false">IFERROR(SUMPRODUCT((IF('ABRIL 2026'!Y6:Y119&lt;&gt;"",'ABRIL 2026'!Y6:Y119,'ABRIL 2026'!I6:I119)="ZARUMILLA")*('ABRIL 2026'!K6:K119="GASOLINA")*'ABRIL 2026'!L6:L119*'ABRIL 2026'!M6:M119),0)</f>
        <v>0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 t="s">
        <v>85</v>
      </c>
      <c r="B342" s="1" t="s">
        <v>5169</v>
      </c>
      <c r="C342" s="187" t="n">
        <f aca="false">IFERROR(SUMPRODUCT((IF('MAYO 2026'!Y6:Y110&lt;&gt;"",'MAYO 2026'!Y6:Y110,'MAYO 2026'!I6:I110)="ZARUMILLA")*('MAYO 2026'!K6:K110="PETROLEO")*'MAYO 2026'!M6:M110),0)</f>
        <v>0</v>
      </c>
      <c r="D342" s="187" t="n">
        <f aca="false">IFERROR(SUMPRODUCT((IF('MAYO 2026'!Y6:Y110&lt;&gt;"",'MAYO 2026'!Y6:Y110,'MAYO 2026'!I6:I110)="ZARUMILLA")*('MAYO 2026'!K6:K110="PETROLEO")*'MAYO 2026'!L6:L110*'MAYO 2026'!M6:M110),0)</f>
        <v>0</v>
      </c>
      <c r="E342" s="187" t="n">
        <f aca="false">IFERROR(SUMPRODUCT((IF('MAYO 2026'!Y6:Y110&lt;&gt;"",'MAYO 2026'!Y6:Y110,'MAYO 2026'!I6:I110)="ZARUMILLA")*('MAYO 2026'!K6:K110="GASOLINA")*'MAYO 2026'!M6:M110),0)</f>
        <v>0</v>
      </c>
      <c r="F342" s="187" t="n">
        <f aca="false">IFERROR(SUMPRODUCT((IF('MAYO 2026'!Y6:Y110&lt;&gt;"",'MAYO 2026'!Y6:Y110,'MAYO 2026'!I6:I110)="ZARUMILLA")*('MAYO 2026'!K6:K110="GASOLINA")*'MAYO 2026'!L6:L110*'MAYO 2026'!M6:M110),0)</f>
        <v>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 t="s">
        <v>85</v>
      </c>
      <c r="B343" s="1" t="s">
        <v>5170</v>
      </c>
      <c r="C343" s="187" t="n">
        <f aca="false">IFERROR(SUMPRODUCT((IF('JUNIO 2026'!Y6:Y110&lt;&gt;"",'JUNIO 2026'!Y6:Y110,'JUNIO 2026'!I6:I110)="ZARUMILLA")*('JUNIO 2026'!K6:K110="PETROLEO")*'JUNIO 2026'!M6:M110),0)</f>
        <v>0</v>
      </c>
      <c r="D343" s="187" t="n">
        <f aca="false">IFERROR(SUMPRODUCT((IF('JUNIO 2026'!Y6:Y110&lt;&gt;"",'JUNIO 2026'!Y6:Y110,'JUNIO 2026'!I6:I110)="ZARUMILLA")*('JUNIO 2026'!K6:K110="PETROLEO")*'JUNIO 2026'!L6:L110*'JUNIO 2026'!M6:M110),0)</f>
        <v>0</v>
      </c>
      <c r="E343" s="187" t="n">
        <f aca="false">IFERROR(SUMPRODUCT((IF('JUNIO 2026'!Y6:Y110&lt;&gt;"",'JUNIO 2026'!Y6:Y110,'JUNIO 2026'!I6:I110)="ZARUMILLA")*('JUNIO 2026'!K6:K110="GASOLINA")*'JUNIO 2026'!M6:M110),0)</f>
        <v>0</v>
      </c>
      <c r="F343" s="187" t="n">
        <f aca="false">IFERROR(SUMPRODUCT((IF('JUNIO 2026'!Y6:Y110&lt;&gt;"",'JUNIO 2026'!Y6:Y110,'JUNIO 2026'!I6:I110)="ZARUMILLA")*('JUNIO 2026'!K6:K110="GASOLINA")*'JUNIO 2026'!L6:L110*'JUNIO 2026'!M6:M110),0)</f>
        <v>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 t="s">
        <v>85</v>
      </c>
      <c r="B344" s="1" t="s">
        <v>5171</v>
      </c>
      <c r="C344" s="187" t="n">
        <f aca="false">IFERROR(SUMPRODUCT((IF('JULIO 2026'!Y6:Y110&lt;&gt;"",'JULIO 2026'!Y6:Y110,'JULIO 2026'!I6:I110)="ZARUMILLA")*('JULIO 2026'!K6:K110="PETROLEO")*'JULIO 2026'!M6:M110),0)</f>
        <v>0</v>
      </c>
      <c r="D344" s="187" t="n">
        <f aca="false">IFERROR(SUMPRODUCT((IF('JULIO 2026'!Y6:Y110&lt;&gt;"",'JULIO 2026'!Y6:Y110,'JULIO 2026'!I6:I110)="ZARUMILLA")*('JULIO 2026'!K6:K110="PETROLEO")*'JULIO 2026'!L6:L110*'JULIO 2026'!M6:M110),0)</f>
        <v>0</v>
      </c>
      <c r="E344" s="187" t="n">
        <f aca="false">IFERROR(SUMPRODUCT((IF('JULIO 2026'!Y6:Y110&lt;&gt;"",'JULIO 2026'!Y6:Y110,'JULIO 2026'!I6:I110)="ZARUMILLA")*('JULIO 2026'!K6:K110="GASOLINA")*'JULIO 2026'!M6:M110),0)</f>
        <v>0</v>
      </c>
      <c r="F344" s="187" t="n">
        <f aca="false">IFERROR(SUMPRODUCT((IF('JULIO 2026'!Y6:Y110&lt;&gt;"",'JULIO 2026'!Y6:Y110,'JULIO 2026'!I6:I110)="ZARUMILLA")*('JULIO 2026'!K6:K110="GASOLINA")*'JULIO 2026'!L6:L110*'JULIO 2026'!M6:M110),0)</f>
        <v>0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 t="s">
        <v>85</v>
      </c>
      <c r="B345" s="1" t="s">
        <v>5172</v>
      </c>
      <c r="C345" s="187" t="n">
        <f aca="false">IFERROR(SUMPRODUCT((IF('AGOSTO 2026'!Y6:Y110&lt;&gt;"",'AGOSTO 2026'!Y6:Y110,'AGOSTO 2026'!I6:I110)="ZARUMILLA")*('AGOSTO 2026'!K6:K110="PETROLEO")*'AGOSTO 2026'!M6:M110),0)</f>
        <v>0</v>
      </c>
      <c r="D345" s="187" t="n">
        <f aca="false">IFERROR(SUMPRODUCT((IF('AGOSTO 2026'!Y6:Y110&lt;&gt;"",'AGOSTO 2026'!Y6:Y110,'AGOSTO 2026'!I6:I110)="ZARUMILLA")*('AGOSTO 2026'!K6:K110="PETROLEO")*'AGOSTO 2026'!L6:L110*'AGOSTO 2026'!M6:M110),0)</f>
        <v>0</v>
      </c>
      <c r="E345" s="187" t="n">
        <f aca="false">IFERROR(SUMPRODUCT((IF('AGOSTO 2026'!Y6:Y110&lt;&gt;"",'AGOSTO 2026'!Y6:Y110,'AGOSTO 2026'!I6:I110)="ZARUMILLA")*('AGOSTO 2026'!K6:K110="GASOLINA")*'AGOSTO 2026'!M6:M110),0)</f>
        <v>0</v>
      </c>
      <c r="F345" s="187" t="n">
        <f aca="false">IFERROR(SUMPRODUCT((IF('AGOSTO 2026'!Y6:Y110&lt;&gt;"",'AGOSTO 2026'!Y6:Y110,'AGOSTO 2026'!I6:I110)="ZARUMILLA")*('AGOSTO 2026'!K6:K110="GASOLINA")*'AGOSTO 2026'!L6:L110*'AGOSTO 2026'!M6:M110),0)</f>
        <v>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 t="s">
        <v>85</v>
      </c>
      <c r="B346" s="1" t="s">
        <v>5173</v>
      </c>
      <c r="C346" s="187" t="n">
        <f aca="false">IFERROR(SUMPRODUCT((IF('SETIEMBRE 2026'!Y6:Y110&lt;&gt;"",'SETIEMBRE 2026'!Y6:Y110,'SETIEMBRE 2026'!I6:I110)="ZARUMILLA")*('SETIEMBRE 2026'!K6:K110="PETROLEO")*'SETIEMBRE 2026'!M6:M110),0)</f>
        <v>0</v>
      </c>
      <c r="D346" s="187" t="n">
        <f aca="false">IFERROR(SUMPRODUCT((IF('SETIEMBRE 2026'!Y6:Y110&lt;&gt;"",'SETIEMBRE 2026'!Y6:Y110,'SETIEMBRE 2026'!I6:I110)="ZARUMILLA")*('SETIEMBRE 2026'!K6:K110="PETROLEO")*'SETIEMBRE 2026'!L6:L110*'SETIEMBRE 2026'!M6:M110),0)</f>
        <v>0</v>
      </c>
      <c r="E346" s="187" t="n">
        <f aca="false">IFERROR(SUMPRODUCT((IF('SETIEMBRE 2026'!Y6:Y110&lt;&gt;"",'SETIEMBRE 2026'!Y6:Y110,'SETIEMBRE 2026'!I6:I110)="ZARUMILLA")*('SETIEMBRE 2026'!K6:K110="GASOLINA")*'SETIEMBRE 2026'!M6:M110),0)</f>
        <v>0</v>
      </c>
      <c r="F346" s="187" t="n">
        <f aca="false">IFERROR(SUMPRODUCT((IF('SETIEMBRE 2026'!Y6:Y110&lt;&gt;"",'SETIEMBRE 2026'!Y6:Y110,'SETIEMBRE 2026'!I6:I110)="ZARUMILLA")*('SETIEMBRE 2026'!K6:K110="GASOLINA")*'SETIEMBRE 2026'!L6:L110*'SETIEMBRE 2026'!M6:M110),0)</f>
        <v>0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 t="s">
        <v>85</v>
      </c>
      <c r="B347" s="1" t="s">
        <v>5174</v>
      </c>
      <c r="C347" s="187" t="n">
        <f aca="false">IFERROR(SUMPRODUCT((IF('OCTUBRE 2026'!Y6:Y110&lt;&gt;"",'OCTUBRE 2026'!Y6:Y110,'OCTUBRE 2026'!I6:I110)="ZARUMILLA")*('OCTUBRE 2026'!K6:K110="PETROLEO")*'OCTUBRE 2026'!M6:M110),0)</f>
        <v>0</v>
      </c>
      <c r="D347" s="187" t="n">
        <f aca="false">IFERROR(SUMPRODUCT((IF('OCTUBRE 2026'!Y6:Y110&lt;&gt;"",'OCTUBRE 2026'!Y6:Y110,'OCTUBRE 2026'!I6:I110)="ZARUMILLA")*('OCTUBRE 2026'!K6:K110="PETROLEO")*'OCTUBRE 2026'!L6:L110*'OCTUBRE 2026'!M6:M110),0)</f>
        <v>0</v>
      </c>
      <c r="E347" s="187" t="n">
        <f aca="false">IFERROR(SUMPRODUCT((IF('OCTUBRE 2026'!Y6:Y110&lt;&gt;"",'OCTUBRE 2026'!Y6:Y110,'OCTUBRE 2026'!I6:I110)="ZARUMILLA")*('OCTUBRE 2026'!K6:K110="GASOLINA")*'OCTUBRE 2026'!M6:M110),0)</f>
        <v>0</v>
      </c>
      <c r="F347" s="187" t="n">
        <f aca="false">IFERROR(SUMPRODUCT((IF('OCTUBRE 2026'!Y6:Y110&lt;&gt;"",'OCTUBRE 2026'!Y6:Y110,'OCTUBRE 2026'!I6:I110)="ZARUMILLA")*('OCTUBRE 2026'!K6:K110="GASOLINA")*'OCTUBRE 2026'!L6:L110*'OCTUBRE 2026'!M6:M110),0)</f>
        <v>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 t="s">
        <v>85</v>
      </c>
      <c r="B348" s="1" t="s">
        <v>5175</v>
      </c>
      <c r="C348" s="187" t="n">
        <f aca="false">IFERROR(SUMPRODUCT((IF('NOVIEMBRE 2026'!Y6:Y110&lt;&gt;"",'NOVIEMBRE 2026'!Y6:Y110,'NOVIEMBRE 2026'!I6:I110)="ZARUMILLA")*('NOVIEMBRE 2026'!K6:K110="PETROLEO")*'NOVIEMBRE 2026'!M6:M110),0)</f>
        <v>0</v>
      </c>
      <c r="D348" s="187" t="n">
        <f aca="false">IFERROR(SUMPRODUCT((IF('NOVIEMBRE 2026'!Y6:Y110&lt;&gt;"",'NOVIEMBRE 2026'!Y6:Y110,'NOVIEMBRE 2026'!I6:I110)="ZARUMILLA")*('NOVIEMBRE 2026'!K6:K110="PETROLEO")*'NOVIEMBRE 2026'!L6:L110*'NOVIEMBRE 2026'!M6:M110),0)</f>
        <v>0</v>
      </c>
      <c r="E348" s="187" t="n">
        <f aca="false">IFERROR(SUMPRODUCT((IF('NOVIEMBRE 2026'!Y6:Y110&lt;&gt;"",'NOVIEMBRE 2026'!Y6:Y110,'NOVIEMBRE 2026'!I6:I110)="ZARUMILLA")*('NOVIEMBRE 2026'!K6:K110="GASOLINA")*'NOVIEMBRE 2026'!M6:M110),0)</f>
        <v>0</v>
      </c>
      <c r="F348" s="187" t="n">
        <f aca="false">IFERROR(SUMPRODUCT((IF('NOVIEMBRE 2026'!Y6:Y110&lt;&gt;"",'NOVIEMBRE 2026'!Y6:Y110,'NOVIEMBRE 2026'!I6:I110)="ZARUMILLA")*('NOVIEMBRE 2026'!K6:K110="GASOLINA")*'NOVIEMBRE 2026'!L6:L110*'NOVIEMBRE 2026'!M6:M110),0)</f>
        <v>0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 t="s">
        <v>85</v>
      </c>
      <c r="B349" s="1" t="s">
        <v>5176</v>
      </c>
      <c r="C349" s="187" t="n">
        <f aca="false">IFERROR(SUMPRODUCT((IF('DICIEMBRE 2026'!Y6:Y110&lt;&gt;"",'DICIEMBRE 2026'!Y6:Y110,'DICIEMBRE 2026'!I6:I110)="ZARUMILLA")*('DICIEMBRE 2026'!K6:K110="PETROLEO")*'DICIEMBRE 2026'!M6:M110),0)</f>
        <v>0</v>
      </c>
      <c r="D349" s="187" t="n">
        <f aca="false">IFERROR(SUMPRODUCT((IF('DICIEMBRE 2026'!Y6:Y110&lt;&gt;"",'DICIEMBRE 2026'!Y6:Y110,'DICIEMBRE 2026'!I6:I110)="ZARUMILLA")*('DICIEMBRE 2026'!K6:K110="PETROLEO")*'DICIEMBRE 2026'!L6:L110*'DICIEMBRE 2026'!M6:M110),0)</f>
        <v>0</v>
      </c>
      <c r="E349" s="187" t="n">
        <f aca="false">IFERROR(SUMPRODUCT((IF('DICIEMBRE 2026'!Y6:Y110&lt;&gt;"",'DICIEMBRE 2026'!Y6:Y110,'DICIEMBRE 2026'!I6:I110)="ZARUMILLA")*('DICIEMBRE 2026'!K6:K110="GASOLINA")*'DICIEMBRE 2026'!M6:M110),0)</f>
        <v>0</v>
      </c>
      <c r="F349" s="187" t="n">
        <f aca="false">IFERROR(SUMPRODUCT((IF('DICIEMBRE 2026'!Y6:Y110&lt;&gt;"",'DICIEMBRE 2026'!Y6:Y110,'DICIEMBRE 2026'!I6:I110)="ZARUMILLA")*('DICIEMBRE 2026'!K6:K110="GASOLINA")*'DICIEMBRE 2026'!L6:L110*'DICIEMBRE 2026'!M6:M110),0)</f>
        <v>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 t="s">
        <v>660</v>
      </c>
      <c r="B350" s="1" t="s">
        <v>5165</v>
      </c>
      <c r="C350" s="187" t="n">
        <f aca="false">IFERROR(SUMPRODUCT((IF('ENERO 2026'!Y6:Y119&lt;&gt;"",'ENERO 2026'!Y6:Y119,'ENERO 2026'!I6:I119)="SAN SALVADOR")*('ENERO 2026'!K6:K119="PETROLEO")*'ENERO 2026'!M6:M119),0)</f>
        <v>0</v>
      </c>
      <c r="D350" s="187" t="n">
        <f aca="false">IFERROR(SUMPRODUCT((IF('ENERO 2026'!Y6:Y119&lt;&gt;"",'ENERO 2026'!Y6:Y119,'ENERO 2026'!I6:I119)="SAN SALVADOR")*('ENERO 2026'!K6:K119="PETROLEO")*'ENERO 2026'!L6:L119*'ENERO 2026'!M6:M119),0)</f>
        <v>0</v>
      </c>
      <c r="E350" s="187" t="n">
        <f aca="false">IFERROR(SUMPRODUCT((IF('ENERO 2026'!Y6:Y119&lt;&gt;"",'ENERO 2026'!Y6:Y119,'ENERO 2026'!I6:I119)="SAN SALVADOR")*('ENERO 2026'!K6:K119="GASOLINA")*'ENERO 2026'!M6:M119),0)</f>
        <v>0</v>
      </c>
      <c r="F350" s="187" t="n">
        <f aca="false">IFERROR(SUMPRODUCT((IF('ENERO 2026'!Y6:Y119&lt;&gt;"",'ENERO 2026'!Y6:Y119,'ENERO 2026'!I6:I119)="SAN SALVADOR")*('ENERO 2026'!K6:K119="GASOLINA")*'ENERO 2026'!L6:L119*'ENERO 2026'!M6:M119),0)</f>
        <v>0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 t="s">
        <v>660</v>
      </c>
      <c r="B351" s="1" t="s">
        <v>5166</v>
      </c>
      <c r="C351" s="187" t="n">
        <f aca="false">IFERROR(SUMPRODUCT((IF('FEBRERO 2026'!Y6:Y124&lt;&gt;"",'FEBRERO 2026'!Y6:Y124,'FEBRERO 2026'!I6:I124)="SAN SALVADOR")*('FEBRERO 2026'!K6:K124="PETROLEO")*'FEBRERO 2026'!M6:M124),0)</f>
        <v>10</v>
      </c>
      <c r="D351" s="187" t="n">
        <f aca="false">IFERROR(SUMPRODUCT((IF('FEBRERO 2026'!Y6:Y124&lt;&gt;"",'FEBRERO 2026'!Y6:Y124,'FEBRERO 2026'!I6:I124)="SAN SALVADOR")*('FEBRERO 2026'!K6:K124="PETROLEO")*'FEBRERO 2026'!L6:L124*'FEBRERO 2026'!M6:M124),0)</f>
        <v>181.8</v>
      </c>
      <c r="E351" s="187" t="n">
        <f aca="false">IFERROR(SUMPRODUCT((IF('FEBRERO 2026'!Y6:Y124&lt;&gt;"",'FEBRERO 2026'!Y6:Y124,'FEBRERO 2026'!I6:I124)="SAN SALVADOR")*('FEBRERO 2026'!K6:K124="GASOLINA")*'FEBRERO 2026'!M6:M124),0)</f>
        <v>0</v>
      </c>
      <c r="F351" s="187" t="n">
        <f aca="false">IFERROR(SUMPRODUCT((IF('FEBRERO 2026'!Y6:Y124&lt;&gt;"",'FEBRERO 2026'!Y6:Y124,'FEBRERO 2026'!I6:I124)="SAN SALVADOR")*('FEBRERO 2026'!K6:K124="GASOLINA")*'FEBRERO 2026'!L6:L124*'FEBRERO 2026'!M6:M124),0)</f>
        <v>0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 t="s">
        <v>660</v>
      </c>
      <c r="B352" s="1" t="s">
        <v>5167</v>
      </c>
      <c r="C352" s="187" t="n">
        <f aca="false">IFERROR(SUMPRODUCT((IF('MARZO 2026'!Y6:Y119&lt;&gt;"",'MARZO 2026'!Y6:Y119,'MARZO 2026'!I6:I119)="SAN SALVADOR")*('MARZO 2026'!K6:K119="PETROLEO")*'MARZO 2026'!M6:M119),0)</f>
        <v>0</v>
      </c>
      <c r="D352" s="187" t="n">
        <f aca="false">IFERROR(SUMPRODUCT((IF('MARZO 2026'!Y6:Y119&lt;&gt;"",'MARZO 2026'!Y6:Y119,'MARZO 2026'!I6:I119)="SAN SALVADOR")*('MARZO 2026'!K6:K119="PETROLEO")*'MARZO 2026'!L6:L119*'MARZO 2026'!M6:M119),0)</f>
        <v>0</v>
      </c>
      <c r="E352" s="187" t="n">
        <f aca="false">IFERROR(SUMPRODUCT((IF('MARZO 2026'!Y6:Y119&lt;&gt;"",'MARZO 2026'!Y6:Y119,'MARZO 2026'!I6:I119)="SAN SALVADOR")*('MARZO 2026'!K6:K119="GASOLINA")*'MARZO 2026'!M6:M119),0)</f>
        <v>0</v>
      </c>
      <c r="F352" s="187" t="n">
        <f aca="false">IFERROR(SUMPRODUCT((IF('MARZO 2026'!Y6:Y119&lt;&gt;"",'MARZO 2026'!Y6:Y119,'MARZO 2026'!I6:I119)="SAN SALVADOR")*('MARZO 2026'!K6:K119="GASOLINA")*'MARZO 2026'!L6:L119*'MARZO 2026'!M6:M119),0)</f>
        <v>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 t="s">
        <v>660</v>
      </c>
      <c r="B353" s="1" t="s">
        <v>5168</v>
      </c>
      <c r="C353" s="187" t="n">
        <f aca="false">IFERROR(SUMPRODUCT((IF('ABRIL 2026'!Y6:Y119&lt;&gt;"",'ABRIL 2026'!Y6:Y119,'ABRIL 2026'!I6:I119)="SAN SALVADOR")*('ABRIL 2026'!K6:K119="PETROLEO")*'ABRIL 2026'!M6:M119),0)</f>
        <v>0</v>
      </c>
      <c r="D353" s="187" t="n">
        <f aca="false">IFERROR(SUMPRODUCT((IF('ABRIL 2026'!Y6:Y119&lt;&gt;"",'ABRIL 2026'!Y6:Y119,'ABRIL 2026'!I6:I119)="SAN SALVADOR")*('ABRIL 2026'!K6:K119="PETROLEO")*'ABRIL 2026'!L6:L119*'ABRIL 2026'!M6:M119),0)</f>
        <v>0</v>
      </c>
      <c r="E353" s="187" t="n">
        <f aca="false">IFERROR(SUMPRODUCT((IF('ABRIL 2026'!Y6:Y119&lt;&gt;"",'ABRIL 2026'!Y6:Y119,'ABRIL 2026'!I6:I119)="SAN SALVADOR")*('ABRIL 2026'!K6:K119="GASOLINA")*'ABRIL 2026'!M6:M119),0)</f>
        <v>0</v>
      </c>
      <c r="F353" s="187" t="n">
        <f aca="false">IFERROR(SUMPRODUCT((IF('ABRIL 2026'!Y6:Y119&lt;&gt;"",'ABRIL 2026'!Y6:Y119,'ABRIL 2026'!I6:I119)="SAN SALVADOR")*('ABRIL 2026'!K6:K119="GASOLINA")*'ABRIL 2026'!L6:L119*'ABRIL 2026'!M6:M119),0)</f>
        <v>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 t="s">
        <v>660</v>
      </c>
      <c r="B354" s="1" t="s">
        <v>5169</v>
      </c>
      <c r="C354" s="187" t="n">
        <f aca="false">IFERROR(SUMPRODUCT((IF('MAYO 2026'!Y6:Y110&lt;&gt;"",'MAYO 2026'!Y6:Y110,'MAYO 2026'!I6:I110)="SAN SALVADOR")*('MAYO 2026'!K6:K110="PETROLEO")*'MAYO 2026'!M6:M110),0)</f>
        <v>0</v>
      </c>
      <c r="D354" s="187" t="n">
        <f aca="false">IFERROR(SUMPRODUCT((IF('MAYO 2026'!Y6:Y110&lt;&gt;"",'MAYO 2026'!Y6:Y110,'MAYO 2026'!I6:I110)="SAN SALVADOR")*('MAYO 2026'!K6:K110="PETROLEO")*'MAYO 2026'!L6:L110*'MAYO 2026'!M6:M110),0)</f>
        <v>0</v>
      </c>
      <c r="E354" s="187" t="n">
        <f aca="false">IFERROR(SUMPRODUCT((IF('MAYO 2026'!Y6:Y110&lt;&gt;"",'MAYO 2026'!Y6:Y110,'MAYO 2026'!I6:I110)="SAN SALVADOR")*('MAYO 2026'!K6:K110="GASOLINA")*'MAYO 2026'!M6:M110),0)</f>
        <v>0</v>
      </c>
      <c r="F354" s="187" t="n">
        <f aca="false">IFERROR(SUMPRODUCT((IF('MAYO 2026'!Y6:Y110&lt;&gt;"",'MAYO 2026'!Y6:Y110,'MAYO 2026'!I6:I110)="SAN SALVADOR")*('MAYO 2026'!K6:K110="GASOLINA")*'MAYO 2026'!L6:L110*'MAYO 2026'!M6:M110),0)</f>
        <v>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 t="s">
        <v>660</v>
      </c>
      <c r="B355" s="1" t="s">
        <v>5170</v>
      </c>
      <c r="C355" s="187" t="n">
        <f aca="false">IFERROR(SUMPRODUCT((IF('JUNIO 2026'!Y6:Y110&lt;&gt;"",'JUNIO 2026'!Y6:Y110,'JUNIO 2026'!I6:I110)="SAN SALVADOR")*('JUNIO 2026'!K6:K110="PETROLEO")*'JUNIO 2026'!M6:M110),0)</f>
        <v>0</v>
      </c>
      <c r="D355" s="187" t="n">
        <f aca="false">IFERROR(SUMPRODUCT((IF('JUNIO 2026'!Y6:Y110&lt;&gt;"",'JUNIO 2026'!Y6:Y110,'JUNIO 2026'!I6:I110)="SAN SALVADOR")*('JUNIO 2026'!K6:K110="PETROLEO")*'JUNIO 2026'!L6:L110*'JUNIO 2026'!M6:M110),0)</f>
        <v>0</v>
      </c>
      <c r="E355" s="187" t="n">
        <f aca="false">IFERROR(SUMPRODUCT((IF('JUNIO 2026'!Y6:Y110&lt;&gt;"",'JUNIO 2026'!Y6:Y110,'JUNIO 2026'!I6:I110)="SAN SALVADOR")*('JUNIO 2026'!K6:K110="GASOLINA")*'JUNIO 2026'!M6:M110),0)</f>
        <v>0</v>
      </c>
      <c r="F355" s="187" t="n">
        <f aca="false">IFERROR(SUMPRODUCT((IF('JUNIO 2026'!Y6:Y110&lt;&gt;"",'JUNIO 2026'!Y6:Y110,'JUNIO 2026'!I6:I110)="SAN SALVADOR")*('JUNIO 2026'!K6:K110="GASOLINA")*'JUNIO 2026'!L6:L110*'JUNIO 2026'!M6:M110),0)</f>
        <v>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 t="s">
        <v>660</v>
      </c>
      <c r="B356" s="1" t="s">
        <v>5171</v>
      </c>
      <c r="C356" s="187" t="n">
        <f aca="false">IFERROR(SUMPRODUCT((IF('JULIO 2026'!Y6:Y110&lt;&gt;"",'JULIO 2026'!Y6:Y110,'JULIO 2026'!I6:I110)="SAN SALVADOR")*('JULIO 2026'!K6:K110="PETROLEO")*'JULIO 2026'!M6:M110),0)</f>
        <v>0</v>
      </c>
      <c r="D356" s="187" t="n">
        <f aca="false">IFERROR(SUMPRODUCT((IF('JULIO 2026'!Y6:Y110&lt;&gt;"",'JULIO 2026'!Y6:Y110,'JULIO 2026'!I6:I110)="SAN SALVADOR")*('JULIO 2026'!K6:K110="PETROLEO")*'JULIO 2026'!L6:L110*'JULIO 2026'!M6:M110),0)</f>
        <v>0</v>
      </c>
      <c r="E356" s="187" t="n">
        <f aca="false">IFERROR(SUMPRODUCT((IF('JULIO 2026'!Y6:Y110&lt;&gt;"",'JULIO 2026'!Y6:Y110,'JULIO 2026'!I6:I110)="SAN SALVADOR")*('JULIO 2026'!K6:K110="GASOLINA")*'JULIO 2026'!M6:M110),0)</f>
        <v>0</v>
      </c>
      <c r="F356" s="187" t="n">
        <f aca="false">IFERROR(SUMPRODUCT((IF('JULIO 2026'!Y6:Y110&lt;&gt;"",'JULIO 2026'!Y6:Y110,'JULIO 2026'!I6:I110)="SAN SALVADOR")*('JULIO 2026'!K6:K110="GASOLINA")*'JULIO 2026'!L6:L110*'JULIO 2026'!M6:M110),0)</f>
        <v>0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 t="s">
        <v>660</v>
      </c>
      <c r="B357" s="1" t="s">
        <v>5172</v>
      </c>
      <c r="C357" s="187" t="n">
        <f aca="false">IFERROR(SUMPRODUCT((IF('AGOSTO 2026'!Y6:Y110&lt;&gt;"",'AGOSTO 2026'!Y6:Y110,'AGOSTO 2026'!I6:I110)="SAN SALVADOR")*('AGOSTO 2026'!K6:K110="PETROLEO")*'AGOSTO 2026'!M6:M110),0)</f>
        <v>0</v>
      </c>
      <c r="D357" s="187" t="n">
        <f aca="false">IFERROR(SUMPRODUCT((IF('AGOSTO 2026'!Y6:Y110&lt;&gt;"",'AGOSTO 2026'!Y6:Y110,'AGOSTO 2026'!I6:I110)="SAN SALVADOR")*('AGOSTO 2026'!K6:K110="PETROLEO")*'AGOSTO 2026'!L6:L110*'AGOSTO 2026'!M6:M110),0)</f>
        <v>0</v>
      </c>
      <c r="E357" s="187" t="n">
        <f aca="false">IFERROR(SUMPRODUCT((IF('AGOSTO 2026'!Y6:Y110&lt;&gt;"",'AGOSTO 2026'!Y6:Y110,'AGOSTO 2026'!I6:I110)="SAN SALVADOR")*('AGOSTO 2026'!K6:K110="GASOLINA")*'AGOSTO 2026'!M6:M110),0)</f>
        <v>0</v>
      </c>
      <c r="F357" s="187" t="n">
        <f aca="false">IFERROR(SUMPRODUCT((IF('AGOSTO 2026'!Y6:Y110&lt;&gt;"",'AGOSTO 2026'!Y6:Y110,'AGOSTO 2026'!I6:I110)="SAN SALVADOR")*('AGOSTO 2026'!K6:K110="GASOLINA")*'AGOSTO 2026'!L6:L110*'AGOSTO 2026'!M6:M110),0)</f>
        <v>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 t="s">
        <v>660</v>
      </c>
      <c r="B358" s="1" t="s">
        <v>5173</v>
      </c>
      <c r="C358" s="187" t="n">
        <f aca="false">IFERROR(SUMPRODUCT((IF('SETIEMBRE 2026'!Y6:Y110&lt;&gt;"",'SETIEMBRE 2026'!Y6:Y110,'SETIEMBRE 2026'!I6:I110)="SAN SALVADOR")*('SETIEMBRE 2026'!K6:K110="PETROLEO")*'SETIEMBRE 2026'!M6:M110),0)</f>
        <v>0</v>
      </c>
      <c r="D358" s="187" t="n">
        <f aca="false">IFERROR(SUMPRODUCT((IF('SETIEMBRE 2026'!Y6:Y110&lt;&gt;"",'SETIEMBRE 2026'!Y6:Y110,'SETIEMBRE 2026'!I6:I110)="SAN SALVADOR")*('SETIEMBRE 2026'!K6:K110="PETROLEO")*'SETIEMBRE 2026'!L6:L110*'SETIEMBRE 2026'!M6:M110),0)</f>
        <v>0</v>
      </c>
      <c r="E358" s="187" t="n">
        <f aca="false">IFERROR(SUMPRODUCT((IF('SETIEMBRE 2026'!Y6:Y110&lt;&gt;"",'SETIEMBRE 2026'!Y6:Y110,'SETIEMBRE 2026'!I6:I110)="SAN SALVADOR")*('SETIEMBRE 2026'!K6:K110="GASOLINA")*'SETIEMBRE 2026'!M6:M110),0)</f>
        <v>0</v>
      </c>
      <c r="F358" s="187" t="n">
        <f aca="false">IFERROR(SUMPRODUCT((IF('SETIEMBRE 2026'!Y6:Y110&lt;&gt;"",'SETIEMBRE 2026'!Y6:Y110,'SETIEMBRE 2026'!I6:I110)="SAN SALVADOR")*('SETIEMBRE 2026'!K6:K110="GASOLINA")*'SETIEMBRE 2026'!L6:L110*'SETIEMBRE 2026'!M6:M110),0)</f>
        <v>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 t="s">
        <v>660</v>
      </c>
      <c r="B359" s="1" t="s">
        <v>5174</v>
      </c>
      <c r="C359" s="187" t="n">
        <f aca="false">IFERROR(SUMPRODUCT((IF('OCTUBRE 2026'!Y6:Y110&lt;&gt;"",'OCTUBRE 2026'!Y6:Y110,'OCTUBRE 2026'!I6:I110)="SAN SALVADOR")*('OCTUBRE 2026'!K6:K110="PETROLEO")*'OCTUBRE 2026'!M6:M110),0)</f>
        <v>0</v>
      </c>
      <c r="D359" s="187" t="n">
        <f aca="false">IFERROR(SUMPRODUCT((IF('OCTUBRE 2026'!Y6:Y110&lt;&gt;"",'OCTUBRE 2026'!Y6:Y110,'OCTUBRE 2026'!I6:I110)="SAN SALVADOR")*('OCTUBRE 2026'!K6:K110="PETROLEO")*'OCTUBRE 2026'!L6:L110*'OCTUBRE 2026'!M6:M110),0)</f>
        <v>0</v>
      </c>
      <c r="E359" s="187" t="n">
        <f aca="false">IFERROR(SUMPRODUCT((IF('OCTUBRE 2026'!Y6:Y110&lt;&gt;"",'OCTUBRE 2026'!Y6:Y110,'OCTUBRE 2026'!I6:I110)="SAN SALVADOR")*('OCTUBRE 2026'!K6:K110="GASOLINA")*'OCTUBRE 2026'!M6:M110),0)</f>
        <v>0</v>
      </c>
      <c r="F359" s="187" t="n">
        <f aca="false">IFERROR(SUMPRODUCT((IF('OCTUBRE 2026'!Y6:Y110&lt;&gt;"",'OCTUBRE 2026'!Y6:Y110,'OCTUBRE 2026'!I6:I110)="SAN SALVADOR")*('OCTUBRE 2026'!K6:K110="GASOLINA")*'OCTUBRE 2026'!L6:L110*'OCTUBRE 2026'!M6:M110),0)</f>
        <v>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 t="s">
        <v>660</v>
      </c>
      <c r="B360" s="1" t="s">
        <v>5175</v>
      </c>
      <c r="C360" s="187" t="n">
        <f aca="false">IFERROR(SUMPRODUCT((IF('NOVIEMBRE 2026'!Y6:Y110&lt;&gt;"",'NOVIEMBRE 2026'!Y6:Y110,'NOVIEMBRE 2026'!I6:I110)="SAN SALVADOR")*('NOVIEMBRE 2026'!K6:K110="PETROLEO")*'NOVIEMBRE 2026'!M6:M110),0)</f>
        <v>0</v>
      </c>
      <c r="D360" s="187" t="n">
        <f aca="false">IFERROR(SUMPRODUCT((IF('NOVIEMBRE 2026'!Y6:Y110&lt;&gt;"",'NOVIEMBRE 2026'!Y6:Y110,'NOVIEMBRE 2026'!I6:I110)="SAN SALVADOR")*('NOVIEMBRE 2026'!K6:K110="PETROLEO")*'NOVIEMBRE 2026'!L6:L110*'NOVIEMBRE 2026'!M6:M110),0)</f>
        <v>0</v>
      </c>
      <c r="E360" s="187" t="n">
        <f aca="false">IFERROR(SUMPRODUCT((IF('NOVIEMBRE 2026'!Y6:Y110&lt;&gt;"",'NOVIEMBRE 2026'!Y6:Y110,'NOVIEMBRE 2026'!I6:I110)="SAN SALVADOR")*('NOVIEMBRE 2026'!K6:K110="GASOLINA")*'NOVIEMBRE 2026'!M6:M110),0)</f>
        <v>0</v>
      </c>
      <c r="F360" s="187" t="n">
        <f aca="false">IFERROR(SUMPRODUCT((IF('NOVIEMBRE 2026'!Y6:Y110&lt;&gt;"",'NOVIEMBRE 2026'!Y6:Y110,'NOVIEMBRE 2026'!I6:I110)="SAN SALVADOR")*('NOVIEMBRE 2026'!K6:K110="GASOLINA")*'NOVIEMBRE 2026'!L6:L110*'NOVIEMBRE 2026'!M6:M110),0)</f>
        <v>0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 t="s">
        <v>660</v>
      </c>
      <c r="B361" s="1" t="s">
        <v>5176</v>
      </c>
      <c r="C361" s="187" t="n">
        <f aca="false">IFERROR(SUMPRODUCT((IF('DICIEMBRE 2026'!Y6:Y110&lt;&gt;"",'DICIEMBRE 2026'!Y6:Y110,'DICIEMBRE 2026'!I6:I110)="SAN SALVADOR")*('DICIEMBRE 2026'!K6:K110="PETROLEO")*'DICIEMBRE 2026'!M6:M110),0)</f>
        <v>0</v>
      </c>
      <c r="D361" s="187" t="n">
        <f aca="false">IFERROR(SUMPRODUCT((IF('DICIEMBRE 2026'!Y6:Y110&lt;&gt;"",'DICIEMBRE 2026'!Y6:Y110,'DICIEMBRE 2026'!I6:I110)="SAN SALVADOR")*('DICIEMBRE 2026'!K6:K110="PETROLEO")*'DICIEMBRE 2026'!L6:L110*'DICIEMBRE 2026'!M6:M110),0)</f>
        <v>0</v>
      </c>
      <c r="E361" s="187" t="n">
        <f aca="false">IFERROR(SUMPRODUCT((IF('DICIEMBRE 2026'!Y6:Y110&lt;&gt;"",'DICIEMBRE 2026'!Y6:Y110,'DICIEMBRE 2026'!I6:I110)="SAN SALVADOR")*('DICIEMBRE 2026'!K6:K110="GASOLINA")*'DICIEMBRE 2026'!M6:M110),0)</f>
        <v>0</v>
      </c>
      <c r="F361" s="187" t="n">
        <f aca="false">IFERROR(SUMPRODUCT((IF('DICIEMBRE 2026'!Y6:Y110&lt;&gt;"",'DICIEMBRE 2026'!Y6:Y110,'DICIEMBRE 2026'!I6:I110)="SAN SALVADOR")*('DICIEMBRE 2026'!K6:K110="GASOLINA")*'DICIEMBRE 2026'!L6:L110*'DICIEMBRE 2026'!M6:M110),0)</f>
        <v>0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 t="s">
        <v>646</v>
      </c>
      <c r="B362" s="1" t="s">
        <v>5165</v>
      </c>
      <c r="C362" s="187" t="n">
        <f aca="false">IFERROR(SUMPRODUCT((IF('ENERO 2026'!Y6:Y119&lt;&gt;"",'ENERO 2026'!Y6:Y119,'ENERO 2026'!I6:I119)="SAN JUAN DE OCUMAL")*('ENERO 2026'!K6:K119="PETROLEO")*'ENERO 2026'!M6:M119),0)</f>
        <v>0</v>
      </c>
      <c r="D362" s="187" t="n">
        <f aca="false">IFERROR(SUMPRODUCT((IF('ENERO 2026'!Y6:Y119&lt;&gt;"",'ENERO 2026'!Y6:Y119,'ENERO 2026'!I6:I119)="SAN JUAN DE OCUMAL")*('ENERO 2026'!K6:K119="PETROLEO")*'ENERO 2026'!L6:L119*'ENERO 2026'!M6:M119),0)</f>
        <v>0</v>
      </c>
      <c r="E362" s="187" t="n">
        <f aca="false">IFERROR(SUMPRODUCT((IF('ENERO 2026'!Y6:Y119&lt;&gt;"",'ENERO 2026'!Y6:Y119,'ENERO 2026'!I6:I119)="SAN JUAN DE OCUMAL")*('ENERO 2026'!K6:K119="GASOLINA")*'ENERO 2026'!M6:M119),0)</f>
        <v>0</v>
      </c>
      <c r="F362" s="187" t="n">
        <f aca="false">IFERROR(SUMPRODUCT((IF('ENERO 2026'!Y6:Y119&lt;&gt;"",'ENERO 2026'!Y6:Y119,'ENERO 2026'!I6:I119)="SAN JUAN DE OCUMAL")*('ENERO 2026'!K6:K119="GASOLINA")*'ENERO 2026'!L6:L119*'ENERO 2026'!M6:M119),0)</f>
        <v>0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 t="s">
        <v>646</v>
      </c>
      <c r="B363" s="1" t="s">
        <v>5166</v>
      </c>
      <c r="C363" s="187" t="n">
        <f aca="false">IFERROR(SUMPRODUCT((IF('FEBRERO 2026'!Y6:Y124&lt;&gt;"",'FEBRERO 2026'!Y6:Y124,'FEBRERO 2026'!I6:I124)="SAN JUAN DE OCUMAL")*('FEBRERO 2026'!K6:K124="PETROLEO")*'FEBRERO 2026'!M6:M124),0)</f>
        <v>20</v>
      </c>
      <c r="D363" s="187" t="n">
        <f aca="false">IFERROR(SUMPRODUCT((IF('FEBRERO 2026'!Y6:Y124&lt;&gt;"",'FEBRERO 2026'!Y6:Y124,'FEBRERO 2026'!I6:I124)="SAN JUAN DE OCUMAL")*('FEBRERO 2026'!K6:K124="PETROLEO")*'FEBRERO 2026'!L6:L124*'FEBRERO 2026'!M6:M124),0)</f>
        <v>363.6</v>
      </c>
      <c r="E363" s="187" t="n">
        <f aca="false">IFERROR(SUMPRODUCT((IF('FEBRERO 2026'!Y6:Y124&lt;&gt;"",'FEBRERO 2026'!Y6:Y124,'FEBRERO 2026'!I6:I124)="SAN JUAN DE OCUMAL")*('FEBRERO 2026'!K6:K124="GASOLINA")*'FEBRERO 2026'!M6:M124),0)</f>
        <v>0</v>
      </c>
      <c r="F363" s="187" t="n">
        <f aca="false">IFERROR(SUMPRODUCT((IF('FEBRERO 2026'!Y6:Y124&lt;&gt;"",'FEBRERO 2026'!Y6:Y124,'FEBRERO 2026'!I6:I124)="SAN JUAN DE OCUMAL")*('FEBRERO 2026'!K6:K124="GASOLINA")*'FEBRERO 2026'!L6:L124*'FEBRERO 2026'!M6:M124),0)</f>
        <v>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 t="s">
        <v>646</v>
      </c>
      <c r="B364" s="1" t="s">
        <v>5167</v>
      </c>
      <c r="C364" s="187" t="n">
        <f aca="false">IFERROR(SUMPRODUCT((IF('MARZO 2026'!Y6:Y119&lt;&gt;"",'MARZO 2026'!Y6:Y119,'MARZO 2026'!I6:I119)="SAN JUAN DE OCUMAL")*('MARZO 2026'!K6:K119="PETROLEO")*'MARZO 2026'!M6:M119),0)</f>
        <v>0</v>
      </c>
      <c r="D364" s="187" t="n">
        <f aca="false">IFERROR(SUMPRODUCT((IF('MARZO 2026'!Y6:Y119&lt;&gt;"",'MARZO 2026'!Y6:Y119,'MARZO 2026'!I6:I119)="SAN JUAN DE OCUMAL")*('MARZO 2026'!K6:K119="PETROLEO")*'MARZO 2026'!L6:L119*'MARZO 2026'!M6:M119),0)</f>
        <v>0</v>
      </c>
      <c r="E364" s="187" t="n">
        <f aca="false">IFERROR(SUMPRODUCT((IF('MARZO 2026'!Y6:Y119&lt;&gt;"",'MARZO 2026'!Y6:Y119,'MARZO 2026'!I6:I119)="SAN JUAN DE OCUMAL")*('MARZO 2026'!K6:K119="GASOLINA")*'MARZO 2026'!M6:M119),0)</f>
        <v>0</v>
      </c>
      <c r="F364" s="187" t="n">
        <f aca="false">IFERROR(SUMPRODUCT((IF('MARZO 2026'!Y6:Y119&lt;&gt;"",'MARZO 2026'!Y6:Y119,'MARZO 2026'!I6:I119)="SAN JUAN DE OCUMAL")*('MARZO 2026'!K6:K119="GASOLINA")*'MARZO 2026'!L6:L119*'MARZO 2026'!M6:M119),0)</f>
        <v>0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 t="s">
        <v>646</v>
      </c>
      <c r="B365" s="1" t="s">
        <v>5168</v>
      </c>
      <c r="C365" s="187" t="n">
        <f aca="false">IFERROR(SUMPRODUCT((IF('ABRIL 2026'!Y6:Y119&lt;&gt;"",'ABRIL 2026'!Y6:Y119,'ABRIL 2026'!I6:I119)="SAN JUAN DE OCUMAL")*('ABRIL 2026'!K6:K119="PETROLEO")*'ABRIL 2026'!M6:M119),0)</f>
        <v>0</v>
      </c>
      <c r="D365" s="187" t="n">
        <f aca="false">IFERROR(SUMPRODUCT((IF('ABRIL 2026'!Y6:Y119&lt;&gt;"",'ABRIL 2026'!Y6:Y119,'ABRIL 2026'!I6:I119)="SAN JUAN DE OCUMAL")*('ABRIL 2026'!K6:K119="PETROLEO")*'ABRIL 2026'!L6:L119*'ABRIL 2026'!M6:M119),0)</f>
        <v>0</v>
      </c>
      <c r="E365" s="187" t="n">
        <f aca="false">IFERROR(SUMPRODUCT((IF('ABRIL 2026'!Y6:Y119&lt;&gt;"",'ABRIL 2026'!Y6:Y119,'ABRIL 2026'!I6:I119)="SAN JUAN DE OCUMAL")*('ABRIL 2026'!K6:K119="GASOLINA")*'ABRIL 2026'!M6:M119),0)</f>
        <v>0</v>
      </c>
      <c r="F365" s="187" t="n">
        <f aca="false">IFERROR(SUMPRODUCT((IF('ABRIL 2026'!Y6:Y119&lt;&gt;"",'ABRIL 2026'!Y6:Y119,'ABRIL 2026'!I6:I119)="SAN JUAN DE OCUMAL")*('ABRIL 2026'!K6:K119="GASOLINA")*'ABRIL 2026'!L6:L119*'ABRIL 2026'!M6:M119),0)</f>
        <v>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 t="s">
        <v>646</v>
      </c>
      <c r="B366" s="1" t="s">
        <v>5169</v>
      </c>
      <c r="C366" s="187" t="n">
        <f aca="false">IFERROR(SUMPRODUCT((IF('MAYO 2026'!Y6:Y110&lt;&gt;"",'MAYO 2026'!Y6:Y110,'MAYO 2026'!I6:I110)="SAN JUAN DE OCUMAL")*('MAYO 2026'!K6:K110="PETROLEO")*'MAYO 2026'!M6:M110),0)</f>
        <v>0</v>
      </c>
      <c r="D366" s="187" t="n">
        <f aca="false">IFERROR(SUMPRODUCT((IF('MAYO 2026'!Y6:Y110&lt;&gt;"",'MAYO 2026'!Y6:Y110,'MAYO 2026'!I6:I110)="SAN JUAN DE OCUMAL")*('MAYO 2026'!K6:K110="PETROLEO")*'MAYO 2026'!L6:L110*'MAYO 2026'!M6:M110),0)</f>
        <v>0</v>
      </c>
      <c r="E366" s="187" t="n">
        <f aca="false">IFERROR(SUMPRODUCT((IF('MAYO 2026'!Y6:Y110&lt;&gt;"",'MAYO 2026'!Y6:Y110,'MAYO 2026'!I6:I110)="SAN JUAN DE OCUMAL")*('MAYO 2026'!K6:K110="GASOLINA")*'MAYO 2026'!M6:M110),0)</f>
        <v>0</v>
      </c>
      <c r="F366" s="187" t="n">
        <f aca="false">IFERROR(SUMPRODUCT((IF('MAYO 2026'!Y6:Y110&lt;&gt;"",'MAYO 2026'!Y6:Y110,'MAYO 2026'!I6:I110)="SAN JUAN DE OCUMAL")*('MAYO 2026'!K6:K110="GASOLINA")*'MAYO 2026'!L6:L110*'MAYO 2026'!M6:M110),0)</f>
        <v>0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 t="s">
        <v>646</v>
      </c>
      <c r="B367" s="1" t="s">
        <v>5170</v>
      </c>
      <c r="C367" s="187" t="n">
        <f aca="false">IFERROR(SUMPRODUCT((IF('JUNIO 2026'!Y6:Y110&lt;&gt;"",'JUNIO 2026'!Y6:Y110,'JUNIO 2026'!I6:I110)="SAN JUAN DE OCUMAL")*('JUNIO 2026'!K6:K110="PETROLEO")*'JUNIO 2026'!M6:M110),0)</f>
        <v>0</v>
      </c>
      <c r="D367" s="187" t="n">
        <f aca="false">IFERROR(SUMPRODUCT((IF('JUNIO 2026'!Y6:Y110&lt;&gt;"",'JUNIO 2026'!Y6:Y110,'JUNIO 2026'!I6:I110)="SAN JUAN DE OCUMAL")*('JUNIO 2026'!K6:K110="PETROLEO")*'JUNIO 2026'!L6:L110*'JUNIO 2026'!M6:M110),0)</f>
        <v>0</v>
      </c>
      <c r="E367" s="187" t="n">
        <f aca="false">IFERROR(SUMPRODUCT((IF('JUNIO 2026'!Y6:Y110&lt;&gt;"",'JUNIO 2026'!Y6:Y110,'JUNIO 2026'!I6:I110)="SAN JUAN DE OCUMAL")*('JUNIO 2026'!K6:K110="GASOLINA")*'JUNIO 2026'!M6:M110),0)</f>
        <v>0</v>
      </c>
      <c r="F367" s="187" t="n">
        <f aca="false">IFERROR(SUMPRODUCT((IF('JUNIO 2026'!Y6:Y110&lt;&gt;"",'JUNIO 2026'!Y6:Y110,'JUNIO 2026'!I6:I110)="SAN JUAN DE OCUMAL")*('JUNIO 2026'!K6:K110="GASOLINA")*'JUNIO 2026'!L6:L110*'JUNIO 2026'!M6:M110),0)</f>
        <v>0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 t="s">
        <v>646</v>
      </c>
      <c r="B368" s="1" t="s">
        <v>5171</v>
      </c>
      <c r="C368" s="187" t="n">
        <f aca="false">IFERROR(SUMPRODUCT((IF('JULIO 2026'!Y6:Y110&lt;&gt;"",'JULIO 2026'!Y6:Y110,'JULIO 2026'!I6:I110)="SAN JUAN DE OCUMAL")*('JULIO 2026'!K6:K110="PETROLEO")*'JULIO 2026'!M6:M110),0)</f>
        <v>0</v>
      </c>
      <c r="D368" s="187" t="n">
        <f aca="false">IFERROR(SUMPRODUCT((IF('JULIO 2026'!Y6:Y110&lt;&gt;"",'JULIO 2026'!Y6:Y110,'JULIO 2026'!I6:I110)="SAN JUAN DE OCUMAL")*('JULIO 2026'!K6:K110="PETROLEO")*'JULIO 2026'!L6:L110*'JULIO 2026'!M6:M110),0)</f>
        <v>0</v>
      </c>
      <c r="E368" s="187" t="n">
        <f aca="false">IFERROR(SUMPRODUCT((IF('JULIO 2026'!Y6:Y110&lt;&gt;"",'JULIO 2026'!Y6:Y110,'JULIO 2026'!I6:I110)="SAN JUAN DE OCUMAL")*('JULIO 2026'!K6:K110="GASOLINA")*'JULIO 2026'!M6:M110),0)</f>
        <v>0</v>
      </c>
      <c r="F368" s="187" t="n">
        <f aca="false">IFERROR(SUMPRODUCT((IF('JULIO 2026'!Y6:Y110&lt;&gt;"",'JULIO 2026'!Y6:Y110,'JULIO 2026'!I6:I110)="SAN JUAN DE OCUMAL")*('JULIO 2026'!K6:K110="GASOLINA")*'JULIO 2026'!L6:L110*'JULIO 2026'!M6:M110),0)</f>
        <v>0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 t="s">
        <v>646</v>
      </c>
      <c r="B369" s="1" t="s">
        <v>5172</v>
      </c>
      <c r="C369" s="187" t="n">
        <f aca="false">IFERROR(SUMPRODUCT((IF('AGOSTO 2026'!Y6:Y110&lt;&gt;"",'AGOSTO 2026'!Y6:Y110,'AGOSTO 2026'!I6:I110)="SAN JUAN DE OCUMAL")*('AGOSTO 2026'!K6:K110="PETROLEO")*'AGOSTO 2026'!M6:M110),0)</f>
        <v>0</v>
      </c>
      <c r="D369" s="187" t="n">
        <f aca="false">IFERROR(SUMPRODUCT((IF('AGOSTO 2026'!Y6:Y110&lt;&gt;"",'AGOSTO 2026'!Y6:Y110,'AGOSTO 2026'!I6:I110)="SAN JUAN DE OCUMAL")*('AGOSTO 2026'!K6:K110="PETROLEO")*'AGOSTO 2026'!L6:L110*'AGOSTO 2026'!M6:M110),0)</f>
        <v>0</v>
      </c>
      <c r="E369" s="187" t="n">
        <f aca="false">IFERROR(SUMPRODUCT((IF('AGOSTO 2026'!Y6:Y110&lt;&gt;"",'AGOSTO 2026'!Y6:Y110,'AGOSTO 2026'!I6:I110)="SAN JUAN DE OCUMAL")*('AGOSTO 2026'!K6:K110="GASOLINA")*'AGOSTO 2026'!M6:M110),0)</f>
        <v>0</v>
      </c>
      <c r="F369" s="187" t="n">
        <f aca="false">IFERROR(SUMPRODUCT((IF('AGOSTO 2026'!Y6:Y110&lt;&gt;"",'AGOSTO 2026'!Y6:Y110,'AGOSTO 2026'!I6:I110)="SAN JUAN DE OCUMAL")*('AGOSTO 2026'!K6:K110="GASOLINA")*'AGOSTO 2026'!L6:L110*'AGOSTO 2026'!M6:M110),0)</f>
        <v>0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 t="s">
        <v>646</v>
      </c>
      <c r="B370" s="1" t="s">
        <v>5173</v>
      </c>
      <c r="C370" s="187" t="n">
        <f aca="false">IFERROR(SUMPRODUCT((IF('SETIEMBRE 2026'!Y6:Y110&lt;&gt;"",'SETIEMBRE 2026'!Y6:Y110,'SETIEMBRE 2026'!I6:I110)="SAN JUAN DE OCUMAL")*('SETIEMBRE 2026'!K6:K110="PETROLEO")*'SETIEMBRE 2026'!M6:M110),0)</f>
        <v>0</v>
      </c>
      <c r="D370" s="187" t="n">
        <f aca="false">IFERROR(SUMPRODUCT((IF('SETIEMBRE 2026'!Y6:Y110&lt;&gt;"",'SETIEMBRE 2026'!Y6:Y110,'SETIEMBRE 2026'!I6:I110)="SAN JUAN DE OCUMAL")*('SETIEMBRE 2026'!K6:K110="PETROLEO")*'SETIEMBRE 2026'!L6:L110*'SETIEMBRE 2026'!M6:M110),0)</f>
        <v>0</v>
      </c>
      <c r="E370" s="187" t="n">
        <f aca="false">IFERROR(SUMPRODUCT((IF('SETIEMBRE 2026'!Y6:Y110&lt;&gt;"",'SETIEMBRE 2026'!Y6:Y110,'SETIEMBRE 2026'!I6:I110)="SAN JUAN DE OCUMAL")*('SETIEMBRE 2026'!K6:K110="GASOLINA")*'SETIEMBRE 2026'!M6:M110),0)</f>
        <v>0</v>
      </c>
      <c r="F370" s="187" t="n">
        <f aca="false">IFERROR(SUMPRODUCT((IF('SETIEMBRE 2026'!Y6:Y110&lt;&gt;"",'SETIEMBRE 2026'!Y6:Y110,'SETIEMBRE 2026'!I6:I110)="SAN JUAN DE OCUMAL")*('SETIEMBRE 2026'!K6:K110="GASOLINA")*'SETIEMBRE 2026'!L6:L110*'SETIEMBRE 2026'!M6:M110),0)</f>
        <v>0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 t="s">
        <v>646</v>
      </c>
      <c r="B371" s="1" t="s">
        <v>5174</v>
      </c>
      <c r="C371" s="187" t="n">
        <f aca="false">IFERROR(SUMPRODUCT((IF('OCTUBRE 2026'!Y6:Y110&lt;&gt;"",'OCTUBRE 2026'!Y6:Y110,'OCTUBRE 2026'!I6:I110)="SAN JUAN DE OCUMAL")*('OCTUBRE 2026'!K6:K110="PETROLEO")*'OCTUBRE 2026'!M6:M110),0)</f>
        <v>0</v>
      </c>
      <c r="D371" s="187" t="n">
        <f aca="false">IFERROR(SUMPRODUCT((IF('OCTUBRE 2026'!Y6:Y110&lt;&gt;"",'OCTUBRE 2026'!Y6:Y110,'OCTUBRE 2026'!I6:I110)="SAN JUAN DE OCUMAL")*('OCTUBRE 2026'!K6:K110="PETROLEO")*'OCTUBRE 2026'!L6:L110*'OCTUBRE 2026'!M6:M110),0)</f>
        <v>0</v>
      </c>
      <c r="E371" s="187" t="n">
        <f aca="false">IFERROR(SUMPRODUCT((IF('OCTUBRE 2026'!Y6:Y110&lt;&gt;"",'OCTUBRE 2026'!Y6:Y110,'OCTUBRE 2026'!I6:I110)="SAN JUAN DE OCUMAL")*('OCTUBRE 2026'!K6:K110="GASOLINA")*'OCTUBRE 2026'!M6:M110),0)</f>
        <v>0</v>
      </c>
      <c r="F371" s="187" t="n">
        <f aca="false">IFERROR(SUMPRODUCT((IF('OCTUBRE 2026'!Y6:Y110&lt;&gt;"",'OCTUBRE 2026'!Y6:Y110,'OCTUBRE 2026'!I6:I110)="SAN JUAN DE OCUMAL")*('OCTUBRE 2026'!K6:K110="GASOLINA")*'OCTUBRE 2026'!L6:L110*'OCTUBRE 2026'!M6:M110),0)</f>
        <v>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 t="s">
        <v>646</v>
      </c>
      <c r="B372" s="1" t="s">
        <v>5175</v>
      </c>
      <c r="C372" s="187" t="n">
        <f aca="false">IFERROR(SUMPRODUCT((IF('NOVIEMBRE 2026'!Y6:Y110&lt;&gt;"",'NOVIEMBRE 2026'!Y6:Y110,'NOVIEMBRE 2026'!I6:I110)="SAN JUAN DE OCUMAL")*('NOVIEMBRE 2026'!K6:K110="PETROLEO")*'NOVIEMBRE 2026'!M6:M110),0)</f>
        <v>0</v>
      </c>
      <c r="D372" s="187" t="n">
        <f aca="false">IFERROR(SUMPRODUCT((IF('NOVIEMBRE 2026'!Y6:Y110&lt;&gt;"",'NOVIEMBRE 2026'!Y6:Y110,'NOVIEMBRE 2026'!I6:I110)="SAN JUAN DE OCUMAL")*('NOVIEMBRE 2026'!K6:K110="PETROLEO")*'NOVIEMBRE 2026'!L6:L110*'NOVIEMBRE 2026'!M6:M110),0)</f>
        <v>0</v>
      </c>
      <c r="E372" s="187" t="n">
        <f aca="false">IFERROR(SUMPRODUCT((IF('NOVIEMBRE 2026'!Y6:Y110&lt;&gt;"",'NOVIEMBRE 2026'!Y6:Y110,'NOVIEMBRE 2026'!I6:I110)="SAN JUAN DE OCUMAL")*('NOVIEMBRE 2026'!K6:K110="GASOLINA")*'NOVIEMBRE 2026'!M6:M110),0)</f>
        <v>0</v>
      </c>
      <c r="F372" s="187" t="n">
        <f aca="false">IFERROR(SUMPRODUCT((IF('NOVIEMBRE 2026'!Y6:Y110&lt;&gt;"",'NOVIEMBRE 2026'!Y6:Y110,'NOVIEMBRE 2026'!I6:I110)="SAN JUAN DE OCUMAL")*('NOVIEMBRE 2026'!K6:K110="GASOLINA")*'NOVIEMBRE 2026'!L6:L110*'NOVIEMBRE 2026'!M6:M110),0)</f>
        <v>0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 t="s">
        <v>646</v>
      </c>
      <c r="B373" s="1" t="s">
        <v>5176</v>
      </c>
      <c r="C373" s="187" t="n">
        <f aca="false">IFERROR(SUMPRODUCT((IF('DICIEMBRE 2026'!Y6:Y110&lt;&gt;"",'DICIEMBRE 2026'!Y6:Y110,'DICIEMBRE 2026'!I6:I110)="SAN JUAN DE OCUMAL")*('DICIEMBRE 2026'!K6:K110="PETROLEO")*'DICIEMBRE 2026'!M6:M110),0)</f>
        <v>0</v>
      </c>
      <c r="D373" s="187" t="n">
        <f aca="false">IFERROR(SUMPRODUCT((IF('DICIEMBRE 2026'!Y6:Y110&lt;&gt;"",'DICIEMBRE 2026'!Y6:Y110,'DICIEMBRE 2026'!I6:I110)="SAN JUAN DE OCUMAL")*('DICIEMBRE 2026'!K6:K110="PETROLEO")*'DICIEMBRE 2026'!L6:L110*'DICIEMBRE 2026'!M6:M110),0)</f>
        <v>0</v>
      </c>
      <c r="E373" s="187" t="n">
        <f aca="false">IFERROR(SUMPRODUCT((IF('DICIEMBRE 2026'!Y6:Y110&lt;&gt;"",'DICIEMBRE 2026'!Y6:Y110,'DICIEMBRE 2026'!I6:I110)="SAN JUAN DE OCUMAL")*('DICIEMBRE 2026'!K6:K110="GASOLINA")*'DICIEMBRE 2026'!M6:M110),0)</f>
        <v>0</v>
      </c>
      <c r="F373" s="187" t="n">
        <f aca="false">IFERROR(SUMPRODUCT((IF('DICIEMBRE 2026'!Y6:Y110&lt;&gt;"",'DICIEMBRE 2026'!Y6:Y110,'DICIEMBRE 2026'!I6:I110)="SAN JUAN DE OCUMAL")*('DICIEMBRE 2026'!K6:K110="GASOLINA")*'DICIEMBRE 2026'!L6:L110*'DICIEMBRE 2026'!M6:M110),0)</f>
        <v>0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 t="s">
        <v>716</v>
      </c>
      <c r="B374" s="1" t="s">
        <v>5165</v>
      </c>
      <c r="C374" s="187" t="n">
        <f aca="false">IFERROR(SUMPRODUCT((IF('ENERO 2026'!Y6:Y119&lt;&gt;"",'ENERO 2026'!Y6:Y119,'ENERO 2026'!I6:I119)="YAULICACHI")*('ENERO 2026'!K6:K119="PETROLEO")*'ENERO 2026'!M6:M119),0)</f>
        <v>0</v>
      </c>
      <c r="D374" s="187" t="n">
        <f aca="false">IFERROR(SUMPRODUCT((IF('ENERO 2026'!Y6:Y119&lt;&gt;"",'ENERO 2026'!Y6:Y119,'ENERO 2026'!I6:I119)="YAULICACHI")*('ENERO 2026'!K6:K119="PETROLEO")*'ENERO 2026'!L6:L119*'ENERO 2026'!M6:M119),0)</f>
        <v>0</v>
      </c>
      <c r="E374" s="187" t="n">
        <f aca="false">IFERROR(SUMPRODUCT((IF('ENERO 2026'!Y6:Y119&lt;&gt;"",'ENERO 2026'!Y6:Y119,'ENERO 2026'!I6:I119)="YAULICACHI")*('ENERO 2026'!K6:K119="GASOLINA")*'ENERO 2026'!M6:M119),0)</f>
        <v>0</v>
      </c>
      <c r="F374" s="187" t="n">
        <f aca="false">IFERROR(SUMPRODUCT((IF('ENERO 2026'!Y6:Y119&lt;&gt;"",'ENERO 2026'!Y6:Y119,'ENERO 2026'!I6:I119)="YAULICACHI")*('ENERO 2026'!K6:K119="GASOLINA")*'ENERO 2026'!L6:L119*'ENERO 2026'!M6:M119),0)</f>
        <v>0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 t="s">
        <v>716</v>
      </c>
      <c r="B375" s="1" t="s">
        <v>5166</v>
      </c>
      <c r="C375" s="187" t="n">
        <f aca="false">IFERROR(SUMPRODUCT((IF('FEBRERO 2026'!Y6:Y124&lt;&gt;"",'FEBRERO 2026'!Y6:Y124,'FEBRERO 2026'!I6:I124)="YAULICACHI")*('FEBRERO 2026'!K6:K124="PETROLEO")*'FEBRERO 2026'!M6:M124),0)</f>
        <v>20</v>
      </c>
      <c r="D375" s="187" t="n">
        <f aca="false">IFERROR(SUMPRODUCT((IF('FEBRERO 2026'!Y6:Y124&lt;&gt;"",'FEBRERO 2026'!Y6:Y124,'FEBRERO 2026'!I6:I124)="YAULICACHI")*('FEBRERO 2026'!K6:K124="PETROLEO")*'FEBRERO 2026'!L6:L124*'FEBRERO 2026'!M6:M124),0)</f>
        <v>363.6</v>
      </c>
      <c r="E375" s="187" t="n">
        <f aca="false">IFERROR(SUMPRODUCT((IF('FEBRERO 2026'!Y6:Y124&lt;&gt;"",'FEBRERO 2026'!Y6:Y124,'FEBRERO 2026'!I6:I124)="YAULICACHI")*('FEBRERO 2026'!K6:K124="GASOLINA")*'FEBRERO 2026'!M6:M124),0)</f>
        <v>0</v>
      </c>
      <c r="F375" s="187" t="n">
        <f aca="false">IFERROR(SUMPRODUCT((IF('FEBRERO 2026'!Y6:Y124&lt;&gt;"",'FEBRERO 2026'!Y6:Y124,'FEBRERO 2026'!I6:I124)="YAULICACHI")*('FEBRERO 2026'!K6:K124="GASOLINA")*'FEBRERO 2026'!L6:L124*'FEBRERO 2026'!M6:M124),0)</f>
        <v>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 t="s">
        <v>716</v>
      </c>
      <c r="B376" s="1" t="s">
        <v>5167</v>
      </c>
      <c r="C376" s="187" t="n">
        <f aca="false">IFERROR(SUMPRODUCT((IF('MARZO 2026'!Y6:Y119&lt;&gt;"",'MARZO 2026'!Y6:Y119,'MARZO 2026'!I6:I119)="YAULICACHI")*('MARZO 2026'!K6:K119="PETROLEO")*'MARZO 2026'!M6:M119),0)</f>
        <v>0</v>
      </c>
      <c r="D376" s="187" t="n">
        <f aca="false">IFERROR(SUMPRODUCT((IF('MARZO 2026'!Y6:Y119&lt;&gt;"",'MARZO 2026'!Y6:Y119,'MARZO 2026'!I6:I119)="YAULICACHI")*('MARZO 2026'!K6:K119="PETROLEO")*'MARZO 2026'!L6:L119*'MARZO 2026'!M6:M119),0)</f>
        <v>0</v>
      </c>
      <c r="E376" s="187" t="n">
        <f aca="false">IFERROR(SUMPRODUCT((IF('MARZO 2026'!Y6:Y119&lt;&gt;"",'MARZO 2026'!Y6:Y119,'MARZO 2026'!I6:I119)="YAULICACHI")*('MARZO 2026'!K6:K119="GASOLINA")*'MARZO 2026'!M6:M119),0)</f>
        <v>0</v>
      </c>
      <c r="F376" s="187" t="n">
        <f aca="false">IFERROR(SUMPRODUCT((IF('MARZO 2026'!Y6:Y119&lt;&gt;"",'MARZO 2026'!Y6:Y119,'MARZO 2026'!I6:I119)="YAULICACHI")*('MARZO 2026'!K6:K119="GASOLINA")*'MARZO 2026'!L6:L119*'MARZO 2026'!M6:M119),0)</f>
        <v>0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 t="s">
        <v>716</v>
      </c>
      <c r="B377" s="1" t="s">
        <v>5168</v>
      </c>
      <c r="C377" s="187" t="n">
        <f aca="false">IFERROR(SUMPRODUCT((IF('ABRIL 2026'!Y6:Y119&lt;&gt;"",'ABRIL 2026'!Y6:Y119,'ABRIL 2026'!I6:I119)="YAULICACHI")*('ABRIL 2026'!K6:K119="PETROLEO")*'ABRIL 2026'!M6:M119),0)</f>
        <v>0</v>
      </c>
      <c r="D377" s="187" t="n">
        <f aca="false">IFERROR(SUMPRODUCT((IF('ABRIL 2026'!Y6:Y119&lt;&gt;"",'ABRIL 2026'!Y6:Y119,'ABRIL 2026'!I6:I119)="YAULICACHI")*('ABRIL 2026'!K6:K119="PETROLEO")*'ABRIL 2026'!L6:L119*'ABRIL 2026'!M6:M119),0)</f>
        <v>0</v>
      </c>
      <c r="E377" s="187" t="n">
        <f aca="false">IFERROR(SUMPRODUCT((IF('ABRIL 2026'!Y6:Y119&lt;&gt;"",'ABRIL 2026'!Y6:Y119,'ABRIL 2026'!I6:I119)="YAULICACHI")*('ABRIL 2026'!K6:K119="GASOLINA")*'ABRIL 2026'!M6:M119),0)</f>
        <v>0</v>
      </c>
      <c r="F377" s="187" t="n">
        <f aca="false">IFERROR(SUMPRODUCT((IF('ABRIL 2026'!Y6:Y119&lt;&gt;"",'ABRIL 2026'!Y6:Y119,'ABRIL 2026'!I6:I119)="YAULICACHI")*('ABRIL 2026'!K6:K119="GASOLINA")*'ABRIL 2026'!L6:L119*'ABRIL 2026'!M6:M119),0)</f>
        <v>0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 t="s">
        <v>716</v>
      </c>
      <c r="B378" s="1" t="s">
        <v>5169</v>
      </c>
      <c r="C378" s="187" t="n">
        <f aca="false">IFERROR(SUMPRODUCT((IF('MAYO 2026'!Y6:Y110&lt;&gt;"",'MAYO 2026'!Y6:Y110,'MAYO 2026'!I6:I110)="YAULICACHI")*('MAYO 2026'!K6:K110="PETROLEO")*'MAYO 2026'!M6:M110),0)</f>
        <v>0</v>
      </c>
      <c r="D378" s="187" t="n">
        <f aca="false">IFERROR(SUMPRODUCT((IF('MAYO 2026'!Y6:Y110&lt;&gt;"",'MAYO 2026'!Y6:Y110,'MAYO 2026'!I6:I110)="YAULICACHI")*('MAYO 2026'!K6:K110="PETROLEO")*'MAYO 2026'!L6:L110*'MAYO 2026'!M6:M110),0)</f>
        <v>0</v>
      </c>
      <c r="E378" s="187" t="n">
        <f aca="false">IFERROR(SUMPRODUCT((IF('MAYO 2026'!Y6:Y110&lt;&gt;"",'MAYO 2026'!Y6:Y110,'MAYO 2026'!I6:I110)="YAULICACHI")*('MAYO 2026'!K6:K110="GASOLINA")*'MAYO 2026'!M6:M110),0)</f>
        <v>0</v>
      </c>
      <c r="F378" s="187" t="n">
        <f aca="false">IFERROR(SUMPRODUCT((IF('MAYO 2026'!Y6:Y110&lt;&gt;"",'MAYO 2026'!Y6:Y110,'MAYO 2026'!I6:I110)="YAULICACHI")*('MAYO 2026'!K6:K110="GASOLINA")*'MAYO 2026'!L6:L110*'MAYO 2026'!M6:M110),0)</f>
        <v>0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 t="s">
        <v>716</v>
      </c>
      <c r="B379" s="1" t="s">
        <v>5170</v>
      </c>
      <c r="C379" s="187" t="n">
        <f aca="false">IFERROR(SUMPRODUCT((IF('JUNIO 2026'!Y6:Y110&lt;&gt;"",'JUNIO 2026'!Y6:Y110,'JUNIO 2026'!I6:I110)="YAULICACHI")*('JUNIO 2026'!K6:K110="PETROLEO")*'JUNIO 2026'!M6:M110),0)</f>
        <v>0</v>
      </c>
      <c r="D379" s="187" t="n">
        <f aca="false">IFERROR(SUMPRODUCT((IF('JUNIO 2026'!Y6:Y110&lt;&gt;"",'JUNIO 2026'!Y6:Y110,'JUNIO 2026'!I6:I110)="YAULICACHI")*('JUNIO 2026'!K6:K110="PETROLEO")*'JUNIO 2026'!L6:L110*'JUNIO 2026'!M6:M110),0)</f>
        <v>0</v>
      </c>
      <c r="E379" s="187" t="n">
        <f aca="false">IFERROR(SUMPRODUCT((IF('JUNIO 2026'!Y6:Y110&lt;&gt;"",'JUNIO 2026'!Y6:Y110,'JUNIO 2026'!I6:I110)="YAULICACHI")*('JUNIO 2026'!K6:K110="GASOLINA")*'JUNIO 2026'!M6:M110),0)</f>
        <v>0</v>
      </c>
      <c r="F379" s="187" t="n">
        <f aca="false">IFERROR(SUMPRODUCT((IF('JUNIO 2026'!Y6:Y110&lt;&gt;"",'JUNIO 2026'!Y6:Y110,'JUNIO 2026'!I6:I110)="YAULICACHI")*('JUNIO 2026'!K6:K110="GASOLINA")*'JUNIO 2026'!L6:L110*'JUNIO 2026'!M6:M110),0)</f>
        <v>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 t="s">
        <v>716</v>
      </c>
      <c r="B380" s="1" t="s">
        <v>5171</v>
      </c>
      <c r="C380" s="187" t="n">
        <f aca="false">IFERROR(SUMPRODUCT((IF('JULIO 2026'!Y6:Y110&lt;&gt;"",'JULIO 2026'!Y6:Y110,'JULIO 2026'!I6:I110)="YAULICACHI")*('JULIO 2026'!K6:K110="PETROLEO")*'JULIO 2026'!M6:M110),0)</f>
        <v>0</v>
      </c>
      <c r="D380" s="187" t="n">
        <f aca="false">IFERROR(SUMPRODUCT((IF('JULIO 2026'!Y6:Y110&lt;&gt;"",'JULIO 2026'!Y6:Y110,'JULIO 2026'!I6:I110)="YAULICACHI")*('JULIO 2026'!K6:K110="PETROLEO")*'JULIO 2026'!L6:L110*'JULIO 2026'!M6:M110),0)</f>
        <v>0</v>
      </c>
      <c r="E380" s="187" t="n">
        <f aca="false">IFERROR(SUMPRODUCT((IF('JULIO 2026'!Y6:Y110&lt;&gt;"",'JULIO 2026'!Y6:Y110,'JULIO 2026'!I6:I110)="YAULICACHI")*('JULIO 2026'!K6:K110="GASOLINA")*'JULIO 2026'!M6:M110),0)</f>
        <v>0</v>
      </c>
      <c r="F380" s="187" t="n">
        <f aca="false">IFERROR(SUMPRODUCT((IF('JULIO 2026'!Y6:Y110&lt;&gt;"",'JULIO 2026'!Y6:Y110,'JULIO 2026'!I6:I110)="YAULICACHI")*('JULIO 2026'!K6:K110="GASOLINA")*'JULIO 2026'!L6:L110*'JULIO 2026'!M6:M110),0)</f>
        <v>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 t="s">
        <v>716</v>
      </c>
      <c r="B381" s="1" t="s">
        <v>5172</v>
      </c>
      <c r="C381" s="187" t="n">
        <f aca="false">IFERROR(SUMPRODUCT((IF('AGOSTO 2026'!Y6:Y110&lt;&gt;"",'AGOSTO 2026'!Y6:Y110,'AGOSTO 2026'!I6:I110)="YAULICACHI")*('AGOSTO 2026'!K6:K110="PETROLEO")*'AGOSTO 2026'!M6:M110),0)</f>
        <v>0</v>
      </c>
      <c r="D381" s="187" t="n">
        <f aca="false">IFERROR(SUMPRODUCT((IF('AGOSTO 2026'!Y6:Y110&lt;&gt;"",'AGOSTO 2026'!Y6:Y110,'AGOSTO 2026'!I6:I110)="YAULICACHI")*('AGOSTO 2026'!K6:K110="PETROLEO")*'AGOSTO 2026'!L6:L110*'AGOSTO 2026'!M6:M110),0)</f>
        <v>0</v>
      </c>
      <c r="E381" s="187" t="n">
        <f aca="false">IFERROR(SUMPRODUCT((IF('AGOSTO 2026'!Y6:Y110&lt;&gt;"",'AGOSTO 2026'!Y6:Y110,'AGOSTO 2026'!I6:I110)="YAULICACHI")*('AGOSTO 2026'!K6:K110="GASOLINA")*'AGOSTO 2026'!M6:M110),0)</f>
        <v>0</v>
      </c>
      <c r="F381" s="187" t="n">
        <f aca="false">IFERROR(SUMPRODUCT((IF('AGOSTO 2026'!Y6:Y110&lt;&gt;"",'AGOSTO 2026'!Y6:Y110,'AGOSTO 2026'!I6:I110)="YAULICACHI")*('AGOSTO 2026'!K6:K110="GASOLINA")*'AGOSTO 2026'!L6:L110*'AGOSTO 2026'!M6:M110),0)</f>
        <v>0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 t="s">
        <v>716</v>
      </c>
      <c r="B382" s="1" t="s">
        <v>5173</v>
      </c>
      <c r="C382" s="187" t="n">
        <f aca="false">IFERROR(SUMPRODUCT((IF('SETIEMBRE 2026'!Y6:Y110&lt;&gt;"",'SETIEMBRE 2026'!Y6:Y110,'SETIEMBRE 2026'!I6:I110)="YAULICACHI")*('SETIEMBRE 2026'!K6:K110="PETROLEO")*'SETIEMBRE 2026'!M6:M110),0)</f>
        <v>0</v>
      </c>
      <c r="D382" s="187" t="n">
        <f aca="false">IFERROR(SUMPRODUCT((IF('SETIEMBRE 2026'!Y6:Y110&lt;&gt;"",'SETIEMBRE 2026'!Y6:Y110,'SETIEMBRE 2026'!I6:I110)="YAULICACHI")*('SETIEMBRE 2026'!K6:K110="PETROLEO")*'SETIEMBRE 2026'!L6:L110*'SETIEMBRE 2026'!M6:M110),0)</f>
        <v>0</v>
      </c>
      <c r="E382" s="187" t="n">
        <f aca="false">IFERROR(SUMPRODUCT((IF('SETIEMBRE 2026'!Y6:Y110&lt;&gt;"",'SETIEMBRE 2026'!Y6:Y110,'SETIEMBRE 2026'!I6:I110)="YAULICACHI")*('SETIEMBRE 2026'!K6:K110="GASOLINA")*'SETIEMBRE 2026'!M6:M110),0)</f>
        <v>0</v>
      </c>
      <c r="F382" s="187" t="n">
        <f aca="false">IFERROR(SUMPRODUCT((IF('SETIEMBRE 2026'!Y6:Y110&lt;&gt;"",'SETIEMBRE 2026'!Y6:Y110,'SETIEMBRE 2026'!I6:I110)="YAULICACHI")*('SETIEMBRE 2026'!K6:K110="GASOLINA")*'SETIEMBRE 2026'!L6:L110*'SETIEMBRE 2026'!M6:M110),0)</f>
        <v>0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 t="s">
        <v>716</v>
      </c>
      <c r="B383" s="1" t="s">
        <v>5174</v>
      </c>
      <c r="C383" s="187" t="n">
        <f aca="false">IFERROR(SUMPRODUCT((IF('OCTUBRE 2026'!Y6:Y110&lt;&gt;"",'OCTUBRE 2026'!Y6:Y110,'OCTUBRE 2026'!I6:I110)="YAULICACHI")*('OCTUBRE 2026'!K6:K110="PETROLEO")*'OCTUBRE 2026'!M6:M110),0)</f>
        <v>0</v>
      </c>
      <c r="D383" s="187" t="n">
        <f aca="false">IFERROR(SUMPRODUCT((IF('OCTUBRE 2026'!Y6:Y110&lt;&gt;"",'OCTUBRE 2026'!Y6:Y110,'OCTUBRE 2026'!I6:I110)="YAULICACHI")*('OCTUBRE 2026'!K6:K110="PETROLEO")*'OCTUBRE 2026'!L6:L110*'OCTUBRE 2026'!M6:M110),0)</f>
        <v>0</v>
      </c>
      <c r="E383" s="187" t="n">
        <f aca="false">IFERROR(SUMPRODUCT((IF('OCTUBRE 2026'!Y6:Y110&lt;&gt;"",'OCTUBRE 2026'!Y6:Y110,'OCTUBRE 2026'!I6:I110)="YAULICACHI")*('OCTUBRE 2026'!K6:K110="GASOLINA")*'OCTUBRE 2026'!M6:M110),0)</f>
        <v>0</v>
      </c>
      <c r="F383" s="187" t="n">
        <f aca="false">IFERROR(SUMPRODUCT((IF('OCTUBRE 2026'!Y6:Y110&lt;&gt;"",'OCTUBRE 2026'!Y6:Y110,'OCTUBRE 2026'!I6:I110)="YAULICACHI")*('OCTUBRE 2026'!K6:K110="GASOLINA")*'OCTUBRE 2026'!L6:L110*'OCTUBRE 2026'!M6:M110),0)</f>
        <v>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 t="s">
        <v>716</v>
      </c>
      <c r="B384" s="1" t="s">
        <v>5175</v>
      </c>
      <c r="C384" s="187" t="n">
        <f aca="false">IFERROR(SUMPRODUCT((IF('NOVIEMBRE 2026'!Y6:Y110&lt;&gt;"",'NOVIEMBRE 2026'!Y6:Y110,'NOVIEMBRE 2026'!I6:I110)="YAULICACHI")*('NOVIEMBRE 2026'!K6:K110="PETROLEO")*'NOVIEMBRE 2026'!M6:M110),0)</f>
        <v>0</v>
      </c>
      <c r="D384" s="187" t="n">
        <f aca="false">IFERROR(SUMPRODUCT((IF('NOVIEMBRE 2026'!Y6:Y110&lt;&gt;"",'NOVIEMBRE 2026'!Y6:Y110,'NOVIEMBRE 2026'!I6:I110)="YAULICACHI")*('NOVIEMBRE 2026'!K6:K110="PETROLEO")*'NOVIEMBRE 2026'!L6:L110*'NOVIEMBRE 2026'!M6:M110),0)</f>
        <v>0</v>
      </c>
      <c r="E384" s="187" t="n">
        <f aca="false">IFERROR(SUMPRODUCT((IF('NOVIEMBRE 2026'!Y6:Y110&lt;&gt;"",'NOVIEMBRE 2026'!Y6:Y110,'NOVIEMBRE 2026'!I6:I110)="YAULICACHI")*('NOVIEMBRE 2026'!K6:K110="GASOLINA")*'NOVIEMBRE 2026'!M6:M110),0)</f>
        <v>0</v>
      </c>
      <c r="F384" s="187" t="n">
        <f aca="false">IFERROR(SUMPRODUCT((IF('NOVIEMBRE 2026'!Y6:Y110&lt;&gt;"",'NOVIEMBRE 2026'!Y6:Y110,'NOVIEMBRE 2026'!I6:I110)="YAULICACHI")*('NOVIEMBRE 2026'!K6:K110="GASOLINA")*'NOVIEMBRE 2026'!L6:L110*'NOVIEMBRE 2026'!M6:M110),0)</f>
        <v>0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 t="s">
        <v>716</v>
      </c>
      <c r="B385" s="1" t="s">
        <v>5176</v>
      </c>
      <c r="C385" s="187" t="n">
        <f aca="false">IFERROR(SUMPRODUCT((IF('DICIEMBRE 2026'!Y6:Y110&lt;&gt;"",'DICIEMBRE 2026'!Y6:Y110,'DICIEMBRE 2026'!I6:I110)="YAULICACHI")*('DICIEMBRE 2026'!K6:K110="PETROLEO")*'DICIEMBRE 2026'!M6:M110),0)</f>
        <v>0</v>
      </c>
      <c r="D385" s="187" t="n">
        <f aca="false">IFERROR(SUMPRODUCT((IF('DICIEMBRE 2026'!Y6:Y110&lt;&gt;"",'DICIEMBRE 2026'!Y6:Y110,'DICIEMBRE 2026'!I6:I110)="YAULICACHI")*('DICIEMBRE 2026'!K6:K110="PETROLEO")*'DICIEMBRE 2026'!L6:L110*'DICIEMBRE 2026'!M6:M110),0)</f>
        <v>0</v>
      </c>
      <c r="E385" s="187" t="n">
        <f aca="false">IFERROR(SUMPRODUCT((IF('DICIEMBRE 2026'!Y6:Y110&lt;&gt;"",'DICIEMBRE 2026'!Y6:Y110,'DICIEMBRE 2026'!I6:I110)="YAULICACHI")*('DICIEMBRE 2026'!K6:K110="GASOLINA")*'DICIEMBRE 2026'!M6:M110),0)</f>
        <v>0</v>
      </c>
      <c r="F385" s="187" t="n">
        <f aca="false">IFERROR(SUMPRODUCT((IF('DICIEMBRE 2026'!Y6:Y110&lt;&gt;"",'DICIEMBRE 2026'!Y6:Y110,'DICIEMBRE 2026'!I6:I110)="YAULICACHI")*('DICIEMBRE 2026'!K6:K110="GASOLINA")*'DICIEMBRE 2026'!L6:L110*'DICIEMBRE 2026'!M6:M110),0)</f>
        <v>0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 t="s">
        <v>433</v>
      </c>
      <c r="B386" s="1" t="s">
        <v>5165</v>
      </c>
      <c r="C386" s="187" t="n">
        <f aca="false">IFERROR(SUMPRODUCT((IF('ENERO 2026'!Y6:Y119&lt;&gt;"",'ENERO 2026'!Y6:Y119,'ENERO 2026'!I6:I119)="DURAZNOPAMPA")*('ENERO 2026'!K6:K119="PETROLEO")*'ENERO 2026'!M6:M119),0)</f>
        <v>0</v>
      </c>
      <c r="D386" s="187" t="n">
        <f aca="false">IFERROR(SUMPRODUCT((IF('ENERO 2026'!Y6:Y119&lt;&gt;"",'ENERO 2026'!Y6:Y119,'ENERO 2026'!I6:I119)="DURAZNOPAMPA")*('ENERO 2026'!K6:K119="PETROLEO")*'ENERO 2026'!L6:L119*'ENERO 2026'!M6:M119),0)</f>
        <v>0</v>
      </c>
      <c r="E386" s="187" t="n">
        <f aca="false">IFERROR(SUMPRODUCT((IF('ENERO 2026'!Y6:Y119&lt;&gt;"",'ENERO 2026'!Y6:Y119,'ENERO 2026'!I6:I119)="DURAZNOPAMPA")*('ENERO 2026'!K6:K119="GASOLINA")*'ENERO 2026'!M6:M119),0)</f>
        <v>0</v>
      </c>
      <c r="F386" s="187" t="n">
        <f aca="false">IFERROR(SUMPRODUCT((IF('ENERO 2026'!Y6:Y119&lt;&gt;"",'ENERO 2026'!Y6:Y119,'ENERO 2026'!I6:I119)="DURAZNOPAMPA")*('ENERO 2026'!K6:K119="GASOLINA")*'ENERO 2026'!L6:L119*'ENERO 2026'!M6:M119),0)</f>
        <v>0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 t="s">
        <v>433</v>
      </c>
      <c r="B387" s="1" t="s">
        <v>5166</v>
      </c>
      <c r="C387" s="187" t="n">
        <f aca="false">IFERROR(SUMPRODUCT((IF('FEBRERO 2026'!Y6:Y124&lt;&gt;"",'FEBRERO 2026'!Y6:Y124,'FEBRERO 2026'!I6:I124)="DURAZNOPAMPA")*('FEBRERO 2026'!K6:K124="PETROLEO")*'FEBRERO 2026'!M6:M124),0)</f>
        <v>0</v>
      </c>
      <c r="D387" s="187" t="n">
        <f aca="false">IFERROR(SUMPRODUCT((IF('FEBRERO 2026'!Y6:Y124&lt;&gt;"",'FEBRERO 2026'!Y6:Y124,'FEBRERO 2026'!I6:I124)="DURAZNOPAMPA")*('FEBRERO 2026'!K6:K124="PETROLEO")*'FEBRERO 2026'!L6:L124*'FEBRERO 2026'!M6:M124),0)</f>
        <v>0</v>
      </c>
      <c r="E387" s="187" t="n">
        <f aca="false">IFERROR(SUMPRODUCT((IF('FEBRERO 2026'!Y6:Y124&lt;&gt;"",'FEBRERO 2026'!Y6:Y124,'FEBRERO 2026'!I6:I124)="DURAZNOPAMPA")*('FEBRERO 2026'!K6:K124="GASOLINA")*'FEBRERO 2026'!M6:M124),0)</f>
        <v>0</v>
      </c>
      <c r="F387" s="187" t="n">
        <f aca="false">IFERROR(SUMPRODUCT((IF('FEBRERO 2026'!Y6:Y124&lt;&gt;"",'FEBRERO 2026'!Y6:Y124,'FEBRERO 2026'!I6:I124)="DURAZNOPAMPA")*('FEBRERO 2026'!K6:K124="GASOLINA")*'FEBRERO 2026'!L6:L124*'FEBRERO 2026'!M6:M124),0)</f>
        <v>0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 t="s">
        <v>433</v>
      </c>
      <c r="B388" s="1" t="s">
        <v>5167</v>
      </c>
      <c r="C388" s="187" t="n">
        <f aca="false">IFERROR(SUMPRODUCT((IF('MARZO 2026'!Y6:Y119&lt;&gt;"",'MARZO 2026'!Y6:Y119,'MARZO 2026'!I6:I119)="DURAZNOPAMPA")*('MARZO 2026'!K6:K119="PETROLEO")*'MARZO 2026'!M6:M119),0)</f>
        <v>7</v>
      </c>
      <c r="D388" s="187" t="n">
        <f aca="false">IFERROR(SUMPRODUCT((IF('MARZO 2026'!Y6:Y119&lt;&gt;"",'MARZO 2026'!Y6:Y119,'MARZO 2026'!I6:I119)="DURAZNOPAMPA")*('MARZO 2026'!K6:K119="PETROLEO")*'MARZO 2026'!L6:L119*'MARZO 2026'!M6:M119),0)</f>
        <v>127.26</v>
      </c>
      <c r="E388" s="187" t="n">
        <f aca="false">IFERROR(SUMPRODUCT((IF('MARZO 2026'!Y6:Y119&lt;&gt;"",'MARZO 2026'!Y6:Y119,'MARZO 2026'!I6:I119)="DURAZNOPAMPA")*('MARZO 2026'!K6:K119="GASOLINA")*'MARZO 2026'!M6:M119),0)</f>
        <v>0</v>
      </c>
      <c r="F388" s="187" t="n">
        <f aca="false">IFERROR(SUMPRODUCT((IF('MARZO 2026'!Y6:Y119&lt;&gt;"",'MARZO 2026'!Y6:Y119,'MARZO 2026'!I6:I119)="DURAZNOPAMPA")*('MARZO 2026'!K6:K119="GASOLINA")*'MARZO 2026'!L6:L119*'MARZO 2026'!M6:M119),0)</f>
        <v>0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 t="s">
        <v>433</v>
      </c>
      <c r="B389" s="1" t="s">
        <v>5168</v>
      </c>
      <c r="C389" s="187" t="n">
        <f aca="false">IFERROR(SUMPRODUCT((IF('ABRIL 2026'!Y6:Y119&lt;&gt;"",'ABRIL 2026'!Y6:Y119,'ABRIL 2026'!I6:I119)="DURAZNOPAMPA")*('ABRIL 2026'!K6:K119="PETROLEO")*'ABRIL 2026'!M6:M119),0)</f>
        <v>0</v>
      </c>
      <c r="D389" s="187" t="n">
        <f aca="false">IFERROR(SUMPRODUCT((IF('ABRIL 2026'!Y6:Y119&lt;&gt;"",'ABRIL 2026'!Y6:Y119,'ABRIL 2026'!I6:I119)="DURAZNOPAMPA")*('ABRIL 2026'!K6:K119="PETROLEO")*'ABRIL 2026'!L6:L119*'ABRIL 2026'!M6:M119),0)</f>
        <v>0</v>
      </c>
      <c r="E389" s="187" t="n">
        <f aca="false">IFERROR(SUMPRODUCT((IF('ABRIL 2026'!Y6:Y119&lt;&gt;"",'ABRIL 2026'!Y6:Y119,'ABRIL 2026'!I6:I119)="DURAZNOPAMPA")*('ABRIL 2026'!K6:K119="GASOLINA")*'ABRIL 2026'!M6:M119),0)</f>
        <v>0</v>
      </c>
      <c r="F389" s="187" t="n">
        <f aca="false">IFERROR(SUMPRODUCT((IF('ABRIL 2026'!Y6:Y119&lt;&gt;"",'ABRIL 2026'!Y6:Y119,'ABRIL 2026'!I6:I119)="DURAZNOPAMPA")*('ABRIL 2026'!K6:K119="GASOLINA")*'ABRIL 2026'!L6:L119*'ABRIL 2026'!M6:M119),0)</f>
        <v>0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 t="s">
        <v>433</v>
      </c>
      <c r="B390" s="1" t="s">
        <v>5169</v>
      </c>
      <c r="C390" s="187" t="n">
        <f aca="false">IFERROR(SUMPRODUCT((IF('MAYO 2026'!Y6:Y110&lt;&gt;"",'MAYO 2026'!Y6:Y110,'MAYO 2026'!I6:I110)="DURAZNOPAMPA")*('MAYO 2026'!K6:K110="PETROLEO")*'MAYO 2026'!M6:M110),0)</f>
        <v>0</v>
      </c>
      <c r="D390" s="187" t="n">
        <f aca="false">IFERROR(SUMPRODUCT((IF('MAYO 2026'!Y6:Y110&lt;&gt;"",'MAYO 2026'!Y6:Y110,'MAYO 2026'!I6:I110)="DURAZNOPAMPA")*('MAYO 2026'!K6:K110="PETROLEO")*'MAYO 2026'!L6:L110*'MAYO 2026'!M6:M110),0)</f>
        <v>0</v>
      </c>
      <c r="E390" s="187" t="n">
        <f aca="false">IFERROR(SUMPRODUCT((IF('MAYO 2026'!Y6:Y110&lt;&gt;"",'MAYO 2026'!Y6:Y110,'MAYO 2026'!I6:I110)="DURAZNOPAMPA")*('MAYO 2026'!K6:K110="GASOLINA")*'MAYO 2026'!M6:M110),0)</f>
        <v>0</v>
      </c>
      <c r="F390" s="187" t="n">
        <f aca="false">IFERROR(SUMPRODUCT((IF('MAYO 2026'!Y6:Y110&lt;&gt;"",'MAYO 2026'!Y6:Y110,'MAYO 2026'!I6:I110)="DURAZNOPAMPA")*('MAYO 2026'!K6:K110="GASOLINA")*'MAYO 2026'!L6:L110*'MAYO 2026'!M6:M110),0)</f>
        <v>0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 t="s">
        <v>433</v>
      </c>
      <c r="B391" s="1" t="s">
        <v>5170</v>
      </c>
      <c r="C391" s="187" t="n">
        <f aca="false">IFERROR(SUMPRODUCT((IF('JUNIO 2026'!Y6:Y110&lt;&gt;"",'JUNIO 2026'!Y6:Y110,'JUNIO 2026'!I6:I110)="DURAZNOPAMPA")*('JUNIO 2026'!K6:K110="PETROLEO")*'JUNIO 2026'!M6:M110),0)</f>
        <v>0</v>
      </c>
      <c r="D391" s="187" t="n">
        <f aca="false">IFERROR(SUMPRODUCT((IF('JUNIO 2026'!Y6:Y110&lt;&gt;"",'JUNIO 2026'!Y6:Y110,'JUNIO 2026'!I6:I110)="DURAZNOPAMPA")*('JUNIO 2026'!K6:K110="PETROLEO")*'JUNIO 2026'!L6:L110*'JUNIO 2026'!M6:M110),0)</f>
        <v>0</v>
      </c>
      <c r="E391" s="187" t="n">
        <f aca="false">IFERROR(SUMPRODUCT((IF('JUNIO 2026'!Y6:Y110&lt;&gt;"",'JUNIO 2026'!Y6:Y110,'JUNIO 2026'!I6:I110)="DURAZNOPAMPA")*('JUNIO 2026'!K6:K110="GASOLINA")*'JUNIO 2026'!M6:M110),0)</f>
        <v>0</v>
      </c>
      <c r="F391" s="187" t="n">
        <f aca="false">IFERROR(SUMPRODUCT((IF('JUNIO 2026'!Y6:Y110&lt;&gt;"",'JUNIO 2026'!Y6:Y110,'JUNIO 2026'!I6:I110)="DURAZNOPAMPA")*('JUNIO 2026'!K6:K110="GASOLINA")*'JUNIO 2026'!L6:L110*'JUNIO 2026'!M6:M110),0)</f>
        <v>0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 t="s">
        <v>433</v>
      </c>
      <c r="B392" s="1" t="s">
        <v>5171</v>
      </c>
      <c r="C392" s="187" t="n">
        <f aca="false">IFERROR(SUMPRODUCT((IF('JULIO 2026'!Y6:Y110&lt;&gt;"",'JULIO 2026'!Y6:Y110,'JULIO 2026'!I6:I110)="DURAZNOPAMPA")*('JULIO 2026'!K6:K110="PETROLEO")*'JULIO 2026'!M6:M110),0)</f>
        <v>0</v>
      </c>
      <c r="D392" s="187" t="n">
        <f aca="false">IFERROR(SUMPRODUCT((IF('JULIO 2026'!Y6:Y110&lt;&gt;"",'JULIO 2026'!Y6:Y110,'JULIO 2026'!I6:I110)="DURAZNOPAMPA")*('JULIO 2026'!K6:K110="PETROLEO")*'JULIO 2026'!L6:L110*'JULIO 2026'!M6:M110),0)</f>
        <v>0</v>
      </c>
      <c r="E392" s="187" t="n">
        <f aca="false">IFERROR(SUMPRODUCT((IF('JULIO 2026'!Y6:Y110&lt;&gt;"",'JULIO 2026'!Y6:Y110,'JULIO 2026'!I6:I110)="DURAZNOPAMPA")*('JULIO 2026'!K6:K110="GASOLINA")*'JULIO 2026'!M6:M110),0)</f>
        <v>0</v>
      </c>
      <c r="F392" s="187" t="n">
        <f aca="false">IFERROR(SUMPRODUCT((IF('JULIO 2026'!Y6:Y110&lt;&gt;"",'JULIO 2026'!Y6:Y110,'JULIO 2026'!I6:I110)="DURAZNOPAMPA")*('JULIO 2026'!K6:K110="GASOLINA")*'JULIO 2026'!L6:L110*'JULIO 2026'!M6:M110),0)</f>
        <v>0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 t="s">
        <v>433</v>
      </c>
      <c r="B393" s="1" t="s">
        <v>5172</v>
      </c>
      <c r="C393" s="187" t="n">
        <f aca="false">IFERROR(SUMPRODUCT((IF('AGOSTO 2026'!Y6:Y110&lt;&gt;"",'AGOSTO 2026'!Y6:Y110,'AGOSTO 2026'!I6:I110)="DURAZNOPAMPA")*('AGOSTO 2026'!K6:K110="PETROLEO")*'AGOSTO 2026'!M6:M110),0)</f>
        <v>0</v>
      </c>
      <c r="D393" s="187" t="n">
        <f aca="false">IFERROR(SUMPRODUCT((IF('AGOSTO 2026'!Y6:Y110&lt;&gt;"",'AGOSTO 2026'!Y6:Y110,'AGOSTO 2026'!I6:I110)="DURAZNOPAMPA")*('AGOSTO 2026'!K6:K110="PETROLEO")*'AGOSTO 2026'!L6:L110*'AGOSTO 2026'!M6:M110),0)</f>
        <v>0</v>
      </c>
      <c r="E393" s="187" t="n">
        <f aca="false">IFERROR(SUMPRODUCT((IF('AGOSTO 2026'!Y6:Y110&lt;&gt;"",'AGOSTO 2026'!Y6:Y110,'AGOSTO 2026'!I6:I110)="DURAZNOPAMPA")*('AGOSTO 2026'!K6:K110="GASOLINA")*'AGOSTO 2026'!M6:M110),0)</f>
        <v>0</v>
      </c>
      <c r="F393" s="187" t="n">
        <f aca="false">IFERROR(SUMPRODUCT((IF('AGOSTO 2026'!Y6:Y110&lt;&gt;"",'AGOSTO 2026'!Y6:Y110,'AGOSTO 2026'!I6:I110)="DURAZNOPAMPA")*('AGOSTO 2026'!K6:K110="GASOLINA")*'AGOSTO 2026'!L6:L110*'AGOSTO 2026'!M6:M110),0)</f>
        <v>0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 t="s">
        <v>433</v>
      </c>
      <c r="B394" s="1" t="s">
        <v>5173</v>
      </c>
      <c r="C394" s="187" t="n">
        <f aca="false">IFERROR(SUMPRODUCT((IF('SETIEMBRE 2026'!Y6:Y110&lt;&gt;"",'SETIEMBRE 2026'!Y6:Y110,'SETIEMBRE 2026'!I6:I110)="DURAZNOPAMPA")*('SETIEMBRE 2026'!K6:K110="PETROLEO")*'SETIEMBRE 2026'!M6:M110),0)</f>
        <v>0</v>
      </c>
      <c r="D394" s="187" t="n">
        <f aca="false">IFERROR(SUMPRODUCT((IF('SETIEMBRE 2026'!Y6:Y110&lt;&gt;"",'SETIEMBRE 2026'!Y6:Y110,'SETIEMBRE 2026'!I6:I110)="DURAZNOPAMPA")*('SETIEMBRE 2026'!K6:K110="PETROLEO")*'SETIEMBRE 2026'!L6:L110*'SETIEMBRE 2026'!M6:M110),0)</f>
        <v>0</v>
      </c>
      <c r="E394" s="187" t="n">
        <f aca="false">IFERROR(SUMPRODUCT((IF('SETIEMBRE 2026'!Y6:Y110&lt;&gt;"",'SETIEMBRE 2026'!Y6:Y110,'SETIEMBRE 2026'!I6:I110)="DURAZNOPAMPA")*('SETIEMBRE 2026'!K6:K110="GASOLINA")*'SETIEMBRE 2026'!M6:M110),0)</f>
        <v>0</v>
      </c>
      <c r="F394" s="187" t="n">
        <f aca="false">IFERROR(SUMPRODUCT((IF('SETIEMBRE 2026'!Y6:Y110&lt;&gt;"",'SETIEMBRE 2026'!Y6:Y110,'SETIEMBRE 2026'!I6:I110)="DURAZNOPAMPA")*('SETIEMBRE 2026'!K6:K110="GASOLINA")*'SETIEMBRE 2026'!L6:L110*'SETIEMBRE 2026'!M6:M110),0)</f>
        <v>0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 t="s">
        <v>433</v>
      </c>
      <c r="B395" s="1" t="s">
        <v>5174</v>
      </c>
      <c r="C395" s="187" t="n">
        <f aca="false">IFERROR(SUMPRODUCT((IF('OCTUBRE 2026'!Y6:Y110&lt;&gt;"",'OCTUBRE 2026'!Y6:Y110,'OCTUBRE 2026'!I6:I110)="DURAZNOPAMPA")*('OCTUBRE 2026'!K6:K110="PETROLEO")*'OCTUBRE 2026'!M6:M110),0)</f>
        <v>0</v>
      </c>
      <c r="D395" s="187" t="n">
        <f aca="false">IFERROR(SUMPRODUCT((IF('OCTUBRE 2026'!Y6:Y110&lt;&gt;"",'OCTUBRE 2026'!Y6:Y110,'OCTUBRE 2026'!I6:I110)="DURAZNOPAMPA")*('OCTUBRE 2026'!K6:K110="PETROLEO")*'OCTUBRE 2026'!L6:L110*'OCTUBRE 2026'!M6:M110),0)</f>
        <v>0</v>
      </c>
      <c r="E395" s="187" t="n">
        <f aca="false">IFERROR(SUMPRODUCT((IF('OCTUBRE 2026'!Y6:Y110&lt;&gt;"",'OCTUBRE 2026'!Y6:Y110,'OCTUBRE 2026'!I6:I110)="DURAZNOPAMPA")*('OCTUBRE 2026'!K6:K110="GASOLINA")*'OCTUBRE 2026'!M6:M110),0)</f>
        <v>0</v>
      </c>
      <c r="F395" s="187" t="n">
        <f aca="false">IFERROR(SUMPRODUCT((IF('OCTUBRE 2026'!Y6:Y110&lt;&gt;"",'OCTUBRE 2026'!Y6:Y110,'OCTUBRE 2026'!I6:I110)="DURAZNOPAMPA")*('OCTUBRE 2026'!K6:K110="GASOLINA")*'OCTUBRE 2026'!L6:L110*'OCTUBRE 2026'!M6:M110),0)</f>
        <v>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 t="s">
        <v>433</v>
      </c>
      <c r="B396" s="1" t="s">
        <v>5175</v>
      </c>
      <c r="C396" s="187" t="n">
        <f aca="false">IFERROR(SUMPRODUCT((IF('NOVIEMBRE 2026'!Y6:Y110&lt;&gt;"",'NOVIEMBRE 2026'!Y6:Y110,'NOVIEMBRE 2026'!I6:I110)="DURAZNOPAMPA")*('NOVIEMBRE 2026'!K6:K110="PETROLEO")*'NOVIEMBRE 2026'!M6:M110),0)</f>
        <v>0</v>
      </c>
      <c r="D396" s="187" t="n">
        <f aca="false">IFERROR(SUMPRODUCT((IF('NOVIEMBRE 2026'!Y6:Y110&lt;&gt;"",'NOVIEMBRE 2026'!Y6:Y110,'NOVIEMBRE 2026'!I6:I110)="DURAZNOPAMPA")*('NOVIEMBRE 2026'!K6:K110="PETROLEO")*'NOVIEMBRE 2026'!L6:L110*'NOVIEMBRE 2026'!M6:M110),0)</f>
        <v>0</v>
      </c>
      <c r="E396" s="187" t="n">
        <f aca="false">IFERROR(SUMPRODUCT((IF('NOVIEMBRE 2026'!Y6:Y110&lt;&gt;"",'NOVIEMBRE 2026'!Y6:Y110,'NOVIEMBRE 2026'!I6:I110)="DURAZNOPAMPA")*('NOVIEMBRE 2026'!K6:K110="GASOLINA")*'NOVIEMBRE 2026'!M6:M110),0)</f>
        <v>0</v>
      </c>
      <c r="F396" s="187" t="n">
        <f aca="false">IFERROR(SUMPRODUCT((IF('NOVIEMBRE 2026'!Y6:Y110&lt;&gt;"",'NOVIEMBRE 2026'!Y6:Y110,'NOVIEMBRE 2026'!I6:I110)="DURAZNOPAMPA")*('NOVIEMBRE 2026'!K6:K110="GASOLINA")*'NOVIEMBRE 2026'!L6:L110*'NOVIEMBRE 2026'!M6:M110),0)</f>
        <v>0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 t="s">
        <v>433</v>
      </c>
      <c r="B397" s="1" t="s">
        <v>5176</v>
      </c>
      <c r="C397" s="187" t="n">
        <f aca="false">IFERROR(SUMPRODUCT((IF('DICIEMBRE 2026'!Y6:Y110&lt;&gt;"",'DICIEMBRE 2026'!Y6:Y110,'DICIEMBRE 2026'!I6:I110)="DURAZNOPAMPA")*('DICIEMBRE 2026'!K6:K110="PETROLEO")*'DICIEMBRE 2026'!M6:M110),0)</f>
        <v>0</v>
      </c>
      <c r="D397" s="187" t="n">
        <f aca="false">IFERROR(SUMPRODUCT((IF('DICIEMBRE 2026'!Y6:Y110&lt;&gt;"",'DICIEMBRE 2026'!Y6:Y110,'DICIEMBRE 2026'!I6:I110)="DURAZNOPAMPA")*('DICIEMBRE 2026'!K6:K110="PETROLEO")*'DICIEMBRE 2026'!L6:L110*'DICIEMBRE 2026'!M6:M110),0)</f>
        <v>0</v>
      </c>
      <c r="E397" s="187" t="n">
        <f aca="false">IFERROR(SUMPRODUCT((IF('DICIEMBRE 2026'!Y6:Y110&lt;&gt;"",'DICIEMBRE 2026'!Y6:Y110,'DICIEMBRE 2026'!I6:I110)="DURAZNOPAMPA")*('DICIEMBRE 2026'!K6:K110="GASOLINA")*'DICIEMBRE 2026'!M6:M110),0)</f>
        <v>0</v>
      </c>
      <c r="F397" s="187" t="n">
        <f aca="false">IFERROR(SUMPRODUCT((IF('DICIEMBRE 2026'!Y6:Y110&lt;&gt;"",'DICIEMBRE 2026'!Y6:Y110,'DICIEMBRE 2026'!I6:I110)="DURAZNOPAMPA")*('DICIEMBRE 2026'!K6:K110="GASOLINA")*'DICIEMBRE 2026'!L6:L110*'DICIEMBRE 2026'!M6:M110),0)</f>
        <v>0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C398" s="187"/>
      <c r="D398" s="187"/>
      <c r="E398" s="187"/>
      <c r="F398" s="187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C399" s="187"/>
      <c r="D399" s="187"/>
      <c r="E399" s="187"/>
      <c r="F399" s="187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C400" s="187"/>
      <c r="D400" s="187"/>
      <c r="E400" s="187"/>
      <c r="F400" s="187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C401" s="187"/>
      <c r="D401" s="187"/>
      <c r="E401" s="187"/>
      <c r="F401" s="187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C402" s="187"/>
      <c r="D402" s="187"/>
      <c r="E402" s="187"/>
      <c r="F402" s="187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C403" s="187"/>
      <c r="D403" s="187"/>
      <c r="E403" s="187"/>
      <c r="F403" s="187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C404" s="187"/>
      <c r="D404" s="187"/>
      <c r="E404" s="187"/>
      <c r="F404" s="187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C405" s="187"/>
      <c r="D405" s="187"/>
      <c r="E405" s="187"/>
      <c r="F405" s="187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C406" s="187"/>
      <c r="D406" s="187"/>
      <c r="E406" s="187"/>
      <c r="F406" s="187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C407" s="187"/>
      <c r="D407" s="187"/>
      <c r="E407" s="187"/>
      <c r="F407" s="187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C408" s="187"/>
      <c r="D408" s="187"/>
      <c r="E408" s="187"/>
      <c r="F408" s="187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C409" s="187"/>
      <c r="D409" s="187"/>
      <c r="E409" s="187"/>
      <c r="F409" s="187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C410" s="187"/>
      <c r="D410" s="187"/>
      <c r="E410" s="187"/>
      <c r="F410" s="187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C411" s="187"/>
      <c r="D411" s="187"/>
      <c r="E411" s="187"/>
      <c r="F411" s="187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C412" s="187"/>
      <c r="D412" s="187"/>
      <c r="E412" s="187"/>
      <c r="F412" s="187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C413" s="187"/>
      <c r="D413" s="187"/>
      <c r="E413" s="187"/>
      <c r="F413" s="187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C414" s="187"/>
      <c r="D414" s="187"/>
      <c r="E414" s="187"/>
      <c r="F414" s="187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C415" s="187"/>
      <c r="D415" s="187"/>
      <c r="E415" s="187"/>
      <c r="F415" s="187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C416" s="187"/>
      <c r="D416" s="187"/>
      <c r="E416" s="187"/>
      <c r="F416" s="187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C417" s="187"/>
      <c r="D417" s="187"/>
      <c r="E417" s="187"/>
      <c r="F417" s="187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C418" s="187"/>
      <c r="D418" s="187"/>
      <c r="E418" s="187"/>
      <c r="F418" s="187"/>
    </row>
    <row r="419" customFormat="false" ht="15.75" hidden="false" customHeight="true" outlineLevel="0" collapsed="false">
      <c r="C419" s="187"/>
      <c r="D419" s="187"/>
      <c r="E419" s="187"/>
      <c r="F419" s="187"/>
    </row>
    <row r="420" customFormat="false" ht="15.75" hidden="false" customHeight="true" outlineLevel="0" collapsed="false">
      <c r="C420" s="187"/>
      <c r="D420" s="187"/>
      <c r="E420" s="187"/>
      <c r="F420" s="187"/>
    </row>
    <row r="421" customFormat="false" ht="15.75" hidden="false" customHeight="true" outlineLevel="0" collapsed="false">
      <c r="C421" s="187"/>
      <c r="D421" s="187"/>
      <c r="E421" s="187"/>
      <c r="F421" s="187"/>
    </row>
    <row r="422" customFormat="false" ht="15.75" hidden="false" customHeight="true" outlineLevel="0" collapsed="false">
      <c r="C422" s="187"/>
      <c r="D422" s="187"/>
      <c r="E422" s="187"/>
      <c r="F422" s="187"/>
    </row>
    <row r="423" customFormat="false" ht="15.75" hidden="false" customHeight="true" outlineLevel="0" collapsed="false">
      <c r="C423" s="187"/>
      <c r="D423" s="187"/>
      <c r="E423" s="187"/>
      <c r="F423" s="187"/>
    </row>
    <row r="424" customFormat="false" ht="15.75" hidden="false" customHeight="true" outlineLevel="0" collapsed="false">
      <c r="C424" s="187"/>
      <c r="D424" s="187"/>
      <c r="E424" s="187"/>
      <c r="F424" s="187"/>
    </row>
    <row r="425" customFormat="false" ht="15.75" hidden="false" customHeight="true" outlineLevel="0" collapsed="false">
      <c r="C425" s="187"/>
      <c r="D425" s="187"/>
      <c r="E425" s="187"/>
      <c r="F425" s="187"/>
    </row>
    <row r="426" customFormat="false" ht="15.75" hidden="false" customHeight="true" outlineLevel="0" collapsed="false">
      <c r="C426" s="187"/>
      <c r="D426" s="187"/>
      <c r="E426" s="187"/>
      <c r="F426" s="187"/>
    </row>
    <row r="427" customFormat="false" ht="15.75" hidden="false" customHeight="true" outlineLevel="0" collapsed="false">
      <c r="C427" s="187"/>
      <c r="D427" s="187"/>
      <c r="E427" s="187"/>
      <c r="F427" s="187"/>
    </row>
    <row r="428" customFormat="false" ht="15.75" hidden="false" customHeight="true" outlineLevel="0" collapsed="false">
      <c r="C428" s="187"/>
      <c r="D428" s="187"/>
      <c r="E428" s="187"/>
      <c r="F428" s="187"/>
    </row>
    <row r="429" customFormat="false" ht="15.75" hidden="false" customHeight="true" outlineLevel="0" collapsed="false">
      <c r="C429" s="187"/>
      <c r="D429" s="187"/>
      <c r="E429" s="187"/>
      <c r="F429" s="187"/>
    </row>
    <row r="430" customFormat="false" ht="15.75" hidden="false" customHeight="true" outlineLevel="0" collapsed="false">
      <c r="C430" s="187"/>
      <c r="D430" s="187"/>
      <c r="E430" s="187"/>
      <c r="F430" s="187"/>
    </row>
    <row r="431" customFormat="false" ht="15.75" hidden="false" customHeight="true" outlineLevel="0" collapsed="false">
      <c r="C431" s="187"/>
      <c r="D431" s="187"/>
      <c r="E431" s="187"/>
      <c r="F431" s="187"/>
    </row>
    <row r="432" customFormat="false" ht="15.75" hidden="false" customHeight="true" outlineLevel="0" collapsed="false">
      <c r="C432" s="187"/>
      <c r="D432" s="187"/>
      <c r="E432" s="187"/>
      <c r="F432" s="187"/>
    </row>
    <row r="433" customFormat="false" ht="15.75" hidden="false" customHeight="true" outlineLevel="0" collapsed="false">
      <c r="C433" s="187"/>
      <c r="D433" s="187"/>
      <c r="E433" s="187"/>
      <c r="F433" s="187"/>
    </row>
    <row r="434" customFormat="false" ht="15.75" hidden="false" customHeight="true" outlineLevel="0" collapsed="false">
      <c r="C434" s="187"/>
      <c r="D434" s="187"/>
      <c r="E434" s="187"/>
      <c r="F434" s="187"/>
    </row>
    <row r="435" customFormat="false" ht="15.75" hidden="false" customHeight="true" outlineLevel="0" collapsed="false">
      <c r="C435" s="187"/>
      <c r="D435" s="187"/>
      <c r="E435" s="187"/>
      <c r="F435" s="187"/>
    </row>
    <row r="436" customFormat="false" ht="15.75" hidden="false" customHeight="true" outlineLevel="0" collapsed="false">
      <c r="C436" s="187"/>
      <c r="D436" s="187"/>
      <c r="E436" s="187"/>
      <c r="F436" s="187"/>
    </row>
    <row r="437" customFormat="false" ht="15.75" hidden="false" customHeight="true" outlineLevel="0" collapsed="false">
      <c r="C437" s="187"/>
      <c r="D437" s="187"/>
      <c r="E437" s="187"/>
      <c r="F437" s="187"/>
    </row>
    <row r="438" customFormat="false" ht="15.75" hidden="false" customHeight="true" outlineLevel="0" collapsed="false">
      <c r="C438" s="187"/>
      <c r="D438" s="187"/>
      <c r="E438" s="187"/>
      <c r="F438" s="187"/>
    </row>
    <row r="439" customFormat="false" ht="15.75" hidden="false" customHeight="true" outlineLevel="0" collapsed="false">
      <c r="C439" s="187"/>
      <c r="D439" s="187"/>
      <c r="E439" s="187"/>
      <c r="F439" s="187"/>
    </row>
    <row r="440" customFormat="false" ht="15.75" hidden="false" customHeight="true" outlineLevel="0" collapsed="false">
      <c r="C440" s="187"/>
      <c r="D440" s="187"/>
      <c r="E440" s="187"/>
      <c r="F440" s="187"/>
    </row>
    <row r="441" customFormat="false" ht="15.75" hidden="false" customHeight="true" outlineLevel="0" collapsed="false">
      <c r="C441" s="187"/>
      <c r="D441" s="187"/>
      <c r="E441" s="187"/>
      <c r="F441" s="187"/>
    </row>
    <row r="442" customFormat="false" ht="15.75" hidden="false" customHeight="true" outlineLevel="0" collapsed="false">
      <c r="C442" s="187"/>
      <c r="D442" s="187"/>
      <c r="E442" s="187"/>
      <c r="F442" s="187"/>
    </row>
    <row r="443" customFormat="false" ht="15.75" hidden="false" customHeight="true" outlineLevel="0" collapsed="false">
      <c r="C443" s="187"/>
      <c r="D443" s="187"/>
      <c r="E443" s="187"/>
      <c r="F443" s="187"/>
    </row>
    <row r="444" customFormat="false" ht="15.75" hidden="false" customHeight="true" outlineLevel="0" collapsed="false">
      <c r="C444" s="187"/>
      <c r="D444" s="187"/>
      <c r="E444" s="187"/>
      <c r="F444" s="187"/>
    </row>
    <row r="445" customFormat="false" ht="15.75" hidden="false" customHeight="true" outlineLevel="0" collapsed="false">
      <c r="C445" s="187"/>
      <c r="D445" s="187"/>
      <c r="E445" s="187"/>
      <c r="F445" s="187"/>
    </row>
    <row r="446" customFormat="false" ht="15.75" hidden="false" customHeight="true" outlineLevel="0" collapsed="false">
      <c r="C446" s="187"/>
      <c r="D446" s="187"/>
      <c r="E446" s="187"/>
      <c r="F446" s="187"/>
    </row>
    <row r="447" customFormat="false" ht="15.75" hidden="false" customHeight="true" outlineLevel="0" collapsed="false">
      <c r="C447" s="187"/>
      <c r="D447" s="187"/>
      <c r="E447" s="187"/>
      <c r="F447" s="187"/>
    </row>
    <row r="448" customFormat="false" ht="15.75" hidden="false" customHeight="true" outlineLevel="0" collapsed="false">
      <c r="C448" s="187"/>
      <c r="D448" s="187"/>
      <c r="E448" s="187"/>
      <c r="F448" s="187"/>
    </row>
    <row r="449" customFormat="false" ht="15.75" hidden="false" customHeight="true" outlineLevel="0" collapsed="false">
      <c r="C449" s="187"/>
      <c r="D449" s="187"/>
      <c r="E449" s="187"/>
      <c r="F449" s="187"/>
    </row>
    <row r="450" customFormat="false" ht="15.75" hidden="false" customHeight="true" outlineLevel="0" collapsed="false">
      <c r="C450" s="187"/>
      <c r="D450" s="187"/>
      <c r="E450" s="187"/>
      <c r="F450" s="187"/>
    </row>
    <row r="451" customFormat="false" ht="15.75" hidden="false" customHeight="true" outlineLevel="0" collapsed="false">
      <c r="C451" s="187"/>
      <c r="D451" s="187"/>
      <c r="E451" s="187"/>
      <c r="F451" s="187"/>
    </row>
    <row r="452" customFormat="false" ht="15.75" hidden="false" customHeight="true" outlineLevel="0" collapsed="false">
      <c r="C452" s="187"/>
      <c r="D452" s="187"/>
      <c r="E452" s="187"/>
      <c r="F452" s="187"/>
    </row>
    <row r="453" customFormat="false" ht="15.75" hidden="false" customHeight="true" outlineLevel="0" collapsed="false">
      <c r="C453" s="187"/>
      <c r="D453" s="187"/>
      <c r="E453" s="187"/>
      <c r="F453" s="187"/>
    </row>
    <row r="454" customFormat="false" ht="15.75" hidden="false" customHeight="true" outlineLevel="0" collapsed="false">
      <c r="C454" s="187"/>
      <c r="D454" s="187"/>
      <c r="E454" s="187"/>
      <c r="F454" s="187"/>
    </row>
    <row r="455" customFormat="false" ht="15.75" hidden="false" customHeight="true" outlineLevel="0" collapsed="false">
      <c r="C455" s="187"/>
      <c r="D455" s="187"/>
      <c r="E455" s="187"/>
      <c r="F455" s="187"/>
    </row>
    <row r="456" customFormat="false" ht="15.75" hidden="false" customHeight="true" outlineLevel="0" collapsed="false">
      <c r="C456" s="187"/>
      <c r="D456" s="187"/>
      <c r="E456" s="187"/>
      <c r="F456" s="187"/>
    </row>
    <row r="457" customFormat="false" ht="15.75" hidden="false" customHeight="true" outlineLevel="0" collapsed="false">
      <c r="C457" s="187"/>
      <c r="D457" s="187"/>
      <c r="E457" s="187"/>
      <c r="F457" s="187"/>
    </row>
    <row r="458" customFormat="false" ht="15.75" hidden="false" customHeight="true" outlineLevel="0" collapsed="false">
      <c r="C458" s="187"/>
      <c r="D458" s="187"/>
      <c r="E458" s="187"/>
      <c r="F458" s="187"/>
    </row>
    <row r="459" customFormat="false" ht="15.75" hidden="false" customHeight="true" outlineLevel="0" collapsed="false">
      <c r="C459" s="187"/>
      <c r="D459" s="187"/>
      <c r="E459" s="187"/>
      <c r="F459" s="187"/>
    </row>
    <row r="460" customFormat="false" ht="15.75" hidden="false" customHeight="true" outlineLevel="0" collapsed="false">
      <c r="C460" s="187"/>
      <c r="D460" s="187"/>
      <c r="E460" s="187"/>
      <c r="F460" s="187"/>
    </row>
    <row r="461" customFormat="false" ht="15.75" hidden="false" customHeight="true" outlineLevel="0" collapsed="false">
      <c r="C461" s="187"/>
      <c r="D461" s="187"/>
      <c r="E461" s="187"/>
      <c r="F461" s="187"/>
    </row>
    <row r="462" customFormat="false" ht="15.75" hidden="false" customHeight="true" outlineLevel="0" collapsed="false">
      <c r="C462" s="187"/>
      <c r="D462" s="187"/>
      <c r="E462" s="187"/>
      <c r="F462" s="187"/>
    </row>
    <row r="463" customFormat="false" ht="15.75" hidden="false" customHeight="true" outlineLevel="0" collapsed="false">
      <c r="C463" s="187"/>
      <c r="D463" s="187"/>
      <c r="E463" s="187"/>
      <c r="F463" s="187"/>
    </row>
    <row r="464" customFormat="false" ht="15.75" hidden="false" customHeight="true" outlineLevel="0" collapsed="false">
      <c r="C464" s="187"/>
      <c r="D464" s="187"/>
      <c r="E464" s="187"/>
      <c r="F464" s="187"/>
    </row>
    <row r="465" customFormat="false" ht="15.75" hidden="false" customHeight="true" outlineLevel="0" collapsed="false">
      <c r="C465" s="187"/>
      <c r="D465" s="187"/>
      <c r="E465" s="187"/>
      <c r="F465" s="187"/>
    </row>
    <row r="466" customFormat="false" ht="15.75" hidden="false" customHeight="true" outlineLevel="0" collapsed="false">
      <c r="C466" s="187"/>
      <c r="D466" s="187"/>
      <c r="E466" s="187"/>
      <c r="F466" s="187"/>
    </row>
    <row r="467" customFormat="false" ht="15.75" hidden="false" customHeight="true" outlineLevel="0" collapsed="false">
      <c r="C467" s="187"/>
      <c r="D467" s="187"/>
      <c r="E467" s="187"/>
      <c r="F467" s="187"/>
    </row>
    <row r="468" customFormat="false" ht="15.75" hidden="false" customHeight="true" outlineLevel="0" collapsed="false">
      <c r="C468" s="187"/>
      <c r="D468" s="187"/>
      <c r="E468" s="187"/>
      <c r="F468" s="187"/>
    </row>
    <row r="469" customFormat="false" ht="15.75" hidden="false" customHeight="true" outlineLevel="0" collapsed="false">
      <c r="C469" s="187"/>
      <c r="D469" s="187"/>
      <c r="E469" s="187"/>
      <c r="F469" s="187"/>
    </row>
    <row r="470" customFormat="false" ht="15.75" hidden="false" customHeight="true" outlineLevel="0" collapsed="false">
      <c r="C470" s="187"/>
      <c r="D470" s="187"/>
      <c r="E470" s="187"/>
      <c r="F470" s="187"/>
    </row>
    <row r="471" customFormat="false" ht="15.75" hidden="false" customHeight="true" outlineLevel="0" collapsed="false">
      <c r="C471" s="187"/>
      <c r="D471" s="187"/>
      <c r="E471" s="187"/>
      <c r="F471" s="187"/>
    </row>
    <row r="472" customFormat="false" ht="15.75" hidden="false" customHeight="true" outlineLevel="0" collapsed="false">
      <c r="C472" s="187"/>
      <c r="D472" s="187"/>
      <c r="E472" s="187"/>
      <c r="F472" s="187"/>
    </row>
    <row r="473" customFormat="false" ht="15.75" hidden="false" customHeight="true" outlineLevel="0" collapsed="false">
      <c r="C473" s="187"/>
      <c r="D473" s="187"/>
      <c r="E473" s="187"/>
      <c r="F473" s="187"/>
    </row>
    <row r="474" customFormat="false" ht="15.75" hidden="false" customHeight="true" outlineLevel="0" collapsed="false">
      <c r="C474" s="187"/>
      <c r="D474" s="187"/>
      <c r="E474" s="187"/>
      <c r="F474" s="187"/>
    </row>
    <row r="475" customFormat="false" ht="15.75" hidden="false" customHeight="true" outlineLevel="0" collapsed="false">
      <c r="C475" s="187"/>
      <c r="D475" s="187"/>
      <c r="E475" s="187"/>
      <c r="F475" s="187"/>
    </row>
    <row r="476" customFormat="false" ht="15.75" hidden="false" customHeight="true" outlineLevel="0" collapsed="false">
      <c r="C476" s="187"/>
      <c r="D476" s="187"/>
      <c r="E476" s="187"/>
      <c r="F476" s="187"/>
    </row>
    <row r="477" customFormat="false" ht="15.75" hidden="false" customHeight="true" outlineLevel="0" collapsed="false">
      <c r="C477" s="187"/>
      <c r="D477" s="187"/>
      <c r="E477" s="187"/>
      <c r="F477" s="187"/>
    </row>
    <row r="478" customFormat="false" ht="15.75" hidden="false" customHeight="true" outlineLevel="0" collapsed="false">
      <c r="C478" s="187"/>
      <c r="D478" s="187"/>
      <c r="E478" s="187"/>
      <c r="F478" s="187"/>
    </row>
    <row r="479" customFormat="false" ht="15.75" hidden="false" customHeight="true" outlineLevel="0" collapsed="false">
      <c r="C479" s="187"/>
      <c r="D479" s="187"/>
      <c r="E479" s="187"/>
      <c r="F479" s="187"/>
    </row>
    <row r="480" customFormat="false" ht="15.75" hidden="false" customHeight="true" outlineLevel="0" collapsed="false">
      <c r="C480" s="187"/>
      <c r="D480" s="187"/>
      <c r="E480" s="187"/>
      <c r="F480" s="187"/>
    </row>
    <row r="481" customFormat="false" ht="15.75" hidden="false" customHeight="true" outlineLevel="0" collapsed="false">
      <c r="C481" s="187"/>
      <c r="D481" s="187"/>
      <c r="E481" s="187"/>
      <c r="F481" s="187"/>
    </row>
    <row r="482" customFormat="false" ht="15.75" hidden="false" customHeight="true" outlineLevel="0" collapsed="false">
      <c r="C482" s="187"/>
      <c r="D482" s="187"/>
      <c r="E482" s="187"/>
      <c r="F482" s="187"/>
    </row>
    <row r="483" customFormat="false" ht="15.75" hidden="false" customHeight="true" outlineLevel="0" collapsed="false">
      <c r="C483" s="187"/>
      <c r="D483" s="187"/>
      <c r="E483" s="187"/>
      <c r="F483" s="187"/>
    </row>
    <row r="484" customFormat="false" ht="15.75" hidden="false" customHeight="true" outlineLevel="0" collapsed="false">
      <c r="C484" s="187"/>
      <c r="D484" s="187"/>
      <c r="E484" s="187"/>
      <c r="F484" s="187"/>
    </row>
    <row r="485" customFormat="false" ht="15.75" hidden="false" customHeight="true" outlineLevel="0" collapsed="false">
      <c r="C485" s="187"/>
      <c r="D485" s="187"/>
      <c r="E485" s="187"/>
      <c r="F485" s="187"/>
    </row>
    <row r="486" customFormat="false" ht="15.75" hidden="false" customHeight="true" outlineLevel="0" collapsed="false">
      <c r="C486" s="187"/>
      <c r="D486" s="187"/>
      <c r="E486" s="187"/>
      <c r="F486" s="187"/>
    </row>
    <row r="487" customFormat="false" ht="15.75" hidden="false" customHeight="true" outlineLevel="0" collapsed="false">
      <c r="C487" s="187"/>
      <c r="D487" s="187"/>
      <c r="E487" s="187"/>
      <c r="F487" s="187"/>
    </row>
    <row r="488" customFormat="false" ht="15.75" hidden="false" customHeight="true" outlineLevel="0" collapsed="false">
      <c r="C488" s="187"/>
      <c r="D488" s="187"/>
      <c r="E488" s="187"/>
      <c r="F488" s="187"/>
    </row>
    <row r="489" customFormat="false" ht="15.75" hidden="false" customHeight="true" outlineLevel="0" collapsed="false">
      <c r="C489" s="187"/>
      <c r="D489" s="187"/>
      <c r="E489" s="187"/>
      <c r="F489" s="187"/>
    </row>
    <row r="490" customFormat="false" ht="15.75" hidden="false" customHeight="true" outlineLevel="0" collapsed="false">
      <c r="C490" s="187"/>
      <c r="D490" s="187"/>
      <c r="E490" s="187"/>
      <c r="F490" s="187"/>
    </row>
    <row r="491" customFormat="false" ht="15.75" hidden="false" customHeight="true" outlineLevel="0" collapsed="false">
      <c r="C491" s="187"/>
      <c r="D491" s="187"/>
      <c r="E491" s="187"/>
      <c r="F491" s="187"/>
    </row>
    <row r="492" customFormat="false" ht="15.75" hidden="false" customHeight="true" outlineLevel="0" collapsed="false">
      <c r="C492" s="187"/>
      <c r="D492" s="187"/>
      <c r="E492" s="187"/>
      <c r="F492" s="187"/>
    </row>
    <row r="493" customFormat="false" ht="15.75" hidden="false" customHeight="true" outlineLevel="0" collapsed="false">
      <c r="C493" s="187"/>
      <c r="D493" s="187"/>
      <c r="E493" s="187"/>
      <c r="F493" s="187"/>
    </row>
    <row r="494" customFormat="false" ht="15.75" hidden="false" customHeight="true" outlineLevel="0" collapsed="false">
      <c r="C494" s="187"/>
      <c r="D494" s="187"/>
      <c r="E494" s="187"/>
      <c r="F494" s="187"/>
    </row>
    <row r="495" customFormat="false" ht="15.75" hidden="false" customHeight="true" outlineLevel="0" collapsed="false">
      <c r="C495" s="187"/>
      <c r="D495" s="187"/>
      <c r="E495" s="187"/>
      <c r="F495" s="187"/>
    </row>
    <row r="496" customFormat="false" ht="15.75" hidden="false" customHeight="true" outlineLevel="0" collapsed="false">
      <c r="C496" s="187"/>
      <c r="D496" s="187"/>
      <c r="E496" s="187"/>
      <c r="F496" s="187"/>
    </row>
    <row r="497" customFormat="false" ht="15.75" hidden="false" customHeight="true" outlineLevel="0" collapsed="false">
      <c r="C497" s="187"/>
      <c r="D497" s="187"/>
      <c r="E497" s="187"/>
      <c r="F497" s="187"/>
    </row>
    <row r="498" customFormat="false" ht="15.75" hidden="false" customHeight="true" outlineLevel="0" collapsed="false">
      <c r="C498" s="187"/>
      <c r="D498" s="187"/>
      <c r="E498" s="187"/>
      <c r="F498" s="187"/>
    </row>
    <row r="499" customFormat="false" ht="15.75" hidden="false" customHeight="true" outlineLevel="0" collapsed="false">
      <c r="C499" s="187"/>
      <c r="D499" s="187"/>
      <c r="E499" s="187"/>
      <c r="F499" s="187"/>
    </row>
    <row r="500" customFormat="false" ht="15.75" hidden="false" customHeight="true" outlineLevel="0" collapsed="false">
      <c r="C500" s="187"/>
      <c r="D500" s="187"/>
      <c r="E500" s="187"/>
      <c r="F500" s="187"/>
    </row>
    <row r="501" customFormat="false" ht="15.75" hidden="false" customHeight="true" outlineLevel="0" collapsed="false">
      <c r="C501" s="187"/>
      <c r="D501" s="187"/>
      <c r="E501" s="187"/>
      <c r="F501" s="187"/>
    </row>
    <row r="502" customFormat="false" ht="15.75" hidden="false" customHeight="true" outlineLevel="0" collapsed="false">
      <c r="C502" s="187"/>
      <c r="D502" s="187"/>
      <c r="E502" s="187"/>
      <c r="F502" s="187"/>
    </row>
    <row r="503" customFormat="false" ht="15.75" hidden="false" customHeight="true" outlineLevel="0" collapsed="false">
      <c r="C503" s="187"/>
      <c r="D503" s="187"/>
      <c r="E503" s="187"/>
      <c r="F503" s="187"/>
    </row>
    <row r="504" customFormat="false" ht="15.75" hidden="false" customHeight="true" outlineLevel="0" collapsed="false">
      <c r="C504" s="187"/>
      <c r="D504" s="187"/>
      <c r="E504" s="187"/>
      <c r="F504" s="187"/>
    </row>
    <row r="505" customFormat="false" ht="15.75" hidden="false" customHeight="true" outlineLevel="0" collapsed="false">
      <c r="C505" s="187"/>
      <c r="D505" s="187"/>
      <c r="E505" s="187"/>
      <c r="F505" s="187"/>
    </row>
    <row r="506" customFormat="false" ht="15.75" hidden="false" customHeight="true" outlineLevel="0" collapsed="false">
      <c r="C506" s="187"/>
      <c r="D506" s="187"/>
      <c r="E506" s="187"/>
      <c r="F506" s="187"/>
    </row>
    <row r="507" customFormat="false" ht="15.75" hidden="false" customHeight="true" outlineLevel="0" collapsed="false">
      <c r="C507" s="187"/>
      <c r="D507" s="187"/>
      <c r="E507" s="187"/>
      <c r="F507" s="187"/>
    </row>
    <row r="508" customFormat="false" ht="15.75" hidden="false" customHeight="true" outlineLevel="0" collapsed="false">
      <c r="C508" s="187"/>
      <c r="D508" s="187"/>
      <c r="E508" s="187"/>
      <c r="F508" s="187"/>
    </row>
    <row r="509" customFormat="false" ht="15.75" hidden="false" customHeight="true" outlineLevel="0" collapsed="false">
      <c r="C509" s="187"/>
      <c r="D509" s="187"/>
      <c r="E509" s="187"/>
      <c r="F509" s="187"/>
    </row>
    <row r="510" customFormat="false" ht="15.75" hidden="false" customHeight="true" outlineLevel="0" collapsed="false">
      <c r="C510" s="187"/>
      <c r="D510" s="187"/>
      <c r="E510" s="187"/>
      <c r="F510" s="187"/>
    </row>
    <row r="511" customFormat="false" ht="15.75" hidden="false" customHeight="true" outlineLevel="0" collapsed="false">
      <c r="C511" s="187"/>
      <c r="D511" s="187"/>
      <c r="E511" s="187"/>
      <c r="F511" s="187"/>
    </row>
    <row r="512" customFormat="false" ht="15.75" hidden="false" customHeight="true" outlineLevel="0" collapsed="false">
      <c r="C512" s="187"/>
      <c r="D512" s="187"/>
      <c r="E512" s="187"/>
      <c r="F512" s="187"/>
    </row>
    <row r="513" customFormat="false" ht="15.75" hidden="false" customHeight="true" outlineLevel="0" collapsed="false">
      <c r="C513" s="187"/>
      <c r="D513" s="187"/>
      <c r="E513" s="187"/>
      <c r="F513" s="187"/>
    </row>
    <row r="514" customFormat="false" ht="15.75" hidden="false" customHeight="true" outlineLevel="0" collapsed="false">
      <c r="C514" s="187"/>
      <c r="D514" s="187"/>
      <c r="E514" s="187"/>
      <c r="F514" s="187"/>
    </row>
    <row r="515" customFormat="false" ht="15.75" hidden="false" customHeight="true" outlineLevel="0" collapsed="false">
      <c r="C515" s="187"/>
      <c r="D515" s="187"/>
      <c r="E515" s="187"/>
      <c r="F515" s="187"/>
    </row>
    <row r="516" customFormat="false" ht="15.75" hidden="false" customHeight="true" outlineLevel="0" collapsed="false">
      <c r="C516" s="187"/>
      <c r="D516" s="187"/>
      <c r="E516" s="187"/>
      <c r="F516" s="187"/>
    </row>
    <row r="517" customFormat="false" ht="15.75" hidden="false" customHeight="true" outlineLevel="0" collapsed="false">
      <c r="C517" s="187"/>
      <c r="D517" s="187"/>
      <c r="E517" s="187"/>
      <c r="F517" s="187"/>
    </row>
    <row r="518" customFormat="false" ht="15.75" hidden="false" customHeight="true" outlineLevel="0" collapsed="false">
      <c r="C518" s="187"/>
      <c r="D518" s="187"/>
      <c r="E518" s="187"/>
      <c r="F518" s="187"/>
    </row>
    <row r="519" customFormat="false" ht="15.75" hidden="false" customHeight="true" outlineLevel="0" collapsed="false">
      <c r="C519" s="187"/>
      <c r="D519" s="187"/>
      <c r="E519" s="187"/>
      <c r="F519" s="187"/>
    </row>
    <row r="520" customFormat="false" ht="15.75" hidden="false" customHeight="true" outlineLevel="0" collapsed="false">
      <c r="C520" s="187"/>
      <c r="D520" s="187"/>
      <c r="E520" s="187"/>
      <c r="F520" s="187"/>
    </row>
    <row r="521" customFormat="false" ht="15.75" hidden="false" customHeight="true" outlineLevel="0" collapsed="false">
      <c r="C521" s="187"/>
      <c r="D521" s="187"/>
      <c r="E521" s="187"/>
      <c r="F521" s="187"/>
    </row>
    <row r="522" customFormat="false" ht="15.75" hidden="false" customHeight="true" outlineLevel="0" collapsed="false">
      <c r="C522" s="187"/>
      <c r="D522" s="187"/>
      <c r="E522" s="187"/>
      <c r="F522" s="187"/>
    </row>
    <row r="523" customFormat="false" ht="15.75" hidden="false" customHeight="true" outlineLevel="0" collapsed="false">
      <c r="C523" s="187"/>
      <c r="D523" s="187"/>
      <c r="E523" s="187"/>
      <c r="F523" s="187"/>
    </row>
    <row r="524" customFormat="false" ht="15.75" hidden="false" customHeight="true" outlineLevel="0" collapsed="false">
      <c r="C524" s="187"/>
      <c r="D524" s="187"/>
      <c r="E524" s="187"/>
      <c r="F524" s="187"/>
    </row>
    <row r="525" customFormat="false" ht="15.75" hidden="false" customHeight="true" outlineLevel="0" collapsed="false">
      <c r="C525" s="187"/>
      <c r="D525" s="187"/>
      <c r="E525" s="187"/>
      <c r="F525" s="187"/>
    </row>
    <row r="526" customFormat="false" ht="15.75" hidden="false" customHeight="true" outlineLevel="0" collapsed="false">
      <c r="C526" s="187"/>
      <c r="D526" s="187"/>
      <c r="E526" s="187"/>
      <c r="F526" s="187"/>
    </row>
    <row r="527" customFormat="false" ht="15.75" hidden="false" customHeight="true" outlineLevel="0" collapsed="false">
      <c r="C527" s="187"/>
      <c r="D527" s="187"/>
      <c r="E527" s="187"/>
      <c r="F527" s="187"/>
    </row>
    <row r="528" customFormat="false" ht="15.75" hidden="false" customHeight="true" outlineLevel="0" collapsed="false">
      <c r="C528" s="187"/>
      <c r="D528" s="187"/>
      <c r="E528" s="187"/>
      <c r="F528" s="187"/>
    </row>
    <row r="529" customFormat="false" ht="15.75" hidden="false" customHeight="true" outlineLevel="0" collapsed="false">
      <c r="C529" s="187"/>
      <c r="D529" s="187"/>
      <c r="E529" s="187"/>
      <c r="F529" s="187"/>
    </row>
    <row r="530" customFormat="false" ht="15.75" hidden="false" customHeight="true" outlineLevel="0" collapsed="false">
      <c r="C530" s="187"/>
      <c r="D530" s="187"/>
      <c r="E530" s="187"/>
      <c r="F530" s="187"/>
    </row>
    <row r="531" customFormat="false" ht="15.75" hidden="false" customHeight="true" outlineLevel="0" collapsed="false">
      <c r="C531" s="187"/>
      <c r="D531" s="187"/>
      <c r="E531" s="187"/>
      <c r="F531" s="187"/>
    </row>
    <row r="532" customFormat="false" ht="15.75" hidden="false" customHeight="true" outlineLevel="0" collapsed="false">
      <c r="C532" s="187"/>
      <c r="D532" s="187"/>
      <c r="E532" s="187"/>
      <c r="F532" s="187"/>
    </row>
    <row r="533" customFormat="false" ht="15.75" hidden="false" customHeight="true" outlineLevel="0" collapsed="false">
      <c r="C533" s="187"/>
      <c r="D533" s="187"/>
      <c r="E533" s="187"/>
      <c r="F533" s="187"/>
    </row>
    <row r="534" customFormat="false" ht="15.75" hidden="false" customHeight="true" outlineLevel="0" collapsed="false">
      <c r="C534" s="187"/>
      <c r="D534" s="187"/>
      <c r="E534" s="187"/>
      <c r="F534" s="187"/>
    </row>
    <row r="535" customFormat="false" ht="15.75" hidden="false" customHeight="true" outlineLevel="0" collapsed="false">
      <c r="C535" s="187"/>
      <c r="D535" s="187"/>
      <c r="E535" s="187"/>
      <c r="F535" s="187"/>
    </row>
    <row r="536" customFormat="false" ht="15.75" hidden="false" customHeight="true" outlineLevel="0" collapsed="false">
      <c r="C536" s="187"/>
      <c r="D536" s="187"/>
      <c r="E536" s="187"/>
      <c r="F536" s="187"/>
    </row>
    <row r="537" customFormat="false" ht="15.75" hidden="false" customHeight="true" outlineLevel="0" collapsed="false">
      <c r="C537" s="187"/>
      <c r="D537" s="187"/>
      <c r="E537" s="187"/>
      <c r="F537" s="187"/>
    </row>
    <row r="538" customFormat="false" ht="15.75" hidden="false" customHeight="true" outlineLevel="0" collapsed="false">
      <c r="C538" s="187"/>
      <c r="D538" s="187"/>
      <c r="E538" s="187"/>
      <c r="F538" s="187"/>
    </row>
    <row r="539" customFormat="false" ht="15.75" hidden="false" customHeight="true" outlineLevel="0" collapsed="false">
      <c r="C539" s="187"/>
      <c r="D539" s="187"/>
      <c r="E539" s="187"/>
      <c r="F539" s="187"/>
    </row>
    <row r="540" customFormat="false" ht="15.75" hidden="false" customHeight="true" outlineLevel="0" collapsed="false">
      <c r="C540" s="187"/>
      <c r="D540" s="187"/>
      <c r="E540" s="187"/>
      <c r="F540" s="187"/>
    </row>
    <row r="541" customFormat="false" ht="15.75" hidden="false" customHeight="true" outlineLevel="0" collapsed="false">
      <c r="C541" s="187"/>
      <c r="D541" s="187"/>
      <c r="E541" s="187"/>
      <c r="F541" s="187"/>
    </row>
    <row r="542" customFormat="false" ht="15.75" hidden="false" customHeight="true" outlineLevel="0" collapsed="false">
      <c r="C542" s="187"/>
      <c r="D542" s="187"/>
      <c r="E542" s="187"/>
      <c r="F542" s="187"/>
    </row>
    <row r="543" customFormat="false" ht="15.75" hidden="false" customHeight="true" outlineLevel="0" collapsed="false">
      <c r="C543" s="187"/>
      <c r="D543" s="187"/>
      <c r="E543" s="187"/>
      <c r="F543" s="187"/>
    </row>
    <row r="544" customFormat="false" ht="15.75" hidden="false" customHeight="true" outlineLevel="0" collapsed="false">
      <c r="C544" s="187"/>
      <c r="D544" s="187"/>
      <c r="E544" s="187"/>
      <c r="F544" s="187"/>
    </row>
    <row r="545" customFormat="false" ht="15.75" hidden="false" customHeight="true" outlineLevel="0" collapsed="false">
      <c r="C545" s="187"/>
      <c r="D545" s="187"/>
      <c r="E545" s="187"/>
      <c r="F545" s="187"/>
    </row>
    <row r="546" customFormat="false" ht="15.75" hidden="false" customHeight="true" outlineLevel="0" collapsed="false">
      <c r="C546" s="187"/>
      <c r="D546" s="187"/>
      <c r="E546" s="187"/>
      <c r="F546" s="187"/>
    </row>
    <row r="547" customFormat="false" ht="15.75" hidden="false" customHeight="true" outlineLevel="0" collapsed="false">
      <c r="C547" s="187"/>
      <c r="D547" s="187"/>
      <c r="E547" s="187"/>
      <c r="F547" s="187"/>
    </row>
    <row r="548" customFormat="false" ht="15.75" hidden="false" customHeight="true" outlineLevel="0" collapsed="false">
      <c r="C548" s="187"/>
      <c r="D548" s="187"/>
      <c r="E548" s="187"/>
      <c r="F548" s="187"/>
    </row>
    <row r="549" customFormat="false" ht="15.75" hidden="false" customHeight="true" outlineLevel="0" collapsed="false">
      <c r="C549" s="187"/>
      <c r="D549" s="187"/>
      <c r="E549" s="187"/>
      <c r="F549" s="187"/>
    </row>
    <row r="550" customFormat="false" ht="15.75" hidden="false" customHeight="true" outlineLevel="0" collapsed="false">
      <c r="C550" s="187"/>
      <c r="D550" s="187"/>
      <c r="E550" s="187"/>
      <c r="F550" s="187"/>
    </row>
    <row r="551" customFormat="false" ht="15.75" hidden="false" customHeight="true" outlineLevel="0" collapsed="false">
      <c r="C551" s="187"/>
      <c r="D551" s="187"/>
      <c r="E551" s="187"/>
      <c r="F551" s="187"/>
    </row>
    <row r="552" customFormat="false" ht="15.75" hidden="false" customHeight="true" outlineLevel="0" collapsed="false">
      <c r="C552" s="187"/>
      <c r="D552" s="187"/>
      <c r="E552" s="187"/>
      <c r="F552" s="187"/>
    </row>
    <row r="553" customFormat="false" ht="15.75" hidden="false" customHeight="true" outlineLevel="0" collapsed="false">
      <c r="C553" s="187"/>
      <c r="D553" s="187"/>
      <c r="E553" s="187"/>
      <c r="F553" s="187"/>
    </row>
    <row r="554" customFormat="false" ht="15.75" hidden="false" customHeight="true" outlineLevel="0" collapsed="false">
      <c r="C554" s="187"/>
      <c r="D554" s="187"/>
      <c r="E554" s="187"/>
      <c r="F554" s="187"/>
    </row>
    <row r="555" customFormat="false" ht="15.75" hidden="false" customHeight="true" outlineLevel="0" collapsed="false">
      <c r="C555" s="187"/>
      <c r="D555" s="187"/>
      <c r="E555" s="187"/>
      <c r="F555" s="187"/>
    </row>
    <row r="556" customFormat="false" ht="15.75" hidden="false" customHeight="true" outlineLevel="0" collapsed="false">
      <c r="C556" s="187"/>
      <c r="D556" s="187"/>
      <c r="E556" s="187"/>
      <c r="F556" s="187"/>
    </row>
    <row r="557" customFormat="false" ht="15.75" hidden="false" customHeight="true" outlineLevel="0" collapsed="false">
      <c r="C557" s="187"/>
      <c r="D557" s="187"/>
      <c r="E557" s="187"/>
      <c r="F557" s="187"/>
    </row>
    <row r="558" customFormat="false" ht="15.75" hidden="false" customHeight="true" outlineLevel="0" collapsed="false">
      <c r="C558" s="187"/>
      <c r="D558" s="187"/>
      <c r="E558" s="187"/>
      <c r="F558" s="187"/>
    </row>
    <row r="559" customFormat="false" ht="15.75" hidden="false" customHeight="true" outlineLevel="0" collapsed="false">
      <c r="C559" s="187"/>
      <c r="D559" s="187"/>
      <c r="E559" s="187"/>
      <c r="F559" s="187"/>
    </row>
    <row r="560" customFormat="false" ht="15.75" hidden="false" customHeight="true" outlineLevel="0" collapsed="false">
      <c r="C560" s="187"/>
      <c r="D560" s="187"/>
      <c r="E560" s="187"/>
      <c r="F560" s="187"/>
    </row>
    <row r="561" customFormat="false" ht="15.75" hidden="false" customHeight="true" outlineLevel="0" collapsed="false">
      <c r="C561" s="187"/>
      <c r="D561" s="187"/>
      <c r="E561" s="187"/>
      <c r="F561" s="187"/>
    </row>
    <row r="562" customFormat="false" ht="15.75" hidden="false" customHeight="true" outlineLevel="0" collapsed="false">
      <c r="C562" s="187"/>
      <c r="D562" s="187"/>
      <c r="E562" s="187"/>
      <c r="F562" s="187"/>
    </row>
    <row r="563" customFormat="false" ht="15.75" hidden="false" customHeight="true" outlineLevel="0" collapsed="false">
      <c r="C563" s="187"/>
      <c r="D563" s="187"/>
      <c r="E563" s="187"/>
      <c r="F563" s="187"/>
    </row>
    <row r="564" customFormat="false" ht="15.75" hidden="false" customHeight="true" outlineLevel="0" collapsed="false">
      <c r="C564" s="187"/>
      <c r="D564" s="187"/>
      <c r="E564" s="187"/>
      <c r="F564" s="187"/>
    </row>
    <row r="565" customFormat="false" ht="15.75" hidden="false" customHeight="true" outlineLevel="0" collapsed="false">
      <c r="C565" s="187"/>
      <c r="D565" s="187"/>
      <c r="E565" s="187"/>
      <c r="F565" s="187"/>
    </row>
    <row r="566" customFormat="false" ht="15.75" hidden="false" customHeight="true" outlineLevel="0" collapsed="false">
      <c r="C566" s="187"/>
      <c r="D566" s="187"/>
      <c r="E566" s="187"/>
      <c r="F566" s="187"/>
    </row>
    <row r="567" customFormat="false" ht="15.75" hidden="false" customHeight="true" outlineLevel="0" collapsed="false">
      <c r="C567" s="187"/>
      <c r="D567" s="187"/>
      <c r="E567" s="187"/>
      <c r="F567" s="187"/>
    </row>
    <row r="568" customFormat="false" ht="15.75" hidden="false" customHeight="true" outlineLevel="0" collapsed="false">
      <c r="C568" s="187"/>
      <c r="D568" s="187"/>
      <c r="E568" s="187"/>
      <c r="F568" s="187"/>
    </row>
    <row r="569" customFormat="false" ht="15.75" hidden="false" customHeight="true" outlineLevel="0" collapsed="false">
      <c r="C569" s="187"/>
      <c r="D569" s="187"/>
      <c r="E569" s="187"/>
      <c r="F569" s="187"/>
    </row>
    <row r="570" customFormat="false" ht="15.75" hidden="false" customHeight="true" outlineLevel="0" collapsed="false">
      <c r="C570" s="187"/>
      <c r="D570" s="187"/>
      <c r="E570" s="187"/>
      <c r="F570" s="187"/>
    </row>
    <row r="571" customFormat="false" ht="15.75" hidden="false" customHeight="true" outlineLevel="0" collapsed="false">
      <c r="C571" s="187"/>
      <c r="D571" s="187"/>
      <c r="E571" s="187"/>
      <c r="F571" s="187"/>
    </row>
    <row r="572" customFormat="false" ht="15.75" hidden="false" customHeight="true" outlineLevel="0" collapsed="false">
      <c r="C572" s="187"/>
      <c r="D572" s="187"/>
      <c r="E572" s="187"/>
      <c r="F572" s="187"/>
    </row>
    <row r="573" customFormat="false" ht="15.75" hidden="false" customHeight="true" outlineLevel="0" collapsed="false">
      <c r="C573" s="187"/>
      <c r="D573" s="187"/>
      <c r="E573" s="187"/>
      <c r="F573" s="187"/>
    </row>
    <row r="574" customFormat="false" ht="15.75" hidden="false" customHeight="true" outlineLevel="0" collapsed="false">
      <c r="C574" s="187"/>
      <c r="D574" s="187"/>
      <c r="E574" s="187"/>
      <c r="F574" s="187"/>
    </row>
    <row r="575" customFormat="false" ht="15.75" hidden="false" customHeight="true" outlineLevel="0" collapsed="false">
      <c r="C575" s="187"/>
      <c r="D575" s="187"/>
      <c r="E575" s="187"/>
      <c r="F575" s="187"/>
    </row>
    <row r="576" customFormat="false" ht="15.75" hidden="false" customHeight="true" outlineLevel="0" collapsed="false">
      <c r="C576" s="187"/>
      <c r="D576" s="187"/>
      <c r="E576" s="187"/>
      <c r="F576" s="187"/>
    </row>
    <row r="577" customFormat="false" ht="15.75" hidden="false" customHeight="true" outlineLevel="0" collapsed="false">
      <c r="C577" s="187"/>
      <c r="D577" s="187"/>
      <c r="E577" s="187"/>
      <c r="F577" s="187"/>
    </row>
    <row r="578" customFormat="false" ht="15.75" hidden="false" customHeight="true" outlineLevel="0" collapsed="false">
      <c r="C578" s="187"/>
      <c r="D578" s="187"/>
      <c r="E578" s="187"/>
      <c r="F578" s="187"/>
    </row>
    <row r="579" customFormat="false" ht="15.75" hidden="false" customHeight="true" outlineLevel="0" collapsed="false">
      <c r="C579" s="187"/>
      <c r="D579" s="187"/>
      <c r="E579" s="187"/>
      <c r="F579" s="187"/>
    </row>
    <row r="580" customFormat="false" ht="15.75" hidden="false" customHeight="true" outlineLevel="0" collapsed="false">
      <c r="C580" s="187"/>
      <c r="D580" s="187"/>
      <c r="E580" s="187"/>
      <c r="F580" s="187"/>
    </row>
    <row r="581" customFormat="false" ht="15.75" hidden="false" customHeight="true" outlineLevel="0" collapsed="false">
      <c r="C581" s="187"/>
      <c r="D581" s="187"/>
      <c r="E581" s="187"/>
      <c r="F581" s="187"/>
    </row>
    <row r="582" customFormat="false" ht="15.75" hidden="false" customHeight="true" outlineLevel="0" collapsed="false">
      <c r="C582" s="187"/>
      <c r="D582" s="187"/>
      <c r="E582" s="187"/>
      <c r="F582" s="187"/>
    </row>
    <row r="583" customFormat="false" ht="15.75" hidden="false" customHeight="true" outlineLevel="0" collapsed="false">
      <c r="C583" s="187"/>
      <c r="D583" s="187"/>
      <c r="E583" s="187"/>
      <c r="F583" s="187"/>
    </row>
    <row r="584" customFormat="false" ht="15.75" hidden="false" customHeight="true" outlineLevel="0" collapsed="false">
      <c r="C584" s="187"/>
      <c r="D584" s="187"/>
      <c r="E584" s="187"/>
      <c r="F584" s="187"/>
    </row>
    <row r="585" customFormat="false" ht="15.75" hidden="false" customHeight="true" outlineLevel="0" collapsed="false">
      <c r="C585" s="187"/>
      <c r="D585" s="187"/>
      <c r="E585" s="187"/>
      <c r="F585" s="187"/>
    </row>
    <row r="586" customFormat="false" ht="15.75" hidden="false" customHeight="true" outlineLevel="0" collapsed="false">
      <c r="C586" s="187"/>
      <c r="D586" s="187"/>
      <c r="E586" s="187"/>
      <c r="F586" s="187"/>
    </row>
    <row r="587" customFormat="false" ht="15.75" hidden="false" customHeight="true" outlineLevel="0" collapsed="false">
      <c r="C587" s="187"/>
      <c r="D587" s="187"/>
      <c r="E587" s="187"/>
      <c r="F587" s="187"/>
    </row>
    <row r="588" customFormat="false" ht="15.75" hidden="false" customHeight="true" outlineLevel="0" collapsed="false">
      <c r="C588" s="187"/>
      <c r="D588" s="187"/>
      <c r="E588" s="187"/>
      <c r="F588" s="187"/>
    </row>
    <row r="589" customFormat="false" ht="15.75" hidden="false" customHeight="true" outlineLevel="0" collapsed="false">
      <c r="C589" s="187"/>
      <c r="D589" s="187"/>
      <c r="E589" s="187"/>
      <c r="F589" s="187"/>
    </row>
    <row r="590" customFormat="false" ht="15.75" hidden="false" customHeight="true" outlineLevel="0" collapsed="false">
      <c r="C590" s="187"/>
      <c r="D590" s="187"/>
      <c r="E590" s="187"/>
      <c r="F590" s="187"/>
    </row>
    <row r="591" customFormat="false" ht="15.75" hidden="false" customHeight="true" outlineLevel="0" collapsed="false">
      <c r="C591" s="187"/>
      <c r="D591" s="187"/>
      <c r="E591" s="187"/>
      <c r="F591" s="187"/>
    </row>
    <row r="592" customFormat="false" ht="15.75" hidden="false" customHeight="true" outlineLevel="0" collapsed="false">
      <c r="C592" s="187"/>
      <c r="D592" s="187"/>
      <c r="E592" s="187"/>
      <c r="F592" s="187"/>
    </row>
    <row r="593" customFormat="false" ht="15.75" hidden="false" customHeight="true" outlineLevel="0" collapsed="false">
      <c r="C593" s="187"/>
      <c r="D593" s="187"/>
      <c r="E593" s="187"/>
      <c r="F593" s="187"/>
    </row>
    <row r="594" customFormat="false" ht="15.75" hidden="false" customHeight="true" outlineLevel="0" collapsed="false">
      <c r="C594" s="187"/>
      <c r="D594" s="187"/>
      <c r="E594" s="187"/>
      <c r="F594" s="187"/>
    </row>
    <row r="595" customFormat="false" ht="15.75" hidden="false" customHeight="true" outlineLevel="0" collapsed="false">
      <c r="C595" s="187"/>
      <c r="D595" s="187"/>
      <c r="E595" s="187"/>
      <c r="F595" s="187"/>
    </row>
    <row r="596" customFormat="false" ht="15.75" hidden="false" customHeight="true" outlineLevel="0" collapsed="false">
      <c r="C596" s="187"/>
      <c r="D596" s="187"/>
      <c r="E596" s="187"/>
      <c r="F596" s="187"/>
    </row>
    <row r="597" customFormat="false" ht="15.75" hidden="false" customHeight="true" outlineLevel="0" collapsed="false">
      <c r="C597" s="187"/>
      <c r="D597" s="187"/>
      <c r="E597" s="187"/>
      <c r="F597" s="187"/>
    </row>
    <row r="598" customFormat="false" ht="15.75" hidden="false" customHeight="true" outlineLevel="0" collapsed="false">
      <c r="C598" s="187"/>
      <c r="D598" s="187"/>
      <c r="E598" s="187"/>
      <c r="F598" s="187"/>
    </row>
    <row r="599" customFormat="false" ht="15.75" hidden="false" customHeight="true" outlineLevel="0" collapsed="false">
      <c r="C599" s="187"/>
      <c r="D599" s="187"/>
      <c r="E599" s="187"/>
      <c r="F599" s="187"/>
    </row>
    <row r="600" customFormat="false" ht="15.75" hidden="false" customHeight="true" outlineLevel="0" collapsed="false">
      <c r="C600" s="187"/>
      <c r="D600" s="187"/>
      <c r="E600" s="187"/>
      <c r="F600" s="187"/>
    </row>
    <row r="601" customFormat="false" ht="15.75" hidden="false" customHeight="true" outlineLevel="0" collapsed="false">
      <c r="C601" s="187"/>
      <c r="D601" s="187"/>
      <c r="E601" s="187"/>
      <c r="F601" s="187"/>
    </row>
    <row r="602" customFormat="false" ht="15.75" hidden="false" customHeight="true" outlineLevel="0" collapsed="false">
      <c r="C602" s="187"/>
      <c r="D602" s="187"/>
      <c r="E602" s="187"/>
      <c r="F602" s="187"/>
    </row>
    <row r="603" customFormat="false" ht="15.75" hidden="false" customHeight="true" outlineLevel="0" collapsed="false">
      <c r="C603" s="187"/>
      <c r="D603" s="187"/>
      <c r="E603" s="187"/>
      <c r="F603" s="187"/>
    </row>
    <row r="604" customFormat="false" ht="15.75" hidden="false" customHeight="true" outlineLevel="0" collapsed="false">
      <c r="C604" s="187"/>
      <c r="D604" s="187"/>
      <c r="E604" s="187"/>
      <c r="F604" s="187"/>
    </row>
    <row r="605" customFormat="false" ht="15.75" hidden="false" customHeight="true" outlineLevel="0" collapsed="false">
      <c r="C605" s="187"/>
      <c r="D605" s="187"/>
      <c r="E605" s="187"/>
      <c r="F605" s="187"/>
    </row>
    <row r="606" customFormat="false" ht="15.75" hidden="false" customHeight="true" outlineLevel="0" collapsed="false">
      <c r="C606" s="187"/>
      <c r="D606" s="187"/>
      <c r="E606" s="187"/>
      <c r="F606" s="187"/>
    </row>
    <row r="607" customFormat="false" ht="15.75" hidden="false" customHeight="true" outlineLevel="0" collapsed="false">
      <c r="C607" s="187"/>
      <c r="D607" s="187"/>
      <c r="E607" s="187"/>
      <c r="F607" s="187"/>
    </row>
    <row r="608" customFormat="false" ht="15.75" hidden="false" customHeight="true" outlineLevel="0" collapsed="false">
      <c r="C608" s="187"/>
      <c r="D608" s="187"/>
      <c r="E608" s="187"/>
      <c r="F608" s="187"/>
    </row>
    <row r="609" customFormat="false" ht="15.75" hidden="false" customHeight="true" outlineLevel="0" collapsed="false">
      <c r="C609" s="187"/>
      <c r="D609" s="187"/>
      <c r="E609" s="187"/>
      <c r="F609" s="187"/>
    </row>
    <row r="610" customFormat="false" ht="15.75" hidden="false" customHeight="true" outlineLevel="0" collapsed="false">
      <c r="C610" s="187"/>
      <c r="D610" s="187"/>
      <c r="E610" s="187"/>
      <c r="F610" s="187"/>
    </row>
    <row r="611" customFormat="false" ht="15.75" hidden="false" customHeight="true" outlineLevel="0" collapsed="false">
      <c r="C611" s="187"/>
      <c r="D611" s="187"/>
      <c r="E611" s="187"/>
      <c r="F611" s="187"/>
    </row>
    <row r="612" customFormat="false" ht="15.75" hidden="false" customHeight="true" outlineLevel="0" collapsed="false">
      <c r="C612" s="187"/>
      <c r="D612" s="187"/>
      <c r="E612" s="187"/>
      <c r="F612" s="187"/>
    </row>
    <row r="613" customFormat="false" ht="15.75" hidden="false" customHeight="true" outlineLevel="0" collapsed="false">
      <c r="C613" s="187"/>
      <c r="D613" s="187"/>
      <c r="E613" s="187"/>
      <c r="F613" s="187"/>
    </row>
    <row r="614" customFormat="false" ht="15.75" hidden="false" customHeight="true" outlineLevel="0" collapsed="false">
      <c r="C614" s="187"/>
      <c r="D614" s="187"/>
      <c r="E614" s="187"/>
      <c r="F614" s="187"/>
    </row>
    <row r="615" customFormat="false" ht="15.75" hidden="false" customHeight="true" outlineLevel="0" collapsed="false">
      <c r="C615" s="187"/>
      <c r="D615" s="187"/>
      <c r="E615" s="187"/>
      <c r="F615" s="187"/>
    </row>
    <row r="616" customFormat="false" ht="15.75" hidden="false" customHeight="true" outlineLevel="0" collapsed="false">
      <c r="C616" s="187"/>
      <c r="D616" s="187"/>
      <c r="E616" s="187"/>
      <c r="F616" s="187"/>
    </row>
    <row r="617" customFormat="false" ht="15.75" hidden="false" customHeight="true" outlineLevel="0" collapsed="false">
      <c r="C617" s="187"/>
      <c r="D617" s="187"/>
      <c r="E617" s="187"/>
      <c r="F617" s="187"/>
    </row>
    <row r="618" customFormat="false" ht="15.75" hidden="false" customHeight="true" outlineLevel="0" collapsed="false">
      <c r="C618" s="187"/>
      <c r="D618" s="187"/>
      <c r="E618" s="187"/>
      <c r="F618" s="187"/>
    </row>
    <row r="619" customFormat="false" ht="15.75" hidden="false" customHeight="true" outlineLevel="0" collapsed="false">
      <c r="C619" s="187"/>
      <c r="D619" s="187"/>
      <c r="E619" s="187"/>
      <c r="F619" s="187"/>
    </row>
    <row r="620" customFormat="false" ht="15.75" hidden="false" customHeight="true" outlineLevel="0" collapsed="false">
      <c r="C620" s="187"/>
      <c r="D620" s="187"/>
      <c r="E620" s="187"/>
      <c r="F620" s="187"/>
    </row>
    <row r="621" customFormat="false" ht="15.75" hidden="false" customHeight="true" outlineLevel="0" collapsed="false">
      <c r="C621" s="187"/>
      <c r="D621" s="187"/>
      <c r="E621" s="187"/>
      <c r="F621" s="187"/>
    </row>
    <row r="622" customFormat="false" ht="15.75" hidden="false" customHeight="true" outlineLevel="0" collapsed="false">
      <c r="C622" s="187"/>
      <c r="D622" s="187"/>
      <c r="E622" s="187"/>
      <c r="F622" s="187"/>
    </row>
    <row r="623" customFormat="false" ht="15.75" hidden="false" customHeight="true" outlineLevel="0" collapsed="false">
      <c r="C623" s="187"/>
      <c r="D623" s="187"/>
      <c r="E623" s="187"/>
      <c r="F623" s="187"/>
    </row>
    <row r="624" customFormat="false" ht="15.75" hidden="false" customHeight="true" outlineLevel="0" collapsed="false">
      <c r="C624" s="187"/>
      <c r="D624" s="187"/>
      <c r="E624" s="187"/>
      <c r="F624" s="187"/>
    </row>
    <row r="625" customFormat="false" ht="15.75" hidden="false" customHeight="true" outlineLevel="0" collapsed="false">
      <c r="C625" s="187"/>
      <c r="D625" s="187"/>
      <c r="E625" s="187"/>
      <c r="F625" s="187"/>
    </row>
    <row r="626" customFormat="false" ht="15.75" hidden="false" customHeight="true" outlineLevel="0" collapsed="false">
      <c r="C626" s="187"/>
      <c r="D626" s="187"/>
      <c r="E626" s="187"/>
      <c r="F626" s="187"/>
    </row>
    <row r="627" customFormat="false" ht="15.75" hidden="false" customHeight="true" outlineLevel="0" collapsed="false">
      <c r="C627" s="187"/>
      <c r="D627" s="187"/>
      <c r="E627" s="187"/>
      <c r="F627" s="187"/>
    </row>
    <row r="628" customFormat="false" ht="15.75" hidden="false" customHeight="true" outlineLevel="0" collapsed="false">
      <c r="C628" s="187"/>
      <c r="D628" s="187"/>
      <c r="E628" s="187"/>
      <c r="F628" s="187"/>
    </row>
    <row r="629" customFormat="false" ht="15.75" hidden="false" customHeight="true" outlineLevel="0" collapsed="false">
      <c r="C629" s="187"/>
      <c r="D629" s="187"/>
      <c r="E629" s="187"/>
      <c r="F629" s="187"/>
    </row>
    <row r="630" customFormat="false" ht="15.75" hidden="false" customHeight="true" outlineLevel="0" collapsed="false">
      <c r="C630" s="187"/>
      <c r="D630" s="187"/>
      <c r="E630" s="187"/>
      <c r="F630" s="187"/>
    </row>
    <row r="631" customFormat="false" ht="15.75" hidden="false" customHeight="true" outlineLevel="0" collapsed="false">
      <c r="C631" s="187"/>
      <c r="D631" s="187"/>
      <c r="E631" s="187"/>
      <c r="F631" s="187"/>
    </row>
    <row r="632" customFormat="false" ht="15.75" hidden="false" customHeight="true" outlineLevel="0" collapsed="false">
      <c r="C632" s="187"/>
      <c r="D632" s="187"/>
      <c r="E632" s="187"/>
      <c r="F632" s="187"/>
    </row>
    <row r="633" customFormat="false" ht="15.75" hidden="false" customHeight="true" outlineLevel="0" collapsed="false">
      <c r="C633" s="187"/>
      <c r="D633" s="187"/>
      <c r="E633" s="187"/>
      <c r="F633" s="187"/>
    </row>
    <row r="634" customFormat="false" ht="15.75" hidden="false" customHeight="true" outlineLevel="0" collapsed="false">
      <c r="C634" s="187"/>
      <c r="D634" s="187"/>
      <c r="E634" s="187"/>
      <c r="F634" s="187"/>
    </row>
    <row r="635" customFormat="false" ht="15.75" hidden="false" customHeight="true" outlineLevel="0" collapsed="false">
      <c r="C635" s="187"/>
      <c r="D635" s="187"/>
      <c r="E635" s="187"/>
      <c r="F635" s="187"/>
    </row>
    <row r="636" customFormat="false" ht="15.75" hidden="false" customHeight="true" outlineLevel="0" collapsed="false">
      <c r="C636" s="187"/>
      <c r="D636" s="187"/>
      <c r="E636" s="187"/>
      <c r="F636" s="187"/>
    </row>
    <row r="637" customFormat="false" ht="15.75" hidden="false" customHeight="true" outlineLevel="0" collapsed="false">
      <c r="C637" s="187"/>
      <c r="D637" s="187"/>
      <c r="E637" s="187"/>
      <c r="F637" s="187"/>
    </row>
    <row r="638" customFormat="false" ht="15.75" hidden="false" customHeight="true" outlineLevel="0" collapsed="false">
      <c r="C638" s="187"/>
      <c r="D638" s="187"/>
      <c r="E638" s="187"/>
      <c r="F638" s="187"/>
    </row>
    <row r="639" customFormat="false" ht="15.75" hidden="false" customHeight="true" outlineLevel="0" collapsed="false">
      <c r="C639" s="187"/>
      <c r="D639" s="187"/>
      <c r="E639" s="187"/>
      <c r="F639" s="187"/>
    </row>
    <row r="640" customFormat="false" ht="15.75" hidden="false" customHeight="true" outlineLevel="0" collapsed="false">
      <c r="C640" s="187"/>
      <c r="D640" s="187"/>
      <c r="E640" s="187"/>
      <c r="F640" s="187"/>
    </row>
    <row r="641" customFormat="false" ht="15.75" hidden="false" customHeight="true" outlineLevel="0" collapsed="false">
      <c r="C641" s="187"/>
      <c r="D641" s="187"/>
      <c r="E641" s="187"/>
      <c r="F641" s="187"/>
    </row>
    <row r="642" customFormat="false" ht="15.75" hidden="false" customHeight="true" outlineLevel="0" collapsed="false">
      <c r="C642" s="187"/>
      <c r="D642" s="187"/>
      <c r="E642" s="187"/>
      <c r="F642" s="187"/>
    </row>
    <row r="643" customFormat="false" ht="15.75" hidden="false" customHeight="true" outlineLevel="0" collapsed="false">
      <c r="C643" s="187"/>
      <c r="D643" s="187"/>
      <c r="E643" s="187"/>
      <c r="F643" s="187"/>
    </row>
    <row r="644" customFormat="false" ht="15.75" hidden="false" customHeight="true" outlineLevel="0" collapsed="false">
      <c r="C644" s="187"/>
      <c r="D644" s="187"/>
      <c r="E644" s="187"/>
      <c r="F644" s="187"/>
    </row>
    <row r="645" customFormat="false" ht="15.75" hidden="false" customHeight="true" outlineLevel="0" collapsed="false">
      <c r="C645" s="187"/>
      <c r="D645" s="187"/>
      <c r="E645" s="187"/>
      <c r="F645" s="187"/>
    </row>
    <row r="646" customFormat="false" ht="15.75" hidden="false" customHeight="true" outlineLevel="0" collapsed="false">
      <c r="C646" s="187"/>
      <c r="D646" s="187"/>
      <c r="E646" s="187"/>
      <c r="F646" s="187"/>
    </row>
    <row r="647" customFormat="false" ht="15.75" hidden="false" customHeight="true" outlineLevel="0" collapsed="false">
      <c r="C647" s="187"/>
      <c r="D647" s="187"/>
      <c r="E647" s="187"/>
      <c r="F647" s="187"/>
    </row>
    <row r="648" customFormat="false" ht="15.75" hidden="false" customHeight="true" outlineLevel="0" collapsed="false">
      <c r="C648" s="187"/>
      <c r="D648" s="187"/>
      <c r="E648" s="187"/>
      <c r="F648" s="187"/>
    </row>
    <row r="649" customFormat="false" ht="15.75" hidden="false" customHeight="true" outlineLevel="0" collapsed="false">
      <c r="C649" s="187"/>
      <c r="D649" s="187"/>
      <c r="E649" s="187"/>
      <c r="F649" s="187"/>
    </row>
    <row r="650" customFormat="false" ht="15.75" hidden="false" customHeight="true" outlineLevel="0" collapsed="false">
      <c r="C650" s="187"/>
      <c r="D650" s="187"/>
      <c r="E650" s="187"/>
      <c r="F650" s="187"/>
    </row>
    <row r="651" customFormat="false" ht="15.75" hidden="false" customHeight="true" outlineLevel="0" collapsed="false">
      <c r="C651" s="187"/>
      <c r="D651" s="187"/>
      <c r="E651" s="187"/>
      <c r="F651" s="187"/>
    </row>
    <row r="652" customFormat="false" ht="15.75" hidden="false" customHeight="true" outlineLevel="0" collapsed="false">
      <c r="C652" s="187"/>
      <c r="D652" s="187"/>
      <c r="E652" s="187"/>
      <c r="F652" s="187"/>
    </row>
    <row r="653" customFormat="false" ht="15.75" hidden="false" customHeight="true" outlineLevel="0" collapsed="false">
      <c r="C653" s="187"/>
      <c r="D653" s="187"/>
      <c r="E653" s="187"/>
      <c r="F653" s="187"/>
    </row>
    <row r="654" customFormat="false" ht="15.75" hidden="false" customHeight="true" outlineLevel="0" collapsed="false">
      <c r="C654" s="187"/>
      <c r="D654" s="187"/>
      <c r="E654" s="187"/>
      <c r="F654" s="187"/>
    </row>
    <row r="655" customFormat="false" ht="15.75" hidden="false" customHeight="true" outlineLevel="0" collapsed="false">
      <c r="C655" s="187"/>
      <c r="D655" s="187"/>
      <c r="E655" s="187"/>
      <c r="F655" s="187"/>
    </row>
    <row r="656" customFormat="false" ht="15.75" hidden="false" customHeight="true" outlineLevel="0" collapsed="false">
      <c r="C656" s="187"/>
      <c r="D656" s="187"/>
      <c r="E656" s="187"/>
      <c r="F656" s="187"/>
    </row>
    <row r="657" customFormat="false" ht="15.75" hidden="false" customHeight="true" outlineLevel="0" collapsed="false">
      <c r="C657" s="187"/>
      <c r="D657" s="187"/>
      <c r="E657" s="187"/>
      <c r="F657" s="187"/>
    </row>
    <row r="658" customFormat="false" ht="15.75" hidden="false" customHeight="true" outlineLevel="0" collapsed="false">
      <c r="C658" s="187"/>
      <c r="D658" s="187"/>
      <c r="E658" s="187"/>
      <c r="F658" s="187"/>
    </row>
    <row r="659" customFormat="false" ht="15.75" hidden="false" customHeight="true" outlineLevel="0" collapsed="false">
      <c r="C659" s="187"/>
      <c r="D659" s="187"/>
      <c r="E659" s="187"/>
      <c r="F659" s="187"/>
    </row>
    <row r="660" customFormat="false" ht="15.75" hidden="false" customHeight="true" outlineLevel="0" collapsed="false">
      <c r="C660" s="187"/>
      <c r="D660" s="187"/>
      <c r="E660" s="187"/>
      <c r="F660" s="187"/>
    </row>
    <row r="661" customFormat="false" ht="15.75" hidden="false" customHeight="true" outlineLevel="0" collapsed="false">
      <c r="C661" s="187"/>
      <c r="D661" s="187"/>
      <c r="E661" s="187"/>
      <c r="F661" s="187"/>
    </row>
    <row r="662" customFormat="false" ht="15.75" hidden="false" customHeight="true" outlineLevel="0" collapsed="false">
      <c r="C662" s="187"/>
      <c r="D662" s="187"/>
      <c r="E662" s="187"/>
      <c r="F662" s="187"/>
    </row>
    <row r="663" customFormat="false" ht="15.75" hidden="false" customHeight="true" outlineLevel="0" collapsed="false">
      <c r="C663" s="187"/>
      <c r="D663" s="187"/>
      <c r="E663" s="187"/>
      <c r="F663" s="187"/>
    </row>
    <row r="664" customFormat="false" ht="15.75" hidden="false" customHeight="true" outlineLevel="0" collapsed="false">
      <c r="C664" s="187"/>
      <c r="D664" s="187"/>
      <c r="E664" s="187"/>
      <c r="F664" s="187"/>
    </row>
    <row r="665" customFormat="false" ht="15.75" hidden="false" customHeight="true" outlineLevel="0" collapsed="false">
      <c r="C665" s="187"/>
      <c r="D665" s="187"/>
      <c r="E665" s="187"/>
      <c r="F665" s="187"/>
    </row>
    <row r="666" customFormat="false" ht="15.75" hidden="false" customHeight="true" outlineLevel="0" collapsed="false">
      <c r="C666" s="187"/>
      <c r="D666" s="187"/>
      <c r="E666" s="187"/>
      <c r="F666" s="187"/>
    </row>
    <row r="667" customFormat="false" ht="15.75" hidden="false" customHeight="true" outlineLevel="0" collapsed="false">
      <c r="C667" s="187"/>
      <c r="D667" s="187"/>
      <c r="E667" s="187"/>
      <c r="F667" s="187"/>
    </row>
    <row r="668" customFormat="false" ht="15.75" hidden="false" customHeight="true" outlineLevel="0" collapsed="false">
      <c r="C668" s="187"/>
      <c r="D668" s="187"/>
      <c r="E668" s="187"/>
      <c r="F668" s="187"/>
    </row>
    <row r="669" customFormat="false" ht="15.75" hidden="false" customHeight="true" outlineLevel="0" collapsed="false">
      <c r="C669" s="187"/>
      <c r="D669" s="187"/>
      <c r="E669" s="187"/>
      <c r="F669" s="187"/>
    </row>
    <row r="670" customFormat="false" ht="15.75" hidden="false" customHeight="true" outlineLevel="0" collapsed="false">
      <c r="C670" s="187"/>
      <c r="D670" s="187"/>
      <c r="E670" s="187"/>
      <c r="F670" s="187"/>
    </row>
    <row r="671" customFormat="false" ht="15.75" hidden="false" customHeight="true" outlineLevel="0" collapsed="false">
      <c r="C671" s="187"/>
      <c r="D671" s="187"/>
      <c r="E671" s="187"/>
      <c r="F671" s="187"/>
    </row>
    <row r="672" customFormat="false" ht="15.75" hidden="false" customHeight="true" outlineLevel="0" collapsed="false">
      <c r="C672" s="187"/>
      <c r="D672" s="187"/>
      <c r="E672" s="187"/>
      <c r="F672" s="187"/>
    </row>
    <row r="673" customFormat="false" ht="15.75" hidden="false" customHeight="true" outlineLevel="0" collapsed="false">
      <c r="C673" s="187"/>
      <c r="D673" s="187"/>
      <c r="E673" s="187"/>
      <c r="F673" s="187"/>
    </row>
    <row r="674" customFormat="false" ht="15.75" hidden="false" customHeight="true" outlineLevel="0" collapsed="false">
      <c r="C674" s="187"/>
      <c r="D674" s="187"/>
      <c r="E674" s="187"/>
      <c r="F674" s="187"/>
    </row>
    <row r="675" customFormat="false" ht="15.75" hidden="false" customHeight="true" outlineLevel="0" collapsed="false">
      <c r="C675" s="187"/>
      <c r="D675" s="187"/>
      <c r="E675" s="187"/>
      <c r="F675" s="187"/>
    </row>
    <row r="676" customFormat="false" ht="15.75" hidden="false" customHeight="true" outlineLevel="0" collapsed="false">
      <c r="C676" s="187"/>
      <c r="D676" s="187"/>
      <c r="E676" s="187"/>
      <c r="F676" s="187"/>
    </row>
    <row r="677" customFormat="false" ht="15.75" hidden="false" customHeight="true" outlineLevel="0" collapsed="false">
      <c r="C677" s="187"/>
      <c r="D677" s="187"/>
      <c r="E677" s="187"/>
      <c r="F677" s="187"/>
    </row>
    <row r="678" customFormat="false" ht="15.75" hidden="false" customHeight="true" outlineLevel="0" collapsed="false">
      <c r="C678" s="187"/>
      <c r="D678" s="187"/>
      <c r="E678" s="187"/>
      <c r="F678" s="187"/>
    </row>
    <row r="679" customFormat="false" ht="15.75" hidden="false" customHeight="true" outlineLevel="0" collapsed="false">
      <c r="C679" s="187"/>
      <c r="D679" s="187"/>
      <c r="E679" s="187"/>
      <c r="F679" s="187"/>
    </row>
    <row r="680" customFormat="false" ht="15.75" hidden="false" customHeight="true" outlineLevel="0" collapsed="false">
      <c r="C680" s="187"/>
      <c r="D680" s="187"/>
      <c r="E680" s="187"/>
      <c r="F680" s="187"/>
    </row>
    <row r="681" customFormat="false" ht="15.75" hidden="false" customHeight="true" outlineLevel="0" collapsed="false">
      <c r="C681" s="187"/>
      <c r="D681" s="187"/>
      <c r="E681" s="187"/>
      <c r="F681" s="187"/>
    </row>
    <row r="682" customFormat="false" ht="15.75" hidden="false" customHeight="true" outlineLevel="0" collapsed="false">
      <c r="C682" s="187"/>
      <c r="D682" s="187"/>
      <c r="E682" s="187"/>
      <c r="F682" s="187"/>
    </row>
    <row r="683" customFormat="false" ht="15.75" hidden="false" customHeight="true" outlineLevel="0" collapsed="false">
      <c r="C683" s="187"/>
      <c r="D683" s="187"/>
      <c r="E683" s="187"/>
      <c r="F683" s="187"/>
    </row>
    <row r="684" customFormat="false" ht="15.75" hidden="false" customHeight="true" outlineLevel="0" collapsed="false">
      <c r="C684" s="187"/>
      <c r="D684" s="187"/>
      <c r="E684" s="187"/>
      <c r="F684" s="187"/>
    </row>
    <row r="685" customFormat="false" ht="15.75" hidden="false" customHeight="true" outlineLevel="0" collapsed="false">
      <c r="C685" s="187"/>
      <c r="D685" s="187"/>
      <c r="E685" s="187"/>
      <c r="F685" s="187"/>
    </row>
    <row r="686" customFormat="false" ht="15.75" hidden="false" customHeight="true" outlineLevel="0" collapsed="false">
      <c r="C686" s="187"/>
      <c r="D686" s="187"/>
      <c r="E686" s="187"/>
      <c r="F686" s="187"/>
    </row>
    <row r="687" customFormat="false" ht="15.75" hidden="false" customHeight="true" outlineLevel="0" collapsed="false">
      <c r="C687" s="187"/>
      <c r="D687" s="187"/>
      <c r="E687" s="187"/>
      <c r="F687" s="187"/>
    </row>
    <row r="688" customFormat="false" ht="15.75" hidden="false" customHeight="true" outlineLevel="0" collapsed="false">
      <c r="C688" s="187"/>
      <c r="D688" s="187"/>
      <c r="E688" s="187"/>
      <c r="F688" s="187"/>
    </row>
    <row r="689" customFormat="false" ht="15.75" hidden="false" customHeight="true" outlineLevel="0" collapsed="false">
      <c r="C689" s="187"/>
      <c r="D689" s="187"/>
      <c r="E689" s="187"/>
      <c r="F689" s="187"/>
    </row>
    <row r="690" customFormat="false" ht="15.75" hidden="false" customHeight="true" outlineLevel="0" collapsed="false">
      <c r="C690" s="187"/>
      <c r="D690" s="187"/>
      <c r="E690" s="187"/>
      <c r="F690" s="187"/>
    </row>
    <row r="691" customFormat="false" ht="15.75" hidden="false" customHeight="true" outlineLevel="0" collapsed="false">
      <c r="C691" s="187"/>
      <c r="D691" s="187"/>
      <c r="E691" s="187"/>
      <c r="F691" s="187"/>
    </row>
    <row r="692" customFormat="false" ht="15.75" hidden="false" customHeight="true" outlineLevel="0" collapsed="false">
      <c r="C692" s="187"/>
      <c r="D692" s="187"/>
      <c r="E692" s="187"/>
      <c r="F692" s="187"/>
    </row>
    <row r="693" customFormat="false" ht="15.75" hidden="false" customHeight="true" outlineLevel="0" collapsed="false">
      <c r="C693" s="187"/>
      <c r="D693" s="187"/>
      <c r="E693" s="187"/>
      <c r="F693" s="187"/>
    </row>
    <row r="694" customFormat="false" ht="15.75" hidden="false" customHeight="true" outlineLevel="0" collapsed="false">
      <c r="C694" s="187"/>
      <c r="D694" s="187"/>
      <c r="E694" s="187"/>
      <c r="F694" s="187"/>
    </row>
    <row r="695" customFormat="false" ht="15.75" hidden="false" customHeight="true" outlineLevel="0" collapsed="false">
      <c r="C695" s="187"/>
      <c r="D695" s="187"/>
      <c r="E695" s="187"/>
      <c r="F695" s="187"/>
    </row>
    <row r="696" customFormat="false" ht="15.75" hidden="false" customHeight="true" outlineLevel="0" collapsed="false">
      <c r="C696" s="187"/>
      <c r="D696" s="187"/>
      <c r="E696" s="187"/>
      <c r="F696" s="187"/>
    </row>
    <row r="697" customFormat="false" ht="15.75" hidden="false" customHeight="true" outlineLevel="0" collapsed="false">
      <c r="C697" s="187"/>
      <c r="D697" s="187"/>
      <c r="E697" s="187"/>
      <c r="F697" s="187"/>
    </row>
    <row r="698" customFormat="false" ht="15.75" hidden="false" customHeight="true" outlineLevel="0" collapsed="false">
      <c r="C698" s="187"/>
      <c r="D698" s="187"/>
      <c r="E698" s="187"/>
      <c r="F698" s="187"/>
    </row>
    <row r="699" customFormat="false" ht="15.75" hidden="false" customHeight="true" outlineLevel="0" collapsed="false">
      <c r="C699" s="187"/>
      <c r="D699" s="187"/>
      <c r="E699" s="187"/>
      <c r="F699" s="187"/>
    </row>
    <row r="700" customFormat="false" ht="15.75" hidden="false" customHeight="true" outlineLevel="0" collapsed="false">
      <c r="C700" s="187"/>
      <c r="D700" s="187"/>
      <c r="E700" s="187"/>
      <c r="F700" s="187"/>
    </row>
    <row r="701" customFormat="false" ht="15.75" hidden="false" customHeight="true" outlineLevel="0" collapsed="false">
      <c r="C701" s="187"/>
      <c r="D701" s="187"/>
      <c r="E701" s="187"/>
      <c r="F701" s="187"/>
    </row>
    <row r="702" customFormat="false" ht="15.75" hidden="false" customHeight="true" outlineLevel="0" collapsed="false">
      <c r="C702" s="187"/>
      <c r="D702" s="187"/>
      <c r="E702" s="187"/>
      <c r="F702" s="187"/>
    </row>
    <row r="703" customFormat="false" ht="15.75" hidden="false" customHeight="true" outlineLevel="0" collapsed="false">
      <c r="C703" s="187"/>
      <c r="D703" s="187"/>
      <c r="E703" s="187"/>
      <c r="F703" s="187"/>
    </row>
    <row r="704" customFormat="false" ht="15.75" hidden="false" customHeight="true" outlineLevel="0" collapsed="false">
      <c r="C704" s="187"/>
      <c r="D704" s="187"/>
      <c r="E704" s="187"/>
      <c r="F704" s="187"/>
    </row>
    <row r="705" customFormat="false" ht="15.75" hidden="false" customHeight="true" outlineLevel="0" collapsed="false">
      <c r="C705" s="187"/>
      <c r="D705" s="187"/>
      <c r="E705" s="187"/>
      <c r="F705" s="187"/>
    </row>
    <row r="706" customFormat="false" ht="15.75" hidden="false" customHeight="true" outlineLevel="0" collapsed="false">
      <c r="C706" s="187"/>
      <c r="D706" s="187"/>
      <c r="E706" s="187"/>
      <c r="F706" s="187"/>
    </row>
    <row r="707" customFormat="false" ht="15.75" hidden="false" customHeight="true" outlineLevel="0" collapsed="false">
      <c r="C707" s="187"/>
      <c r="D707" s="187"/>
      <c r="E707" s="187"/>
      <c r="F707" s="187"/>
    </row>
    <row r="708" customFormat="false" ht="15.75" hidden="false" customHeight="true" outlineLevel="0" collapsed="false">
      <c r="C708" s="187"/>
      <c r="D708" s="187"/>
      <c r="E708" s="187"/>
      <c r="F708" s="187"/>
    </row>
    <row r="709" customFormat="false" ht="15.75" hidden="false" customHeight="true" outlineLevel="0" collapsed="false">
      <c r="C709" s="187"/>
      <c r="D709" s="187"/>
      <c r="E709" s="187"/>
      <c r="F709" s="187"/>
    </row>
    <row r="710" customFormat="false" ht="15.75" hidden="false" customHeight="true" outlineLevel="0" collapsed="false">
      <c r="C710" s="187"/>
      <c r="D710" s="187"/>
      <c r="E710" s="187"/>
      <c r="F710" s="187"/>
    </row>
    <row r="711" customFormat="false" ht="15.75" hidden="false" customHeight="true" outlineLevel="0" collapsed="false">
      <c r="C711" s="187"/>
      <c r="D711" s="187"/>
      <c r="E711" s="187"/>
      <c r="F711" s="187"/>
    </row>
    <row r="712" customFormat="false" ht="15.75" hidden="false" customHeight="true" outlineLevel="0" collapsed="false">
      <c r="C712" s="187"/>
      <c r="D712" s="187"/>
      <c r="E712" s="187"/>
      <c r="F712" s="187"/>
    </row>
    <row r="713" customFormat="false" ht="15.75" hidden="false" customHeight="true" outlineLevel="0" collapsed="false">
      <c r="C713" s="187"/>
      <c r="D713" s="187"/>
      <c r="E713" s="187"/>
      <c r="F713" s="187"/>
    </row>
    <row r="714" customFormat="false" ht="15.75" hidden="false" customHeight="true" outlineLevel="0" collapsed="false">
      <c r="C714" s="187"/>
      <c r="D714" s="187"/>
      <c r="E714" s="187"/>
      <c r="F714" s="187"/>
    </row>
    <row r="715" customFormat="false" ht="15.75" hidden="false" customHeight="true" outlineLevel="0" collapsed="false">
      <c r="C715" s="187"/>
      <c r="D715" s="187"/>
      <c r="E715" s="187"/>
      <c r="F715" s="187"/>
    </row>
    <row r="716" customFormat="false" ht="15.75" hidden="false" customHeight="true" outlineLevel="0" collapsed="false">
      <c r="C716" s="187"/>
      <c r="D716" s="187"/>
      <c r="E716" s="187"/>
      <c r="F716" s="187"/>
    </row>
    <row r="717" customFormat="false" ht="15.75" hidden="false" customHeight="true" outlineLevel="0" collapsed="false">
      <c r="C717" s="187"/>
      <c r="D717" s="187"/>
      <c r="E717" s="187"/>
      <c r="F717" s="187"/>
    </row>
    <row r="718" customFormat="false" ht="15.75" hidden="false" customHeight="true" outlineLevel="0" collapsed="false">
      <c r="C718" s="187"/>
      <c r="D718" s="187"/>
      <c r="E718" s="187"/>
      <c r="F718" s="187"/>
    </row>
    <row r="719" customFormat="false" ht="15.75" hidden="false" customHeight="true" outlineLevel="0" collapsed="false">
      <c r="C719" s="187"/>
      <c r="D719" s="187"/>
      <c r="E719" s="187"/>
      <c r="F719" s="187"/>
    </row>
    <row r="720" customFormat="false" ht="15.75" hidden="false" customHeight="true" outlineLevel="0" collapsed="false">
      <c r="C720" s="187"/>
      <c r="D720" s="187"/>
      <c r="E720" s="187"/>
      <c r="F720" s="187"/>
    </row>
    <row r="721" customFormat="false" ht="15.75" hidden="false" customHeight="true" outlineLevel="0" collapsed="false">
      <c r="C721" s="187"/>
      <c r="D721" s="187"/>
      <c r="E721" s="187"/>
      <c r="F721" s="187"/>
    </row>
    <row r="722" customFormat="false" ht="15.75" hidden="false" customHeight="true" outlineLevel="0" collapsed="false">
      <c r="C722" s="187"/>
      <c r="D722" s="187"/>
      <c r="E722" s="187"/>
      <c r="F722" s="187"/>
    </row>
    <row r="723" customFormat="false" ht="15.75" hidden="false" customHeight="true" outlineLevel="0" collapsed="false">
      <c r="C723" s="187"/>
      <c r="D723" s="187"/>
      <c r="E723" s="187"/>
      <c r="F723" s="187"/>
    </row>
    <row r="724" customFormat="false" ht="15.75" hidden="false" customHeight="true" outlineLevel="0" collapsed="false">
      <c r="C724" s="187"/>
      <c r="D724" s="187"/>
      <c r="E724" s="187"/>
      <c r="F724" s="187"/>
    </row>
    <row r="725" customFormat="false" ht="15.75" hidden="false" customHeight="true" outlineLevel="0" collapsed="false">
      <c r="C725" s="187"/>
      <c r="D725" s="187"/>
      <c r="E725" s="187"/>
      <c r="F725" s="187"/>
    </row>
    <row r="726" customFormat="false" ht="15.75" hidden="false" customHeight="true" outlineLevel="0" collapsed="false">
      <c r="C726" s="187"/>
      <c r="D726" s="187"/>
      <c r="E726" s="187"/>
      <c r="F726" s="187"/>
    </row>
    <row r="727" customFormat="false" ht="15.75" hidden="false" customHeight="true" outlineLevel="0" collapsed="false">
      <c r="C727" s="187"/>
      <c r="D727" s="187"/>
      <c r="E727" s="187"/>
      <c r="F727" s="187"/>
    </row>
    <row r="728" customFormat="false" ht="15.75" hidden="false" customHeight="true" outlineLevel="0" collapsed="false">
      <c r="C728" s="187"/>
      <c r="D728" s="187"/>
      <c r="E728" s="187"/>
      <c r="F728" s="187"/>
    </row>
    <row r="729" customFormat="false" ht="15.75" hidden="false" customHeight="true" outlineLevel="0" collapsed="false">
      <c r="C729" s="187"/>
      <c r="D729" s="187"/>
      <c r="E729" s="187"/>
      <c r="F729" s="187"/>
    </row>
    <row r="730" customFormat="false" ht="15.75" hidden="false" customHeight="true" outlineLevel="0" collapsed="false">
      <c r="C730" s="187"/>
      <c r="D730" s="187"/>
      <c r="E730" s="187"/>
      <c r="F730" s="187"/>
    </row>
    <row r="731" customFormat="false" ht="15.75" hidden="false" customHeight="true" outlineLevel="0" collapsed="false">
      <c r="C731" s="187"/>
      <c r="D731" s="187"/>
      <c r="E731" s="187"/>
      <c r="F731" s="187"/>
    </row>
    <row r="732" customFormat="false" ht="15.75" hidden="false" customHeight="true" outlineLevel="0" collapsed="false">
      <c r="C732" s="187"/>
      <c r="D732" s="187"/>
      <c r="E732" s="187"/>
      <c r="F732" s="187"/>
    </row>
    <row r="733" customFormat="false" ht="15.75" hidden="false" customHeight="true" outlineLevel="0" collapsed="false">
      <c r="C733" s="187"/>
      <c r="D733" s="187"/>
      <c r="E733" s="187"/>
      <c r="F733" s="187"/>
    </row>
    <row r="734" customFormat="false" ht="15.75" hidden="false" customHeight="true" outlineLevel="0" collapsed="false">
      <c r="C734" s="187"/>
      <c r="D734" s="187"/>
      <c r="E734" s="187"/>
      <c r="F734" s="187"/>
    </row>
    <row r="735" customFormat="false" ht="15.75" hidden="false" customHeight="true" outlineLevel="0" collapsed="false">
      <c r="C735" s="187"/>
      <c r="D735" s="187"/>
      <c r="E735" s="187"/>
      <c r="F735" s="187"/>
    </row>
    <row r="736" customFormat="false" ht="15.75" hidden="false" customHeight="true" outlineLevel="0" collapsed="false">
      <c r="C736" s="187"/>
      <c r="D736" s="187"/>
      <c r="E736" s="187"/>
      <c r="F736" s="187"/>
    </row>
    <row r="737" customFormat="false" ht="15.75" hidden="false" customHeight="true" outlineLevel="0" collapsed="false">
      <c r="C737" s="187"/>
      <c r="D737" s="187"/>
      <c r="E737" s="187"/>
      <c r="F737" s="187"/>
    </row>
    <row r="738" customFormat="false" ht="15.75" hidden="false" customHeight="true" outlineLevel="0" collapsed="false">
      <c r="C738" s="187"/>
      <c r="D738" s="187"/>
      <c r="E738" s="187"/>
      <c r="F738" s="187"/>
    </row>
    <row r="739" customFormat="false" ht="15.75" hidden="false" customHeight="true" outlineLevel="0" collapsed="false">
      <c r="C739" s="187"/>
      <c r="D739" s="187"/>
      <c r="E739" s="187"/>
      <c r="F739" s="187"/>
    </row>
    <row r="740" customFormat="false" ht="15.75" hidden="false" customHeight="true" outlineLevel="0" collapsed="false">
      <c r="C740" s="187"/>
      <c r="D740" s="187"/>
      <c r="E740" s="187"/>
      <c r="F740" s="187"/>
    </row>
    <row r="741" customFormat="false" ht="15.75" hidden="false" customHeight="true" outlineLevel="0" collapsed="false">
      <c r="C741" s="187"/>
      <c r="D741" s="187"/>
      <c r="E741" s="187"/>
      <c r="F741" s="187"/>
    </row>
    <row r="742" customFormat="false" ht="15.75" hidden="false" customHeight="true" outlineLevel="0" collapsed="false">
      <c r="C742" s="187"/>
      <c r="D742" s="187"/>
      <c r="E742" s="187"/>
      <c r="F742" s="187"/>
    </row>
    <row r="743" customFormat="false" ht="15.75" hidden="false" customHeight="true" outlineLevel="0" collapsed="false">
      <c r="C743" s="187"/>
      <c r="D743" s="187"/>
      <c r="E743" s="187"/>
      <c r="F743" s="187"/>
    </row>
    <row r="744" customFormat="false" ht="15.75" hidden="false" customHeight="true" outlineLevel="0" collapsed="false">
      <c r="C744" s="187"/>
      <c r="D744" s="187"/>
      <c r="E744" s="187"/>
      <c r="F744" s="187"/>
    </row>
    <row r="745" customFormat="false" ht="15.75" hidden="false" customHeight="true" outlineLevel="0" collapsed="false">
      <c r="C745" s="187"/>
      <c r="D745" s="187"/>
      <c r="E745" s="187"/>
      <c r="F745" s="187"/>
    </row>
    <row r="746" customFormat="false" ht="15.75" hidden="false" customHeight="true" outlineLevel="0" collapsed="false">
      <c r="C746" s="187"/>
      <c r="D746" s="187"/>
      <c r="E746" s="187"/>
      <c r="F746" s="187"/>
    </row>
    <row r="747" customFormat="false" ht="15.75" hidden="false" customHeight="true" outlineLevel="0" collapsed="false">
      <c r="C747" s="187"/>
      <c r="D747" s="187"/>
      <c r="E747" s="187"/>
      <c r="F747" s="187"/>
    </row>
    <row r="748" customFormat="false" ht="15.75" hidden="false" customHeight="true" outlineLevel="0" collapsed="false">
      <c r="C748" s="187"/>
      <c r="D748" s="187"/>
      <c r="E748" s="187"/>
      <c r="F748" s="187"/>
    </row>
    <row r="749" customFormat="false" ht="15.75" hidden="false" customHeight="true" outlineLevel="0" collapsed="false">
      <c r="C749" s="187"/>
      <c r="D749" s="187"/>
      <c r="E749" s="187"/>
      <c r="F749" s="187"/>
    </row>
    <row r="750" customFormat="false" ht="15.75" hidden="false" customHeight="true" outlineLevel="0" collapsed="false">
      <c r="C750" s="187"/>
      <c r="D750" s="187"/>
      <c r="E750" s="187"/>
      <c r="F750" s="187"/>
    </row>
    <row r="751" customFormat="false" ht="15.75" hidden="false" customHeight="true" outlineLevel="0" collapsed="false">
      <c r="C751" s="187"/>
      <c r="D751" s="187"/>
      <c r="E751" s="187"/>
      <c r="F751" s="187"/>
    </row>
    <row r="752" customFormat="false" ht="15.75" hidden="false" customHeight="true" outlineLevel="0" collapsed="false">
      <c r="C752" s="187"/>
      <c r="D752" s="187"/>
      <c r="E752" s="187"/>
      <c r="F752" s="187"/>
    </row>
    <row r="753" customFormat="false" ht="15.75" hidden="false" customHeight="true" outlineLevel="0" collapsed="false">
      <c r="C753" s="187"/>
      <c r="D753" s="187"/>
      <c r="E753" s="187"/>
      <c r="F753" s="187"/>
    </row>
    <row r="754" customFormat="false" ht="15.75" hidden="false" customHeight="true" outlineLevel="0" collapsed="false">
      <c r="C754" s="187"/>
      <c r="D754" s="187"/>
      <c r="E754" s="187"/>
      <c r="F754" s="187"/>
    </row>
    <row r="755" customFormat="false" ht="15.75" hidden="false" customHeight="true" outlineLevel="0" collapsed="false">
      <c r="C755" s="187"/>
      <c r="D755" s="187"/>
      <c r="E755" s="187"/>
      <c r="F755" s="187"/>
    </row>
    <row r="756" customFormat="false" ht="15.75" hidden="false" customHeight="true" outlineLevel="0" collapsed="false">
      <c r="C756" s="187"/>
      <c r="D756" s="187"/>
      <c r="E756" s="187"/>
      <c r="F756" s="187"/>
    </row>
    <row r="757" customFormat="false" ht="15.75" hidden="false" customHeight="true" outlineLevel="0" collapsed="false">
      <c r="C757" s="187"/>
      <c r="D757" s="187"/>
      <c r="E757" s="187"/>
      <c r="F757" s="187"/>
    </row>
    <row r="758" customFormat="false" ht="15.75" hidden="false" customHeight="true" outlineLevel="0" collapsed="false">
      <c r="C758" s="187"/>
      <c r="D758" s="187"/>
      <c r="E758" s="187"/>
      <c r="F758" s="187"/>
    </row>
    <row r="759" customFormat="false" ht="15.75" hidden="false" customHeight="true" outlineLevel="0" collapsed="false">
      <c r="C759" s="187"/>
      <c r="D759" s="187"/>
      <c r="E759" s="187"/>
      <c r="F759" s="187"/>
    </row>
    <row r="760" customFormat="false" ht="15.75" hidden="false" customHeight="true" outlineLevel="0" collapsed="false">
      <c r="C760" s="187"/>
      <c r="D760" s="187"/>
      <c r="E760" s="187"/>
      <c r="F760" s="187"/>
    </row>
    <row r="761" customFormat="false" ht="15.75" hidden="false" customHeight="true" outlineLevel="0" collapsed="false">
      <c r="C761" s="187"/>
      <c r="D761" s="187"/>
      <c r="E761" s="187"/>
      <c r="F761" s="187"/>
    </row>
    <row r="762" customFormat="false" ht="15.75" hidden="false" customHeight="true" outlineLevel="0" collapsed="false">
      <c r="C762" s="187"/>
      <c r="D762" s="187"/>
      <c r="E762" s="187"/>
      <c r="F762" s="187"/>
    </row>
    <row r="763" customFormat="false" ht="15.75" hidden="false" customHeight="true" outlineLevel="0" collapsed="false">
      <c r="C763" s="187"/>
      <c r="D763" s="187"/>
      <c r="E763" s="187"/>
      <c r="F763" s="187"/>
    </row>
    <row r="764" customFormat="false" ht="15.75" hidden="false" customHeight="true" outlineLevel="0" collapsed="false">
      <c r="C764" s="187"/>
      <c r="D764" s="187"/>
      <c r="E764" s="187"/>
      <c r="F764" s="187"/>
    </row>
    <row r="765" customFormat="false" ht="15.75" hidden="false" customHeight="true" outlineLevel="0" collapsed="false">
      <c r="C765" s="187"/>
      <c r="D765" s="187"/>
      <c r="E765" s="187"/>
      <c r="F765" s="187"/>
    </row>
    <row r="766" customFormat="false" ht="15.75" hidden="false" customHeight="true" outlineLevel="0" collapsed="false">
      <c r="C766" s="187"/>
      <c r="D766" s="187"/>
      <c r="E766" s="187"/>
      <c r="F766" s="187"/>
    </row>
    <row r="767" customFormat="false" ht="15.75" hidden="false" customHeight="true" outlineLevel="0" collapsed="false">
      <c r="C767" s="187"/>
      <c r="D767" s="187"/>
      <c r="E767" s="187"/>
      <c r="F767" s="187"/>
    </row>
    <row r="768" customFormat="false" ht="15.75" hidden="false" customHeight="true" outlineLevel="0" collapsed="false">
      <c r="C768" s="187"/>
      <c r="D768" s="187"/>
      <c r="E768" s="187"/>
      <c r="F768" s="187"/>
    </row>
    <row r="769" customFormat="false" ht="15.75" hidden="false" customHeight="true" outlineLevel="0" collapsed="false">
      <c r="C769" s="187"/>
      <c r="D769" s="187"/>
      <c r="E769" s="187"/>
      <c r="F769" s="187"/>
    </row>
    <row r="770" customFormat="false" ht="15.75" hidden="false" customHeight="true" outlineLevel="0" collapsed="false">
      <c r="C770" s="187"/>
      <c r="D770" s="187"/>
      <c r="E770" s="187"/>
      <c r="F770" s="187"/>
    </row>
    <row r="771" customFormat="false" ht="15.75" hidden="false" customHeight="true" outlineLevel="0" collapsed="false">
      <c r="C771" s="187"/>
      <c r="D771" s="187"/>
      <c r="E771" s="187"/>
      <c r="F771" s="187"/>
    </row>
    <row r="772" customFormat="false" ht="15.75" hidden="false" customHeight="true" outlineLevel="0" collapsed="false">
      <c r="C772" s="187"/>
      <c r="D772" s="187"/>
      <c r="E772" s="187"/>
      <c r="F772" s="187"/>
    </row>
    <row r="773" customFormat="false" ht="15.75" hidden="false" customHeight="true" outlineLevel="0" collapsed="false">
      <c r="C773" s="187"/>
      <c r="D773" s="187"/>
      <c r="E773" s="187"/>
      <c r="F773" s="187"/>
    </row>
    <row r="774" customFormat="false" ht="15.75" hidden="false" customHeight="true" outlineLevel="0" collapsed="false">
      <c r="C774" s="187"/>
      <c r="D774" s="187"/>
      <c r="E774" s="187"/>
      <c r="F774" s="187"/>
    </row>
    <row r="775" customFormat="false" ht="15.75" hidden="false" customHeight="true" outlineLevel="0" collapsed="false">
      <c r="C775" s="187"/>
      <c r="D775" s="187"/>
      <c r="E775" s="187"/>
      <c r="F775" s="187"/>
    </row>
    <row r="776" customFormat="false" ht="15.75" hidden="false" customHeight="true" outlineLevel="0" collapsed="false">
      <c r="C776" s="187"/>
      <c r="D776" s="187"/>
      <c r="E776" s="187"/>
      <c r="F776" s="187"/>
    </row>
    <row r="777" customFormat="false" ht="15.75" hidden="false" customHeight="true" outlineLevel="0" collapsed="false">
      <c r="C777" s="187"/>
      <c r="D777" s="187"/>
      <c r="E777" s="187"/>
      <c r="F777" s="187"/>
    </row>
    <row r="778" customFormat="false" ht="15.75" hidden="false" customHeight="true" outlineLevel="0" collapsed="false">
      <c r="C778" s="187"/>
      <c r="D778" s="187"/>
      <c r="E778" s="187"/>
      <c r="F778" s="187"/>
    </row>
    <row r="779" customFormat="false" ht="15.75" hidden="false" customHeight="true" outlineLevel="0" collapsed="false">
      <c r="C779" s="187"/>
      <c r="D779" s="187"/>
      <c r="E779" s="187"/>
      <c r="F779" s="187"/>
    </row>
    <row r="780" customFormat="false" ht="15.75" hidden="false" customHeight="true" outlineLevel="0" collapsed="false">
      <c r="C780" s="187"/>
      <c r="D780" s="187"/>
      <c r="E780" s="187"/>
      <c r="F780" s="187"/>
    </row>
    <row r="781" customFormat="false" ht="15.75" hidden="false" customHeight="true" outlineLevel="0" collapsed="false">
      <c r="C781" s="187"/>
      <c r="D781" s="187"/>
      <c r="E781" s="187"/>
      <c r="F781" s="187"/>
    </row>
    <row r="782" customFormat="false" ht="15.75" hidden="false" customHeight="true" outlineLevel="0" collapsed="false">
      <c r="C782" s="187"/>
      <c r="D782" s="187"/>
      <c r="E782" s="187"/>
      <c r="F782" s="187"/>
    </row>
    <row r="783" customFormat="false" ht="15.75" hidden="false" customHeight="true" outlineLevel="0" collapsed="false">
      <c r="C783" s="187"/>
      <c r="D783" s="187"/>
      <c r="E783" s="187"/>
      <c r="F783" s="187"/>
    </row>
    <row r="784" customFormat="false" ht="15.75" hidden="false" customHeight="true" outlineLevel="0" collapsed="false">
      <c r="C784" s="187"/>
      <c r="D784" s="187"/>
      <c r="E784" s="187"/>
      <c r="F784" s="187"/>
    </row>
    <row r="785" customFormat="false" ht="15.75" hidden="false" customHeight="true" outlineLevel="0" collapsed="false">
      <c r="C785" s="187"/>
      <c r="D785" s="187"/>
      <c r="E785" s="187"/>
      <c r="F785" s="187"/>
    </row>
    <row r="786" customFormat="false" ht="15.75" hidden="false" customHeight="true" outlineLevel="0" collapsed="false">
      <c r="C786" s="187"/>
      <c r="D786" s="187"/>
      <c r="E786" s="187"/>
      <c r="F786" s="187"/>
    </row>
    <row r="787" customFormat="false" ht="15.75" hidden="false" customHeight="true" outlineLevel="0" collapsed="false">
      <c r="C787" s="187"/>
      <c r="D787" s="187"/>
      <c r="E787" s="187"/>
      <c r="F787" s="187"/>
    </row>
    <row r="788" customFormat="false" ht="15.75" hidden="false" customHeight="true" outlineLevel="0" collapsed="false">
      <c r="C788" s="187"/>
      <c r="D788" s="187"/>
      <c r="E788" s="187"/>
      <c r="F788" s="187"/>
    </row>
    <row r="789" customFormat="false" ht="15.75" hidden="false" customHeight="true" outlineLevel="0" collapsed="false">
      <c r="C789" s="187"/>
      <c r="D789" s="187"/>
      <c r="E789" s="187"/>
      <c r="F789" s="187"/>
    </row>
    <row r="790" customFormat="false" ht="15.75" hidden="false" customHeight="true" outlineLevel="0" collapsed="false">
      <c r="C790" s="187"/>
      <c r="D790" s="187"/>
      <c r="E790" s="187"/>
      <c r="F790" s="187"/>
    </row>
    <row r="791" customFormat="false" ht="15.75" hidden="false" customHeight="true" outlineLevel="0" collapsed="false">
      <c r="C791" s="187"/>
      <c r="D791" s="187"/>
      <c r="E791" s="187"/>
      <c r="F791" s="187"/>
    </row>
    <row r="792" customFormat="false" ht="15.75" hidden="false" customHeight="true" outlineLevel="0" collapsed="false">
      <c r="C792" s="187"/>
      <c r="D792" s="187"/>
      <c r="E792" s="187"/>
      <c r="F792" s="187"/>
    </row>
    <row r="793" customFormat="false" ht="15.75" hidden="false" customHeight="true" outlineLevel="0" collapsed="false">
      <c r="C793" s="187"/>
      <c r="D793" s="187"/>
      <c r="E793" s="187"/>
      <c r="F793" s="187"/>
    </row>
    <row r="794" customFormat="false" ht="15.75" hidden="false" customHeight="true" outlineLevel="0" collapsed="false">
      <c r="C794" s="187"/>
      <c r="D794" s="187"/>
      <c r="E794" s="187"/>
      <c r="F794" s="187"/>
    </row>
    <row r="795" customFormat="false" ht="15.75" hidden="false" customHeight="true" outlineLevel="0" collapsed="false">
      <c r="C795" s="187"/>
      <c r="D795" s="187"/>
      <c r="E795" s="187"/>
      <c r="F795" s="187"/>
    </row>
    <row r="796" customFormat="false" ht="15.75" hidden="false" customHeight="true" outlineLevel="0" collapsed="false">
      <c r="C796" s="187"/>
      <c r="D796" s="187"/>
      <c r="E796" s="187"/>
      <c r="F796" s="187"/>
    </row>
    <row r="797" customFormat="false" ht="15.75" hidden="false" customHeight="true" outlineLevel="0" collapsed="false">
      <c r="C797" s="187"/>
      <c r="D797" s="187"/>
      <c r="E797" s="187"/>
      <c r="F797" s="187"/>
    </row>
    <row r="798" customFormat="false" ht="15.75" hidden="false" customHeight="true" outlineLevel="0" collapsed="false">
      <c r="C798" s="187"/>
      <c r="D798" s="187"/>
      <c r="E798" s="187"/>
      <c r="F798" s="187"/>
    </row>
    <row r="799" customFormat="false" ht="15.75" hidden="false" customHeight="true" outlineLevel="0" collapsed="false">
      <c r="C799" s="187"/>
      <c r="D799" s="187"/>
      <c r="E799" s="187"/>
      <c r="F799" s="187"/>
    </row>
    <row r="800" customFormat="false" ht="15.75" hidden="false" customHeight="true" outlineLevel="0" collapsed="false">
      <c r="C800" s="187"/>
      <c r="D800" s="187"/>
      <c r="E800" s="187"/>
      <c r="F800" s="187"/>
    </row>
    <row r="801" customFormat="false" ht="15.75" hidden="false" customHeight="true" outlineLevel="0" collapsed="false">
      <c r="C801" s="187"/>
      <c r="D801" s="187"/>
      <c r="E801" s="187"/>
      <c r="F801" s="187"/>
    </row>
    <row r="802" customFormat="false" ht="15.75" hidden="false" customHeight="true" outlineLevel="0" collapsed="false">
      <c r="C802" s="187"/>
      <c r="D802" s="187"/>
      <c r="E802" s="187"/>
      <c r="F802" s="187"/>
    </row>
    <row r="803" customFormat="false" ht="15.75" hidden="false" customHeight="true" outlineLevel="0" collapsed="false">
      <c r="C803" s="187"/>
      <c r="D803" s="187"/>
      <c r="E803" s="187"/>
      <c r="F803" s="187"/>
    </row>
    <row r="804" customFormat="false" ht="15.75" hidden="false" customHeight="true" outlineLevel="0" collapsed="false">
      <c r="C804" s="187"/>
      <c r="D804" s="187"/>
      <c r="E804" s="187"/>
      <c r="F804" s="187"/>
    </row>
    <row r="805" customFormat="false" ht="15.75" hidden="false" customHeight="true" outlineLevel="0" collapsed="false">
      <c r="C805" s="187"/>
      <c r="D805" s="187"/>
      <c r="E805" s="187"/>
      <c r="F805" s="187"/>
    </row>
    <row r="806" customFormat="false" ht="15.75" hidden="false" customHeight="true" outlineLevel="0" collapsed="false">
      <c r="C806" s="187"/>
      <c r="D806" s="187"/>
      <c r="E806" s="187"/>
      <c r="F806" s="187"/>
    </row>
    <row r="807" customFormat="false" ht="15.75" hidden="false" customHeight="true" outlineLevel="0" collapsed="false">
      <c r="C807" s="187"/>
      <c r="D807" s="187"/>
      <c r="E807" s="187"/>
      <c r="F807" s="187"/>
    </row>
    <row r="808" customFormat="false" ht="15.75" hidden="false" customHeight="true" outlineLevel="0" collapsed="false">
      <c r="C808" s="187"/>
      <c r="D808" s="187"/>
      <c r="E808" s="187"/>
      <c r="F808" s="187"/>
    </row>
    <row r="809" customFormat="false" ht="15.75" hidden="false" customHeight="true" outlineLevel="0" collapsed="false">
      <c r="C809" s="187"/>
      <c r="D809" s="187"/>
      <c r="E809" s="187"/>
      <c r="F809" s="187"/>
    </row>
    <row r="810" customFormat="false" ht="15.75" hidden="false" customHeight="true" outlineLevel="0" collapsed="false">
      <c r="C810" s="187"/>
      <c r="D810" s="187"/>
      <c r="E810" s="187"/>
      <c r="F810" s="187"/>
    </row>
    <row r="811" customFormat="false" ht="15.75" hidden="false" customHeight="true" outlineLevel="0" collapsed="false">
      <c r="C811" s="187"/>
      <c r="D811" s="187"/>
      <c r="E811" s="187"/>
      <c r="F811" s="187"/>
    </row>
    <row r="812" customFormat="false" ht="15.75" hidden="false" customHeight="true" outlineLevel="0" collapsed="false">
      <c r="C812" s="187"/>
      <c r="D812" s="187"/>
      <c r="E812" s="187"/>
      <c r="F812" s="187"/>
    </row>
    <row r="813" customFormat="false" ht="15.75" hidden="false" customHeight="true" outlineLevel="0" collapsed="false">
      <c r="C813" s="187"/>
      <c r="D813" s="187"/>
      <c r="E813" s="187"/>
      <c r="F813" s="187"/>
    </row>
    <row r="814" customFormat="false" ht="15.75" hidden="false" customHeight="true" outlineLevel="0" collapsed="false">
      <c r="C814" s="187"/>
      <c r="D814" s="187"/>
      <c r="E814" s="187"/>
      <c r="F814" s="187"/>
    </row>
    <row r="815" customFormat="false" ht="15.75" hidden="false" customHeight="true" outlineLevel="0" collapsed="false">
      <c r="C815" s="187"/>
      <c r="D815" s="187"/>
      <c r="E815" s="187"/>
      <c r="F815" s="187"/>
    </row>
    <row r="816" customFormat="false" ht="15.75" hidden="false" customHeight="true" outlineLevel="0" collapsed="false">
      <c r="C816" s="187"/>
      <c r="D816" s="187"/>
      <c r="E816" s="187"/>
      <c r="F816" s="187"/>
    </row>
    <row r="817" customFormat="false" ht="15.75" hidden="false" customHeight="true" outlineLevel="0" collapsed="false">
      <c r="C817" s="187"/>
      <c r="D817" s="187"/>
      <c r="E817" s="187"/>
      <c r="F817" s="187"/>
    </row>
    <row r="818" customFormat="false" ht="15.75" hidden="false" customHeight="true" outlineLevel="0" collapsed="false">
      <c r="C818" s="187"/>
      <c r="D818" s="187"/>
      <c r="E818" s="187"/>
      <c r="F818" s="187"/>
    </row>
    <row r="819" customFormat="false" ht="15.75" hidden="false" customHeight="true" outlineLevel="0" collapsed="false">
      <c r="C819" s="187"/>
      <c r="D819" s="187"/>
      <c r="E819" s="187"/>
      <c r="F819" s="187"/>
    </row>
    <row r="820" customFormat="false" ht="15.75" hidden="false" customHeight="true" outlineLevel="0" collapsed="false">
      <c r="C820" s="187"/>
      <c r="D820" s="187"/>
      <c r="E820" s="187"/>
      <c r="F820" s="187"/>
    </row>
    <row r="821" customFormat="false" ht="15.75" hidden="false" customHeight="true" outlineLevel="0" collapsed="false">
      <c r="C821" s="187"/>
      <c r="D821" s="187"/>
      <c r="E821" s="187"/>
      <c r="F821" s="187"/>
    </row>
    <row r="822" customFormat="false" ht="15.75" hidden="false" customHeight="true" outlineLevel="0" collapsed="false">
      <c r="C822" s="187"/>
      <c r="D822" s="187"/>
      <c r="E822" s="187"/>
      <c r="F822" s="187"/>
    </row>
    <row r="823" customFormat="false" ht="15.75" hidden="false" customHeight="true" outlineLevel="0" collapsed="false">
      <c r="C823" s="187"/>
      <c r="D823" s="187"/>
      <c r="E823" s="187"/>
      <c r="F823" s="187"/>
    </row>
    <row r="824" customFormat="false" ht="15.75" hidden="false" customHeight="true" outlineLevel="0" collapsed="false">
      <c r="C824" s="187"/>
      <c r="D824" s="187"/>
      <c r="E824" s="187"/>
      <c r="F824" s="187"/>
    </row>
    <row r="825" customFormat="false" ht="15.75" hidden="false" customHeight="true" outlineLevel="0" collapsed="false">
      <c r="C825" s="187"/>
      <c r="D825" s="187"/>
      <c r="E825" s="187"/>
      <c r="F825" s="187"/>
    </row>
    <row r="826" customFormat="false" ht="15.75" hidden="false" customHeight="true" outlineLevel="0" collapsed="false">
      <c r="C826" s="187"/>
      <c r="D826" s="187"/>
      <c r="E826" s="187"/>
      <c r="F826" s="187"/>
    </row>
    <row r="827" customFormat="false" ht="15.75" hidden="false" customHeight="true" outlineLevel="0" collapsed="false">
      <c r="C827" s="187"/>
      <c r="D827" s="187"/>
      <c r="E827" s="187"/>
      <c r="F827" s="187"/>
    </row>
    <row r="828" customFormat="false" ht="15.75" hidden="false" customHeight="true" outlineLevel="0" collapsed="false">
      <c r="C828" s="187"/>
      <c r="D828" s="187"/>
      <c r="E828" s="187"/>
      <c r="F828" s="187"/>
    </row>
    <row r="829" customFormat="false" ht="15.75" hidden="false" customHeight="true" outlineLevel="0" collapsed="false">
      <c r="C829" s="187"/>
      <c r="D829" s="187"/>
      <c r="E829" s="187"/>
      <c r="F829" s="187"/>
    </row>
    <row r="830" customFormat="false" ht="15.75" hidden="false" customHeight="true" outlineLevel="0" collapsed="false">
      <c r="C830" s="187"/>
      <c r="D830" s="187"/>
      <c r="E830" s="187"/>
      <c r="F830" s="187"/>
    </row>
    <row r="831" customFormat="false" ht="15.75" hidden="false" customHeight="true" outlineLevel="0" collapsed="false">
      <c r="C831" s="187"/>
      <c r="D831" s="187"/>
      <c r="E831" s="187"/>
      <c r="F831" s="187"/>
    </row>
    <row r="832" customFormat="false" ht="15.75" hidden="false" customHeight="true" outlineLevel="0" collapsed="false">
      <c r="C832" s="187"/>
      <c r="D832" s="187"/>
      <c r="E832" s="187"/>
      <c r="F832" s="187"/>
    </row>
    <row r="833" customFormat="false" ht="15.75" hidden="false" customHeight="true" outlineLevel="0" collapsed="false">
      <c r="C833" s="187"/>
      <c r="D833" s="187"/>
      <c r="E833" s="187"/>
      <c r="F833" s="187"/>
    </row>
    <row r="834" customFormat="false" ht="15.75" hidden="false" customHeight="true" outlineLevel="0" collapsed="false">
      <c r="C834" s="187"/>
      <c r="D834" s="187"/>
      <c r="E834" s="187"/>
      <c r="F834" s="187"/>
    </row>
    <row r="835" customFormat="false" ht="15.75" hidden="false" customHeight="true" outlineLevel="0" collapsed="false">
      <c r="C835" s="187"/>
      <c r="D835" s="187"/>
      <c r="E835" s="187"/>
      <c r="F835" s="187"/>
    </row>
    <row r="836" customFormat="false" ht="15.75" hidden="false" customHeight="true" outlineLevel="0" collapsed="false">
      <c r="C836" s="187"/>
      <c r="D836" s="187"/>
      <c r="E836" s="187"/>
      <c r="F836" s="187"/>
    </row>
    <row r="837" customFormat="false" ht="15.75" hidden="false" customHeight="true" outlineLevel="0" collapsed="false">
      <c r="C837" s="187"/>
      <c r="D837" s="187"/>
      <c r="E837" s="187"/>
      <c r="F837" s="187"/>
    </row>
    <row r="838" customFormat="false" ht="15.75" hidden="false" customHeight="true" outlineLevel="0" collapsed="false">
      <c r="C838" s="187"/>
      <c r="D838" s="187"/>
      <c r="E838" s="187"/>
      <c r="F838" s="187"/>
    </row>
    <row r="839" customFormat="false" ht="15.75" hidden="false" customHeight="true" outlineLevel="0" collapsed="false">
      <c r="C839" s="187"/>
      <c r="D839" s="187"/>
      <c r="E839" s="187"/>
      <c r="F839" s="187"/>
    </row>
    <row r="840" customFormat="false" ht="15.75" hidden="false" customHeight="true" outlineLevel="0" collapsed="false">
      <c r="C840" s="187"/>
      <c r="D840" s="187"/>
      <c r="E840" s="187"/>
      <c r="F840" s="187"/>
    </row>
    <row r="841" customFormat="false" ht="15.75" hidden="false" customHeight="true" outlineLevel="0" collapsed="false">
      <c r="C841" s="187"/>
      <c r="D841" s="187"/>
      <c r="E841" s="187"/>
      <c r="F841" s="187"/>
    </row>
    <row r="842" customFormat="false" ht="15.75" hidden="false" customHeight="true" outlineLevel="0" collapsed="false">
      <c r="C842" s="187"/>
      <c r="D842" s="187"/>
      <c r="E842" s="187"/>
      <c r="F842" s="187"/>
    </row>
    <row r="843" customFormat="false" ht="15.75" hidden="false" customHeight="true" outlineLevel="0" collapsed="false">
      <c r="C843" s="187"/>
      <c r="D843" s="187"/>
      <c r="E843" s="187"/>
      <c r="F843" s="187"/>
    </row>
    <row r="844" customFormat="false" ht="15.75" hidden="false" customHeight="true" outlineLevel="0" collapsed="false">
      <c r="C844" s="187"/>
      <c r="D844" s="187"/>
      <c r="E844" s="187"/>
      <c r="F844" s="187"/>
    </row>
    <row r="845" customFormat="false" ht="15.75" hidden="false" customHeight="true" outlineLevel="0" collapsed="false">
      <c r="C845" s="187"/>
      <c r="D845" s="187"/>
      <c r="E845" s="187"/>
      <c r="F845" s="187"/>
    </row>
    <row r="846" customFormat="false" ht="15.75" hidden="false" customHeight="true" outlineLevel="0" collapsed="false">
      <c r="C846" s="187"/>
      <c r="D846" s="187"/>
      <c r="E846" s="187"/>
      <c r="F846" s="187"/>
    </row>
    <row r="847" customFormat="false" ht="15.75" hidden="false" customHeight="true" outlineLevel="0" collapsed="false">
      <c r="C847" s="187"/>
      <c r="D847" s="187"/>
      <c r="E847" s="187"/>
      <c r="F847" s="187"/>
    </row>
    <row r="848" customFormat="false" ht="15.75" hidden="false" customHeight="true" outlineLevel="0" collapsed="false">
      <c r="C848" s="187"/>
      <c r="D848" s="187"/>
      <c r="E848" s="187"/>
      <c r="F848" s="187"/>
    </row>
    <row r="849" customFormat="false" ht="15.75" hidden="false" customHeight="true" outlineLevel="0" collapsed="false">
      <c r="C849" s="187"/>
      <c r="D849" s="187"/>
      <c r="E849" s="187"/>
      <c r="F849" s="187"/>
    </row>
    <row r="850" customFormat="false" ht="15.75" hidden="false" customHeight="true" outlineLevel="0" collapsed="false">
      <c r="C850" s="187"/>
      <c r="D850" s="187"/>
      <c r="E850" s="187"/>
      <c r="F850" s="187"/>
    </row>
    <row r="851" customFormat="false" ht="15.75" hidden="false" customHeight="true" outlineLevel="0" collapsed="false">
      <c r="C851" s="187"/>
      <c r="D851" s="187"/>
      <c r="E851" s="187"/>
      <c r="F851" s="187"/>
    </row>
    <row r="852" customFormat="false" ht="15.75" hidden="false" customHeight="true" outlineLevel="0" collapsed="false">
      <c r="C852" s="187"/>
      <c r="D852" s="187"/>
      <c r="E852" s="187"/>
      <c r="F852" s="187"/>
    </row>
    <row r="853" customFormat="false" ht="15.75" hidden="false" customHeight="true" outlineLevel="0" collapsed="false">
      <c r="C853" s="187"/>
      <c r="D853" s="187"/>
      <c r="E853" s="187"/>
      <c r="F853" s="187"/>
    </row>
    <row r="854" customFormat="false" ht="15.75" hidden="false" customHeight="true" outlineLevel="0" collapsed="false">
      <c r="C854" s="187"/>
      <c r="D854" s="187"/>
      <c r="E854" s="187"/>
      <c r="F854" s="187"/>
    </row>
    <row r="855" customFormat="false" ht="15.75" hidden="false" customHeight="true" outlineLevel="0" collapsed="false">
      <c r="C855" s="187"/>
      <c r="D855" s="187"/>
      <c r="E855" s="187"/>
      <c r="F855" s="187"/>
    </row>
    <row r="856" customFormat="false" ht="15.75" hidden="false" customHeight="true" outlineLevel="0" collapsed="false">
      <c r="C856" s="187"/>
      <c r="D856" s="187"/>
      <c r="E856" s="187"/>
      <c r="F856" s="187"/>
    </row>
    <row r="857" customFormat="false" ht="15.75" hidden="false" customHeight="true" outlineLevel="0" collapsed="false">
      <c r="C857" s="187"/>
      <c r="D857" s="187"/>
      <c r="E857" s="187"/>
      <c r="F857" s="187"/>
    </row>
    <row r="858" customFormat="false" ht="15.75" hidden="false" customHeight="true" outlineLevel="0" collapsed="false">
      <c r="C858" s="187"/>
      <c r="D858" s="187"/>
      <c r="E858" s="187"/>
      <c r="F858" s="187"/>
    </row>
    <row r="859" customFormat="false" ht="15.75" hidden="false" customHeight="true" outlineLevel="0" collapsed="false">
      <c r="C859" s="187"/>
      <c r="D859" s="187"/>
      <c r="E859" s="187"/>
      <c r="F859" s="187"/>
    </row>
    <row r="860" customFormat="false" ht="15.75" hidden="false" customHeight="true" outlineLevel="0" collapsed="false">
      <c r="C860" s="187"/>
      <c r="D860" s="187"/>
      <c r="E860" s="187"/>
      <c r="F860" s="187"/>
    </row>
    <row r="861" customFormat="false" ht="15.75" hidden="false" customHeight="true" outlineLevel="0" collapsed="false">
      <c r="C861" s="187"/>
      <c r="D861" s="187"/>
      <c r="E861" s="187"/>
      <c r="F861" s="187"/>
    </row>
    <row r="862" customFormat="false" ht="15.75" hidden="false" customHeight="true" outlineLevel="0" collapsed="false">
      <c r="C862" s="187"/>
      <c r="D862" s="187"/>
      <c r="E862" s="187"/>
      <c r="F862" s="187"/>
    </row>
    <row r="863" customFormat="false" ht="15.75" hidden="false" customHeight="true" outlineLevel="0" collapsed="false">
      <c r="C863" s="187"/>
      <c r="D863" s="187"/>
      <c r="E863" s="187"/>
      <c r="F863" s="187"/>
    </row>
    <row r="864" customFormat="false" ht="15.75" hidden="false" customHeight="true" outlineLevel="0" collapsed="false">
      <c r="C864" s="187"/>
      <c r="D864" s="187"/>
      <c r="E864" s="187"/>
      <c r="F864" s="187"/>
    </row>
    <row r="865" customFormat="false" ht="15.75" hidden="false" customHeight="true" outlineLevel="0" collapsed="false">
      <c r="C865" s="187"/>
      <c r="D865" s="187"/>
      <c r="E865" s="187"/>
      <c r="F865" s="187"/>
    </row>
    <row r="866" customFormat="false" ht="15.75" hidden="false" customHeight="true" outlineLevel="0" collapsed="false">
      <c r="C866" s="187"/>
      <c r="D866" s="187"/>
      <c r="E866" s="187"/>
      <c r="F866" s="187"/>
    </row>
    <row r="867" customFormat="false" ht="15.75" hidden="false" customHeight="true" outlineLevel="0" collapsed="false">
      <c r="C867" s="187"/>
      <c r="D867" s="187"/>
      <c r="E867" s="187"/>
      <c r="F867" s="187"/>
    </row>
    <row r="868" customFormat="false" ht="15.75" hidden="false" customHeight="true" outlineLevel="0" collapsed="false">
      <c r="C868" s="187"/>
      <c r="D868" s="187"/>
      <c r="E868" s="187"/>
      <c r="F868" s="187"/>
    </row>
    <row r="869" customFormat="false" ht="15.75" hidden="false" customHeight="true" outlineLevel="0" collapsed="false">
      <c r="C869" s="187"/>
      <c r="D869" s="187"/>
      <c r="E869" s="187"/>
      <c r="F869" s="187"/>
    </row>
    <row r="870" customFormat="false" ht="15.75" hidden="false" customHeight="true" outlineLevel="0" collapsed="false">
      <c r="C870" s="187"/>
      <c r="D870" s="187"/>
      <c r="E870" s="187"/>
      <c r="F870" s="187"/>
    </row>
    <row r="871" customFormat="false" ht="15.75" hidden="false" customHeight="true" outlineLevel="0" collapsed="false">
      <c r="C871" s="187"/>
      <c r="D871" s="187"/>
      <c r="E871" s="187"/>
      <c r="F871" s="187"/>
    </row>
    <row r="872" customFormat="false" ht="15.75" hidden="false" customHeight="true" outlineLevel="0" collapsed="false">
      <c r="C872" s="187"/>
      <c r="D872" s="187"/>
      <c r="E872" s="187"/>
      <c r="F872" s="187"/>
    </row>
    <row r="873" customFormat="false" ht="15.75" hidden="false" customHeight="true" outlineLevel="0" collapsed="false">
      <c r="C873" s="187"/>
      <c r="D873" s="187"/>
      <c r="E873" s="187"/>
      <c r="F873" s="187"/>
    </row>
    <row r="874" customFormat="false" ht="15.75" hidden="false" customHeight="true" outlineLevel="0" collapsed="false">
      <c r="C874" s="187"/>
      <c r="D874" s="187"/>
      <c r="E874" s="187"/>
      <c r="F874" s="187"/>
    </row>
    <row r="875" customFormat="false" ht="15.75" hidden="false" customHeight="true" outlineLevel="0" collapsed="false">
      <c r="C875" s="187"/>
      <c r="D875" s="187"/>
      <c r="E875" s="187"/>
      <c r="F875" s="187"/>
    </row>
    <row r="876" customFormat="false" ht="15.75" hidden="false" customHeight="true" outlineLevel="0" collapsed="false">
      <c r="C876" s="187"/>
      <c r="D876" s="187"/>
      <c r="E876" s="187"/>
      <c r="F876" s="187"/>
    </row>
    <row r="877" customFormat="false" ht="15.75" hidden="false" customHeight="true" outlineLevel="0" collapsed="false">
      <c r="C877" s="187"/>
      <c r="D877" s="187"/>
      <c r="E877" s="187"/>
      <c r="F877" s="187"/>
    </row>
    <row r="878" customFormat="false" ht="15.75" hidden="false" customHeight="true" outlineLevel="0" collapsed="false">
      <c r="C878" s="187"/>
      <c r="D878" s="187"/>
      <c r="E878" s="187"/>
      <c r="F878" s="187"/>
    </row>
    <row r="879" customFormat="false" ht="15.75" hidden="false" customHeight="true" outlineLevel="0" collapsed="false">
      <c r="C879" s="187"/>
      <c r="D879" s="187"/>
      <c r="E879" s="187"/>
      <c r="F879" s="187"/>
    </row>
    <row r="880" customFormat="false" ht="15.75" hidden="false" customHeight="true" outlineLevel="0" collapsed="false">
      <c r="C880" s="187"/>
      <c r="D880" s="187"/>
      <c r="E880" s="187"/>
      <c r="F880" s="187"/>
    </row>
    <row r="881" customFormat="false" ht="15.75" hidden="false" customHeight="true" outlineLevel="0" collapsed="false">
      <c r="C881" s="187"/>
      <c r="D881" s="187"/>
      <c r="E881" s="187"/>
      <c r="F881" s="187"/>
    </row>
    <row r="882" customFormat="false" ht="15.75" hidden="false" customHeight="true" outlineLevel="0" collapsed="false">
      <c r="C882" s="187"/>
      <c r="D882" s="187"/>
      <c r="E882" s="187"/>
      <c r="F882" s="187"/>
    </row>
    <row r="883" customFormat="false" ht="15.75" hidden="false" customHeight="true" outlineLevel="0" collapsed="false">
      <c r="C883" s="187"/>
      <c r="D883" s="187"/>
      <c r="E883" s="187"/>
      <c r="F883" s="187"/>
    </row>
    <row r="884" customFormat="false" ht="15.75" hidden="false" customHeight="true" outlineLevel="0" collapsed="false">
      <c r="C884" s="187"/>
      <c r="D884" s="187"/>
      <c r="E884" s="187"/>
      <c r="F884" s="187"/>
    </row>
    <row r="885" customFormat="false" ht="15.75" hidden="false" customHeight="true" outlineLevel="0" collapsed="false">
      <c r="C885" s="187"/>
      <c r="D885" s="187"/>
      <c r="E885" s="187"/>
      <c r="F885" s="187"/>
    </row>
    <row r="886" customFormat="false" ht="15.75" hidden="false" customHeight="true" outlineLevel="0" collapsed="false">
      <c r="C886" s="187"/>
      <c r="D886" s="187"/>
      <c r="E886" s="187"/>
      <c r="F886" s="187"/>
    </row>
    <row r="887" customFormat="false" ht="15.75" hidden="false" customHeight="true" outlineLevel="0" collapsed="false">
      <c r="C887" s="187"/>
      <c r="D887" s="187"/>
      <c r="E887" s="187"/>
      <c r="F887" s="187"/>
    </row>
    <row r="888" customFormat="false" ht="15.75" hidden="false" customHeight="true" outlineLevel="0" collapsed="false">
      <c r="C888" s="187"/>
      <c r="D888" s="187"/>
      <c r="E888" s="187"/>
      <c r="F888" s="187"/>
    </row>
    <row r="889" customFormat="false" ht="15.75" hidden="false" customHeight="true" outlineLevel="0" collapsed="false">
      <c r="C889" s="187"/>
      <c r="D889" s="187"/>
      <c r="E889" s="187"/>
      <c r="F889" s="187"/>
    </row>
    <row r="890" customFormat="false" ht="15.75" hidden="false" customHeight="true" outlineLevel="0" collapsed="false">
      <c r="C890" s="187"/>
      <c r="D890" s="187"/>
      <c r="E890" s="187"/>
      <c r="F890" s="187"/>
    </row>
    <row r="891" customFormat="false" ht="15.75" hidden="false" customHeight="true" outlineLevel="0" collapsed="false">
      <c r="C891" s="187"/>
      <c r="D891" s="187"/>
      <c r="E891" s="187"/>
      <c r="F891" s="187"/>
    </row>
    <row r="892" customFormat="false" ht="15.75" hidden="false" customHeight="true" outlineLevel="0" collapsed="false">
      <c r="C892" s="187"/>
      <c r="D892" s="187"/>
      <c r="E892" s="187"/>
      <c r="F892" s="187"/>
    </row>
    <row r="893" customFormat="false" ht="15.75" hidden="false" customHeight="true" outlineLevel="0" collapsed="false">
      <c r="C893" s="187"/>
      <c r="D893" s="187"/>
      <c r="E893" s="187"/>
      <c r="F893" s="187"/>
    </row>
    <row r="894" customFormat="false" ht="15.75" hidden="false" customHeight="true" outlineLevel="0" collapsed="false">
      <c r="C894" s="187"/>
      <c r="D894" s="187"/>
      <c r="E894" s="187"/>
      <c r="F894" s="187"/>
    </row>
    <row r="895" customFormat="false" ht="15.75" hidden="false" customHeight="true" outlineLevel="0" collapsed="false">
      <c r="C895" s="187"/>
      <c r="D895" s="187"/>
      <c r="E895" s="187"/>
      <c r="F895" s="187"/>
    </row>
    <row r="896" customFormat="false" ht="15.75" hidden="false" customHeight="true" outlineLevel="0" collapsed="false">
      <c r="C896" s="187"/>
      <c r="D896" s="187"/>
      <c r="E896" s="187"/>
      <c r="F896" s="187"/>
    </row>
    <row r="897" customFormat="false" ht="15.75" hidden="false" customHeight="true" outlineLevel="0" collapsed="false">
      <c r="C897" s="187"/>
      <c r="D897" s="187"/>
      <c r="E897" s="187"/>
      <c r="F897" s="187"/>
    </row>
    <row r="898" customFormat="false" ht="15.75" hidden="false" customHeight="true" outlineLevel="0" collapsed="false">
      <c r="C898" s="187"/>
      <c r="D898" s="187"/>
      <c r="E898" s="187"/>
      <c r="F898" s="187"/>
    </row>
    <row r="899" customFormat="false" ht="15.75" hidden="false" customHeight="true" outlineLevel="0" collapsed="false">
      <c r="C899" s="187"/>
      <c r="D899" s="187"/>
      <c r="E899" s="187"/>
      <c r="F899" s="187"/>
    </row>
    <row r="900" customFormat="false" ht="15.75" hidden="false" customHeight="true" outlineLevel="0" collapsed="false">
      <c r="C900" s="187"/>
      <c r="D900" s="187"/>
      <c r="E900" s="187"/>
      <c r="F900" s="187"/>
    </row>
    <row r="901" customFormat="false" ht="15.75" hidden="false" customHeight="true" outlineLevel="0" collapsed="false">
      <c r="C901" s="187"/>
      <c r="D901" s="187"/>
      <c r="E901" s="187"/>
      <c r="F901" s="187"/>
    </row>
    <row r="902" customFormat="false" ht="15.75" hidden="false" customHeight="true" outlineLevel="0" collapsed="false">
      <c r="C902" s="187"/>
      <c r="D902" s="187"/>
      <c r="E902" s="187"/>
      <c r="F902" s="187"/>
    </row>
    <row r="903" customFormat="false" ht="15.75" hidden="false" customHeight="true" outlineLevel="0" collapsed="false">
      <c r="C903" s="187"/>
      <c r="D903" s="187"/>
      <c r="E903" s="187"/>
      <c r="F903" s="187"/>
    </row>
    <row r="904" customFormat="false" ht="15.75" hidden="false" customHeight="true" outlineLevel="0" collapsed="false">
      <c r="C904" s="187"/>
      <c r="D904" s="187"/>
      <c r="E904" s="187"/>
      <c r="F904" s="187"/>
    </row>
    <row r="905" customFormat="false" ht="15.75" hidden="false" customHeight="true" outlineLevel="0" collapsed="false">
      <c r="C905" s="187"/>
      <c r="D905" s="187"/>
      <c r="E905" s="187"/>
      <c r="F905" s="187"/>
    </row>
    <row r="906" customFormat="false" ht="15.75" hidden="false" customHeight="true" outlineLevel="0" collapsed="false">
      <c r="C906" s="187"/>
      <c r="D906" s="187"/>
      <c r="E906" s="187"/>
      <c r="F906" s="187"/>
    </row>
    <row r="907" customFormat="false" ht="15.75" hidden="false" customHeight="true" outlineLevel="0" collapsed="false">
      <c r="C907" s="187"/>
      <c r="D907" s="187"/>
      <c r="E907" s="187"/>
      <c r="F907" s="187"/>
    </row>
    <row r="908" customFormat="false" ht="15.75" hidden="false" customHeight="true" outlineLevel="0" collapsed="false">
      <c r="C908" s="187"/>
      <c r="D908" s="187"/>
      <c r="E908" s="187"/>
      <c r="F908" s="187"/>
    </row>
    <row r="909" customFormat="false" ht="15.75" hidden="false" customHeight="true" outlineLevel="0" collapsed="false">
      <c r="C909" s="187"/>
      <c r="D909" s="187"/>
      <c r="E909" s="187"/>
      <c r="F909" s="187"/>
    </row>
    <row r="910" customFormat="false" ht="15.75" hidden="false" customHeight="true" outlineLevel="0" collapsed="false">
      <c r="C910" s="187"/>
      <c r="D910" s="187"/>
      <c r="E910" s="187"/>
      <c r="F910" s="187"/>
    </row>
    <row r="911" customFormat="false" ht="15.75" hidden="false" customHeight="true" outlineLevel="0" collapsed="false">
      <c r="C911" s="187"/>
      <c r="D911" s="187"/>
      <c r="E911" s="187"/>
      <c r="F911" s="187"/>
    </row>
    <row r="912" customFormat="false" ht="15.75" hidden="false" customHeight="true" outlineLevel="0" collapsed="false">
      <c r="C912" s="187"/>
      <c r="D912" s="187"/>
      <c r="E912" s="187"/>
      <c r="F912" s="187"/>
    </row>
    <row r="913" customFormat="false" ht="15.75" hidden="false" customHeight="true" outlineLevel="0" collapsed="false">
      <c r="C913" s="187"/>
      <c r="D913" s="187"/>
      <c r="E913" s="187"/>
      <c r="F913" s="187"/>
    </row>
    <row r="914" customFormat="false" ht="15.75" hidden="false" customHeight="true" outlineLevel="0" collapsed="false">
      <c r="C914" s="187"/>
      <c r="D914" s="187"/>
      <c r="E914" s="187"/>
      <c r="F914" s="187"/>
    </row>
    <row r="915" customFormat="false" ht="15.75" hidden="false" customHeight="true" outlineLevel="0" collapsed="false">
      <c r="C915" s="187"/>
      <c r="D915" s="187"/>
      <c r="E915" s="187"/>
      <c r="F915" s="187"/>
    </row>
    <row r="916" customFormat="false" ht="15.75" hidden="false" customHeight="true" outlineLevel="0" collapsed="false">
      <c r="C916" s="187"/>
      <c r="D916" s="187"/>
      <c r="E916" s="187"/>
      <c r="F916" s="187"/>
    </row>
    <row r="917" customFormat="false" ht="15.75" hidden="false" customHeight="true" outlineLevel="0" collapsed="false">
      <c r="C917" s="187"/>
      <c r="D917" s="187"/>
      <c r="E917" s="187"/>
      <c r="F917" s="187"/>
    </row>
    <row r="918" customFormat="false" ht="15.75" hidden="false" customHeight="true" outlineLevel="0" collapsed="false">
      <c r="C918" s="187"/>
      <c r="D918" s="187"/>
      <c r="E918" s="187"/>
      <c r="F918" s="187"/>
    </row>
    <row r="919" customFormat="false" ht="15.75" hidden="false" customHeight="true" outlineLevel="0" collapsed="false">
      <c r="C919" s="187"/>
      <c r="D919" s="187"/>
      <c r="E919" s="187"/>
      <c r="F919" s="187"/>
    </row>
    <row r="920" customFormat="false" ht="15.75" hidden="false" customHeight="true" outlineLevel="0" collapsed="false">
      <c r="C920" s="187"/>
      <c r="D920" s="187"/>
      <c r="E920" s="187"/>
      <c r="F920" s="187"/>
    </row>
    <row r="921" customFormat="false" ht="15.75" hidden="false" customHeight="true" outlineLevel="0" collapsed="false">
      <c r="C921" s="187"/>
      <c r="D921" s="187"/>
      <c r="E921" s="187"/>
      <c r="F921" s="187"/>
    </row>
    <row r="922" customFormat="false" ht="15.75" hidden="false" customHeight="true" outlineLevel="0" collapsed="false">
      <c r="C922" s="187"/>
      <c r="D922" s="187"/>
      <c r="E922" s="187"/>
      <c r="F922" s="187"/>
    </row>
    <row r="923" customFormat="false" ht="15.75" hidden="false" customHeight="true" outlineLevel="0" collapsed="false">
      <c r="C923" s="187"/>
      <c r="D923" s="187"/>
      <c r="E923" s="187"/>
      <c r="F923" s="187"/>
    </row>
    <row r="924" customFormat="false" ht="15.75" hidden="false" customHeight="true" outlineLevel="0" collapsed="false">
      <c r="C924" s="187"/>
      <c r="D924" s="187"/>
      <c r="E924" s="187"/>
      <c r="F924" s="187"/>
    </row>
    <row r="925" customFormat="false" ht="15.75" hidden="false" customHeight="true" outlineLevel="0" collapsed="false">
      <c r="C925" s="187"/>
      <c r="D925" s="187"/>
      <c r="E925" s="187"/>
      <c r="F925" s="187"/>
    </row>
    <row r="926" customFormat="false" ht="15.75" hidden="false" customHeight="true" outlineLevel="0" collapsed="false">
      <c r="C926" s="187"/>
      <c r="D926" s="187"/>
      <c r="E926" s="187"/>
      <c r="F926" s="187"/>
    </row>
    <row r="927" customFormat="false" ht="15.75" hidden="false" customHeight="true" outlineLevel="0" collapsed="false">
      <c r="C927" s="187"/>
      <c r="D927" s="187"/>
      <c r="E927" s="187"/>
      <c r="F927" s="187"/>
    </row>
    <row r="928" customFormat="false" ht="15.75" hidden="false" customHeight="true" outlineLevel="0" collapsed="false">
      <c r="C928" s="187"/>
      <c r="D928" s="187"/>
      <c r="E928" s="187"/>
      <c r="F928" s="187"/>
    </row>
    <row r="929" customFormat="false" ht="15.75" hidden="false" customHeight="true" outlineLevel="0" collapsed="false">
      <c r="C929" s="187"/>
      <c r="D929" s="187"/>
      <c r="E929" s="187"/>
      <c r="F929" s="187"/>
    </row>
    <row r="930" customFormat="false" ht="15.75" hidden="false" customHeight="true" outlineLevel="0" collapsed="false">
      <c r="C930" s="187"/>
      <c r="D930" s="187"/>
      <c r="E930" s="187"/>
      <c r="F930" s="187"/>
    </row>
    <row r="931" customFormat="false" ht="15.75" hidden="false" customHeight="true" outlineLevel="0" collapsed="false">
      <c r="C931" s="187"/>
      <c r="D931" s="187"/>
      <c r="E931" s="187"/>
      <c r="F931" s="187"/>
    </row>
    <row r="932" customFormat="false" ht="15.75" hidden="false" customHeight="true" outlineLevel="0" collapsed="false">
      <c r="C932" s="187"/>
      <c r="D932" s="187"/>
      <c r="E932" s="187"/>
      <c r="F932" s="187"/>
    </row>
    <row r="933" customFormat="false" ht="15.75" hidden="false" customHeight="true" outlineLevel="0" collapsed="false">
      <c r="C933" s="187"/>
      <c r="D933" s="187"/>
      <c r="E933" s="187"/>
      <c r="F933" s="187"/>
    </row>
    <row r="934" customFormat="false" ht="15.75" hidden="false" customHeight="true" outlineLevel="0" collapsed="false">
      <c r="C934" s="187"/>
      <c r="D934" s="187"/>
      <c r="E934" s="187"/>
      <c r="F934" s="187"/>
    </row>
    <row r="935" customFormat="false" ht="15.75" hidden="false" customHeight="true" outlineLevel="0" collapsed="false">
      <c r="C935" s="187"/>
      <c r="D935" s="187"/>
      <c r="E935" s="187"/>
      <c r="F935" s="187"/>
    </row>
    <row r="936" customFormat="false" ht="15.75" hidden="false" customHeight="true" outlineLevel="0" collapsed="false">
      <c r="C936" s="187"/>
      <c r="D936" s="187"/>
      <c r="E936" s="187"/>
      <c r="F936" s="187"/>
    </row>
    <row r="937" customFormat="false" ht="15.75" hidden="false" customHeight="true" outlineLevel="0" collapsed="false">
      <c r="C937" s="187"/>
      <c r="D937" s="187"/>
      <c r="E937" s="187"/>
      <c r="F937" s="187"/>
    </row>
    <row r="938" customFormat="false" ht="15.75" hidden="false" customHeight="true" outlineLevel="0" collapsed="false">
      <c r="C938" s="187"/>
      <c r="D938" s="187"/>
      <c r="E938" s="187"/>
      <c r="F938" s="187"/>
    </row>
    <row r="939" customFormat="false" ht="15.75" hidden="false" customHeight="true" outlineLevel="0" collapsed="false">
      <c r="C939" s="187"/>
      <c r="D939" s="187"/>
      <c r="E939" s="187"/>
      <c r="F939" s="187"/>
    </row>
    <row r="940" customFormat="false" ht="15.75" hidden="false" customHeight="true" outlineLevel="0" collapsed="false">
      <c r="C940" s="187"/>
      <c r="D940" s="187"/>
      <c r="E940" s="187"/>
      <c r="F940" s="187"/>
    </row>
    <row r="941" customFormat="false" ht="15.75" hidden="false" customHeight="true" outlineLevel="0" collapsed="false">
      <c r="C941" s="187"/>
      <c r="D941" s="187"/>
      <c r="E941" s="187"/>
      <c r="F941" s="187"/>
    </row>
    <row r="942" customFormat="false" ht="15.75" hidden="false" customHeight="true" outlineLevel="0" collapsed="false">
      <c r="C942" s="187"/>
      <c r="D942" s="187"/>
      <c r="E942" s="187"/>
      <c r="F942" s="187"/>
    </row>
    <row r="943" customFormat="false" ht="15.75" hidden="false" customHeight="true" outlineLevel="0" collapsed="false">
      <c r="C943" s="187"/>
      <c r="D943" s="187"/>
      <c r="E943" s="187"/>
      <c r="F943" s="187"/>
    </row>
    <row r="944" customFormat="false" ht="15.75" hidden="false" customHeight="true" outlineLevel="0" collapsed="false">
      <c r="C944" s="187"/>
      <c r="D944" s="187"/>
      <c r="E944" s="187"/>
      <c r="F944" s="187"/>
    </row>
    <row r="945" customFormat="false" ht="15.75" hidden="false" customHeight="true" outlineLevel="0" collapsed="false">
      <c r="C945" s="187"/>
      <c r="D945" s="187"/>
      <c r="E945" s="187"/>
      <c r="F945" s="187"/>
    </row>
    <row r="946" customFormat="false" ht="15.75" hidden="false" customHeight="true" outlineLevel="0" collapsed="false">
      <c r="C946" s="187"/>
      <c r="D946" s="187"/>
      <c r="E946" s="187"/>
      <c r="F946" s="187"/>
    </row>
    <row r="947" customFormat="false" ht="15.75" hidden="false" customHeight="true" outlineLevel="0" collapsed="false">
      <c r="C947" s="187"/>
      <c r="D947" s="187"/>
      <c r="E947" s="187"/>
      <c r="F947" s="187"/>
    </row>
    <row r="948" customFormat="false" ht="15.75" hidden="false" customHeight="true" outlineLevel="0" collapsed="false">
      <c r="C948" s="187"/>
      <c r="D948" s="187"/>
      <c r="E948" s="187"/>
      <c r="F948" s="187"/>
    </row>
    <row r="949" customFormat="false" ht="15.75" hidden="false" customHeight="true" outlineLevel="0" collapsed="false">
      <c r="C949" s="187"/>
      <c r="D949" s="187"/>
      <c r="E949" s="187"/>
      <c r="F949" s="187"/>
    </row>
    <row r="950" customFormat="false" ht="15.75" hidden="false" customHeight="true" outlineLevel="0" collapsed="false">
      <c r="C950" s="187"/>
      <c r="D950" s="187"/>
      <c r="E950" s="187"/>
      <c r="F950" s="187"/>
    </row>
    <row r="951" customFormat="false" ht="15.75" hidden="false" customHeight="true" outlineLevel="0" collapsed="false">
      <c r="C951" s="187"/>
      <c r="D951" s="187"/>
      <c r="E951" s="187"/>
      <c r="F951" s="187"/>
    </row>
    <row r="952" customFormat="false" ht="15.75" hidden="false" customHeight="true" outlineLevel="0" collapsed="false">
      <c r="C952" s="187"/>
      <c r="D952" s="187"/>
      <c r="E952" s="187"/>
      <c r="F952" s="187"/>
    </row>
    <row r="953" customFormat="false" ht="15.75" hidden="false" customHeight="true" outlineLevel="0" collapsed="false">
      <c r="C953" s="187"/>
      <c r="D953" s="187"/>
      <c r="E953" s="187"/>
      <c r="F953" s="187"/>
    </row>
    <row r="954" customFormat="false" ht="15.75" hidden="false" customHeight="true" outlineLevel="0" collapsed="false">
      <c r="C954" s="187"/>
      <c r="D954" s="187"/>
      <c r="E954" s="187"/>
      <c r="F954" s="187"/>
    </row>
    <row r="955" customFormat="false" ht="15.75" hidden="false" customHeight="true" outlineLevel="0" collapsed="false">
      <c r="C955" s="187"/>
      <c r="D955" s="187"/>
      <c r="E955" s="187"/>
      <c r="F955" s="187"/>
    </row>
    <row r="956" customFormat="false" ht="15.75" hidden="false" customHeight="true" outlineLevel="0" collapsed="false">
      <c r="C956" s="187"/>
      <c r="D956" s="187"/>
      <c r="E956" s="187"/>
      <c r="F956" s="187"/>
    </row>
    <row r="957" customFormat="false" ht="15.75" hidden="false" customHeight="true" outlineLevel="0" collapsed="false">
      <c r="C957" s="187"/>
      <c r="D957" s="187"/>
      <c r="E957" s="187"/>
      <c r="F957" s="187"/>
    </row>
    <row r="958" customFormat="false" ht="15.75" hidden="false" customHeight="true" outlineLevel="0" collapsed="false">
      <c r="C958" s="187"/>
      <c r="D958" s="187"/>
      <c r="E958" s="187"/>
      <c r="F958" s="187"/>
    </row>
    <row r="959" customFormat="false" ht="15.75" hidden="false" customHeight="true" outlineLevel="0" collapsed="false">
      <c r="C959" s="187"/>
      <c r="D959" s="187"/>
      <c r="E959" s="187"/>
      <c r="F959" s="187"/>
    </row>
    <row r="960" customFormat="false" ht="15.75" hidden="false" customHeight="true" outlineLevel="0" collapsed="false">
      <c r="C960" s="187"/>
      <c r="D960" s="187"/>
      <c r="E960" s="187"/>
      <c r="F960" s="187"/>
    </row>
    <row r="961" customFormat="false" ht="15.75" hidden="false" customHeight="true" outlineLevel="0" collapsed="false">
      <c r="C961" s="187"/>
      <c r="D961" s="187"/>
      <c r="E961" s="187"/>
      <c r="F961" s="187"/>
    </row>
    <row r="962" customFormat="false" ht="15.75" hidden="false" customHeight="true" outlineLevel="0" collapsed="false">
      <c r="C962" s="187"/>
      <c r="D962" s="187"/>
      <c r="E962" s="187"/>
      <c r="F962" s="187"/>
    </row>
    <row r="963" customFormat="false" ht="15.75" hidden="false" customHeight="true" outlineLevel="0" collapsed="false">
      <c r="C963" s="187"/>
      <c r="D963" s="187"/>
      <c r="E963" s="187"/>
      <c r="F963" s="187"/>
    </row>
    <row r="964" customFormat="false" ht="15.75" hidden="false" customHeight="true" outlineLevel="0" collapsed="false">
      <c r="C964" s="187"/>
      <c r="D964" s="187"/>
      <c r="E964" s="187"/>
      <c r="F964" s="187"/>
    </row>
    <row r="965" customFormat="false" ht="15.75" hidden="false" customHeight="true" outlineLevel="0" collapsed="false">
      <c r="C965" s="187"/>
      <c r="D965" s="187"/>
      <c r="E965" s="187"/>
      <c r="F965" s="187"/>
    </row>
    <row r="966" customFormat="false" ht="15.75" hidden="false" customHeight="true" outlineLevel="0" collapsed="false">
      <c r="C966" s="187"/>
      <c r="D966" s="187"/>
      <c r="E966" s="187"/>
      <c r="F966" s="187"/>
    </row>
    <row r="967" customFormat="false" ht="15.75" hidden="false" customHeight="true" outlineLevel="0" collapsed="false">
      <c r="C967" s="187"/>
      <c r="D967" s="187"/>
      <c r="E967" s="187"/>
      <c r="F967" s="187"/>
    </row>
    <row r="968" customFormat="false" ht="15.75" hidden="false" customHeight="true" outlineLevel="0" collapsed="false">
      <c r="C968" s="187"/>
      <c r="D968" s="187"/>
      <c r="E968" s="187"/>
      <c r="F968" s="187"/>
    </row>
    <row r="969" customFormat="false" ht="15.75" hidden="false" customHeight="true" outlineLevel="0" collapsed="false">
      <c r="C969" s="187"/>
      <c r="D969" s="187"/>
      <c r="E969" s="187"/>
      <c r="F969" s="187"/>
    </row>
    <row r="970" customFormat="false" ht="15.75" hidden="false" customHeight="true" outlineLevel="0" collapsed="false">
      <c r="C970" s="187"/>
      <c r="D970" s="187"/>
      <c r="E970" s="187"/>
      <c r="F970" s="187"/>
    </row>
    <row r="971" customFormat="false" ht="15.75" hidden="false" customHeight="true" outlineLevel="0" collapsed="false">
      <c r="C971" s="187"/>
      <c r="D971" s="187"/>
      <c r="E971" s="187"/>
      <c r="F971" s="187"/>
    </row>
    <row r="972" customFormat="false" ht="15.75" hidden="false" customHeight="true" outlineLevel="0" collapsed="false">
      <c r="C972" s="187"/>
      <c r="D972" s="187"/>
      <c r="E972" s="187"/>
      <c r="F972" s="187"/>
    </row>
    <row r="973" customFormat="false" ht="15.75" hidden="false" customHeight="true" outlineLevel="0" collapsed="false">
      <c r="C973" s="187"/>
      <c r="D973" s="187"/>
      <c r="E973" s="187"/>
      <c r="F973" s="187"/>
    </row>
    <row r="974" customFormat="false" ht="15.75" hidden="false" customHeight="true" outlineLevel="0" collapsed="false">
      <c r="C974" s="187"/>
      <c r="D974" s="187"/>
      <c r="E974" s="187"/>
      <c r="F974" s="187"/>
    </row>
    <row r="975" customFormat="false" ht="15.75" hidden="false" customHeight="true" outlineLevel="0" collapsed="false">
      <c r="C975" s="187"/>
      <c r="D975" s="187"/>
      <c r="E975" s="187"/>
      <c r="F975" s="187"/>
    </row>
    <row r="976" customFormat="false" ht="15.75" hidden="false" customHeight="true" outlineLevel="0" collapsed="false">
      <c r="C976" s="187"/>
      <c r="D976" s="187"/>
      <c r="E976" s="187"/>
      <c r="F976" s="187"/>
    </row>
    <row r="977" customFormat="false" ht="15.75" hidden="false" customHeight="true" outlineLevel="0" collapsed="false">
      <c r="C977" s="187"/>
      <c r="D977" s="187"/>
      <c r="E977" s="187"/>
      <c r="F977" s="187"/>
    </row>
    <row r="978" customFormat="false" ht="15.75" hidden="false" customHeight="true" outlineLevel="0" collapsed="false">
      <c r="C978" s="187"/>
      <c r="D978" s="187"/>
      <c r="E978" s="187"/>
      <c r="F978" s="187"/>
    </row>
    <row r="979" customFormat="false" ht="15.75" hidden="false" customHeight="true" outlineLevel="0" collapsed="false">
      <c r="C979" s="187"/>
      <c r="D979" s="187"/>
      <c r="E979" s="187"/>
      <c r="F979" s="187"/>
    </row>
    <row r="980" customFormat="false" ht="15.75" hidden="false" customHeight="true" outlineLevel="0" collapsed="false">
      <c r="C980" s="187"/>
      <c r="D980" s="187"/>
      <c r="E980" s="187"/>
      <c r="F980" s="187"/>
    </row>
    <row r="981" customFormat="false" ht="15.75" hidden="false" customHeight="true" outlineLevel="0" collapsed="false">
      <c r="C981" s="187"/>
      <c r="D981" s="187"/>
      <c r="E981" s="187"/>
      <c r="F981" s="187"/>
    </row>
    <row r="982" customFormat="false" ht="15.75" hidden="false" customHeight="true" outlineLevel="0" collapsed="false">
      <c r="C982" s="187"/>
      <c r="D982" s="187"/>
      <c r="E982" s="187"/>
      <c r="F982" s="187"/>
    </row>
    <row r="983" customFormat="false" ht="15.75" hidden="false" customHeight="true" outlineLevel="0" collapsed="false">
      <c r="C983" s="187"/>
      <c r="D983" s="187"/>
      <c r="E983" s="187"/>
      <c r="F983" s="187"/>
    </row>
    <row r="984" customFormat="false" ht="15.75" hidden="false" customHeight="true" outlineLevel="0" collapsed="false">
      <c r="C984" s="187"/>
      <c r="D984" s="187"/>
      <c r="E984" s="187"/>
      <c r="F984" s="187"/>
    </row>
    <row r="985" customFormat="false" ht="15.75" hidden="false" customHeight="true" outlineLevel="0" collapsed="false">
      <c r="C985" s="187"/>
      <c r="D985" s="187"/>
      <c r="E985" s="187"/>
      <c r="F985" s="187"/>
    </row>
    <row r="986" customFormat="false" ht="15.75" hidden="false" customHeight="true" outlineLevel="0" collapsed="false">
      <c r="C986" s="187"/>
      <c r="D986" s="187"/>
      <c r="E986" s="187"/>
      <c r="F986" s="187"/>
    </row>
    <row r="987" customFormat="false" ht="15.75" hidden="false" customHeight="true" outlineLevel="0" collapsed="false">
      <c r="C987" s="187"/>
      <c r="D987" s="187"/>
      <c r="E987" s="187"/>
      <c r="F987" s="187"/>
    </row>
    <row r="988" customFormat="false" ht="15.75" hidden="false" customHeight="true" outlineLevel="0" collapsed="false">
      <c r="C988" s="187"/>
      <c r="D988" s="187"/>
      <c r="E988" s="187"/>
      <c r="F988" s="187"/>
    </row>
    <row r="989" customFormat="false" ht="15.75" hidden="false" customHeight="true" outlineLevel="0" collapsed="false">
      <c r="C989" s="187"/>
      <c r="D989" s="187"/>
      <c r="E989" s="187"/>
      <c r="F989" s="187"/>
    </row>
    <row r="990" customFormat="false" ht="15.75" hidden="false" customHeight="true" outlineLevel="0" collapsed="false">
      <c r="C990" s="187"/>
      <c r="D990" s="187"/>
      <c r="E990" s="187"/>
      <c r="F990" s="187"/>
    </row>
    <row r="991" customFormat="false" ht="15.75" hidden="false" customHeight="true" outlineLevel="0" collapsed="false">
      <c r="C991" s="187"/>
      <c r="D991" s="187"/>
      <c r="E991" s="187"/>
      <c r="F991" s="187"/>
    </row>
    <row r="992" customFormat="false" ht="15.75" hidden="false" customHeight="true" outlineLevel="0" collapsed="false">
      <c r="C992" s="187"/>
      <c r="D992" s="187"/>
      <c r="E992" s="187"/>
      <c r="F992" s="187"/>
    </row>
    <row r="993" customFormat="false" ht="15.75" hidden="false" customHeight="true" outlineLevel="0" collapsed="false">
      <c r="C993" s="187"/>
      <c r="D993" s="187"/>
      <c r="E993" s="187"/>
      <c r="F993" s="187"/>
    </row>
    <row r="994" customFormat="false" ht="15.75" hidden="false" customHeight="true" outlineLevel="0" collapsed="false">
      <c r="C994" s="187"/>
      <c r="D994" s="187"/>
      <c r="E994" s="187"/>
      <c r="F994" s="187"/>
    </row>
    <row r="995" customFormat="false" ht="15.75" hidden="false" customHeight="true" outlineLevel="0" collapsed="false">
      <c r="C995" s="187"/>
      <c r="D995" s="187"/>
      <c r="E995" s="187"/>
      <c r="F995" s="187"/>
    </row>
    <row r="996" customFormat="false" ht="15.75" hidden="false" customHeight="true" outlineLevel="0" collapsed="false">
      <c r="C996" s="187"/>
      <c r="D996" s="187"/>
      <c r="E996" s="187"/>
      <c r="F996" s="187"/>
    </row>
    <row r="997" customFormat="false" ht="15.75" hidden="false" customHeight="true" outlineLevel="0" collapsed="false">
      <c r="C997" s="187"/>
      <c r="D997" s="187"/>
      <c r="E997" s="187"/>
      <c r="F997" s="187"/>
    </row>
    <row r="998" customFormat="false" ht="15.75" hidden="false" customHeight="true" outlineLevel="0" collapsed="false">
      <c r="C998" s="187"/>
      <c r="D998" s="187"/>
      <c r="E998" s="187"/>
      <c r="F998" s="187"/>
    </row>
    <row r="999" customFormat="false" ht="15.75" hidden="false" customHeight="true" outlineLevel="0" collapsed="false">
      <c r="C999" s="187"/>
      <c r="D999" s="187"/>
      <c r="E999" s="187"/>
      <c r="F999" s="187"/>
    </row>
    <row r="1000" customFormat="false" ht="15.75" hidden="false" customHeight="true" outlineLevel="0" collapsed="false">
      <c r="C1000" s="187"/>
      <c r="D1000" s="187"/>
      <c r="E1000" s="187"/>
      <c r="F1000" s="187"/>
    </row>
    <row r="1001" customFormat="false" ht="15" hidden="false" customHeight="true" outlineLevel="0" collapsed="false">
      <c r="C1001" s="187"/>
      <c r="D1001" s="187"/>
      <c r="E1001" s="187"/>
      <c r="F1001" s="187"/>
    </row>
    <row r="1002" customFormat="false" ht="15" hidden="false" customHeight="true" outlineLevel="0" collapsed="false">
      <c r="C1002" s="187"/>
      <c r="D1002" s="187"/>
      <c r="E1002" s="187"/>
      <c r="F1002" s="187"/>
    </row>
    <row r="1003" customFormat="false" ht="15" hidden="false" customHeight="true" outlineLevel="0" collapsed="false">
      <c r="C1003" s="187"/>
      <c r="D1003" s="187"/>
      <c r="E1003" s="187"/>
      <c r="F1003" s="187"/>
    </row>
    <row r="1004" customFormat="false" ht="15" hidden="false" customHeight="true" outlineLevel="0" collapsed="false">
      <c r="C1004" s="187"/>
      <c r="D1004" s="187"/>
      <c r="E1004" s="187"/>
      <c r="F1004" s="187"/>
    </row>
    <row r="1005" customFormat="false" ht="15" hidden="false" customHeight="true" outlineLevel="0" collapsed="false">
      <c r="C1005" s="187"/>
      <c r="D1005" s="187"/>
      <c r="E1005" s="187"/>
      <c r="F1005" s="187"/>
    </row>
    <row r="1006" customFormat="false" ht="15" hidden="false" customHeight="true" outlineLevel="0" collapsed="false">
      <c r="C1006" s="187"/>
      <c r="D1006" s="187"/>
      <c r="E1006" s="187"/>
      <c r="F1006" s="187"/>
    </row>
    <row r="1007" customFormat="false" ht="15" hidden="false" customHeight="true" outlineLevel="0" collapsed="false">
      <c r="C1007" s="187"/>
      <c r="D1007" s="187"/>
      <c r="E1007" s="187"/>
      <c r="F1007" s="187"/>
    </row>
    <row r="1008" customFormat="false" ht="15" hidden="false" customHeight="true" outlineLevel="0" collapsed="false">
      <c r="C1008" s="187"/>
      <c r="D1008" s="187"/>
      <c r="E1008" s="187"/>
      <c r="F1008" s="187"/>
    </row>
    <row r="1009" customFormat="false" ht="15" hidden="false" customHeight="true" outlineLevel="0" collapsed="false">
      <c r="C1009" s="187"/>
      <c r="D1009" s="187"/>
      <c r="E1009" s="187"/>
      <c r="F1009" s="187"/>
    </row>
    <row r="1010" customFormat="false" ht="15" hidden="false" customHeight="true" outlineLevel="0" collapsed="false">
      <c r="C1010" s="187"/>
      <c r="D1010" s="187"/>
      <c r="E1010" s="187"/>
      <c r="F1010" s="187"/>
    </row>
    <row r="1011" customFormat="false" ht="15" hidden="false" customHeight="true" outlineLevel="0" collapsed="false">
      <c r="C1011" s="187"/>
      <c r="D1011" s="187"/>
      <c r="E1011" s="187"/>
      <c r="F1011" s="187"/>
    </row>
    <row r="1012" customFormat="false" ht="15" hidden="false" customHeight="true" outlineLevel="0" collapsed="false">
      <c r="C1012" s="187"/>
      <c r="D1012" s="187"/>
      <c r="E1012" s="187"/>
      <c r="F1012" s="187"/>
    </row>
    <row r="1013" customFormat="false" ht="15" hidden="false" customHeight="true" outlineLevel="0" collapsed="false">
      <c r="C1013" s="187"/>
      <c r="D1013" s="187"/>
      <c r="E1013" s="187"/>
      <c r="F1013" s="187"/>
    </row>
    <row r="1014" customFormat="false" ht="15" hidden="false" customHeight="true" outlineLevel="0" collapsed="false">
      <c r="C1014" s="187"/>
      <c r="D1014" s="187"/>
      <c r="E1014" s="187"/>
      <c r="F1014" s="187"/>
    </row>
    <row r="1015" customFormat="false" ht="15" hidden="false" customHeight="true" outlineLevel="0" collapsed="false">
      <c r="C1015" s="187"/>
      <c r="D1015" s="187"/>
      <c r="E1015" s="187"/>
      <c r="F1015" s="187"/>
    </row>
    <row r="1016" customFormat="false" ht="15" hidden="false" customHeight="true" outlineLevel="0" collapsed="false">
      <c r="C1016" s="187"/>
      <c r="D1016" s="187"/>
      <c r="E1016" s="187"/>
      <c r="F1016" s="187"/>
    </row>
    <row r="1017" customFormat="false" ht="15" hidden="false" customHeight="true" outlineLevel="0" collapsed="false">
      <c r="C1017" s="187"/>
      <c r="D1017" s="187"/>
      <c r="E1017" s="187"/>
      <c r="F1017" s="187"/>
    </row>
    <row r="1018" customFormat="false" ht="15" hidden="false" customHeight="true" outlineLevel="0" collapsed="false">
      <c r="C1018" s="187"/>
      <c r="D1018" s="187"/>
      <c r="E1018" s="187"/>
      <c r="F1018" s="187"/>
    </row>
    <row r="1019" customFormat="false" ht="15" hidden="false" customHeight="true" outlineLevel="0" collapsed="false">
      <c r="C1019" s="187"/>
      <c r="D1019" s="187"/>
      <c r="E1019" s="187"/>
      <c r="F1019" s="187"/>
    </row>
    <row r="1020" customFormat="false" ht="15" hidden="false" customHeight="true" outlineLevel="0" collapsed="false">
      <c r="C1020" s="187"/>
      <c r="D1020" s="187"/>
      <c r="E1020" s="187"/>
      <c r="F1020" s="187"/>
    </row>
    <row r="1021" customFormat="false" ht="15" hidden="false" customHeight="true" outlineLevel="0" collapsed="false">
      <c r="C1021" s="187"/>
      <c r="D1021" s="187"/>
      <c r="E1021" s="187"/>
      <c r="F1021" s="187"/>
    </row>
    <row r="1022" customFormat="false" ht="15" hidden="false" customHeight="true" outlineLevel="0" collapsed="false">
      <c r="C1022" s="187"/>
      <c r="D1022" s="187"/>
      <c r="E1022" s="187"/>
      <c r="F1022" s="187"/>
    </row>
    <row r="1023" customFormat="false" ht="15" hidden="false" customHeight="true" outlineLevel="0" collapsed="false">
      <c r="C1023" s="187"/>
      <c r="D1023" s="187"/>
      <c r="E1023" s="187"/>
      <c r="F1023" s="187"/>
    </row>
    <row r="1024" customFormat="false" ht="15" hidden="false" customHeight="true" outlineLevel="0" collapsed="false">
      <c r="C1024" s="187"/>
      <c r="D1024" s="187"/>
      <c r="E1024" s="187"/>
      <c r="F1024" s="187"/>
    </row>
    <row r="1025" customFormat="false" ht="15" hidden="false" customHeight="true" outlineLevel="0" collapsed="false">
      <c r="C1025" s="187"/>
      <c r="D1025" s="187"/>
      <c r="E1025" s="187"/>
      <c r="F1025" s="187"/>
    </row>
    <row r="1026" customFormat="false" ht="15" hidden="false" customHeight="true" outlineLevel="0" collapsed="false">
      <c r="C1026" s="187"/>
      <c r="D1026" s="187"/>
      <c r="E1026" s="187"/>
      <c r="F1026" s="187"/>
    </row>
    <row r="1027" customFormat="false" ht="15" hidden="false" customHeight="true" outlineLevel="0" collapsed="false">
      <c r="C1027" s="187"/>
      <c r="D1027" s="187"/>
      <c r="E1027" s="187"/>
      <c r="F1027" s="187"/>
    </row>
    <row r="1028" customFormat="false" ht="15" hidden="false" customHeight="true" outlineLevel="0" collapsed="false">
      <c r="C1028" s="187"/>
      <c r="D1028" s="187"/>
      <c r="E1028" s="187"/>
      <c r="F1028" s="187"/>
    </row>
    <row r="1029" customFormat="false" ht="15" hidden="false" customHeight="true" outlineLevel="0" collapsed="false">
      <c r="C1029" s="187"/>
      <c r="D1029" s="187"/>
      <c r="E1029" s="187"/>
      <c r="F1029" s="187"/>
    </row>
    <row r="1030" customFormat="false" ht="15" hidden="false" customHeight="true" outlineLevel="0" collapsed="false">
      <c r="C1030" s="187"/>
      <c r="D1030" s="187"/>
      <c r="E1030" s="187"/>
      <c r="F1030" s="187"/>
    </row>
    <row r="1031" customFormat="false" ht="15" hidden="false" customHeight="true" outlineLevel="0" collapsed="false">
      <c r="C1031" s="187"/>
      <c r="D1031" s="187"/>
      <c r="E1031" s="187"/>
      <c r="F1031" s="187"/>
    </row>
    <row r="1032" customFormat="false" ht="15" hidden="false" customHeight="true" outlineLevel="0" collapsed="false">
      <c r="C1032" s="187"/>
      <c r="D1032" s="187"/>
      <c r="E1032" s="187"/>
      <c r="F1032" s="187"/>
    </row>
    <row r="1033" customFormat="false" ht="15" hidden="false" customHeight="true" outlineLevel="0" collapsed="false">
      <c r="C1033" s="187"/>
      <c r="D1033" s="187"/>
      <c r="E1033" s="187"/>
      <c r="F1033" s="187"/>
    </row>
    <row r="1034" customFormat="false" ht="15" hidden="false" customHeight="true" outlineLevel="0" collapsed="false">
      <c r="C1034" s="187"/>
      <c r="D1034" s="187"/>
      <c r="E1034" s="187"/>
      <c r="F1034" s="187"/>
    </row>
    <row r="1035" customFormat="false" ht="15" hidden="false" customHeight="true" outlineLevel="0" collapsed="false">
      <c r="C1035" s="187"/>
      <c r="D1035" s="187"/>
      <c r="E1035" s="187"/>
      <c r="F1035" s="187"/>
    </row>
    <row r="1036" customFormat="false" ht="15" hidden="false" customHeight="true" outlineLevel="0" collapsed="false">
      <c r="C1036" s="187"/>
      <c r="D1036" s="187"/>
      <c r="E1036" s="187"/>
      <c r="F1036" s="187"/>
    </row>
    <row r="1037" customFormat="false" ht="15" hidden="false" customHeight="true" outlineLevel="0" collapsed="false">
      <c r="C1037" s="187"/>
      <c r="D1037" s="187"/>
      <c r="E1037" s="187"/>
      <c r="F1037" s="187"/>
    </row>
    <row r="1038" customFormat="false" ht="15" hidden="false" customHeight="true" outlineLevel="0" collapsed="false">
      <c r="C1038" s="187"/>
      <c r="D1038" s="187"/>
      <c r="E1038" s="187"/>
      <c r="F1038" s="187"/>
    </row>
    <row r="1039" customFormat="false" ht="15" hidden="false" customHeight="true" outlineLevel="0" collapsed="false">
      <c r="C1039" s="187"/>
      <c r="D1039" s="187"/>
      <c r="E1039" s="187"/>
      <c r="F1039" s="187"/>
    </row>
    <row r="1040" customFormat="false" ht="15" hidden="false" customHeight="true" outlineLevel="0" collapsed="false">
      <c r="C1040" s="187"/>
      <c r="D1040" s="187"/>
      <c r="E1040" s="187"/>
      <c r="F1040" s="187"/>
    </row>
    <row r="1041" customFormat="false" ht="15" hidden="false" customHeight="true" outlineLevel="0" collapsed="false">
      <c r="C1041" s="187"/>
      <c r="D1041" s="187"/>
      <c r="E1041" s="187"/>
      <c r="F1041" s="187"/>
    </row>
    <row r="1042" customFormat="false" ht="15" hidden="false" customHeight="true" outlineLevel="0" collapsed="false">
      <c r="C1042" s="187"/>
      <c r="D1042" s="187"/>
      <c r="E1042" s="187"/>
      <c r="F1042" s="187"/>
    </row>
    <row r="1043" customFormat="false" ht="15" hidden="false" customHeight="true" outlineLevel="0" collapsed="false">
      <c r="C1043" s="187"/>
      <c r="D1043" s="187"/>
      <c r="E1043" s="187"/>
      <c r="F1043" s="187"/>
    </row>
    <row r="1044" customFormat="false" ht="15" hidden="false" customHeight="true" outlineLevel="0" collapsed="false">
      <c r="C1044" s="187"/>
      <c r="D1044" s="187"/>
      <c r="E1044" s="187"/>
      <c r="F1044" s="187"/>
    </row>
    <row r="1045" customFormat="false" ht="15" hidden="false" customHeight="true" outlineLevel="0" collapsed="false">
      <c r="C1045" s="187"/>
      <c r="D1045" s="187"/>
      <c r="E1045" s="187"/>
      <c r="F1045" s="187"/>
    </row>
    <row r="1046" customFormat="false" ht="15" hidden="false" customHeight="true" outlineLevel="0" collapsed="false">
      <c r="C1046" s="187"/>
      <c r="D1046" s="187"/>
      <c r="E1046" s="187"/>
      <c r="F1046" s="187"/>
    </row>
    <row r="1047" customFormat="false" ht="15" hidden="false" customHeight="true" outlineLevel="0" collapsed="false">
      <c r="C1047" s="187"/>
      <c r="D1047" s="187"/>
      <c r="E1047" s="187"/>
      <c r="F1047" s="187"/>
    </row>
    <row r="1048" customFormat="false" ht="15" hidden="false" customHeight="true" outlineLevel="0" collapsed="false">
      <c r="C1048" s="187"/>
      <c r="D1048" s="187"/>
      <c r="E1048" s="187"/>
      <c r="F1048" s="187"/>
    </row>
    <row r="1049" customFormat="false" ht="15" hidden="false" customHeight="true" outlineLevel="0" collapsed="false">
      <c r="C1049" s="187"/>
      <c r="D1049" s="187"/>
      <c r="E1049" s="187"/>
      <c r="F1049" s="187"/>
    </row>
    <row r="1050" customFormat="false" ht="15" hidden="false" customHeight="true" outlineLevel="0" collapsed="false">
      <c r="C1050" s="187"/>
      <c r="D1050" s="187"/>
      <c r="E1050" s="187"/>
      <c r="F1050" s="187"/>
    </row>
    <row r="1051" customFormat="false" ht="15" hidden="false" customHeight="true" outlineLevel="0" collapsed="false">
      <c r="C1051" s="187"/>
      <c r="D1051" s="187"/>
      <c r="E1051" s="187"/>
      <c r="F1051" s="187"/>
    </row>
    <row r="1052" customFormat="false" ht="15" hidden="false" customHeight="true" outlineLevel="0" collapsed="false">
      <c r="C1052" s="187"/>
      <c r="D1052" s="187"/>
      <c r="E1052" s="187"/>
      <c r="F1052" s="187"/>
    </row>
    <row r="1053" customFormat="false" ht="15" hidden="false" customHeight="true" outlineLevel="0" collapsed="false">
      <c r="C1053" s="187"/>
      <c r="D1053" s="187"/>
      <c r="E1053" s="187"/>
      <c r="F1053" s="187"/>
    </row>
    <row r="1054" customFormat="false" ht="15" hidden="false" customHeight="true" outlineLevel="0" collapsed="false">
      <c r="C1054" s="187"/>
      <c r="D1054" s="187"/>
      <c r="E1054" s="187"/>
      <c r="F1054" s="187"/>
    </row>
    <row r="1055" customFormat="false" ht="15" hidden="false" customHeight="true" outlineLevel="0" collapsed="false">
      <c r="C1055" s="187"/>
      <c r="D1055" s="187"/>
      <c r="E1055" s="187"/>
      <c r="F1055" s="187"/>
    </row>
    <row r="1056" customFormat="false" ht="15" hidden="false" customHeight="true" outlineLevel="0" collapsed="false">
      <c r="C1056" s="187"/>
      <c r="D1056" s="187"/>
      <c r="E1056" s="187"/>
      <c r="F1056" s="187"/>
    </row>
    <row r="1057" customFormat="false" ht="15" hidden="false" customHeight="true" outlineLevel="0" collapsed="false">
      <c r="C1057" s="187"/>
      <c r="D1057" s="187"/>
      <c r="E1057" s="187"/>
      <c r="F1057" s="187"/>
    </row>
    <row r="1058" customFormat="false" ht="15" hidden="false" customHeight="true" outlineLevel="0" collapsed="false">
      <c r="C1058" s="187"/>
      <c r="D1058" s="187"/>
      <c r="E1058" s="187"/>
      <c r="F1058" s="187"/>
    </row>
    <row r="1059" customFormat="false" ht="15" hidden="false" customHeight="true" outlineLevel="0" collapsed="false">
      <c r="C1059" s="187"/>
      <c r="D1059" s="187"/>
      <c r="E1059" s="187"/>
      <c r="F1059" s="187"/>
    </row>
    <row r="1060" customFormat="false" ht="15" hidden="false" customHeight="true" outlineLevel="0" collapsed="false">
      <c r="C1060" s="187"/>
      <c r="D1060" s="187"/>
      <c r="E1060" s="187"/>
      <c r="F1060" s="187"/>
    </row>
    <row r="1061" customFormat="false" ht="15" hidden="false" customHeight="true" outlineLevel="0" collapsed="false">
      <c r="C1061" s="187"/>
      <c r="D1061" s="187"/>
      <c r="E1061" s="187"/>
      <c r="F1061" s="187"/>
    </row>
    <row r="1062" customFormat="false" ht="15" hidden="false" customHeight="true" outlineLevel="0" collapsed="false">
      <c r="C1062" s="187"/>
      <c r="D1062" s="187"/>
      <c r="E1062" s="187"/>
      <c r="F1062" s="187"/>
    </row>
    <row r="1063" customFormat="false" ht="15" hidden="false" customHeight="true" outlineLevel="0" collapsed="false">
      <c r="C1063" s="187"/>
      <c r="D1063" s="187"/>
      <c r="E1063" s="187"/>
      <c r="F1063" s="187"/>
    </row>
    <row r="1064" customFormat="false" ht="15" hidden="false" customHeight="true" outlineLevel="0" collapsed="false">
      <c r="C1064" s="187"/>
      <c r="D1064" s="187"/>
      <c r="E1064" s="187"/>
      <c r="F1064" s="187"/>
    </row>
    <row r="1065" customFormat="false" ht="15" hidden="false" customHeight="true" outlineLevel="0" collapsed="false">
      <c r="C1065" s="187"/>
      <c r="D1065" s="187"/>
      <c r="E1065" s="187"/>
      <c r="F1065" s="187"/>
    </row>
    <row r="1066" customFormat="false" ht="15" hidden="false" customHeight="true" outlineLevel="0" collapsed="false">
      <c r="C1066" s="187"/>
      <c r="D1066" s="187"/>
      <c r="E1066" s="187"/>
      <c r="F1066" s="187"/>
    </row>
    <row r="1067" customFormat="false" ht="15" hidden="false" customHeight="true" outlineLevel="0" collapsed="false">
      <c r="C1067" s="187"/>
      <c r="D1067" s="187"/>
      <c r="E1067" s="187"/>
      <c r="F1067" s="187"/>
    </row>
    <row r="1068" customFormat="false" ht="15" hidden="false" customHeight="true" outlineLevel="0" collapsed="false">
      <c r="C1068" s="187"/>
      <c r="D1068" s="187"/>
      <c r="E1068" s="187"/>
      <c r="F1068" s="187"/>
    </row>
    <row r="1069" customFormat="false" ht="15" hidden="false" customHeight="true" outlineLevel="0" collapsed="false">
      <c r="C1069" s="187"/>
      <c r="D1069" s="187"/>
      <c r="E1069" s="187"/>
      <c r="F1069" s="187"/>
    </row>
    <row r="1070" customFormat="false" ht="15" hidden="false" customHeight="true" outlineLevel="0" collapsed="false">
      <c r="C1070" s="187"/>
      <c r="D1070" s="187"/>
      <c r="E1070" s="187"/>
      <c r="F1070" s="187"/>
    </row>
    <row r="1071" customFormat="false" ht="15" hidden="false" customHeight="true" outlineLevel="0" collapsed="false">
      <c r="C1071" s="187"/>
      <c r="D1071" s="187"/>
      <c r="E1071" s="187"/>
      <c r="F1071" s="187"/>
    </row>
    <row r="1072" customFormat="false" ht="15" hidden="false" customHeight="true" outlineLevel="0" collapsed="false">
      <c r="C1072" s="187"/>
      <c r="D1072" s="187"/>
      <c r="E1072" s="187"/>
      <c r="F1072" s="187"/>
    </row>
    <row r="1073" customFormat="false" ht="15" hidden="false" customHeight="true" outlineLevel="0" collapsed="false">
      <c r="C1073" s="187"/>
      <c r="D1073" s="187"/>
      <c r="E1073" s="187"/>
      <c r="F1073" s="187"/>
    </row>
    <row r="1074" customFormat="false" ht="15" hidden="false" customHeight="true" outlineLevel="0" collapsed="false">
      <c r="C1074" s="187"/>
      <c r="D1074" s="187"/>
      <c r="E1074" s="187"/>
      <c r="F1074" s="187"/>
    </row>
    <row r="1075" customFormat="false" ht="15" hidden="false" customHeight="true" outlineLevel="0" collapsed="false">
      <c r="C1075" s="187"/>
      <c r="D1075" s="187"/>
      <c r="E1075" s="187"/>
      <c r="F1075" s="187"/>
    </row>
    <row r="1076" customFormat="false" ht="15" hidden="false" customHeight="true" outlineLevel="0" collapsed="false">
      <c r="C1076" s="187"/>
      <c r="D1076" s="187"/>
      <c r="E1076" s="187"/>
      <c r="F1076" s="187"/>
    </row>
    <row r="1077" customFormat="false" ht="15" hidden="false" customHeight="true" outlineLevel="0" collapsed="false">
      <c r="C1077" s="187"/>
      <c r="D1077" s="187"/>
      <c r="E1077" s="187"/>
      <c r="F1077" s="187"/>
    </row>
    <row r="1078" customFormat="false" ht="15" hidden="false" customHeight="true" outlineLevel="0" collapsed="false">
      <c r="C1078" s="187"/>
      <c r="D1078" s="187"/>
      <c r="E1078" s="187"/>
      <c r="F1078" s="187"/>
    </row>
    <row r="1079" customFormat="false" ht="15" hidden="false" customHeight="true" outlineLevel="0" collapsed="false">
      <c r="C1079" s="187"/>
      <c r="D1079" s="187"/>
      <c r="E1079" s="187"/>
      <c r="F1079" s="187"/>
    </row>
    <row r="1080" customFormat="false" ht="15" hidden="false" customHeight="true" outlineLevel="0" collapsed="false">
      <c r="C1080" s="187"/>
      <c r="D1080" s="187"/>
      <c r="E1080" s="187"/>
      <c r="F1080" s="187"/>
    </row>
    <row r="1081" customFormat="false" ht="15" hidden="false" customHeight="true" outlineLevel="0" collapsed="false">
      <c r="C1081" s="187"/>
      <c r="D1081" s="187"/>
      <c r="E1081" s="187"/>
      <c r="F1081" s="187"/>
    </row>
    <row r="1082" customFormat="false" ht="15" hidden="false" customHeight="true" outlineLevel="0" collapsed="false">
      <c r="C1082" s="187"/>
      <c r="D1082" s="187"/>
      <c r="E1082" s="187"/>
      <c r="F1082" s="187"/>
    </row>
    <row r="1083" customFormat="false" ht="15" hidden="false" customHeight="true" outlineLevel="0" collapsed="false">
      <c r="C1083" s="187"/>
      <c r="D1083" s="187"/>
      <c r="E1083" s="187"/>
      <c r="F1083" s="187"/>
    </row>
    <row r="1084" customFormat="false" ht="15" hidden="false" customHeight="true" outlineLevel="0" collapsed="false">
      <c r="C1084" s="187"/>
      <c r="D1084" s="187"/>
      <c r="E1084" s="187"/>
      <c r="F1084" s="187"/>
    </row>
    <row r="1085" customFormat="false" ht="15" hidden="false" customHeight="true" outlineLevel="0" collapsed="false">
      <c r="C1085" s="187"/>
      <c r="D1085" s="187"/>
      <c r="E1085" s="187"/>
      <c r="F1085" s="187"/>
    </row>
    <row r="1086" customFormat="false" ht="15" hidden="false" customHeight="true" outlineLevel="0" collapsed="false">
      <c r="C1086" s="187"/>
      <c r="D1086" s="187"/>
      <c r="E1086" s="187"/>
      <c r="F1086" s="187"/>
    </row>
    <row r="1087" customFormat="false" ht="15" hidden="false" customHeight="true" outlineLevel="0" collapsed="false">
      <c r="C1087" s="187"/>
      <c r="D1087" s="187"/>
      <c r="E1087" s="187"/>
      <c r="F1087" s="187"/>
    </row>
    <row r="1088" customFormat="false" ht="15" hidden="false" customHeight="true" outlineLevel="0" collapsed="false">
      <c r="C1088" s="187"/>
      <c r="D1088" s="187"/>
      <c r="E1088" s="187"/>
      <c r="F1088" s="187"/>
    </row>
    <row r="1089" customFormat="false" ht="15" hidden="false" customHeight="true" outlineLevel="0" collapsed="false">
      <c r="C1089" s="187"/>
      <c r="D1089" s="187"/>
      <c r="E1089" s="187"/>
      <c r="F1089" s="187"/>
    </row>
    <row r="1090" customFormat="false" ht="15" hidden="false" customHeight="true" outlineLevel="0" collapsed="false">
      <c r="C1090" s="187"/>
      <c r="D1090" s="187"/>
      <c r="E1090" s="187"/>
      <c r="F1090" s="187"/>
    </row>
    <row r="1091" customFormat="false" ht="15" hidden="false" customHeight="true" outlineLevel="0" collapsed="false">
      <c r="C1091" s="187"/>
      <c r="D1091" s="187"/>
      <c r="E1091" s="187"/>
      <c r="F1091" s="187"/>
    </row>
    <row r="1092" customFormat="false" ht="15" hidden="false" customHeight="true" outlineLevel="0" collapsed="false">
      <c r="C1092" s="187"/>
      <c r="D1092" s="187"/>
      <c r="E1092" s="187"/>
      <c r="F1092" s="187"/>
    </row>
    <row r="1093" customFormat="false" ht="15" hidden="false" customHeight="true" outlineLevel="0" collapsed="false">
      <c r="C1093" s="187"/>
      <c r="D1093" s="187"/>
      <c r="E1093" s="187"/>
      <c r="F1093" s="187"/>
    </row>
    <row r="1094" customFormat="false" ht="15" hidden="false" customHeight="true" outlineLevel="0" collapsed="false">
      <c r="C1094" s="187"/>
      <c r="D1094" s="187"/>
      <c r="E1094" s="187"/>
      <c r="F1094" s="187"/>
    </row>
    <row r="1095" customFormat="false" ht="15" hidden="false" customHeight="true" outlineLevel="0" collapsed="false">
      <c r="C1095" s="187"/>
      <c r="D1095" s="187"/>
      <c r="E1095" s="187"/>
      <c r="F1095" s="187"/>
    </row>
    <row r="1096" customFormat="false" ht="15" hidden="false" customHeight="true" outlineLevel="0" collapsed="false">
      <c r="C1096" s="187"/>
      <c r="D1096" s="187"/>
      <c r="E1096" s="187"/>
      <c r="F1096" s="187"/>
    </row>
    <row r="1097" customFormat="false" ht="15" hidden="false" customHeight="true" outlineLevel="0" collapsed="false">
      <c r="C1097" s="187"/>
      <c r="D1097" s="187"/>
      <c r="E1097" s="187"/>
      <c r="F1097" s="187"/>
    </row>
    <row r="1098" customFormat="false" ht="15" hidden="false" customHeight="true" outlineLevel="0" collapsed="false">
      <c r="C1098" s="187"/>
      <c r="D1098" s="187"/>
      <c r="E1098" s="187"/>
      <c r="F1098" s="187"/>
    </row>
    <row r="1099" customFormat="false" ht="15" hidden="false" customHeight="true" outlineLevel="0" collapsed="false">
      <c r="C1099" s="187"/>
      <c r="D1099" s="187"/>
      <c r="E1099" s="187"/>
      <c r="F1099" s="187"/>
    </row>
    <row r="1100" customFormat="false" ht="15" hidden="false" customHeight="true" outlineLevel="0" collapsed="false">
      <c r="C1100" s="187"/>
      <c r="D1100" s="187"/>
      <c r="E1100" s="187"/>
      <c r="F1100" s="187"/>
    </row>
    <row r="1101" customFormat="false" ht="15" hidden="false" customHeight="true" outlineLevel="0" collapsed="false">
      <c r="C1101" s="187"/>
      <c r="D1101" s="187"/>
      <c r="E1101" s="187"/>
      <c r="F1101" s="187"/>
    </row>
    <row r="1102" customFormat="false" ht="15" hidden="false" customHeight="true" outlineLevel="0" collapsed="false">
      <c r="C1102" s="187"/>
      <c r="D1102" s="187"/>
      <c r="E1102" s="187"/>
      <c r="F1102" s="187"/>
    </row>
    <row r="1103" customFormat="false" ht="15" hidden="false" customHeight="true" outlineLevel="0" collapsed="false">
      <c r="C1103" s="187"/>
      <c r="D1103" s="187"/>
      <c r="E1103" s="187"/>
      <c r="F1103" s="187"/>
    </row>
    <row r="1104" customFormat="false" ht="15" hidden="false" customHeight="true" outlineLevel="0" collapsed="false">
      <c r="C1104" s="187"/>
      <c r="D1104" s="187"/>
      <c r="E1104" s="187"/>
      <c r="F1104" s="187"/>
    </row>
    <row r="1105" customFormat="false" ht="15" hidden="false" customHeight="true" outlineLevel="0" collapsed="false">
      <c r="C1105" s="187"/>
      <c r="D1105" s="187"/>
      <c r="E1105" s="187"/>
      <c r="F1105" s="187"/>
    </row>
    <row r="1106" customFormat="false" ht="15" hidden="false" customHeight="true" outlineLevel="0" collapsed="false">
      <c r="C1106" s="187"/>
      <c r="D1106" s="187"/>
      <c r="E1106" s="187"/>
      <c r="F1106" s="187"/>
    </row>
    <row r="1107" customFormat="false" ht="15" hidden="false" customHeight="true" outlineLevel="0" collapsed="false">
      <c r="C1107" s="187"/>
      <c r="D1107" s="187"/>
      <c r="E1107" s="187"/>
      <c r="F1107" s="187"/>
    </row>
    <row r="1108" customFormat="false" ht="15" hidden="false" customHeight="true" outlineLevel="0" collapsed="false">
      <c r="C1108" s="187"/>
      <c r="D1108" s="187"/>
      <c r="E1108" s="187"/>
      <c r="F1108" s="187"/>
    </row>
    <row r="1109" customFormat="false" ht="15" hidden="false" customHeight="true" outlineLevel="0" collapsed="false">
      <c r="C1109" s="187"/>
      <c r="D1109" s="187"/>
      <c r="E1109" s="187"/>
      <c r="F1109" s="187"/>
    </row>
    <row r="1110" customFormat="false" ht="15" hidden="false" customHeight="true" outlineLevel="0" collapsed="false">
      <c r="C1110" s="187"/>
      <c r="D1110" s="187"/>
      <c r="E1110" s="187"/>
      <c r="F1110" s="187"/>
    </row>
    <row r="1111" customFormat="false" ht="15" hidden="false" customHeight="true" outlineLevel="0" collapsed="false">
      <c r="C1111" s="187"/>
      <c r="D1111" s="187"/>
      <c r="E1111" s="187"/>
      <c r="F1111" s="187"/>
    </row>
    <row r="1112" customFormat="false" ht="15" hidden="false" customHeight="true" outlineLevel="0" collapsed="false">
      <c r="C1112" s="187"/>
      <c r="D1112" s="187"/>
      <c r="E1112" s="187"/>
      <c r="F1112" s="187"/>
    </row>
    <row r="1113" customFormat="false" ht="15" hidden="false" customHeight="true" outlineLevel="0" collapsed="false">
      <c r="C1113" s="187"/>
      <c r="D1113" s="187"/>
      <c r="E1113" s="187"/>
      <c r="F1113" s="187"/>
    </row>
    <row r="1114" customFormat="false" ht="15" hidden="false" customHeight="true" outlineLevel="0" collapsed="false">
      <c r="C1114" s="187"/>
      <c r="D1114" s="187"/>
      <c r="E1114" s="187"/>
      <c r="F1114" s="187"/>
    </row>
    <row r="1115" customFormat="false" ht="15" hidden="false" customHeight="true" outlineLevel="0" collapsed="false">
      <c r="C1115" s="187"/>
      <c r="D1115" s="187"/>
      <c r="E1115" s="187"/>
      <c r="F1115" s="187"/>
    </row>
    <row r="1116" customFormat="false" ht="15" hidden="false" customHeight="true" outlineLevel="0" collapsed="false">
      <c r="C1116" s="187"/>
      <c r="D1116" s="187"/>
      <c r="E1116" s="187"/>
      <c r="F1116" s="187"/>
    </row>
    <row r="1117" customFormat="false" ht="15" hidden="false" customHeight="true" outlineLevel="0" collapsed="false">
      <c r="C1117" s="187"/>
      <c r="D1117" s="187"/>
      <c r="E1117" s="187"/>
      <c r="F1117" s="187"/>
    </row>
    <row r="1118" customFormat="false" ht="15" hidden="false" customHeight="true" outlineLevel="0" collapsed="false">
      <c r="C1118" s="187"/>
      <c r="D1118" s="187"/>
      <c r="E1118" s="187"/>
      <c r="F1118" s="187"/>
    </row>
    <row r="1119" customFormat="false" ht="15" hidden="false" customHeight="true" outlineLevel="0" collapsed="false">
      <c r="C1119" s="187"/>
      <c r="D1119" s="187"/>
      <c r="E1119" s="187"/>
      <c r="F1119" s="187"/>
    </row>
    <row r="1120" customFormat="false" ht="15" hidden="false" customHeight="true" outlineLevel="0" collapsed="false">
      <c r="C1120" s="187"/>
      <c r="D1120" s="187"/>
      <c r="E1120" s="187"/>
      <c r="F1120" s="187"/>
    </row>
    <row r="1121" customFormat="false" ht="15" hidden="false" customHeight="true" outlineLevel="0" collapsed="false">
      <c r="C1121" s="187"/>
      <c r="D1121" s="187"/>
      <c r="E1121" s="187"/>
      <c r="F1121" s="187"/>
    </row>
    <row r="1122" customFormat="false" ht="15" hidden="false" customHeight="true" outlineLevel="0" collapsed="false">
      <c r="C1122" s="187"/>
      <c r="D1122" s="187"/>
      <c r="E1122" s="187"/>
      <c r="F1122" s="187"/>
    </row>
    <row r="1123" customFormat="false" ht="15" hidden="false" customHeight="true" outlineLevel="0" collapsed="false">
      <c r="C1123" s="187"/>
      <c r="D1123" s="187"/>
      <c r="E1123" s="187"/>
      <c r="F1123" s="187"/>
    </row>
    <row r="1124" customFormat="false" ht="15" hidden="false" customHeight="true" outlineLevel="0" collapsed="false">
      <c r="C1124" s="187"/>
      <c r="D1124" s="187"/>
      <c r="E1124" s="187"/>
      <c r="F1124" s="187"/>
    </row>
    <row r="1125" customFormat="false" ht="15" hidden="false" customHeight="true" outlineLevel="0" collapsed="false">
      <c r="C1125" s="187"/>
      <c r="D1125" s="187"/>
      <c r="E1125" s="187"/>
      <c r="F1125" s="187"/>
    </row>
    <row r="1126" customFormat="false" ht="15" hidden="false" customHeight="true" outlineLevel="0" collapsed="false">
      <c r="C1126" s="187"/>
      <c r="D1126" s="187"/>
      <c r="E1126" s="187"/>
      <c r="F1126" s="187"/>
    </row>
    <row r="1127" customFormat="false" ht="15" hidden="false" customHeight="true" outlineLevel="0" collapsed="false">
      <c r="C1127" s="187"/>
      <c r="D1127" s="187"/>
      <c r="E1127" s="187"/>
      <c r="F1127" s="187"/>
    </row>
    <row r="1128" customFormat="false" ht="15" hidden="false" customHeight="true" outlineLevel="0" collapsed="false">
      <c r="C1128" s="187"/>
      <c r="D1128" s="187"/>
      <c r="E1128" s="187"/>
      <c r="F1128" s="187"/>
    </row>
    <row r="1129" customFormat="false" ht="15" hidden="false" customHeight="true" outlineLevel="0" collapsed="false">
      <c r="C1129" s="187"/>
      <c r="D1129" s="187"/>
      <c r="E1129" s="187"/>
      <c r="F1129" s="187"/>
    </row>
    <row r="1130" customFormat="false" ht="15" hidden="false" customHeight="true" outlineLevel="0" collapsed="false">
      <c r="C1130" s="187"/>
      <c r="D1130" s="187"/>
      <c r="E1130" s="187"/>
      <c r="F1130" s="187"/>
    </row>
    <row r="1131" customFormat="false" ht="15" hidden="false" customHeight="true" outlineLevel="0" collapsed="false">
      <c r="C1131" s="187"/>
      <c r="D1131" s="187"/>
      <c r="E1131" s="187"/>
      <c r="F1131" s="187"/>
    </row>
    <row r="1132" customFormat="false" ht="15" hidden="false" customHeight="true" outlineLevel="0" collapsed="false">
      <c r="C1132" s="187"/>
      <c r="D1132" s="187"/>
      <c r="E1132" s="187"/>
      <c r="F1132" s="187"/>
    </row>
    <row r="1133" customFormat="false" ht="15" hidden="false" customHeight="true" outlineLevel="0" collapsed="false">
      <c r="C1133" s="187"/>
      <c r="D1133" s="187"/>
      <c r="E1133" s="187"/>
      <c r="F1133" s="187"/>
    </row>
    <row r="1134" customFormat="false" ht="15" hidden="false" customHeight="true" outlineLevel="0" collapsed="false">
      <c r="C1134" s="187"/>
      <c r="D1134" s="187"/>
      <c r="E1134" s="187"/>
      <c r="F1134" s="187"/>
    </row>
    <row r="1135" customFormat="false" ht="15" hidden="false" customHeight="true" outlineLevel="0" collapsed="false">
      <c r="C1135" s="187"/>
      <c r="D1135" s="187"/>
      <c r="E1135" s="187"/>
      <c r="F1135" s="187"/>
    </row>
    <row r="1136" customFormat="false" ht="15" hidden="false" customHeight="true" outlineLevel="0" collapsed="false">
      <c r="C1136" s="187"/>
      <c r="D1136" s="187"/>
      <c r="E1136" s="187"/>
      <c r="F1136" s="187"/>
    </row>
    <row r="1137" customFormat="false" ht="15" hidden="false" customHeight="true" outlineLevel="0" collapsed="false">
      <c r="C1137" s="187"/>
      <c r="D1137" s="187"/>
      <c r="E1137" s="187"/>
      <c r="F1137" s="187"/>
    </row>
    <row r="1138" customFormat="false" ht="15" hidden="false" customHeight="true" outlineLevel="0" collapsed="false">
      <c r="C1138" s="187"/>
      <c r="D1138" s="187"/>
      <c r="E1138" s="187"/>
      <c r="F1138" s="187"/>
    </row>
    <row r="1139" customFormat="false" ht="15" hidden="false" customHeight="true" outlineLevel="0" collapsed="false">
      <c r="C1139" s="187"/>
      <c r="D1139" s="187"/>
      <c r="E1139" s="187"/>
      <c r="F1139" s="187"/>
    </row>
    <row r="1140" customFormat="false" ht="15" hidden="false" customHeight="true" outlineLevel="0" collapsed="false">
      <c r="C1140" s="187"/>
      <c r="D1140" s="187"/>
      <c r="E1140" s="187"/>
      <c r="F1140" s="187"/>
    </row>
    <row r="1141" customFormat="false" ht="15" hidden="false" customHeight="true" outlineLevel="0" collapsed="false">
      <c r="C1141" s="187"/>
      <c r="D1141" s="187"/>
      <c r="E1141" s="187"/>
      <c r="F1141" s="187"/>
    </row>
    <row r="1142" customFormat="false" ht="15" hidden="false" customHeight="true" outlineLevel="0" collapsed="false">
      <c r="C1142" s="187"/>
      <c r="D1142" s="187"/>
      <c r="E1142" s="187"/>
      <c r="F1142" s="187"/>
    </row>
    <row r="1143" customFormat="false" ht="15" hidden="false" customHeight="true" outlineLevel="0" collapsed="false">
      <c r="C1143" s="187"/>
      <c r="D1143" s="187"/>
      <c r="E1143" s="187"/>
      <c r="F1143" s="187"/>
    </row>
    <row r="1144" customFormat="false" ht="15" hidden="false" customHeight="true" outlineLevel="0" collapsed="false">
      <c r="C1144" s="187"/>
      <c r="D1144" s="187"/>
      <c r="E1144" s="187"/>
      <c r="F1144" s="187"/>
    </row>
    <row r="1145" customFormat="false" ht="15" hidden="false" customHeight="true" outlineLevel="0" collapsed="false">
      <c r="C1145" s="187"/>
      <c r="D1145" s="187"/>
      <c r="E1145" s="187"/>
      <c r="F1145" s="187"/>
    </row>
    <row r="1146" customFormat="false" ht="15" hidden="false" customHeight="true" outlineLevel="0" collapsed="false">
      <c r="C1146" s="187"/>
      <c r="D1146" s="187"/>
      <c r="E1146" s="187"/>
      <c r="F1146" s="187"/>
    </row>
    <row r="1147" customFormat="false" ht="15" hidden="false" customHeight="true" outlineLevel="0" collapsed="false">
      <c r="C1147" s="187"/>
      <c r="D1147" s="187"/>
      <c r="E1147" s="187"/>
      <c r="F1147" s="187"/>
    </row>
    <row r="1148" customFormat="false" ht="15" hidden="false" customHeight="true" outlineLevel="0" collapsed="false">
      <c r="C1148" s="187"/>
      <c r="D1148" s="187"/>
      <c r="E1148" s="187"/>
      <c r="F1148" s="187"/>
    </row>
    <row r="1149" customFormat="false" ht="15" hidden="false" customHeight="true" outlineLevel="0" collapsed="false">
      <c r="C1149" s="187"/>
      <c r="D1149" s="187"/>
      <c r="E1149" s="187"/>
      <c r="F1149" s="187"/>
    </row>
    <row r="1150" customFormat="false" ht="15" hidden="false" customHeight="true" outlineLevel="0" collapsed="false">
      <c r="C1150" s="187"/>
      <c r="D1150" s="187"/>
      <c r="E1150" s="187"/>
      <c r="F1150" s="187"/>
    </row>
    <row r="1151" customFormat="false" ht="15" hidden="false" customHeight="true" outlineLevel="0" collapsed="false">
      <c r="C1151" s="187"/>
      <c r="D1151" s="187"/>
      <c r="E1151" s="187"/>
      <c r="F1151" s="187"/>
    </row>
    <row r="1152" customFormat="false" ht="15" hidden="false" customHeight="true" outlineLevel="0" collapsed="false">
      <c r="C1152" s="187"/>
      <c r="D1152" s="187"/>
      <c r="E1152" s="187"/>
      <c r="F1152" s="187"/>
    </row>
    <row r="1153" customFormat="false" ht="15" hidden="false" customHeight="true" outlineLevel="0" collapsed="false">
      <c r="C1153" s="187"/>
      <c r="D1153" s="187"/>
      <c r="E1153" s="187"/>
      <c r="F1153" s="187"/>
    </row>
    <row r="1154" customFormat="false" ht="15" hidden="false" customHeight="true" outlineLevel="0" collapsed="false">
      <c r="C1154" s="187"/>
      <c r="D1154" s="187"/>
      <c r="E1154" s="187"/>
      <c r="F1154" s="187"/>
    </row>
    <row r="1155" customFormat="false" ht="15" hidden="false" customHeight="true" outlineLevel="0" collapsed="false">
      <c r="C1155" s="187"/>
      <c r="D1155" s="187"/>
      <c r="E1155" s="187"/>
      <c r="F1155" s="187"/>
    </row>
    <row r="1156" customFormat="false" ht="15" hidden="false" customHeight="true" outlineLevel="0" collapsed="false">
      <c r="C1156" s="187"/>
      <c r="D1156" s="187"/>
      <c r="E1156" s="187"/>
      <c r="F1156" s="187"/>
    </row>
    <row r="1157" customFormat="false" ht="15" hidden="false" customHeight="true" outlineLevel="0" collapsed="false">
      <c r="C1157" s="187"/>
      <c r="D1157" s="187"/>
      <c r="E1157" s="187"/>
      <c r="F1157" s="187"/>
    </row>
    <row r="1158" customFormat="false" ht="15" hidden="false" customHeight="true" outlineLevel="0" collapsed="false">
      <c r="C1158" s="187"/>
      <c r="D1158" s="187"/>
      <c r="E1158" s="187"/>
      <c r="F1158" s="187"/>
    </row>
    <row r="1159" customFormat="false" ht="15" hidden="false" customHeight="true" outlineLevel="0" collapsed="false">
      <c r="C1159" s="187"/>
      <c r="D1159" s="187"/>
      <c r="E1159" s="187"/>
      <c r="F1159" s="187"/>
    </row>
    <row r="1160" customFormat="false" ht="15" hidden="false" customHeight="true" outlineLevel="0" collapsed="false">
      <c r="C1160" s="187"/>
      <c r="D1160" s="187"/>
      <c r="E1160" s="187"/>
      <c r="F1160" s="187"/>
    </row>
    <row r="1161" customFormat="false" ht="15" hidden="false" customHeight="true" outlineLevel="0" collapsed="false">
      <c r="C1161" s="187"/>
      <c r="D1161" s="187"/>
      <c r="E1161" s="187"/>
      <c r="F1161" s="187"/>
    </row>
    <row r="1162" customFormat="false" ht="15" hidden="false" customHeight="true" outlineLevel="0" collapsed="false">
      <c r="C1162" s="187"/>
      <c r="D1162" s="187"/>
      <c r="E1162" s="187"/>
      <c r="F1162" s="187"/>
    </row>
    <row r="1163" customFormat="false" ht="15" hidden="false" customHeight="true" outlineLevel="0" collapsed="false">
      <c r="C1163" s="187"/>
      <c r="D1163" s="187"/>
      <c r="E1163" s="187"/>
      <c r="F1163" s="187"/>
    </row>
    <row r="1164" customFormat="false" ht="15" hidden="false" customHeight="true" outlineLevel="0" collapsed="false">
      <c r="C1164" s="187"/>
      <c r="D1164" s="187"/>
      <c r="E1164" s="187"/>
      <c r="F1164" s="187"/>
    </row>
    <row r="1165" customFormat="false" ht="15" hidden="false" customHeight="true" outlineLevel="0" collapsed="false">
      <c r="C1165" s="187"/>
      <c r="D1165" s="187"/>
      <c r="E1165" s="187"/>
      <c r="F1165" s="187"/>
    </row>
    <row r="1166" customFormat="false" ht="15" hidden="false" customHeight="true" outlineLevel="0" collapsed="false">
      <c r="C1166" s="187"/>
      <c r="D1166" s="187"/>
      <c r="E1166" s="187"/>
      <c r="F1166" s="187"/>
    </row>
    <row r="1167" customFormat="false" ht="15" hidden="false" customHeight="true" outlineLevel="0" collapsed="false">
      <c r="C1167" s="187"/>
      <c r="D1167" s="187"/>
      <c r="E1167" s="187"/>
      <c r="F1167" s="187"/>
    </row>
    <row r="1168" customFormat="false" ht="15" hidden="false" customHeight="true" outlineLevel="0" collapsed="false">
      <c r="C1168" s="187"/>
      <c r="D1168" s="187"/>
      <c r="E1168" s="187"/>
      <c r="F1168" s="187"/>
    </row>
    <row r="1169" customFormat="false" ht="15" hidden="false" customHeight="true" outlineLevel="0" collapsed="false">
      <c r="C1169" s="187"/>
      <c r="D1169" s="187"/>
      <c r="E1169" s="187"/>
      <c r="F1169" s="187"/>
    </row>
    <row r="1170" customFormat="false" ht="15" hidden="false" customHeight="true" outlineLevel="0" collapsed="false">
      <c r="C1170" s="187"/>
      <c r="D1170" s="187"/>
      <c r="E1170" s="187"/>
      <c r="F1170" s="187"/>
    </row>
    <row r="1171" customFormat="false" ht="15" hidden="false" customHeight="true" outlineLevel="0" collapsed="false">
      <c r="C1171" s="187"/>
      <c r="D1171" s="187"/>
      <c r="E1171" s="187"/>
      <c r="F1171" s="187"/>
    </row>
    <row r="1172" customFormat="false" ht="15" hidden="false" customHeight="true" outlineLevel="0" collapsed="false">
      <c r="C1172" s="187"/>
      <c r="D1172" s="187"/>
      <c r="E1172" s="187"/>
      <c r="F1172" s="187"/>
    </row>
    <row r="1173" customFormat="false" ht="15" hidden="false" customHeight="true" outlineLevel="0" collapsed="false">
      <c r="C1173" s="187"/>
      <c r="D1173" s="187"/>
      <c r="E1173" s="187"/>
      <c r="F1173" s="187"/>
    </row>
    <row r="1174" customFormat="false" ht="15" hidden="false" customHeight="true" outlineLevel="0" collapsed="false">
      <c r="C1174" s="187"/>
      <c r="D1174" s="187"/>
      <c r="E1174" s="187"/>
      <c r="F1174" s="187"/>
    </row>
    <row r="1175" customFormat="false" ht="15" hidden="false" customHeight="true" outlineLevel="0" collapsed="false">
      <c r="C1175" s="187"/>
      <c r="D1175" s="187"/>
      <c r="E1175" s="187"/>
      <c r="F1175" s="187"/>
    </row>
    <row r="1176" customFormat="false" ht="15" hidden="false" customHeight="true" outlineLevel="0" collapsed="false">
      <c r="C1176" s="187"/>
      <c r="D1176" s="187"/>
      <c r="E1176" s="187"/>
      <c r="F1176" s="187"/>
    </row>
    <row r="1177" customFormat="false" ht="15" hidden="false" customHeight="true" outlineLevel="0" collapsed="false">
      <c r="C1177" s="187"/>
      <c r="D1177" s="187"/>
      <c r="E1177" s="187"/>
      <c r="F1177" s="187"/>
    </row>
    <row r="1178" customFormat="false" ht="15" hidden="false" customHeight="true" outlineLevel="0" collapsed="false">
      <c r="A1178" s="1" t="s">
        <v>305</v>
      </c>
      <c r="B1178" s="1" t="s">
        <v>5165</v>
      </c>
      <c r="C1178" s="187" t="n">
        <f aca="false">IFERROR(SUMPRODUCT((IF('ENERO 2026'!Y6:Y119&lt;&gt;"",'ENERO 2026'!Y6:Y119,'ENERO 2026'!I6:I119)="BUENOS AIRES")*('ENERO 2026'!K6:K119="PETROLEO")*'ENERO 2026'!M6:M119),0)</f>
        <v>0</v>
      </c>
      <c r="D1178" s="187" t="n">
        <f aca="false">IFERROR(SUMPRODUCT((IF('ENERO 2026'!Y6:Y119&lt;&gt;"",'ENERO 2026'!Y6:Y119,'ENERO 2026'!I6:I119)="BUENOS AIRES")*('ENERO 2026'!K6:K119="PETROLEO")*'ENERO 2026'!N6:N119),0)</f>
        <v>0</v>
      </c>
      <c r="E1178" s="187" t="n">
        <f aca="false">IFERROR(SUMPRODUCT((IF('ENERO 2026'!Y6:Y119&lt;&gt;"",'ENERO 2026'!Y6:Y119,'ENERO 2026'!I6:I119)="BUENOS AIRES")*('ENERO 2026'!K6:K119="GASOLINA")*'ENERO 2026'!M6:M119),0)</f>
        <v>0</v>
      </c>
      <c r="F1178" s="187" t="n">
        <f aca="false">IFERROR(SUMPRODUCT((IF('ENERO 2026'!Y6:Y119&lt;&gt;"",'ENERO 2026'!Y6:Y119,'ENERO 2026'!I6:I119)="BUENOS AIRES")*('ENERO 2026'!K6:K119="GASOLINA")*'ENERO 2026'!N6:N119),0)</f>
        <v>0</v>
      </c>
    </row>
    <row r="1179" customFormat="false" ht="15" hidden="false" customHeight="true" outlineLevel="0" collapsed="false">
      <c r="A1179" s="1" t="s">
        <v>305</v>
      </c>
      <c r="B1179" s="1" t="s">
        <v>5166</v>
      </c>
      <c r="C1179" s="187" t="n">
        <f aca="false">IFERROR(SUMPRODUCT((IF('FEBRERO 2026'!Y6:Y124&lt;&gt;"",'FEBRERO 2026'!Y6:Y124,'FEBRERO 2026'!I6:I124)="BUENOS AIRES")*('FEBRERO 2026'!K6:K124="PETROLEO")*'FEBRERO 2026'!M6:M124),0)</f>
        <v>0</v>
      </c>
      <c r="D1179" s="187" t="n">
        <f aca="false">IFERROR(SUMPRODUCT((IF('FEBRERO 2026'!Y6:Y124&lt;&gt;"",'FEBRERO 2026'!Y6:Y124,'FEBRERO 2026'!I6:I124)="BUENOS AIRES")*('FEBRERO 2026'!K6:K124="PETROLEO")*'FEBRERO 2026'!N6:N124),0)</f>
        <v>0</v>
      </c>
      <c r="E1179" s="187" t="n">
        <f aca="false">IFERROR(SUMPRODUCT((IF('FEBRERO 2026'!Y6:Y124&lt;&gt;"",'FEBRERO 2026'!Y6:Y124,'FEBRERO 2026'!I6:I124)="BUENOS AIRES")*('FEBRERO 2026'!K6:K124="GASOLINA")*'FEBRERO 2026'!M6:M124),0)</f>
        <v>10</v>
      </c>
      <c r="F1179" s="187" t="n">
        <f aca="false">IFERROR(SUMPRODUCT((IF('FEBRERO 2026'!Y6:Y124&lt;&gt;"",'FEBRERO 2026'!Y6:Y124,'FEBRERO 2026'!I6:I124)="BUENOS AIRES")*('FEBRERO 2026'!K6:K124="GASOLINA")*'FEBRERO 2026'!N6:N124),0)</f>
        <v>179.5</v>
      </c>
    </row>
    <row r="1180" customFormat="false" ht="15" hidden="false" customHeight="true" outlineLevel="0" collapsed="false">
      <c r="A1180" s="1" t="s">
        <v>305</v>
      </c>
      <c r="B1180" s="1" t="s">
        <v>5167</v>
      </c>
      <c r="C1180" s="187" t="n">
        <f aca="false">IFERROR(SUMPRODUCT((IF('MARZO 2026'!Y6:Y119&lt;&gt;"",'MARZO 2026'!Y6:Y119,'MARZO 2026'!I6:I119)="BUENOS AIRES")*('MARZO 2026'!K6:K119="PETROLEO")*'MARZO 2026'!M6:M119),0)</f>
        <v>0</v>
      </c>
      <c r="D1180" s="187" t="n">
        <f aca="false">IFERROR(SUMPRODUCT((IF('MARZO 2026'!Y6:Y119&lt;&gt;"",'MARZO 2026'!Y6:Y119,'MARZO 2026'!I6:I119)="BUENOS AIRES")*('MARZO 2026'!K6:K119="PETROLEO")*'MARZO 2026'!N6:N119),0)</f>
        <v>0</v>
      </c>
      <c r="E1180" s="187" t="n">
        <f aca="false">IFERROR(SUMPRODUCT((IF('MARZO 2026'!Y6:Y119&lt;&gt;"",'MARZO 2026'!Y6:Y119,'MARZO 2026'!I6:I119)="BUENOS AIRES")*('MARZO 2026'!K6:K119="GASOLINA")*'MARZO 2026'!M6:M119),0)</f>
        <v>20</v>
      </c>
      <c r="F1180" s="187" t="n">
        <f aca="false">IFERROR(SUMPRODUCT((IF('MARZO 2026'!Y6:Y119&lt;&gt;"",'MARZO 2026'!Y6:Y119,'MARZO 2026'!I6:I119)="BUENOS AIRES")*('MARZO 2026'!K6:K119="GASOLINA")*'MARZO 2026'!N6:N119),0)</f>
        <v>0</v>
      </c>
    </row>
    <row r="1181" customFormat="false" ht="15" hidden="false" customHeight="true" outlineLevel="0" collapsed="false">
      <c r="A1181" s="1" t="s">
        <v>305</v>
      </c>
      <c r="B1181" s="1" t="s">
        <v>5168</v>
      </c>
      <c r="C1181" s="187" t="n">
        <f aca="false">IFERROR(SUMPRODUCT((IF('ABRIL 2026'!Y6:Y119&lt;&gt;"",'ABRIL 2026'!Y6:Y119,'ABRIL 2026'!I6:I119)="BUENOS AIRES")*('ABRIL 2026'!K6:K119="PETROLEO")*'ABRIL 2026'!M6:M119),0)</f>
        <v>0</v>
      </c>
      <c r="D1181" s="187" t="n">
        <f aca="false">IFERROR(SUMPRODUCT((IF('ABRIL 2026'!Y6:Y119&lt;&gt;"",'ABRIL 2026'!Y6:Y119,'ABRIL 2026'!I6:I119)="BUENOS AIRES")*('ABRIL 2026'!K6:K119="PETROLEO")*'ABRIL 2026'!N6:N119),0)</f>
        <v>0</v>
      </c>
      <c r="E1181" s="187" t="n">
        <f aca="false">IFERROR(SUMPRODUCT((IF('ABRIL 2026'!Y6:Y119&lt;&gt;"",'ABRIL 2026'!Y6:Y119,'ABRIL 2026'!I6:I119)="BUENOS AIRES")*('ABRIL 2026'!K6:K119="GASOLINA")*'ABRIL 2026'!M6:M119),0)</f>
        <v>0</v>
      </c>
      <c r="F1181" s="187" t="n">
        <f aca="false">IFERROR(SUMPRODUCT((IF('ABRIL 2026'!Y6:Y119&lt;&gt;"",'ABRIL 2026'!Y6:Y119,'ABRIL 2026'!I6:I119)="BUENOS AIRES")*('ABRIL 2026'!K6:K119="GASOLINA")*'ABRIL 2026'!N6:N119),0)</f>
        <v>0</v>
      </c>
    </row>
    <row r="1182" customFormat="false" ht="15" hidden="false" customHeight="true" outlineLevel="0" collapsed="false">
      <c r="A1182" s="1" t="s">
        <v>305</v>
      </c>
      <c r="B1182" s="1" t="s">
        <v>5169</v>
      </c>
      <c r="C1182" s="187" t="n">
        <f aca="false">IFERROR(SUMPRODUCT((IF('MAYO 2026'!Y6:Y110&lt;&gt;"",'MAYO 2026'!Y6:Y110,'MAYO 2026'!I6:I110)="BUENOS AIRES")*('MAYO 2026'!K6:K110="PETROLEO")*'MAYO 2026'!M6:M110),0)</f>
        <v>0</v>
      </c>
      <c r="D1182" s="187" t="n">
        <f aca="false">IFERROR(SUMPRODUCT((IF('MAYO 2026'!Y6:Y110&lt;&gt;"",'MAYO 2026'!Y6:Y110,'MAYO 2026'!I6:I110)="BUENOS AIRES")*('MAYO 2026'!K6:K110="PETROLEO")*'MAYO 2026'!N6:N110),0)</f>
        <v>0</v>
      </c>
      <c r="E1182" s="187" t="n">
        <f aca="false">IFERROR(SUMPRODUCT((IF('MAYO 2026'!Y6:Y110&lt;&gt;"",'MAYO 2026'!Y6:Y110,'MAYO 2026'!I6:I110)="BUENOS AIRES")*('MAYO 2026'!K6:K110="GASOLINA")*'MAYO 2026'!M6:M110),0)</f>
        <v>0</v>
      </c>
      <c r="F1182" s="187" t="n">
        <f aca="false">IFERROR(SUMPRODUCT((IF('MAYO 2026'!Y6:Y110&lt;&gt;"",'MAYO 2026'!Y6:Y110,'MAYO 2026'!I6:I110)="BUENOS AIRES")*('MAYO 2026'!K6:K110="GASOLINA")*'MAYO 2026'!N6:N110),0)</f>
        <v>0</v>
      </c>
    </row>
    <row r="1183" customFormat="false" ht="15" hidden="false" customHeight="true" outlineLevel="0" collapsed="false">
      <c r="A1183" s="1" t="s">
        <v>305</v>
      </c>
      <c r="B1183" s="1" t="s">
        <v>5170</v>
      </c>
      <c r="C1183" s="187" t="n">
        <f aca="false">IFERROR(SUMPRODUCT((IF('JUNIO 2026'!Y6:Y110&lt;&gt;"",'JUNIO 2026'!Y6:Y110,'JUNIO 2026'!I6:I110)="BUENOS AIRES")*('JUNIO 2026'!K6:K110="PETROLEO")*'JUNIO 2026'!M6:M110),0)</f>
        <v>0</v>
      </c>
      <c r="D1183" s="187" t="n">
        <f aca="false">IFERROR(SUMPRODUCT((IF('JUNIO 2026'!Y6:Y110&lt;&gt;"",'JUNIO 2026'!Y6:Y110,'JUNIO 2026'!I6:I110)="BUENOS AIRES")*('JUNIO 2026'!K6:K110="PETROLEO")*'JUNIO 2026'!N6:N110),0)</f>
        <v>0</v>
      </c>
      <c r="E1183" s="187" t="n">
        <f aca="false">IFERROR(SUMPRODUCT((IF('JUNIO 2026'!Y6:Y110&lt;&gt;"",'JUNIO 2026'!Y6:Y110,'JUNIO 2026'!I6:I110)="BUENOS AIRES")*('JUNIO 2026'!K6:K110="GASOLINA")*'JUNIO 2026'!M6:M110),0)</f>
        <v>0</v>
      </c>
      <c r="F1183" s="187" t="n">
        <f aca="false">IFERROR(SUMPRODUCT((IF('JUNIO 2026'!Y6:Y110&lt;&gt;"",'JUNIO 2026'!Y6:Y110,'JUNIO 2026'!I6:I110)="BUENOS AIRES")*('JUNIO 2026'!K6:K110="GASOLINA")*'JUNIO 2026'!N6:N110),0)</f>
        <v>0</v>
      </c>
    </row>
    <row r="1184" customFormat="false" ht="15" hidden="false" customHeight="true" outlineLevel="0" collapsed="false">
      <c r="A1184" s="1" t="s">
        <v>305</v>
      </c>
      <c r="B1184" s="1" t="s">
        <v>5171</v>
      </c>
      <c r="C1184" s="187" t="n">
        <f aca="false">IFERROR(SUMPRODUCT((IF('JULIO 2026'!Y6:Y110&lt;&gt;"",'JULIO 2026'!Y6:Y110,'JULIO 2026'!I6:I110)="BUENOS AIRES")*('JULIO 2026'!K6:K110="PETROLEO")*'JULIO 2026'!M6:M110),0)</f>
        <v>0</v>
      </c>
      <c r="D1184" s="187" t="n">
        <f aca="false">IFERROR(SUMPRODUCT((IF('JULIO 2026'!Y6:Y110&lt;&gt;"",'JULIO 2026'!Y6:Y110,'JULIO 2026'!I6:I110)="BUENOS AIRES")*('JULIO 2026'!K6:K110="PETROLEO")*'JULIO 2026'!N6:N110),0)</f>
        <v>0</v>
      </c>
      <c r="E1184" s="187" t="n">
        <f aca="false">IFERROR(SUMPRODUCT((IF('JULIO 2026'!Y6:Y110&lt;&gt;"",'JULIO 2026'!Y6:Y110,'JULIO 2026'!I6:I110)="BUENOS AIRES")*('JULIO 2026'!K6:K110="GASOLINA")*'JULIO 2026'!M6:M110),0)</f>
        <v>0</v>
      </c>
      <c r="F1184" s="187" t="n">
        <f aca="false">IFERROR(SUMPRODUCT((IF('JULIO 2026'!Y6:Y110&lt;&gt;"",'JULIO 2026'!Y6:Y110,'JULIO 2026'!I6:I110)="BUENOS AIRES")*('JULIO 2026'!K6:K110="GASOLINA")*'JULIO 2026'!N6:N110),0)</f>
        <v>0</v>
      </c>
    </row>
    <row r="1185" customFormat="false" ht="15" hidden="false" customHeight="true" outlineLevel="0" collapsed="false">
      <c r="A1185" s="1" t="s">
        <v>305</v>
      </c>
      <c r="B1185" s="1" t="s">
        <v>5172</v>
      </c>
      <c r="C1185" s="187" t="n">
        <f aca="false">IFERROR(SUMPRODUCT((IF('AGOSTO 2026'!Y6:Y110&lt;&gt;"",'AGOSTO 2026'!Y6:Y110,'AGOSTO 2026'!I6:I110)="BUENOS AIRES")*('AGOSTO 2026'!K6:K110="PETROLEO")*'AGOSTO 2026'!M6:M110),0)</f>
        <v>0</v>
      </c>
      <c r="D1185" s="187" t="n">
        <f aca="false">IFERROR(SUMPRODUCT((IF('AGOSTO 2026'!Y6:Y110&lt;&gt;"",'AGOSTO 2026'!Y6:Y110,'AGOSTO 2026'!I6:I110)="BUENOS AIRES")*('AGOSTO 2026'!K6:K110="PETROLEO")*'AGOSTO 2026'!N6:N110),0)</f>
        <v>0</v>
      </c>
      <c r="E1185" s="187" t="n">
        <f aca="false">IFERROR(SUMPRODUCT((IF('AGOSTO 2026'!Y6:Y110&lt;&gt;"",'AGOSTO 2026'!Y6:Y110,'AGOSTO 2026'!I6:I110)="BUENOS AIRES")*('AGOSTO 2026'!K6:K110="GASOLINA")*'AGOSTO 2026'!M6:M110),0)</f>
        <v>0</v>
      </c>
      <c r="F1185" s="187" t="n">
        <f aca="false">IFERROR(SUMPRODUCT((IF('AGOSTO 2026'!Y6:Y110&lt;&gt;"",'AGOSTO 2026'!Y6:Y110,'AGOSTO 2026'!I6:I110)="BUENOS AIRES")*('AGOSTO 2026'!K6:K110="GASOLINA")*'AGOSTO 2026'!N6:N110),0)</f>
        <v>0</v>
      </c>
    </row>
    <row r="1186" customFormat="false" ht="15" hidden="false" customHeight="true" outlineLevel="0" collapsed="false">
      <c r="A1186" s="1" t="s">
        <v>305</v>
      </c>
      <c r="B1186" s="1" t="s">
        <v>5173</v>
      </c>
      <c r="C1186" s="187" t="n">
        <f aca="false">IFERROR(SUMPRODUCT((IF('SETIEMBRE 2026'!Y6:Y110&lt;&gt;"",'SETIEMBRE 2026'!Y6:Y110,'SETIEMBRE 2026'!I6:I110)="BUENOS AIRES")*('SETIEMBRE 2026'!K6:K110="PETROLEO")*'SETIEMBRE 2026'!M6:M110),0)</f>
        <v>0</v>
      </c>
      <c r="D1186" s="187" t="n">
        <f aca="false">IFERROR(SUMPRODUCT((IF('SETIEMBRE 2026'!Y6:Y110&lt;&gt;"",'SETIEMBRE 2026'!Y6:Y110,'SETIEMBRE 2026'!I6:I110)="BUENOS AIRES")*('SETIEMBRE 2026'!K6:K110="PETROLEO")*'SETIEMBRE 2026'!N6:N110),0)</f>
        <v>0</v>
      </c>
      <c r="E1186" s="187" t="n">
        <f aca="false">IFERROR(SUMPRODUCT((IF('SETIEMBRE 2026'!Y6:Y110&lt;&gt;"",'SETIEMBRE 2026'!Y6:Y110,'SETIEMBRE 2026'!I6:I110)="BUENOS AIRES")*('SETIEMBRE 2026'!K6:K110="GASOLINA")*'SETIEMBRE 2026'!M6:M110),0)</f>
        <v>0</v>
      </c>
      <c r="F1186" s="187" t="n">
        <f aca="false">IFERROR(SUMPRODUCT((IF('SETIEMBRE 2026'!Y6:Y110&lt;&gt;"",'SETIEMBRE 2026'!Y6:Y110,'SETIEMBRE 2026'!I6:I110)="BUENOS AIRES")*('SETIEMBRE 2026'!K6:K110="GASOLINA")*'SETIEMBRE 2026'!N6:N110),0)</f>
        <v>0</v>
      </c>
    </row>
    <row r="1187" customFormat="false" ht="15" hidden="false" customHeight="true" outlineLevel="0" collapsed="false">
      <c r="A1187" s="1" t="s">
        <v>305</v>
      </c>
      <c r="B1187" s="1" t="s">
        <v>5174</v>
      </c>
      <c r="C1187" s="187" t="n">
        <f aca="false">IFERROR(SUMPRODUCT((IF('OCTUBRE 2026'!Y6:Y110&lt;&gt;"",'OCTUBRE 2026'!Y6:Y110,'OCTUBRE 2026'!I6:I110)="BUENOS AIRES")*('OCTUBRE 2026'!K6:K110="PETROLEO")*'OCTUBRE 2026'!M6:M110),0)</f>
        <v>0</v>
      </c>
      <c r="D1187" s="187" t="n">
        <f aca="false">IFERROR(SUMPRODUCT((IF('OCTUBRE 2026'!Y6:Y110&lt;&gt;"",'OCTUBRE 2026'!Y6:Y110,'OCTUBRE 2026'!I6:I110)="BUENOS AIRES")*('OCTUBRE 2026'!K6:K110="PETROLEO")*'OCTUBRE 2026'!N6:N110),0)</f>
        <v>0</v>
      </c>
      <c r="E1187" s="187" t="n">
        <f aca="false">IFERROR(SUMPRODUCT((IF('OCTUBRE 2026'!Y6:Y110&lt;&gt;"",'OCTUBRE 2026'!Y6:Y110,'OCTUBRE 2026'!I6:I110)="BUENOS AIRES")*('OCTUBRE 2026'!K6:K110="GASOLINA")*'OCTUBRE 2026'!M6:M110),0)</f>
        <v>0</v>
      </c>
      <c r="F1187" s="187" t="n">
        <f aca="false">IFERROR(SUMPRODUCT((IF('OCTUBRE 2026'!Y6:Y110&lt;&gt;"",'OCTUBRE 2026'!Y6:Y110,'OCTUBRE 2026'!I6:I110)="BUENOS AIRES")*('OCTUBRE 2026'!K6:K110="GASOLINA")*'OCTUBRE 2026'!N6:N110),0)</f>
        <v>0</v>
      </c>
    </row>
    <row r="1188" customFormat="false" ht="15" hidden="false" customHeight="true" outlineLevel="0" collapsed="false">
      <c r="A1188" s="1" t="s">
        <v>305</v>
      </c>
      <c r="B1188" s="1" t="s">
        <v>5175</v>
      </c>
      <c r="C1188" s="187" t="n">
        <f aca="false">IFERROR(SUMPRODUCT((IF('NOVIEMBRE 2026'!Y6:Y110&lt;&gt;"",'NOVIEMBRE 2026'!Y6:Y110,'NOVIEMBRE 2026'!I6:I110)="BUENOS AIRES")*('NOVIEMBRE 2026'!K6:K110="PETROLEO")*'NOVIEMBRE 2026'!M6:M110),0)</f>
        <v>0</v>
      </c>
      <c r="D1188" s="187" t="n">
        <f aca="false">IFERROR(SUMPRODUCT((IF('NOVIEMBRE 2026'!Y6:Y110&lt;&gt;"",'NOVIEMBRE 2026'!Y6:Y110,'NOVIEMBRE 2026'!I6:I110)="BUENOS AIRES")*('NOVIEMBRE 2026'!K6:K110="PETROLEO")*'NOVIEMBRE 2026'!N6:N110),0)</f>
        <v>0</v>
      </c>
      <c r="E1188" s="187" t="n">
        <f aca="false">IFERROR(SUMPRODUCT((IF('NOVIEMBRE 2026'!Y6:Y110&lt;&gt;"",'NOVIEMBRE 2026'!Y6:Y110,'NOVIEMBRE 2026'!I6:I110)="BUENOS AIRES")*('NOVIEMBRE 2026'!K6:K110="GASOLINA")*'NOVIEMBRE 2026'!M6:M110),0)</f>
        <v>0</v>
      </c>
      <c r="F1188" s="187" t="n">
        <f aca="false">IFERROR(SUMPRODUCT((IF('NOVIEMBRE 2026'!Y6:Y110&lt;&gt;"",'NOVIEMBRE 2026'!Y6:Y110,'NOVIEMBRE 2026'!I6:I110)="BUENOS AIRES")*('NOVIEMBRE 2026'!K6:K110="GASOLINA")*'NOVIEMBRE 2026'!N6:N110),0)</f>
        <v>0</v>
      </c>
    </row>
    <row r="1189" customFormat="false" ht="15" hidden="false" customHeight="true" outlineLevel="0" collapsed="false">
      <c r="A1189" s="1" t="s">
        <v>305</v>
      </c>
      <c r="B1189" s="1" t="s">
        <v>5176</v>
      </c>
      <c r="C1189" s="187" t="n">
        <f aca="false">IFERROR(SUMPRODUCT((IF('DICIEMBRE 2026'!Y6:Y110&lt;&gt;"",'DICIEMBRE 2026'!Y6:Y110,'DICIEMBRE 2026'!I6:I110)="BUENOS AIRES")*('DICIEMBRE 2026'!K6:K110="PETROLEO")*'DICIEMBRE 2026'!M6:M110),0)</f>
        <v>0</v>
      </c>
      <c r="D1189" s="187" t="n">
        <f aca="false">IFERROR(SUMPRODUCT((IF('DICIEMBRE 2026'!Y6:Y110&lt;&gt;"",'DICIEMBRE 2026'!Y6:Y110,'DICIEMBRE 2026'!I6:I110)="BUENOS AIRES")*('DICIEMBRE 2026'!K6:K110="PETROLEO")*'DICIEMBRE 2026'!N6:N110),0)</f>
        <v>0</v>
      </c>
      <c r="E1189" s="187" t="n">
        <f aca="false">IFERROR(SUMPRODUCT((IF('DICIEMBRE 2026'!Y6:Y110&lt;&gt;"",'DICIEMBRE 2026'!Y6:Y110,'DICIEMBRE 2026'!I6:I110)="BUENOS AIRES")*('DICIEMBRE 2026'!K6:K110="GASOLINA")*'DICIEMBRE 2026'!M6:M110),0)</f>
        <v>0</v>
      </c>
      <c r="F1189" s="187" t="n">
        <f aca="false">IFERROR(SUMPRODUCT((IF('DICIEMBRE 2026'!Y6:Y110&lt;&gt;"",'DICIEMBRE 2026'!Y6:Y110,'DICIEMBRE 2026'!I6:I110)="BUENOS AIRES")*('DICIEMBRE 2026'!K6:K110="GASOLINA")*'DICIEMBRE 2026'!N6:N110),0)</f>
        <v>0</v>
      </c>
    </row>
    <row r="1190" customFormat="false" ht="15" hidden="false" customHeight="true" outlineLevel="0" collapsed="false">
      <c r="A1190" s="1" t="s">
        <v>37</v>
      </c>
      <c r="B1190" s="1" t="s">
        <v>5165</v>
      </c>
      <c r="C1190" s="187" t="n">
        <f aca="false">IFERROR(SUMPRODUCT((IF('ENERO 2026'!Y6:Y119&lt;&gt;"",'ENERO 2026'!Y6:Y119,'ENERO 2026'!I6:I119)="CAMPORREDONDO")*('ENERO 2026'!K6:K119="PETROLEO")*'ENERO 2026'!M6:M119),0)</f>
        <v>20</v>
      </c>
      <c r="D1190" s="187" t="n">
        <f aca="false">IFERROR(SUMPRODUCT((IF('ENERO 2026'!Y6:Y119&lt;&gt;"",'ENERO 2026'!Y6:Y119,'ENERO 2026'!I6:I119)="CAMPORREDONDO")*('ENERO 2026'!K6:K119="PETROLEO")*'ENERO 2026'!N6:N119),0)</f>
        <v>0</v>
      </c>
      <c r="E1190" s="187" t="n">
        <f aca="false">IFERROR(SUMPRODUCT((IF('ENERO 2026'!Y6:Y119&lt;&gt;"",'ENERO 2026'!Y6:Y119,'ENERO 2026'!I6:I119)="CAMPORREDONDO")*('ENERO 2026'!K6:K119="GASOLINA")*'ENERO 2026'!M6:M119),0)</f>
        <v>0</v>
      </c>
      <c r="F1190" s="187" t="n">
        <f aca="false">IFERROR(SUMPRODUCT((IF('ENERO 2026'!Y6:Y119&lt;&gt;"",'ENERO 2026'!Y6:Y119,'ENERO 2026'!I6:I119)="CAMPORREDONDO")*('ENERO 2026'!K6:K119="GASOLINA")*'ENERO 2026'!N6:N119),0)</f>
        <v>0</v>
      </c>
    </row>
    <row r="1191" customFormat="false" ht="15" hidden="false" customHeight="true" outlineLevel="0" collapsed="false">
      <c r="A1191" s="1" t="s">
        <v>37</v>
      </c>
      <c r="B1191" s="1" t="s">
        <v>5166</v>
      </c>
      <c r="C1191" s="187" t="n">
        <f aca="false">IFERROR(SUMPRODUCT((IF('FEBRERO 2026'!Y6:Y124&lt;&gt;"",'FEBRERO 2026'!Y6:Y124,'FEBRERO 2026'!I6:I124)="CAMPORREDONDO")*('FEBRERO 2026'!K6:K124="PETROLEO")*'FEBRERO 2026'!M6:M124),0)</f>
        <v>20</v>
      </c>
      <c r="D1191" s="187" t="n">
        <f aca="false">IFERROR(SUMPRODUCT((IF('FEBRERO 2026'!Y6:Y124&lt;&gt;"",'FEBRERO 2026'!Y6:Y124,'FEBRERO 2026'!I6:I124)="CAMPORREDONDO")*('FEBRERO 2026'!K6:K124="PETROLEO")*'FEBRERO 2026'!N6:N124),0)</f>
        <v>363.6</v>
      </c>
      <c r="E1191" s="187" t="n">
        <f aca="false">IFERROR(SUMPRODUCT((IF('FEBRERO 2026'!Y6:Y124&lt;&gt;"",'FEBRERO 2026'!Y6:Y124,'FEBRERO 2026'!I6:I124)="CAMPORREDONDO")*('FEBRERO 2026'!K6:K124="GASOLINA")*'FEBRERO 2026'!M6:M124),0)</f>
        <v>0</v>
      </c>
      <c r="F1191" s="187" t="n">
        <f aca="false">IFERROR(SUMPRODUCT((IF('FEBRERO 2026'!Y6:Y124&lt;&gt;"",'FEBRERO 2026'!Y6:Y124,'FEBRERO 2026'!I6:I124)="CAMPORREDONDO")*('FEBRERO 2026'!K6:K124="GASOLINA")*'FEBRERO 2026'!N6:N124),0)</f>
        <v>0</v>
      </c>
    </row>
    <row r="1192" customFormat="false" ht="15" hidden="false" customHeight="true" outlineLevel="0" collapsed="false">
      <c r="A1192" s="1" t="s">
        <v>37</v>
      </c>
      <c r="B1192" s="1" t="s">
        <v>5167</v>
      </c>
      <c r="C1192" s="187" t="n">
        <f aca="false">IFERROR(SUMPRODUCT((IF('MARZO 2026'!Y6:Y119&lt;&gt;"",'MARZO 2026'!Y6:Y119,'MARZO 2026'!I6:I119)="CAMPORREDONDO")*('MARZO 2026'!K6:K119="PETROLEO")*'MARZO 2026'!M6:M119),0)</f>
        <v>0</v>
      </c>
      <c r="D1192" s="187" t="n">
        <f aca="false">IFERROR(SUMPRODUCT((IF('MARZO 2026'!Y6:Y119&lt;&gt;"",'MARZO 2026'!Y6:Y119,'MARZO 2026'!I6:I119)="CAMPORREDONDO")*('MARZO 2026'!K6:K119="PETROLEO")*'MARZO 2026'!N6:N119),0)</f>
        <v>0</v>
      </c>
      <c r="E1192" s="187" t="n">
        <f aca="false">IFERROR(SUMPRODUCT((IF('MARZO 2026'!Y6:Y119&lt;&gt;"",'MARZO 2026'!Y6:Y119,'MARZO 2026'!I6:I119)="CAMPORREDONDO")*('MARZO 2026'!K6:K119="GASOLINA")*'MARZO 2026'!M6:M119),0)</f>
        <v>0</v>
      </c>
      <c r="F1192" s="187" t="n">
        <f aca="false">IFERROR(SUMPRODUCT((IF('MARZO 2026'!Y6:Y119&lt;&gt;"",'MARZO 2026'!Y6:Y119,'MARZO 2026'!I6:I119)="CAMPORREDONDO")*('MARZO 2026'!K6:K119="GASOLINA")*'MARZO 2026'!N6:N119),0)</f>
        <v>0</v>
      </c>
    </row>
    <row r="1193" customFormat="false" ht="15" hidden="false" customHeight="true" outlineLevel="0" collapsed="false">
      <c r="A1193" s="1" t="s">
        <v>37</v>
      </c>
      <c r="B1193" s="1" t="s">
        <v>5168</v>
      </c>
      <c r="C1193" s="187" t="n">
        <f aca="false">IFERROR(SUMPRODUCT((IF('ABRIL 2026'!Y6:Y119&lt;&gt;"",'ABRIL 2026'!Y6:Y119,'ABRIL 2026'!I6:I119)="CAMPORREDONDO")*('ABRIL 2026'!K6:K119="PETROLEO")*'ABRIL 2026'!M6:M119),0)</f>
        <v>0</v>
      </c>
      <c r="D1193" s="187" t="n">
        <f aca="false">IFERROR(SUMPRODUCT((IF('ABRIL 2026'!Y6:Y119&lt;&gt;"",'ABRIL 2026'!Y6:Y119,'ABRIL 2026'!I6:I119)="CAMPORREDONDO")*('ABRIL 2026'!K6:K119="PETROLEO")*'ABRIL 2026'!N6:N119),0)</f>
        <v>0</v>
      </c>
      <c r="E1193" s="187" t="n">
        <f aca="false">IFERROR(SUMPRODUCT((IF('ABRIL 2026'!Y6:Y119&lt;&gt;"",'ABRIL 2026'!Y6:Y119,'ABRIL 2026'!I6:I119)="CAMPORREDONDO")*('ABRIL 2026'!K6:K119="GASOLINA")*'ABRIL 2026'!M6:M119),0)</f>
        <v>0</v>
      </c>
      <c r="F1193" s="187" t="n">
        <f aca="false">IFERROR(SUMPRODUCT((IF('ABRIL 2026'!Y6:Y119&lt;&gt;"",'ABRIL 2026'!Y6:Y119,'ABRIL 2026'!I6:I119)="CAMPORREDONDO")*('ABRIL 2026'!K6:K119="GASOLINA")*'ABRIL 2026'!N6:N119),0)</f>
        <v>0</v>
      </c>
    </row>
    <row r="1194" customFormat="false" ht="15" hidden="false" customHeight="true" outlineLevel="0" collapsed="false">
      <c r="A1194" s="1" t="s">
        <v>37</v>
      </c>
      <c r="B1194" s="1" t="s">
        <v>5169</v>
      </c>
      <c r="C1194" s="187" t="n">
        <f aca="false">IFERROR(SUMPRODUCT((IF('MAYO 2026'!Y6:Y110&lt;&gt;"",'MAYO 2026'!Y6:Y110,'MAYO 2026'!I6:I110)="CAMPORREDONDO")*('MAYO 2026'!K6:K110="PETROLEO")*'MAYO 2026'!M6:M110),0)</f>
        <v>0</v>
      </c>
      <c r="D1194" s="187" t="n">
        <f aca="false">IFERROR(SUMPRODUCT((IF('MAYO 2026'!Y6:Y110&lt;&gt;"",'MAYO 2026'!Y6:Y110,'MAYO 2026'!I6:I110)="CAMPORREDONDO")*('MAYO 2026'!K6:K110="PETROLEO")*'MAYO 2026'!N6:N110),0)</f>
        <v>0</v>
      </c>
      <c r="E1194" s="187" t="n">
        <f aca="false">IFERROR(SUMPRODUCT((IF('MAYO 2026'!Y6:Y110&lt;&gt;"",'MAYO 2026'!Y6:Y110,'MAYO 2026'!I6:I110)="CAMPORREDONDO")*('MAYO 2026'!K6:K110="GASOLINA")*'MAYO 2026'!M6:M110),0)</f>
        <v>0</v>
      </c>
      <c r="F1194" s="187" t="n">
        <f aca="false">IFERROR(SUMPRODUCT((IF('MAYO 2026'!Y6:Y110&lt;&gt;"",'MAYO 2026'!Y6:Y110,'MAYO 2026'!I6:I110)="CAMPORREDONDO")*('MAYO 2026'!K6:K110="GASOLINA")*'MAYO 2026'!N6:N110),0)</f>
        <v>0</v>
      </c>
    </row>
    <row r="1195" customFormat="false" ht="15" hidden="false" customHeight="true" outlineLevel="0" collapsed="false">
      <c r="A1195" s="1" t="s">
        <v>37</v>
      </c>
      <c r="B1195" s="1" t="s">
        <v>5170</v>
      </c>
      <c r="C1195" s="187" t="n">
        <f aca="false">IFERROR(SUMPRODUCT((IF('JUNIO 2026'!Y6:Y110&lt;&gt;"",'JUNIO 2026'!Y6:Y110,'JUNIO 2026'!I6:I110)="CAMPORREDONDO")*('JUNIO 2026'!K6:K110="PETROLEO")*'JUNIO 2026'!M6:M110),0)</f>
        <v>0</v>
      </c>
      <c r="D1195" s="187" t="n">
        <f aca="false">IFERROR(SUMPRODUCT((IF('JUNIO 2026'!Y6:Y110&lt;&gt;"",'JUNIO 2026'!Y6:Y110,'JUNIO 2026'!I6:I110)="CAMPORREDONDO")*('JUNIO 2026'!K6:K110="PETROLEO")*'JUNIO 2026'!N6:N110),0)</f>
        <v>0</v>
      </c>
      <c r="E1195" s="187" t="n">
        <f aca="false">IFERROR(SUMPRODUCT((IF('JUNIO 2026'!Y6:Y110&lt;&gt;"",'JUNIO 2026'!Y6:Y110,'JUNIO 2026'!I6:I110)="CAMPORREDONDO")*('JUNIO 2026'!K6:K110="GASOLINA")*'JUNIO 2026'!M6:M110),0)</f>
        <v>0</v>
      </c>
      <c r="F1195" s="187" t="n">
        <f aca="false">IFERROR(SUMPRODUCT((IF('JUNIO 2026'!Y6:Y110&lt;&gt;"",'JUNIO 2026'!Y6:Y110,'JUNIO 2026'!I6:I110)="CAMPORREDONDO")*('JUNIO 2026'!K6:K110="GASOLINA")*'JUNIO 2026'!N6:N110),0)</f>
        <v>0</v>
      </c>
    </row>
    <row r="1196" customFormat="false" ht="15" hidden="false" customHeight="true" outlineLevel="0" collapsed="false">
      <c r="A1196" s="1" t="s">
        <v>37</v>
      </c>
      <c r="B1196" s="1" t="s">
        <v>5171</v>
      </c>
      <c r="C1196" s="187" t="n">
        <f aca="false">IFERROR(SUMPRODUCT((IF('JULIO 2026'!Y6:Y110&lt;&gt;"",'JULIO 2026'!Y6:Y110,'JULIO 2026'!I6:I110)="CAMPORREDONDO")*('JULIO 2026'!K6:K110="PETROLEO")*'JULIO 2026'!M6:M110),0)</f>
        <v>0</v>
      </c>
      <c r="D1196" s="187" t="n">
        <f aca="false">IFERROR(SUMPRODUCT((IF('JULIO 2026'!Y6:Y110&lt;&gt;"",'JULIO 2026'!Y6:Y110,'JULIO 2026'!I6:I110)="CAMPORREDONDO")*('JULIO 2026'!K6:K110="PETROLEO")*'JULIO 2026'!N6:N110),0)</f>
        <v>0</v>
      </c>
      <c r="E1196" s="187" t="n">
        <f aca="false">IFERROR(SUMPRODUCT((IF('JULIO 2026'!Y6:Y110&lt;&gt;"",'JULIO 2026'!Y6:Y110,'JULIO 2026'!I6:I110)="CAMPORREDONDO")*('JULIO 2026'!K6:K110="GASOLINA")*'JULIO 2026'!M6:M110),0)</f>
        <v>0</v>
      </c>
      <c r="F1196" s="187" t="n">
        <f aca="false">IFERROR(SUMPRODUCT((IF('JULIO 2026'!Y6:Y110&lt;&gt;"",'JULIO 2026'!Y6:Y110,'JULIO 2026'!I6:I110)="CAMPORREDONDO")*('JULIO 2026'!K6:K110="GASOLINA")*'JULIO 2026'!N6:N110),0)</f>
        <v>0</v>
      </c>
    </row>
    <row r="1197" customFormat="false" ht="15" hidden="false" customHeight="true" outlineLevel="0" collapsed="false">
      <c r="A1197" s="1" t="s">
        <v>37</v>
      </c>
      <c r="B1197" s="1" t="s">
        <v>5172</v>
      </c>
      <c r="C1197" s="187" t="n">
        <f aca="false">IFERROR(SUMPRODUCT((IF('AGOSTO 2026'!Y6:Y110&lt;&gt;"",'AGOSTO 2026'!Y6:Y110,'AGOSTO 2026'!I6:I110)="CAMPORREDONDO")*('AGOSTO 2026'!K6:K110="PETROLEO")*'AGOSTO 2026'!M6:M110),0)</f>
        <v>0</v>
      </c>
      <c r="D1197" s="187" t="n">
        <f aca="false">IFERROR(SUMPRODUCT((IF('AGOSTO 2026'!Y6:Y110&lt;&gt;"",'AGOSTO 2026'!Y6:Y110,'AGOSTO 2026'!I6:I110)="CAMPORREDONDO")*('AGOSTO 2026'!K6:K110="PETROLEO")*'AGOSTO 2026'!N6:N110),0)</f>
        <v>0</v>
      </c>
      <c r="E1197" s="187" t="n">
        <f aca="false">IFERROR(SUMPRODUCT((IF('AGOSTO 2026'!Y6:Y110&lt;&gt;"",'AGOSTO 2026'!Y6:Y110,'AGOSTO 2026'!I6:I110)="CAMPORREDONDO")*('AGOSTO 2026'!K6:K110="GASOLINA")*'AGOSTO 2026'!M6:M110),0)</f>
        <v>0</v>
      </c>
      <c r="F1197" s="187" t="n">
        <f aca="false">IFERROR(SUMPRODUCT((IF('AGOSTO 2026'!Y6:Y110&lt;&gt;"",'AGOSTO 2026'!Y6:Y110,'AGOSTO 2026'!I6:I110)="CAMPORREDONDO")*('AGOSTO 2026'!K6:K110="GASOLINA")*'AGOSTO 2026'!N6:N110),0)</f>
        <v>0</v>
      </c>
    </row>
    <row r="1198" customFormat="false" ht="15" hidden="false" customHeight="true" outlineLevel="0" collapsed="false">
      <c r="A1198" s="1" t="s">
        <v>37</v>
      </c>
      <c r="B1198" s="1" t="s">
        <v>5173</v>
      </c>
      <c r="C1198" s="187" t="n">
        <f aca="false">IFERROR(SUMPRODUCT((IF('SETIEMBRE 2026'!Y6:Y110&lt;&gt;"",'SETIEMBRE 2026'!Y6:Y110,'SETIEMBRE 2026'!I6:I110)="CAMPORREDONDO")*('SETIEMBRE 2026'!K6:K110="PETROLEO")*'SETIEMBRE 2026'!M6:M110),0)</f>
        <v>0</v>
      </c>
      <c r="D1198" s="187" t="n">
        <f aca="false">IFERROR(SUMPRODUCT((IF('SETIEMBRE 2026'!Y6:Y110&lt;&gt;"",'SETIEMBRE 2026'!Y6:Y110,'SETIEMBRE 2026'!I6:I110)="CAMPORREDONDO")*('SETIEMBRE 2026'!K6:K110="PETROLEO")*'SETIEMBRE 2026'!N6:N110),0)</f>
        <v>0</v>
      </c>
      <c r="E1198" s="187" t="n">
        <f aca="false">IFERROR(SUMPRODUCT((IF('SETIEMBRE 2026'!Y6:Y110&lt;&gt;"",'SETIEMBRE 2026'!Y6:Y110,'SETIEMBRE 2026'!I6:I110)="CAMPORREDONDO")*('SETIEMBRE 2026'!K6:K110="GASOLINA")*'SETIEMBRE 2026'!M6:M110),0)</f>
        <v>0</v>
      </c>
      <c r="F1198" s="187" t="n">
        <f aca="false">IFERROR(SUMPRODUCT((IF('SETIEMBRE 2026'!Y6:Y110&lt;&gt;"",'SETIEMBRE 2026'!Y6:Y110,'SETIEMBRE 2026'!I6:I110)="CAMPORREDONDO")*('SETIEMBRE 2026'!K6:K110="GASOLINA")*'SETIEMBRE 2026'!N6:N110),0)</f>
        <v>0</v>
      </c>
    </row>
    <row r="1199" customFormat="false" ht="15" hidden="false" customHeight="true" outlineLevel="0" collapsed="false">
      <c r="A1199" s="1" t="s">
        <v>37</v>
      </c>
      <c r="B1199" s="1" t="s">
        <v>5174</v>
      </c>
      <c r="C1199" s="187" t="n">
        <f aca="false">IFERROR(SUMPRODUCT((IF('OCTUBRE 2026'!Y6:Y110&lt;&gt;"",'OCTUBRE 2026'!Y6:Y110,'OCTUBRE 2026'!I6:I110)="CAMPORREDONDO")*('OCTUBRE 2026'!K6:K110="PETROLEO")*'OCTUBRE 2026'!M6:M110),0)</f>
        <v>0</v>
      </c>
      <c r="D1199" s="187" t="n">
        <f aca="false">IFERROR(SUMPRODUCT((IF('OCTUBRE 2026'!Y6:Y110&lt;&gt;"",'OCTUBRE 2026'!Y6:Y110,'OCTUBRE 2026'!I6:I110)="CAMPORREDONDO")*('OCTUBRE 2026'!K6:K110="PETROLEO")*'OCTUBRE 2026'!N6:N110),0)</f>
        <v>0</v>
      </c>
      <c r="E1199" s="187" t="n">
        <f aca="false">IFERROR(SUMPRODUCT((IF('OCTUBRE 2026'!Y6:Y110&lt;&gt;"",'OCTUBRE 2026'!Y6:Y110,'OCTUBRE 2026'!I6:I110)="CAMPORREDONDO")*('OCTUBRE 2026'!K6:K110="GASOLINA")*'OCTUBRE 2026'!M6:M110),0)</f>
        <v>0</v>
      </c>
      <c r="F1199" s="187" t="n">
        <f aca="false">IFERROR(SUMPRODUCT((IF('OCTUBRE 2026'!Y6:Y110&lt;&gt;"",'OCTUBRE 2026'!Y6:Y110,'OCTUBRE 2026'!I6:I110)="CAMPORREDONDO")*('OCTUBRE 2026'!K6:K110="GASOLINA")*'OCTUBRE 2026'!N6:N110),0)</f>
        <v>0</v>
      </c>
    </row>
    <row r="1200" customFormat="false" ht="15" hidden="false" customHeight="true" outlineLevel="0" collapsed="false">
      <c r="A1200" s="1" t="s">
        <v>37</v>
      </c>
      <c r="B1200" s="1" t="s">
        <v>5175</v>
      </c>
      <c r="C1200" s="187" t="n">
        <f aca="false">IFERROR(SUMPRODUCT((IF('NOVIEMBRE 2026'!Y6:Y110&lt;&gt;"",'NOVIEMBRE 2026'!Y6:Y110,'NOVIEMBRE 2026'!I6:I110)="CAMPORREDONDO")*('NOVIEMBRE 2026'!K6:K110="PETROLEO")*'NOVIEMBRE 2026'!M6:M110),0)</f>
        <v>0</v>
      </c>
      <c r="D1200" s="187" t="n">
        <f aca="false">IFERROR(SUMPRODUCT((IF('NOVIEMBRE 2026'!Y6:Y110&lt;&gt;"",'NOVIEMBRE 2026'!Y6:Y110,'NOVIEMBRE 2026'!I6:I110)="CAMPORREDONDO")*('NOVIEMBRE 2026'!K6:K110="PETROLEO")*'NOVIEMBRE 2026'!N6:N110),0)</f>
        <v>0</v>
      </c>
      <c r="E1200" s="187" t="n">
        <f aca="false">IFERROR(SUMPRODUCT((IF('NOVIEMBRE 2026'!Y6:Y110&lt;&gt;"",'NOVIEMBRE 2026'!Y6:Y110,'NOVIEMBRE 2026'!I6:I110)="CAMPORREDONDO")*('NOVIEMBRE 2026'!K6:K110="GASOLINA")*'NOVIEMBRE 2026'!M6:M110),0)</f>
        <v>0</v>
      </c>
      <c r="F1200" s="187" t="n">
        <f aca="false">IFERROR(SUMPRODUCT((IF('NOVIEMBRE 2026'!Y6:Y110&lt;&gt;"",'NOVIEMBRE 2026'!Y6:Y110,'NOVIEMBRE 2026'!I6:I110)="CAMPORREDONDO")*('NOVIEMBRE 2026'!K6:K110="GASOLINA")*'NOVIEMBRE 2026'!N6:N110),0)</f>
        <v>0</v>
      </c>
    </row>
    <row r="1201" customFormat="false" ht="15" hidden="false" customHeight="true" outlineLevel="0" collapsed="false">
      <c r="A1201" s="1" t="s">
        <v>37</v>
      </c>
      <c r="B1201" s="1" t="s">
        <v>5176</v>
      </c>
      <c r="C1201" s="187" t="n">
        <f aca="false">IFERROR(SUMPRODUCT((IF('DICIEMBRE 2026'!Y6:Y110&lt;&gt;"",'DICIEMBRE 2026'!Y6:Y110,'DICIEMBRE 2026'!I6:I110)="CAMPORREDONDO")*('DICIEMBRE 2026'!K6:K110="PETROLEO")*'DICIEMBRE 2026'!M6:M110),0)</f>
        <v>0</v>
      </c>
      <c r="D1201" s="187" t="n">
        <f aca="false">IFERROR(SUMPRODUCT((IF('DICIEMBRE 2026'!Y6:Y110&lt;&gt;"",'DICIEMBRE 2026'!Y6:Y110,'DICIEMBRE 2026'!I6:I110)="CAMPORREDONDO")*('DICIEMBRE 2026'!K6:K110="PETROLEO")*'DICIEMBRE 2026'!N6:N110),0)</f>
        <v>0</v>
      </c>
      <c r="E1201" s="187" t="n">
        <f aca="false">IFERROR(SUMPRODUCT((IF('DICIEMBRE 2026'!Y6:Y110&lt;&gt;"",'DICIEMBRE 2026'!Y6:Y110,'DICIEMBRE 2026'!I6:I110)="CAMPORREDONDO")*('DICIEMBRE 2026'!K6:K110="GASOLINA")*'DICIEMBRE 2026'!M6:M110),0)</f>
        <v>0</v>
      </c>
      <c r="F1201" s="187" t="n">
        <f aca="false">IFERROR(SUMPRODUCT((IF('DICIEMBRE 2026'!Y6:Y110&lt;&gt;"",'DICIEMBRE 2026'!Y6:Y110,'DICIEMBRE 2026'!I6:I110)="CAMPORREDONDO")*('DICIEMBRE 2026'!K6:K110="GASOLINA")*'DICIEMBRE 2026'!N6:N110),0)</f>
        <v>0</v>
      </c>
    </row>
    <row r="1202" customFormat="false" ht="15" hidden="false" customHeight="true" outlineLevel="0" collapsed="false">
      <c r="A1202" s="1" t="s">
        <v>132</v>
      </c>
      <c r="B1202" s="1" t="s">
        <v>5165</v>
      </c>
      <c r="C1202" s="187" t="n">
        <f aca="false">IFERROR(SUMPRODUCT((IF('ENERO 2026'!Y6:Y119&lt;&gt;"",'ENERO 2026'!Y6:Y119,'ENERO 2026'!I6:I119)="CHUQUIBAMBA")*('ENERO 2026'!K6:K119="PETROLEO")*'ENERO 2026'!M6:M119),0)</f>
        <v>15</v>
      </c>
      <c r="D1202" s="187" t="n">
        <f aca="false">IFERROR(SUMPRODUCT((IF('ENERO 2026'!Y6:Y119&lt;&gt;"",'ENERO 2026'!Y6:Y119,'ENERO 2026'!I6:I119)="CHUQUIBAMBA")*('ENERO 2026'!K6:K119="PETROLEO")*'ENERO 2026'!N6:N119),0)</f>
        <v>0</v>
      </c>
      <c r="E1202" s="187" t="n">
        <f aca="false">IFERROR(SUMPRODUCT((IF('ENERO 2026'!Y6:Y119&lt;&gt;"",'ENERO 2026'!Y6:Y119,'ENERO 2026'!I6:I119)="CHUQUIBAMBA")*('ENERO 2026'!K6:K119="GASOLINA")*'ENERO 2026'!M6:M119),0)</f>
        <v>0</v>
      </c>
      <c r="F1202" s="187" t="n">
        <f aca="false">IFERROR(SUMPRODUCT((IF('ENERO 2026'!Y6:Y119&lt;&gt;"",'ENERO 2026'!Y6:Y119,'ENERO 2026'!I6:I119)="CHUQUIBAMBA")*('ENERO 2026'!K6:K119="GASOLINA")*'ENERO 2026'!N6:N119),0)</f>
        <v>0</v>
      </c>
    </row>
    <row r="1203" customFormat="false" ht="15" hidden="false" customHeight="true" outlineLevel="0" collapsed="false">
      <c r="A1203" s="1" t="s">
        <v>132</v>
      </c>
      <c r="B1203" s="1" t="s">
        <v>5166</v>
      </c>
      <c r="C1203" s="187" t="n">
        <f aca="false">IFERROR(SUMPRODUCT((IF('FEBRERO 2026'!Y6:Y124&lt;&gt;"",'FEBRERO 2026'!Y6:Y124,'FEBRERO 2026'!I6:I124)="CHUQUIBAMBA")*('FEBRERO 2026'!K6:K124="PETROLEO")*'FEBRERO 2026'!M6:M124),0)</f>
        <v>0</v>
      </c>
      <c r="D1203" s="187" t="n">
        <f aca="false">IFERROR(SUMPRODUCT((IF('FEBRERO 2026'!Y6:Y124&lt;&gt;"",'FEBRERO 2026'!Y6:Y124,'FEBRERO 2026'!I6:I124)="CHUQUIBAMBA")*('FEBRERO 2026'!K6:K124="PETROLEO")*'FEBRERO 2026'!N6:N124),0)</f>
        <v>0</v>
      </c>
      <c r="E1203" s="187" t="n">
        <f aca="false">IFERROR(SUMPRODUCT((IF('FEBRERO 2026'!Y6:Y124&lt;&gt;"",'FEBRERO 2026'!Y6:Y124,'FEBRERO 2026'!I6:I124)="CHUQUIBAMBA")*('FEBRERO 2026'!K6:K124="GASOLINA")*'FEBRERO 2026'!M6:M124),0)</f>
        <v>0</v>
      </c>
      <c r="F1203" s="187" t="n">
        <f aca="false">IFERROR(SUMPRODUCT((IF('FEBRERO 2026'!Y6:Y124&lt;&gt;"",'FEBRERO 2026'!Y6:Y124,'FEBRERO 2026'!I6:I124)="CHUQUIBAMBA")*('FEBRERO 2026'!K6:K124="GASOLINA")*'FEBRERO 2026'!N6:N124),0)</f>
        <v>0</v>
      </c>
    </row>
    <row r="1204" customFormat="false" ht="15" hidden="false" customHeight="true" outlineLevel="0" collapsed="false">
      <c r="A1204" s="1" t="s">
        <v>132</v>
      </c>
      <c r="B1204" s="1" t="s">
        <v>5167</v>
      </c>
      <c r="C1204" s="187" t="n">
        <f aca="false">IFERROR(SUMPRODUCT((IF('MARZO 2026'!Y6:Y119&lt;&gt;"",'MARZO 2026'!Y6:Y119,'MARZO 2026'!I6:I119)="CHUQUIBAMBA")*('MARZO 2026'!K6:K119="PETROLEO")*'MARZO 2026'!M6:M119),0)</f>
        <v>0</v>
      </c>
      <c r="D1204" s="187" t="n">
        <f aca="false">IFERROR(SUMPRODUCT((IF('MARZO 2026'!Y6:Y119&lt;&gt;"",'MARZO 2026'!Y6:Y119,'MARZO 2026'!I6:I119)="CHUQUIBAMBA")*('MARZO 2026'!K6:K119="PETROLEO")*'MARZO 2026'!N6:N119),0)</f>
        <v>0</v>
      </c>
      <c r="E1204" s="187" t="n">
        <f aca="false">IFERROR(SUMPRODUCT((IF('MARZO 2026'!Y6:Y119&lt;&gt;"",'MARZO 2026'!Y6:Y119,'MARZO 2026'!I6:I119)="CHUQUIBAMBA")*('MARZO 2026'!K6:K119="GASOLINA")*'MARZO 2026'!M6:M119),0)</f>
        <v>0</v>
      </c>
      <c r="F1204" s="187" t="n">
        <f aca="false">IFERROR(SUMPRODUCT((IF('MARZO 2026'!Y6:Y119&lt;&gt;"",'MARZO 2026'!Y6:Y119,'MARZO 2026'!I6:I119)="CHUQUIBAMBA")*('MARZO 2026'!K6:K119="GASOLINA")*'MARZO 2026'!N6:N119),0)</f>
        <v>0</v>
      </c>
    </row>
    <row r="1205" customFormat="false" ht="15" hidden="false" customHeight="true" outlineLevel="0" collapsed="false">
      <c r="A1205" s="1" t="s">
        <v>132</v>
      </c>
      <c r="B1205" s="1" t="s">
        <v>5168</v>
      </c>
      <c r="C1205" s="187" t="n">
        <f aca="false">IFERROR(SUMPRODUCT((IF('ABRIL 2026'!Y6:Y119&lt;&gt;"",'ABRIL 2026'!Y6:Y119,'ABRIL 2026'!I6:I119)="CHUQUIBAMBA")*('ABRIL 2026'!K6:K119="PETROLEO")*'ABRIL 2026'!M6:M119),0)</f>
        <v>0</v>
      </c>
      <c r="D1205" s="187" t="n">
        <f aca="false">IFERROR(SUMPRODUCT((IF('ABRIL 2026'!Y6:Y119&lt;&gt;"",'ABRIL 2026'!Y6:Y119,'ABRIL 2026'!I6:I119)="CHUQUIBAMBA")*('ABRIL 2026'!K6:K119="PETROLEO")*'ABRIL 2026'!N6:N119),0)</f>
        <v>0</v>
      </c>
      <c r="E1205" s="187" t="n">
        <f aca="false">IFERROR(SUMPRODUCT((IF('ABRIL 2026'!Y6:Y119&lt;&gt;"",'ABRIL 2026'!Y6:Y119,'ABRIL 2026'!I6:I119)="CHUQUIBAMBA")*('ABRIL 2026'!K6:K119="GASOLINA")*'ABRIL 2026'!M6:M119),0)</f>
        <v>0</v>
      </c>
      <c r="F1205" s="187" t="n">
        <f aca="false">IFERROR(SUMPRODUCT((IF('ABRIL 2026'!Y6:Y119&lt;&gt;"",'ABRIL 2026'!Y6:Y119,'ABRIL 2026'!I6:I119)="CHUQUIBAMBA")*('ABRIL 2026'!K6:K119="GASOLINA")*'ABRIL 2026'!N6:N119),0)</f>
        <v>0</v>
      </c>
    </row>
    <row r="1206" customFormat="false" ht="15" hidden="false" customHeight="true" outlineLevel="0" collapsed="false">
      <c r="A1206" s="1" t="s">
        <v>132</v>
      </c>
      <c r="B1206" s="1" t="s">
        <v>5169</v>
      </c>
      <c r="C1206" s="187" t="n">
        <f aca="false">IFERROR(SUMPRODUCT((IF('MAYO 2026'!Y6:Y110&lt;&gt;"",'MAYO 2026'!Y6:Y110,'MAYO 2026'!I6:I110)="CHUQUIBAMBA")*('MAYO 2026'!K6:K110="PETROLEO")*'MAYO 2026'!M6:M110),0)</f>
        <v>0</v>
      </c>
      <c r="D1206" s="187" t="n">
        <f aca="false">IFERROR(SUMPRODUCT((IF('MAYO 2026'!Y6:Y110&lt;&gt;"",'MAYO 2026'!Y6:Y110,'MAYO 2026'!I6:I110)="CHUQUIBAMBA")*('MAYO 2026'!K6:K110="PETROLEO")*'MAYO 2026'!N6:N110),0)</f>
        <v>0</v>
      </c>
      <c r="E1206" s="187" t="n">
        <f aca="false">IFERROR(SUMPRODUCT((IF('MAYO 2026'!Y6:Y110&lt;&gt;"",'MAYO 2026'!Y6:Y110,'MAYO 2026'!I6:I110)="CHUQUIBAMBA")*('MAYO 2026'!K6:K110="GASOLINA")*'MAYO 2026'!M6:M110),0)</f>
        <v>0</v>
      </c>
      <c r="F1206" s="187" t="n">
        <f aca="false">IFERROR(SUMPRODUCT((IF('MAYO 2026'!Y6:Y110&lt;&gt;"",'MAYO 2026'!Y6:Y110,'MAYO 2026'!I6:I110)="CHUQUIBAMBA")*('MAYO 2026'!K6:K110="GASOLINA")*'MAYO 2026'!N6:N110),0)</f>
        <v>0</v>
      </c>
    </row>
    <row r="1207" customFormat="false" ht="15" hidden="false" customHeight="true" outlineLevel="0" collapsed="false">
      <c r="A1207" s="1" t="s">
        <v>132</v>
      </c>
      <c r="B1207" s="1" t="s">
        <v>5170</v>
      </c>
      <c r="C1207" s="187" t="n">
        <f aca="false">IFERROR(SUMPRODUCT((IF('JUNIO 2026'!Y6:Y110&lt;&gt;"",'JUNIO 2026'!Y6:Y110,'JUNIO 2026'!I6:I110)="CHUQUIBAMBA")*('JUNIO 2026'!K6:K110="PETROLEO")*'JUNIO 2026'!M6:M110),0)</f>
        <v>0</v>
      </c>
      <c r="D1207" s="187" t="n">
        <f aca="false">IFERROR(SUMPRODUCT((IF('JUNIO 2026'!Y6:Y110&lt;&gt;"",'JUNIO 2026'!Y6:Y110,'JUNIO 2026'!I6:I110)="CHUQUIBAMBA")*('JUNIO 2026'!K6:K110="PETROLEO")*'JUNIO 2026'!N6:N110),0)</f>
        <v>0</v>
      </c>
      <c r="E1207" s="187" t="n">
        <f aca="false">IFERROR(SUMPRODUCT((IF('JUNIO 2026'!Y6:Y110&lt;&gt;"",'JUNIO 2026'!Y6:Y110,'JUNIO 2026'!I6:I110)="CHUQUIBAMBA")*('JUNIO 2026'!K6:K110="GASOLINA")*'JUNIO 2026'!M6:M110),0)</f>
        <v>0</v>
      </c>
      <c r="F1207" s="187" t="n">
        <f aca="false">IFERROR(SUMPRODUCT((IF('JUNIO 2026'!Y6:Y110&lt;&gt;"",'JUNIO 2026'!Y6:Y110,'JUNIO 2026'!I6:I110)="CHUQUIBAMBA")*('JUNIO 2026'!K6:K110="GASOLINA")*'JUNIO 2026'!N6:N110),0)</f>
        <v>0</v>
      </c>
    </row>
    <row r="1208" customFormat="false" ht="15" hidden="false" customHeight="true" outlineLevel="0" collapsed="false">
      <c r="A1208" s="1" t="s">
        <v>132</v>
      </c>
      <c r="B1208" s="1" t="s">
        <v>5171</v>
      </c>
      <c r="C1208" s="187" t="n">
        <f aca="false">IFERROR(SUMPRODUCT((IF('JULIO 2026'!Y6:Y110&lt;&gt;"",'JULIO 2026'!Y6:Y110,'JULIO 2026'!I6:I110)="CHUQUIBAMBA")*('JULIO 2026'!K6:K110="PETROLEO")*'JULIO 2026'!M6:M110),0)</f>
        <v>0</v>
      </c>
      <c r="D1208" s="187" t="n">
        <f aca="false">IFERROR(SUMPRODUCT((IF('JULIO 2026'!Y6:Y110&lt;&gt;"",'JULIO 2026'!Y6:Y110,'JULIO 2026'!I6:I110)="CHUQUIBAMBA")*('JULIO 2026'!K6:K110="PETROLEO")*'JULIO 2026'!N6:N110),0)</f>
        <v>0</v>
      </c>
      <c r="E1208" s="187" t="n">
        <f aca="false">IFERROR(SUMPRODUCT((IF('JULIO 2026'!Y6:Y110&lt;&gt;"",'JULIO 2026'!Y6:Y110,'JULIO 2026'!I6:I110)="CHUQUIBAMBA")*('JULIO 2026'!K6:K110="GASOLINA")*'JULIO 2026'!M6:M110),0)</f>
        <v>0</v>
      </c>
      <c r="F1208" s="187" t="n">
        <f aca="false">IFERROR(SUMPRODUCT((IF('JULIO 2026'!Y6:Y110&lt;&gt;"",'JULIO 2026'!Y6:Y110,'JULIO 2026'!I6:I110)="CHUQUIBAMBA")*('JULIO 2026'!K6:K110="GASOLINA")*'JULIO 2026'!N6:N110),0)</f>
        <v>0</v>
      </c>
    </row>
    <row r="1209" customFormat="false" ht="15" hidden="false" customHeight="true" outlineLevel="0" collapsed="false">
      <c r="A1209" s="1" t="s">
        <v>132</v>
      </c>
      <c r="B1209" s="1" t="s">
        <v>5172</v>
      </c>
      <c r="C1209" s="187" t="n">
        <f aca="false">IFERROR(SUMPRODUCT((IF('AGOSTO 2026'!Y6:Y110&lt;&gt;"",'AGOSTO 2026'!Y6:Y110,'AGOSTO 2026'!I6:I110)="CHUQUIBAMBA")*('AGOSTO 2026'!K6:K110="PETROLEO")*'AGOSTO 2026'!M6:M110),0)</f>
        <v>0</v>
      </c>
      <c r="D1209" s="187" t="n">
        <f aca="false">IFERROR(SUMPRODUCT((IF('AGOSTO 2026'!Y6:Y110&lt;&gt;"",'AGOSTO 2026'!Y6:Y110,'AGOSTO 2026'!I6:I110)="CHUQUIBAMBA")*('AGOSTO 2026'!K6:K110="PETROLEO")*'AGOSTO 2026'!N6:N110),0)</f>
        <v>0</v>
      </c>
      <c r="E1209" s="187" t="n">
        <f aca="false">IFERROR(SUMPRODUCT((IF('AGOSTO 2026'!Y6:Y110&lt;&gt;"",'AGOSTO 2026'!Y6:Y110,'AGOSTO 2026'!I6:I110)="CHUQUIBAMBA")*('AGOSTO 2026'!K6:K110="GASOLINA")*'AGOSTO 2026'!M6:M110),0)</f>
        <v>0</v>
      </c>
      <c r="F1209" s="187" t="n">
        <f aca="false">IFERROR(SUMPRODUCT((IF('AGOSTO 2026'!Y6:Y110&lt;&gt;"",'AGOSTO 2026'!Y6:Y110,'AGOSTO 2026'!I6:I110)="CHUQUIBAMBA")*('AGOSTO 2026'!K6:K110="GASOLINA")*'AGOSTO 2026'!N6:N110),0)</f>
        <v>0</v>
      </c>
    </row>
    <row r="1210" customFormat="false" ht="15" hidden="false" customHeight="true" outlineLevel="0" collapsed="false">
      <c r="A1210" s="1" t="s">
        <v>132</v>
      </c>
      <c r="B1210" s="1" t="s">
        <v>5173</v>
      </c>
      <c r="C1210" s="187" t="n">
        <f aca="false">IFERROR(SUMPRODUCT((IF('SETIEMBRE 2026'!Y6:Y110&lt;&gt;"",'SETIEMBRE 2026'!Y6:Y110,'SETIEMBRE 2026'!I6:I110)="CHUQUIBAMBA")*('SETIEMBRE 2026'!K6:K110="PETROLEO")*'SETIEMBRE 2026'!M6:M110),0)</f>
        <v>0</v>
      </c>
      <c r="D1210" s="187" t="n">
        <f aca="false">IFERROR(SUMPRODUCT((IF('SETIEMBRE 2026'!Y6:Y110&lt;&gt;"",'SETIEMBRE 2026'!Y6:Y110,'SETIEMBRE 2026'!I6:I110)="CHUQUIBAMBA")*('SETIEMBRE 2026'!K6:K110="PETROLEO")*'SETIEMBRE 2026'!N6:N110),0)</f>
        <v>0</v>
      </c>
      <c r="E1210" s="187" t="n">
        <f aca="false">IFERROR(SUMPRODUCT((IF('SETIEMBRE 2026'!Y6:Y110&lt;&gt;"",'SETIEMBRE 2026'!Y6:Y110,'SETIEMBRE 2026'!I6:I110)="CHUQUIBAMBA")*('SETIEMBRE 2026'!K6:K110="GASOLINA")*'SETIEMBRE 2026'!M6:M110),0)</f>
        <v>0</v>
      </c>
      <c r="F1210" s="187" t="n">
        <f aca="false">IFERROR(SUMPRODUCT((IF('SETIEMBRE 2026'!Y6:Y110&lt;&gt;"",'SETIEMBRE 2026'!Y6:Y110,'SETIEMBRE 2026'!I6:I110)="CHUQUIBAMBA")*('SETIEMBRE 2026'!K6:K110="GASOLINA")*'SETIEMBRE 2026'!N6:N110),0)</f>
        <v>0</v>
      </c>
    </row>
    <row r="1211" customFormat="false" ht="15" hidden="false" customHeight="true" outlineLevel="0" collapsed="false">
      <c r="A1211" s="1" t="s">
        <v>132</v>
      </c>
      <c r="B1211" s="1" t="s">
        <v>5174</v>
      </c>
      <c r="C1211" s="187" t="n">
        <f aca="false">IFERROR(SUMPRODUCT((IF('OCTUBRE 2026'!Y6:Y110&lt;&gt;"",'OCTUBRE 2026'!Y6:Y110,'OCTUBRE 2026'!I6:I110)="CHUQUIBAMBA")*('OCTUBRE 2026'!K6:K110="PETROLEO")*'OCTUBRE 2026'!M6:M110),0)</f>
        <v>0</v>
      </c>
      <c r="D1211" s="187" t="n">
        <f aca="false">IFERROR(SUMPRODUCT((IF('OCTUBRE 2026'!Y6:Y110&lt;&gt;"",'OCTUBRE 2026'!Y6:Y110,'OCTUBRE 2026'!I6:I110)="CHUQUIBAMBA")*('OCTUBRE 2026'!K6:K110="PETROLEO")*'OCTUBRE 2026'!N6:N110),0)</f>
        <v>0</v>
      </c>
      <c r="E1211" s="187" t="n">
        <f aca="false">IFERROR(SUMPRODUCT((IF('OCTUBRE 2026'!Y6:Y110&lt;&gt;"",'OCTUBRE 2026'!Y6:Y110,'OCTUBRE 2026'!I6:I110)="CHUQUIBAMBA")*('OCTUBRE 2026'!K6:K110="GASOLINA")*'OCTUBRE 2026'!M6:M110),0)</f>
        <v>0</v>
      </c>
      <c r="F1211" s="187" t="n">
        <f aca="false">IFERROR(SUMPRODUCT((IF('OCTUBRE 2026'!Y6:Y110&lt;&gt;"",'OCTUBRE 2026'!Y6:Y110,'OCTUBRE 2026'!I6:I110)="CHUQUIBAMBA")*('OCTUBRE 2026'!K6:K110="GASOLINA")*'OCTUBRE 2026'!N6:N110),0)</f>
        <v>0</v>
      </c>
    </row>
    <row r="1212" customFormat="false" ht="15" hidden="false" customHeight="true" outlineLevel="0" collapsed="false">
      <c r="A1212" s="1" t="s">
        <v>132</v>
      </c>
      <c r="B1212" s="1" t="s">
        <v>5175</v>
      </c>
      <c r="C1212" s="187" t="n">
        <f aca="false">IFERROR(SUMPRODUCT((IF('NOVIEMBRE 2026'!Y6:Y110&lt;&gt;"",'NOVIEMBRE 2026'!Y6:Y110,'NOVIEMBRE 2026'!I6:I110)="CHUQUIBAMBA")*('NOVIEMBRE 2026'!K6:K110="PETROLEO")*'NOVIEMBRE 2026'!M6:M110),0)</f>
        <v>0</v>
      </c>
      <c r="D1212" s="187" t="n">
        <f aca="false">IFERROR(SUMPRODUCT((IF('NOVIEMBRE 2026'!Y6:Y110&lt;&gt;"",'NOVIEMBRE 2026'!Y6:Y110,'NOVIEMBRE 2026'!I6:I110)="CHUQUIBAMBA")*('NOVIEMBRE 2026'!K6:K110="PETROLEO")*'NOVIEMBRE 2026'!N6:N110),0)</f>
        <v>0</v>
      </c>
      <c r="E1212" s="187" t="n">
        <f aca="false">IFERROR(SUMPRODUCT((IF('NOVIEMBRE 2026'!Y6:Y110&lt;&gt;"",'NOVIEMBRE 2026'!Y6:Y110,'NOVIEMBRE 2026'!I6:I110)="CHUQUIBAMBA")*('NOVIEMBRE 2026'!K6:K110="GASOLINA")*'NOVIEMBRE 2026'!M6:M110),0)</f>
        <v>0</v>
      </c>
      <c r="F1212" s="187" t="n">
        <f aca="false">IFERROR(SUMPRODUCT((IF('NOVIEMBRE 2026'!Y6:Y110&lt;&gt;"",'NOVIEMBRE 2026'!Y6:Y110,'NOVIEMBRE 2026'!I6:I110)="CHUQUIBAMBA")*('NOVIEMBRE 2026'!K6:K110="GASOLINA")*'NOVIEMBRE 2026'!N6:N110),0)</f>
        <v>0</v>
      </c>
    </row>
    <row r="1213" customFormat="false" ht="15" hidden="false" customHeight="true" outlineLevel="0" collapsed="false">
      <c r="A1213" s="1" t="s">
        <v>132</v>
      </c>
      <c r="B1213" s="1" t="s">
        <v>5176</v>
      </c>
      <c r="C1213" s="187" t="n">
        <f aca="false">IFERROR(SUMPRODUCT((IF('DICIEMBRE 2026'!Y6:Y110&lt;&gt;"",'DICIEMBRE 2026'!Y6:Y110,'DICIEMBRE 2026'!I6:I110)="CHUQUIBAMBA")*('DICIEMBRE 2026'!K6:K110="PETROLEO")*'DICIEMBRE 2026'!M6:M110),0)</f>
        <v>0</v>
      </c>
      <c r="D1213" s="187" t="n">
        <f aca="false">IFERROR(SUMPRODUCT((IF('DICIEMBRE 2026'!Y6:Y110&lt;&gt;"",'DICIEMBRE 2026'!Y6:Y110,'DICIEMBRE 2026'!I6:I110)="CHUQUIBAMBA")*('DICIEMBRE 2026'!K6:K110="PETROLEO")*'DICIEMBRE 2026'!N6:N110),0)</f>
        <v>0</v>
      </c>
      <c r="E1213" s="187" t="n">
        <f aca="false">IFERROR(SUMPRODUCT((IF('DICIEMBRE 2026'!Y6:Y110&lt;&gt;"",'DICIEMBRE 2026'!Y6:Y110,'DICIEMBRE 2026'!I6:I110)="CHUQUIBAMBA")*('DICIEMBRE 2026'!K6:K110="GASOLINA")*'DICIEMBRE 2026'!M6:M110),0)</f>
        <v>0</v>
      </c>
      <c r="F1213" s="187" t="n">
        <f aca="false">IFERROR(SUMPRODUCT((IF('DICIEMBRE 2026'!Y6:Y110&lt;&gt;"",'DICIEMBRE 2026'!Y6:Y110,'DICIEMBRE 2026'!I6:I110)="CHUQUIBAMBA")*('DICIEMBRE 2026'!K6:K110="GASOLINA")*'DICIEMBRE 2026'!N6:N110),0)</f>
        <v>0</v>
      </c>
    </row>
    <row r="1214" customFormat="false" ht="15" hidden="false" customHeight="true" outlineLevel="0" collapsed="false">
      <c r="A1214" s="1" t="s">
        <v>295</v>
      </c>
      <c r="B1214" s="1" t="s">
        <v>5165</v>
      </c>
      <c r="C1214" s="187" t="n">
        <f aca="false">IFERROR(SUMPRODUCT((IF('ENERO 2026'!Y6:Y119&lt;&gt;"",'ENERO 2026'!Y6:Y119,'ENERO 2026'!I6:I119)="COCABAMBA")*('ENERO 2026'!K6:K119="PETROLEO")*'ENERO 2026'!M6:M119),0)</f>
        <v>0</v>
      </c>
      <c r="D1214" s="187" t="n">
        <f aca="false">IFERROR(SUMPRODUCT((IF('ENERO 2026'!Y6:Y119&lt;&gt;"",'ENERO 2026'!Y6:Y119,'ENERO 2026'!I6:I119)="COCABAMBA")*('ENERO 2026'!K6:K119="PETROLEO")*'ENERO 2026'!N6:N119),0)</f>
        <v>0</v>
      </c>
      <c r="E1214" s="187" t="n">
        <f aca="false">IFERROR(SUMPRODUCT((IF('ENERO 2026'!Y6:Y119&lt;&gt;"",'ENERO 2026'!Y6:Y119,'ENERO 2026'!I6:I119)="COCABAMBA")*('ENERO 2026'!K6:K119="GASOLINA")*'ENERO 2026'!M6:M119),0)</f>
        <v>0</v>
      </c>
      <c r="F1214" s="187" t="n">
        <f aca="false">IFERROR(SUMPRODUCT((IF('ENERO 2026'!Y6:Y119&lt;&gt;"",'ENERO 2026'!Y6:Y119,'ENERO 2026'!I6:I119)="COCABAMBA")*('ENERO 2026'!K6:K119="GASOLINA")*'ENERO 2026'!N6:N119),0)</f>
        <v>0</v>
      </c>
    </row>
    <row r="1215" customFormat="false" ht="15" hidden="false" customHeight="true" outlineLevel="0" collapsed="false">
      <c r="A1215" s="1" t="s">
        <v>295</v>
      </c>
      <c r="B1215" s="1" t="s">
        <v>5166</v>
      </c>
      <c r="C1215" s="187" t="n">
        <f aca="false">IFERROR(SUMPRODUCT((IF('FEBRERO 2026'!Y6:Y124&lt;&gt;"",'FEBRERO 2026'!Y6:Y124,'FEBRERO 2026'!I6:I124)="COCABAMBA")*('FEBRERO 2026'!K6:K124="PETROLEO")*'FEBRERO 2026'!M6:M124),0)</f>
        <v>0</v>
      </c>
      <c r="D1215" s="187" t="n">
        <f aca="false">IFERROR(SUMPRODUCT((IF('FEBRERO 2026'!Y6:Y124&lt;&gt;"",'FEBRERO 2026'!Y6:Y124,'FEBRERO 2026'!I6:I124)="COCABAMBA")*('FEBRERO 2026'!K6:K124="PETROLEO")*'FEBRERO 2026'!N6:N124),0)</f>
        <v>0</v>
      </c>
      <c r="E1215" s="187" t="n">
        <f aca="false">IFERROR(SUMPRODUCT((IF('FEBRERO 2026'!Y6:Y124&lt;&gt;"",'FEBRERO 2026'!Y6:Y124,'FEBRERO 2026'!I6:I124)="COCABAMBA")*('FEBRERO 2026'!K6:K124="GASOLINA")*'FEBRERO 2026'!M6:M124),0)</f>
        <v>26</v>
      </c>
      <c r="F1215" s="187" t="n">
        <f aca="false">IFERROR(SUMPRODUCT((IF('FEBRERO 2026'!Y6:Y124&lt;&gt;"",'FEBRERO 2026'!Y6:Y124,'FEBRERO 2026'!I6:I124)="COCABAMBA")*('FEBRERO 2026'!K6:K124="GASOLINA")*'FEBRERO 2026'!N6:N124),0)</f>
        <v>466.7</v>
      </c>
    </row>
    <row r="1216" customFormat="false" ht="15" hidden="false" customHeight="true" outlineLevel="0" collapsed="false">
      <c r="A1216" s="1" t="s">
        <v>295</v>
      </c>
      <c r="B1216" s="1" t="s">
        <v>5167</v>
      </c>
      <c r="C1216" s="187" t="n">
        <f aca="false">IFERROR(SUMPRODUCT((IF('MARZO 2026'!Y6:Y119&lt;&gt;"",'MARZO 2026'!Y6:Y119,'MARZO 2026'!I6:I119)="COCABAMBA")*('MARZO 2026'!K6:K119="PETROLEO")*'MARZO 2026'!M6:M119),0)</f>
        <v>0</v>
      </c>
      <c r="D1216" s="187" t="n">
        <f aca="false">IFERROR(SUMPRODUCT((IF('MARZO 2026'!Y6:Y119&lt;&gt;"",'MARZO 2026'!Y6:Y119,'MARZO 2026'!I6:I119)="COCABAMBA")*('MARZO 2026'!K6:K119="PETROLEO")*'MARZO 2026'!N6:N119),0)</f>
        <v>0</v>
      </c>
      <c r="E1216" s="187" t="n">
        <f aca="false">IFERROR(SUMPRODUCT((IF('MARZO 2026'!Y6:Y119&lt;&gt;"",'MARZO 2026'!Y6:Y119,'MARZO 2026'!I6:I119)="COCABAMBA")*('MARZO 2026'!K6:K119="GASOLINA")*'MARZO 2026'!M6:M119),0)</f>
        <v>0</v>
      </c>
      <c r="F1216" s="187" t="n">
        <f aca="false">IFERROR(SUMPRODUCT((IF('MARZO 2026'!Y6:Y119&lt;&gt;"",'MARZO 2026'!Y6:Y119,'MARZO 2026'!I6:I119)="COCABAMBA")*('MARZO 2026'!K6:K119="GASOLINA")*'MARZO 2026'!N6:N119),0)</f>
        <v>0</v>
      </c>
    </row>
    <row r="1217" customFormat="false" ht="15" hidden="false" customHeight="true" outlineLevel="0" collapsed="false">
      <c r="A1217" s="1" t="s">
        <v>295</v>
      </c>
      <c r="B1217" s="1" t="s">
        <v>5168</v>
      </c>
      <c r="C1217" s="187" t="n">
        <f aca="false">IFERROR(SUMPRODUCT((IF('ABRIL 2026'!Y6:Y119&lt;&gt;"",'ABRIL 2026'!Y6:Y119,'ABRIL 2026'!I6:I119)="COCABAMBA")*('ABRIL 2026'!K6:K119="PETROLEO")*'ABRIL 2026'!M6:M119),0)</f>
        <v>0</v>
      </c>
      <c r="D1217" s="187" t="n">
        <f aca="false">IFERROR(SUMPRODUCT((IF('ABRIL 2026'!Y6:Y119&lt;&gt;"",'ABRIL 2026'!Y6:Y119,'ABRIL 2026'!I6:I119)="COCABAMBA")*('ABRIL 2026'!K6:K119="PETROLEO")*'ABRIL 2026'!N6:N119),0)</f>
        <v>0</v>
      </c>
      <c r="E1217" s="187" t="n">
        <f aca="false">IFERROR(SUMPRODUCT((IF('ABRIL 2026'!Y6:Y119&lt;&gt;"",'ABRIL 2026'!Y6:Y119,'ABRIL 2026'!I6:I119)="COCABAMBA")*('ABRIL 2026'!K6:K119="GASOLINA")*'ABRIL 2026'!M6:M119),0)</f>
        <v>0</v>
      </c>
      <c r="F1217" s="187" t="n">
        <f aca="false">IFERROR(SUMPRODUCT((IF('ABRIL 2026'!Y6:Y119&lt;&gt;"",'ABRIL 2026'!Y6:Y119,'ABRIL 2026'!I6:I119)="COCABAMBA")*('ABRIL 2026'!K6:K119="GASOLINA")*'ABRIL 2026'!N6:N119),0)</f>
        <v>0</v>
      </c>
    </row>
    <row r="1218" customFormat="false" ht="15" hidden="false" customHeight="true" outlineLevel="0" collapsed="false">
      <c r="A1218" s="1" t="s">
        <v>295</v>
      </c>
      <c r="B1218" s="1" t="s">
        <v>5169</v>
      </c>
      <c r="C1218" s="187" t="n">
        <f aca="false">IFERROR(SUMPRODUCT((IF('MAYO 2026'!Y6:Y110&lt;&gt;"",'MAYO 2026'!Y6:Y110,'MAYO 2026'!I6:I110)="COCABAMBA")*('MAYO 2026'!K6:K110="PETROLEO")*'MAYO 2026'!M6:M110),0)</f>
        <v>0</v>
      </c>
      <c r="D1218" s="187" t="n">
        <f aca="false">IFERROR(SUMPRODUCT((IF('MAYO 2026'!Y6:Y110&lt;&gt;"",'MAYO 2026'!Y6:Y110,'MAYO 2026'!I6:I110)="COCABAMBA")*('MAYO 2026'!K6:K110="PETROLEO")*'MAYO 2026'!N6:N110),0)</f>
        <v>0</v>
      </c>
      <c r="E1218" s="187" t="n">
        <f aca="false">IFERROR(SUMPRODUCT((IF('MAYO 2026'!Y6:Y110&lt;&gt;"",'MAYO 2026'!Y6:Y110,'MAYO 2026'!I6:I110)="COCABAMBA")*('MAYO 2026'!K6:K110="GASOLINA")*'MAYO 2026'!M6:M110),0)</f>
        <v>0</v>
      </c>
      <c r="F1218" s="187" t="n">
        <f aca="false">IFERROR(SUMPRODUCT((IF('MAYO 2026'!Y6:Y110&lt;&gt;"",'MAYO 2026'!Y6:Y110,'MAYO 2026'!I6:I110)="COCABAMBA")*('MAYO 2026'!K6:K110="GASOLINA")*'MAYO 2026'!N6:N110),0)</f>
        <v>0</v>
      </c>
    </row>
    <row r="1219" customFormat="false" ht="15" hidden="false" customHeight="true" outlineLevel="0" collapsed="false">
      <c r="A1219" s="1" t="s">
        <v>295</v>
      </c>
      <c r="B1219" s="1" t="s">
        <v>5170</v>
      </c>
      <c r="C1219" s="187" t="n">
        <f aca="false">IFERROR(SUMPRODUCT((IF('JUNIO 2026'!Y6:Y110&lt;&gt;"",'JUNIO 2026'!Y6:Y110,'JUNIO 2026'!I6:I110)="COCABAMBA")*('JUNIO 2026'!K6:K110="PETROLEO")*'JUNIO 2026'!M6:M110),0)</f>
        <v>0</v>
      </c>
      <c r="D1219" s="187" t="n">
        <f aca="false">IFERROR(SUMPRODUCT((IF('JUNIO 2026'!Y6:Y110&lt;&gt;"",'JUNIO 2026'!Y6:Y110,'JUNIO 2026'!I6:I110)="COCABAMBA")*('JUNIO 2026'!K6:K110="PETROLEO")*'JUNIO 2026'!N6:N110),0)</f>
        <v>0</v>
      </c>
      <c r="E1219" s="187" t="n">
        <f aca="false">IFERROR(SUMPRODUCT((IF('JUNIO 2026'!Y6:Y110&lt;&gt;"",'JUNIO 2026'!Y6:Y110,'JUNIO 2026'!I6:I110)="COCABAMBA")*('JUNIO 2026'!K6:K110="GASOLINA")*'JUNIO 2026'!M6:M110),0)</f>
        <v>0</v>
      </c>
      <c r="F1219" s="187" t="n">
        <f aca="false">IFERROR(SUMPRODUCT((IF('JUNIO 2026'!Y6:Y110&lt;&gt;"",'JUNIO 2026'!Y6:Y110,'JUNIO 2026'!I6:I110)="COCABAMBA")*('JUNIO 2026'!K6:K110="GASOLINA")*'JUNIO 2026'!N6:N110),0)</f>
        <v>0</v>
      </c>
    </row>
    <row r="1220" customFormat="false" ht="15" hidden="false" customHeight="true" outlineLevel="0" collapsed="false">
      <c r="A1220" s="1" t="s">
        <v>295</v>
      </c>
      <c r="B1220" s="1" t="s">
        <v>5171</v>
      </c>
      <c r="C1220" s="187" t="n">
        <f aca="false">IFERROR(SUMPRODUCT((IF('JULIO 2026'!Y6:Y110&lt;&gt;"",'JULIO 2026'!Y6:Y110,'JULIO 2026'!I6:I110)="COCABAMBA")*('JULIO 2026'!K6:K110="PETROLEO")*'JULIO 2026'!M6:M110),0)</f>
        <v>0</v>
      </c>
      <c r="D1220" s="187" t="n">
        <f aca="false">IFERROR(SUMPRODUCT((IF('JULIO 2026'!Y6:Y110&lt;&gt;"",'JULIO 2026'!Y6:Y110,'JULIO 2026'!I6:I110)="COCABAMBA")*('JULIO 2026'!K6:K110="PETROLEO")*'JULIO 2026'!N6:N110),0)</f>
        <v>0</v>
      </c>
      <c r="E1220" s="187" t="n">
        <f aca="false">IFERROR(SUMPRODUCT((IF('JULIO 2026'!Y6:Y110&lt;&gt;"",'JULIO 2026'!Y6:Y110,'JULIO 2026'!I6:I110)="COCABAMBA")*('JULIO 2026'!K6:K110="GASOLINA")*'JULIO 2026'!M6:M110),0)</f>
        <v>0</v>
      </c>
      <c r="F1220" s="187" t="n">
        <f aca="false">IFERROR(SUMPRODUCT((IF('JULIO 2026'!Y6:Y110&lt;&gt;"",'JULIO 2026'!Y6:Y110,'JULIO 2026'!I6:I110)="COCABAMBA")*('JULIO 2026'!K6:K110="GASOLINA")*'JULIO 2026'!N6:N110),0)</f>
        <v>0</v>
      </c>
    </row>
    <row r="1221" customFormat="false" ht="15" hidden="false" customHeight="true" outlineLevel="0" collapsed="false">
      <c r="A1221" s="1" t="s">
        <v>295</v>
      </c>
      <c r="B1221" s="1" t="s">
        <v>5172</v>
      </c>
      <c r="C1221" s="187" t="n">
        <f aca="false">IFERROR(SUMPRODUCT((IF('AGOSTO 2026'!Y6:Y110&lt;&gt;"",'AGOSTO 2026'!Y6:Y110,'AGOSTO 2026'!I6:I110)="COCABAMBA")*('AGOSTO 2026'!K6:K110="PETROLEO")*'AGOSTO 2026'!M6:M110),0)</f>
        <v>0</v>
      </c>
      <c r="D1221" s="187" t="n">
        <f aca="false">IFERROR(SUMPRODUCT((IF('AGOSTO 2026'!Y6:Y110&lt;&gt;"",'AGOSTO 2026'!Y6:Y110,'AGOSTO 2026'!I6:I110)="COCABAMBA")*('AGOSTO 2026'!K6:K110="PETROLEO")*'AGOSTO 2026'!N6:N110),0)</f>
        <v>0</v>
      </c>
      <c r="E1221" s="187" t="n">
        <f aca="false">IFERROR(SUMPRODUCT((IF('AGOSTO 2026'!Y6:Y110&lt;&gt;"",'AGOSTO 2026'!Y6:Y110,'AGOSTO 2026'!I6:I110)="COCABAMBA")*('AGOSTO 2026'!K6:K110="GASOLINA")*'AGOSTO 2026'!M6:M110),0)</f>
        <v>0</v>
      </c>
      <c r="F1221" s="187" t="n">
        <f aca="false">IFERROR(SUMPRODUCT((IF('AGOSTO 2026'!Y6:Y110&lt;&gt;"",'AGOSTO 2026'!Y6:Y110,'AGOSTO 2026'!I6:I110)="COCABAMBA")*('AGOSTO 2026'!K6:K110="GASOLINA")*'AGOSTO 2026'!N6:N110),0)</f>
        <v>0</v>
      </c>
    </row>
    <row r="1222" customFormat="false" ht="15" hidden="false" customHeight="true" outlineLevel="0" collapsed="false">
      <c r="A1222" s="1" t="s">
        <v>295</v>
      </c>
      <c r="B1222" s="1" t="s">
        <v>5173</v>
      </c>
      <c r="C1222" s="187" t="n">
        <f aca="false">IFERROR(SUMPRODUCT((IF('SETIEMBRE 2026'!Y6:Y110&lt;&gt;"",'SETIEMBRE 2026'!Y6:Y110,'SETIEMBRE 2026'!I6:I110)="COCABAMBA")*('SETIEMBRE 2026'!K6:K110="PETROLEO")*'SETIEMBRE 2026'!M6:M110),0)</f>
        <v>0</v>
      </c>
      <c r="D1222" s="187" t="n">
        <f aca="false">IFERROR(SUMPRODUCT((IF('SETIEMBRE 2026'!Y6:Y110&lt;&gt;"",'SETIEMBRE 2026'!Y6:Y110,'SETIEMBRE 2026'!I6:I110)="COCABAMBA")*('SETIEMBRE 2026'!K6:K110="PETROLEO")*'SETIEMBRE 2026'!N6:N110),0)</f>
        <v>0</v>
      </c>
      <c r="E1222" s="187" t="n">
        <f aca="false">IFERROR(SUMPRODUCT((IF('SETIEMBRE 2026'!Y6:Y110&lt;&gt;"",'SETIEMBRE 2026'!Y6:Y110,'SETIEMBRE 2026'!I6:I110)="COCABAMBA")*('SETIEMBRE 2026'!K6:K110="GASOLINA")*'SETIEMBRE 2026'!M6:M110),0)</f>
        <v>0</v>
      </c>
      <c r="F1222" s="187" t="n">
        <f aca="false">IFERROR(SUMPRODUCT((IF('SETIEMBRE 2026'!Y6:Y110&lt;&gt;"",'SETIEMBRE 2026'!Y6:Y110,'SETIEMBRE 2026'!I6:I110)="COCABAMBA")*('SETIEMBRE 2026'!K6:K110="GASOLINA")*'SETIEMBRE 2026'!N6:N110),0)</f>
        <v>0</v>
      </c>
    </row>
    <row r="1223" customFormat="false" ht="15" hidden="false" customHeight="true" outlineLevel="0" collapsed="false">
      <c r="A1223" s="1" t="s">
        <v>295</v>
      </c>
      <c r="B1223" s="1" t="s">
        <v>5174</v>
      </c>
      <c r="C1223" s="187" t="n">
        <f aca="false">IFERROR(SUMPRODUCT((IF('OCTUBRE 2026'!Y6:Y110&lt;&gt;"",'OCTUBRE 2026'!Y6:Y110,'OCTUBRE 2026'!I6:I110)="COCABAMBA")*('OCTUBRE 2026'!K6:K110="PETROLEO")*'OCTUBRE 2026'!M6:M110),0)</f>
        <v>0</v>
      </c>
      <c r="D1223" s="187" t="n">
        <f aca="false">IFERROR(SUMPRODUCT((IF('OCTUBRE 2026'!Y6:Y110&lt;&gt;"",'OCTUBRE 2026'!Y6:Y110,'OCTUBRE 2026'!I6:I110)="COCABAMBA")*('OCTUBRE 2026'!K6:K110="PETROLEO")*'OCTUBRE 2026'!N6:N110),0)</f>
        <v>0</v>
      </c>
      <c r="E1223" s="187" t="n">
        <f aca="false">IFERROR(SUMPRODUCT((IF('OCTUBRE 2026'!Y6:Y110&lt;&gt;"",'OCTUBRE 2026'!Y6:Y110,'OCTUBRE 2026'!I6:I110)="COCABAMBA")*('OCTUBRE 2026'!K6:K110="GASOLINA")*'OCTUBRE 2026'!M6:M110),0)</f>
        <v>0</v>
      </c>
      <c r="F1223" s="187" t="n">
        <f aca="false">IFERROR(SUMPRODUCT((IF('OCTUBRE 2026'!Y6:Y110&lt;&gt;"",'OCTUBRE 2026'!Y6:Y110,'OCTUBRE 2026'!I6:I110)="COCABAMBA")*('OCTUBRE 2026'!K6:K110="GASOLINA")*'OCTUBRE 2026'!N6:N110),0)</f>
        <v>0</v>
      </c>
    </row>
    <row r="1224" customFormat="false" ht="15" hidden="false" customHeight="true" outlineLevel="0" collapsed="false">
      <c r="A1224" s="1" t="s">
        <v>295</v>
      </c>
      <c r="B1224" s="1" t="s">
        <v>5175</v>
      </c>
      <c r="C1224" s="187" t="n">
        <f aca="false">IFERROR(SUMPRODUCT((IF('NOVIEMBRE 2026'!Y6:Y110&lt;&gt;"",'NOVIEMBRE 2026'!Y6:Y110,'NOVIEMBRE 2026'!I6:I110)="COCABAMBA")*('NOVIEMBRE 2026'!K6:K110="PETROLEO")*'NOVIEMBRE 2026'!M6:M110),0)</f>
        <v>0</v>
      </c>
      <c r="D1224" s="187" t="n">
        <f aca="false">IFERROR(SUMPRODUCT((IF('NOVIEMBRE 2026'!Y6:Y110&lt;&gt;"",'NOVIEMBRE 2026'!Y6:Y110,'NOVIEMBRE 2026'!I6:I110)="COCABAMBA")*('NOVIEMBRE 2026'!K6:K110="PETROLEO")*'NOVIEMBRE 2026'!N6:N110),0)</f>
        <v>0</v>
      </c>
      <c r="E1224" s="187" t="n">
        <f aca="false">IFERROR(SUMPRODUCT((IF('NOVIEMBRE 2026'!Y6:Y110&lt;&gt;"",'NOVIEMBRE 2026'!Y6:Y110,'NOVIEMBRE 2026'!I6:I110)="COCABAMBA")*('NOVIEMBRE 2026'!K6:K110="GASOLINA")*'NOVIEMBRE 2026'!M6:M110),0)</f>
        <v>0</v>
      </c>
      <c r="F1224" s="187" t="n">
        <f aca="false">IFERROR(SUMPRODUCT((IF('NOVIEMBRE 2026'!Y6:Y110&lt;&gt;"",'NOVIEMBRE 2026'!Y6:Y110,'NOVIEMBRE 2026'!I6:I110)="COCABAMBA")*('NOVIEMBRE 2026'!K6:K110="GASOLINA")*'NOVIEMBRE 2026'!N6:N110),0)</f>
        <v>0</v>
      </c>
    </row>
    <row r="1225" customFormat="false" ht="15" hidden="false" customHeight="true" outlineLevel="0" collapsed="false">
      <c r="A1225" s="1" t="s">
        <v>295</v>
      </c>
      <c r="B1225" s="1" t="s">
        <v>5176</v>
      </c>
      <c r="C1225" s="187" t="n">
        <f aca="false">IFERROR(SUMPRODUCT((IF('DICIEMBRE 2026'!Y6:Y110&lt;&gt;"",'DICIEMBRE 2026'!Y6:Y110,'DICIEMBRE 2026'!I6:I110)="COCABAMBA")*('DICIEMBRE 2026'!K6:K110="PETROLEO")*'DICIEMBRE 2026'!M6:M110),0)</f>
        <v>0</v>
      </c>
      <c r="D1225" s="187" t="n">
        <f aca="false">IFERROR(SUMPRODUCT((IF('DICIEMBRE 2026'!Y6:Y110&lt;&gt;"",'DICIEMBRE 2026'!Y6:Y110,'DICIEMBRE 2026'!I6:I110)="COCABAMBA")*('DICIEMBRE 2026'!K6:K110="PETROLEO")*'DICIEMBRE 2026'!N6:N110),0)</f>
        <v>0</v>
      </c>
      <c r="E1225" s="187" t="n">
        <f aca="false">IFERROR(SUMPRODUCT((IF('DICIEMBRE 2026'!Y6:Y110&lt;&gt;"",'DICIEMBRE 2026'!Y6:Y110,'DICIEMBRE 2026'!I6:I110)="COCABAMBA")*('DICIEMBRE 2026'!K6:K110="GASOLINA")*'DICIEMBRE 2026'!M6:M110),0)</f>
        <v>0</v>
      </c>
      <c r="F1225" s="187" t="n">
        <f aca="false">IFERROR(SUMPRODUCT((IF('DICIEMBRE 2026'!Y6:Y110&lt;&gt;"",'DICIEMBRE 2026'!Y6:Y110,'DICIEMBRE 2026'!I6:I110)="COCABAMBA")*('DICIEMBRE 2026'!K6:K110="GASOLINA")*'DICIEMBRE 2026'!N6:N110),0)</f>
        <v>0</v>
      </c>
    </row>
    <row r="1226" customFormat="false" ht="15" hidden="false" customHeight="true" outlineLevel="0" collapsed="false">
      <c r="A1226" s="1" t="s">
        <v>311</v>
      </c>
      <c r="B1226" s="1" t="s">
        <v>5165</v>
      </c>
      <c r="C1226" s="187" t="n">
        <f aca="false">IFERROR(SUMPRODUCT((IF('ENERO 2026'!Y6:Y119&lt;&gt;"",'ENERO 2026'!Y6:Y119,'ENERO 2026'!I6:I119)="COCOCHO")*('ENERO 2026'!K6:K119="PETROLEO")*'ENERO 2026'!M6:M119),0)</f>
        <v>0</v>
      </c>
      <c r="D1226" s="187" t="n">
        <f aca="false">IFERROR(SUMPRODUCT((IF('ENERO 2026'!Y6:Y119&lt;&gt;"",'ENERO 2026'!Y6:Y119,'ENERO 2026'!I6:I119)="COCOCHO")*('ENERO 2026'!K6:K119="PETROLEO")*'ENERO 2026'!N6:N119),0)</f>
        <v>0</v>
      </c>
      <c r="E1226" s="187" t="n">
        <f aca="false">IFERROR(SUMPRODUCT((IF('ENERO 2026'!Y6:Y119&lt;&gt;"",'ENERO 2026'!Y6:Y119,'ENERO 2026'!I6:I119)="COCOCHO")*('ENERO 2026'!K6:K119="GASOLINA")*'ENERO 2026'!M6:M119),0)</f>
        <v>0</v>
      </c>
      <c r="F1226" s="187" t="n">
        <f aca="false">IFERROR(SUMPRODUCT((IF('ENERO 2026'!Y6:Y119&lt;&gt;"",'ENERO 2026'!Y6:Y119,'ENERO 2026'!I6:I119)="COCOCHO")*('ENERO 2026'!K6:K119="GASOLINA")*'ENERO 2026'!N6:N119),0)</f>
        <v>0</v>
      </c>
    </row>
    <row r="1227" customFormat="false" ht="15" hidden="false" customHeight="true" outlineLevel="0" collapsed="false">
      <c r="A1227" s="1" t="s">
        <v>311</v>
      </c>
      <c r="B1227" s="1" t="s">
        <v>5166</v>
      </c>
      <c r="C1227" s="187" t="n">
        <f aca="false">IFERROR(SUMPRODUCT((IF('FEBRERO 2026'!Y6:Y124&lt;&gt;"",'FEBRERO 2026'!Y6:Y124,'FEBRERO 2026'!I6:I124)="COCOCHO")*('FEBRERO 2026'!K6:K124="PETROLEO")*'FEBRERO 2026'!M6:M124),0)</f>
        <v>20</v>
      </c>
      <c r="D1227" s="187" t="n">
        <f aca="false">IFERROR(SUMPRODUCT((IF('FEBRERO 2026'!Y6:Y124&lt;&gt;"",'FEBRERO 2026'!Y6:Y124,'FEBRERO 2026'!I6:I124)="COCOCHO")*('FEBRERO 2026'!K6:K124="PETROLEO")*'FEBRERO 2026'!N6:N124),0)</f>
        <v>363.6</v>
      </c>
      <c r="E1227" s="187" t="n">
        <f aca="false">IFERROR(SUMPRODUCT((IF('FEBRERO 2026'!Y6:Y124&lt;&gt;"",'FEBRERO 2026'!Y6:Y124,'FEBRERO 2026'!I6:I124)="COCOCHO")*('FEBRERO 2026'!K6:K124="GASOLINA")*'FEBRERO 2026'!M6:M124),0)</f>
        <v>0</v>
      </c>
      <c r="F1227" s="187" t="n">
        <f aca="false">IFERROR(SUMPRODUCT((IF('FEBRERO 2026'!Y6:Y124&lt;&gt;"",'FEBRERO 2026'!Y6:Y124,'FEBRERO 2026'!I6:I124)="COCOCHO")*('FEBRERO 2026'!K6:K124="GASOLINA")*'FEBRERO 2026'!N6:N124),0)</f>
        <v>0</v>
      </c>
    </row>
    <row r="1228" customFormat="false" ht="15" hidden="false" customHeight="true" outlineLevel="0" collapsed="false">
      <c r="A1228" s="1" t="s">
        <v>311</v>
      </c>
      <c r="B1228" s="1" t="s">
        <v>5167</v>
      </c>
      <c r="C1228" s="187" t="n">
        <f aca="false">IFERROR(SUMPRODUCT((IF('MARZO 2026'!Y6:Y119&lt;&gt;"",'MARZO 2026'!Y6:Y119,'MARZO 2026'!I6:I119)="COCOCHO")*('MARZO 2026'!K6:K119="PETROLEO")*'MARZO 2026'!M6:M119),0)</f>
        <v>42</v>
      </c>
      <c r="D1228" s="187" t="n">
        <f aca="false">IFERROR(SUMPRODUCT((IF('MARZO 2026'!Y6:Y119&lt;&gt;"",'MARZO 2026'!Y6:Y119,'MARZO 2026'!I6:I119)="COCOCHO")*('MARZO 2026'!K6:K119="PETROLEO")*'MARZO 2026'!N6:N119),0)</f>
        <v>0</v>
      </c>
      <c r="E1228" s="187" t="n">
        <f aca="false">IFERROR(SUMPRODUCT((IF('MARZO 2026'!Y6:Y119&lt;&gt;"",'MARZO 2026'!Y6:Y119,'MARZO 2026'!I6:I119)="COCOCHO")*('MARZO 2026'!K6:K119="GASOLINA")*'MARZO 2026'!M6:M119),0)</f>
        <v>0</v>
      </c>
      <c r="F1228" s="187" t="n">
        <f aca="false">IFERROR(SUMPRODUCT((IF('MARZO 2026'!Y6:Y119&lt;&gt;"",'MARZO 2026'!Y6:Y119,'MARZO 2026'!I6:I119)="COCOCHO")*('MARZO 2026'!K6:K119="GASOLINA")*'MARZO 2026'!N6:N119),0)</f>
        <v>0</v>
      </c>
    </row>
    <row r="1229" customFormat="false" ht="15" hidden="false" customHeight="true" outlineLevel="0" collapsed="false">
      <c r="A1229" s="1" t="s">
        <v>311</v>
      </c>
      <c r="B1229" s="1" t="s">
        <v>5168</v>
      </c>
      <c r="C1229" s="187" t="n">
        <f aca="false">IFERROR(SUMPRODUCT((IF('ABRIL 2026'!Y6:Y119&lt;&gt;"",'ABRIL 2026'!Y6:Y119,'ABRIL 2026'!I6:I119)="COCOCHO")*('ABRIL 2026'!K6:K119="PETROLEO")*'ABRIL 2026'!M6:M119),0)</f>
        <v>0</v>
      </c>
      <c r="D1229" s="187" t="n">
        <f aca="false">IFERROR(SUMPRODUCT((IF('ABRIL 2026'!Y6:Y119&lt;&gt;"",'ABRIL 2026'!Y6:Y119,'ABRIL 2026'!I6:I119)="COCOCHO")*('ABRIL 2026'!K6:K119="PETROLEO")*'ABRIL 2026'!N6:N119),0)</f>
        <v>0</v>
      </c>
      <c r="E1229" s="187" t="n">
        <f aca="false">IFERROR(SUMPRODUCT((IF('ABRIL 2026'!Y6:Y119&lt;&gt;"",'ABRIL 2026'!Y6:Y119,'ABRIL 2026'!I6:I119)="COCOCHO")*('ABRIL 2026'!K6:K119="GASOLINA")*'ABRIL 2026'!M6:M119),0)</f>
        <v>0</v>
      </c>
      <c r="F1229" s="187" t="n">
        <f aca="false">IFERROR(SUMPRODUCT((IF('ABRIL 2026'!Y6:Y119&lt;&gt;"",'ABRIL 2026'!Y6:Y119,'ABRIL 2026'!I6:I119)="COCOCHO")*('ABRIL 2026'!K6:K119="GASOLINA")*'ABRIL 2026'!N6:N119),0)</f>
        <v>0</v>
      </c>
    </row>
    <row r="1230" customFormat="false" ht="15" hidden="false" customHeight="true" outlineLevel="0" collapsed="false">
      <c r="A1230" s="1" t="s">
        <v>311</v>
      </c>
      <c r="B1230" s="1" t="s">
        <v>5169</v>
      </c>
      <c r="C1230" s="187" t="n">
        <f aca="false">IFERROR(SUMPRODUCT((IF('MAYO 2026'!Y6:Y110&lt;&gt;"",'MAYO 2026'!Y6:Y110,'MAYO 2026'!I6:I110)="COCOCHO")*('MAYO 2026'!K6:K110="PETROLEO")*'MAYO 2026'!M6:M110),0)</f>
        <v>0</v>
      </c>
      <c r="D1230" s="187" t="n">
        <f aca="false">IFERROR(SUMPRODUCT((IF('MAYO 2026'!Y6:Y110&lt;&gt;"",'MAYO 2026'!Y6:Y110,'MAYO 2026'!I6:I110)="COCOCHO")*('MAYO 2026'!K6:K110="PETROLEO")*'MAYO 2026'!N6:N110),0)</f>
        <v>0</v>
      </c>
      <c r="E1230" s="187" t="n">
        <f aca="false">IFERROR(SUMPRODUCT((IF('MAYO 2026'!Y6:Y110&lt;&gt;"",'MAYO 2026'!Y6:Y110,'MAYO 2026'!I6:I110)="COCOCHO")*('MAYO 2026'!K6:K110="GASOLINA")*'MAYO 2026'!M6:M110),0)</f>
        <v>0</v>
      </c>
      <c r="F1230" s="187" t="n">
        <f aca="false">IFERROR(SUMPRODUCT((IF('MAYO 2026'!Y6:Y110&lt;&gt;"",'MAYO 2026'!Y6:Y110,'MAYO 2026'!I6:I110)="COCOCHO")*('MAYO 2026'!K6:K110="GASOLINA")*'MAYO 2026'!N6:N110),0)</f>
        <v>0</v>
      </c>
    </row>
    <row r="1231" customFormat="false" ht="15" hidden="false" customHeight="true" outlineLevel="0" collapsed="false">
      <c r="A1231" s="1" t="s">
        <v>311</v>
      </c>
      <c r="B1231" s="1" t="s">
        <v>5170</v>
      </c>
      <c r="C1231" s="187" t="n">
        <f aca="false">IFERROR(SUMPRODUCT((IF('JUNIO 2026'!Y6:Y110&lt;&gt;"",'JUNIO 2026'!Y6:Y110,'JUNIO 2026'!I6:I110)="COCOCHO")*('JUNIO 2026'!K6:K110="PETROLEO")*'JUNIO 2026'!M6:M110),0)</f>
        <v>0</v>
      </c>
      <c r="D1231" s="187" t="n">
        <f aca="false">IFERROR(SUMPRODUCT((IF('JUNIO 2026'!Y6:Y110&lt;&gt;"",'JUNIO 2026'!Y6:Y110,'JUNIO 2026'!I6:I110)="COCOCHO")*('JUNIO 2026'!K6:K110="PETROLEO")*'JUNIO 2026'!N6:N110),0)</f>
        <v>0</v>
      </c>
      <c r="E1231" s="187" t="n">
        <f aca="false">IFERROR(SUMPRODUCT((IF('JUNIO 2026'!Y6:Y110&lt;&gt;"",'JUNIO 2026'!Y6:Y110,'JUNIO 2026'!I6:I110)="COCOCHO")*('JUNIO 2026'!K6:K110="GASOLINA")*'JUNIO 2026'!M6:M110),0)</f>
        <v>0</v>
      </c>
      <c r="F1231" s="187" t="n">
        <f aca="false">IFERROR(SUMPRODUCT((IF('JUNIO 2026'!Y6:Y110&lt;&gt;"",'JUNIO 2026'!Y6:Y110,'JUNIO 2026'!I6:I110)="COCOCHO")*('JUNIO 2026'!K6:K110="GASOLINA")*'JUNIO 2026'!N6:N110),0)</f>
        <v>0</v>
      </c>
    </row>
    <row r="1232" customFormat="false" ht="15" hidden="false" customHeight="true" outlineLevel="0" collapsed="false">
      <c r="A1232" s="1" t="s">
        <v>311</v>
      </c>
      <c r="B1232" s="1" t="s">
        <v>5171</v>
      </c>
      <c r="C1232" s="187" t="n">
        <f aca="false">IFERROR(SUMPRODUCT((IF('JULIO 2026'!Y6:Y110&lt;&gt;"",'JULIO 2026'!Y6:Y110,'JULIO 2026'!I6:I110)="COCOCHO")*('JULIO 2026'!K6:K110="PETROLEO")*'JULIO 2026'!M6:M110),0)</f>
        <v>0</v>
      </c>
      <c r="D1232" s="187" t="n">
        <f aca="false">IFERROR(SUMPRODUCT((IF('JULIO 2026'!Y6:Y110&lt;&gt;"",'JULIO 2026'!Y6:Y110,'JULIO 2026'!I6:I110)="COCOCHO")*('JULIO 2026'!K6:K110="PETROLEO")*'JULIO 2026'!N6:N110),0)</f>
        <v>0</v>
      </c>
      <c r="E1232" s="187" t="n">
        <f aca="false">IFERROR(SUMPRODUCT((IF('JULIO 2026'!Y6:Y110&lt;&gt;"",'JULIO 2026'!Y6:Y110,'JULIO 2026'!I6:I110)="COCOCHO")*('JULIO 2026'!K6:K110="GASOLINA")*'JULIO 2026'!M6:M110),0)</f>
        <v>0</v>
      </c>
      <c r="F1232" s="187" t="n">
        <f aca="false">IFERROR(SUMPRODUCT((IF('JULIO 2026'!Y6:Y110&lt;&gt;"",'JULIO 2026'!Y6:Y110,'JULIO 2026'!I6:I110)="COCOCHO")*('JULIO 2026'!K6:K110="GASOLINA")*'JULIO 2026'!N6:N110),0)</f>
        <v>0</v>
      </c>
    </row>
    <row r="1233" customFormat="false" ht="15" hidden="false" customHeight="true" outlineLevel="0" collapsed="false">
      <c r="A1233" s="1" t="s">
        <v>311</v>
      </c>
      <c r="B1233" s="1" t="s">
        <v>5172</v>
      </c>
      <c r="C1233" s="187" t="n">
        <f aca="false">IFERROR(SUMPRODUCT((IF('AGOSTO 2026'!Y6:Y110&lt;&gt;"",'AGOSTO 2026'!Y6:Y110,'AGOSTO 2026'!I6:I110)="COCOCHO")*('AGOSTO 2026'!K6:K110="PETROLEO")*'AGOSTO 2026'!M6:M110),0)</f>
        <v>0</v>
      </c>
      <c r="D1233" s="187" t="n">
        <f aca="false">IFERROR(SUMPRODUCT((IF('AGOSTO 2026'!Y6:Y110&lt;&gt;"",'AGOSTO 2026'!Y6:Y110,'AGOSTO 2026'!I6:I110)="COCOCHO")*('AGOSTO 2026'!K6:K110="PETROLEO")*'AGOSTO 2026'!N6:N110),0)</f>
        <v>0</v>
      </c>
      <c r="E1233" s="187" t="n">
        <f aca="false">IFERROR(SUMPRODUCT((IF('AGOSTO 2026'!Y6:Y110&lt;&gt;"",'AGOSTO 2026'!Y6:Y110,'AGOSTO 2026'!I6:I110)="COCOCHO")*('AGOSTO 2026'!K6:K110="GASOLINA")*'AGOSTO 2026'!M6:M110),0)</f>
        <v>0</v>
      </c>
      <c r="F1233" s="187" t="n">
        <f aca="false">IFERROR(SUMPRODUCT((IF('AGOSTO 2026'!Y6:Y110&lt;&gt;"",'AGOSTO 2026'!Y6:Y110,'AGOSTO 2026'!I6:I110)="COCOCHO")*('AGOSTO 2026'!K6:K110="GASOLINA")*'AGOSTO 2026'!N6:N110),0)</f>
        <v>0</v>
      </c>
    </row>
    <row r="1234" customFormat="false" ht="15" hidden="false" customHeight="true" outlineLevel="0" collapsed="false">
      <c r="A1234" s="1" t="s">
        <v>311</v>
      </c>
      <c r="B1234" s="1" t="s">
        <v>5173</v>
      </c>
      <c r="C1234" s="187" t="n">
        <f aca="false">IFERROR(SUMPRODUCT((IF('SETIEMBRE 2026'!Y6:Y110&lt;&gt;"",'SETIEMBRE 2026'!Y6:Y110,'SETIEMBRE 2026'!I6:I110)="COCOCHO")*('SETIEMBRE 2026'!K6:K110="PETROLEO")*'SETIEMBRE 2026'!M6:M110),0)</f>
        <v>0</v>
      </c>
      <c r="D1234" s="187" t="n">
        <f aca="false">IFERROR(SUMPRODUCT((IF('SETIEMBRE 2026'!Y6:Y110&lt;&gt;"",'SETIEMBRE 2026'!Y6:Y110,'SETIEMBRE 2026'!I6:I110)="COCOCHO")*('SETIEMBRE 2026'!K6:K110="PETROLEO")*'SETIEMBRE 2026'!N6:N110),0)</f>
        <v>0</v>
      </c>
      <c r="E1234" s="187" t="n">
        <f aca="false">IFERROR(SUMPRODUCT((IF('SETIEMBRE 2026'!Y6:Y110&lt;&gt;"",'SETIEMBRE 2026'!Y6:Y110,'SETIEMBRE 2026'!I6:I110)="COCOCHO")*('SETIEMBRE 2026'!K6:K110="GASOLINA")*'SETIEMBRE 2026'!M6:M110),0)</f>
        <v>0</v>
      </c>
      <c r="F1234" s="187" t="n">
        <f aca="false">IFERROR(SUMPRODUCT((IF('SETIEMBRE 2026'!Y6:Y110&lt;&gt;"",'SETIEMBRE 2026'!Y6:Y110,'SETIEMBRE 2026'!I6:I110)="COCOCHO")*('SETIEMBRE 2026'!K6:K110="GASOLINA")*'SETIEMBRE 2026'!N6:N110),0)</f>
        <v>0</v>
      </c>
    </row>
    <row r="1235" customFormat="false" ht="15" hidden="false" customHeight="true" outlineLevel="0" collapsed="false">
      <c r="A1235" s="1" t="s">
        <v>311</v>
      </c>
      <c r="B1235" s="1" t="s">
        <v>5174</v>
      </c>
      <c r="C1235" s="187" t="n">
        <f aca="false">IFERROR(SUMPRODUCT((IF('OCTUBRE 2026'!Y6:Y110&lt;&gt;"",'OCTUBRE 2026'!Y6:Y110,'OCTUBRE 2026'!I6:I110)="COCOCHO")*('OCTUBRE 2026'!K6:K110="PETROLEO")*'OCTUBRE 2026'!M6:M110),0)</f>
        <v>0</v>
      </c>
      <c r="D1235" s="187" t="n">
        <f aca="false">IFERROR(SUMPRODUCT((IF('OCTUBRE 2026'!Y6:Y110&lt;&gt;"",'OCTUBRE 2026'!Y6:Y110,'OCTUBRE 2026'!I6:I110)="COCOCHO")*('OCTUBRE 2026'!K6:K110="PETROLEO")*'OCTUBRE 2026'!N6:N110),0)</f>
        <v>0</v>
      </c>
      <c r="E1235" s="187" t="n">
        <f aca="false">IFERROR(SUMPRODUCT((IF('OCTUBRE 2026'!Y6:Y110&lt;&gt;"",'OCTUBRE 2026'!Y6:Y110,'OCTUBRE 2026'!I6:I110)="COCOCHO")*('OCTUBRE 2026'!K6:K110="GASOLINA")*'OCTUBRE 2026'!M6:M110),0)</f>
        <v>0</v>
      </c>
      <c r="F1235" s="187" t="n">
        <f aca="false">IFERROR(SUMPRODUCT((IF('OCTUBRE 2026'!Y6:Y110&lt;&gt;"",'OCTUBRE 2026'!Y6:Y110,'OCTUBRE 2026'!I6:I110)="COCOCHO")*('OCTUBRE 2026'!K6:K110="GASOLINA")*'OCTUBRE 2026'!N6:N110),0)</f>
        <v>0</v>
      </c>
    </row>
    <row r="1236" customFormat="false" ht="15" hidden="false" customHeight="true" outlineLevel="0" collapsed="false">
      <c r="A1236" s="1" t="s">
        <v>311</v>
      </c>
      <c r="B1236" s="1" t="s">
        <v>5175</v>
      </c>
      <c r="C1236" s="187" t="n">
        <f aca="false">IFERROR(SUMPRODUCT((IF('NOVIEMBRE 2026'!Y6:Y110&lt;&gt;"",'NOVIEMBRE 2026'!Y6:Y110,'NOVIEMBRE 2026'!I6:I110)="COCOCHO")*('NOVIEMBRE 2026'!K6:K110="PETROLEO")*'NOVIEMBRE 2026'!M6:M110),0)</f>
        <v>0</v>
      </c>
      <c r="D1236" s="187" t="n">
        <f aca="false">IFERROR(SUMPRODUCT((IF('NOVIEMBRE 2026'!Y6:Y110&lt;&gt;"",'NOVIEMBRE 2026'!Y6:Y110,'NOVIEMBRE 2026'!I6:I110)="COCOCHO")*('NOVIEMBRE 2026'!K6:K110="PETROLEO")*'NOVIEMBRE 2026'!N6:N110),0)</f>
        <v>0</v>
      </c>
      <c r="E1236" s="187" t="n">
        <f aca="false">IFERROR(SUMPRODUCT((IF('NOVIEMBRE 2026'!Y6:Y110&lt;&gt;"",'NOVIEMBRE 2026'!Y6:Y110,'NOVIEMBRE 2026'!I6:I110)="COCOCHO")*('NOVIEMBRE 2026'!K6:K110="GASOLINA")*'NOVIEMBRE 2026'!M6:M110),0)</f>
        <v>0</v>
      </c>
      <c r="F1236" s="187" t="n">
        <f aca="false">IFERROR(SUMPRODUCT((IF('NOVIEMBRE 2026'!Y6:Y110&lt;&gt;"",'NOVIEMBRE 2026'!Y6:Y110,'NOVIEMBRE 2026'!I6:I110)="COCOCHO")*('NOVIEMBRE 2026'!K6:K110="GASOLINA")*'NOVIEMBRE 2026'!N6:N110),0)</f>
        <v>0</v>
      </c>
    </row>
    <row r="1237" customFormat="false" ht="15" hidden="false" customHeight="true" outlineLevel="0" collapsed="false">
      <c r="A1237" s="1" t="s">
        <v>311</v>
      </c>
      <c r="B1237" s="1" t="s">
        <v>5176</v>
      </c>
      <c r="C1237" s="187" t="n">
        <f aca="false">IFERROR(SUMPRODUCT((IF('DICIEMBRE 2026'!Y6:Y110&lt;&gt;"",'DICIEMBRE 2026'!Y6:Y110,'DICIEMBRE 2026'!I6:I110)="COCOCHO")*('DICIEMBRE 2026'!K6:K110="PETROLEO")*'DICIEMBRE 2026'!M6:M110),0)</f>
        <v>0</v>
      </c>
      <c r="D1237" s="187" t="n">
        <f aca="false">IFERROR(SUMPRODUCT((IF('DICIEMBRE 2026'!Y6:Y110&lt;&gt;"",'DICIEMBRE 2026'!Y6:Y110,'DICIEMBRE 2026'!I6:I110)="COCOCHO")*('DICIEMBRE 2026'!K6:K110="PETROLEO")*'DICIEMBRE 2026'!N6:N110),0)</f>
        <v>0</v>
      </c>
      <c r="E1237" s="187" t="n">
        <f aca="false">IFERROR(SUMPRODUCT((IF('DICIEMBRE 2026'!Y6:Y110&lt;&gt;"",'DICIEMBRE 2026'!Y6:Y110,'DICIEMBRE 2026'!I6:I110)="COCOCHO")*('DICIEMBRE 2026'!K6:K110="GASOLINA")*'DICIEMBRE 2026'!M6:M110),0)</f>
        <v>0</v>
      </c>
      <c r="F1237" s="187" t="n">
        <f aca="false">IFERROR(SUMPRODUCT((IF('DICIEMBRE 2026'!Y6:Y110&lt;&gt;"",'DICIEMBRE 2026'!Y6:Y110,'DICIEMBRE 2026'!I6:I110)="COCOCHO")*('DICIEMBRE 2026'!K6:K110="GASOLINA")*'DICIEMBRE 2026'!N6:N110),0)</f>
        <v>0</v>
      </c>
    </row>
    <row r="1238" customFormat="false" ht="15" hidden="false" customHeight="true" outlineLevel="0" collapsed="false">
      <c r="A1238" s="1" t="s">
        <v>119</v>
      </c>
      <c r="B1238" s="1" t="s">
        <v>5165</v>
      </c>
      <c r="C1238" s="187" t="n">
        <f aca="false">IFERROR(SUMPRODUCT((IF('ENERO 2026'!Y6:Y119&lt;&gt;"",'ENERO 2026'!Y6:Y119,'ENERO 2026'!I6:I119)="COLCAMAR")*('ENERO 2026'!K6:K119="PETROLEO")*'ENERO 2026'!M6:M119),0)</f>
        <v>28</v>
      </c>
      <c r="D1238" s="187" t="n">
        <f aca="false">IFERROR(SUMPRODUCT((IF('ENERO 2026'!Y6:Y119&lt;&gt;"",'ENERO 2026'!Y6:Y119,'ENERO 2026'!I6:I119)="COLCAMAR")*('ENERO 2026'!K6:K119="PETROLEO")*'ENERO 2026'!N6:N119),0)</f>
        <v>0</v>
      </c>
      <c r="E1238" s="187" t="n">
        <f aca="false">IFERROR(SUMPRODUCT((IF('ENERO 2026'!Y6:Y119&lt;&gt;"",'ENERO 2026'!Y6:Y119,'ENERO 2026'!I6:I119)="COLCAMAR")*('ENERO 2026'!K6:K119="GASOLINA")*'ENERO 2026'!M6:M119),0)</f>
        <v>0</v>
      </c>
      <c r="F1238" s="187" t="n">
        <f aca="false">IFERROR(SUMPRODUCT((IF('ENERO 2026'!Y6:Y119&lt;&gt;"",'ENERO 2026'!Y6:Y119,'ENERO 2026'!I6:I119)="COLCAMAR")*('ENERO 2026'!K6:K119="GASOLINA")*'ENERO 2026'!N6:N119),0)</f>
        <v>0</v>
      </c>
    </row>
    <row r="1239" customFormat="false" ht="15" hidden="false" customHeight="true" outlineLevel="0" collapsed="false">
      <c r="A1239" s="1" t="s">
        <v>119</v>
      </c>
      <c r="B1239" s="1" t="s">
        <v>5166</v>
      </c>
      <c r="C1239" s="187" t="n">
        <f aca="false">IFERROR(SUMPRODUCT((IF('FEBRERO 2026'!Y6:Y124&lt;&gt;"",'FEBRERO 2026'!Y6:Y124,'FEBRERO 2026'!I6:I124)="COLCAMAR")*('FEBRERO 2026'!K6:K124="PETROLEO")*'FEBRERO 2026'!M6:M124),0)</f>
        <v>0</v>
      </c>
      <c r="D1239" s="187" t="n">
        <f aca="false">IFERROR(SUMPRODUCT((IF('FEBRERO 2026'!Y6:Y124&lt;&gt;"",'FEBRERO 2026'!Y6:Y124,'FEBRERO 2026'!I6:I124)="COLCAMAR")*('FEBRERO 2026'!K6:K124="PETROLEO")*'FEBRERO 2026'!N6:N124),0)</f>
        <v>0</v>
      </c>
      <c r="E1239" s="187" t="n">
        <f aca="false">IFERROR(SUMPRODUCT((IF('FEBRERO 2026'!Y6:Y124&lt;&gt;"",'FEBRERO 2026'!Y6:Y124,'FEBRERO 2026'!I6:I124)="COLCAMAR")*('FEBRERO 2026'!K6:K124="GASOLINA")*'FEBRERO 2026'!M6:M124),0)</f>
        <v>0</v>
      </c>
      <c r="F1239" s="187" t="n">
        <f aca="false">IFERROR(SUMPRODUCT((IF('FEBRERO 2026'!Y6:Y124&lt;&gt;"",'FEBRERO 2026'!Y6:Y124,'FEBRERO 2026'!I6:I124)="COLCAMAR")*('FEBRERO 2026'!K6:K124="GASOLINA")*'FEBRERO 2026'!N6:N124),0)</f>
        <v>0</v>
      </c>
    </row>
    <row r="1240" customFormat="false" ht="15" hidden="false" customHeight="true" outlineLevel="0" collapsed="false">
      <c r="A1240" s="1" t="s">
        <v>119</v>
      </c>
      <c r="B1240" s="1" t="s">
        <v>5167</v>
      </c>
      <c r="C1240" s="187" t="n">
        <f aca="false">IFERROR(SUMPRODUCT((IF('MARZO 2026'!Y6:Y119&lt;&gt;"",'MARZO 2026'!Y6:Y119,'MARZO 2026'!I6:I119)="COLCAMAR")*('MARZO 2026'!K6:K119="PETROLEO")*'MARZO 2026'!M6:M119),0)</f>
        <v>0</v>
      </c>
      <c r="D1240" s="187" t="n">
        <f aca="false">IFERROR(SUMPRODUCT((IF('MARZO 2026'!Y6:Y119&lt;&gt;"",'MARZO 2026'!Y6:Y119,'MARZO 2026'!I6:I119)="COLCAMAR")*('MARZO 2026'!K6:K119="PETROLEO")*'MARZO 2026'!N6:N119),0)</f>
        <v>0</v>
      </c>
      <c r="E1240" s="187" t="n">
        <f aca="false">IFERROR(SUMPRODUCT((IF('MARZO 2026'!Y6:Y119&lt;&gt;"",'MARZO 2026'!Y6:Y119,'MARZO 2026'!I6:I119)="COLCAMAR")*('MARZO 2026'!K6:K119="GASOLINA")*'MARZO 2026'!M6:M119),0)</f>
        <v>0</v>
      </c>
      <c r="F1240" s="187" t="n">
        <f aca="false">IFERROR(SUMPRODUCT((IF('MARZO 2026'!Y6:Y119&lt;&gt;"",'MARZO 2026'!Y6:Y119,'MARZO 2026'!I6:I119)="COLCAMAR")*('MARZO 2026'!K6:K119="GASOLINA")*'MARZO 2026'!N6:N119),0)</f>
        <v>0</v>
      </c>
    </row>
    <row r="1241" customFormat="false" ht="15" hidden="false" customHeight="true" outlineLevel="0" collapsed="false">
      <c r="A1241" s="1" t="s">
        <v>119</v>
      </c>
      <c r="B1241" s="1" t="s">
        <v>5168</v>
      </c>
      <c r="C1241" s="187" t="n">
        <f aca="false">IFERROR(SUMPRODUCT((IF('ABRIL 2026'!Y6:Y119&lt;&gt;"",'ABRIL 2026'!Y6:Y119,'ABRIL 2026'!I6:I119)="COLCAMAR")*('ABRIL 2026'!K6:K119="PETROLEO")*'ABRIL 2026'!M6:M119),0)</f>
        <v>0</v>
      </c>
      <c r="D1241" s="187" t="n">
        <f aca="false">IFERROR(SUMPRODUCT((IF('ABRIL 2026'!Y6:Y119&lt;&gt;"",'ABRIL 2026'!Y6:Y119,'ABRIL 2026'!I6:I119)="COLCAMAR")*('ABRIL 2026'!K6:K119="PETROLEO")*'ABRIL 2026'!N6:N119),0)</f>
        <v>0</v>
      </c>
      <c r="E1241" s="187" t="n">
        <f aca="false">IFERROR(SUMPRODUCT((IF('ABRIL 2026'!Y6:Y119&lt;&gt;"",'ABRIL 2026'!Y6:Y119,'ABRIL 2026'!I6:I119)="COLCAMAR")*('ABRIL 2026'!K6:K119="GASOLINA")*'ABRIL 2026'!M6:M119),0)</f>
        <v>0</v>
      </c>
      <c r="F1241" s="187" t="n">
        <f aca="false">IFERROR(SUMPRODUCT((IF('ABRIL 2026'!Y6:Y119&lt;&gt;"",'ABRIL 2026'!Y6:Y119,'ABRIL 2026'!I6:I119)="COLCAMAR")*('ABRIL 2026'!K6:K119="GASOLINA")*'ABRIL 2026'!N6:N119),0)</f>
        <v>0</v>
      </c>
    </row>
    <row r="1242" customFormat="false" ht="15" hidden="false" customHeight="true" outlineLevel="0" collapsed="false">
      <c r="A1242" s="1" t="s">
        <v>119</v>
      </c>
      <c r="B1242" s="1" t="s">
        <v>5169</v>
      </c>
      <c r="C1242" s="187" t="n">
        <f aca="false">IFERROR(SUMPRODUCT((IF('MAYO 2026'!Y6:Y110&lt;&gt;"",'MAYO 2026'!Y6:Y110,'MAYO 2026'!I6:I110)="COLCAMAR")*('MAYO 2026'!K6:K110="PETROLEO")*'MAYO 2026'!M6:M110),0)</f>
        <v>0</v>
      </c>
      <c r="D1242" s="187" t="n">
        <f aca="false">IFERROR(SUMPRODUCT((IF('MAYO 2026'!Y6:Y110&lt;&gt;"",'MAYO 2026'!Y6:Y110,'MAYO 2026'!I6:I110)="COLCAMAR")*('MAYO 2026'!K6:K110="PETROLEO")*'MAYO 2026'!N6:N110),0)</f>
        <v>0</v>
      </c>
      <c r="E1242" s="187" t="n">
        <f aca="false">IFERROR(SUMPRODUCT((IF('MAYO 2026'!Y6:Y110&lt;&gt;"",'MAYO 2026'!Y6:Y110,'MAYO 2026'!I6:I110)="COLCAMAR")*('MAYO 2026'!K6:K110="GASOLINA")*'MAYO 2026'!M6:M110),0)</f>
        <v>0</v>
      </c>
      <c r="F1242" s="187" t="n">
        <f aca="false">IFERROR(SUMPRODUCT((IF('MAYO 2026'!Y6:Y110&lt;&gt;"",'MAYO 2026'!Y6:Y110,'MAYO 2026'!I6:I110)="COLCAMAR")*('MAYO 2026'!K6:K110="GASOLINA")*'MAYO 2026'!N6:N110),0)</f>
        <v>0</v>
      </c>
    </row>
    <row r="1243" customFormat="false" ht="15" hidden="false" customHeight="true" outlineLevel="0" collapsed="false">
      <c r="A1243" s="1" t="s">
        <v>119</v>
      </c>
      <c r="B1243" s="1" t="s">
        <v>5170</v>
      </c>
      <c r="C1243" s="187" t="n">
        <f aca="false">IFERROR(SUMPRODUCT((IF('JUNIO 2026'!Y6:Y110&lt;&gt;"",'JUNIO 2026'!Y6:Y110,'JUNIO 2026'!I6:I110)="COLCAMAR")*('JUNIO 2026'!K6:K110="PETROLEO")*'JUNIO 2026'!M6:M110),0)</f>
        <v>0</v>
      </c>
      <c r="D1243" s="187" t="n">
        <f aca="false">IFERROR(SUMPRODUCT((IF('JUNIO 2026'!Y6:Y110&lt;&gt;"",'JUNIO 2026'!Y6:Y110,'JUNIO 2026'!I6:I110)="COLCAMAR")*('JUNIO 2026'!K6:K110="PETROLEO")*'JUNIO 2026'!N6:N110),0)</f>
        <v>0</v>
      </c>
      <c r="E1243" s="187" t="n">
        <f aca="false">IFERROR(SUMPRODUCT((IF('JUNIO 2026'!Y6:Y110&lt;&gt;"",'JUNIO 2026'!Y6:Y110,'JUNIO 2026'!I6:I110)="COLCAMAR")*('JUNIO 2026'!K6:K110="GASOLINA")*'JUNIO 2026'!M6:M110),0)</f>
        <v>0</v>
      </c>
      <c r="F1243" s="187" t="n">
        <f aca="false">IFERROR(SUMPRODUCT((IF('JUNIO 2026'!Y6:Y110&lt;&gt;"",'JUNIO 2026'!Y6:Y110,'JUNIO 2026'!I6:I110)="COLCAMAR")*('JUNIO 2026'!K6:K110="GASOLINA")*'JUNIO 2026'!N6:N110),0)</f>
        <v>0</v>
      </c>
    </row>
    <row r="1244" customFormat="false" ht="15" hidden="false" customHeight="true" outlineLevel="0" collapsed="false">
      <c r="A1244" s="1" t="s">
        <v>119</v>
      </c>
      <c r="B1244" s="1" t="s">
        <v>5171</v>
      </c>
      <c r="C1244" s="187" t="n">
        <f aca="false">IFERROR(SUMPRODUCT((IF('JULIO 2026'!Y6:Y110&lt;&gt;"",'JULIO 2026'!Y6:Y110,'JULIO 2026'!I6:I110)="COLCAMAR")*('JULIO 2026'!K6:K110="PETROLEO")*'JULIO 2026'!M6:M110),0)</f>
        <v>0</v>
      </c>
      <c r="D1244" s="187" t="n">
        <f aca="false">IFERROR(SUMPRODUCT((IF('JULIO 2026'!Y6:Y110&lt;&gt;"",'JULIO 2026'!Y6:Y110,'JULIO 2026'!I6:I110)="COLCAMAR")*('JULIO 2026'!K6:K110="PETROLEO")*'JULIO 2026'!N6:N110),0)</f>
        <v>0</v>
      </c>
      <c r="E1244" s="187" t="n">
        <f aca="false">IFERROR(SUMPRODUCT((IF('JULIO 2026'!Y6:Y110&lt;&gt;"",'JULIO 2026'!Y6:Y110,'JULIO 2026'!I6:I110)="COLCAMAR")*('JULIO 2026'!K6:K110="GASOLINA")*'JULIO 2026'!M6:M110),0)</f>
        <v>0</v>
      </c>
      <c r="F1244" s="187" t="n">
        <f aca="false">IFERROR(SUMPRODUCT((IF('JULIO 2026'!Y6:Y110&lt;&gt;"",'JULIO 2026'!Y6:Y110,'JULIO 2026'!I6:I110)="COLCAMAR")*('JULIO 2026'!K6:K110="GASOLINA")*'JULIO 2026'!N6:N110),0)</f>
        <v>0</v>
      </c>
    </row>
    <row r="1245" customFormat="false" ht="15" hidden="false" customHeight="true" outlineLevel="0" collapsed="false">
      <c r="A1245" s="1" t="s">
        <v>119</v>
      </c>
      <c r="B1245" s="1" t="s">
        <v>5172</v>
      </c>
      <c r="C1245" s="187" t="n">
        <f aca="false">IFERROR(SUMPRODUCT((IF('AGOSTO 2026'!Y6:Y110&lt;&gt;"",'AGOSTO 2026'!Y6:Y110,'AGOSTO 2026'!I6:I110)="COLCAMAR")*('AGOSTO 2026'!K6:K110="PETROLEO")*'AGOSTO 2026'!M6:M110),0)</f>
        <v>0</v>
      </c>
      <c r="D1245" s="187" t="n">
        <f aca="false">IFERROR(SUMPRODUCT((IF('AGOSTO 2026'!Y6:Y110&lt;&gt;"",'AGOSTO 2026'!Y6:Y110,'AGOSTO 2026'!I6:I110)="COLCAMAR")*('AGOSTO 2026'!K6:K110="PETROLEO")*'AGOSTO 2026'!N6:N110),0)</f>
        <v>0</v>
      </c>
      <c r="E1245" s="187" t="n">
        <f aca="false">IFERROR(SUMPRODUCT((IF('AGOSTO 2026'!Y6:Y110&lt;&gt;"",'AGOSTO 2026'!Y6:Y110,'AGOSTO 2026'!I6:I110)="COLCAMAR")*('AGOSTO 2026'!K6:K110="GASOLINA")*'AGOSTO 2026'!M6:M110),0)</f>
        <v>0</v>
      </c>
      <c r="F1245" s="187" t="n">
        <f aca="false">IFERROR(SUMPRODUCT((IF('AGOSTO 2026'!Y6:Y110&lt;&gt;"",'AGOSTO 2026'!Y6:Y110,'AGOSTO 2026'!I6:I110)="COLCAMAR")*('AGOSTO 2026'!K6:K110="GASOLINA")*'AGOSTO 2026'!N6:N110),0)</f>
        <v>0</v>
      </c>
    </row>
    <row r="1246" customFormat="false" ht="15" hidden="false" customHeight="true" outlineLevel="0" collapsed="false">
      <c r="A1246" s="1" t="s">
        <v>119</v>
      </c>
      <c r="B1246" s="1" t="s">
        <v>5173</v>
      </c>
      <c r="C1246" s="187" t="n">
        <f aca="false">IFERROR(SUMPRODUCT((IF('SETIEMBRE 2026'!Y6:Y110&lt;&gt;"",'SETIEMBRE 2026'!Y6:Y110,'SETIEMBRE 2026'!I6:I110)="COLCAMAR")*('SETIEMBRE 2026'!K6:K110="PETROLEO")*'SETIEMBRE 2026'!M6:M110),0)</f>
        <v>0</v>
      </c>
      <c r="D1246" s="187" t="n">
        <f aca="false">IFERROR(SUMPRODUCT((IF('SETIEMBRE 2026'!Y6:Y110&lt;&gt;"",'SETIEMBRE 2026'!Y6:Y110,'SETIEMBRE 2026'!I6:I110)="COLCAMAR")*('SETIEMBRE 2026'!K6:K110="PETROLEO")*'SETIEMBRE 2026'!N6:N110),0)</f>
        <v>0</v>
      </c>
      <c r="E1246" s="187" t="n">
        <f aca="false">IFERROR(SUMPRODUCT((IF('SETIEMBRE 2026'!Y6:Y110&lt;&gt;"",'SETIEMBRE 2026'!Y6:Y110,'SETIEMBRE 2026'!I6:I110)="COLCAMAR")*('SETIEMBRE 2026'!K6:K110="GASOLINA")*'SETIEMBRE 2026'!M6:M110),0)</f>
        <v>0</v>
      </c>
      <c r="F1246" s="187" t="n">
        <f aca="false">IFERROR(SUMPRODUCT((IF('SETIEMBRE 2026'!Y6:Y110&lt;&gt;"",'SETIEMBRE 2026'!Y6:Y110,'SETIEMBRE 2026'!I6:I110)="COLCAMAR")*('SETIEMBRE 2026'!K6:K110="GASOLINA")*'SETIEMBRE 2026'!N6:N110),0)</f>
        <v>0</v>
      </c>
    </row>
    <row r="1247" customFormat="false" ht="15" hidden="false" customHeight="true" outlineLevel="0" collapsed="false">
      <c r="A1247" s="1" t="s">
        <v>119</v>
      </c>
      <c r="B1247" s="1" t="s">
        <v>5174</v>
      </c>
      <c r="C1247" s="187" t="n">
        <f aca="false">IFERROR(SUMPRODUCT((IF('OCTUBRE 2026'!Y6:Y110&lt;&gt;"",'OCTUBRE 2026'!Y6:Y110,'OCTUBRE 2026'!I6:I110)="COLCAMAR")*('OCTUBRE 2026'!K6:K110="PETROLEO")*'OCTUBRE 2026'!M6:M110),0)</f>
        <v>0</v>
      </c>
      <c r="D1247" s="187" t="n">
        <f aca="false">IFERROR(SUMPRODUCT((IF('OCTUBRE 2026'!Y6:Y110&lt;&gt;"",'OCTUBRE 2026'!Y6:Y110,'OCTUBRE 2026'!I6:I110)="COLCAMAR")*('OCTUBRE 2026'!K6:K110="PETROLEO")*'OCTUBRE 2026'!N6:N110),0)</f>
        <v>0</v>
      </c>
      <c r="E1247" s="187" t="n">
        <f aca="false">IFERROR(SUMPRODUCT((IF('OCTUBRE 2026'!Y6:Y110&lt;&gt;"",'OCTUBRE 2026'!Y6:Y110,'OCTUBRE 2026'!I6:I110)="COLCAMAR")*('OCTUBRE 2026'!K6:K110="GASOLINA")*'OCTUBRE 2026'!M6:M110),0)</f>
        <v>0</v>
      </c>
      <c r="F1247" s="187" t="n">
        <f aca="false">IFERROR(SUMPRODUCT((IF('OCTUBRE 2026'!Y6:Y110&lt;&gt;"",'OCTUBRE 2026'!Y6:Y110,'OCTUBRE 2026'!I6:I110)="COLCAMAR")*('OCTUBRE 2026'!K6:K110="GASOLINA")*'OCTUBRE 2026'!N6:N110),0)</f>
        <v>0</v>
      </c>
    </row>
    <row r="1248" customFormat="false" ht="15" hidden="false" customHeight="true" outlineLevel="0" collapsed="false">
      <c r="A1248" s="1" t="s">
        <v>119</v>
      </c>
      <c r="B1248" s="1" t="s">
        <v>5175</v>
      </c>
      <c r="C1248" s="187" t="n">
        <f aca="false">IFERROR(SUMPRODUCT((IF('NOVIEMBRE 2026'!Y6:Y110&lt;&gt;"",'NOVIEMBRE 2026'!Y6:Y110,'NOVIEMBRE 2026'!I6:I110)="COLCAMAR")*('NOVIEMBRE 2026'!K6:K110="PETROLEO")*'NOVIEMBRE 2026'!M6:M110),0)</f>
        <v>0</v>
      </c>
      <c r="D1248" s="187" t="n">
        <f aca="false">IFERROR(SUMPRODUCT((IF('NOVIEMBRE 2026'!Y6:Y110&lt;&gt;"",'NOVIEMBRE 2026'!Y6:Y110,'NOVIEMBRE 2026'!I6:I110)="COLCAMAR")*('NOVIEMBRE 2026'!K6:K110="PETROLEO")*'NOVIEMBRE 2026'!N6:N110),0)</f>
        <v>0</v>
      </c>
      <c r="E1248" s="187" t="n">
        <f aca="false">IFERROR(SUMPRODUCT((IF('NOVIEMBRE 2026'!Y6:Y110&lt;&gt;"",'NOVIEMBRE 2026'!Y6:Y110,'NOVIEMBRE 2026'!I6:I110)="COLCAMAR")*('NOVIEMBRE 2026'!K6:K110="GASOLINA")*'NOVIEMBRE 2026'!M6:M110),0)</f>
        <v>0</v>
      </c>
      <c r="F1248" s="187" t="n">
        <f aca="false">IFERROR(SUMPRODUCT((IF('NOVIEMBRE 2026'!Y6:Y110&lt;&gt;"",'NOVIEMBRE 2026'!Y6:Y110,'NOVIEMBRE 2026'!I6:I110)="COLCAMAR")*('NOVIEMBRE 2026'!K6:K110="GASOLINA")*'NOVIEMBRE 2026'!N6:N110),0)</f>
        <v>0</v>
      </c>
    </row>
    <row r="1249" customFormat="false" ht="15" hidden="false" customHeight="true" outlineLevel="0" collapsed="false">
      <c r="A1249" s="1" t="s">
        <v>119</v>
      </c>
      <c r="B1249" s="1" t="s">
        <v>5176</v>
      </c>
      <c r="C1249" s="187" t="n">
        <f aca="false">IFERROR(SUMPRODUCT((IF('DICIEMBRE 2026'!Y6:Y110&lt;&gt;"",'DICIEMBRE 2026'!Y6:Y110,'DICIEMBRE 2026'!I6:I110)="COLCAMAR")*('DICIEMBRE 2026'!K6:K110="PETROLEO")*'DICIEMBRE 2026'!M6:M110),0)</f>
        <v>0</v>
      </c>
      <c r="D1249" s="187" t="n">
        <f aca="false">IFERROR(SUMPRODUCT((IF('DICIEMBRE 2026'!Y6:Y110&lt;&gt;"",'DICIEMBRE 2026'!Y6:Y110,'DICIEMBRE 2026'!I6:I110)="COLCAMAR")*('DICIEMBRE 2026'!K6:K110="PETROLEO")*'DICIEMBRE 2026'!N6:N110),0)</f>
        <v>0</v>
      </c>
      <c r="E1249" s="187" t="n">
        <f aca="false">IFERROR(SUMPRODUCT((IF('DICIEMBRE 2026'!Y6:Y110&lt;&gt;"",'DICIEMBRE 2026'!Y6:Y110,'DICIEMBRE 2026'!I6:I110)="COLCAMAR")*('DICIEMBRE 2026'!K6:K110="GASOLINA")*'DICIEMBRE 2026'!M6:M110),0)</f>
        <v>0</v>
      </c>
      <c r="F1249" s="187" t="n">
        <f aca="false">IFERROR(SUMPRODUCT((IF('DICIEMBRE 2026'!Y6:Y110&lt;&gt;"",'DICIEMBRE 2026'!Y6:Y110,'DICIEMBRE 2026'!I6:I110)="COLCAMAR")*('DICIEMBRE 2026'!K6:K110="GASOLINA")*'DICIEMBRE 2026'!N6:N110),0)</f>
        <v>0</v>
      </c>
    </row>
    <row r="1250" customFormat="false" ht="15" hidden="false" customHeight="true" outlineLevel="0" collapsed="false">
      <c r="A1250" s="1" t="s">
        <v>44</v>
      </c>
      <c r="B1250" s="1" t="s">
        <v>5165</v>
      </c>
      <c r="C1250" s="187" t="n">
        <f aca="false">IFERROR(SUMPRODUCT((IF('ENERO 2026'!Y6:Y119&lt;&gt;"",'ENERO 2026'!Y6:Y119,'ENERO 2026'!I6:I119)="COLLONCE")*('ENERO 2026'!K6:K119="PETROLEO")*'ENERO 2026'!M6:M119),0)</f>
        <v>80</v>
      </c>
      <c r="D1250" s="187" t="n">
        <f aca="false">IFERROR(SUMPRODUCT((IF('ENERO 2026'!Y6:Y119&lt;&gt;"",'ENERO 2026'!Y6:Y119,'ENERO 2026'!I6:I119)="COLLONCE")*('ENERO 2026'!K6:K119="PETROLEO")*'ENERO 2026'!N6:N119),0)</f>
        <v>0</v>
      </c>
      <c r="E1250" s="187" t="n">
        <f aca="false">IFERROR(SUMPRODUCT((IF('ENERO 2026'!Y6:Y119&lt;&gt;"",'ENERO 2026'!Y6:Y119,'ENERO 2026'!I6:I119)="COLLONCE")*('ENERO 2026'!K6:K119="GASOLINA")*'ENERO 2026'!M6:M119),0)</f>
        <v>0</v>
      </c>
      <c r="F1250" s="187" t="n">
        <f aca="false">IFERROR(SUMPRODUCT((IF('ENERO 2026'!Y6:Y119&lt;&gt;"",'ENERO 2026'!Y6:Y119,'ENERO 2026'!I6:I119)="COLLONCE")*('ENERO 2026'!K6:K119="GASOLINA")*'ENERO 2026'!N6:N119),0)</f>
        <v>0</v>
      </c>
    </row>
    <row r="1251" customFormat="false" ht="15" hidden="false" customHeight="true" outlineLevel="0" collapsed="false">
      <c r="A1251" s="1" t="s">
        <v>44</v>
      </c>
      <c r="B1251" s="1" t="s">
        <v>5166</v>
      </c>
      <c r="C1251" s="187" t="n">
        <f aca="false">IFERROR(SUMPRODUCT((IF('FEBRERO 2026'!Y6:Y124&lt;&gt;"",'FEBRERO 2026'!Y6:Y124,'FEBRERO 2026'!I6:I124)="COLLONCE")*('FEBRERO 2026'!K6:K124="PETROLEO")*'FEBRERO 2026'!M6:M124),0)</f>
        <v>20</v>
      </c>
      <c r="D1251" s="187" t="n">
        <f aca="false">IFERROR(SUMPRODUCT((IF('FEBRERO 2026'!Y6:Y124&lt;&gt;"",'FEBRERO 2026'!Y6:Y124,'FEBRERO 2026'!I6:I124)="COLLONCE")*('FEBRERO 2026'!K6:K124="PETROLEO")*'FEBRERO 2026'!N6:N124),0)</f>
        <v>363.6</v>
      </c>
      <c r="E1251" s="187" t="n">
        <f aca="false">IFERROR(SUMPRODUCT((IF('FEBRERO 2026'!Y6:Y124&lt;&gt;"",'FEBRERO 2026'!Y6:Y124,'FEBRERO 2026'!I6:I124)="COLLONCE")*('FEBRERO 2026'!K6:K124="GASOLINA")*'FEBRERO 2026'!M6:M124),0)</f>
        <v>0</v>
      </c>
      <c r="F1251" s="187" t="n">
        <f aca="false">IFERROR(SUMPRODUCT((IF('FEBRERO 2026'!Y6:Y124&lt;&gt;"",'FEBRERO 2026'!Y6:Y124,'FEBRERO 2026'!I6:I124)="COLLONCE")*('FEBRERO 2026'!K6:K124="GASOLINA")*'FEBRERO 2026'!N6:N124),0)</f>
        <v>0</v>
      </c>
    </row>
    <row r="1252" customFormat="false" ht="15" hidden="false" customHeight="true" outlineLevel="0" collapsed="false">
      <c r="A1252" s="1" t="s">
        <v>44</v>
      </c>
      <c r="B1252" s="1" t="s">
        <v>5167</v>
      </c>
      <c r="C1252" s="187" t="n">
        <f aca="false">IFERROR(SUMPRODUCT((IF('MARZO 2026'!Y6:Y119&lt;&gt;"",'MARZO 2026'!Y6:Y119,'MARZO 2026'!I6:I119)="COLLONCE")*('MARZO 2026'!K6:K119="PETROLEO")*'MARZO 2026'!M6:M119),0)</f>
        <v>0</v>
      </c>
      <c r="D1252" s="187" t="n">
        <f aca="false">IFERROR(SUMPRODUCT((IF('MARZO 2026'!Y6:Y119&lt;&gt;"",'MARZO 2026'!Y6:Y119,'MARZO 2026'!I6:I119)="COLLONCE")*('MARZO 2026'!K6:K119="PETROLEO")*'MARZO 2026'!N6:N119),0)</f>
        <v>0</v>
      </c>
      <c r="E1252" s="187" t="n">
        <f aca="false">IFERROR(SUMPRODUCT((IF('MARZO 2026'!Y6:Y119&lt;&gt;"",'MARZO 2026'!Y6:Y119,'MARZO 2026'!I6:I119)="COLLONCE")*('MARZO 2026'!K6:K119="GASOLINA")*'MARZO 2026'!M6:M119),0)</f>
        <v>0</v>
      </c>
      <c r="F1252" s="187" t="n">
        <f aca="false">IFERROR(SUMPRODUCT((IF('MARZO 2026'!Y6:Y119&lt;&gt;"",'MARZO 2026'!Y6:Y119,'MARZO 2026'!I6:I119)="COLLONCE")*('MARZO 2026'!K6:K119="GASOLINA")*'MARZO 2026'!N6:N119),0)</f>
        <v>0</v>
      </c>
    </row>
    <row r="1253" customFormat="false" ht="15" hidden="false" customHeight="true" outlineLevel="0" collapsed="false">
      <c r="A1253" s="1" t="s">
        <v>44</v>
      </c>
      <c r="B1253" s="1" t="s">
        <v>5168</v>
      </c>
      <c r="C1253" s="187" t="n">
        <f aca="false">IFERROR(SUMPRODUCT((IF('ABRIL 2026'!Y6:Y119&lt;&gt;"",'ABRIL 2026'!Y6:Y119,'ABRIL 2026'!I6:I119)="COLLONCE")*('ABRIL 2026'!K6:K119="PETROLEO")*'ABRIL 2026'!M6:M119),0)</f>
        <v>0</v>
      </c>
      <c r="D1253" s="187" t="n">
        <f aca="false">IFERROR(SUMPRODUCT((IF('ABRIL 2026'!Y6:Y119&lt;&gt;"",'ABRIL 2026'!Y6:Y119,'ABRIL 2026'!I6:I119)="COLLONCE")*('ABRIL 2026'!K6:K119="PETROLEO")*'ABRIL 2026'!N6:N119),0)</f>
        <v>0</v>
      </c>
      <c r="E1253" s="187" t="n">
        <f aca="false">IFERROR(SUMPRODUCT((IF('ABRIL 2026'!Y6:Y119&lt;&gt;"",'ABRIL 2026'!Y6:Y119,'ABRIL 2026'!I6:I119)="COLLONCE")*('ABRIL 2026'!K6:K119="GASOLINA")*'ABRIL 2026'!M6:M119),0)</f>
        <v>0</v>
      </c>
      <c r="F1253" s="187" t="n">
        <f aca="false">IFERROR(SUMPRODUCT((IF('ABRIL 2026'!Y6:Y119&lt;&gt;"",'ABRIL 2026'!Y6:Y119,'ABRIL 2026'!I6:I119)="COLLONCE")*('ABRIL 2026'!K6:K119="GASOLINA")*'ABRIL 2026'!N6:N119),0)</f>
        <v>0</v>
      </c>
    </row>
    <row r="1254" customFormat="false" ht="15" hidden="false" customHeight="true" outlineLevel="0" collapsed="false">
      <c r="A1254" s="1" t="s">
        <v>44</v>
      </c>
      <c r="B1254" s="1" t="s">
        <v>5169</v>
      </c>
      <c r="C1254" s="187" t="n">
        <f aca="false">IFERROR(SUMPRODUCT((IF('MAYO 2026'!Y6:Y110&lt;&gt;"",'MAYO 2026'!Y6:Y110,'MAYO 2026'!I6:I110)="COLLONCE")*('MAYO 2026'!K6:K110="PETROLEO")*'MAYO 2026'!M6:M110),0)</f>
        <v>0</v>
      </c>
      <c r="D1254" s="187" t="n">
        <f aca="false">IFERROR(SUMPRODUCT((IF('MAYO 2026'!Y6:Y110&lt;&gt;"",'MAYO 2026'!Y6:Y110,'MAYO 2026'!I6:I110)="COLLONCE")*('MAYO 2026'!K6:K110="PETROLEO")*'MAYO 2026'!N6:N110),0)</f>
        <v>0</v>
      </c>
      <c r="E1254" s="187" t="n">
        <f aca="false">IFERROR(SUMPRODUCT((IF('MAYO 2026'!Y6:Y110&lt;&gt;"",'MAYO 2026'!Y6:Y110,'MAYO 2026'!I6:I110)="COLLONCE")*('MAYO 2026'!K6:K110="GASOLINA")*'MAYO 2026'!M6:M110),0)</f>
        <v>0</v>
      </c>
      <c r="F1254" s="187" t="n">
        <f aca="false">IFERROR(SUMPRODUCT((IF('MAYO 2026'!Y6:Y110&lt;&gt;"",'MAYO 2026'!Y6:Y110,'MAYO 2026'!I6:I110)="COLLONCE")*('MAYO 2026'!K6:K110="GASOLINA")*'MAYO 2026'!N6:N110),0)</f>
        <v>0</v>
      </c>
    </row>
    <row r="1255" customFormat="false" ht="15" hidden="false" customHeight="true" outlineLevel="0" collapsed="false">
      <c r="A1255" s="1" t="s">
        <v>44</v>
      </c>
      <c r="B1255" s="1" t="s">
        <v>5170</v>
      </c>
      <c r="C1255" s="187" t="n">
        <f aca="false">IFERROR(SUMPRODUCT((IF('JUNIO 2026'!Y6:Y110&lt;&gt;"",'JUNIO 2026'!Y6:Y110,'JUNIO 2026'!I6:I110)="COLLONCE")*('JUNIO 2026'!K6:K110="PETROLEO")*'JUNIO 2026'!M6:M110),0)</f>
        <v>0</v>
      </c>
      <c r="D1255" s="187" t="n">
        <f aca="false">IFERROR(SUMPRODUCT((IF('JUNIO 2026'!Y6:Y110&lt;&gt;"",'JUNIO 2026'!Y6:Y110,'JUNIO 2026'!I6:I110)="COLLONCE")*('JUNIO 2026'!K6:K110="PETROLEO")*'JUNIO 2026'!N6:N110),0)</f>
        <v>0</v>
      </c>
      <c r="E1255" s="187" t="n">
        <f aca="false">IFERROR(SUMPRODUCT((IF('JUNIO 2026'!Y6:Y110&lt;&gt;"",'JUNIO 2026'!Y6:Y110,'JUNIO 2026'!I6:I110)="COLLONCE")*('JUNIO 2026'!K6:K110="GASOLINA")*'JUNIO 2026'!M6:M110),0)</f>
        <v>0</v>
      </c>
      <c r="F1255" s="187" t="n">
        <f aca="false">IFERROR(SUMPRODUCT((IF('JUNIO 2026'!Y6:Y110&lt;&gt;"",'JUNIO 2026'!Y6:Y110,'JUNIO 2026'!I6:I110)="COLLONCE")*('JUNIO 2026'!K6:K110="GASOLINA")*'JUNIO 2026'!N6:N110),0)</f>
        <v>0</v>
      </c>
    </row>
    <row r="1256" customFormat="false" ht="15" hidden="false" customHeight="true" outlineLevel="0" collapsed="false">
      <c r="A1256" s="1" t="s">
        <v>44</v>
      </c>
      <c r="B1256" s="1" t="s">
        <v>5171</v>
      </c>
      <c r="C1256" s="187" t="n">
        <f aca="false">IFERROR(SUMPRODUCT((IF('JULIO 2026'!Y6:Y110&lt;&gt;"",'JULIO 2026'!Y6:Y110,'JULIO 2026'!I6:I110)="COLLONCE")*('JULIO 2026'!K6:K110="PETROLEO")*'JULIO 2026'!M6:M110),0)</f>
        <v>0</v>
      </c>
      <c r="D1256" s="187" t="n">
        <f aca="false">IFERROR(SUMPRODUCT((IF('JULIO 2026'!Y6:Y110&lt;&gt;"",'JULIO 2026'!Y6:Y110,'JULIO 2026'!I6:I110)="COLLONCE")*('JULIO 2026'!K6:K110="PETROLEO")*'JULIO 2026'!N6:N110),0)</f>
        <v>0</v>
      </c>
      <c r="E1256" s="187" t="n">
        <f aca="false">IFERROR(SUMPRODUCT((IF('JULIO 2026'!Y6:Y110&lt;&gt;"",'JULIO 2026'!Y6:Y110,'JULIO 2026'!I6:I110)="COLLONCE")*('JULIO 2026'!K6:K110="GASOLINA")*'JULIO 2026'!M6:M110),0)</f>
        <v>0</v>
      </c>
      <c r="F1256" s="187" t="n">
        <f aca="false">IFERROR(SUMPRODUCT((IF('JULIO 2026'!Y6:Y110&lt;&gt;"",'JULIO 2026'!Y6:Y110,'JULIO 2026'!I6:I110)="COLLONCE")*('JULIO 2026'!K6:K110="GASOLINA")*'JULIO 2026'!N6:N110),0)</f>
        <v>0</v>
      </c>
    </row>
    <row r="1257" customFormat="false" ht="15" hidden="false" customHeight="true" outlineLevel="0" collapsed="false">
      <c r="A1257" s="1" t="s">
        <v>44</v>
      </c>
      <c r="B1257" s="1" t="s">
        <v>5172</v>
      </c>
      <c r="C1257" s="187" t="n">
        <f aca="false">IFERROR(SUMPRODUCT((IF('AGOSTO 2026'!Y6:Y110&lt;&gt;"",'AGOSTO 2026'!Y6:Y110,'AGOSTO 2026'!I6:I110)="COLLONCE")*('AGOSTO 2026'!K6:K110="PETROLEO")*'AGOSTO 2026'!M6:M110),0)</f>
        <v>0</v>
      </c>
      <c r="D1257" s="187" t="n">
        <f aca="false">IFERROR(SUMPRODUCT((IF('AGOSTO 2026'!Y6:Y110&lt;&gt;"",'AGOSTO 2026'!Y6:Y110,'AGOSTO 2026'!I6:I110)="COLLONCE")*('AGOSTO 2026'!K6:K110="PETROLEO")*'AGOSTO 2026'!N6:N110),0)</f>
        <v>0</v>
      </c>
      <c r="E1257" s="187" t="n">
        <f aca="false">IFERROR(SUMPRODUCT((IF('AGOSTO 2026'!Y6:Y110&lt;&gt;"",'AGOSTO 2026'!Y6:Y110,'AGOSTO 2026'!I6:I110)="COLLONCE")*('AGOSTO 2026'!K6:K110="GASOLINA")*'AGOSTO 2026'!M6:M110),0)</f>
        <v>0</v>
      </c>
      <c r="F1257" s="187" t="n">
        <f aca="false">IFERROR(SUMPRODUCT((IF('AGOSTO 2026'!Y6:Y110&lt;&gt;"",'AGOSTO 2026'!Y6:Y110,'AGOSTO 2026'!I6:I110)="COLLONCE")*('AGOSTO 2026'!K6:K110="GASOLINA")*'AGOSTO 2026'!N6:N110),0)</f>
        <v>0</v>
      </c>
    </row>
    <row r="1258" customFormat="false" ht="15" hidden="false" customHeight="true" outlineLevel="0" collapsed="false">
      <c r="A1258" s="1" t="s">
        <v>44</v>
      </c>
      <c r="B1258" s="1" t="s">
        <v>5173</v>
      </c>
      <c r="C1258" s="187" t="n">
        <f aca="false">IFERROR(SUMPRODUCT((IF('SETIEMBRE 2026'!Y6:Y110&lt;&gt;"",'SETIEMBRE 2026'!Y6:Y110,'SETIEMBRE 2026'!I6:I110)="COLLONCE")*('SETIEMBRE 2026'!K6:K110="PETROLEO")*'SETIEMBRE 2026'!M6:M110),0)</f>
        <v>0</v>
      </c>
      <c r="D1258" s="187" t="n">
        <f aca="false">IFERROR(SUMPRODUCT((IF('SETIEMBRE 2026'!Y6:Y110&lt;&gt;"",'SETIEMBRE 2026'!Y6:Y110,'SETIEMBRE 2026'!I6:I110)="COLLONCE")*('SETIEMBRE 2026'!K6:K110="PETROLEO")*'SETIEMBRE 2026'!N6:N110),0)</f>
        <v>0</v>
      </c>
      <c r="E1258" s="187" t="n">
        <f aca="false">IFERROR(SUMPRODUCT((IF('SETIEMBRE 2026'!Y6:Y110&lt;&gt;"",'SETIEMBRE 2026'!Y6:Y110,'SETIEMBRE 2026'!I6:I110)="COLLONCE")*('SETIEMBRE 2026'!K6:K110="GASOLINA")*'SETIEMBRE 2026'!M6:M110),0)</f>
        <v>0</v>
      </c>
      <c r="F1258" s="187" t="n">
        <f aca="false">IFERROR(SUMPRODUCT((IF('SETIEMBRE 2026'!Y6:Y110&lt;&gt;"",'SETIEMBRE 2026'!Y6:Y110,'SETIEMBRE 2026'!I6:I110)="COLLONCE")*('SETIEMBRE 2026'!K6:K110="GASOLINA")*'SETIEMBRE 2026'!N6:N110),0)</f>
        <v>0</v>
      </c>
    </row>
    <row r="1259" customFormat="false" ht="15" hidden="false" customHeight="true" outlineLevel="0" collapsed="false">
      <c r="A1259" s="1" t="s">
        <v>44</v>
      </c>
      <c r="B1259" s="1" t="s">
        <v>5174</v>
      </c>
      <c r="C1259" s="187" t="n">
        <f aca="false">IFERROR(SUMPRODUCT((IF('OCTUBRE 2026'!Y6:Y110&lt;&gt;"",'OCTUBRE 2026'!Y6:Y110,'OCTUBRE 2026'!I6:I110)="COLLONCE")*('OCTUBRE 2026'!K6:K110="PETROLEO")*'OCTUBRE 2026'!M6:M110),0)</f>
        <v>0</v>
      </c>
      <c r="D1259" s="187" t="n">
        <f aca="false">IFERROR(SUMPRODUCT((IF('OCTUBRE 2026'!Y6:Y110&lt;&gt;"",'OCTUBRE 2026'!Y6:Y110,'OCTUBRE 2026'!I6:I110)="COLLONCE")*('OCTUBRE 2026'!K6:K110="PETROLEO")*'OCTUBRE 2026'!N6:N110),0)</f>
        <v>0</v>
      </c>
      <c r="E1259" s="187" t="n">
        <f aca="false">IFERROR(SUMPRODUCT((IF('OCTUBRE 2026'!Y6:Y110&lt;&gt;"",'OCTUBRE 2026'!Y6:Y110,'OCTUBRE 2026'!I6:I110)="COLLONCE")*('OCTUBRE 2026'!K6:K110="GASOLINA")*'OCTUBRE 2026'!M6:M110),0)</f>
        <v>0</v>
      </c>
      <c r="F1259" s="187" t="n">
        <f aca="false">IFERROR(SUMPRODUCT((IF('OCTUBRE 2026'!Y6:Y110&lt;&gt;"",'OCTUBRE 2026'!Y6:Y110,'OCTUBRE 2026'!I6:I110)="COLLONCE")*('OCTUBRE 2026'!K6:K110="GASOLINA")*'OCTUBRE 2026'!N6:N110),0)</f>
        <v>0</v>
      </c>
    </row>
    <row r="1260" customFormat="false" ht="15" hidden="false" customHeight="true" outlineLevel="0" collapsed="false">
      <c r="A1260" s="1" t="s">
        <v>44</v>
      </c>
      <c r="B1260" s="1" t="s">
        <v>5175</v>
      </c>
      <c r="C1260" s="187" t="n">
        <f aca="false">IFERROR(SUMPRODUCT((IF('NOVIEMBRE 2026'!Y6:Y110&lt;&gt;"",'NOVIEMBRE 2026'!Y6:Y110,'NOVIEMBRE 2026'!I6:I110)="COLLONCE")*('NOVIEMBRE 2026'!K6:K110="PETROLEO")*'NOVIEMBRE 2026'!M6:M110),0)</f>
        <v>0</v>
      </c>
      <c r="D1260" s="187" t="n">
        <f aca="false">IFERROR(SUMPRODUCT((IF('NOVIEMBRE 2026'!Y6:Y110&lt;&gt;"",'NOVIEMBRE 2026'!Y6:Y110,'NOVIEMBRE 2026'!I6:I110)="COLLONCE")*('NOVIEMBRE 2026'!K6:K110="PETROLEO")*'NOVIEMBRE 2026'!N6:N110),0)</f>
        <v>0</v>
      </c>
      <c r="E1260" s="187" t="n">
        <f aca="false">IFERROR(SUMPRODUCT((IF('NOVIEMBRE 2026'!Y6:Y110&lt;&gt;"",'NOVIEMBRE 2026'!Y6:Y110,'NOVIEMBRE 2026'!I6:I110)="COLLONCE")*('NOVIEMBRE 2026'!K6:K110="GASOLINA")*'NOVIEMBRE 2026'!M6:M110),0)</f>
        <v>0</v>
      </c>
      <c r="F1260" s="187" t="n">
        <f aca="false">IFERROR(SUMPRODUCT((IF('NOVIEMBRE 2026'!Y6:Y110&lt;&gt;"",'NOVIEMBRE 2026'!Y6:Y110,'NOVIEMBRE 2026'!I6:I110)="COLLONCE")*('NOVIEMBRE 2026'!K6:K110="GASOLINA")*'NOVIEMBRE 2026'!N6:N110),0)</f>
        <v>0</v>
      </c>
    </row>
    <row r="1261" customFormat="false" ht="15" hidden="false" customHeight="true" outlineLevel="0" collapsed="false">
      <c r="A1261" s="1" t="s">
        <v>44</v>
      </c>
      <c r="B1261" s="1" t="s">
        <v>5176</v>
      </c>
      <c r="C1261" s="187" t="n">
        <f aca="false">IFERROR(SUMPRODUCT((IF('DICIEMBRE 2026'!Y6:Y110&lt;&gt;"",'DICIEMBRE 2026'!Y6:Y110,'DICIEMBRE 2026'!I6:I110)="COLLONCE")*('DICIEMBRE 2026'!K6:K110="PETROLEO")*'DICIEMBRE 2026'!M6:M110),0)</f>
        <v>0</v>
      </c>
      <c r="D1261" s="187" t="n">
        <f aca="false">IFERROR(SUMPRODUCT((IF('DICIEMBRE 2026'!Y6:Y110&lt;&gt;"",'DICIEMBRE 2026'!Y6:Y110,'DICIEMBRE 2026'!I6:I110)="COLLONCE")*('DICIEMBRE 2026'!K6:K110="PETROLEO")*'DICIEMBRE 2026'!N6:N110),0)</f>
        <v>0</v>
      </c>
      <c r="E1261" s="187" t="n">
        <f aca="false">IFERROR(SUMPRODUCT((IF('DICIEMBRE 2026'!Y6:Y110&lt;&gt;"",'DICIEMBRE 2026'!Y6:Y110,'DICIEMBRE 2026'!I6:I110)="COLLONCE")*('DICIEMBRE 2026'!K6:K110="GASOLINA")*'DICIEMBRE 2026'!M6:M110),0)</f>
        <v>0</v>
      </c>
      <c r="F1261" s="187" t="n">
        <f aca="false">IFERROR(SUMPRODUCT((IF('DICIEMBRE 2026'!Y6:Y110&lt;&gt;"",'DICIEMBRE 2026'!Y6:Y110,'DICIEMBRE 2026'!I6:I110)="COLLONCE")*('DICIEMBRE 2026'!K6:K110="GASOLINA")*'DICIEMBRE 2026'!N6:N110),0)</f>
        <v>0</v>
      </c>
    </row>
    <row r="1262" customFormat="false" ht="15" hidden="false" customHeight="true" outlineLevel="0" collapsed="false">
      <c r="A1262" s="1" t="s">
        <v>48</v>
      </c>
      <c r="B1262" s="1" t="s">
        <v>5165</v>
      </c>
      <c r="C1262" s="187" t="n">
        <f aca="false">IFERROR(SUMPRODUCT((IF('ENERO 2026'!Y6:Y119&lt;&gt;"",'ENERO 2026'!Y6:Y119,'ENERO 2026'!I6:I119)="HUAMBO")*('ENERO 2026'!K6:K119="PETROLEO")*'ENERO 2026'!M6:M119),0)</f>
        <v>19</v>
      </c>
      <c r="D1262" s="187" t="n">
        <f aca="false">IFERROR(SUMPRODUCT((IF('ENERO 2026'!Y6:Y119&lt;&gt;"",'ENERO 2026'!Y6:Y119,'ENERO 2026'!I6:I119)="HUAMBO")*('ENERO 2026'!K6:K119="PETROLEO")*'ENERO 2026'!N6:N119),0)</f>
        <v>0</v>
      </c>
      <c r="E1262" s="187" t="n">
        <f aca="false">IFERROR(SUMPRODUCT((IF('ENERO 2026'!Y6:Y119&lt;&gt;"",'ENERO 2026'!Y6:Y119,'ENERO 2026'!I6:I119)="HUAMBO")*('ENERO 2026'!K6:K119="GASOLINA")*'ENERO 2026'!M6:M119),0)</f>
        <v>0</v>
      </c>
      <c r="F1262" s="187" t="n">
        <f aca="false">IFERROR(SUMPRODUCT((IF('ENERO 2026'!Y6:Y119&lt;&gt;"",'ENERO 2026'!Y6:Y119,'ENERO 2026'!I6:I119)="HUAMBO")*('ENERO 2026'!K6:K119="GASOLINA")*'ENERO 2026'!N6:N119),0)</f>
        <v>0</v>
      </c>
    </row>
    <row r="1263" customFormat="false" ht="15" hidden="false" customHeight="true" outlineLevel="0" collapsed="false">
      <c r="A1263" s="1" t="s">
        <v>48</v>
      </c>
      <c r="B1263" s="1" t="s">
        <v>5166</v>
      </c>
      <c r="C1263" s="187" t="n">
        <f aca="false">IFERROR(SUMPRODUCT((IF('FEBRERO 2026'!Y6:Y124&lt;&gt;"",'FEBRERO 2026'!Y6:Y124,'FEBRERO 2026'!I6:I124)="HUAMBO")*('FEBRERO 2026'!K6:K124="PETROLEO")*'FEBRERO 2026'!M6:M124),0)</f>
        <v>26</v>
      </c>
      <c r="D1263" s="187" t="n">
        <f aca="false">IFERROR(SUMPRODUCT((IF('FEBRERO 2026'!Y6:Y124&lt;&gt;"",'FEBRERO 2026'!Y6:Y124,'FEBRERO 2026'!I6:I124)="HUAMBO")*('FEBRERO 2026'!K6:K124="PETROLEO")*'FEBRERO 2026'!N6:N124),0)</f>
        <v>526.5</v>
      </c>
      <c r="E1263" s="187" t="n">
        <f aca="false">IFERROR(SUMPRODUCT((IF('FEBRERO 2026'!Y6:Y124&lt;&gt;"",'FEBRERO 2026'!Y6:Y124,'FEBRERO 2026'!I6:I124)="HUAMBO")*('FEBRERO 2026'!K6:K124="GASOLINA")*'FEBRERO 2026'!M6:M124),0)</f>
        <v>0</v>
      </c>
      <c r="F1263" s="187" t="n">
        <f aca="false">IFERROR(SUMPRODUCT((IF('FEBRERO 2026'!Y6:Y124&lt;&gt;"",'FEBRERO 2026'!Y6:Y124,'FEBRERO 2026'!I6:I124)="HUAMBO")*('FEBRERO 2026'!K6:K124="GASOLINA")*'FEBRERO 2026'!N6:N124),0)</f>
        <v>0</v>
      </c>
    </row>
    <row r="1264" customFormat="false" ht="15" hidden="false" customHeight="true" outlineLevel="0" collapsed="false">
      <c r="A1264" s="1" t="s">
        <v>48</v>
      </c>
      <c r="B1264" s="1" t="s">
        <v>5167</v>
      </c>
      <c r="C1264" s="187" t="n">
        <f aca="false">IFERROR(SUMPRODUCT((IF('MARZO 2026'!Y6:Y119&lt;&gt;"",'MARZO 2026'!Y6:Y119,'MARZO 2026'!I6:I119)="HUAMBO")*('MARZO 2026'!K6:K119="PETROLEO")*'MARZO 2026'!M6:M119),0)</f>
        <v>0</v>
      </c>
      <c r="D1264" s="187" t="n">
        <f aca="false">IFERROR(SUMPRODUCT((IF('MARZO 2026'!Y6:Y119&lt;&gt;"",'MARZO 2026'!Y6:Y119,'MARZO 2026'!I6:I119)="HUAMBO")*('MARZO 2026'!K6:K119="PETROLEO")*'MARZO 2026'!N6:N119),0)</f>
        <v>0</v>
      </c>
      <c r="E1264" s="187" t="n">
        <f aca="false">IFERROR(SUMPRODUCT((IF('MARZO 2026'!Y6:Y119&lt;&gt;"",'MARZO 2026'!Y6:Y119,'MARZO 2026'!I6:I119)="HUAMBO")*('MARZO 2026'!K6:K119="GASOLINA")*'MARZO 2026'!M6:M119),0)</f>
        <v>0</v>
      </c>
      <c r="F1264" s="187" t="n">
        <f aca="false">IFERROR(SUMPRODUCT((IF('MARZO 2026'!Y6:Y119&lt;&gt;"",'MARZO 2026'!Y6:Y119,'MARZO 2026'!I6:I119)="HUAMBO")*('MARZO 2026'!K6:K119="GASOLINA")*'MARZO 2026'!N6:N119),0)</f>
        <v>0</v>
      </c>
    </row>
    <row r="1265" customFormat="false" ht="15" hidden="false" customHeight="true" outlineLevel="0" collapsed="false">
      <c r="A1265" s="1" t="s">
        <v>48</v>
      </c>
      <c r="B1265" s="1" t="s">
        <v>5168</v>
      </c>
      <c r="C1265" s="187" t="n">
        <f aca="false">IFERROR(SUMPRODUCT((IF('ABRIL 2026'!Y6:Y119&lt;&gt;"",'ABRIL 2026'!Y6:Y119,'ABRIL 2026'!I6:I119)="HUAMBO")*('ABRIL 2026'!K6:K119="PETROLEO")*'ABRIL 2026'!M6:M119),0)</f>
        <v>0</v>
      </c>
      <c r="D1265" s="187" t="n">
        <f aca="false">IFERROR(SUMPRODUCT((IF('ABRIL 2026'!Y6:Y119&lt;&gt;"",'ABRIL 2026'!Y6:Y119,'ABRIL 2026'!I6:I119)="HUAMBO")*('ABRIL 2026'!K6:K119="PETROLEO")*'ABRIL 2026'!N6:N119),0)</f>
        <v>0</v>
      </c>
      <c r="E1265" s="187" t="n">
        <f aca="false">IFERROR(SUMPRODUCT((IF('ABRIL 2026'!Y6:Y119&lt;&gt;"",'ABRIL 2026'!Y6:Y119,'ABRIL 2026'!I6:I119)="HUAMBO")*('ABRIL 2026'!K6:K119="GASOLINA")*'ABRIL 2026'!M6:M119),0)</f>
        <v>0</v>
      </c>
      <c r="F1265" s="187" t="n">
        <f aca="false">IFERROR(SUMPRODUCT((IF('ABRIL 2026'!Y6:Y119&lt;&gt;"",'ABRIL 2026'!Y6:Y119,'ABRIL 2026'!I6:I119)="HUAMBO")*('ABRIL 2026'!K6:K119="GASOLINA")*'ABRIL 2026'!N6:N119),0)</f>
        <v>0</v>
      </c>
    </row>
    <row r="1266" customFormat="false" ht="15" hidden="false" customHeight="true" outlineLevel="0" collapsed="false">
      <c r="A1266" s="1" t="s">
        <v>48</v>
      </c>
      <c r="B1266" s="1" t="s">
        <v>5169</v>
      </c>
      <c r="C1266" s="187" t="n">
        <f aca="false">IFERROR(SUMPRODUCT((IF('MAYO 2026'!Y6:Y110&lt;&gt;"",'MAYO 2026'!Y6:Y110,'MAYO 2026'!I6:I110)="HUAMBO")*('MAYO 2026'!K6:K110="PETROLEO")*'MAYO 2026'!M6:M110),0)</f>
        <v>0</v>
      </c>
      <c r="D1266" s="187" t="n">
        <f aca="false">IFERROR(SUMPRODUCT((IF('MAYO 2026'!Y6:Y110&lt;&gt;"",'MAYO 2026'!Y6:Y110,'MAYO 2026'!I6:I110)="HUAMBO")*('MAYO 2026'!K6:K110="PETROLEO")*'MAYO 2026'!N6:N110),0)</f>
        <v>0</v>
      </c>
      <c r="E1266" s="187" t="n">
        <f aca="false">IFERROR(SUMPRODUCT((IF('MAYO 2026'!Y6:Y110&lt;&gt;"",'MAYO 2026'!Y6:Y110,'MAYO 2026'!I6:I110)="HUAMBO")*('MAYO 2026'!K6:K110="GASOLINA")*'MAYO 2026'!M6:M110),0)</f>
        <v>0</v>
      </c>
      <c r="F1266" s="187" t="n">
        <f aca="false">IFERROR(SUMPRODUCT((IF('MAYO 2026'!Y6:Y110&lt;&gt;"",'MAYO 2026'!Y6:Y110,'MAYO 2026'!I6:I110)="HUAMBO")*('MAYO 2026'!K6:K110="GASOLINA")*'MAYO 2026'!N6:N110),0)</f>
        <v>0</v>
      </c>
    </row>
    <row r="1267" customFormat="false" ht="15" hidden="false" customHeight="true" outlineLevel="0" collapsed="false">
      <c r="A1267" s="1" t="s">
        <v>48</v>
      </c>
      <c r="B1267" s="1" t="s">
        <v>5170</v>
      </c>
      <c r="C1267" s="187" t="n">
        <f aca="false">IFERROR(SUMPRODUCT((IF('JUNIO 2026'!Y6:Y110&lt;&gt;"",'JUNIO 2026'!Y6:Y110,'JUNIO 2026'!I6:I110)="HUAMBO")*('JUNIO 2026'!K6:K110="PETROLEO")*'JUNIO 2026'!M6:M110),0)</f>
        <v>0</v>
      </c>
      <c r="D1267" s="187" t="n">
        <f aca="false">IFERROR(SUMPRODUCT((IF('JUNIO 2026'!Y6:Y110&lt;&gt;"",'JUNIO 2026'!Y6:Y110,'JUNIO 2026'!I6:I110)="HUAMBO")*('JUNIO 2026'!K6:K110="PETROLEO")*'JUNIO 2026'!N6:N110),0)</f>
        <v>0</v>
      </c>
      <c r="E1267" s="187" t="n">
        <f aca="false">IFERROR(SUMPRODUCT((IF('JUNIO 2026'!Y6:Y110&lt;&gt;"",'JUNIO 2026'!Y6:Y110,'JUNIO 2026'!I6:I110)="HUAMBO")*('JUNIO 2026'!K6:K110="GASOLINA")*'JUNIO 2026'!M6:M110),0)</f>
        <v>0</v>
      </c>
      <c r="F1267" s="187" t="n">
        <f aca="false">IFERROR(SUMPRODUCT((IF('JUNIO 2026'!Y6:Y110&lt;&gt;"",'JUNIO 2026'!Y6:Y110,'JUNIO 2026'!I6:I110)="HUAMBO")*('JUNIO 2026'!K6:K110="GASOLINA")*'JUNIO 2026'!N6:N110),0)</f>
        <v>0</v>
      </c>
    </row>
    <row r="1268" customFormat="false" ht="15" hidden="false" customHeight="true" outlineLevel="0" collapsed="false">
      <c r="A1268" s="1" t="s">
        <v>48</v>
      </c>
      <c r="B1268" s="1" t="s">
        <v>5171</v>
      </c>
      <c r="C1268" s="187" t="n">
        <f aca="false">IFERROR(SUMPRODUCT((IF('JULIO 2026'!Y6:Y110&lt;&gt;"",'JULIO 2026'!Y6:Y110,'JULIO 2026'!I6:I110)="HUAMBO")*('JULIO 2026'!K6:K110="PETROLEO")*'JULIO 2026'!M6:M110),0)</f>
        <v>0</v>
      </c>
      <c r="D1268" s="187" t="n">
        <f aca="false">IFERROR(SUMPRODUCT((IF('JULIO 2026'!Y6:Y110&lt;&gt;"",'JULIO 2026'!Y6:Y110,'JULIO 2026'!I6:I110)="HUAMBO")*('JULIO 2026'!K6:K110="PETROLEO")*'JULIO 2026'!N6:N110),0)</f>
        <v>0</v>
      </c>
      <c r="E1268" s="187" t="n">
        <f aca="false">IFERROR(SUMPRODUCT((IF('JULIO 2026'!Y6:Y110&lt;&gt;"",'JULIO 2026'!Y6:Y110,'JULIO 2026'!I6:I110)="HUAMBO")*('JULIO 2026'!K6:K110="GASOLINA")*'JULIO 2026'!M6:M110),0)</f>
        <v>0</v>
      </c>
      <c r="F1268" s="187" t="n">
        <f aca="false">IFERROR(SUMPRODUCT((IF('JULIO 2026'!Y6:Y110&lt;&gt;"",'JULIO 2026'!Y6:Y110,'JULIO 2026'!I6:I110)="HUAMBO")*('JULIO 2026'!K6:K110="GASOLINA")*'JULIO 2026'!N6:N110),0)</f>
        <v>0</v>
      </c>
    </row>
    <row r="1269" customFormat="false" ht="15" hidden="false" customHeight="true" outlineLevel="0" collapsed="false">
      <c r="A1269" s="1" t="s">
        <v>48</v>
      </c>
      <c r="B1269" s="1" t="s">
        <v>5172</v>
      </c>
      <c r="C1269" s="187" t="n">
        <f aca="false">IFERROR(SUMPRODUCT((IF('AGOSTO 2026'!Y6:Y110&lt;&gt;"",'AGOSTO 2026'!Y6:Y110,'AGOSTO 2026'!I6:I110)="HUAMBO")*('AGOSTO 2026'!K6:K110="PETROLEO")*'AGOSTO 2026'!M6:M110),0)</f>
        <v>0</v>
      </c>
      <c r="D1269" s="187" t="n">
        <f aca="false">IFERROR(SUMPRODUCT((IF('AGOSTO 2026'!Y6:Y110&lt;&gt;"",'AGOSTO 2026'!Y6:Y110,'AGOSTO 2026'!I6:I110)="HUAMBO")*('AGOSTO 2026'!K6:K110="PETROLEO")*'AGOSTO 2026'!N6:N110),0)</f>
        <v>0</v>
      </c>
      <c r="E1269" s="187" t="n">
        <f aca="false">IFERROR(SUMPRODUCT((IF('AGOSTO 2026'!Y6:Y110&lt;&gt;"",'AGOSTO 2026'!Y6:Y110,'AGOSTO 2026'!I6:I110)="HUAMBO")*('AGOSTO 2026'!K6:K110="GASOLINA")*'AGOSTO 2026'!M6:M110),0)</f>
        <v>0</v>
      </c>
      <c r="F1269" s="187" t="n">
        <f aca="false">IFERROR(SUMPRODUCT((IF('AGOSTO 2026'!Y6:Y110&lt;&gt;"",'AGOSTO 2026'!Y6:Y110,'AGOSTO 2026'!I6:I110)="HUAMBO")*('AGOSTO 2026'!K6:K110="GASOLINA")*'AGOSTO 2026'!N6:N110),0)</f>
        <v>0</v>
      </c>
    </row>
    <row r="1270" customFormat="false" ht="15" hidden="false" customHeight="true" outlineLevel="0" collapsed="false">
      <c r="A1270" s="1" t="s">
        <v>48</v>
      </c>
      <c r="B1270" s="1" t="s">
        <v>5173</v>
      </c>
      <c r="C1270" s="187" t="n">
        <f aca="false">IFERROR(SUMPRODUCT((IF('SETIEMBRE 2026'!Y6:Y110&lt;&gt;"",'SETIEMBRE 2026'!Y6:Y110,'SETIEMBRE 2026'!I6:I110)="HUAMBO")*('SETIEMBRE 2026'!K6:K110="PETROLEO")*'SETIEMBRE 2026'!M6:M110),0)</f>
        <v>0</v>
      </c>
      <c r="D1270" s="187" t="n">
        <f aca="false">IFERROR(SUMPRODUCT((IF('SETIEMBRE 2026'!Y6:Y110&lt;&gt;"",'SETIEMBRE 2026'!Y6:Y110,'SETIEMBRE 2026'!I6:I110)="HUAMBO")*('SETIEMBRE 2026'!K6:K110="PETROLEO")*'SETIEMBRE 2026'!N6:N110),0)</f>
        <v>0</v>
      </c>
      <c r="E1270" s="187" t="n">
        <f aca="false">IFERROR(SUMPRODUCT((IF('SETIEMBRE 2026'!Y6:Y110&lt;&gt;"",'SETIEMBRE 2026'!Y6:Y110,'SETIEMBRE 2026'!I6:I110)="HUAMBO")*('SETIEMBRE 2026'!K6:K110="GASOLINA")*'SETIEMBRE 2026'!M6:M110),0)</f>
        <v>0</v>
      </c>
      <c r="F1270" s="187" t="n">
        <f aca="false">IFERROR(SUMPRODUCT((IF('SETIEMBRE 2026'!Y6:Y110&lt;&gt;"",'SETIEMBRE 2026'!Y6:Y110,'SETIEMBRE 2026'!I6:I110)="HUAMBO")*('SETIEMBRE 2026'!K6:K110="GASOLINA")*'SETIEMBRE 2026'!N6:N110),0)</f>
        <v>0</v>
      </c>
    </row>
    <row r="1271" customFormat="false" ht="15" hidden="false" customHeight="true" outlineLevel="0" collapsed="false">
      <c r="A1271" s="1" t="s">
        <v>48</v>
      </c>
      <c r="B1271" s="1" t="s">
        <v>5174</v>
      </c>
      <c r="C1271" s="187" t="n">
        <f aca="false">IFERROR(SUMPRODUCT((IF('OCTUBRE 2026'!Y6:Y110&lt;&gt;"",'OCTUBRE 2026'!Y6:Y110,'OCTUBRE 2026'!I6:I110)="HUAMBO")*('OCTUBRE 2026'!K6:K110="PETROLEO")*'OCTUBRE 2026'!M6:M110),0)</f>
        <v>0</v>
      </c>
      <c r="D1271" s="187" t="n">
        <f aca="false">IFERROR(SUMPRODUCT((IF('OCTUBRE 2026'!Y6:Y110&lt;&gt;"",'OCTUBRE 2026'!Y6:Y110,'OCTUBRE 2026'!I6:I110)="HUAMBO")*('OCTUBRE 2026'!K6:K110="PETROLEO")*'OCTUBRE 2026'!N6:N110),0)</f>
        <v>0</v>
      </c>
      <c r="E1271" s="187" t="n">
        <f aca="false">IFERROR(SUMPRODUCT((IF('OCTUBRE 2026'!Y6:Y110&lt;&gt;"",'OCTUBRE 2026'!Y6:Y110,'OCTUBRE 2026'!I6:I110)="HUAMBO")*('OCTUBRE 2026'!K6:K110="GASOLINA")*'OCTUBRE 2026'!M6:M110),0)</f>
        <v>0</v>
      </c>
      <c r="F1271" s="187" t="n">
        <f aca="false">IFERROR(SUMPRODUCT((IF('OCTUBRE 2026'!Y6:Y110&lt;&gt;"",'OCTUBRE 2026'!Y6:Y110,'OCTUBRE 2026'!I6:I110)="HUAMBO")*('OCTUBRE 2026'!K6:K110="GASOLINA")*'OCTUBRE 2026'!N6:N110),0)</f>
        <v>0</v>
      </c>
    </row>
    <row r="1272" customFormat="false" ht="15" hidden="false" customHeight="true" outlineLevel="0" collapsed="false">
      <c r="A1272" s="1" t="s">
        <v>48</v>
      </c>
      <c r="B1272" s="1" t="s">
        <v>5175</v>
      </c>
      <c r="C1272" s="187" t="n">
        <f aca="false">IFERROR(SUMPRODUCT((IF('NOVIEMBRE 2026'!Y6:Y110&lt;&gt;"",'NOVIEMBRE 2026'!Y6:Y110,'NOVIEMBRE 2026'!I6:I110)="HUAMBO")*('NOVIEMBRE 2026'!K6:K110="PETROLEO")*'NOVIEMBRE 2026'!M6:M110),0)</f>
        <v>0</v>
      </c>
      <c r="D1272" s="187" t="n">
        <f aca="false">IFERROR(SUMPRODUCT((IF('NOVIEMBRE 2026'!Y6:Y110&lt;&gt;"",'NOVIEMBRE 2026'!Y6:Y110,'NOVIEMBRE 2026'!I6:I110)="HUAMBO")*('NOVIEMBRE 2026'!K6:K110="PETROLEO")*'NOVIEMBRE 2026'!N6:N110),0)</f>
        <v>0</v>
      </c>
      <c r="E1272" s="187" t="n">
        <f aca="false">IFERROR(SUMPRODUCT((IF('NOVIEMBRE 2026'!Y6:Y110&lt;&gt;"",'NOVIEMBRE 2026'!Y6:Y110,'NOVIEMBRE 2026'!I6:I110)="HUAMBO")*('NOVIEMBRE 2026'!K6:K110="GASOLINA")*'NOVIEMBRE 2026'!M6:M110),0)</f>
        <v>0</v>
      </c>
      <c r="F1272" s="187" t="n">
        <f aca="false">IFERROR(SUMPRODUCT((IF('NOVIEMBRE 2026'!Y6:Y110&lt;&gt;"",'NOVIEMBRE 2026'!Y6:Y110,'NOVIEMBRE 2026'!I6:I110)="HUAMBO")*('NOVIEMBRE 2026'!K6:K110="GASOLINA")*'NOVIEMBRE 2026'!N6:N110),0)</f>
        <v>0</v>
      </c>
    </row>
    <row r="1273" customFormat="false" ht="15" hidden="false" customHeight="true" outlineLevel="0" collapsed="false">
      <c r="A1273" s="1" t="s">
        <v>48</v>
      </c>
      <c r="B1273" s="1" t="s">
        <v>5176</v>
      </c>
      <c r="C1273" s="187" t="n">
        <f aca="false">IFERROR(SUMPRODUCT((IF('DICIEMBRE 2026'!Y6:Y110&lt;&gt;"",'DICIEMBRE 2026'!Y6:Y110,'DICIEMBRE 2026'!I6:I110)="HUAMBO")*('DICIEMBRE 2026'!K6:K110="PETROLEO")*'DICIEMBRE 2026'!M6:M110),0)</f>
        <v>0</v>
      </c>
      <c r="D1273" s="187" t="n">
        <f aca="false">IFERROR(SUMPRODUCT((IF('DICIEMBRE 2026'!Y6:Y110&lt;&gt;"",'DICIEMBRE 2026'!Y6:Y110,'DICIEMBRE 2026'!I6:I110)="HUAMBO")*('DICIEMBRE 2026'!K6:K110="PETROLEO")*'DICIEMBRE 2026'!N6:N110),0)</f>
        <v>0</v>
      </c>
      <c r="E1273" s="187" t="n">
        <f aca="false">IFERROR(SUMPRODUCT((IF('DICIEMBRE 2026'!Y6:Y110&lt;&gt;"",'DICIEMBRE 2026'!Y6:Y110,'DICIEMBRE 2026'!I6:I110)="HUAMBO")*('DICIEMBRE 2026'!K6:K110="GASOLINA")*'DICIEMBRE 2026'!M6:M110),0)</f>
        <v>0</v>
      </c>
      <c r="F1273" s="187" t="n">
        <f aca="false">IFERROR(SUMPRODUCT((IF('DICIEMBRE 2026'!Y6:Y110&lt;&gt;"",'DICIEMBRE 2026'!Y6:Y110,'DICIEMBRE 2026'!I6:I110)="HUAMBO")*('DICIEMBRE 2026'!K6:K110="GASOLINA")*'DICIEMBRE 2026'!N6:N110),0)</f>
        <v>0</v>
      </c>
    </row>
    <row r="1274" customFormat="false" ht="15" hidden="false" customHeight="true" outlineLevel="0" collapsed="false">
      <c r="A1274" s="1" t="s">
        <v>165</v>
      </c>
      <c r="B1274" s="1" t="s">
        <v>5165</v>
      </c>
      <c r="C1274" s="187" t="n">
        <f aca="false">IFERROR(SUMPRODUCT((IF('ENERO 2026'!Y6:Y119&lt;&gt;"",'ENERO 2026'!Y6:Y119,'ENERO 2026'!I6:I119)="JALCA GRANDE")*('ENERO 2026'!K6:K119="PETROLEO")*'ENERO 2026'!M6:M119),0)</f>
        <v>14</v>
      </c>
      <c r="D1274" s="187" t="n">
        <f aca="false">IFERROR(SUMPRODUCT((IF('ENERO 2026'!Y6:Y119&lt;&gt;"",'ENERO 2026'!Y6:Y119,'ENERO 2026'!I6:I119)="JALCA GRANDE")*('ENERO 2026'!K6:K119="PETROLEO")*'ENERO 2026'!N6:N119),0)</f>
        <v>0</v>
      </c>
      <c r="E1274" s="187" t="n">
        <f aca="false">IFERROR(SUMPRODUCT((IF('ENERO 2026'!Y6:Y119&lt;&gt;"",'ENERO 2026'!Y6:Y119,'ENERO 2026'!I6:I119)="JALCA GRANDE")*('ENERO 2026'!K6:K119="GASOLINA")*'ENERO 2026'!M6:M119),0)</f>
        <v>0</v>
      </c>
      <c r="F1274" s="187" t="n">
        <f aca="false">IFERROR(SUMPRODUCT((IF('ENERO 2026'!Y6:Y119&lt;&gt;"",'ENERO 2026'!Y6:Y119,'ENERO 2026'!I6:I119)="JALCA GRANDE")*('ENERO 2026'!K6:K119="GASOLINA")*'ENERO 2026'!N6:N119),0)</f>
        <v>0</v>
      </c>
    </row>
    <row r="1275" customFormat="false" ht="15" hidden="false" customHeight="true" outlineLevel="0" collapsed="false">
      <c r="A1275" s="1" t="s">
        <v>165</v>
      </c>
      <c r="B1275" s="1" t="s">
        <v>5166</v>
      </c>
      <c r="C1275" s="187" t="n">
        <f aca="false">IFERROR(SUMPRODUCT((IF('FEBRERO 2026'!Y6:Y124&lt;&gt;"",'FEBRERO 2026'!Y6:Y124,'FEBRERO 2026'!I6:I124)="JALCA GRANDE")*('FEBRERO 2026'!K6:K124="PETROLEO")*'FEBRERO 2026'!M6:M124),0)</f>
        <v>28</v>
      </c>
      <c r="D1275" s="187" t="n">
        <f aca="false">IFERROR(SUMPRODUCT((IF('FEBRERO 2026'!Y6:Y124&lt;&gt;"",'FEBRERO 2026'!Y6:Y124,'FEBRERO 2026'!I6:I124)="JALCA GRANDE")*('FEBRERO 2026'!K6:K124="PETROLEO")*'FEBRERO 2026'!N6:N124),0)</f>
        <v>509.04</v>
      </c>
      <c r="E1275" s="187" t="n">
        <f aca="false">IFERROR(SUMPRODUCT((IF('FEBRERO 2026'!Y6:Y124&lt;&gt;"",'FEBRERO 2026'!Y6:Y124,'FEBRERO 2026'!I6:I124)="JALCA GRANDE")*('FEBRERO 2026'!K6:K124="GASOLINA")*'FEBRERO 2026'!M6:M124),0)</f>
        <v>0</v>
      </c>
      <c r="F1275" s="187" t="n">
        <f aca="false">IFERROR(SUMPRODUCT((IF('FEBRERO 2026'!Y6:Y124&lt;&gt;"",'FEBRERO 2026'!Y6:Y124,'FEBRERO 2026'!I6:I124)="JALCA GRANDE")*('FEBRERO 2026'!K6:K124="GASOLINA")*'FEBRERO 2026'!N6:N124),0)</f>
        <v>0</v>
      </c>
    </row>
    <row r="1276" customFormat="false" ht="15" hidden="false" customHeight="true" outlineLevel="0" collapsed="false">
      <c r="A1276" s="1" t="s">
        <v>165</v>
      </c>
      <c r="B1276" s="1" t="s">
        <v>5167</v>
      </c>
      <c r="C1276" s="187" t="n">
        <f aca="false">IFERROR(SUMPRODUCT((IF('MARZO 2026'!Y6:Y119&lt;&gt;"",'MARZO 2026'!Y6:Y119,'MARZO 2026'!I6:I119)="JALCA GRANDE")*('MARZO 2026'!K6:K119="PETROLEO")*'MARZO 2026'!M6:M119),0)</f>
        <v>7</v>
      </c>
      <c r="D1276" s="187" t="n">
        <f aca="false">IFERROR(SUMPRODUCT((IF('MARZO 2026'!Y6:Y119&lt;&gt;"",'MARZO 2026'!Y6:Y119,'MARZO 2026'!I6:I119)="JALCA GRANDE")*('MARZO 2026'!K6:K119="PETROLEO")*'MARZO 2026'!N6:N119),0)</f>
        <v>0</v>
      </c>
      <c r="E1276" s="187" t="n">
        <f aca="false">IFERROR(SUMPRODUCT((IF('MARZO 2026'!Y6:Y119&lt;&gt;"",'MARZO 2026'!Y6:Y119,'MARZO 2026'!I6:I119)="JALCA GRANDE")*('MARZO 2026'!K6:K119="GASOLINA")*'MARZO 2026'!M6:M119),0)</f>
        <v>0</v>
      </c>
      <c r="F1276" s="187" t="n">
        <f aca="false">IFERROR(SUMPRODUCT((IF('MARZO 2026'!Y6:Y119&lt;&gt;"",'MARZO 2026'!Y6:Y119,'MARZO 2026'!I6:I119)="JALCA GRANDE")*('MARZO 2026'!K6:K119="GASOLINA")*'MARZO 2026'!N6:N119),0)</f>
        <v>0</v>
      </c>
    </row>
    <row r="1277" customFormat="false" ht="15" hidden="false" customHeight="true" outlineLevel="0" collapsed="false">
      <c r="A1277" s="1" t="s">
        <v>165</v>
      </c>
      <c r="B1277" s="1" t="s">
        <v>5168</v>
      </c>
      <c r="C1277" s="187" t="n">
        <f aca="false">IFERROR(SUMPRODUCT((IF('ABRIL 2026'!Y6:Y119&lt;&gt;"",'ABRIL 2026'!Y6:Y119,'ABRIL 2026'!I6:I119)="JALCA GRANDE")*('ABRIL 2026'!K6:K119="PETROLEO")*'ABRIL 2026'!M6:M119),0)</f>
        <v>0</v>
      </c>
      <c r="D1277" s="187" t="n">
        <f aca="false">IFERROR(SUMPRODUCT((IF('ABRIL 2026'!Y6:Y119&lt;&gt;"",'ABRIL 2026'!Y6:Y119,'ABRIL 2026'!I6:I119)="JALCA GRANDE")*('ABRIL 2026'!K6:K119="PETROLEO")*'ABRIL 2026'!N6:N119),0)</f>
        <v>0</v>
      </c>
      <c r="E1277" s="187" t="n">
        <f aca="false">IFERROR(SUMPRODUCT((IF('ABRIL 2026'!Y6:Y119&lt;&gt;"",'ABRIL 2026'!Y6:Y119,'ABRIL 2026'!I6:I119)="JALCA GRANDE")*('ABRIL 2026'!K6:K119="GASOLINA")*'ABRIL 2026'!M6:M119),0)</f>
        <v>0</v>
      </c>
      <c r="F1277" s="187" t="n">
        <f aca="false">IFERROR(SUMPRODUCT((IF('ABRIL 2026'!Y6:Y119&lt;&gt;"",'ABRIL 2026'!Y6:Y119,'ABRIL 2026'!I6:I119)="JALCA GRANDE")*('ABRIL 2026'!K6:K119="GASOLINA")*'ABRIL 2026'!N6:N119),0)</f>
        <v>0</v>
      </c>
    </row>
    <row r="1278" customFormat="false" ht="15" hidden="false" customHeight="true" outlineLevel="0" collapsed="false">
      <c r="A1278" s="1" t="s">
        <v>165</v>
      </c>
      <c r="B1278" s="1" t="s">
        <v>5169</v>
      </c>
      <c r="C1278" s="187" t="n">
        <f aca="false">IFERROR(SUMPRODUCT((IF('MAYO 2026'!Y6:Y110&lt;&gt;"",'MAYO 2026'!Y6:Y110,'MAYO 2026'!I6:I110)="JALCA GRANDE")*('MAYO 2026'!K6:K110="PETROLEO")*'MAYO 2026'!M6:M110),0)</f>
        <v>0</v>
      </c>
      <c r="D1278" s="187" t="n">
        <f aca="false">IFERROR(SUMPRODUCT((IF('MAYO 2026'!Y6:Y110&lt;&gt;"",'MAYO 2026'!Y6:Y110,'MAYO 2026'!I6:I110)="JALCA GRANDE")*('MAYO 2026'!K6:K110="PETROLEO")*'MAYO 2026'!N6:N110),0)</f>
        <v>0</v>
      </c>
      <c r="E1278" s="187" t="n">
        <f aca="false">IFERROR(SUMPRODUCT((IF('MAYO 2026'!Y6:Y110&lt;&gt;"",'MAYO 2026'!Y6:Y110,'MAYO 2026'!I6:I110)="JALCA GRANDE")*('MAYO 2026'!K6:K110="GASOLINA")*'MAYO 2026'!M6:M110),0)</f>
        <v>0</v>
      </c>
      <c r="F1278" s="187" t="n">
        <f aca="false">IFERROR(SUMPRODUCT((IF('MAYO 2026'!Y6:Y110&lt;&gt;"",'MAYO 2026'!Y6:Y110,'MAYO 2026'!I6:I110)="JALCA GRANDE")*('MAYO 2026'!K6:K110="GASOLINA")*'MAYO 2026'!N6:N110),0)</f>
        <v>0</v>
      </c>
    </row>
    <row r="1279" customFormat="false" ht="15" hidden="false" customHeight="true" outlineLevel="0" collapsed="false">
      <c r="A1279" s="1" t="s">
        <v>165</v>
      </c>
      <c r="B1279" s="1" t="s">
        <v>5170</v>
      </c>
      <c r="C1279" s="187" t="n">
        <f aca="false">IFERROR(SUMPRODUCT((IF('JUNIO 2026'!Y6:Y110&lt;&gt;"",'JUNIO 2026'!Y6:Y110,'JUNIO 2026'!I6:I110)="JALCA GRANDE")*('JUNIO 2026'!K6:K110="PETROLEO")*'JUNIO 2026'!M6:M110),0)</f>
        <v>0</v>
      </c>
      <c r="D1279" s="187" t="n">
        <f aca="false">IFERROR(SUMPRODUCT((IF('JUNIO 2026'!Y6:Y110&lt;&gt;"",'JUNIO 2026'!Y6:Y110,'JUNIO 2026'!I6:I110)="JALCA GRANDE")*('JUNIO 2026'!K6:K110="PETROLEO")*'JUNIO 2026'!N6:N110),0)</f>
        <v>0</v>
      </c>
      <c r="E1279" s="187" t="n">
        <f aca="false">IFERROR(SUMPRODUCT((IF('JUNIO 2026'!Y6:Y110&lt;&gt;"",'JUNIO 2026'!Y6:Y110,'JUNIO 2026'!I6:I110)="JALCA GRANDE")*('JUNIO 2026'!K6:K110="GASOLINA")*'JUNIO 2026'!M6:M110),0)</f>
        <v>0</v>
      </c>
      <c r="F1279" s="187" t="n">
        <f aca="false">IFERROR(SUMPRODUCT((IF('JUNIO 2026'!Y6:Y110&lt;&gt;"",'JUNIO 2026'!Y6:Y110,'JUNIO 2026'!I6:I110)="JALCA GRANDE")*('JUNIO 2026'!K6:K110="GASOLINA")*'JUNIO 2026'!N6:N110),0)</f>
        <v>0</v>
      </c>
    </row>
    <row r="1280" customFormat="false" ht="15" hidden="false" customHeight="true" outlineLevel="0" collapsed="false">
      <c r="A1280" s="1" t="s">
        <v>165</v>
      </c>
      <c r="B1280" s="1" t="s">
        <v>5171</v>
      </c>
      <c r="C1280" s="187" t="n">
        <f aca="false">IFERROR(SUMPRODUCT((IF('JULIO 2026'!Y6:Y110&lt;&gt;"",'JULIO 2026'!Y6:Y110,'JULIO 2026'!I6:I110)="JALCA GRANDE")*('JULIO 2026'!K6:K110="PETROLEO")*'JULIO 2026'!M6:M110),0)</f>
        <v>0</v>
      </c>
      <c r="D1280" s="187" t="n">
        <f aca="false">IFERROR(SUMPRODUCT((IF('JULIO 2026'!Y6:Y110&lt;&gt;"",'JULIO 2026'!Y6:Y110,'JULIO 2026'!I6:I110)="JALCA GRANDE")*('JULIO 2026'!K6:K110="PETROLEO")*'JULIO 2026'!N6:N110),0)</f>
        <v>0</v>
      </c>
      <c r="E1280" s="187" t="n">
        <f aca="false">IFERROR(SUMPRODUCT((IF('JULIO 2026'!Y6:Y110&lt;&gt;"",'JULIO 2026'!Y6:Y110,'JULIO 2026'!I6:I110)="JALCA GRANDE")*('JULIO 2026'!K6:K110="GASOLINA")*'JULIO 2026'!M6:M110),0)</f>
        <v>0</v>
      </c>
      <c r="F1280" s="187" t="n">
        <f aca="false">IFERROR(SUMPRODUCT((IF('JULIO 2026'!Y6:Y110&lt;&gt;"",'JULIO 2026'!Y6:Y110,'JULIO 2026'!I6:I110)="JALCA GRANDE")*('JULIO 2026'!K6:K110="GASOLINA")*'JULIO 2026'!N6:N110),0)</f>
        <v>0</v>
      </c>
    </row>
    <row r="1281" customFormat="false" ht="15" hidden="false" customHeight="true" outlineLevel="0" collapsed="false">
      <c r="A1281" s="1" t="s">
        <v>165</v>
      </c>
      <c r="B1281" s="1" t="s">
        <v>5172</v>
      </c>
      <c r="C1281" s="187" t="n">
        <f aca="false">IFERROR(SUMPRODUCT((IF('AGOSTO 2026'!Y6:Y110&lt;&gt;"",'AGOSTO 2026'!Y6:Y110,'AGOSTO 2026'!I6:I110)="JALCA GRANDE")*('AGOSTO 2026'!K6:K110="PETROLEO")*'AGOSTO 2026'!M6:M110),0)</f>
        <v>0</v>
      </c>
      <c r="D1281" s="187" t="n">
        <f aca="false">IFERROR(SUMPRODUCT((IF('AGOSTO 2026'!Y6:Y110&lt;&gt;"",'AGOSTO 2026'!Y6:Y110,'AGOSTO 2026'!I6:I110)="JALCA GRANDE")*('AGOSTO 2026'!K6:K110="PETROLEO")*'AGOSTO 2026'!N6:N110),0)</f>
        <v>0</v>
      </c>
      <c r="E1281" s="187" t="n">
        <f aca="false">IFERROR(SUMPRODUCT((IF('AGOSTO 2026'!Y6:Y110&lt;&gt;"",'AGOSTO 2026'!Y6:Y110,'AGOSTO 2026'!I6:I110)="JALCA GRANDE")*('AGOSTO 2026'!K6:K110="GASOLINA")*'AGOSTO 2026'!M6:M110),0)</f>
        <v>0</v>
      </c>
      <c r="F1281" s="187" t="n">
        <f aca="false">IFERROR(SUMPRODUCT((IF('AGOSTO 2026'!Y6:Y110&lt;&gt;"",'AGOSTO 2026'!Y6:Y110,'AGOSTO 2026'!I6:I110)="JALCA GRANDE")*('AGOSTO 2026'!K6:K110="GASOLINA")*'AGOSTO 2026'!N6:N110),0)</f>
        <v>0</v>
      </c>
    </row>
    <row r="1282" customFormat="false" ht="15" hidden="false" customHeight="true" outlineLevel="0" collapsed="false">
      <c r="A1282" s="1" t="s">
        <v>165</v>
      </c>
      <c r="B1282" s="1" t="s">
        <v>5173</v>
      </c>
      <c r="C1282" s="187" t="n">
        <f aca="false">IFERROR(SUMPRODUCT((IF('SETIEMBRE 2026'!Y6:Y110&lt;&gt;"",'SETIEMBRE 2026'!Y6:Y110,'SETIEMBRE 2026'!I6:I110)="JALCA GRANDE")*('SETIEMBRE 2026'!K6:K110="PETROLEO")*'SETIEMBRE 2026'!M6:M110),0)</f>
        <v>0</v>
      </c>
      <c r="D1282" s="187" t="n">
        <f aca="false">IFERROR(SUMPRODUCT((IF('SETIEMBRE 2026'!Y6:Y110&lt;&gt;"",'SETIEMBRE 2026'!Y6:Y110,'SETIEMBRE 2026'!I6:I110)="JALCA GRANDE")*('SETIEMBRE 2026'!K6:K110="PETROLEO")*'SETIEMBRE 2026'!N6:N110),0)</f>
        <v>0</v>
      </c>
      <c r="E1282" s="187" t="n">
        <f aca="false">IFERROR(SUMPRODUCT((IF('SETIEMBRE 2026'!Y6:Y110&lt;&gt;"",'SETIEMBRE 2026'!Y6:Y110,'SETIEMBRE 2026'!I6:I110)="JALCA GRANDE")*('SETIEMBRE 2026'!K6:K110="GASOLINA")*'SETIEMBRE 2026'!M6:M110),0)</f>
        <v>0</v>
      </c>
      <c r="F1282" s="187" t="n">
        <f aca="false">IFERROR(SUMPRODUCT((IF('SETIEMBRE 2026'!Y6:Y110&lt;&gt;"",'SETIEMBRE 2026'!Y6:Y110,'SETIEMBRE 2026'!I6:I110)="JALCA GRANDE")*('SETIEMBRE 2026'!K6:K110="GASOLINA")*'SETIEMBRE 2026'!N6:N110),0)</f>
        <v>0</v>
      </c>
    </row>
    <row r="1283" customFormat="false" ht="15" hidden="false" customHeight="true" outlineLevel="0" collapsed="false">
      <c r="A1283" s="1" t="s">
        <v>165</v>
      </c>
      <c r="B1283" s="1" t="s">
        <v>5174</v>
      </c>
      <c r="C1283" s="187" t="n">
        <f aca="false">IFERROR(SUMPRODUCT((IF('OCTUBRE 2026'!Y6:Y110&lt;&gt;"",'OCTUBRE 2026'!Y6:Y110,'OCTUBRE 2026'!I6:I110)="JALCA GRANDE")*('OCTUBRE 2026'!K6:K110="PETROLEO")*'OCTUBRE 2026'!M6:M110),0)</f>
        <v>0</v>
      </c>
      <c r="D1283" s="187" t="n">
        <f aca="false">IFERROR(SUMPRODUCT((IF('OCTUBRE 2026'!Y6:Y110&lt;&gt;"",'OCTUBRE 2026'!Y6:Y110,'OCTUBRE 2026'!I6:I110)="JALCA GRANDE")*('OCTUBRE 2026'!K6:K110="PETROLEO")*'OCTUBRE 2026'!N6:N110),0)</f>
        <v>0</v>
      </c>
      <c r="E1283" s="187" t="n">
        <f aca="false">IFERROR(SUMPRODUCT((IF('OCTUBRE 2026'!Y6:Y110&lt;&gt;"",'OCTUBRE 2026'!Y6:Y110,'OCTUBRE 2026'!I6:I110)="JALCA GRANDE")*('OCTUBRE 2026'!K6:K110="GASOLINA")*'OCTUBRE 2026'!M6:M110),0)</f>
        <v>0</v>
      </c>
      <c r="F1283" s="187" t="n">
        <f aca="false">IFERROR(SUMPRODUCT((IF('OCTUBRE 2026'!Y6:Y110&lt;&gt;"",'OCTUBRE 2026'!Y6:Y110,'OCTUBRE 2026'!I6:I110)="JALCA GRANDE")*('OCTUBRE 2026'!K6:K110="GASOLINA")*'OCTUBRE 2026'!N6:N110),0)</f>
        <v>0</v>
      </c>
    </row>
    <row r="1284" customFormat="false" ht="15" hidden="false" customHeight="true" outlineLevel="0" collapsed="false">
      <c r="A1284" s="1" t="s">
        <v>165</v>
      </c>
      <c r="B1284" s="1" t="s">
        <v>5175</v>
      </c>
      <c r="C1284" s="187" t="n">
        <f aca="false">IFERROR(SUMPRODUCT((IF('NOVIEMBRE 2026'!Y6:Y110&lt;&gt;"",'NOVIEMBRE 2026'!Y6:Y110,'NOVIEMBRE 2026'!I6:I110)="JALCA GRANDE")*('NOVIEMBRE 2026'!K6:K110="PETROLEO")*'NOVIEMBRE 2026'!M6:M110),0)</f>
        <v>0</v>
      </c>
      <c r="D1284" s="187" t="n">
        <f aca="false">IFERROR(SUMPRODUCT((IF('NOVIEMBRE 2026'!Y6:Y110&lt;&gt;"",'NOVIEMBRE 2026'!Y6:Y110,'NOVIEMBRE 2026'!I6:I110)="JALCA GRANDE")*('NOVIEMBRE 2026'!K6:K110="PETROLEO")*'NOVIEMBRE 2026'!N6:N110),0)</f>
        <v>0</v>
      </c>
      <c r="E1284" s="187" t="n">
        <f aca="false">IFERROR(SUMPRODUCT((IF('NOVIEMBRE 2026'!Y6:Y110&lt;&gt;"",'NOVIEMBRE 2026'!Y6:Y110,'NOVIEMBRE 2026'!I6:I110)="JALCA GRANDE")*('NOVIEMBRE 2026'!K6:K110="GASOLINA")*'NOVIEMBRE 2026'!M6:M110),0)</f>
        <v>0</v>
      </c>
      <c r="F1284" s="187" t="n">
        <f aca="false">IFERROR(SUMPRODUCT((IF('NOVIEMBRE 2026'!Y6:Y110&lt;&gt;"",'NOVIEMBRE 2026'!Y6:Y110,'NOVIEMBRE 2026'!I6:I110)="JALCA GRANDE")*('NOVIEMBRE 2026'!K6:K110="GASOLINA")*'NOVIEMBRE 2026'!N6:N110),0)</f>
        <v>0</v>
      </c>
    </row>
    <row r="1285" customFormat="false" ht="15" hidden="false" customHeight="true" outlineLevel="0" collapsed="false">
      <c r="A1285" s="1" t="s">
        <v>165</v>
      </c>
      <c r="B1285" s="1" t="s">
        <v>5176</v>
      </c>
      <c r="C1285" s="187" t="n">
        <f aca="false">IFERROR(SUMPRODUCT((IF('DICIEMBRE 2026'!Y6:Y110&lt;&gt;"",'DICIEMBRE 2026'!Y6:Y110,'DICIEMBRE 2026'!I6:I110)="JALCA GRANDE")*('DICIEMBRE 2026'!K6:K110="PETROLEO")*'DICIEMBRE 2026'!M6:M110),0)</f>
        <v>0</v>
      </c>
      <c r="D1285" s="187" t="n">
        <f aca="false">IFERROR(SUMPRODUCT((IF('DICIEMBRE 2026'!Y6:Y110&lt;&gt;"",'DICIEMBRE 2026'!Y6:Y110,'DICIEMBRE 2026'!I6:I110)="JALCA GRANDE")*('DICIEMBRE 2026'!K6:K110="PETROLEO")*'DICIEMBRE 2026'!N6:N110),0)</f>
        <v>0</v>
      </c>
      <c r="E1285" s="187" t="n">
        <f aca="false">IFERROR(SUMPRODUCT((IF('DICIEMBRE 2026'!Y6:Y110&lt;&gt;"",'DICIEMBRE 2026'!Y6:Y110,'DICIEMBRE 2026'!I6:I110)="JALCA GRANDE")*('DICIEMBRE 2026'!K6:K110="GASOLINA")*'DICIEMBRE 2026'!M6:M110),0)</f>
        <v>0</v>
      </c>
      <c r="F1285" s="187" t="n">
        <f aca="false">IFERROR(SUMPRODUCT((IF('DICIEMBRE 2026'!Y6:Y110&lt;&gt;"",'DICIEMBRE 2026'!Y6:Y110,'DICIEMBRE 2026'!I6:I110)="JALCA GRANDE")*('DICIEMBRE 2026'!K6:K110="GASOLINA")*'DICIEMBRE 2026'!N6:N110),0)</f>
        <v>0</v>
      </c>
    </row>
    <row r="1286" customFormat="false" ht="15" hidden="false" customHeight="true" outlineLevel="0" collapsed="false">
      <c r="A1286" s="1" t="s">
        <v>51</v>
      </c>
      <c r="B1286" s="1" t="s">
        <v>5165</v>
      </c>
      <c r="C1286" s="187" t="n">
        <f aca="false">IFERROR(SUMPRODUCT((IF('ENERO 2026'!Y6:Y119&lt;&gt;"",'ENERO 2026'!Y6:Y119,'ENERO 2026'!I6:I119)="JUMBILLA")*('ENERO 2026'!K6:K119="PETROLEO")*'ENERO 2026'!M6:M119),0)</f>
        <v>5</v>
      </c>
      <c r="D1286" s="187" t="n">
        <f aca="false">IFERROR(SUMPRODUCT((IF('ENERO 2026'!Y6:Y119&lt;&gt;"",'ENERO 2026'!Y6:Y119,'ENERO 2026'!I6:I119)="JUMBILLA")*('ENERO 2026'!K6:K119="PETROLEO")*'ENERO 2026'!N6:N119),0)</f>
        <v>0</v>
      </c>
      <c r="E1286" s="187" t="n">
        <f aca="false">IFERROR(SUMPRODUCT((IF('ENERO 2026'!Y6:Y119&lt;&gt;"",'ENERO 2026'!Y6:Y119,'ENERO 2026'!I6:I119)="JUMBILLA")*('ENERO 2026'!K6:K119="GASOLINA")*'ENERO 2026'!M6:M119),0)</f>
        <v>0</v>
      </c>
      <c r="F1286" s="187" t="n">
        <f aca="false">IFERROR(SUMPRODUCT((IF('ENERO 2026'!Y6:Y119&lt;&gt;"",'ENERO 2026'!Y6:Y119,'ENERO 2026'!I6:I119)="JUMBILLA")*('ENERO 2026'!K6:K119="GASOLINA")*'ENERO 2026'!N6:N119),0)</f>
        <v>0</v>
      </c>
    </row>
    <row r="1287" customFormat="false" ht="15" hidden="false" customHeight="true" outlineLevel="0" collapsed="false">
      <c r="A1287" s="1" t="s">
        <v>51</v>
      </c>
      <c r="B1287" s="1" t="s">
        <v>5166</v>
      </c>
      <c r="C1287" s="187" t="n">
        <f aca="false">IFERROR(SUMPRODUCT((IF('FEBRERO 2026'!Y6:Y124&lt;&gt;"",'FEBRERO 2026'!Y6:Y124,'FEBRERO 2026'!I6:I124)="JUMBILLA")*('FEBRERO 2026'!K6:K124="PETROLEO")*'FEBRERO 2026'!M6:M124),0)</f>
        <v>29</v>
      </c>
      <c r="D1287" s="187" t="n">
        <f aca="false">IFERROR(SUMPRODUCT((IF('FEBRERO 2026'!Y6:Y124&lt;&gt;"",'FEBRERO 2026'!Y6:Y124,'FEBRERO 2026'!I6:I124)="JUMBILLA")*('FEBRERO 2026'!K6:K124="PETROLEO")*'FEBRERO 2026'!N6:N124),0)</f>
        <v>527.22</v>
      </c>
      <c r="E1287" s="187" t="n">
        <f aca="false">IFERROR(SUMPRODUCT((IF('FEBRERO 2026'!Y6:Y124&lt;&gt;"",'FEBRERO 2026'!Y6:Y124,'FEBRERO 2026'!I6:I124)="JUMBILLA")*('FEBRERO 2026'!K6:K124="GASOLINA")*'FEBRERO 2026'!M6:M124),0)</f>
        <v>0</v>
      </c>
      <c r="F1287" s="187" t="n">
        <f aca="false">IFERROR(SUMPRODUCT((IF('FEBRERO 2026'!Y6:Y124&lt;&gt;"",'FEBRERO 2026'!Y6:Y124,'FEBRERO 2026'!I6:I124)="JUMBILLA")*('FEBRERO 2026'!K6:K124="GASOLINA")*'FEBRERO 2026'!N6:N124),0)</f>
        <v>0</v>
      </c>
    </row>
    <row r="1288" customFormat="false" ht="15" hidden="false" customHeight="true" outlineLevel="0" collapsed="false">
      <c r="A1288" s="1" t="s">
        <v>51</v>
      </c>
      <c r="B1288" s="1" t="s">
        <v>5167</v>
      </c>
      <c r="C1288" s="187" t="n">
        <f aca="false">IFERROR(SUMPRODUCT((IF('MARZO 2026'!Y6:Y119&lt;&gt;"",'MARZO 2026'!Y6:Y119,'MARZO 2026'!I6:I119)="JUMBILLA")*('MARZO 2026'!K6:K119="PETROLEO")*'MARZO 2026'!M6:M119),0)</f>
        <v>0</v>
      </c>
      <c r="D1288" s="187" t="n">
        <f aca="false">IFERROR(SUMPRODUCT((IF('MARZO 2026'!Y6:Y119&lt;&gt;"",'MARZO 2026'!Y6:Y119,'MARZO 2026'!I6:I119)="JUMBILLA")*('MARZO 2026'!K6:K119="PETROLEO")*'MARZO 2026'!N6:N119),0)</f>
        <v>0</v>
      </c>
      <c r="E1288" s="187" t="n">
        <f aca="false">IFERROR(SUMPRODUCT((IF('MARZO 2026'!Y6:Y119&lt;&gt;"",'MARZO 2026'!Y6:Y119,'MARZO 2026'!I6:I119)="JUMBILLA")*('MARZO 2026'!K6:K119="GASOLINA")*'MARZO 2026'!M6:M119),0)</f>
        <v>0</v>
      </c>
      <c r="F1288" s="187" t="n">
        <f aca="false">IFERROR(SUMPRODUCT((IF('MARZO 2026'!Y6:Y119&lt;&gt;"",'MARZO 2026'!Y6:Y119,'MARZO 2026'!I6:I119)="JUMBILLA")*('MARZO 2026'!K6:K119="GASOLINA")*'MARZO 2026'!N6:N119),0)</f>
        <v>0</v>
      </c>
    </row>
    <row r="1289" customFormat="false" ht="15" hidden="false" customHeight="true" outlineLevel="0" collapsed="false">
      <c r="A1289" s="1" t="s">
        <v>51</v>
      </c>
      <c r="B1289" s="1" t="s">
        <v>5168</v>
      </c>
      <c r="C1289" s="187" t="n">
        <f aca="false">IFERROR(SUMPRODUCT((IF('ABRIL 2026'!Y6:Y119&lt;&gt;"",'ABRIL 2026'!Y6:Y119,'ABRIL 2026'!I6:I119)="JUMBILLA")*('ABRIL 2026'!K6:K119="PETROLEO")*'ABRIL 2026'!M6:M119),0)</f>
        <v>0</v>
      </c>
      <c r="D1289" s="187" t="n">
        <f aca="false">IFERROR(SUMPRODUCT((IF('ABRIL 2026'!Y6:Y119&lt;&gt;"",'ABRIL 2026'!Y6:Y119,'ABRIL 2026'!I6:I119)="JUMBILLA")*('ABRIL 2026'!K6:K119="PETROLEO")*'ABRIL 2026'!N6:N119),0)</f>
        <v>0</v>
      </c>
      <c r="E1289" s="187" t="n">
        <f aca="false">IFERROR(SUMPRODUCT((IF('ABRIL 2026'!Y6:Y119&lt;&gt;"",'ABRIL 2026'!Y6:Y119,'ABRIL 2026'!I6:I119)="JUMBILLA")*('ABRIL 2026'!K6:K119="GASOLINA")*'ABRIL 2026'!M6:M119),0)</f>
        <v>0</v>
      </c>
      <c r="F1289" s="187" t="n">
        <f aca="false">IFERROR(SUMPRODUCT((IF('ABRIL 2026'!Y6:Y119&lt;&gt;"",'ABRIL 2026'!Y6:Y119,'ABRIL 2026'!I6:I119)="JUMBILLA")*('ABRIL 2026'!K6:K119="GASOLINA")*'ABRIL 2026'!N6:N119),0)</f>
        <v>0</v>
      </c>
    </row>
    <row r="1290" customFormat="false" ht="15" hidden="false" customHeight="true" outlineLevel="0" collapsed="false">
      <c r="A1290" s="1" t="s">
        <v>51</v>
      </c>
      <c r="B1290" s="1" t="s">
        <v>5169</v>
      </c>
      <c r="C1290" s="187" t="n">
        <f aca="false">IFERROR(SUMPRODUCT((IF('MAYO 2026'!Y6:Y110&lt;&gt;"",'MAYO 2026'!Y6:Y110,'MAYO 2026'!I6:I110)="JUMBILLA")*('MAYO 2026'!K6:K110="PETROLEO")*'MAYO 2026'!M6:M110),0)</f>
        <v>0</v>
      </c>
      <c r="D1290" s="187" t="n">
        <f aca="false">IFERROR(SUMPRODUCT((IF('MAYO 2026'!Y6:Y110&lt;&gt;"",'MAYO 2026'!Y6:Y110,'MAYO 2026'!I6:I110)="JUMBILLA")*('MAYO 2026'!K6:K110="PETROLEO")*'MAYO 2026'!N6:N110),0)</f>
        <v>0</v>
      </c>
      <c r="E1290" s="187" t="n">
        <f aca="false">IFERROR(SUMPRODUCT((IF('MAYO 2026'!Y6:Y110&lt;&gt;"",'MAYO 2026'!Y6:Y110,'MAYO 2026'!I6:I110)="JUMBILLA")*('MAYO 2026'!K6:K110="GASOLINA")*'MAYO 2026'!M6:M110),0)</f>
        <v>0</v>
      </c>
      <c r="F1290" s="187" t="n">
        <f aca="false">IFERROR(SUMPRODUCT((IF('MAYO 2026'!Y6:Y110&lt;&gt;"",'MAYO 2026'!Y6:Y110,'MAYO 2026'!I6:I110)="JUMBILLA")*('MAYO 2026'!K6:K110="GASOLINA")*'MAYO 2026'!N6:N110),0)</f>
        <v>0</v>
      </c>
    </row>
    <row r="1291" customFormat="false" ht="15" hidden="false" customHeight="true" outlineLevel="0" collapsed="false">
      <c r="A1291" s="1" t="s">
        <v>51</v>
      </c>
      <c r="B1291" s="1" t="s">
        <v>5170</v>
      </c>
      <c r="C1291" s="187" t="n">
        <f aca="false">IFERROR(SUMPRODUCT((IF('JUNIO 2026'!Y6:Y110&lt;&gt;"",'JUNIO 2026'!Y6:Y110,'JUNIO 2026'!I6:I110)="JUMBILLA")*('JUNIO 2026'!K6:K110="PETROLEO")*'JUNIO 2026'!M6:M110),0)</f>
        <v>0</v>
      </c>
      <c r="D1291" s="187" t="n">
        <f aca="false">IFERROR(SUMPRODUCT((IF('JUNIO 2026'!Y6:Y110&lt;&gt;"",'JUNIO 2026'!Y6:Y110,'JUNIO 2026'!I6:I110)="JUMBILLA")*('JUNIO 2026'!K6:K110="PETROLEO")*'JUNIO 2026'!N6:N110),0)</f>
        <v>0</v>
      </c>
      <c r="E1291" s="187" t="n">
        <f aca="false">IFERROR(SUMPRODUCT((IF('JUNIO 2026'!Y6:Y110&lt;&gt;"",'JUNIO 2026'!Y6:Y110,'JUNIO 2026'!I6:I110)="JUMBILLA")*('JUNIO 2026'!K6:K110="GASOLINA")*'JUNIO 2026'!M6:M110),0)</f>
        <v>0</v>
      </c>
      <c r="F1291" s="187" t="n">
        <f aca="false">IFERROR(SUMPRODUCT((IF('JUNIO 2026'!Y6:Y110&lt;&gt;"",'JUNIO 2026'!Y6:Y110,'JUNIO 2026'!I6:I110)="JUMBILLA")*('JUNIO 2026'!K6:K110="GASOLINA")*'JUNIO 2026'!N6:N110),0)</f>
        <v>0</v>
      </c>
    </row>
    <row r="1292" customFormat="false" ht="15" hidden="false" customHeight="true" outlineLevel="0" collapsed="false">
      <c r="A1292" s="1" t="s">
        <v>51</v>
      </c>
      <c r="B1292" s="1" t="s">
        <v>5171</v>
      </c>
      <c r="C1292" s="187" t="n">
        <f aca="false">IFERROR(SUMPRODUCT((IF('JULIO 2026'!Y6:Y110&lt;&gt;"",'JULIO 2026'!Y6:Y110,'JULIO 2026'!I6:I110)="JUMBILLA")*('JULIO 2026'!K6:K110="PETROLEO")*'JULIO 2026'!M6:M110),0)</f>
        <v>0</v>
      </c>
      <c r="D1292" s="187" t="n">
        <f aca="false">IFERROR(SUMPRODUCT((IF('JULIO 2026'!Y6:Y110&lt;&gt;"",'JULIO 2026'!Y6:Y110,'JULIO 2026'!I6:I110)="JUMBILLA")*('JULIO 2026'!K6:K110="PETROLEO")*'JULIO 2026'!N6:N110),0)</f>
        <v>0</v>
      </c>
      <c r="E1292" s="187" t="n">
        <f aca="false">IFERROR(SUMPRODUCT((IF('JULIO 2026'!Y6:Y110&lt;&gt;"",'JULIO 2026'!Y6:Y110,'JULIO 2026'!I6:I110)="JUMBILLA")*('JULIO 2026'!K6:K110="GASOLINA")*'JULIO 2026'!M6:M110),0)</f>
        <v>0</v>
      </c>
      <c r="F1292" s="187" t="n">
        <f aca="false">IFERROR(SUMPRODUCT((IF('JULIO 2026'!Y6:Y110&lt;&gt;"",'JULIO 2026'!Y6:Y110,'JULIO 2026'!I6:I110)="JUMBILLA")*('JULIO 2026'!K6:K110="GASOLINA")*'JULIO 2026'!N6:N110),0)</f>
        <v>0</v>
      </c>
    </row>
    <row r="1293" customFormat="false" ht="15" hidden="false" customHeight="true" outlineLevel="0" collapsed="false">
      <c r="A1293" s="1" t="s">
        <v>51</v>
      </c>
      <c r="B1293" s="1" t="s">
        <v>5172</v>
      </c>
      <c r="C1293" s="187" t="n">
        <f aca="false">IFERROR(SUMPRODUCT((IF('AGOSTO 2026'!Y6:Y110&lt;&gt;"",'AGOSTO 2026'!Y6:Y110,'AGOSTO 2026'!I6:I110)="JUMBILLA")*('AGOSTO 2026'!K6:K110="PETROLEO")*'AGOSTO 2026'!M6:M110),0)</f>
        <v>0</v>
      </c>
      <c r="D1293" s="187" t="n">
        <f aca="false">IFERROR(SUMPRODUCT((IF('AGOSTO 2026'!Y6:Y110&lt;&gt;"",'AGOSTO 2026'!Y6:Y110,'AGOSTO 2026'!I6:I110)="JUMBILLA")*('AGOSTO 2026'!K6:K110="PETROLEO")*'AGOSTO 2026'!N6:N110),0)</f>
        <v>0</v>
      </c>
      <c r="E1293" s="187" t="n">
        <f aca="false">IFERROR(SUMPRODUCT((IF('AGOSTO 2026'!Y6:Y110&lt;&gt;"",'AGOSTO 2026'!Y6:Y110,'AGOSTO 2026'!I6:I110)="JUMBILLA")*('AGOSTO 2026'!K6:K110="GASOLINA")*'AGOSTO 2026'!M6:M110),0)</f>
        <v>0</v>
      </c>
      <c r="F1293" s="187" t="n">
        <f aca="false">IFERROR(SUMPRODUCT((IF('AGOSTO 2026'!Y6:Y110&lt;&gt;"",'AGOSTO 2026'!Y6:Y110,'AGOSTO 2026'!I6:I110)="JUMBILLA")*('AGOSTO 2026'!K6:K110="GASOLINA")*'AGOSTO 2026'!N6:N110),0)</f>
        <v>0</v>
      </c>
    </row>
    <row r="1294" customFormat="false" ht="15" hidden="false" customHeight="true" outlineLevel="0" collapsed="false">
      <c r="A1294" s="1" t="s">
        <v>51</v>
      </c>
      <c r="B1294" s="1" t="s">
        <v>5173</v>
      </c>
      <c r="C1294" s="187" t="n">
        <f aca="false">IFERROR(SUMPRODUCT((IF('SETIEMBRE 2026'!Y6:Y110&lt;&gt;"",'SETIEMBRE 2026'!Y6:Y110,'SETIEMBRE 2026'!I6:I110)="JUMBILLA")*('SETIEMBRE 2026'!K6:K110="PETROLEO")*'SETIEMBRE 2026'!M6:M110),0)</f>
        <v>0</v>
      </c>
      <c r="D1294" s="187" t="n">
        <f aca="false">IFERROR(SUMPRODUCT((IF('SETIEMBRE 2026'!Y6:Y110&lt;&gt;"",'SETIEMBRE 2026'!Y6:Y110,'SETIEMBRE 2026'!I6:I110)="JUMBILLA")*('SETIEMBRE 2026'!K6:K110="PETROLEO")*'SETIEMBRE 2026'!N6:N110),0)</f>
        <v>0</v>
      </c>
      <c r="E1294" s="187" t="n">
        <f aca="false">IFERROR(SUMPRODUCT((IF('SETIEMBRE 2026'!Y6:Y110&lt;&gt;"",'SETIEMBRE 2026'!Y6:Y110,'SETIEMBRE 2026'!I6:I110)="JUMBILLA")*('SETIEMBRE 2026'!K6:K110="GASOLINA")*'SETIEMBRE 2026'!M6:M110),0)</f>
        <v>0</v>
      </c>
      <c r="F1294" s="187" t="n">
        <f aca="false">IFERROR(SUMPRODUCT((IF('SETIEMBRE 2026'!Y6:Y110&lt;&gt;"",'SETIEMBRE 2026'!Y6:Y110,'SETIEMBRE 2026'!I6:I110)="JUMBILLA")*('SETIEMBRE 2026'!K6:K110="GASOLINA")*'SETIEMBRE 2026'!N6:N110),0)</f>
        <v>0</v>
      </c>
    </row>
    <row r="1295" customFormat="false" ht="15" hidden="false" customHeight="true" outlineLevel="0" collapsed="false">
      <c r="A1295" s="1" t="s">
        <v>51</v>
      </c>
      <c r="B1295" s="1" t="s">
        <v>5174</v>
      </c>
      <c r="C1295" s="187" t="n">
        <f aca="false">IFERROR(SUMPRODUCT((IF('OCTUBRE 2026'!Y6:Y110&lt;&gt;"",'OCTUBRE 2026'!Y6:Y110,'OCTUBRE 2026'!I6:I110)="JUMBILLA")*('OCTUBRE 2026'!K6:K110="PETROLEO")*'OCTUBRE 2026'!M6:M110),0)</f>
        <v>0</v>
      </c>
      <c r="D1295" s="187" t="n">
        <f aca="false">IFERROR(SUMPRODUCT((IF('OCTUBRE 2026'!Y6:Y110&lt;&gt;"",'OCTUBRE 2026'!Y6:Y110,'OCTUBRE 2026'!I6:I110)="JUMBILLA")*('OCTUBRE 2026'!K6:K110="PETROLEO")*'OCTUBRE 2026'!N6:N110),0)</f>
        <v>0</v>
      </c>
      <c r="E1295" s="187" t="n">
        <f aca="false">IFERROR(SUMPRODUCT((IF('OCTUBRE 2026'!Y6:Y110&lt;&gt;"",'OCTUBRE 2026'!Y6:Y110,'OCTUBRE 2026'!I6:I110)="JUMBILLA")*('OCTUBRE 2026'!K6:K110="GASOLINA")*'OCTUBRE 2026'!M6:M110),0)</f>
        <v>0</v>
      </c>
      <c r="F1295" s="187" t="n">
        <f aca="false">IFERROR(SUMPRODUCT((IF('OCTUBRE 2026'!Y6:Y110&lt;&gt;"",'OCTUBRE 2026'!Y6:Y110,'OCTUBRE 2026'!I6:I110)="JUMBILLA")*('OCTUBRE 2026'!K6:K110="GASOLINA")*'OCTUBRE 2026'!N6:N110),0)</f>
        <v>0</v>
      </c>
    </row>
    <row r="1296" customFormat="false" ht="15" hidden="false" customHeight="true" outlineLevel="0" collapsed="false">
      <c r="A1296" s="1" t="s">
        <v>51</v>
      </c>
      <c r="B1296" s="1" t="s">
        <v>5175</v>
      </c>
      <c r="C1296" s="187" t="n">
        <f aca="false">IFERROR(SUMPRODUCT((IF('NOVIEMBRE 2026'!Y6:Y110&lt;&gt;"",'NOVIEMBRE 2026'!Y6:Y110,'NOVIEMBRE 2026'!I6:I110)="JUMBILLA")*('NOVIEMBRE 2026'!K6:K110="PETROLEO")*'NOVIEMBRE 2026'!M6:M110),0)</f>
        <v>0</v>
      </c>
      <c r="D1296" s="187" t="n">
        <f aca="false">IFERROR(SUMPRODUCT((IF('NOVIEMBRE 2026'!Y6:Y110&lt;&gt;"",'NOVIEMBRE 2026'!Y6:Y110,'NOVIEMBRE 2026'!I6:I110)="JUMBILLA")*('NOVIEMBRE 2026'!K6:K110="PETROLEO")*'NOVIEMBRE 2026'!N6:N110),0)</f>
        <v>0</v>
      </c>
      <c r="E1296" s="187" t="n">
        <f aca="false">IFERROR(SUMPRODUCT((IF('NOVIEMBRE 2026'!Y6:Y110&lt;&gt;"",'NOVIEMBRE 2026'!Y6:Y110,'NOVIEMBRE 2026'!I6:I110)="JUMBILLA")*('NOVIEMBRE 2026'!K6:K110="GASOLINA")*'NOVIEMBRE 2026'!M6:M110),0)</f>
        <v>0</v>
      </c>
      <c r="F1296" s="187" t="n">
        <f aca="false">IFERROR(SUMPRODUCT((IF('NOVIEMBRE 2026'!Y6:Y110&lt;&gt;"",'NOVIEMBRE 2026'!Y6:Y110,'NOVIEMBRE 2026'!I6:I110)="JUMBILLA")*('NOVIEMBRE 2026'!K6:K110="GASOLINA")*'NOVIEMBRE 2026'!N6:N110),0)</f>
        <v>0</v>
      </c>
    </row>
    <row r="1297" customFormat="false" ht="15" hidden="false" customHeight="true" outlineLevel="0" collapsed="false">
      <c r="A1297" s="1" t="s">
        <v>51</v>
      </c>
      <c r="B1297" s="1" t="s">
        <v>5176</v>
      </c>
      <c r="C1297" s="187" t="n">
        <f aca="false">IFERROR(SUMPRODUCT((IF('DICIEMBRE 2026'!Y6:Y110&lt;&gt;"",'DICIEMBRE 2026'!Y6:Y110,'DICIEMBRE 2026'!I6:I110)="JUMBILLA")*('DICIEMBRE 2026'!K6:K110="PETROLEO")*'DICIEMBRE 2026'!M6:M110),0)</f>
        <v>0</v>
      </c>
      <c r="D1297" s="187" t="n">
        <f aca="false">IFERROR(SUMPRODUCT((IF('DICIEMBRE 2026'!Y6:Y110&lt;&gt;"",'DICIEMBRE 2026'!Y6:Y110,'DICIEMBRE 2026'!I6:I110)="JUMBILLA")*('DICIEMBRE 2026'!K6:K110="PETROLEO")*'DICIEMBRE 2026'!N6:N110),0)</f>
        <v>0</v>
      </c>
      <c r="E1297" s="187" t="n">
        <f aca="false">IFERROR(SUMPRODUCT((IF('DICIEMBRE 2026'!Y6:Y110&lt;&gt;"",'DICIEMBRE 2026'!Y6:Y110,'DICIEMBRE 2026'!I6:I110)="JUMBILLA")*('DICIEMBRE 2026'!K6:K110="GASOLINA")*'DICIEMBRE 2026'!M6:M110),0)</f>
        <v>0</v>
      </c>
      <c r="F1297" s="187" t="n">
        <f aca="false">IFERROR(SUMPRODUCT((IF('DICIEMBRE 2026'!Y6:Y110&lt;&gt;"",'DICIEMBRE 2026'!Y6:Y110,'DICIEMBRE 2026'!I6:I110)="JUMBILLA")*('DICIEMBRE 2026'!K6:K110="GASOLINA")*'DICIEMBRE 2026'!N6:N110),0)</f>
        <v>0</v>
      </c>
    </row>
    <row r="1298" customFormat="false" ht="15" hidden="false" customHeight="true" outlineLevel="0" collapsed="false">
      <c r="A1298" s="1" t="s">
        <v>53</v>
      </c>
      <c r="B1298" s="1" t="s">
        <v>5165</v>
      </c>
      <c r="C1298" s="187" t="n">
        <f aca="false">IFERROR(SUMPRODUCT((IF('ENERO 2026'!Y6:Y119&lt;&gt;"",'ENERO 2026'!Y6:Y119,'ENERO 2026'!I6:I119)="LAMUD")*('ENERO 2026'!K6:K119="PETROLEO")*'ENERO 2026'!M6:M119),0)</f>
        <v>24</v>
      </c>
      <c r="D1298" s="187" t="n">
        <f aca="false">IFERROR(SUMPRODUCT((IF('ENERO 2026'!Y6:Y119&lt;&gt;"",'ENERO 2026'!Y6:Y119,'ENERO 2026'!I6:I119)="LAMUD")*('ENERO 2026'!K6:K119="PETROLEO")*'ENERO 2026'!N6:N119),0)</f>
        <v>0</v>
      </c>
      <c r="E1298" s="187" t="n">
        <f aca="false">IFERROR(SUMPRODUCT((IF('ENERO 2026'!Y6:Y119&lt;&gt;"",'ENERO 2026'!Y6:Y119,'ENERO 2026'!I6:I119)="LAMUD")*('ENERO 2026'!K6:K119="GASOLINA")*'ENERO 2026'!M6:M119),0)</f>
        <v>0</v>
      </c>
      <c r="F1298" s="187" t="n">
        <f aca="false">IFERROR(SUMPRODUCT((IF('ENERO 2026'!Y6:Y119&lt;&gt;"",'ENERO 2026'!Y6:Y119,'ENERO 2026'!I6:I119)="LAMUD")*('ENERO 2026'!K6:K119="GASOLINA")*'ENERO 2026'!N6:N119),0)</f>
        <v>0</v>
      </c>
    </row>
    <row r="1299" customFormat="false" ht="15" hidden="false" customHeight="true" outlineLevel="0" collapsed="false">
      <c r="A1299" s="1" t="s">
        <v>53</v>
      </c>
      <c r="B1299" s="1" t="s">
        <v>5166</v>
      </c>
      <c r="C1299" s="187" t="n">
        <f aca="false">IFERROR(SUMPRODUCT((IF('FEBRERO 2026'!Y6:Y124&lt;&gt;"",'FEBRERO 2026'!Y6:Y124,'FEBRERO 2026'!I6:I124)="LAMUD")*('FEBRERO 2026'!K6:K124="PETROLEO")*'FEBRERO 2026'!M6:M124),0)</f>
        <v>28</v>
      </c>
      <c r="D1299" s="187" t="n">
        <f aca="false">IFERROR(SUMPRODUCT((IF('FEBRERO 2026'!Y6:Y124&lt;&gt;"",'FEBRERO 2026'!Y6:Y124,'FEBRERO 2026'!I6:I124)="LAMUD")*('FEBRERO 2026'!K6:K124="PETROLEO")*'FEBRERO 2026'!N6:N124),0)</f>
        <v>509.04</v>
      </c>
      <c r="E1299" s="187" t="n">
        <f aca="false">IFERROR(SUMPRODUCT((IF('FEBRERO 2026'!Y6:Y124&lt;&gt;"",'FEBRERO 2026'!Y6:Y124,'FEBRERO 2026'!I6:I124)="LAMUD")*('FEBRERO 2026'!K6:K124="GASOLINA")*'FEBRERO 2026'!M6:M124),0)</f>
        <v>0</v>
      </c>
      <c r="F1299" s="187" t="n">
        <f aca="false">IFERROR(SUMPRODUCT((IF('FEBRERO 2026'!Y6:Y124&lt;&gt;"",'FEBRERO 2026'!Y6:Y124,'FEBRERO 2026'!I6:I124)="LAMUD")*('FEBRERO 2026'!K6:K124="GASOLINA")*'FEBRERO 2026'!N6:N124),0)</f>
        <v>0</v>
      </c>
    </row>
    <row r="1300" customFormat="false" ht="15" hidden="false" customHeight="true" outlineLevel="0" collapsed="false">
      <c r="A1300" s="1" t="s">
        <v>53</v>
      </c>
      <c r="B1300" s="1" t="s">
        <v>5167</v>
      </c>
      <c r="C1300" s="187" t="n">
        <f aca="false">IFERROR(SUMPRODUCT((IF('MARZO 2026'!Y6:Y119&lt;&gt;"",'MARZO 2026'!Y6:Y119,'MARZO 2026'!I6:I119)="LAMUD")*('MARZO 2026'!K6:K119="PETROLEO")*'MARZO 2026'!M6:M119),0)</f>
        <v>0</v>
      </c>
      <c r="D1300" s="187" t="n">
        <f aca="false">IFERROR(SUMPRODUCT((IF('MARZO 2026'!Y6:Y119&lt;&gt;"",'MARZO 2026'!Y6:Y119,'MARZO 2026'!I6:I119)="LAMUD")*('MARZO 2026'!K6:K119="PETROLEO")*'MARZO 2026'!N6:N119),0)</f>
        <v>0</v>
      </c>
      <c r="E1300" s="187" t="n">
        <f aca="false">IFERROR(SUMPRODUCT((IF('MARZO 2026'!Y6:Y119&lt;&gt;"",'MARZO 2026'!Y6:Y119,'MARZO 2026'!I6:I119)="LAMUD")*('MARZO 2026'!K6:K119="GASOLINA")*'MARZO 2026'!M6:M119),0)</f>
        <v>0</v>
      </c>
      <c r="F1300" s="187" t="n">
        <f aca="false">IFERROR(SUMPRODUCT((IF('MARZO 2026'!Y6:Y119&lt;&gt;"",'MARZO 2026'!Y6:Y119,'MARZO 2026'!I6:I119)="LAMUD")*('MARZO 2026'!K6:K119="GASOLINA")*'MARZO 2026'!N6:N119),0)</f>
        <v>0</v>
      </c>
    </row>
    <row r="1301" customFormat="false" ht="15" hidden="false" customHeight="true" outlineLevel="0" collapsed="false">
      <c r="A1301" s="1" t="s">
        <v>53</v>
      </c>
      <c r="B1301" s="1" t="s">
        <v>5168</v>
      </c>
      <c r="C1301" s="187" t="n">
        <f aca="false">IFERROR(SUMPRODUCT((IF('ABRIL 2026'!Y6:Y119&lt;&gt;"",'ABRIL 2026'!Y6:Y119,'ABRIL 2026'!I6:I119)="LAMUD")*('ABRIL 2026'!K6:K119="PETROLEO")*'ABRIL 2026'!M6:M119),0)</f>
        <v>0</v>
      </c>
      <c r="D1301" s="187" t="n">
        <f aca="false">IFERROR(SUMPRODUCT((IF('ABRIL 2026'!Y6:Y119&lt;&gt;"",'ABRIL 2026'!Y6:Y119,'ABRIL 2026'!I6:I119)="LAMUD")*('ABRIL 2026'!K6:K119="PETROLEO")*'ABRIL 2026'!N6:N119),0)</f>
        <v>0</v>
      </c>
      <c r="E1301" s="187" t="n">
        <f aca="false">IFERROR(SUMPRODUCT((IF('ABRIL 2026'!Y6:Y119&lt;&gt;"",'ABRIL 2026'!Y6:Y119,'ABRIL 2026'!I6:I119)="LAMUD")*('ABRIL 2026'!K6:K119="GASOLINA")*'ABRIL 2026'!M6:M119),0)</f>
        <v>0</v>
      </c>
      <c r="F1301" s="187" t="n">
        <f aca="false">IFERROR(SUMPRODUCT((IF('ABRIL 2026'!Y6:Y119&lt;&gt;"",'ABRIL 2026'!Y6:Y119,'ABRIL 2026'!I6:I119)="LAMUD")*('ABRIL 2026'!K6:K119="GASOLINA")*'ABRIL 2026'!N6:N119),0)</f>
        <v>0</v>
      </c>
    </row>
    <row r="1302" customFormat="false" ht="15" hidden="false" customHeight="true" outlineLevel="0" collapsed="false">
      <c r="A1302" s="1" t="s">
        <v>53</v>
      </c>
      <c r="B1302" s="1" t="s">
        <v>5169</v>
      </c>
      <c r="C1302" s="187" t="n">
        <f aca="false">IFERROR(SUMPRODUCT((IF('MAYO 2026'!Y6:Y110&lt;&gt;"",'MAYO 2026'!Y6:Y110,'MAYO 2026'!I6:I110)="LAMUD")*('MAYO 2026'!K6:K110="PETROLEO")*'MAYO 2026'!M6:M110),0)</f>
        <v>0</v>
      </c>
      <c r="D1302" s="187" t="n">
        <f aca="false">IFERROR(SUMPRODUCT((IF('MAYO 2026'!Y6:Y110&lt;&gt;"",'MAYO 2026'!Y6:Y110,'MAYO 2026'!I6:I110)="LAMUD")*('MAYO 2026'!K6:K110="PETROLEO")*'MAYO 2026'!N6:N110),0)</f>
        <v>0</v>
      </c>
      <c r="E1302" s="187" t="n">
        <f aca="false">IFERROR(SUMPRODUCT((IF('MAYO 2026'!Y6:Y110&lt;&gt;"",'MAYO 2026'!Y6:Y110,'MAYO 2026'!I6:I110)="LAMUD")*('MAYO 2026'!K6:K110="GASOLINA")*'MAYO 2026'!M6:M110),0)</f>
        <v>0</v>
      </c>
      <c r="F1302" s="187" t="n">
        <f aca="false">IFERROR(SUMPRODUCT((IF('MAYO 2026'!Y6:Y110&lt;&gt;"",'MAYO 2026'!Y6:Y110,'MAYO 2026'!I6:I110)="LAMUD")*('MAYO 2026'!K6:K110="GASOLINA")*'MAYO 2026'!N6:N110),0)</f>
        <v>0</v>
      </c>
    </row>
    <row r="1303" customFormat="false" ht="15" hidden="false" customHeight="true" outlineLevel="0" collapsed="false">
      <c r="A1303" s="1" t="s">
        <v>53</v>
      </c>
      <c r="B1303" s="1" t="s">
        <v>5170</v>
      </c>
      <c r="C1303" s="187" t="n">
        <f aca="false">IFERROR(SUMPRODUCT((IF('JUNIO 2026'!Y6:Y110&lt;&gt;"",'JUNIO 2026'!Y6:Y110,'JUNIO 2026'!I6:I110)="LAMUD")*('JUNIO 2026'!K6:K110="PETROLEO")*'JUNIO 2026'!M6:M110),0)</f>
        <v>0</v>
      </c>
      <c r="D1303" s="187" t="n">
        <f aca="false">IFERROR(SUMPRODUCT((IF('JUNIO 2026'!Y6:Y110&lt;&gt;"",'JUNIO 2026'!Y6:Y110,'JUNIO 2026'!I6:I110)="LAMUD")*('JUNIO 2026'!K6:K110="PETROLEO")*'JUNIO 2026'!N6:N110),0)</f>
        <v>0</v>
      </c>
      <c r="E1303" s="187" t="n">
        <f aca="false">IFERROR(SUMPRODUCT((IF('JUNIO 2026'!Y6:Y110&lt;&gt;"",'JUNIO 2026'!Y6:Y110,'JUNIO 2026'!I6:I110)="LAMUD")*('JUNIO 2026'!K6:K110="GASOLINA")*'JUNIO 2026'!M6:M110),0)</f>
        <v>0</v>
      </c>
      <c r="F1303" s="187" t="n">
        <f aca="false">IFERROR(SUMPRODUCT((IF('JUNIO 2026'!Y6:Y110&lt;&gt;"",'JUNIO 2026'!Y6:Y110,'JUNIO 2026'!I6:I110)="LAMUD")*('JUNIO 2026'!K6:K110="GASOLINA")*'JUNIO 2026'!N6:N110),0)</f>
        <v>0</v>
      </c>
    </row>
    <row r="1304" customFormat="false" ht="15" hidden="false" customHeight="true" outlineLevel="0" collapsed="false">
      <c r="A1304" s="1" t="s">
        <v>53</v>
      </c>
      <c r="B1304" s="1" t="s">
        <v>5171</v>
      </c>
      <c r="C1304" s="187" t="n">
        <f aca="false">IFERROR(SUMPRODUCT((IF('JULIO 2026'!Y6:Y110&lt;&gt;"",'JULIO 2026'!Y6:Y110,'JULIO 2026'!I6:I110)="LAMUD")*('JULIO 2026'!K6:K110="PETROLEO")*'JULIO 2026'!M6:M110),0)</f>
        <v>0</v>
      </c>
      <c r="D1304" s="187" t="n">
        <f aca="false">IFERROR(SUMPRODUCT((IF('JULIO 2026'!Y6:Y110&lt;&gt;"",'JULIO 2026'!Y6:Y110,'JULIO 2026'!I6:I110)="LAMUD")*('JULIO 2026'!K6:K110="PETROLEO")*'JULIO 2026'!N6:N110),0)</f>
        <v>0</v>
      </c>
      <c r="E1304" s="187" t="n">
        <f aca="false">IFERROR(SUMPRODUCT((IF('JULIO 2026'!Y6:Y110&lt;&gt;"",'JULIO 2026'!Y6:Y110,'JULIO 2026'!I6:I110)="LAMUD")*('JULIO 2026'!K6:K110="GASOLINA")*'JULIO 2026'!M6:M110),0)</f>
        <v>0</v>
      </c>
      <c r="F1304" s="187" t="n">
        <f aca="false">IFERROR(SUMPRODUCT((IF('JULIO 2026'!Y6:Y110&lt;&gt;"",'JULIO 2026'!Y6:Y110,'JULIO 2026'!I6:I110)="LAMUD")*('JULIO 2026'!K6:K110="GASOLINA")*'JULIO 2026'!N6:N110),0)</f>
        <v>0</v>
      </c>
    </row>
    <row r="1305" customFormat="false" ht="15" hidden="false" customHeight="true" outlineLevel="0" collapsed="false">
      <c r="A1305" s="1" t="s">
        <v>53</v>
      </c>
      <c r="B1305" s="1" t="s">
        <v>5172</v>
      </c>
      <c r="C1305" s="187" t="n">
        <f aca="false">IFERROR(SUMPRODUCT((IF('AGOSTO 2026'!Y6:Y110&lt;&gt;"",'AGOSTO 2026'!Y6:Y110,'AGOSTO 2026'!I6:I110)="LAMUD")*('AGOSTO 2026'!K6:K110="PETROLEO")*'AGOSTO 2026'!M6:M110),0)</f>
        <v>0</v>
      </c>
      <c r="D1305" s="187" t="n">
        <f aca="false">IFERROR(SUMPRODUCT((IF('AGOSTO 2026'!Y6:Y110&lt;&gt;"",'AGOSTO 2026'!Y6:Y110,'AGOSTO 2026'!I6:I110)="LAMUD")*('AGOSTO 2026'!K6:K110="PETROLEO")*'AGOSTO 2026'!N6:N110),0)</f>
        <v>0</v>
      </c>
      <c r="E1305" s="187" t="n">
        <f aca="false">IFERROR(SUMPRODUCT((IF('AGOSTO 2026'!Y6:Y110&lt;&gt;"",'AGOSTO 2026'!Y6:Y110,'AGOSTO 2026'!I6:I110)="LAMUD")*('AGOSTO 2026'!K6:K110="GASOLINA")*'AGOSTO 2026'!M6:M110),0)</f>
        <v>0</v>
      </c>
      <c r="F1305" s="187" t="n">
        <f aca="false">IFERROR(SUMPRODUCT((IF('AGOSTO 2026'!Y6:Y110&lt;&gt;"",'AGOSTO 2026'!Y6:Y110,'AGOSTO 2026'!I6:I110)="LAMUD")*('AGOSTO 2026'!K6:K110="GASOLINA")*'AGOSTO 2026'!N6:N110),0)</f>
        <v>0</v>
      </c>
    </row>
    <row r="1306" customFormat="false" ht="15" hidden="false" customHeight="true" outlineLevel="0" collapsed="false">
      <c r="A1306" s="1" t="s">
        <v>53</v>
      </c>
      <c r="B1306" s="1" t="s">
        <v>5173</v>
      </c>
      <c r="C1306" s="187" t="n">
        <f aca="false">IFERROR(SUMPRODUCT((IF('SETIEMBRE 2026'!Y6:Y110&lt;&gt;"",'SETIEMBRE 2026'!Y6:Y110,'SETIEMBRE 2026'!I6:I110)="LAMUD")*('SETIEMBRE 2026'!K6:K110="PETROLEO")*'SETIEMBRE 2026'!M6:M110),0)</f>
        <v>0</v>
      </c>
      <c r="D1306" s="187" t="n">
        <f aca="false">IFERROR(SUMPRODUCT((IF('SETIEMBRE 2026'!Y6:Y110&lt;&gt;"",'SETIEMBRE 2026'!Y6:Y110,'SETIEMBRE 2026'!I6:I110)="LAMUD")*('SETIEMBRE 2026'!K6:K110="PETROLEO")*'SETIEMBRE 2026'!N6:N110),0)</f>
        <v>0</v>
      </c>
      <c r="E1306" s="187" t="n">
        <f aca="false">IFERROR(SUMPRODUCT((IF('SETIEMBRE 2026'!Y6:Y110&lt;&gt;"",'SETIEMBRE 2026'!Y6:Y110,'SETIEMBRE 2026'!I6:I110)="LAMUD")*('SETIEMBRE 2026'!K6:K110="GASOLINA")*'SETIEMBRE 2026'!M6:M110),0)</f>
        <v>0</v>
      </c>
      <c r="F1306" s="187" t="n">
        <f aca="false">IFERROR(SUMPRODUCT((IF('SETIEMBRE 2026'!Y6:Y110&lt;&gt;"",'SETIEMBRE 2026'!Y6:Y110,'SETIEMBRE 2026'!I6:I110)="LAMUD")*('SETIEMBRE 2026'!K6:K110="GASOLINA")*'SETIEMBRE 2026'!N6:N110),0)</f>
        <v>0</v>
      </c>
    </row>
    <row r="1307" customFormat="false" ht="15" hidden="false" customHeight="true" outlineLevel="0" collapsed="false">
      <c r="A1307" s="1" t="s">
        <v>53</v>
      </c>
      <c r="B1307" s="1" t="s">
        <v>5174</v>
      </c>
      <c r="C1307" s="187" t="n">
        <f aca="false">IFERROR(SUMPRODUCT((IF('OCTUBRE 2026'!Y6:Y110&lt;&gt;"",'OCTUBRE 2026'!Y6:Y110,'OCTUBRE 2026'!I6:I110)="LAMUD")*('OCTUBRE 2026'!K6:K110="PETROLEO")*'OCTUBRE 2026'!M6:M110),0)</f>
        <v>0</v>
      </c>
      <c r="D1307" s="187" t="n">
        <f aca="false">IFERROR(SUMPRODUCT((IF('OCTUBRE 2026'!Y6:Y110&lt;&gt;"",'OCTUBRE 2026'!Y6:Y110,'OCTUBRE 2026'!I6:I110)="LAMUD")*('OCTUBRE 2026'!K6:K110="PETROLEO")*'OCTUBRE 2026'!N6:N110),0)</f>
        <v>0</v>
      </c>
      <c r="E1307" s="187" t="n">
        <f aca="false">IFERROR(SUMPRODUCT((IF('OCTUBRE 2026'!Y6:Y110&lt;&gt;"",'OCTUBRE 2026'!Y6:Y110,'OCTUBRE 2026'!I6:I110)="LAMUD")*('OCTUBRE 2026'!K6:K110="GASOLINA")*'OCTUBRE 2026'!M6:M110),0)</f>
        <v>0</v>
      </c>
      <c r="F1307" s="187" t="n">
        <f aca="false">IFERROR(SUMPRODUCT((IF('OCTUBRE 2026'!Y6:Y110&lt;&gt;"",'OCTUBRE 2026'!Y6:Y110,'OCTUBRE 2026'!I6:I110)="LAMUD")*('OCTUBRE 2026'!K6:K110="GASOLINA")*'OCTUBRE 2026'!N6:N110),0)</f>
        <v>0</v>
      </c>
    </row>
    <row r="1308" customFormat="false" ht="15" hidden="false" customHeight="true" outlineLevel="0" collapsed="false">
      <c r="A1308" s="1" t="s">
        <v>53</v>
      </c>
      <c r="B1308" s="1" t="s">
        <v>5175</v>
      </c>
      <c r="C1308" s="187" t="n">
        <f aca="false">IFERROR(SUMPRODUCT((IF('NOVIEMBRE 2026'!Y6:Y110&lt;&gt;"",'NOVIEMBRE 2026'!Y6:Y110,'NOVIEMBRE 2026'!I6:I110)="LAMUD")*('NOVIEMBRE 2026'!K6:K110="PETROLEO")*'NOVIEMBRE 2026'!M6:M110),0)</f>
        <v>0</v>
      </c>
      <c r="D1308" s="187" t="n">
        <f aca="false">IFERROR(SUMPRODUCT((IF('NOVIEMBRE 2026'!Y6:Y110&lt;&gt;"",'NOVIEMBRE 2026'!Y6:Y110,'NOVIEMBRE 2026'!I6:I110)="LAMUD")*('NOVIEMBRE 2026'!K6:K110="PETROLEO")*'NOVIEMBRE 2026'!N6:N110),0)</f>
        <v>0</v>
      </c>
      <c r="E1308" s="187" t="n">
        <f aca="false">IFERROR(SUMPRODUCT((IF('NOVIEMBRE 2026'!Y6:Y110&lt;&gt;"",'NOVIEMBRE 2026'!Y6:Y110,'NOVIEMBRE 2026'!I6:I110)="LAMUD")*('NOVIEMBRE 2026'!K6:K110="GASOLINA")*'NOVIEMBRE 2026'!M6:M110),0)</f>
        <v>0</v>
      </c>
      <c r="F1308" s="187" t="n">
        <f aca="false">IFERROR(SUMPRODUCT((IF('NOVIEMBRE 2026'!Y6:Y110&lt;&gt;"",'NOVIEMBRE 2026'!Y6:Y110,'NOVIEMBRE 2026'!I6:I110)="LAMUD")*('NOVIEMBRE 2026'!K6:K110="GASOLINA")*'NOVIEMBRE 2026'!N6:N110),0)</f>
        <v>0</v>
      </c>
    </row>
    <row r="1309" customFormat="false" ht="15" hidden="false" customHeight="true" outlineLevel="0" collapsed="false">
      <c r="A1309" s="1" t="s">
        <v>53</v>
      </c>
      <c r="B1309" s="1" t="s">
        <v>5176</v>
      </c>
      <c r="C1309" s="187" t="n">
        <f aca="false">IFERROR(SUMPRODUCT((IF('DICIEMBRE 2026'!Y6:Y110&lt;&gt;"",'DICIEMBRE 2026'!Y6:Y110,'DICIEMBRE 2026'!I6:I110)="LAMUD")*('DICIEMBRE 2026'!K6:K110="PETROLEO")*'DICIEMBRE 2026'!M6:M110),0)</f>
        <v>0</v>
      </c>
      <c r="D1309" s="187" t="n">
        <f aca="false">IFERROR(SUMPRODUCT((IF('DICIEMBRE 2026'!Y6:Y110&lt;&gt;"",'DICIEMBRE 2026'!Y6:Y110,'DICIEMBRE 2026'!I6:I110)="LAMUD")*('DICIEMBRE 2026'!K6:K110="PETROLEO")*'DICIEMBRE 2026'!N6:N110),0)</f>
        <v>0</v>
      </c>
      <c r="E1309" s="187" t="n">
        <f aca="false">IFERROR(SUMPRODUCT((IF('DICIEMBRE 2026'!Y6:Y110&lt;&gt;"",'DICIEMBRE 2026'!Y6:Y110,'DICIEMBRE 2026'!I6:I110)="LAMUD")*('DICIEMBRE 2026'!K6:K110="GASOLINA")*'DICIEMBRE 2026'!M6:M110),0)</f>
        <v>0</v>
      </c>
      <c r="F1309" s="187" t="n">
        <f aca="false">IFERROR(SUMPRODUCT((IF('DICIEMBRE 2026'!Y6:Y110&lt;&gt;"",'DICIEMBRE 2026'!Y6:Y110,'DICIEMBRE 2026'!I6:I110)="LAMUD")*('DICIEMBRE 2026'!K6:K110="GASOLINA")*'DICIEMBRE 2026'!N6:N110),0)</f>
        <v>0</v>
      </c>
    </row>
    <row r="1310" customFormat="false" ht="15" hidden="false" customHeight="true" outlineLevel="0" collapsed="false">
      <c r="A1310" s="1" t="s">
        <v>186</v>
      </c>
      <c r="B1310" s="1" t="s">
        <v>5165</v>
      </c>
      <c r="C1310" s="187" t="n">
        <f aca="false">IFERROR(SUMPRODUCT((IF('ENERO 2026'!Y6:Y119&lt;&gt;"",'ENERO 2026'!Y6:Y119,'ENERO 2026'!I6:I119)="LEYMEBAMBA")*('ENERO 2026'!K6:K119="PETROLEO")*'ENERO 2026'!M6:M119),0)</f>
        <v>21</v>
      </c>
      <c r="D1310" s="187" t="n">
        <f aca="false">IFERROR(SUMPRODUCT((IF('ENERO 2026'!Y6:Y119&lt;&gt;"",'ENERO 2026'!Y6:Y119,'ENERO 2026'!I6:I119)="LEYMEBAMBA")*('ENERO 2026'!K6:K119="PETROLEO")*'ENERO 2026'!N6:N119),0)</f>
        <v>0</v>
      </c>
      <c r="E1310" s="187" t="n">
        <f aca="false">IFERROR(SUMPRODUCT((IF('ENERO 2026'!Y6:Y119&lt;&gt;"",'ENERO 2026'!Y6:Y119,'ENERO 2026'!I6:I119)="LEYMEBAMBA")*('ENERO 2026'!K6:K119="GASOLINA")*'ENERO 2026'!M6:M119),0)</f>
        <v>0</v>
      </c>
      <c r="F1310" s="187" t="n">
        <f aca="false">IFERROR(SUMPRODUCT((IF('ENERO 2026'!Y6:Y119&lt;&gt;"",'ENERO 2026'!Y6:Y119,'ENERO 2026'!I6:I119)="LEYMEBAMBA")*('ENERO 2026'!K6:K119="GASOLINA")*'ENERO 2026'!N6:N119),0)</f>
        <v>0</v>
      </c>
    </row>
    <row r="1311" customFormat="false" ht="15" hidden="false" customHeight="true" outlineLevel="0" collapsed="false">
      <c r="A1311" s="1" t="s">
        <v>186</v>
      </c>
      <c r="B1311" s="1" t="s">
        <v>5166</v>
      </c>
      <c r="C1311" s="187" t="n">
        <f aca="false">IFERROR(SUMPRODUCT((IF('FEBRERO 2026'!Y6:Y124&lt;&gt;"",'FEBRERO 2026'!Y6:Y124,'FEBRERO 2026'!I6:I124)="LEYMEBAMBA")*('FEBRERO 2026'!K6:K124="PETROLEO")*'FEBRERO 2026'!M6:M124),0)</f>
        <v>15</v>
      </c>
      <c r="D1311" s="187" t="n">
        <f aca="false">IFERROR(SUMPRODUCT((IF('FEBRERO 2026'!Y6:Y124&lt;&gt;"",'FEBRERO 2026'!Y6:Y124,'FEBRERO 2026'!I6:I124)="LEYMEBAMBA")*('FEBRERO 2026'!K6:K124="PETROLEO")*'FEBRERO 2026'!N6:N124),0)</f>
        <v>272.7</v>
      </c>
      <c r="E1311" s="187" t="n">
        <f aca="false">IFERROR(SUMPRODUCT((IF('FEBRERO 2026'!Y6:Y124&lt;&gt;"",'FEBRERO 2026'!Y6:Y124,'FEBRERO 2026'!I6:I124)="LEYMEBAMBA")*('FEBRERO 2026'!K6:K124="GASOLINA")*'FEBRERO 2026'!M6:M124),0)</f>
        <v>0</v>
      </c>
      <c r="F1311" s="187" t="n">
        <f aca="false">IFERROR(SUMPRODUCT((IF('FEBRERO 2026'!Y6:Y124&lt;&gt;"",'FEBRERO 2026'!Y6:Y124,'FEBRERO 2026'!I6:I124)="LEYMEBAMBA")*('FEBRERO 2026'!K6:K124="GASOLINA")*'FEBRERO 2026'!N6:N124),0)</f>
        <v>0</v>
      </c>
    </row>
    <row r="1312" customFormat="false" ht="15" hidden="false" customHeight="true" outlineLevel="0" collapsed="false">
      <c r="A1312" s="1" t="s">
        <v>186</v>
      </c>
      <c r="B1312" s="1" t="s">
        <v>5167</v>
      </c>
      <c r="C1312" s="187" t="n">
        <f aca="false">IFERROR(SUMPRODUCT((IF('MARZO 2026'!Y6:Y119&lt;&gt;"",'MARZO 2026'!Y6:Y119,'MARZO 2026'!I6:I119)="LEYMEBAMBA")*('MARZO 2026'!K6:K119="PETROLEO")*'MARZO 2026'!M6:M119),0)</f>
        <v>0</v>
      </c>
      <c r="D1312" s="187" t="n">
        <f aca="false">IFERROR(SUMPRODUCT((IF('MARZO 2026'!Y6:Y119&lt;&gt;"",'MARZO 2026'!Y6:Y119,'MARZO 2026'!I6:I119)="LEYMEBAMBA")*('MARZO 2026'!K6:K119="PETROLEO")*'MARZO 2026'!N6:N119),0)</f>
        <v>0</v>
      </c>
      <c r="E1312" s="187" t="n">
        <f aca="false">IFERROR(SUMPRODUCT((IF('MARZO 2026'!Y6:Y119&lt;&gt;"",'MARZO 2026'!Y6:Y119,'MARZO 2026'!I6:I119)="LEYMEBAMBA")*('MARZO 2026'!K6:K119="GASOLINA")*'MARZO 2026'!M6:M119),0)</f>
        <v>0</v>
      </c>
      <c r="F1312" s="187" t="n">
        <f aca="false">IFERROR(SUMPRODUCT((IF('MARZO 2026'!Y6:Y119&lt;&gt;"",'MARZO 2026'!Y6:Y119,'MARZO 2026'!I6:I119)="LEYMEBAMBA")*('MARZO 2026'!K6:K119="GASOLINA")*'MARZO 2026'!N6:N119),0)</f>
        <v>0</v>
      </c>
    </row>
    <row r="1313" customFormat="false" ht="15" hidden="false" customHeight="true" outlineLevel="0" collapsed="false">
      <c r="A1313" s="1" t="s">
        <v>186</v>
      </c>
      <c r="B1313" s="1" t="s">
        <v>5168</v>
      </c>
      <c r="C1313" s="187" t="n">
        <f aca="false">IFERROR(SUMPRODUCT((IF('ABRIL 2026'!Y6:Y119&lt;&gt;"",'ABRIL 2026'!Y6:Y119,'ABRIL 2026'!I6:I119)="LEYMEBAMBA")*('ABRIL 2026'!K6:K119="PETROLEO")*'ABRIL 2026'!M6:M119),0)</f>
        <v>0</v>
      </c>
      <c r="D1313" s="187" t="n">
        <f aca="false">IFERROR(SUMPRODUCT((IF('ABRIL 2026'!Y6:Y119&lt;&gt;"",'ABRIL 2026'!Y6:Y119,'ABRIL 2026'!I6:I119)="LEYMEBAMBA")*('ABRIL 2026'!K6:K119="PETROLEO")*'ABRIL 2026'!N6:N119),0)</f>
        <v>0</v>
      </c>
      <c r="E1313" s="187" t="n">
        <f aca="false">IFERROR(SUMPRODUCT((IF('ABRIL 2026'!Y6:Y119&lt;&gt;"",'ABRIL 2026'!Y6:Y119,'ABRIL 2026'!I6:I119)="LEYMEBAMBA")*('ABRIL 2026'!K6:K119="GASOLINA")*'ABRIL 2026'!M6:M119),0)</f>
        <v>0</v>
      </c>
      <c r="F1313" s="187" t="n">
        <f aca="false">IFERROR(SUMPRODUCT((IF('ABRIL 2026'!Y6:Y119&lt;&gt;"",'ABRIL 2026'!Y6:Y119,'ABRIL 2026'!I6:I119)="LEYMEBAMBA")*('ABRIL 2026'!K6:K119="GASOLINA")*'ABRIL 2026'!N6:N119),0)</f>
        <v>0</v>
      </c>
    </row>
    <row r="1314" customFormat="false" ht="15" hidden="false" customHeight="true" outlineLevel="0" collapsed="false">
      <c r="A1314" s="1" t="s">
        <v>186</v>
      </c>
      <c r="B1314" s="1" t="s">
        <v>5169</v>
      </c>
      <c r="C1314" s="187" t="n">
        <f aca="false">IFERROR(SUMPRODUCT((IF('MAYO 2026'!Y6:Y110&lt;&gt;"",'MAYO 2026'!Y6:Y110,'MAYO 2026'!I6:I110)="LEYMEBAMBA")*('MAYO 2026'!K6:K110="PETROLEO")*'MAYO 2026'!M6:M110),0)</f>
        <v>0</v>
      </c>
      <c r="D1314" s="187" t="n">
        <f aca="false">IFERROR(SUMPRODUCT((IF('MAYO 2026'!Y6:Y110&lt;&gt;"",'MAYO 2026'!Y6:Y110,'MAYO 2026'!I6:I110)="LEYMEBAMBA")*('MAYO 2026'!K6:K110="PETROLEO")*'MAYO 2026'!N6:N110),0)</f>
        <v>0</v>
      </c>
      <c r="E1314" s="187" t="n">
        <f aca="false">IFERROR(SUMPRODUCT((IF('MAYO 2026'!Y6:Y110&lt;&gt;"",'MAYO 2026'!Y6:Y110,'MAYO 2026'!I6:I110)="LEYMEBAMBA")*('MAYO 2026'!K6:K110="GASOLINA")*'MAYO 2026'!M6:M110),0)</f>
        <v>0</v>
      </c>
      <c r="F1314" s="187" t="n">
        <f aca="false">IFERROR(SUMPRODUCT((IF('MAYO 2026'!Y6:Y110&lt;&gt;"",'MAYO 2026'!Y6:Y110,'MAYO 2026'!I6:I110)="LEYMEBAMBA")*('MAYO 2026'!K6:K110="GASOLINA")*'MAYO 2026'!N6:N110),0)</f>
        <v>0</v>
      </c>
    </row>
    <row r="1315" customFormat="false" ht="15" hidden="false" customHeight="true" outlineLevel="0" collapsed="false">
      <c r="A1315" s="1" t="s">
        <v>186</v>
      </c>
      <c r="B1315" s="1" t="s">
        <v>5170</v>
      </c>
      <c r="C1315" s="187" t="n">
        <f aca="false">IFERROR(SUMPRODUCT((IF('JUNIO 2026'!Y6:Y110&lt;&gt;"",'JUNIO 2026'!Y6:Y110,'JUNIO 2026'!I6:I110)="LEYMEBAMBA")*('JUNIO 2026'!K6:K110="PETROLEO")*'JUNIO 2026'!M6:M110),0)</f>
        <v>0</v>
      </c>
      <c r="D1315" s="187" t="n">
        <f aca="false">IFERROR(SUMPRODUCT((IF('JUNIO 2026'!Y6:Y110&lt;&gt;"",'JUNIO 2026'!Y6:Y110,'JUNIO 2026'!I6:I110)="LEYMEBAMBA")*('JUNIO 2026'!K6:K110="PETROLEO")*'JUNIO 2026'!N6:N110),0)</f>
        <v>0</v>
      </c>
      <c r="E1315" s="187" t="n">
        <f aca="false">IFERROR(SUMPRODUCT((IF('JUNIO 2026'!Y6:Y110&lt;&gt;"",'JUNIO 2026'!Y6:Y110,'JUNIO 2026'!I6:I110)="LEYMEBAMBA")*('JUNIO 2026'!K6:K110="GASOLINA")*'JUNIO 2026'!M6:M110),0)</f>
        <v>0</v>
      </c>
      <c r="F1315" s="187" t="n">
        <f aca="false">IFERROR(SUMPRODUCT((IF('JUNIO 2026'!Y6:Y110&lt;&gt;"",'JUNIO 2026'!Y6:Y110,'JUNIO 2026'!I6:I110)="LEYMEBAMBA")*('JUNIO 2026'!K6:K110="GASOLINA")*'JUNIO 2026'!N6:N110),0)</f>
        <v>0</v>
      </c>
    </row>
    <row r="1316" customFormat="false" ht="15" hidden="false" customHeight="true" outlineLevel="0" collapsed="false">
      <c r="A1316" s="1" t="s">
        <v>186</v>
      </c>
      <c r="B1316" s="1" t="s">
        <v>5171</v>
      </c>
      <c r="C1316" s="187" t="n">
        <f aca="false">IFERROR(SUMPRODUCT((IF('JULIO 2026'!Y6:Y110&lt;&gt;"",'JULIO 2026'!Y6:Y110,'JULIO 2026'!I6:I110)="LEYMEBAMBA")*('JULIO 2026'!K6:K110="PETROLEO")*'JULIO 2026'!M6:M110),0)</f>
        <v>0</v>
      </c>
      <c r="D1316" s="187" t="n">
        <f aca="false">IFERROR(SUMPRODUCT((IF('JULIO 2026'!Y6:Y110&lt;&gt;"",'JULIO 2026'!Y6:Y110,'JULIO 2026'!I6:I110)="LEYMEBAMBA")*('JULIO 2026'!K6:K110="PETROLEO")*'JULIO 2026'!N6:N110),0)</f>
        <v>0</v>
      </c>
      <c r="E1316" s="187" t="n">
        <f aca="false">IFERROR(SUMPRODUCT((IF('JULIO 2026'!Y6:Y110&lt;&gt;"",'JULIO 2026'!Y6:Y110,'JULIO 2026'!I6:I110)="LEYMEBAMBA")*('JULIO 2026'!K6:K110="GASOLINA")*'JULIO 2026'!M6:M110),0)</f>
        <v>0</v>
      </c>
      <c r="F1316" s="187" t="n">
        <f aca="false">IFERROR(SUMPRODUCT((IF('JULIO 2026'!Y6:Y110&lt;&gt;"",'JULIO 2026'!Y6:Y110,'JULIO 2026'!I6:I110)="LEYMEBAMBA")*('JULIO 2026'!K6:K110="GASOLINA")*'JULIO 2026'!N6:N110),0)</f>
        <v>0</v>
      </c>
    </row>
    <row r="1317" customFormat="false" ht="15" hidden="false" customHeight="true" outlineLevel="0" collapsed="false">
      <c r="A1317" s="1" t="s">
        <v>186</v>
      </c>
      <c r="B1317" s="1" t="s">
        <v>5172</v>
      </c>
      <c r="C1317" s="187" t="n">
        <f aca="false">IFERROR(SUMPRODUCT((IF('AGOSTO 2026'!Y6:Y110&lt;&gt;"",'AGOSTO 2026'!Y6:Y110,'AGOSTO 2026'!I6:I110)="LEYMEBAMBA")*('AGOSTO 2026'!K6:K110="PETROLEO")*'AGOSTO 2026'!M6:M110),0)</f>
        <v>0</v>
      </c>
      <c r="D1317" s="187" t="n">
        <f aca="false">IFERROR(SUMPRODUCT((IF('AGOSTO 2026'!Y6:Y110&lt;&gt;"",'AGOSTO 2026'!Y6:Y110,'AGOSTO 2026'!I6:I110)="LEYMEBAMBA")*('AGOSTO 2026'!K6:K110="PETROLEO")*'AGOSTO 2026'!N6:N110),0)</f>
        <v>0</v>
      </c>
      <c r="E1317" s="187" t="n">
        <f aca="false">IFERROR(SUMPRODUCT((IF('AGOSTO 2026'!Y6:Y110&lt;&gt;"",'AGOSTO 2026'!Y6:Y110,'AGOSTO 2026'!I6:I110)="LEYMEBAMBA")*('AGOSTO 2026'!K6:K110="GASOLINA")*'AGOSTO 2026'!M6:M110),0)</f>
        <v>0</v>
      </c>
      <c r="F1317" s="187" t="n">
        <f aca="false">IFERROR(SUMPRODUCT((IF('AGOSTO 2026'!Y6:Y110&lt;&gt;"",'AGOSTO 2026'!Y6:Y110,'AGOSTO 2026'!I6:I110)="LEYMEBAMBA")*('AGOSTO 2026'!K6:K110="GASOLINA")*'AGOSTO 2026'!N6:N110),0)</f>
        <v>0</v>
      </c>
    </row>
    <row r="1318" customFormat="false" ht="15" hidden="false" customHeight="true" outlineLevel="0" collapsed="false">
      <c r="A1318" s="1" t="s">
        <v>186</v>
      </c>
      <c r="B1318" s="1" t="s">
        <v>5173</v>
      </c>
      <c r="C1318" s="187" t="n">
        <f aca="false">IFERROR(SUMPRODUCT((IF('SETIEMBRE 2026'!Y6:Y110&lt;&gt;"",'SETIEMBRE 2026'!Y6:Y110,'SETIEMBRE 2026'!I6:I110)="LEYMEBAMBA")*('SETIEMBRE 2026'!K6:K110="PETROLEO")*'SETIEMBRE 2026'!M6:M110),0)</f>
        <v>0</v>
      </c>
      <c r="D1318" s="187" t="n">
        <f aca="false">IFERROR(SUMPRODUCT((IF('SETIEMBRE 2026'!Y6:Y110&lt;&gt;"",'SETIEMBRE 2026'!Y6:Y110,'SETIEMBRE 2026'!I6:I110)="LEYMEBAMBA")*('SETIEMBRE 2026'!K6:K110="PETROLEO")*'SETIEMBRE 2026'!N6:N110),0)</f>
        <v>0</v>
      </c>
      <c r="E1318" s="187" t="n">
        <f aca="false">IFERROR(SUMPRODUCT((IF('SETIEMBRE 2026'!Y6:Y110&lt;&gt;"",'SETIEMBRE 2026'!Y6:Y110,'SETIEMBRE 2026'!I6:I110)="LEYMEBAMBA")*('SETIEMBRE 2026'!K6:K110="GASOLINA")*'SETIEMBRE 2026'!M6:M110),0)</f>
        <v>0</v>
      </c>
      <c r="F1318" s="187" t="n">
        <f aca="false">IFERROR(SUMPRODUCT((IF('SETIEMBRE 2026'!Y6:Y110&lt;&gt;"",'SETIEMBRE 2026'!Y6:Y110,'SETIEMBRE 2026'!I6:I110)="LEYMEBAMBA")*('SETIEMBRE 2026'!K6:K110="GASOLINA")*'SETIEMBRE 2026'!N6:N110),0)</f>
        <v>0</v>
      </c>
    </row>
    <row r="1319" customFormat="false" ht="15" hidden="false" customHeight="true" outlineLevel="0" collapsed="false">
      <c r="A1319" s="1" t="s">
        <v>186</v>
      </c>
      <c r="B1319" s="1" t="s">
        <v>5174</v>
      </c>
      <c r="C1319" s="187" t="n">
        <f aca="false">IFERROR(SUMPRODUCT((IF('OCTUBRE 2026'!Y6:Y110&lt;&gt;"",'OCTUBRE 2026'!Y6:Y110,'OCTUBRE 2026'!I6:I110)="LEYMEBAMBA")*('OCTUBRE 2026'!K6:K110="PETROLEO")*'OCTUBRE 2026'!M6:M110),0)</f>
        <v>0</v>
      </c>
      <c r="D1319" s="187" t="n">
        <f aca="false">IFERROR(SUMPRODUCT((IF('OCTUBRE 2026'!Y6:Y110&lt;&gt;"",'OCTUBRE 2026'!Y6:Y110,'OCTUBRE 2026'!I6:I110)="LEYMEBAMBA")*('OCTUBRE 2026'!K6:K110="PETROLEO")*'OCTUBRE 2026'!N6:N110),0)</f>
        <v>0</v>
      </c>
      <c r="E1319" s="187" t="n">
        <f aca="false">IFERROR(SUMPRODUCT((IF('OCTUBRE 2026'!Y6:Y110&lt;&gt;"",'OCTUBRE 2026'!Y6:Y110,'OCTUBRE 2026'!I6:I110)="LEYMEBAMBA")*('OCTUBRE 2026'!K6:K110="GASOLINA")*'OCTUBRE 2026'!M6:M110),0)</f>
        <v>0</v>
      </c>
      <c r="F1319" s="187" t="n">
        <f aca="false">IFERROR(SUMPRODUCT((IF('OCTUBRE 2026'!Y6:Y110&lt;&gt;"",'OCTUBRE 2026'!Y6:Y110,'OCTUBRE 2026'!I6:I110)="LEYMEBAMBA")*('OCTUBRE 2026'!K6:K110="GASOLINA")*'OCTUBRE 2026'!N6:N110),0)</f>
        <v>0</v>
      </c>
    </row>
    <row r="1320" customFormat="false" ht="15" hidden="false" customHeight="true" outlineLevel="0" collapsed="false">
      <c r="A1320" s="1" t="s">
        <v>186</v>
      </c>
      <c r="B1320" s="1" t="s">
        <v>5175</v>
      </c>
      <c r="C1320" s="187" t="n">
        <f aca="false">IFERROR(SUMPRODUCT((IF('NOVIEMBRE 2026'!Y6:Y110&lt;&gt;"",'NOVIEMBRE 2026'!Y6:Y110,'NOVIEMBRE 2026'!I6:I110)="LEYMEBAMBA")*('NOVIEMBRE 2026'!K6:K110="PETROLEO")*'NOVIEMBRE 2026'!M6:M110),0)</f>
        <v>0</v>
      </c>
      <c r="D1320" s="187" t="n">
        <f aca="false">IFERROR(SUMPRODUCT((IF('NOVIEMBRE 2026'!Y6:Y110&lt;&gt;"",'NOVIEMBRE 2026'!Y6:Y110,'NOVIEMBRE 2026'!I6:I110)="LEYMEBAMBA")*('NOVIEMBRE 2026'!K6:K110="PETROLEO")*'NOVIEMBRE 2026'!N6:N110),0)</f>
        <v>0</v>
      </c>
      <c r="E1320" s="187" t="n">
        <f aca="false">IFERROR(SUMPRODUCT((IF('NOVIEMBRE 2026'!Y6:Y110&lt;&gt;"",'NOVIEMBRE 2026'!Y6:Y110,'NOVIEMBRE 2026'!I6:I110)="LEYMEBAMBA")*('NOVIEMBRE 2026'!K6:K110="GASOLINA")*'NOVIEMBRE 2026'!M6:M110),0)</f>
        <v>0</v>
      </c>
      <c r="F1320" s="187" t="n">
        <f aca="false">IFERROR(SUMPRODUCT((IF('NOVIEMBRE 2026'!Y6:Y110&lt;&gt;"",'NOVIEMBRE 2026'!Y6:Y110,'NOVIEMBRE 2026'!I6:I110)="LEYMEBAMBA")*('NOVIEMBRE 2026'!K6:K110="GASOLINA")*'NOVIEMBRE 2026'!N6:N110),0)</f>
        <v>0</v>
      </c>
    </row>
    <row r="1321" customFormat="false" ht="15" hidden="false" customHeight="true" outlineLevel="0" collapsed="false">
      <c r="A1321" s="1" t="s">
        <v>186</v>
      </c>
      <c r="B1321" s="1" t="s">
        <v>5176</v>
      </c>
      <c r="C1321" s="187" t="n">
        <f aca="false">IFERROR(SUMPRODUCT((IF('DICIEMBRE 2026'!Y6:Y110&lt;&gt;"",'DICIEMBRE 2026'!Y6:Y110,'DICIEMBRE 2026'!I6:I110)="LEYMEBAMBA")*('DICIEMBRE 2026'!K6:K110="PETROLEO")*'DICIEMBRE 2026'!M6:M110),0)</f>
        <v>0</v>
      </c>
      <c r="D1321" s="187" t="n">
        <f aca="false">IFERROR(SUMPRODUCT((IF('DICIEMBRE 2026'!Y6:Y110&lt;&gt;"",'DICIEMBRE 2026'!Y6:Y110,'DICIEMBRE 2026'!I6:I110)="LEYMEBAMBA")*('DICIEMBRE 2026'!K6:K110="PETROLEO")*'DICIEMBRE 2026'!N6:N110),0)</f>
        <v>0</v>
      </c>
      <c r="E1321" s="187" t="n">
        <f aca="false">IFERROR(SUMPRODUCT((IF('DICIEMBRE 2026'!Y6:Y110&lt;&gt;"",'DICIEMBRE 2026'!Y6:Y110,'DICIEMBRE 2026'!I6:I110)="LEYMEBAMBA")*('DICIEMBRE 2026'!K6:K110="GASOLINA")*'DICIEMBRE 2026'!M6:M110),0)</f>
        <v>0</v>
      </c>
      <c r="F1321" s="187" t="n">
        <f aca="false">IFERROR(SUMPRODUCT((IF('DICIEMBRE 2026'!Y6:Y110&lt;&gt;"",'DICIEMBRE 2026'!Y6:Y110,'DICIEMBRE 2026'!I6:I110)="LEYMEBAMBA")*('DICIEMBRE 2026'!K6:K110="GASOLINA")*'DICIEMBRE 2026'!N6:N110),0)</f>
        <v>0</v>
      </c>
    </row>
    <row r="1322" customFormat="false" ht="15" hidden="false" customHeight="true" outlineLevel="0" collapsed="false">
      <c r="A1322" s="1" t="s">
        <v>56</v>
      </c>
      <c r="B1322" s="1" t="s">
        <v>5165</v>
      </c>
      <c r="C1322" s="187" t="n">
        <f aca="false">IFERROR(SUMPRODUCT((IF('ENERO 2026'!Y6:Y119&lt;&gt;"",'ENERO 2026'!Y6:Y119,'ENERO 2026'!I6:I119)="LUYA")*('ENERO 2026'!K6:K119="PETROLEO")*'ENERO 2026'!M6:M119),0)</f>
        <v>0</v>
      </c>
      <c r="D1322" s="187" t="n">
        <f aca="false">IFERROR(SUMPRODUCT((IF('ENERO 2026'!Y6:Y119&lt;&gt;"",'ENERO 2026'!Y6:Y119,'ENERO 2026'!I6:I119)="LUYA")*('ENERO 2026'!K6:K119="PETROLEO")*'ENERO 2026'!N6:N119),0)</f>
        <v>0</v>
      </c>
      <c r="E1322" s="187" t="n">
        <f aca="false">IFERROR(SUMPRODUCT((IF('ENERO 2026'!Y6:Y119&lt;&gt;"",'ENERO 2026'!Y6:Y119,'ENERO 2026'!I6:I119)="LUYA")*('ENERO 2026'!K6:K119="GASOLINA")*'ENERO 2026'!M6:M119),0)</f>
        <v>0</v>
      </c>
      <c r="F1322" s="187" t="n">
        <f aca="false">IFERROR(SUMPRODUCT((IF('ENERO 2026'!Y6:Y119&lt;&gt;"",'ENERO 2026'!Y6:Y119,'ENERO 2026'!I6:I119)="LUYA")*('ENERO 2026'!K6:K119="GASOLINA")*'ENERO 2026'!N6:N119),0)</f>
        <v>0</v>
      </c>
    </row>
    <row r="1323" customFormat="false" ht="15" hidden="false" customHeight="true" outlineLevel="0" collapsed="false">
      <c r="A1323" s="1" t="s">
        <v>56</v>
      </c>
      <c r="B1323" s="1" t="s">
        <v>5166</v>
      </c>
      <c r="C1323" s="187" t="n">
        <f aca="false">IFERROR(SUMPRODUCT((IF('FEBRERO 2026'!Y6:Y124&lt;&gt;"",'FEBRERO 2026'!Y6:Y124,'FEBRERO 2026'!I6:I124)="LUYA")*('FEBRERO 2026'!K6:K124="PETROLEO")*'FEBRERO 2026'!M6:M124),0)</f>
        <v>24</v>
      </c>
      <c r="D1323" s="187" t="n">
        <f aca="false">IFERROR(SUMPRODUCT((IF('FEBRERO 2026'!Y6:Y124&lt;&gt;"",'FEBRERO 2026'!Y6:Y124,'FEBRERO 2026'!I6:I124)="LUYA")*('FEBRERO 2026'!K6:K124="PETROLEO")*'FEBRERO 2026'!N6:N124),0)</f>
        <v>436.32</v>
      </c>
      <c r="E1323" s="187" t="n">
        <f aca="false">IFERROR(SUMPRODUCT((IF('FEBRERO 2026'!Y6:Y124&lt;&gt;"",'FEBRERO 2026'!Y6:Y124,'FEBRERO 2026'!I6:I124)="LUYA")*('FEBRERO 2026'!K6:K124="GASOLINA")*'FEBRERO 2026'!M6:M124),0)</f>
        <v>0</v>
      </c>
      <c r="F1323" s="187" t="n">
        <f aca="false">IFERROR(SUMPRODUCT((IF('FEBRERO 2026'!Y6:Y124&lt;&gt;"",'FEBRERO 2026'!Y6:Y124,'FEBRERO 2026'!I6:I124)="LUYA")*('FEBRERO 2026'!K6:K124="GASOLINA")*'FEBRERO 2026'!N6:N124),0)</f>
        <v>0</v>
      </c>
    </row>
    <row r="1324" customFormat="false" ht="15" hidden="false" customHeight="true" outlineLevel="0" collapsed="false">
      <c r="A1324" s="1" t="s">
        <v>56</v>
      </c>
      <c r="B1324" s="1" t="s">
        <v>5167</v>
      </c>
      <c r="C1324" s="187" t="n">
        <f aca="false">IFERROR(SUMPRODUCT((IF('MARZO 2026'!Y6:Y119&lt;&gt;"",'MARZO 2026'!Y6:Y119,'MARZO 2026'!I6:I119)="LUYA")*('MARZO 2026'!K6:K119="PETROLEO")*'MARZO 2026'!M6:M119),0)</f>
        <v>4</v>
      </c>
      <c r="D1324" s="187" t="n">
        <f aca="false">IFERROR(SUMPRODUCT((IF('MARZO 2026'!Y6:Y119&lt;&gt;"",'MARZO 2026'!Y6:Y119,'MARZO 2026'!I6:I119)="LUYA")*('MARZO 2026'!K6:K119="PETROLEO")*'MARZO 2026'!N6:N119),0)</f>
        <v>0</v>
      </c>
      <c r="E1324" s="187" t="n">
        <f aca="false">IFERROR(SUMPRODUCT((IF('MARZO 2026'!Y6:Y119&lt;&gt;"",'MARZO 2026'!Y6:Y119,'MARZO 2026'!I6:I119)="LUYA")*('MARZO 2026'!K6:K119="GASOLINA")*'MARZO 2026'!M6:M119),0)</f>
        <v>0</v>
      </c>
      <c r="F1324" s="187" t="n">
        <f aca="false">IFERROR(SUMPRODUCT((IF('MARZO 2026'!Y6:Y119&lt;&gt;"",'MARZO 2026'!Y6:Y119,'MARZO 2026'!I6:I119)="LUYA")*('MARZO 2026'!K6:K119="GASOLINA")*'MARZO 2026'!N6:N119),0)</f>
        <v>0</v>
      </c>
    </row>
    <row r="1325" customFormat="false" ht="15" hidden="false" customHeight="true" outlineLevel="0" collapsed="false">
      <c r="A1325" s="1" t="s">
        <v>56</v>
      </c>
      <c r="B1325" s="1" t="s">
        <v>5168</v>
      </c>
      <c r="C1325" s="187" t="n">
        <f aca="false">IFERROR(SUMPRODUCT((IF('ABRIL 2026'!Y6:Y119&lt;&gt;"",'ABRIL 2026'!Y6:Y119,'ABRIL 2026'!I6:I119)="LUYA")*('ABRIL 2026'!K6:K119="PETROLEO")*'ABRIL 2026'!M6:M119),0)</f>
        <v>0</v>
      </c>
      <c r="D1325" s="187" t="n">
        <f aca="false">IFERROR(SUMPRODUCT((IF('ABRIL 2026'!Y6:Y119&lt;&gt;"",'ABRIL 2026'!Y6:Y119,'ABRIL 2026'!I6:I119)="LUYA")*('ABRIL 2026'!K6:K119="PETROLEO")*'ABRIL 2026'!N6:N119),0)</f>
        <v>0</v>
      </c>
      <c r="E1325" s="187" t="n">
        <f aca="false">IFERROR(SUMPRODUCT((IF('ABRIL 2026'!Y6:Y119&lt;&gt;"",'ABRIL 2026'!Y6:Y119,'ABRIL 2026'!I6:I119)="LUYA")*('ABRIL 2026'!K6:K119="GASOLINA")*'ABRIL 2026'!M6:M119),0)</f>
        <v>0</v>
      </c>
      <c r="F1325" s="187" t="n">
        <f aca="false">IFERROR(SUMPRODUCT((IF('ABRIL 2026'!Y6:Y119&lt;&gt;"",'ABRIL 2026'!Y6:Y119,'ABRIL 2026'!I6:I119)="LUYA")*('ABRIL 2026'!K6:K119="GASOLINA")*'ABRIL 2026'!N6:N119),0)</f>
        <v>0</v>
      </c>
    </row>
    <row r="1326" customFormat="false" ht="15" hidden="false" customHeight="true" outlineLevel="0" collapsed="false">
      <c r="A1326" s="1" t="s">
        <v>56</v>
      </c>
      <c r="B1326" s="1" t="s">
        <v>5169</v>
      </c>
      <c r="C1326" s="187" t="n">
        <f aca="false">IFERROR(SUMPRODUCT((IF('MAYO 2026'!Y6:Y110&lt;&gt;"",'MAYO 2026'!Y6:Y110,'MAYO 2026'!I6:I110)="LUYA")*('MAYO 2026'!K6:K110="PETROLEO")*'MAYO 2026'!M6:M110),0)</f>
        <v>0</v>
      </c>
      <c r="D1326" s="187" t="n">
        <f aca="false">IFERROR(SUMPRODUCT((IF('MAYO 2026'!Y6:Y110&lt;&gt;"",'MAYO 2026'!Y6:Y110,'MAYO 2026'!I6:I110)="LUYA")*('MAYO 2026'!K6:K110="PETROLEO")*'MAYO 2026'!N6:N110),0)</f>
        <v>0</v>
      </c>
      <c r="E1326" s="187" t="n">
        <f aca="false">IFERROR(SUMPRODUCT((IF('MAYO 2026'!Y6:Y110&lt;&gt;"",'MAYO 2026'!Y6:Y110,'MAYO 2026'!I6:I110)="LUYA")*('MAYO 2026'!K6:K110="GASOLINA")*'MAYO 2026'!M6:M110),0)</f>
        <v>0</v>
      </c>
      <c r="F1326" s="187" t="n">
        <f aca="false">IFERROR(SUMPRODUCT((IF('MAYO 2026'!Y6:Y110&lt;&gt;"",'MAYO 2026'!Y6:Y110,'MAYO 2026'!I6:I110)="LUYA")*('MAYO 2026'!K6:K110="GASOLINA")*'MAYO 2026'!N6:N110),0)</f>
        <v>0</v>
      </c>
    </row>
    <row r="1327" customFormat="false" ht="15" hidden="false" customHeight="true" outlineLevel="0" collapsed="false">
      <c r="A1327" s="1" t="s">
        <v>56</v>
      </c>
      <c r="B1327" s="1" t="s">
        <v>5170</v>
      </c>
      <c r="C1327" s="187" t="n">
        <f aca="false">IFERROR(SUMPRODUCT((IF('JUNIO 2026'!Y6:Y110&lt;&gt;"",'JUNIO 2026'!Y6:Y110,'JUNIO 2026'!I6:I110)="LUYA")*('JUNIO 2026'!K6:K110="PETROLEO")*'JUNIO 2026'!M6:M110),0)</f>
        <v>0</v>
      </c>
      <c r="D1327" s="187" t="n">
        <f aca="false">IFERROR(SUMPRODUCT((IF('JUNIO 2026'!Y6:Y110&lt;&gt;"",'JUNIO 2026'!Y6:Y110,'JUNIO 2026'!I6:I110)="LUYA")*('JUNIO 2026'!K6:K110="PETROLEO")*'JUNIO 2026'!N6:N110),0)</f>
        <v>0</v>
      </c>
      <c r="E1327" s="187" t="n">
        <f aca="false">IFERROR(SUMPRODUCT((IF('JUNIO 2026'!Y6:Y110&lt;&gt;"",'JUNIO 2026'!Y6:Y110,'JUNIO 2026'!I6:I110)="LUYA")*('JUNIO 2026'!K6:K110="GASOLINA")*'JUNIO 2026'!M6:M110),0)</f>
        <v>0</v>
      </c>
      <c r="F1327" s="187" t="n">
        <f aca="false">IFERROR(SUMPRODUCT((IF('JUNIO 2026'!Y6:Y110&lt;&gt;"",'JUNIO 2026'!Y6:Y110,'JUNIO 2026'!I6:I110)="LUYA")*('JUNIO 2026'!K6:K110="GASOLINA")*'JUNIO 2026'!N6:N110),0)</f>
        <v>0</v>
      </c>
    </row>
    <row r="1328" customFormat="false" ht="15" hidden="false" customHeight="true" outlineLevel="0" collapsed="false">
      <c r="A1328" s="1" t="s">
        <v>56</v>
      </c>
      <c r="B1328" s="1" t="s">
        <v>5171</v>
      </c>
      <c r="C1328" s="187" t="n">
        <f aca="false">IFERROR(SUMPRODUCT((IF('JULIO 2026'!Y6:Y110&lt;&gt;"",'JULIO 2026'!Y6:Y110,'JULIO 2026'!I6:I110)="LUYA")*('JULIO 2026'!K6:K110="PETROLEO")*'JULIO 2026'!M6:M110),0)</f>
        <v>0</v>
      </c>
      <c r="D1328" s="187" t="n">
        <f aca="false">IFERROR(SUMPRODUCT((IF('JULIO 2026'!Y6:Y110&lt;&gt;"",'JULIO 2026'!Y6:Y110,'JULIO 2026'!I6:I110)="LUYA")*('JULIO 2026'!K6:K110="PETROLEO")*'JULIO 2026'!N6:N110),0)</f>
        <v>0</v>
      </c>
      <c r="E1328" s="187" t="n">
        <f aca="false">IFERROR(SUMPRODUCT((IF('JULIO 2026'!Y6:Y110&lt;&gt;"",'JULIO 2026'!Y6:Y110,'JULIO 2026'!I6:I110)="LUYA")*('JULIO 2026'!K6:K110="GASOLINA")*'JULIO 2026'!M6:M110),0)</f>
        <v>0</v>
      </c>
      <c r="F1328" s="187" t="n">
        <f aca="false">IFERROR(SUMPRODUCT((IF('JULIO 2026'!Y6:Y110&lt;&gt;"",'JULIO 2026'!Y6:Y110,'JULIO 2026'!I6:I110)="LUYA")*('JULIO 2026'!K6:K110="GASOLINA")*'JULIO 2026'!N6:N110),0)</f>
        <v>0</v>
      </c>
    </row>
    <row r="1329" customFormat="false" ht="15" hidden="false" customHeight="true" outlineLevel="0" collapsed="false">
      <c r="A1329" s="1" t="s">
        <v>56</v>
      </c>
      <c r="B1329" s="1" t="s">
        <v>5172</v>
      </c>
      <c r="C1329" s="187" t="n">
        <f aca="false">IFERROR(SUMPRODUCT((IF('AGOSTO 2026'!Y6:Y110&lt;&gt;"",'AGOSTO 2026'!Y6:Y110,'AGOSTO 2026'!I6:I110)="LUYA")*('AGOSTO 2026'!K6:K110="PETROLEO")*'AGOSTO 2026'!M6:M110),0)</f>
        <v>0</v>
      </c>
      <c r="D1329" s="187" t="n">
        <f aca="false">IFERROR(SUMPRODUCT((IF('AGOSTO 2026'!Y6:Y110&lt;&gt;"",'AGOSTO 2026'!Y6:Y110,'AGOSTO 2026'!I6:I110)="LUYA")*('AGOSTO 2026'!K6:K110="PETROLEO")*'AGOSTO 2026'!N6:N110),0)</f>
        <v>0</v>
      </c>
      <c r="E1329" s="187" t="n">
        <f aca="false">IFERROR(SUMPRODUCT((IF('AGOSTO 2026'!Y6:Y110&lt;&gt;"",'AGOSTO 2026'!Y6:Y110,'AGOSTO 2026'!I6:I110)="LUYA")*('AGOSTO 2026'!K6:K110="GASOLINA")*'AGOSTO 2026'!M6:M110),0)</f>
        <v>0</v>
      </c>
      <c r="F1329" s="187" t="n">
        <f aca="false">IFERROR(SUMPRODUCT((IF('AGOSTO 2026'!Y6:Y110&lt;&gt;"",'AGOSTO 2026'!Y6:Y110,'AGOSTO 2026'!I6:I110)="LUYA")*('AGOSTO 2026'!K6:K110="GASOLINA")*'AGOSTO 2026'!N6:N110),0)</f>
        <v>0</v>
      </c>
    </row>
    <row r="1330" customFormat="false" ht="15" hidden="false" customHeight="true" outlineLevel="0" collapsed="false">
      <c r="A1330" s="1" t="s">
        <v>56</v>
      </c>
      <c r="B1330" s="1" t="s">
        <v>5173</v>
      </c>
      <c r="C1330" s="187" t="n">
        <f aca="false">IFERROR(SUMPRODUCT((IF('SETIEMBRE 2026'!Y6:Y110&lt;&gt;"",'SETIEMBRE 2026'!Y6:Y110,'SETIEMBRE 2026'!I6:I110)="LUYA")*('SETIEMBRE 2026'!K6:K110="PETROLEO")*'SETIEMBRE 2026'!M6:M110),0)</f>
        <v>0</v>
      </c>
      <c r="D1330" s="187" t="n">
        <f aca="false">IFERROR(SUMPRODUCT((IF('SETIEMBRE 2026'!Y6:Y110&lt;&gt;"",'SETIEMBRE 2026'!Y6:Y110,'SETIEMBRE 2026'!I6:I110)="LUYA")*('SETIEMBRE 2026'!K6:K110="PETROLEO")*'SETIEMBRE 2026'!N6:N110),0)</f>
        <v>0</v>
      </c>
      <c r="E1330" s="187" t="n">
        <f aca="false">IFERROR(SUMPRODUCT((IF('SETIEMBRE 2026'!Y6:Y110&lt;&gt;"",'SETIEMBRE 2026'!Y6:Y110,'SETIEMBRE 2026'!I6:I110)="LUYA")*('SETIEMBRE 2026'!K6:K110="GASOLINA")*'SETIEMBRE 2026'!M6:M110),0)</f>
        <v>0</v>
      </c>
      <c r="F1330" s="187" t="n">
        <f aca="false">IFERROR(SUMPRODUCT((IF('SETIEMBRE 2026'!Y6:Y110&lt;&gt;"",'SETIEMBRE 2026'!Y6:Y110,'SETIEMBRE 2026'!I6:I110)="LUYA")*('SETIEMBRE 2026'!K6:K110="GASOLINA")*'SETIEMBRE 2026'!N6:N110),0)</f>
        <v>0</v>
      </c>
    </row>
    <row r="1331" customFormat="false" ht="15" hidden="false" customHeight="true" outlineLevel="0" collapsed="false">
      <c r="A1331" s="1" t="s">
        <v>56</v>
      </c>
      <c r="B1331" s="1" t="s">
        <v>5174</v>
      </c>
      <c r="C1331" s="187" t="n">
        <f aca="false">IFERROR(SUMPRODUCT((IF('OCTUBRE 2026'!Y6:Y110&lt;&gt;"",'OCTUBRE 2026'!Y6:Y110,'OCTUBRE 2026'!I6:I110)="LUYA")*('OCTUBRE 2026'!K6:K110="PETROLEO")*'OCTUBRE 2026'!M6:M110),0)</f>
        <v>0</v>
      </c>
      <c r="D1331" s="187" t="n">
        <f aca="false">IFERROR(SUMPRODUCT((IF('OCTUBRE 2026'!Y6:Y110&lt;&gt;"",'OCTUBRE 2026'!Y6:Y110,'OCTUBRE 2026'!I6:I110)="LUYA")*('OCTUBRE 2026'!K6:K110="PETROLEO")*'OCTUBRE 2026'!N6:N110),0)</f>
        <v>0</v>
      </c>
      <c r="E1331" s="187" t="n">
        <f aca="false">IFERROR(SUMPRODUCT((IF('OCTUBRE 2026'!Y6:Y110&lt;&gt;"",'OCTUBRE 2026'!Y6:Y110,'OCTUBRE 2026'!I6:I110)="LUYA")*('OCTUBRE 2026'!K6:K110="GASOLINA")*'OCTUBRE 2026'!M6:M110),0)</f>
        <v>0</v>
      </c>
      <c r="F1331" s="187" t="n">
        <f aca="false">IFERROR(SUMPRODUCT((IF('OCTUBRE 2026'!Y6:Y110&lt;&gt;"",'OCTUBRE 2026'!Y6:Y110,'OCTUBRE 2026'!I6:I110)="LUYA")*('OCTUBRE 2026'!K6:K110="GASOLINA")*'OCTUBRE 2026'!N6:N110),0)</f>
        <v>0</v>
      </c>
    </row>
    <row r="1332" customFormat="false" ht="15" hidden="false" customHeight="true" outlineLevel="0" collapsed="false">
      <c r="A1332" s="1" t="s">
        <v>56</v>
      </c>
      <c r="B1332" s="1" t="s">
        <v>5175</v>
      </c>
      <c r="C1332" s="187" t="n">
        <f aca="false">IFERROR(SUMPRODUCT((IF('NOVIEMBRE 2026'!Y6:Y110&lt;&gt;"",'NOVIEMBRE 2026'!Y6:Y110,'NOVIEMBRE 2026'!I6:I110)="LUYA")*('NOVIEMBRE 2026'!K6:K110="PETROLEO")*'NOVIEMBRE 2026'!M6:M110),0)</f>
        <v>0</v>
      </c>
      <c r="D1332" s="187" t="n">
        <f aca="false">IFERROR(SUMPRODUCT((IF('NOVIEMBRE 2026'!Y6:Y110&lt;&gt;"",'NOVIEMBRE 2026'!Y6:Y110,'NOVIEMBRE 2026'!I6:I110)="LUYA")*('NOVIEMBRE 2026'!K6:K110="PETROLEO")*'NOVIEMBRE 2026'!N6:N110),0)</f>
        <v>0</v>
      </c>
      <c r="E1332" s="187" t="n">
        <f aca="false">IFERROR(SUMPRODUCT((IF('NOVIEMBRE 2026'!Y6:Y110&lt;&gt;"",'NOVIEMBRE 2026'!Y6:Y110,'NOVIEMBRE 2026'!I6:I110)="LUYA")*('NOVIEMBRE 2026'!K6:K110="GASOLINA")*'NOVIEMBRE 2026'!M6:M110),0)</f>
        <v>0</v>
      </c>
      <c r="F1332" s="187" t="n">
        <f aca="false">IFERROR(SUMPRODUCT((IF('NOVIEMBRE 2026'!Y6:Y110&lt;&gt;"",'NOVIEMBRE 2026'!Y6:Y110,'NOVIEMBRE 2026'!I6:I110)="LUYA")*('NOVIEMBRE 2026'!K6:K110="GASOLINA")*'NOVIEMBRE 2026'!N6:N110),0)</f>
        <v>0</v>
      </c>
    </row>
    <row r="1333" customFormat="false" ht="15" hidden="false" customHeight="true" outlineLevel="0" collapsed="false">
      <c r="A1333" s="1" t="s">
        <v>56</v>
      </c>
      <c r="B1333" s="1" t="s">
        <v>5176</v>
      </c>
      <c r="C1333" s="187" t="n">
        <f aca="false">IFERROR(SUMPRODUCT((IF('DICIEMBRE 2026'!Y6:Y110&lt;&gt;"",'DICIEMBRE 2026'!Y6:Y110,'DICIEMBRE 2026'!I6:I110)="LUYA")*('DICIEMBRE 2026'!K6:K110="PETROLEO")*'DICIEMBRE 2026'!M6:M110),0)</f>
        <v>0</v>
      </c>
      <c r="D1333" s="187" t="n">
        <f aca="false">IFERROR(SUMPRODUCT((IF('DICIEMBRE 2026'!Y6:Y110&lt;&gt;"",'DICIEMBRE 2026'!Y6:Y110,'DICIEMBRE 2026'!I6:I110)="LUYA")*('DICIEMBRE 2026'!K6:K110="PETROLEO")*'DICIEMBRE 2026'!N6:N110),0)</f>
        <v>0</v>
      </c>
      <c r="E1333" s="187" t="n">
        <f aca="false">IFERROR(SUMPRODUCT((IF('DICIEMBRE 2026'!Y6:Y110&lt;&gt;"",'DICIEMBRE 2026'!Y6:Y110,'DICIEMBRE 2026'!I6:I110)="LUYA")*('DICIEMBRE 2026'!K6:K110="GASOLINA")*'DICIEMBRE 2026'!M6:M110),0)</f>
        <v>0</v>
      </c>
      <c r="F1333" s="187" t="n">
        <f aca="false">IFERROR(SUMPRODUCT((IF('DICIEMBRE 2026'!Y6:Y110&lt;&gt;"",'DICIEMBRE 2026'!Y6:Y110,'DICIEMBRE 2026'!I6:I110)="LUYA")*('DICIEMBRE 2026'!K6:K110="GASOLINA")*'DICIEMBRE 2026'!N6:N110),0)</f>
        <v>0</v>
      </c>
    </row>
    <row r="1334" customFormat="false" ht="15" hidden="false" customHeight="true" outlineLevel="0" collapsed="false">
      <c r="A1334" s="1" t="s">
        <v>58</v>
      </c>
      <c r="B1334" s="1" t="s">
        <v>5165</v>
      </c>
      <c r="C1334" s="187" t="n">
        <f aca="false">IFERROR(SUMPRODUCT((IF('ENERO 2026'!Y6:Y119&lt;&gt;"",'ENERO 2026'!Y6:Y119,'ENERO 2026'!I6:I119)="MARIA")*('ENERO 2026'!K6:K119="PETROLEO")*'ENERO 2026'!M6:M119),0)</f>
        <v>12</v>
      </c>
      <c r="D1334" s="187" t="n">
        <f aca="false">IFERROR(SUMPRODUCT((IF('ENERO 2026'!Y6:Y119&lt;&gt;"",'ENERO 2026'!Y6:Y119,'ENERO 2026'!I6:I119)="MARIA")*('ENERO 2026'!K6:K119="PETROLEO")*'ENERO 2026'!N6:N119),0)</f>
        <v>0</v>
      </c>
      <c r="E1334" s="187" t="n">
        <f aca="false">IFERROR(SUMPRODUCT((IF('ENERO 2026'!Y6:Y119&lt;&gt;"",'ENERO 2026'!Y6:Y119,'ENERO 2026'!I6:I119)="MARIA")*('ENERO 2026'!K6:K119="GASOLINA")*'ENERO 2026'!M6:M119),0)</f>
        <v>0</v>
      </c>
      <c r="F1334" s="187" t="n">
        <f aca="false">IFERROR(SUMPRODUCT((IF('ENERO 2026'!Y6:Y119&lt;&gt;"",'ENERO 2026'!Y6:Y119,'ENERO 2026'!I6:I119)="MARIA")*('ENERO 2026'!K6:K119="GASOLINA")*'ENERO 2026'!N6:N119),0)</f>
        <v>0</v>
      </c>
    </row>
    <row r="1335" customFormat="false" ht="15" hidden="false" customHeight="true" outlineLevel="0" collapsed="false">
      <c r="A1335" s="1" t="s">
        <v>58</v>
      </c>
      <c r="B1335" s="1" t="s">
        <v>5166</v>
      </c>
      <c r="C1335" s="187" t="n">
        <f aca="false">IFERROR(SUMPRODUCT((IF('FEBRERO 2026'!Y6:Y124&lt;&gt;"",'FEBRERO 2026'!Y6:Y124,'FEBRERO 2026'!I6:I124)="MARIA")*('FEBRERO 2026'!K6:K124="PETROLEO")*'FEBRERO 2026'!M6:M124),0)</f>
        <v>36</v>
      </c>
      <c r="D1335" s="187" t="n">
        <f aca="false">IFERROR(SUMPRODUCT((IF('FEBRERO 2026'!Y6:Y124&lt;&gt;"",'FEBRERO 2026'!Y6:Y124,'FEBRERO 2026'!I6:I124)="MARIA")*('FEBRERO 2026'!K6:K124="PETROLEO")*'FEBRERO 2026'!N6:N124),0)</f>
        <v>654.48</v>
      </c>
      <c r="E1335" s="187" t="n">
        <f aca="false">IFERROR(SUMPRODUCT((IF('FEBRERO 2026'!Y6:Y124&lt;&gt;"",'FEBRERO 2026'!Y6:Y124,'FEBRERO 2026'!I6:I124)="MARIA")*('FEBRERO 2026'!K6:K124="GASOLINA")*'FEBRERO 2026'!M6:M124),0)</f>
        <v>0</v>
      </c>
      <c r="F1335" s="187" t="n">
        <f aca="false">IFERROR(SUMPRODUCT((IF('FEBRERO 2026'!Y6:Y124&lt;&gt;"",'FEBRERO 2026'!Y6:Y124,'FEBRERO 2026'!I6:I124)="MARIA")*('FEBRERO 2026'!K6:K124="GASOLINA")*'FEBRERO 2026'!N6:N124),0)</f>
        <v>0</v>
      </c>
    </row>
    <row r="1336" customFormat="false" ht="15" hidden="false" customHeight="true" outlineLevel="0" collapsed="false">
      <c r="A1336" s="1" t="s">
        <v>58</v>
      </c>
      <c r="B1336" s="1" t="s">
        <v>5167</v>
      </c>
      <c r="C1336" s="187" t="n">
        <f aca="false">IFERROR(SUMPRODUCT((IF('MARZO 2026'!Y6:Y119&lt;&gt;"",'MARZO 2026'!Y6:Y119,'MARZO 2026'!I6:I119)="MARIA")*('MARZO 2026'!K6:K119="PETROLEO")*'MARZO 2026'!M6:M119),0)</f>
        <v>0</v>
      </c>
      <c r="D1336" s="187" t="n">
        <f aca="false">IFERROR(SUMPRODUCT((IF('MARZO 2026'!Y6:Y119&lt;&gt;"",'MARZO 2026'!Y6:Y119,'MARZO 2026'!I6:I119)="MARIA")*('MARZO 2026'!K6:K119="PETROLEO")*'MARZO 2026'!N6:N119),0)</f>
        <v>0</v>
      </c>
      <c r="E1336" s="187" t="n">
        <f aca="false">IFERROR(SUMPRODUCT((IF('MARZO 2026'!Y6:Y119&lt;&gt;"",'MARZO 2026'!Y6:Y119,'MARZO 2026'!I6:I119)="MARIA")*('MARZO 2026'!K6:K119="GASOLINA")*'MARZO 2026'!M6:M119),0)</f>
        <v>0</v>
      </c>
      <c r="F1336" s="187" t="n">
        <f aca="false">IFERROR(SUMPRODUCT((IF('MARZO 2026'!Y6:Y119&lt;&gt;"",'MARZO 2026'!Y6:Y119,'MARZO 2026'!I6:I119)="MARIA")*('MARZO 2026'!K6:K119="GASOLINA")*'MARZO 2026'!N6:N119),0)</f>
        <v>0</v>
      </c>
    </row>
    <row r="1337" customFormat="false" ht="15" hidden="false" customHeight="true" outlineLevel="0" collapsed="false">
      <c r="A1337" s="1" t="s">
        <v>58</v>
      </c>
      <c r="B1337" s="1" t="s">
        <v>5168</v>
      </c>
      <c r="C1337" s="187" t="n">
        <f aca="false">IFERROR(SUMPRODUCT((IF('ABRIL 2026'!Y6:Y119&lt;&gt;"",'ABRIL 2026'!Y6:Y119,'ABRIL 2026'!I6:I119)="MARIA")*('ABRIL 2026'!K6:K119="PETROLEO")*'ABRIL 2026'!M6:M119),0)</f>
        <v>0</v>
      </c>
      <c r="D1337" s="187" t="n">
        <f aca="false">IFERROR(SUMPRODUCT((IF('ABRIL 2026'!Y6:Y119&lt;&gt;"",'ABRIL 2026'!Y6:Y119,'ABRIL 2026'!I6:I119)="MARIA")*('ABRIL 2026'!K6:K119="PETROLEO")*'ABRIL 2026'!N6:N119),0)</f>
        <v>0</v>
      </c>
      <c r="E1337" s="187" t="n">
        <f aca="false">IFERROR(SUMPRODUCT((IF('ABRIL 2026'!Y6:Y119&lt;&gt;"",'ABRIL 2026'!Y6:Y119,'ABRIL 2026'!I6:I119)="MARIA")*('ABRIL 2026'!K6:K119="GASOLINA")*'ABRIL 2026'!M6:M119),0)</f>
        <v>0</v>
      </c>
      <c r="F1337" s="187" t="n">
        <f aca="false">IFERROR(SUMPRODUCT((IF('ABRIL 2026'!Y6:Y119&lt;&gt;"",'ABRIL 2026'!Y6:Y119,'ABRIL 2026'!I6:I119)="MARIA")*('ABRIL 2026'!K6:K119="GASOLINA")*'ABRIL 2026'!N6:N119),0)</f>
        <v>0</v>
      </c>
    </row>
    <row r="1338" customFormat="false" ht="15" hidden="false" customHeight="true" outlineLevel="0" collapsed="false">
      <c r="A1338" s="1" t="s">
        <v>58</v>
      </c>
      <c r="B1338" s="1" t="s">
        <v>5169</v>
      </c>
      <c r="C1338" s="187" t="n">
        <f aca="false">IFERROR(SUMPRODUCT((IF('MAYO 2026'!Y6:Y110&lt;&gt;"",'MAYO 2026'!Y6:Y110,'MAYO 2026'!I6:I110)="MARIA")*('MAYO 2026'!K6:K110="PETROLEO")*'MAYO 2026'!M6:M110),0)</f>
        <v>0</v>
      </c>
      <c r="D1338" s="187" t="n">
        <f aca="false">IFERROR(SUMPRODUCT((IF('MAYO 2026'!Y6:Y110&lt;&gt;"",'MAYO 2026'!Y6:Y110,'MAYO 2026'!I6:I110)="MARIA")*('MAYO 2026'!K6:K110="PETROLEO")*'MAYO 2026'!N6:N110),0)</f>
        <v>0</v>
      </c>
      <c r="E1338" s="187" t="n">
        <f aca="false">IFERROR(SUMPRODUCT((IF('MAYO 2026'!Y6:Y110&lt;&gt;"",'MAYO 2026'!Y6:Y110,'MAYO 2026'!I6:I110)="MARIA")*('MAYO 2026'!K6:K110="GASOLINA")*'MAYO 2026'!M6:M110),0)</f>
        <v>0</v>
      </c>
      <c r="F1338" s="187" t="n">
        <f aca="false">IFERROR(SUMPRODUCT((IF('MAYO 2026'!Y6:Y110&lt;&gt;"",'MAYO 2026'!Y6:Y110,'MAYO 2026'!I6:I110)="MARIA")*('MAYO 2026'!K6:K110="GASOLINA")*'MAYO 2026'!N6:N110),0)</f>
        <v>0</v>
      </c>
    </row>
    <row r="1339" customFormat="false" ht="15" hidden="false" customHeight="true" outlineLevel="0" collapsed="false">
      <c r="A1339" s="1" t="s">
        <v>58</v>
      </c>
      <c r="B1339" s="1" t="s">
        <v>5170</v>
      </c>
      <c r="C1339" s="187" t="n">
        <f aca="false">IFERROR(SUMPRODUCT((IF('JUNIO 2026'!Y6:Y110&lt;&gt;"",'JUNIO 2026'!Y6:Y110,'JUNIO 2026'!I6:I110)="MARIA")*('JUNIO 2026'!K6:K110="PETROLEO")*'JUNIO 2026'!M6:M110),0)</f>
        <v>0</v>
      </c>
      <c r="D1339" s="187" t="n">
        <f aca="false">IFERROR(SUMPRODUCT((IF('JUNIO 2026'!Y6:Y110&lt;&gt;"",'JUNIO 2026'!Y6:Y110,'JUNIO 2026'!I6:I110)="MARIA")*('JUNIO 2026'!K6:K110="PETROLEO")*'JUNIO 2026'!N6:N110),0)</f>
        <v>0</v>
      </c>
      <c r="E1339" s="187" t="n">
        <f aca="false">IFERROR(SUMPRODUCT((IF('JUNIO 2026'!Y6:Y110&lt;&gt;"",'JUNIO 2026'!Y6:Y110,'JUNIO 2026'!I6:I110)="MARIA")*('JUNIO 2026'!K6:K110="GASOLINA")*'JUNIO 2026'!M6:M110),0)</f>
        <v>0</v>
      </c>
      <c r="F1339" s="187" t="n">
        <f aca="false">IFERROR(SUMPRODUCT((IF('JUNIO 2026'!Y6:Y110&lt;&gt;"",'JUNIO 2026'!Y6:Y110,'JUNIO 2026'!I6:I110)="MARIA")*('JUNIO 2026'!K6:K110="GASOLINA")*'JUNIO 2026'!N6:N110),0)</f>
        <v>0</v>
      </c>
    </row>
    <row r="1340" customFormat="false" ht="15" hidden="false" customHeight="true" outlineLevel="0" collapsed="false">
      <c r="A1340" s="1" t="s">
        <v>58</v>
      </c>
      <c r="B1340" s="1" t="s">
        <v>5171</v>
      </c>
      <c r="C1340" s="187" t="n">
        <f aca="false">IFERROR(SUMPRODUCT((IF('JULIO 2026'!Y6:Y110&lt;&gt;"",'JULIO 2026'!Y6:Y110,'JULIO 2026'!I6:I110)="MARIA")*('JULIO 2026'!K6:K110="PETROLEO")*'JULIO 2026'!M6:M110),0)</f>
        <v>0</v>
      </c>
      <c r="D1340" s="187" t="n">
        <f aca="false">IFERROR(SUMPRODUCT((IF('JULIO 2026'!Y6:Y110&lt;&gt;"",'JULIO 2026'!Y6:Y110,'JULIO 2026'!I6:I110)="MARIA")*('JULIO 2026'!K6:K110="PETROLEO")*'JULIO 2026'!N6:N110),0)</f>
        <v>0</v>
      </c>
      <c r="E1340" s="187" t="n">
        <f aca="false">IFERROR(SUMPRODUCT((IF('JULIO 2026'!Y6:Y110&lt;&gt;"",'JULIO 2026'!Y6:Y110,'JULIO 2026'!I6:I110)="MARIA")*('JULIO 2026'!K6:K110="GASOLINA")*'JULIO 2026'!M6:M110),0)</f>
        <v>0</v>
      </c>
      <c r="F1340" s="187" t="n">
        <f aca="false">IFERROR(SUMPRODUCT((IF('JULIO 2026'!Y6:Y110&lt;&gt;"",'JULIO 2026'!Y6:Y110,'JULIO 2026'!I6:I110)="MARIA")*('JULIO 2026'!K6:K110="GASOLINA")*'JULIO 2026'!N6:N110),0)</f>
        <v>0</v>
      </c>
    </row>
    <row r="1341" customFormat="false" ht="15" hidden="false" customHeight="true" outlineLevel="0" collapsed="false">
      <c r="A1341" s="1" t="s">
        <v>58</v>
      </c>
      <c r="B1341" s="1" t="s">
        <v>5172</v>
      </c>
      <c r="C1341" s="187" t="n">
        <f aca="false">IFERROR(SUMPRODUCT((IF('AGOSTO 2026'!Y6:Y110&lt;&gt;"",'AGOSTO 2026'!Y6:Y110,'AGOSTO 2026'!I6:I110)="MARIA")*('AGOSTO 2026'!K6:K110="PETROLEO")*'AGOSTO 2026'!M6:M110),0)</f>
        <v>0</v>
      </c>
      <c r="D1341" s="187" t="n">
        <f aca="false">IFERROR(SUMPRODUCT((IF('AGOSTO 2026'!Y6:Y110&lt;&gt;"",'AGOSTO 2026'!Y6:Y110,'AGOSTO 2026'!I6:I110)="MARIA")*('AGOSTO 2026'!K6:K110="PETROLEO")*'AGOSTO 2026'!N6:N110),0)</f>
        <v>0</v>
      </c>
      <c r="E1341" s="187" t="n">
        <f aca="false">IFERROR(SUMPRODUCT((IF('AGOSTO 2026'!Y6:Y110&lt;&gt;"",'AGOSTO 2026'!Y6:Y110,'AGOSTO 2026'!I6:I110)="MARIA")*('AGOSTO 2026'!K6:K110="GASOLINA")*'AGOSTO 2026'!M6:M110),0)</f>
        <v>0</v>
      </c>
      <c r="F1341" s="187" t="n">
        <f aca="false">IFERROR(SUMPRODUCT((IF('AGOSTO 2026'!Y6:Y110&lt;&gt;"",'AGOSTO 2026'!Y6:Y110,'AGOSTO 2026'!I6:I110)="MARIA")*('AGOSTO 2026'!K6:K110="GASOLINA")*'AGOSTO 2026'!N6:N110),0)</f>
        <v>0</v>
      </c>
    </row>
    <row r="1342" customFormat="false" ht="15" hidden="false" customHeight="true" outlineLevel="0" collapsed="false">
      <c r="A1342" s="1" t="s">
        <v>58</v>
      </c>
      <c r="B1342" s="1" t="s">
        <v>5173</v>
      </c>
      <c r="C1342" s="187" t="n">
        <f aca="false">IFERROR(SUMPRODUCT((IF('SETIEMBRE 2026'!Y6:Y110&lt;&gt;"",'SETIEMBRE 2026'!Y6:Y110,'SETIEMBRE 2026'!I6:I110)="MARIA")*('SETIEMBRE 2026'!K6:K110="PETROLEO")*'SETIEMBRE 2026'!M6:M110),0)</f>
        <v>0</v>
      </c>
      <c r="D1342" s="187" t="n">
        <f aca="false">IFERROR(SUMPRODUCT((IF('SETIEMBRE 2026'!Y6:Y110&lt;&gt;"",'SETIEMBRE 2026'!Y6:Y110,'SETIEMBRE 2026'!I6:I110)="MARIA")*('SETIEMBRE 2026'!K6:K110="PETROLEO")*'SETIEMBRE 2026'!N6:N110),0)</f>
        <v>0</v>
      </c>
      <c r="E1342" s="187" t="n">
        <f aca="false">IFERROR(SUMPRODUCT((IF('SETIEMBRE 2026'!Y6:Y110&lt;&gt;"",'SETIEMBRE 2026'!Y6:Y110,'SETIEMBRE 2026'!I6:I110)="MARIA")*('SETIEMBRE 2026'!K6:K110="GASOLINA")*'SETIEMBRE 2026'!M6:M110),0)</f>
        <v>0</v>
      </c>
      <c r="F1342" s="187" t="n">
        <f aca="false">IFERROR(SUMPRODUCT((IF('SETIEMBRE 2026'!Y6:Y110&lt;&gt;"",'SETIEMBRE 2026'!Y6:Y110,'SETIEMBRE 2026'!I6:I110)="MARIA")*('SETIEMBRE 2026'!K6:K110="GASOLINA")*'SETIEMBRE 2026'!N6:N110),0)</f>
        <v>0</v>
      </c>
    </row>
    <row r="1343" customFormat="false" ht="15" hidden="false" customHeight="true" outlineLevel="0" collapsed="false">
      <c r="A1343" s="1" t="s">
        <v>58</v>
      </c>
      <c r="B1343" s="1" t="s">
        <v>5174</v>
      </c>
      <c r="C1343" s="187" t="n">
        <f aca="false">IFERROR(SUMPRODUCT((IF('OCTUBRE 2026'!Y6:Y110&lt;&gt;"",'OCTUBRE 2026'!Y6:Y110,'OCTUBRE 2026'!I6:I110)="MARIA")*('OCTUBRE 2026'!K6:K110="PETROLEO")*'OCTUBRE 2026'!M6:M110),0)</f>
        <v>0</v>
      </c>
      <c r="D1343" s="187" t="n">
        <f aca="false">IFERROR(SUMPRODUCT((IF('OCTUBRE 2026'!Y6:Y110&lt;&gt;"",'OCTUBRE 2026'!Y6:Y110,'OCTUBRE 2026'!I6:I110)="MARIA")*('OCTUBRE 2026'!K6:K110="PETROLEO")*'OCTUBRE 2026'!N6:N110),0)</f>
        <v>0</v>
      </c>
      <c r="E1343" s="187" t="n">
        <f aca="false">IFERROR(SUMPRODUCT((IF('OCTUBRE 2026'!Y6:Y110&lt;&gt;"",'OCTUBRE 2026'!Y6:Y110,'OCTUBRE 2026'!I6:I110)="MARIA")*('OCTUBRE 2026'!K6:K110="GASOLINA")*'OCTUBRE 2026'!M6:M110),0)</f>
        <v>0</v>
      </c>
      <c r="F1343" s="187" t="n">
        <f aca="false">IFERROR(SUMPRODUCT((IF('OCTUBRE 2026'!Y6:Y110&lt;&gt;"",'OCTUBRE 2026'!Y6:Y110,'OCTUBRE 2026'!I6:I110)="MARIA")*('OCTUBRE 2026'!K6:K110="GASOLINA")*'OCTUBRE 2026'!N6:N110),0)</f>
        <v>0</v>
      </c>
    </row>
    <row r="1344" customFormat="false" ht="15" hidden="false" customHeight="true" outlineLevel="0" collapsed="false">
      <c r="A1344" s="1" t="s">
        <v>58</v>
      </c>
      <c r="B1344" s="1" t="s">
        <v>5175</v>
      </c>
      <c r="C1344" s="187" t="n">
        <f aca="false">IFERROR(SUMPRODUCT((IF('NOVIEMBRE 2026'!Y6:Y110&lt;&gt;"",'NOVIEMBRE 2026'!Y6:Y110,'NOVIEMBRE 2026'!I6:I110)="MARIA")*('NOVIEMBRE 2026'!K6:K110="PETROLEO")*'NOVIEMBRE 2026'!M6:M110),0)</f>
        <v>0</v>
      </c>
      <c r="D1344" s="187" t="n">
        <f aca="false">IFERROR(SUMPRODUCT((IF('NOVIEMBRE 2026'!Y6:Y110&lt;&gt;"",'NOVIEMBRE 2026'!Y6:Y110,'NOVIEMBRE 2026'!I6:I110)="MARIA")*('NOVIEMBRE 2026'!K6:K110="PETROLEO")*'NOVIEMBRE 2026'!N6:N110),0)</f>
        <v>0</v>
      </c>
      <c r="E1344" s="187" t="n">
        <f aca="false">IFERROR(SUMPRODUCT((IF('NOVIEMBRE 2026'!Y6:Y110&lt;&gt;"",'NOVIEMBRE 2026'!Y6:Y110,'NOVIEMBRE 2026'!I6:I110)="MARIA")*('NOVIEMBRE 2026'!K6:K110="GASOLINA")*'NOVIEMBRE 2026'!M6:M110),0)</f>
        <v>0</v>
      </c>
      <c r="F1344" s="187" t="n">
        <f aca="false">IFERROR(SUMPRODUCT((IF('NOVIEMBRE 2026'!Y6:Y110&lt;&gt;"",'NOVIEMBRE 2026'!Y6:Y110,'NOVIEMBRE 2026'!I6:I110)="MARIA")*('NOVIEMBRE 2026'!K6:K110="GASOLINA")*'NOVIEMBRE 2026'!N6:N110),0)</f>
        <v>0</v>
      </c>
    </row>
    <row r="1345" customFormat="false" ht="15" hidden="false" customHeight="true" outlineLevel="0" collapsed="false">
      <c r="A1345" s="1" t="s">
        <v>58</v>
      </c>
      <c r="B1345" s="1" t="s">
        <v>5176</v>
      </c>
      <c r="C1345" s="187" t="n">
        <f aca="false">IFERROR(SUMPRODUCT((IF('DICIEMBRE 2026'!Y6:Y110&lt;&gt;"",'DICIEMBRE 2026'!Y6:Y110,'DICIEMBRE 2026'!I6:I110)="MARIA")*('DICIEMBRE 2026'!K6:K110="PETROLEO")*'DICIEMBRE 2026'!M6:M110),0)</f>
        <v>0</v>
      </c>
      <c r="D1345" s="187" t="n">
        <f aca="false">IFERROR(SUMPRODUCT((IF('DICIEMBRE 2026'!Y6:Y110&lt;&gt;"",'DICIEMBRE 2026'!Y6:Y110,'DICIEMBRE 2026'!I6:I110)="MARIA")*('DICIEMBRE 2026'!K6:K110="PETROLEO")*'DICIEMBRE 2026'!N6:N110),0)</f>
        <v>0</v>
      </c>
      <c r="E1345" s="187" t="n">
        <f aca="false">IFERROR(SUMPRODUCT((IF('DICIEMBRE 2026'!Y6:Y110&lt;&gt;"",'DICIEMBRE 2026'!Y6:Y110,'DICIEMBRE 2026'!I6:I110)="MARIA")*('DICIEMBRE 2026'!K6:K110="GASOLINA")*'DICIEMBRE 2026'!M6:M110),0)</f>
        <v>0</v>
      </c>
      <c r="F1345" s="187" t="n">
        <f aca="false">IFERROR(SUMPRODUCT((IF('DICIEMBRE 2026'!Y6:Y110&lt;&gt;"",'DICIEMBRE 2026'!Y6:Y110,'DICIEMBRE 2026'!I6:I110)="MARIA")*('DICIEMBRE 2026'!K6:K110="GASOLINA")*'DICIEMBRE 2026'!N6:N110),0)</f>
        <v>0</v>
      </c>
    </row>
    <row r="1346" customFormat="false" ht="15" hidden="false" customHeight="true" outlineLevel="0" collapsed="false">
      <c r="A1346" s="1" t="s">
        <v>138</v>
      </c>
      <c r="B1346" s="1" t="s">
        <v>5165</v>
      </c>
      <c r="C1346" s="187" t="n">
        <f aca="false">IFERROR(SUMPRODUCT((IF('ENERO 2026'!Y6:Y119&lt;&gt;"",'ENERO 2026'!Y6:Y119,'ENERO 2026'!I6:I119)="MARIA AUXILIADORA")*('ENERO 2026'!K6:K119="PETROLEO")*'ENERO 2026'!M6:M119),0)</f>
        <v>144.55</v>
      </c>
      <c r="D1346" s="187" t="n">
        <f aca="false">IFERROR(SUMPRODUCT((IF('ENERO 2026'!Y6:Y119&lt;&gt;"",'ENERO 2026'!Y6:Y119,'ENERO 2026'!I6:I119)="MARIA AUXILIADORA")*('ENERO 2026'!K6:K119="PETROLEO")*'ENERO 2026'!N6:N119),0)</f>
        <v>0</v>
      </c>
      <c r="E1346" s="187" t="n">
        <f aca="false">IFERROR(SUMPRODUCT((IF('ENERO 2026'!Y6:Y119&lt;&gt;"",'ENERO 2026'!Y6:Y119,'ENERO 2026'!I6:I119)="MARIA AUXILIADORA")*('ENERO 2026'!K6:K119="GASOLINA")*'ENERO 2026'!M6:M119),0)</f>
        <v>0</v>
      </c>
      <c r="F1346" s="187" t="n">
        <f aca="false">IFERROR(SUMPRODUCT((IF('ENERO 2026'!Y6:Y119&lt;&gt;"",'ENERO 2026'!Y6:Y119,'ENERO 2026'!I6:I119)="MARIA AUXILIADORA")*('ENERO 2026'!K6:K119="GASOLINA")*'ENERO 2026'!N6:N119),0)</f>
        <v>0</v>
      </c>
    </row>
    <row r="1347" customFormat="false" ht="15" hidden="false" customHeight="true" outlineLevel="0" collapsed="false">
      <c r="A1347" s="1" t="s">
        <v>138</v>
      </c>
      <c r="B1347" s="1" t="s">
        <v>5166</v>
      </c>
      <c r="C1347" s="187" t="n">
        <f aca="false">IFERROR(SUMPRODUCT((IF('FEBRERO 2026'!Y6:Y124&lt;&gt;"",'FEBRERO 2026'!Y6:Y124,'FEBRERO 2026'!I6:I124)="MARIA AUXILIADORA")*('FEBRERO 2026'!K6:K124="PETROLEO")*'FEBRERO 2026'!M6:M124),0)</f>
        <v>124.09</v>
      </c>
      <c r="D1347" s="187" t="n">
        <f aca="false">IFERROR(SUMPRODUCT((IF('FEBRERO 2026'!Y6:Y124&lt;&gt;"",'FEBRERO 2026'!Y6:Y124,'FEBRERO 2026'!I6:I124)="MARIA AUXILIADORA")*('FEBRERO 2026'!K6:K124="PETROLEO")*'FEBRERO 2026'!N6:N124),0)</f>
        <v>2492.1225</v>
      </c>
      <c r="E1347" s="187" t="n">
        <f aca="false">IFERROR(SUMPRODUCT((IF('FEBRERO 2026'!Y6:Y124&lt;&gt;"",'FEBRERO 2026'!Y6:Y124,'FEBRERO 2026'!I6:I124)="MARIA AUXILIADORA")*('FEBRERO 2026'!K6:K124="GASOLINA")*'FEBRERO 2026'!M6:M124),0)</f>
        <v>0</v>
      </c>
      <c r="F1347" s="187" t="n">
        <f aca="false">IFERROR(SUMPRODUCT((IF('FEBRERO 2026'!Y6:Y124&lt;&gt;"",'FEBRERO 2026'!Y6:Y124,'FEBRERO 2026'!I6:I124)="MARIA AUXILIADORA")*('FEBRERO 2026'!K6:K124="GASOLINA")*'FEBRERO 2026'!N6:N124),0)</f>
        <v>0</v>
      </c>
    </row>
    <row r="1348" customFormat="false" ht="15" hidden="false" customHeight="true" outlineLevel="0" collapsed="false">
      <c r="A1348" s="1" t="s">
        <v>138</v>
      </c>
      <c r="B1348" s="1" t="s">
        <v>5167</v>
      </c>
      <c r="C1348" s="187" t="n">
        <f aca="false">IFERROR(SUMPRODUCT((IF('MARZO 2026'!Y6:Y119&lt;&gt;"",'MARZO 2026'!Y6:Y119,'MARZO 2026'!I6:I119)="MARIA AUXILIADORA")*('MARZO 2026'!K6:K119="PETROLEO")*'MARZO 2026'!M6:M119),0)</f>
        <v>113.16</v>
      </c>
      <c r="D1348" s="187" t="n">
        <f aca="false">IFERROR(SUMPRODUCT((IF('MARZO 2026'!Y6:Y119&lt;&gt;"",'MARZO 2026'!Y6:Y119,'MARZO 2026'!I6:I119)="MARIA AUXILIADORA")*('MARZO 2026'!K6:K119="PETROLEO")*'MARZO 2026'!N6:N119),0)</f>
        <v>0</v>
      </c>
      <c r="E1348" s="187" t="n">
        <f aca="false">IFERROR(SUMPRODUCT((IF('MARZO 2026'!Y6:Y119&lt;&gt;"",'MARZO 2026'!Y6:Y119,'MARZO 2026'!I6:I119)="MARIA AUXILIADORA")*('MARZO 2026'!K6:K119="GASOLINA")*'MARZO 2026'!M6:M119),0)</f>
        <v>0</v>
      </c>
      <c r="F1348" s="187" t="n">
        <f aca="false">IFERROR(SUMPRODUCT((IF('MARZO 2026'!Y6:Y119&lt;&gt;"",'MARZO 2026'!Y6:Y119,'MARZO 2026'!I6:I119)="MARIA AUXILIADORA")*('MARZO 2026'!K6:K119="GASOLINA")*'MARZO 2026'!N6:N119),0)</f>
        <v>0</v>
      </c>
    </row>
    <row r="1349" customFormat="false" ht="15" hidden="false" customHeight="true" outlineLevel="0" collapsed="false">
      <c r="A1349" s="1" t="s">
        <v>138</v>
      </c>
      <c r="B1349" s="1" t="s">
        <v>5168</v>
      </c>
      <c r="C1349" s="187" t="n">
        <f aca="false">IFERROR(SUMPRODUCT((IF('ABRIL 2026'!Y6:Y119&lt;&gt;"",'ABRIL 2026'!Y6:Y119,'ABRIL 2026'!I6:I119)="MARIA AUXILIADORA")*('ABRIL 2026'!K6:K119="PETROLEO")*'ABRIL 2026'!M6:M119),0)</f>
        <v>0</v>
      </c>
      <c r="D1349" s="187" t="n">
        <f aca="false">IFERROR(SUMPRODUCT((IF('ABRIL 2026'!Y6:Y119&lt;&gt;"",'ABRIL 2026'!Y6:Y119,'ABRIL 2026'!I6:I119)="MARIA AUXILIADORA")*('ABRIL 2026'!K6:K119="PETROLEO")*'ABRIL 2026'!N6:N119),0)</f>
        <v>0</v>
      </c>
      <c r="E1349" s="187" t="n">
        <f aca="false">IFERROR(SUMPRODUCT((IF('ABRIL 2026'!Y6:Y119&lt;&gt;"",'ABRIL 2026'!Y6:Y119,'ABRIL 2026'!I6:I119)="MARIA AUXILIADORA")*('ABRIL 2026'!K6:K119="GASOLINA")*'ABRIL 2026'!M6:M119),0)</f>
        <v>0</v>
      </c>
      <c r="F1349" s="187" t="n">
        <f aca="false">IFERROR(SUMPRODUCT((IF('ABRIL 2026'!Y6:Y119&lt;&gt;"",'ABRIL 2026'!Y6:Y119,'ABRIL 2026'!I6:I119)="MARIA AUXILIADORA")*('ABRIL 2026'!K6:K119="GASOLINA")*'ABRIL 2026'!N6:N119),0)</f>
        <v>0</v>
      </c>
    </row>
    <row r="1350" customFormat="false" ht="15" hidden="false" customHeight="true" outlineLevel="0" collapsed="false">
      <c r="A1350" s="1" t="s">
        <v>138</v>
      </c>
      <c r="B1350" s="1" t="s">
        <v>5169</v>
      </c>
      <c r="C1350" s="187" t="n">
        <f aca="false">IFERROR(SUMPRODUCT((IF('MAYO 2026'!Y6:Y110&lt;&gt;"",'MAYO 2026'!Y6:Y110,'MAYO 2026'!I6:I110)="MARIA AUXILIADORA")*('MAYO 2026'!K6:K110="PETROLEO")*'MAYO 2026'!M6:M110),0)</f>
        <v>0</v>
      </c>
      <c r="D1350" s="187" t="n">
        <f aca="false">IFERROR(SUMPRODUCT((IF('MAYO 2026'!Y6:Y110&lt;&gt;"",'MAYO 2026'!Y6:Y110,'MAYO 2026'!I6:I110)="MARIA AUXILIADORA")*('MAYO 2026'!K6:K110="PETROLEO")*'MAYO 2026'!N6:N110),0)</f>
        <v>0</v>
      </c>
      <c r="E1350" s="187" t="n">
        <f aca="false">IFERROR(SUMPRODUCT((IF('MAYO 2026'!Y6:Y110&lt;&gt;"",'MAYO 2026'!Y6:Y110,'MAYO 2026'!I6:I110)="MARIA AUXILIADORA")*('MAYO 2026'!K6:K110="GASOLINA")*'MAYO 2026'!M6:M110),0)</f>
        <v>0</v>
      </c>
      <c r="F1350" s="187" t="n">
        <f aca="false">IFERROR(SUMPRODUCT((IF('MAYO 2026'!Y6:Y110&lt;&gt;"",'MAYO 2026'!Y6:Y110,'MAYO 2026'!I6:I110)="MARIA AUXILIADORA")*('MAYO 2026'!K6:K110="GASOLINA")*'MAYO 2026'!N6:N110),0)</f>
        <v>0</v>
      </c>
    </row>
    <row r="1351" customFormat="false" ht="15" hidden="false" customHeight="true" outlineLevel="0" collapsed="false">
      <c r="A1351" s="1" t="s">
        <v>138</v>
      </c>
      <c r="B1351" s="1" t="s">
        <v>5170</v>
      </c>
      <c r="C1351" s="187" t="n">
        <f aca="false">IFERROR(SUMPRODUCT((IF('JUNIO 2026'!Y6:Y110&lt;&gt;"",'JUNIO 2026'!Y6:Y110,'JUNIO 2026'!I6:I110)="MARIA AUXILIADORA")*('JUNIO 2026'!K6:K110="PETROLEO")*'JUNIO 2026'!M6:M110),0)</f>
        <v>0</v>
      </c>
      <c r="D1351" s="187" t="n">
        <f aca="false">IFERROR(SUMPRODUCT((IF('JUNIO 2026'!Y6:Y110&lt;&gt;"",'JUNIO 2026'!Y6:Y110,'JUNIO 2026'!I6:I110)="MARIA AUXILIADORA")*('JUNIO 2026'!K6:K110="PETROLEO")*'JUNIO 2026'!N6:N110),0)</f>
        <v>0</v>
      </c>
      <c r="E1351" s="187" t="n">
        <f aca="false">IFERROR(SUMPRODUCT((IF('JUNIO 2026'!Y6:Y110&lt;&gt;"",'JUNIO 2026'!Y6:Y110,'JUNIO 2026'!I6:I110)="MARIA AUXILIADORA")*('JUNIO 2026'!K6:K110="GASOLINA")*'JUNIO 2026'!M6:M110),0)</f>
        <v>0</v>
      </c>
      <c r="F1351" s="187" t="n">
        <f aca="false">IFERROR(SUMPRODUCT((IF('JUNIO 2026'!Y6:Y110&lt;&gt;"",'JUNIO 2026'!Y6:Y110,'JUNIO 2026'!I6:I110)="MARIA AUXILIADORA")*('JUNIO 2026'!K6:K110="GASOLINA")*'JUNIO 2026'!N6:N110),0)</f>
        <v>0</v>
      </c>
    </row>
    <row r="1352" customFormat="false" ht="15" hidden="false" customHeight="true" outlineLevel="0" collapsed="false">
      <c r="A1352" s="1" t="s">
        <v>138</v>
      </c>
      <c r="B1352" s="1" t="s">
        <v>5171</v>
      </c>
      <c r="C1352" s="187" t="n">
        <f aca="false">IFERROR(SUMPRODUCT((IF('JULIO 2026'!Y6:Y110&lt;&gt;"",'JULIO 2026'!Y6:Y110,'JULIO 2026'!I6:I110)="MARIA AUXILIADORA")*('JULIO 2026'!K6:K110="PETROLEO")*'JULIO 2026'!M6:M110),0)</f>
        <v>0</v>
      </c>
      <c r="D1352" s="187" t="n">
        <f aca="false">IFERROR(SUMPRODUCT((IF('JULIO 2026'!Y6:Y110&lt;&gt;"",'JULIO 2026'!Y6:Y110,'JULIO 2026'!I6:I110)="MARIA AUXILIADORA")*('JULIO 2026'!K6:K110="PETROLEO")*'JULIO 2026'!N6:N110),0)</f>
        <v>0</v>
      </c>
      <c r="E1352" s="187" t="n">
        <f aca="false">IFERROR(SUMPRODUCT((IF('JULIO 2026'!Y6:Y110&lt;&gt;"",'JULIO 2026'!Y6:Y110,'JULIO 2026'!I6:I110)="MARIA AUXILIADORA")*('JULIO 2026'!K6:K110="GASOLINA")*'JULIO 2026'!M6:M110),0)</f>
        <v>0</v>
      </c>
      <c r="F1352" s="187" t="n">
        <f aca="false">IFERROR(SUMPRODUCT((IF('JULIO 2026'!Y6:Y110&lt;&gt;"",'JULIO 2026'!Y6:Y110,'JULIO 2026'!I6:I110)="MARIA AUXILIADORA")*('JULIO 2026'!K6:K110="GASOLINA")*'JULIO 2026'!N6:N110),0)</f>
        <v>0</v>
      </c>
    </row>
    <row r="1353" customFormat="false" ht="15" hidden="false" customHeight="true" outlineLevel="0" collapsed="false">
      <c r="A1353" s="1" t="s">
        <v>138</v>
      </c>
      <c r="B1353" s="1" t="s">
        <v>5172</v>
      </c>
      <c r="C1353" s="187" t="n">
        <f aca="false">IFERROR(SUMPRODUCT((IF('AGOSTO 2026'!Y6:Y110&lt;&gt;"",'AGOSTO 2026'!Y6:Y110,'AGOSTO 2026'!I6:I110)="MARIA AUXILIADORA")*('AGOSTO 2026'!K6:K110="PETROLEO")*'AGOSTO 2026'!M6:M110),0)</f>
        <v>0</v>
      </c>
      <c r="D1353" s="187" t="n">
        <f aca="false">IFERROR(SUMPRODUCT((IF('AGOSTO 2026'!Y6:Y110&lt;&gt;"",'AGOSTO 2026'!Y6:Y110,'AGOSTO 2026'!I6:I110)="MARIA AUXILIADORA")*('AGOSTO 2026'!K6:K110="PETROLEO")*'AGOSTO 2026'!N6:N110),0)</f>
        <v>0</v>
      </c>
      <c r="E1353" s="187" t="n">
        <f aca="false">IFERROR(SUMPRODUCT((IF('AGOSTO 2026'!Y6:Y110&lt;&gt;"",'AGOSTO 2026'!Y6:Y110,'AGOSTO 2026'!I6:I110)="MARIA AUXILIADORA")*('AGOSTO 2026'!K6:K110="GASOLINA")*'AGOSTO 2026'!M6:M110),0)</f>
        <v>0</v>
      </c>
      <c r="F1353" s="187" t="n">
        <f aca="false">IFERROR(SUMPRODUCT((IF('AGOSTO 2026'!Y6:Y110&lt;&gt;"",'AGOSTO 2026'!Y6:Y110,'AGOSTO 2026'!I6:I110)="MARIA AUXILIADORA")*('AGOSTO 2026'!K6:K110="GASOLINA")*'AGOSTO 2026'!N6:N110),0)</f>
        <v>0</v>
      </c>
    </row>
    <row r="1354" customFormat="false" ht="15" hidden="false" customHeight="true" outlineLevel="0" collapsed="false">
      <c r="A1354" s="1" t="s">
        <v>138</v>
      </c>
      <c r="B1354" s="1" t="s">
        <v>5173</v>
      </c>
      <c r="C1354" s="187" t="n">
        <f aca="false">IFERROR(SUMPRODUCT((IF('SETIEMBRE 2026'!Y6:Y110&lt;&gt;"",'SETIEMBRE 2026'!Y6:Y110,'SETIEMBRE 2026'!I6:I110)="MARIA AUXILIADORA")*('SETIEMBRE 2026'!K6:K110="PETROLEO")*'SETIEMBRE 2026'!M6:M110),0)</f>
        <v>0</v>
      </c>
      <c r="D1354" s="187" t="n">
        <f aca="false">IFERROR(SUMPRODUCT((IF('SETIEMBRE 2026'!Y6:Y110&lt;&gt;"",'SETIEMBRE 2026'!Y6:Y110,'SETIEMBRE 2026'!I6:I110)="MARIA AUXILIADORA")*('SETIEMBRE 2026'!K6:K110="PETROLEO")*'SETIEMBRE 2026'!N6:N110),0)</f>
        <v>0</v>
      </c>
      <c r="E1354" s="187" t="n">
        <f aca="false">IFERROR(SUMPRODUCT((IF('SETIEMBRE 2026'!Y6:Y110&lt;&gt;"",'SETIEMBRE 2026'!Y6:Y110,'SETIEMBRE 2026'!I6:I110)="MARIA AUXILIADORA")*('SETIEMBRE 2026'!K6:K110="GASOLINA")*'SETIEMBRE 2026'!M6:M110),0)</f>
        <v>0</v>
      </c>
      <c r="F1354" s="187" t="n">
        <f aca="false">IFERROR(SUMPRODUCT((IF('SETIEMBRE 2026'!Y6:Y110&lt;&gt;"",'SETIEMBRE 2026'!Y6:Y110,'SETIEMBRE 2026'!I6:I110)="MARIA AUXILIADORA")*('SETIEMBRE 2026'!K6:K110="GASOLINA")*'SETIEMBRE 2026'!N6:N110),0)</f>
        <v>0</v>
      </c>
    </row>
    <row r="1355" customFormat="false" ht="15" hidden="false" customHeight="true" outlineLevel="0" collapsed="false">
      <c r="A1355" s="1" t="s">
        <v>138</v>
      </c>
      <c r="B1355" s="1" t="s">
        <v>5174</v>
      </c>
      <c r="C1355" s="187" t="n">
        <f aca="false">IFERROR(SUMPRODUCT((IF('OCTUBRE 2026'!Y6:Y110&lt;&gt;"",'OCTUBRE 2026'!Y6:Y110,'OCTUBRE 2026'!I6:I110)="MARIA AUXILIADORA")*('OCTUBRE 2026'!K6:K110="PETROLEO")*'OCTUBRE 2026'!M6:M110),0)</f>
        <v>0</v>
      </c>
      <c r="D1355" s="187" t="n">
        <f aca="false">IFERROR(SUMPRODUCT((IF('OCTUBRE 2026'!Y6:Y110&lt;&gt;"",'OCTUBRE 2026'!Y6:Y110,'OCTUBRE 2026'!I6:I110)="MARIA AUXILIADORA")*('OCTUBRE 2026'!K6:K110="PETROLEO")*'OCTUBRE 2026'!N6:N110),0)</f>
        <v>0</v>
      </c>
      <c r="E1355" s="187" t="n">
        <f aca="false">IFERROR(SUMPRODUCT((IF('OCTUBRE 2026'!Y6:Y110&lt;&gt;"",'OCTUBRE 2026'!Y6:Y110,'OCTUBRE 2026'!I6:I110)="MARIA AUXILIADORA")*('OCTUBRE 2026'!K6:K110="GASOLINA")*'OCTUBRE 2026'!M6:M110),0)</f>
        <v>0</v>
      </c>
      <c r="F1355" s="187" t="n">
        <f aca="false">IFERROR(SUMPRODUCT((IF('OCTUBRE 2026'!Y6:Y110&lt;&gt;"",'OCTUBRE 2026'!Y6:Y110,'OCTUBRE 2026'!I6:I110)="MARIA AUXILIADORA")*('OCTUBRE 2026'!K6:K110="GASOLINA")*'OCTUBRE 2026'!N6:N110),0)</f>
        <v>0</v>
      </c>
    </row>
    <row r="1356" customFormat="false" ht="15" hidden="false" customHeight="true" outlineLevel="0" collapsed="false">
      <c r="A1356" s="1" t="s">
        <v>138</v>
      </c>
      <c r="B1356" s="1" t="s">
        <v>5175</v>
      </c>
      <c r="C1356" s="187" t="n">
        <f aca="false">IFERROR(SUMPRODUCT((IF('NOVIEMBRE 2026'!Y6:Y110&lt;&gt;"",'NOVIEMBRE 2026'!Y6:Y110,'NOVIEMBRE 2026'!I6:I110)="MARIA AUXILIADORA")*('NOVIEMBRE 2026'!K6:K110="PETROLEO")*'NOVIEMBRE 2026'!M6:M110),0)</f>
        <v>0</v>
      </c>
      <c r="D1356" s="187" t="n">
        <f aca="false">IFERROR(SUMPRODUCT((IF('NOVIEMBRE 2026'!Y6:Y110&lt;&gt;"",'NOVIEMBRE 2026'!Y6:Y110,'NOVIEMBRE 2026'!I6:I110)="MARIA AUXILIADORA")*('NOVIEMBRE 2026'!K6:K110="PETROLEO")*'NOVIEMBRE 2026'!N6:N110),0)</f>
        <v>0</v>
      </c>
      <c r="E1356" s="187" t="n">
        <f aca="false">IFERROR(SUMPRODUCT((IF('NOVIEMBRE 2026'!Y6:Y110&lt;&gt;"",'NOVIEMBRE 2026'!Y6:Y110,'NOVIEMBRE 2026'!I6:I110)="MARIA AUXILIADORA")*('NOVIEMBRE 2026'!K6:K110="GASOLINA")*'NOVIEMBRE 2026'!M6:M110),0)</f>
        <v>0</v>
      </c>
      <c r="F1356" s="187" t="n">
        <f aca="false">IFERROR(SUMPRODUCT((IF('NOVIEMBRE 2026'!Y6:Y110&lt;&gt;"",'NOVIEMBRE 2026'!Y6:Y110,'NOVIEMBRE 2026'!I6:I110)="MARIA AUXILIADORA")*('NOVIEMBRE 2026'!K6:K110="GASOLINA")*'NOVIEMBRE 2026'!N6:N110),0)</f>
        <v>0</v>
      </c>
    </row>
    <row r="1357" customFormat="false" ht="15" hidden="false" customHeight="true" outlineLevel="0" collapsed="false">
      <c r="A1357" s="1" t="s">
        <v>138</v>
      </c>
      <c r="B1357" s="1" t="s">
        <v>5176</v>
      </c>
      <c r="C1357" s="187" t="n">
        <f aca="false">IFERROR(SUMPRODUCT((IF('DICIEMBRE 2026'!Y6:Y110&lt;&gt;"",'DICIEMBRE 2026'!Y6:Y110,'DICIEMBRE 2026'!I6:I110)="MARIA AUXILIADORA")*('DICIEMBRE 2026'!K6:K110="PETROLEO")*'DICIEMBRE 2026'!M6:M110),0)</f>
        <v>0</v>
      </c>
      <c r="D1357" s="187" t="n">
        <f aca="false">IFERROR(SUMPRODUCT((IF('DICIEMBRE 2026'!Y6:Y110&lt;&gt;"",'DICIEMBRE 2026'!Y6:Y110,'DICIEMBRE 2026'!I6:I110)="MARIA AUXILIADORA")*('DICIEMBRE 2026'!K6:K110="PETROLEO")*'DICIEMBRE 2026'!N6:N110),0)</f>
        <v>0</v>
      </c>
      <c r="E1357" s="187" t="n">
        <f aca="false">IFERROR(SUMPRODUCT((IF('DICIEMBRE 2026'!Y6:Y110&lt;&gt;"",'DICIEMBRE 2026'!Y6:Y110,'DICIEMBRE 2026'!I6:I110)="MARIA AUXILIADORA")*('DICIEMBRE 2026'!K6:K110="GASOLINA")*'DICIEMBRE 2026'!M6:M110),0)</f>
        <v>0</v>
      </c>
      <c r="F1357" s="187" t="n">
        <f aca="false">IFERROR(SUMPRODUCT((IF('DICIEMBRE 2026'!Y6:Y110&lt;&gt;"",'DICIEMBRE 2026'!Y6:Y110,'DICIEMBRE 2026'!I6:I110)="MARIA AUXILIADORA")*('DICIEMBRE 2026'!K6:K110="GASOLINA")*'DICIEMBRE 2026'!N6:N110),0)</f>
        <v>0</v>
      </c>
    </row>
    <row r="1358" customFormat="false" ht="15" hidden="false" customHeight="true" outlineLevel="0" collapsed="false">
      <c r="A1358" s="1" t="s">
        <v>213</v>
      </c>
      <c r="B1358" s="1" t="s">
        <v>5165</v>
      </c>
      <c r="C1358" s="187" t="n">
        <f aca="false">IFERROR(SUMPRODUCT((IF('ENERO 2026'!Y6:Y119&lt;&gt;"",'ENERO 2026'!Y6:Y119,'ENERO 2026'!I6:I119)="MARISCAL BENAVIDES")*('ENERO 2026'!K6:K119="PETROLEO")*'ENERO 2026'!M6:M119),0)</f>
        <v>0</v>
      </c>
      <c r="D1358" s="187" t="n">
        <f aca="false">IFERROR(SUMPRODUCT((IF('ENERO 2026'!Y6:Y119&lt;&gt;"",'ENERO 2026'!Y6:Y119,'ENERO 2026'!I6:I119)="MARISCAL BENAVIDES")*('ENERO 2026'!K6:K119="PETROLEO")*'ENERO 2026'!N6:N119),0)</f>
        <v>0</v>
      </c>
      <c r="E1358" s="187" t="n">
        <f aca="false">IFERROR(SUMPRODUCT((IF('ENERO 2026'!Y6:Y119&lt;&gt;"",'ENERO 2026'!Y6:Y119,'ENERO 2026'!I6:I119)="MARISCAL BENAVIDES")*('ENERO 2026'!K6:K119="GASOLINA")*'ENERO 2026'!M6:M119),0)</f>
        <v>0</v>
      </c>
      <c r="F1358" s="187" t="n">
        <f aca="false">IFERROR(SUMPRODUCT((IF('ENERO 2026'!Y6:Y119&lt;&gt;"",'ENERO 2026'!Y6:Y119,'ENERO 2026'!I6:I119)="MARISCAL BENAVIDES")*('ENERO 2026'!K6:K119="GASOLINA")*'ENERO 2026'!N6:N119),0)</f>
        <v>0</v>
      </c>
    </row>
    <row r="1359" customFormat="false" ht="15" hidden="false" customHeight="true" outlineLevel="0" collapsed="false">
      <c r="A1359" s="1" t="s">
        <v>213</v>
      </c>
      <c r="B1359" s="1" t="s">
        <v>5166</v>
      </c>
      <c r="C1359" s="187" t="n">
        <f aca="false">IFERROR(SUMPRODUCT((IF('FEBRERO 2026'!Y6:Y124&lt;&gt;"",'FEBRERO 2026'!Y6:Y124,'FEBRERO 2026'!I6:I124)="MARISCAL BENAVIDES")*('FEBRERO 2026'!K6:K124="PETROLEO")*'FEBRERO 2026'!M6:M124),0)</f>
        <v>0</v>
      </c>
      <c r="D1359" s="187" t="n">
        <f aca="false">IFERROR(SUMPRODUCT((IF('FEBRERO 2026'!Y6:Y124&lt;&gt;"",'FEBRERO 2026'!Y6:Y124,'FEBRERO 2026'!I6:I124)="MARISCAL BENAVIDES")*('FEBRERO 2026'!K6:K124="PETROLEO")*'FEBRERO 2026'!N6:N124),0)</f>
        <v>0</v>
      </c>
      <c r="E1359" s="187" t="n">
        <f aca="false">IFERROR(SUMPRODUCT((IF('FEBRERO 2026'!Y6:Y124&lt;&gt;"",'FEBRERO 2026'!Y6:Y124,'FEBRERO 2026'!I6:I124)="MARISCAL BENAVIDES")*('FEBRERO 2026'!K6:K124="GASOLINA")*'FEBRERO 2026'!M6:M124),0)</f>
        <v>0</v>
      </c>
      <c r="F1359" s="187" t="n">
        <f aca="false">IFERROR(SUMPRODUCT((IF('FEBRERO 2026'!Y6:Y124&lt;&gt;"",'FEBRERO 2026'!Y6:Y124,'FEBRERO 2026'!I6:I124)="MARISCAL BENAVIDES")*('FEBRERO 2026'!K6:K124="GASOLINA")*'FEBRERO 2026'!N6:N124),0)</f>
        <v>0</v>
      </c>
    </row>
    <row r="1360" customFormat="false" ht="15" hidden="false" customHeight="true" outlineLevel="0" collapsed="false">
      <c r="A1360" s="1" t="s">
        <v>213</v>
      </c>
      <c r="B1360" s="1" t="s">
        <v>5167</v>
      </c>
      <c r="C1360" s="187" t="n">
        <f aca="false">IFERROR(SUMPRODUCT((IF('MARZO 2026'!Y6:Y119&lt;&gt;"",'MARZO 2026'!Y6:Y119,'MARZO 2026'!I6:I119)="MARISCAL BENAVIDES")*('MARZO 2026'!K6:K119="PETROLEO")*'MARZO 2026'!M6:M119),0)</f>
        <v>0</v>
      </c>
      <c r="D1360" s="187" t="n">
        <f aca="false">IFERROR(SUMPRODUCT((IF('MARZO 2026'!Y6:Y119&lt;&gt;"",'MARZO 2026'!Y6:Y119,'MARZO 2026'!I6:I119)="MARISCAL BENAVIDES")*('MARZO 2026'!K6:K119="PETROLEO")*'MARZO 2026'!N6:N119),0)</f>
        <v>0</v>
      </c>
      <c r="E1360" s="187" t="n">
        <f aca="false">IFERROR(SUMPRODUCT((IF('MARZO 2026'!Y6:Y119&lt;&gt;"",'MARZO 2026'!Y6:Y119,'MARZO 2026'!I6:I119)="MARISCAL BENAVIDES")*('MARZO 2026'!K6:K119="GASOLINA")*'MARZO 2026'!M6:M119),0)</f>
        <v>0</v>
      </c>
      <c r="F1360" s="187" t="n">
        <f aca="false">IFERROR(SUMPRODUCT((IF('MARZO 2026'!Y6:Y119&lt;&gt;"",'MARZO 2026'!Y6:Y119,'MARZO 2026'!I6:I119)="MARISCAL BENAVIDES")*('MARZO 2026'!K6:K119="GASOLINA")*'MARZO 2026'!N6:N119),0)</f>
        <v>0</v>
      </c>
    </row>
    <row r="1361" customFormat="false" ht="15" hidden="false" customHeight="true" outlineLevel="0" collapsed="false">
      <c r="A1361" s="1" t="s">
        <v>213</v>
      </c>
      <c r="B1361" s="1" t="s">
        <v>5168</v>
      </c>
      <c r="C1361" s="187" t="n">
        <f aca="false">IFERROR(SUMPRODUCT((IF('ABRIL 2026'!Y6:Y119&lt;&gt;"",'ABRIL 2026'!Y6:Y119,'ABRIL 2026'!I6:I119)="MARISCAL BENAVIDES")*('ABRIL 2026'!K6:K119="PETROLEO")*'ABRIL 2026'!M6:M119),0)</f>
        <v>0</v>
      </c>
      <c r="D1361" s="187" t="n">
        <f aca="false">IFERROR(SUMPRODUCT((IF('ABRIL 2026'!Y6:Y119&lt;&gt;"",'ABRIL 2026'!Y6:Y119,'ABRIL 2026'!I6:I119)="MARISCAL BENAVIDES")*('ABRIL 2026'!K6:K119="PETROLEO")*'ABRIL 2026'!N6:N119),0)</f>
        <v>0</v>
      </c>
      <c r="E1361" s="187" t="n">
        <f aca="false">IFERROR(SUMPRODUCT((IF('ABRIL 2026'!Y6:Y119&lt;&gt;"",'ABRIL 2026'!Y6:Y119,'ABRIL 2026'!I6:I119)="MARISCAL BENAVIDES")*('ABRIL 2026'!K6:K119="GASOLINA")*'ABRIL 2026'!M6:M119),0)</f>
        <v>0</v>
      </c>
      <c r="F1361" s="187" t="n">
        <f aca="false">IFERROR(SUMPRODUCT((IF('ABRIL 2026'!Y6:Y119&lt;&gt;"",'ABRIL 2026'!Y6:Y119,'ABRIL 2026'!I6:I119)="MARISCAL BENAVIDES")*('ABRIL 2026'!K6:K119="GASOLINA")*'ABRIL 2026'!N6:N119),0)</f>
        <v>0</v>
      </c>
    </row>
    <row r="1362" customFormat="false" ht="15" hidden="false" customHeight="true" outlineLevel="0" collapsed="false">
      <c r="A1362" s="1" t="s">
        <v>213</v>
      </c>
      <c r="B1362" s="1" t="s">
        <v>5169</v>
      </c>
      <c r="C1362" s="187" t="n">
        <f aca="false">IFERROR(SUMPRODUCT((IF('MAYO 2026'!Y6:Y110&lt;&gt;"",'MAYO 2026'!Y6:Y110,'MAYO 2026'!I6:I110)="MARISCAL BENAVIDES")*('MAYO 2026'!K6:K110="PETROLEO")*'MAYO 2026'!M6:M110),0)</f>
        <v>0</v>
      </c>
      <c r="D1362" s="187" t="n">
        <f aca="false">IFERROR(SUMPRODUCT((IF('MAYO 2026'!Y6:Y110&lt;&gt;"",'MAYO 2026'!Y6:Y110,'MAYO 2026'!I6:I110)="MARISCAL BENAVIDES")*('MAYO 2026'!K6:K110="PETROLEO")*'MAYO 2026'!N6:N110),0)</f>
        <v>0</v>
      </c>
      <c r="E1362" s="187" t="n">
        <f aca="false">IFERROR(SUMPRODUCT((IF('MAYO 2026'!Y6:Y110&lt;&gt;"",'MAYO 2026'!Y6:Y110,'MAYO 2026'!I6:I110)="MARISCAL BENAVIDES")*('MAYO 2026'!K6:K110="GASOLINA")*'MAYO 2026'!M6:M110),0)</f>
        <v>0</v>
      </c>
      <c r="F1362" s="187" t="n">
        <f aca="false">IFERROR(SUMPRODUCT((IF('MAYO 2026'!Y6:Y110&lt;&gt;"",'MAYO 2026'!Y6:Y110,'MAYO 2026'!I6:I110)="MARISCAL BENAVIDES")*('MAYO 2026'!K6:K110="GASOLINA")*'MAYO 2026'!N6:N110),0)</f>
        <v>0</v>
      </c>
    </row>
    <row r="1363" customFormat="false" ht="15" hidden="false" customHeight="true" outlineLevel="0" collapsed="false">
      <c r="A1363" s="1" t="s">
        <v>213</v>
      </c>
      <c r="B1363" s="1" t="s">
        <v>5170</v>
      </c>
      <c r="C1363" s="187" t="n">
        <f aca="false">IFERROR(SUMPRODUCT((IF('JUNIO 2026'!Y6:Y110&lt;&gt;"",'JUNIO 2026'!Y6:Y110,'JUNIO 2026'!I6:I110)="MARISCAL BENAVIDES")*('JUNIO 2026'!K6:K110="PETROLEO")*'JUNIO 2026'!M6:M110),0)</f>
        <v>0</v>
      </c>
      <c r="D1363" s="187" t="n">
        <f aca="false">IFERROR(SUMPRODUCT((IF('JUNIO 2026'!Y6:Y110&lt;&gt;"",'JUNIO 2026'!Y6:Y110,'JUNIO 2026'!I6:I110)="MARISCAL BENAVIDES")*('JUNIO 2026'!K6:K110="PETROLEO")*'JUNIO 2026'!N6:N110),0)</f>
        <v>0</v>
      </c>
      <c r="E1363" s="187" t="n">
        <f aca="false">IFERROR(SUMPRODUCT((IF('JUNIO 2026'!Y6:Y110&lt;&gt;"",'JUNIO 2026'!Y6:Y110,'JUNIO 2026'!I6:I110)="MARISCAL BENAVIDES")*('JUNIO 2026'!K6:K110="GASOLINA")*'JUNIO 2026'!M6:M110),0)</f>
        <v>0</v>
      </c>
      <c r="F1363" s="187" t="n">
        <f aca="false">IFERROR(SUMPRODUCT((IF('JUNIO 2026'!Y6:Y110&lt;&gt;"",'JUNIO 2026'!Y6:Y110,'JUNIO 2026'!I6:I110)="MARISCAL BENAVIDES")*('JUNIO 2026'!K6:K110="GASOLINA")*'JUNIO 2026'!N6:N110),0)</f>
        <v>0</v>
      </c>
    </row>
    <row r="1364" customFormat="false" ht="15" hidden="false" customHeight="true" outlineLevel="0" collapsed="false">
      <c r="A1364" s="1" t="s">
        <v>213</v>
      </c>
      <c r="B1364" s="1" t="s">
        <v>5171</v>
      </c>
      <c r="C1364" s="187" t="n">
        <f aca="false">IFERROR(SUMPRODUCT((IF('JULIO 2026'!Y6:Y110&lt;&gt;"",'JULIO 2026'!Y6:Y110,'JULIO 2026'!I6:I110)="MARISCAL BENAVIDES")*('JULIO 2026'!K6:K110="PETROLEO")*'JULIO 2026'!M6:M110),0)</f>
        <v>0</v>
      </c>
      <c r="D1364" s="187" t="n">
        <f aca="false">IFERROR(SUMPRODUCT((IF('JULIO 2026'!Y6:Y110&lt;&gt;"",'JULIO 2026'!Y6:Y110,'JULIO 2026'!I6:I110)="MARISCAL BENAVIDES")*('JULIO 2026'!K6:K110="PETROLEO")*'JULIO 2026'!N6:N110),0)</f>
        <v>0</v>
      </c>
      <c r="E1364" s="187" t="n">
        <f aca="false">IFERROR(SUMPRODUCT((IF('JULIO 2026'!Y6:Y110&lt;&gt;"",'JULIO 2026'!Y6:Y110,'JULIO 2026'!I6:I110)="MARISCAL BENAVIDES")*('JULIO 2026'!K6:K110="GASOLINA")*'JULIO 2026'!M6:M110),0)</f>
        <v>0</v>
      </c>
      <c r="F1364" s="187" t="n">
        <f aca="false">IFERROR(SUMPRODUCT((IF('JULIO 2026'!Y6:Y110&lt;&gt;"",'JULIO 2026'!Y6:Y110,'JULIO 2026'!I6:I110)="MARISCAL BENAVIDES")*('JULIO 2026'!K6:K110="GASOLINA")*'JULIO 2026'!N6:N110),0)</f>
        <v>0</v>
      </c>
    </row>
    <row r="1365" customFormat="false" ht="15" hidden="false" customHeight="true" outlineLevel="0" collapsed="false">
      <c r="A1365" s="1" t="s">
        <v>213</v>
      </c>
      <c r="B1365" s="1" t="s">
        <v>5172</v>
      </c>
      <c r="C1365" s="187" t="n">
        <f aca="false">IFERROR(SUMPRODUCT((IF('AGOSTO 2026'!Y6:Y110&lt;&gt;"",'AGOSTO 2026'!Y6:Y110,'AGOSTO 2026'!I6:I110)="MARISCAL BENAVIDES")*('AGOSTO 2026'!K6:K110="PETROLEO")*'AGOSTO 2026'!M6:M110),0)</f>
        <v>0</v>
      </c>
      <c r="D1365" s="187" t="n">
        <f aca="false">IFERROR(SUMPRODUCT((IF('AGOSTO 2026'!Y6:Y110&lt;&gt;"",'AGOSTO 2026'!Y6:Y110,'AGOSTO 2026'!I6:I110)="MARISCAL BENAVIDES")*('AGOSTO 2026'!K6:K110="PETROLEO")*'AGOSTO 2026'!N6:N110),0)</f>
        <v>0</v>
      </c>
      <c r="E1365" s="187" t="n">
        <f aca="false">IFERROR(SUMPRODUCT((IF('AGOSTO 2026'!Y6:Y110&lt;&gt;"",'AGOSTO 2026'!Y6:Y110,'AGOSTO 2026'!I6:I110)="MARISCAL BENAVIDES")*('AGOSTO 2026'!K6:K110="GASOLINA")*'AGOSTO 2026'!M6:M110),0)</f>
        <v>0</v>
      </c>
      <c r="F1365" s="187" t="n">
        <f aca="false">IFERROR(SUMPRODUCT((IF('AGOSTO 2026'!Y6:Y110&lt;&gt;"",'AGOSTO 2026'!Y6:Y110,'AGOSTO 2026'!I6:I110)="MARISCAL BENAVIDES")*('AGOSTO 2026'!K6:K110="GASOLINA")*'AGOSTO 2026'!N6:N110),0)</f>
        <v>0</v>
      </c>
    </row>
    <row r="1366" customFormat="false" ht="15" hidden="false" customHeight="true" outlineLevel="0" collapsed="false">
      <c r="A1366" s="1" t="s">
        <v>213</v>
      </c>
      <c r="B1366" s="1" t="s">
        <v>5173</v>
      </c>
      <c r="C1366" s="187" t="n">
        <f aca="false">IFERROR(SUMPRODUCT((IF('SETIEMBRE 2026'!Y6:Y110&lt;&gt;"",'SETIEMBRE 2026'!Y6:Y110,'SETIEMBRE 2026'!I6:I110)="MARISCAL BENAVIDES")*('SETIEMBRE 2026'!K6:K110="PETROLEO")*'SETIEMBRE 2026'!M6:M110),0)</f>
        <v>0</v>
      </c>
      <c r="D1366" s="187" t="n">
        <f aca="false">IFERROR(SUMPRODUCT((IF('SETIEMBRE 2026'!Y6:Y110&lt;&gt;"",'SETIEMBRE 2026'!Y6:Y110,'SETIEMBRE 2026'!I6:I110)="MARISCAL BENAVIDES")*('SETIEMBRE 2026'!K6:K110="PETROLEO")*'SETIEMBRE 2026'!N6:N110),0)</f>
        <v>0</v>
      </c>
      <c r="E1366" s="187" t="n">
        <f aca="false">IFERROR(SUMPRODUCT((IF('SETIEMBRE 2026'!Y6:Y110&lt;&gt;"",'SETIEMBRE 2026'!Y6:Y110,'SETIEMBRE 2026'!I6:I110)="MARISCAL BENAVIDES")*('SETIEMBRE 2026'!K6:K110="GASOLINA")*'SETIEMBRE 2026'!M6:M110),0)</f>
        <v>0</v>
      </c>
      <c r="F1366" s="187" t="n">
        <f aca="false">IFERROR(SUMPRODUCT((IF('SETIEMBRE 2026'!Y6:Y110&lt;&gt;"",'SETIEMBRE 2026'!Y6:Y110,'SETIEMBRE 2026'!I6:I110)="MARISCAL BENAVIDES")*('SETIEMBRE 2026'!K6:K110="GASOLINA")*'SETIEMBRE 2026'!N6:N110),0)</f>
        <v>0</v>
      </c>
    </row>
    <row r="1367" customFormat="false" ht="15" hidden="false" customHeight="true" outlineLevel="0" collapsed="false">
      <c r="A1367" s="1" t="s">
        <v>213</v>
      </c>
      <c r="B1367" s="1" t="s">
        <v>5174</v>
      </c>
      <c r="C1367" s="187" t="n">
        <f aca="false">IFERROR(SUMPRODUCT((IF('OCTUBRE 2026'!Y6:Y110&lt;&gt;"",'OCTUBRE 2026'!Y6:Y110,'OCTUBRE 2026'!I6:I110)="MARISCAL BENAVIDES")*('OCTUBRE 2026'!K6:K110="PETROLEO")*'OCTUBRE 2026'!M6:M110),0)</f>
        <v>0</v>
      </c>
      <c r="D1367" s="187" t="n">
        <f aca="false">IFERROR(SUMPRODUCT((IF('OCTUBRE 2026'!Y6:Y110&lt;&gt;"",'OCTUBRE 2026'!Y6:Y110,'OCTUBRE 2026'!I6:I110)="MARISCAL BENAVIDES")*('OCTUBRE 2026'!K6:K110="PETROLEO")*'OCTUBRE 2026'!N6:N110),0)</f>
        <v>0</v>
      </c>
      <c r="E1367" s="187" t="n">
        <f aca="false">IFERROR(SUMPRODUCT((IF('OCTUBRE 2026'!Y6:Y110&lt;&gt;"",'OCTUBRE 2026'!Y6:Y110,'OCTUBRE 2026'!I6:I110)="MARISCAL BENAVIDES")*('OCTUBRE 2026'!K6:K110="GASOLINA")*'OCTUBRE 2026'!M6:M110),0)</f>
        <v>0</v>
      </c>
      <c r="F1367" s="187" t="n">
        <f aca="false">IFERROR(SUMPRODUCT((IF('OCTUBRE 2026'!Y6:Y110&lt;&gt;"",'OCTUBRE 2026'!Y6:Y110,'OCTUBRE 2026'!I6:I110)="MARISCAL BENAVIDES")*('OCTUBRE 2026'!K6:K110="GASOLINA")*'OCTUBRE 2026'!N6:N110),0)</f>
        <v>0</v>
      </c>
    </row>
    <row r="1368" customFormat="false" ht="15" hidden="false" customHeight="true" outlineLevel="0" collapsed="false">
      <c r="A1368" s="1" t="s">
        <v>213</v>
      </c>
      <c r="B1368" s="1" t="s">
        <v>5175</v>
      </c>
      <c r="C1368" s="187" t="n">
        <f aca="false">IFERROR(SUMPRODUCT((IF('NOVIEMBRE 2026'!Y6:Y110&lt;&gt;"",'NOVIEMBRE 2026'!Y6:Y110,'NOVIEMBRE 2026'!I6:I110)="MARISCAL BENAVIDES")*('NOVIEMBRE 2026'!K6:K110="PETROLEO")*'NOVIEMBRE 2026'!M6:M110),0)</f>
        <v>0</v>
      </c>
      <c r="D1368" s="187" t="n">
        <f aca="false">IFERROR(SUMPRODUCT((IF('NOVIEMBRE 2026'!Y6:Y110&lt;&gt;"",'NOVIEMBRE 2026'!Y6:Y110,'NOVIEMBRE 2026'!I6:I110)="MARISCAL BENAVIDES")*('NOVIEMBRE 2026'!K6:K110="PETROLEO")*'NOVIEMBRE 2026'!N6:N110),0)</f>
        <v>0</v>
      </c>
      <c r="E1368" s="187" t="n">
        <f aca="false">IFERROR(SUMPRODUCT((IF('NOVIEMBRE 2026'!Y6:Y110&lt;&gt;"",'NOVIEMBRE 2026'!Y6:Y110,'NOVIEMBRE 2026'!I6:I110)="MARISCAL BENAVIDES")*('NOVIEMBRE 2026'!K6:K110="GASOLINA")*'NOVIEMBRE 2026'!M6:M110),0)</f>
        <v>0</v>
      </c>
      <c r="F1368" s="187" t="n">
        <f aca="false">IFERROR(SUMPRODUCT((IF('NOVIEMBRE 2026'!Y6:Y110&lt;&gt;"",'NOVIEMBRE 2026'!Y6:Y110,'NOVIEMBRE 2026'!I6:I110)="MARISCAL BENAVIDES")*('NOVIEMBRE 2026'!K6:K110="GASOLINA")*'NOVIEMBRE 2026'!N6:N110),0)</f>
        <v>0</v>
      </c>
    </row>
    <row r="1369" customFormat="false" ht="15" hidden="false" customHeight="true" outlineLevel="0" collapsed="false">
      <c r="A1369" s="1" t="s">
        <v>213</v>
      </c>
      <c r="B1369" s="1" t="s">
        <v>5176</v>
      </c>
      <c r="C1369" s="187" t="n">
        <f aca="false">IFERROR(SUMPRODUCT((IF('DICIEMBRE 2026'!Y6:Y110&lt;&gt;"",'DICIEMBRE 2026'!Y6:Y110,'DICIEMBRE 2026'!I6:I110)="MARISCAL BENAVIDES")*('DICIEMBRE 2026'!K6:K110="PETROLEO")*'DICIEMBRE 2026'!M6:M110),0)</f>
        <v>0</v>
      </c>
      <c r="D1369" s="187" t="n">
        <f aca="false">IFERROR(SUMPRODUCT((IF('DICIEMBRE 2026'!Y6:Y110&lt;&gt;"",'DICIEMBRE 2026'!Y6:Y110,'DICIEMBRE 2026'!I6:I110)="MARISCAL BENAVIDES")*('DICIEMBRE 2026'!K6:K110="PETROLEO")*'DICIEMBRE 2026'!N6:N110),0)</f>
        <v>0</v>
      </c>
      <c r="E1369" s="187" t="n">
        <f aca="false">IFERROR(SUMPRODUCT((IF('DICIEMBRE 2026'!Y6:Y110&lt;&gt;"",'DICIEMBRE 2026'!Y6:Y110,'DICIEMBRE 2026'!I6:I110)="MARISCAL BENAVIDES")*('DICIEMBRE 2026'!K6:K110="GASOLINA")*'DICIEMBRE 2026'!M6:M110),0)</f>
        <v>0</v>
      </c>
      <c r="F1369" s="187" t="n">
        <f aca="false">IFERROR(SUMPRODUCT((IF('DICIEMBRE 2026'!Y6:Y110&lt;&gt;"",'DICIEMBRE 2026'!Y6:Y110,'DICIEMBRE 2026'!I6:I110)="MARISCAL BENAVIDES")*('DICIEMBRE 2026'!K6:K110="GASOLINA")*'DICIEMBRE 2026'!N6:N110),0)</f>
        <v>0</v>
      </c>
    </row>
    <row r="1370" customFormat="false" ht="15" hidden="false" customHeight="true" outlineLevel="0" collapsed="false">
      <c r="A1370" s="1" t="s">
        <v>93</v>
      </c>
      <c r="B1370" s="1" t="s">
        <v>5165</v>
      </c>
      <c r="C1370" s="187" t="n">
        <f aca="false">IFERROR(SUMPRODUCT((IF('ENERO 2026'!Y6:Y119&lt;&gt;"",'ENERO 2026'!Y6:Y119,'ENERO 2026'!I6:I119)="MOLINOPAMPA")*('ENERO 2026'!K6:K119="PETROLEO")*'ENERO 2026'!M6:M119),0)</f>
        <v>0</v>
      </c>
      <c r="D1370" s="187" t="n">
        <f aca="false">IFERROR(SUMPRODUCT((IF('ENERO 2026'!Y6:Y119&lt;&gt;"",'ENERO 2026'!Y6:Y119,'ENERO 2026'!I6:I119)="MOLINOPAMPA")*('ENERO 2026'!K6:K119="PETROLEO")*'ENERO 2026'!N6:N119),0)</f>
        <v>0</v>
      </c>
      <c r="E1370" s="187" t="n">
        <f aca="false">IFERROR(SUMPRODUCT((IF('ENERO 2026'!Y6:Y119&lt;&gt;"",'ENERO 2026'!Y6:Y119,'ENERO 2026'!I6:I119)="MOLINOPAMPA")*('ENERO 2026'!K6:K119="GASOLINA")*'ENERO 2026'!M6:M119),0)</f>
        <v>24</v>
      </c>
      <c r="F1370" s="187" t="n">
        <f aca="false">IFERROR(SUMPRODUCT((IF('ENERO 2026'!Y6:Y119&lt;&gt;"",'ENERO 2026'!Y6:Y119,'ENERO 2026'!I6:I119)="MOLINOPAMPA")*('ENERO 2026'!K6:K119="GASOLINA")*'ENERO 2026'!N6:N119),0)</f>
        <v>0</v>
      </c>
    </row>
    <row r="1371" customFormat="false" ht="15" hidden="false" customHeight="true" outlineLevel="0" collapsed="false">
      <c r="A1371" s="1" t="s">
        <v>93</v>
      </c>
      <c r="B1371" s="1" t="s">
        <v>5166</v>
      </c>
      <c r="C1371" s="187" t="n">
        <f aca="false">IFERROR(SUMPRODUCT((IF('FEBRERO 2026'!Y6:Y124&lt;&gt;"",'FEBRERO 2026'!Y6:Y124,'FEBRERO 2026'!I6:I124)="MOLINOPAMPA")*('FEBRERO 2026'!K6:K124="PETROLEO")*'FEBRERO 2026'!M6:M124),0)</f>
        <v>0</v>
      </c>
      <c r="D1371" s="187" t="n">
        <f aca="false">IFERROR(SUMPRODUCT((IF('FEBRERO 2026'!Y6:Y124&lt;&gt;"",'FEBRERO 2026'!Y6:Y124,'FEBRERO 2026'!I6:I124)="MOLINOPAMPA")*('FEBRERO 2026'!K6:K124="PETROLEO")*'FEBRERO 2026'!N6:N124),0)</f>
        <v>0</v>
      </c>
      <c r="E1371" s="187" t="n">
        <f aca="false">IFERROR(SUMPRODUCT((IF('FEBRERO 2026'!Y6:Y124&lt;&gt;"",'FEBRERO 2026'!Y6:Y124,'FEBRERO 2026'!I6:I124)="MOLINOPAMPA")*('FEBRERO 2026'!K6:K124="GASOLINA")*'FEBRERO 2026'!M6:M124),0)</f>
        <v>0</v>
      </c>
      <c r="F1371" s="187" t="n">
        <f aca="false">IFERROR(SUMPRODUCT((IF('FEBRERO 2026'!Y6:Y124&lt;&gt;"",'FEBRERO 2026'!Y6:Y124,'FEBRERO 2026'!I6:I124)="MOLINOPAMPA")*('FEBRERO 2026'!K6:K124="GASOLINA")*'FEBRERO 2026'!N6:N124),0)</f>
        <v>0</v>
      </c>
    </row>
    <row r="1372" customFormat="false" ht="15" hidden="false" customHeight="true" outlineLevel="0" collapsed="false">
      <c r="A1372" s="1" t="s">
        <v>93</v>
      </c>
      <c r="B1372" s="1" t="s">
        <v>5167</v>
      </c>
      <c r="C1372" s="187" t="n">
        <f aca="false">IFERROR(SUMPRODUCT((IF('MARZO 2026'!Y6:Y119&lt;&gt;"",'MARZO 2026'!Y6:Y119,'MARZO 2026'!I6:I119)="MOLINOPAMPA")*('MARZO 2026'!K6:K119="PETROLEO")*'MARZO 2026'!M6:M119),0)</f>
        <v>0</v>
      </c>
      <c r="D1372" s="187" t="n">
        <f aca="false">IFERROR(SUMPRODUCT((IF('MARZO 2026'!Y6:Y119&lt;&gt;"",'MARZO 2026'!Y6:Y119,'MARZO 2026'!I6:I119)="MOLINOPAMPA")*('MARZO 2026'!K6:K119="PETROLEO")*'MARZO 2026'!N6:N119),0)</f>
        <v>0</v>
      </c>
      <c r="E1372" s="187" t="n">
        <f aca="false">IFERROR(SUMPRODUCT((IF('MARZO 2026'!Y6:Y119&lt;&gt;"",'MARZO 2026'!Y6:Y119,'MARZO 2026'!I6:I119)="MOLINOPAMPA")*('MARZO 2026'!K6:K119="GASOLINA")*'MARZO 2026'!M6:M119),0)</f>
        <v>0</v>
      </c>
      <c r="F1372" s="187" t="n">
        <f aca="false">IFERROR(SUMPRODUCT((IF('MARZO 2026'!Y6:Y119&lt;&gt;"",'MARZO 2026'!Y6:Y119,'MARZO 2026'!I6:I119)="MOLINOPAMPA")*('MARZO 2026'!K6:K119="GASOLINA")*'MARZO 2026'!N6:N119),0)</f>
        <v>0</v>
      </c>
    </row>
    <row r="1373" customFormat="false" ht="15" hidden="false" customHeight="true" outlineLevel="0" collapsed="false">
      <c r="A1373" s="1" t="s">
        <v>93</v>
      </c>
      <c r="B1373" s="1" t="s">
        <v>5168</v>
      </c>
      <c r="C1373" s="187" t="n">
        <f aca="false">IFERROR(SUMPRODUCT((IF('ABRIL 2026'!Y6:Y119&lt;&gt;"",'ABRIL 2026'!Y6:Y119,'ABRIL 2026'!I6:I119)="MOLINOPAMPA")*('ABRIL 2026'!K6:K119="PETROLEO")*'ABRIL 2026'!M6:M119),0)</f>
        <v>0</v>
      </c>
      <c r="D1373" s="187" t="n">
        <f aca="false">IFERROR(SUMPRODUCT((IF('ABRIL 2026'!Y6:Y119&lt;&gt;"",'ABRIL 2026'!Y6:Y119,'ABRIL 2026'!I6:I119)="MOLINOPAMPA")*('ABRIL 2026'!K6:K119="PETROLEO")*'ABRIL 2026'!N6:N119),0)</f>
        <v>0</v>
      </c>
      <c r="E1373" s="187" t="n">
        <f aca="false">IFERROR(SUMPRODUCT((IF('ABRIL 2026'!Y6:Y119&lt;&gt;"",'ABRIL 2026'!Y6:Y119,'ABRIL 2026'!I6:I119)="MOLINOPAMPA")*('ABRIL 2026'!K6:K119="GASOLINA")*'ABRIL 2026'!M6:M119),0)</f>
        <v>0</v>
      </c>
      <c r="F1373" s="187" t="n">
        <f aca="false">IFERROR(SUMPRODUCT((IF('ABRIL 2026'!Y6:Y119&lt;&gt;"",'ABRIL 2026'!Y6:Y119,'ABRIL 2026'!I6:I119)="MOLINOPAMPA")*('ABRIL 2026'!K6:K119="GASOLINA")*'ABRIL 2026'!N6:N119),0)</f>
        <v>0</v>
      </c>
    </row>
    <row r="1374" customFormat="false" ht="15" hidden="false" customHeight="true" outlineLevel="0" collapsed="false">
      <c r="A1374" s="1" t="s">
        <v>93</v>
      </c>
      <c r="B1374" s="1" t="s">
        <v>5169</v>
      </c>
      <c r="C1374" s="187" t="n">
        <f aca="false">IFERROR(SUMPRODUCT((IF('MAYO 2026'!Y6:Y110&lt;&gt;"",'MAYO 2026'!Y6:Y110,'MAYO 2026'!I6:I110)="MOLINOPAMPA")*('MAYO 2026'!K6:K110="PETROLEO")*'MAYO 2026'!M6:M110),0)</f>
        <v>0</v>
      </c>
      <c r="D1374" s="187" t="n">
        <f aca="false">IFERROR(SUMPRODUCT((IF('MAYO 2026'!Y6:Y110&lt;&gt;"",'MAYO 2026'!Y6:Y110,'MAYO 2026'!I6:I110)="MOLINOPAMPA")*('MAYO 2026'!K6:K110="PETROLEO")*'MAYO 2026'!N6:N110),0)</f>
        <v>0</v>
      </c>
      <c r="E1374" s="187" t="n">
        <f aca="false">IFERROR(SUMPRODUCT((IF('MAYO 2026'!Y6:Y110&lt;&gt;"",'MAYO 2026'!Y6:Y110,'MAYO 2026'!I6:I110)="MOLINOPAMPA")*('MAYO 2026'!K6:K110="GASOLINA")*'MAYO 2026'!M6:M110),0)</f>
        <v>0</v>
      </c>
      <c r="F1374" s="187" t="n">
        <f aca="false">IFERROR(SUMPRODUCT((IF('MAYO 2026'!Y6:Y110&lt;&gt;"",'MAYO 2026'!Y6:Y110,'MAYO 2026'!I6:I110)="MOLINOPAMPA")*('MAYO 2026'!K6:K110="GASOLINA")*'MAYO 2026'!N6:N110),0)</f>
        <v>0</v>
      </c>
    </row>
    <row r="1375" customFormat="false" ht="15" hidden="false" customHeight="true" outlineLevel="0" collapsed="false">
      <c r="A1375" s="1" t="s">
        <v>93</v>
      </c>
      <c r="B1375" s="1" t="s">
        <v>5170</v>
      </c>
      <c r="C1375" s="187" t="n">
        <f aca="false">IFERROR(SUMPRODUCT((IF('JUNIO 2026'!Y6:Y110&lt;&gt;"",'JUNIO 2026'!Y6:Y110,'JUNIO 2026'!I6:I110)="MOLINOPAMPA")*('JUNIO 2026'!K6:K110="PETROLEO")*'JUNIO 2026'!M6:M110),0)</f>
        <v>0</v>
      </c>
      <c r="D1375" s="187" t="n">
        <f aca="false">IFERROR(SUMPRODUCT((IF('JUNIO 2026'!Y6:Y110&lt;&gt;"",'JUNIO 2026'!Y6:Y110,'JUNIO 2026'!I6:I110)="MOLINOPAMPA")*('JUNIO 2026'!K6:K110="PETROLEO")*'JUNIO 2026'!N6:N110),0)</f>
        <v>0</v>
      </c>
      <c r="E1375" s="187" t="n">
        <f aca="false">IFERROR(SUMPRODUCT((IF('JUNIO 2026'!Y6:Y110&lt;&gt;"",'JUNIO 2026'!Y6:Y110,'JUNIO 2026'!I6:I110)="MOLINOPAMPA")*('JUNIO 2026'!K6:K110="GASOLINA")*'JUNIO 2026'!M6:M110),0)</f>
        <v>0</v>
      </c>
      <c r="F1375" s="187" t="n">
        <f aca="false">IFERROR(SUMPRODUCT((IF('JUNIO 2026'!Y6:Y110&lt;&gt;"",'JUNIO 2026'!Y6:Y110,'JUNIO 2026'!I6:I110)="MOLINOPAMPA")*('JUNIO 2026'!K6:K110="GASOLINA")*'JUNIO 2026'!N6:N110),0)</f>
        <v>0</v>
      </c>
    </row>
    <row r="1376" customFormat="false" ht="15" hidden="false" customHeight="true" outlineLevel="0" collapsed="false">
      <c r="A1376" s="1" t="s">
        <v>93</v>
      </c>
      <c r="B1376" s="1" t="s">
        <v>5171</v>
      </c>
      <c r="C1376" s="187" t="n">
        <f aca="false">IFERROR(SUMPRODUCT((IF('JULIO 2026'!Y6:Y110&lt;&gt;"",'JULIO 2026'!Y6:Y110,'JULIO 2026'!I6:I110)="MOLINOPAMPA")*('JULIO 2026'!K6:K110="PETROLEO")*'JULIO 2026'!M6:M110),0)</f>
        <v>0</v>
      </c>
      <c r="D1376" s="187" t="n">
        <f aca="false">IFERROR(SUMPRODUCT((IF('JULIO 2026'!Y6:Y110&lt;&gt;"",'JULIO 2026'!Y6:Y110,'JULIO 2026'!I6:I110)="MOLINOPAMPA")*('JULIO 2026'!K6:K110="PETROLEO")*'JULIO 2026'!N6:N110),0)</f>
        <v>0</v>
      </c>
      <c r="E1376" s="187" t="n">
        <f aca="false">IFERROR(SUMPRODUCT((IF('JULIO 2026'!Y6:Y110&lt;&gt;"",'JULIO 2026'!Y6:Y110,'JULIO 2026'!I6:I110)="MOLINOPAMPA")*('JULIO 2026'!K6:K110="GASOLINA")*'JULIO 2026'!M6:M110),0)</f>
        <v>0</v>
      </c>
      <c r="F1376" s="187" t="n">
        <f aca="false">IFERROR(SUMPRODUCT((IF('JULIO 2026'!Y6:Y110&lt;&gt;"",'JULIO 2026'!Y6:Y110,'JULIO 2026'!I6:I110)="MOLINOPAMPA")*('JULIO 2026'!K6:K110="GASOLINA")*'JULIO 2026'!N6:N110),0)</f>
        <v>0</v>
      </c>
    </row>
    <row r="1377" customFormat="false" ht="15" hidden="false" customHeight="true" outlineLevel="0" collapsed="false">
      <c r="A1377" s="1" t="s">
        <v>93</v>
      </c>
      <c r="B1377" s="1" t="s">
        <v>5172</v>
      </c>
      <c r="C1377" s="187" t="n">
        <f aca="false">IFERROR(SUMPRODUCT((IF('AGOSTO 2026'!Y6:Y110&lt;&gt;"",'AGOSTO 2026'!Y6:Y110,'AGOSTO 2026'!I6:I110)="MOLINOPAMPA")*('AGOSTO 2026'!K6:K110="PETROLEO")*'AGOSTO 2026'!M6:M110),0)</f>
        <v>0</v>
      </c>
      <c r="D1377" s="187" t="n">
        <f aca="false">IFERROR(SUMPRODUCT((IF('AGOSTO 2026'!Y6:Y110&lt;&gt;"",'AGOSTO 2026'!Y6:Y110,'AGOSTO 2026'!I6:I110)="MOLINOPAMPA")*('AGOSTO 2026'!K6:K110="PETROLEO")*'AGOSTO 2026'!N6:N110),0)</f>
        <v>0</v>
      </c>
      <c r="E1377" s="187" t="n">
        <f aca="false">IFERROR(SUMPRODUCT((IF('AGOSTO 2026'!Y6:Y110&lt;&gt;"",'AGOSTO 2026'!Y6:Y110,'AGOSTO 2026'!I6:I110)="MOLINOPAMPA")*('AGOSTO 2026'!K6:K110="GASOLINA")*'AGOSTO 2026'!M6:M110),0)</f>
        <v>0</v>
      </c>
      <c r="F1377" s="187" t="n">
        <f aca="false">IFERROR(SUMPRODUCT((IF('AGOSTO 2026'!Y6:Y110&lt;&gt;"",'AGOSTO 2026'!Y6:Y110,'AGOSTO 2026'!I6:I110)="MOLINOPAMPA")*('AGOSTO 2026'!K6:K110="GASOLINA")*'AGOSTO 2026'!N6:N110),0)</f>
        <v>0</v>
      </c>
    </row>
    <row r="1378" customFormat="false" ht="15" hidden="false" customHeight="true" outlineLevel="0" collapsed="false">
      <c r="A1378" s="1" t="s">
        <v>93</v>
      </c>
      <c r="B1378" s="1" t="s">
        <v>5173</v>
      </c>
      <c r="C1378" s="187" t="n">
        <f aca="false">IFERROR(SUMPRODUCT((IF('SETIEMBRE 2026'!Y6:Y110&lt;&gt;"",'SETIEMBRE 2026'!Y6:Y110,'SETIEMBRE 2026'!I6:I110)="MOLINOPAMPA")*('SETIEMBRE 2026'!K6:K110="PETROLEO")*'SETIEMBRE 2026'!M6:M110),0)</f>
        <v>0</v>
      </c>
      <c r="D1378" s="187" t="n">
        <f aca="false">IFERROR(SUMPRODUCT((IF('SETIEMBRE 2026'!Y6:Y110&lt;&gt;"",'SETIEMBRE 2026'!Y6:Y110,'SETIEMBRE 2026'!I6:I110)="MOLINOPAMPA")*('SETIEMBRE 2026'!K6:K110="PETROLEO")*'SETIEMBRE 2026'!N6:N110),0)</f>
        <v>0</v>
      </c>
      <c r="E1378" s="187" t="n">
        <f aca="false">IFERROR(SUMPRODUCT((IF('SETIEMBRE 2026'!Y6:Y110&lt;&gt;"",'SETIEMBRE 2026'!Y6:Y110,'SETIEMBRE 2026'!I6:I110)="MOLINOPAMPA")*('SETIEMBRE 2026'!K6:K110="GASOLINA")*'SETIEMBRE 2026'!M6:M110),0)</f>
        <v>0</v>
      </c>
      <c r="F1378" s="187" t="n">
        <f aca="false">IFERROR(SUMPRODUCT((IF('SETIEMBRE 2026'!Y6:Y110&lt;&gt;"",'SETIEMBRE 2026'!Y6:Y110,'SETIEMBRE 2026'!I6:I110)="MOLINOPAMPA")*('SETIEMBRE 2026'!K6:K110="GASOLINA")*'SETIEMBRE 2026'!N6:N110),0)</f>
        <v>0</v>
      </c>
    </row>
    <row r="1379" customFormat="false" ht="15" hidden="false" customHeight="true" outlineLevel="0" collapsed="false">
      <c r="A1379" s="1" t="s">
        <v>93</v>
      </c>
      <c r="B1379" s="1" t="s">
        <v>5174</v>
      </c>
      <c r="C1379" s="187" t="n">
        <f aca="false">IFERROR(SUMPRODUCT((IF('OCTUBRE 2026'!Y6:Y110&lt;&gt;"",'OCTUBRE 2026'!Y6:Y110,'OCTUBRE 2026'!I6:I110)="MOLINOPAMPA")*('OCTUBRE 2026'!K6:K110="PETROLEO")*'OCTUBRE 2026'!M6:M110),0)</f>
        <v>0</v>
      </c>
      <c r="D1379" s="187" t="n">
        <f aca="false">IFERROR(SUMPRODUCT((IF('OCTUBRE 2026'!Y6:Y110&lt;&gt;"",'OCTUBRE 2026'!Y6:Y110,'OCTUBRE 2026'!I6:I110)="MOLINOPAMPA")*('OCTUBRE 2026'!K6:K110="PETROLEO")*'OCTUBRE 2026'!N6:N110),0)</f>
        <v>0</v>
      </c>
      <c r="E1379" s="187" t="n">
        <f aca="false">IFERROR(SUMPRODUCT((IF('OCTUBRE 2026'!Y6:Y110&lt;&gt;"",'OCTUBRE 2026'!Y6:Y110,'OCTUBRE 2026'!I6:I110)="MOLINOPAMPA")*('OCTUBRE 2026'!K6:K110="GASOLINA")*'OCTUBRE 2026'!M6:M110),0)</f>
        <v>0</v>
      </c>
      <c r="F1379" s="187" t="n">
        <f aca="false">IFERROR(SUMPRODUCT((IF('OCTUBRE 2026'!Y6:Y110&lt;&gt;"",'OCTUBRE 2026'!Y6:Y110,'OCTUBRE 2026'!I6:I110)="MOLINOPAMPA")*('OCTUBRE 2026'!K6:K110="GASOLINA")*'OCTUBRE 2026'!N6:N110),0)</f>
        <v>0</v>
      </c>
    </row>
    <row r="1380" customFormat="false" ht="15" hidden="false" customHeight="true" outlineLevel="0" collapsed="false">
      <c r="A1380" s="1" t="s">
        <v>93</v>
      </c>
      <c r="B1380" s="1" t="s">
        <v>5175</v>
      </c>
      <c r="C1380" s="187" t="n">
        <f aca="false">IFERROR(SUMPRODUCT((IF('NOVIEMBRE 2026'!Y6:Y110&lt;&gt;"",'NOVIEMBRE 2026'!Y6:Y110,'NOVIEMBRE 2026'!I6:I110)="MOLINOPAMPA")*('NOVIEMBRE 2026'!K6:K110="PETROLEO")*'NOVIEMBRE 2026'!M6:M110),0)</f>
        <v>0</v>
      </c>
      <c r="D1380" s="187" t="n">
        <f aca="false">IFERROR(SUMPRODUCT((IF('NOVIEMBRE 2026'!Y6:Y110&lt;&gt;"",'NOVIEMBRE 2026'!Y6:Y110,'NOVIEMBRE 2026'!I6:I110)="MOLINOPAMPA")*('NOVIEMBRE 2026'!K6:K110="PETROLEO")*'NOVIEMBRE 2026'!N6:N110),0)</f>
        <v>0</v>
      </c>
      <c r="E1380" s="187" t="n">
        <f aca="false">IFERROR(SUMPRODUCT((IF('NOVIEMBRE 2026'!Y6:Y110&lt;&gt;"",'NOVIEMBRE 2026'!Y6:Y110,'NOVIEMBRE 2026'!I6:I110)="MOLINOPAMPA")*('NOVIEMBRE 2026'!K6:K110="GASOLINA")*'NOVIEMBRE 2026'!M6:M110),0)</f>
        <v>0</v>
      </c>
      <c r="F1380" s="187" t="n">
        <f aca="false">IFERROR(SUMPRODUCT((IF('NOVIEMBRE 2026'!Y6:Y110&lt;&gt;"",'NOVIEMBRE 2026'!Y6:Y110,'NOVIEMBRE 2026'!I6:I110)="MOLINOPAMPA")*('NOVIEMBRE 2026'!K6:K110="GASOLINA")*'NOVIEMBRE 2026'!N6:N110),0)</f>
        <v>0</v>
      </c>
    </row>
    <row r="1381" customFormat="false" ht="15" hidden="false" customHeight="true" outlineLevel="0" collapsed="false">
      <c r="A1381" s="1" t="s">
        <v>93</v>
      </c>
      <c r="B1381" s="1" t="s">
        <v>5176</v>
      </c>
      <c r="C1381" s="187" t="n">
        <f aca="false">IFERROR(SUMPRODUCT((IF('DICIEMBRE 2026'!Y6:Y110&lt;&gt;"",'DICIEMBRE 2026'!Y6:Y110,'DICIEMBRE 2026'!I6:I110)="MOLINOPAMPA")*('DICIEMBRE 2026'!K6:K110="PETROLEO")*'DICIEMBRE 2026'!M6:M110),0)</f>
        <v>0</v>
      </c>
      <c r="D1381" s="187" t="n">
        <f aca="false">IFERROR(SUMPRODUCT((IF('DICIEMBRE 2026'!Y6:Y110&lt;&gt;"",'DICIEMBRE 2026'!Y6:Y110,'DICIEMBRE 2026'!I6:I110)="MOLINOPAMPA")*('DICIEMBRE 2026'!K6:K110="PETROLEO")*'DICIEMBRE 2026'!N6:N110),0)</f>
        <v>0</v>
      </c>
      <c r="E1381" s="187" t="n">
        <f aca="false">IFERROR(SUMPRODUCT((IF('DICIEMBRE 2026'!Y6:Y110&lt;&gt;"",'DICIEMBRE 2026'!Y6:Y110,'DICIEMBRE 2026'!I6:I110)="MOLINOPAMPA")*('DICIEMBRE 2026'!K6:K110="GASOLINA")*'DICIEMBRE 2026'!M6:M110),0)</f>
        <v>0</v>
      </c>
      <c r="F1381" s="187" t="n">
        <f aca="false">IFERROR(SUMPRODUCT((IF('DICIEMBRE 2026'!Y6:Y110&lt;&gt;"",'DICIEMBRE 2026'!Y6:Y110,'DICIEMBRE 2026'!I6:I110)="MOLINOPAMPA")*('DICIEMBRE 2026'!K6:K110="GASOLINA")*'DICIEMBRE 2026'!N6:N110),0)</f>
        <v>0</v>
      </c>
    </row>
    <row r="1382" customFormat="false" ht="15" hidden="false" customHeight="true" outlineLevel="0" collapsed="false">
      <c r="A1382" s="1" t="s">
        <v>64</v>
      </c>
      <c r="B1382" s="1" t="s">
        <v>5165</v>
      </c>
      <c r="C1382" s="187" t="n">
        <f aca="false">IFERROR(SUMPRODUCT((IF('ENERO 2026'!Y6:Y119&lt;&gt;"",'ENERO 2026'!Y6:Y119,'ENERO 2026'!I6:I119)="NUEVO CHIRIMOTO")*('ENERO 2026'!K6:K119="PETROLEO")*'ENERO 2026'!M6:M119),0)</f>
        <v>0</v>
      </c>
      <c r="D1382" s="187" t="n">
        <f aca="false">IFERROR(SUMPRODUCT((IF('ENERO 2026'!Y6:Y119&lt;&gt;"",'ENERO 2026'!Y6:Y119,'ENERO 2026'!I6:I119)="NUEVO CHIRIMOTO")*('ENERO 2026'!K6:K119="PETROLEO")*'ENERO 2026'!N6:N119),0)</f>
        <v>0</v>
      </c>
      <c r="E1382" s="187" t="n">
        <f aca="false">IFERROR(SUMPRODUCT((IF('ENERO 2026'!Y6:Y119&lt;&gt;"",'ENERO 2026'!Y6:Y119,'ENERO 2026'!I6:I119)="NUEVO CHIRIMOTO")*('ENERO 2026'!K6:K119="GASOLINA")*'ENERO 2026'!M6:M119),0)</f>
        <v>0</v>
      </c>
      <c r="F1382" s="187" t="n">
        <f aca="false">IFERROR(SUMPRODUCT((IF('ENERO 2026'!Y6:Y119&lt;&gt;"",'ENERO 2026'!Y6:Y119,'ENERO 2026'!I6:I119)="NUEVO CHIRIMOTO")*('ENERO 2026'!K6:K119="GASOLINA")*'ENERO 2026'!N6:N119),0)</f>
        <v>0</v>
      </c>
    </row>
    <row r="1383" customFormat="false" ht="15" hidden="false" customHeight="true" outlineLevel="0" collapsed="false">
      <c r="A1383" s="1" t="s">
        <v>64</v>
      </c>
      <c r="B1383" s="1" t="s">
        <v>5166</v>
      </c>
      <c r="C1383" s="187" t="n">
        <f aca="false">IFERROR(SUMPRODUCT((IF('FEBRERO 2026'!Y6:Y124&lt;&gt;"",'FEBRERO 2026'!Y6:Y124,'FEBRERO 2026'!I6:I124)="NUEVO CHIRIMOTO")*('FEBRERO 2026'!K6:K124="PETROLEO")*'FEBRERO 2026'!M6:M124),0)</f>
        <v>0</v>
      </c>
      <c r="D1383" s="187" t="n">
        <f aca="false">IFERROR(SUMPRODUCT((IF('FEBRERO 2026'!Y6:Y124&lt;&gt;"",'FEBRERO 2026'!Y6:Y124,'FEBRERO 2026'!I6:I124)="NUEVO CHIRIMOTO")*('FEBRERO 2026'!K6:K124="PETROLEO")*'FEBRERO 2026'!N6:N124),0)</f>
        <v>0</v>
      </c>
      <c r="E1383" s="187" t="n">
        <f aca="false">IFERROR(SUMPRODUCT((IF('FEBRERO 2026'!Y6:Y124&lt;&gt;"",'FEBRERO 2026'!Y6:Y124,'FEBRERO 2026'!I6:I124)="NUEVO CHIRIMOTO")*('FEBRERO 2026'!K6:K124="GASOLINA")*'FEBRERO 2026'!M6:M124),0)</f>
        <v>0</v>
      </c>
      <c r="F1383" s="187" t="n">
        <f aca="false">IFERROR(SUMPRODUCT((IF('FEBRERO 2026'!Y6:Y124&lt;&gt;"",'FEBRERO 2026'!Y6:Y124,'FEBRERO 2026'!I6:I124)="NUEVO CHIRIMOTO")*('FEBRERO 2026'!K6:K124="GASOLINA")*'FEBRERO 2026'!N6:N124),0)</f>
        <v>0</v>
      </c>
    </row>
    <row r="1384" customFormat="false" ht="15" hidden="false" customHeight="true" outlineLevel="0" collapsed="false">
      <c r="A1384" s="1" t="s">
        <v>64</v>
      </c>
      <c r="B1384" s="1" t="s">
        <v>5167</v>
      </c>
      <c r="C1384" s="187" t="n">
        <f aca="false">IFERROR(SUMPRODUCT((IF('MARZO 2026'!Y6:Y119&lt;&gt;"",'MARZO 2026'!Y6:Y119,'MARZO 2026'!I6:I119)="NUEVO CHIRIMOTO")*('MARZO 2026'!K6:K119="PETROLEO")*'MARZO 2026'!M6:M119),0)</f>
        <v>0</v>
      </c>
      <c r="D1384" s="187" t="n">
        <f aca="false">IFERROR(SUMPRODUCT((IF('MARZO 2026'!Y6:Y119&lt;&gt;"",'MARZO 2026'!Y6:Y119,'MARZO 2026'!I6:I119)="NUEVO CHIRIMOTO")*('MARZO 2026'!K6:K119="PETROLEO")*'MARZO 2026'!N6:N119),0)</f>
        <v>0</v>
      </c>
      <c r="E1384" s="187" t="n">
        <f aca="false">IFERROR(SUMPRODUCT((IF('MARZO 2026'!Y6:Y119&lt;&gt;"",'MARZO 2026'!Y6:Y119,'MARZO 2026'!I6:I119)="NUEVO CHIRIMOTO")*('MARZO 2026'!K6:K119="GASOLINA")*'MARZO 2026'!M6:M119),0)</f>
        <v>0</v>
      </c>
      <c r="F1384" s="187" t="n">
        <f aca="false">IFERROR(SUMPRODUCT((IF('MARZO 2026'!Y6:Y119&lt;&gt;"",'MARZO 2026'!Y6:Y119,'MARZO 2026'!I6:I119)="NUEVO CHIRIMOTO")*('MARZO 2026'!K6:K119="GASOLINA")*'MARZO 2026'!N6:N119),0)</f>
        <v>0</v>
      </c>
    </row>
    <row r="1385" customFormat="false" ht="15" hidden="false" customHeight="true" outlineLevel="0" collapsed="false">
      <c r="A1385" s="1" t="s">
        <v>64</v>
      </c>
      <c r="B1385" s="1" t="s">
        <v>5168</v>
      </c>
      <c r="C1385" s="187" t="n">
        <f aca="false">IFERROR(SUMPRODUCT((IF('ABRIL 2026'!Y6:Y119&lt;&gt;"",'ABRIL 2026'!Y6:Y119,'ABRIL 2026'!I6:I119)="NUEVO CHIRIMOTO")*('ABRIL 2026'!K6:K119="PETROLEO")*'ABRIL 2026'!M6:M119),0)</f>
        <v>0</v>
      </c>
      <c r="D1385" s="187" t="n">
        <f aca="false">IFERROR(SUMPRODUCT((IF('ABRIL 2026'!Y6:Y119&lt;&gt;"",'ABRIL 2026'!Y6:Y119,'ABRIL 2026'!I6:I119)="NUEVO CHIRIMOTO")*('ABRIL 2026'!K6:K119="PETROLEO")*'ABRIL 2026'!N6:N119),0)</f>
        <v>0</v>
      </c>
      <c r="E1385" s="187" t="n">
        <f aca="false">IFERROR(SUMPRODUCT((IF('ABRIL 2026'!Y6:Y119&lt;&gt;"",'ABRIL 2026'!Y6:Y119,'ABRIL 2026'!I6:I119)="NUEVO CHIRIMOTO")*('ABRIL 2026'!K6:K119="GASOLINA")*'ABRIL 2026'!M6:M119),0)</f>
        <v>0</v>
      </c>
      <c r="F1385" s="187" t="n">
        <f aca="false">IFERROR(SUMPRODUCT((IF('ABRIL 2026'!Y6:Y119&lt;&gt;"",'ABRIL 2026'!Y6:Y119,'ABRIL 2026'!I6:I119)="NUEVO CHIRIMOTO")*('ABRIL 2026'!K6:K119="GASOLINA")*'ABRIL 2026'!N6:N119),0)</f>
        <v>0</v>
      </c>
    </row>
    <row r="1386" customFormat="false" ht="15" hidden="false" customHeight="true" outlineLevel="0" collapsed="false">
      <c r="A1386" s="1" t="s">
        <v>64</v>
      </c>
      <c r="B1386" s="1" t="s">
        <v>5169</v>
      </c>
      <c r="C1386" s="187" t="n">
        <f aca="false">IFERROR(SUMPRODUCT((IF('MAYO 2026'!Y6:Y110&lt;&gt;"",'MAYO 2026'!Y6:Y110,'MAYO 2026'!I6:I110)="NUEVO CHIRIMOTO")*('MAYO 2026'!K6:K110="PETROLEO")*'MAYO 2026'!M6:M110),0)</f>
        <v>0</v>
      </c>
      <c r="D1386" s="187" t="n">
        <f aca="false">IFERROR(SUMPRODUCT((IF('MAYO 2026'!Y6:Y110&lt;&gt;"",'MAYO 2026'!Y6:Y110,'MAYO 2026'!I6:I110)="NUEVO CHIRIMOTO")*('MAYO 2026'!K6:K110="PETROLEO")*'MAYO 2026'!N6:N110),0)</f>
        <v>0</v>
      </c>
      <c r="E1386" s="187" t="n">
        <f aca="false">IFERROR(SUMPRODUCT((IF('MAYO 2026'!Y6:Y110&lt;&gt;"",'MAYO 2026'!Y6:Y110,'MAYO 2026'!I6:I110)="NUEVO CHIRIMOTO")*('MAYO 2026'!K6:K110="GASOLINA")*'MAYO 2026'!M6:M110),0)</f>
        <v>0</v>
      </c>
      <c r="F1386" s="187" t="n">
        <f aca="false">IFERROR(SUMPRODUCT((IF('MAYO 2026'!Y6:Y110&lt;&gt;"",'MAYO 2026'!Y6:Y110,'MAYO 2026'!I6:I110)="NUEVO CHIRIMOTO")*('MAYO 2026'!K6:K110="GASOLINA")*'MAYO 2026'!N6:N110),0)</f>
        <v>0</v>
      </c>
    </row>
    <row r="1387" customFormat="false" ht="15" hidden="false" customHeight="true" outlineLevel="0" collapsed="false">
      <c r="A1387" s="1" t="s">
        <v>64</v>
      </c>
      <c r="B1387" s="1" t="s">
        <v>5170</v>
      </c>
      <c r="C1387" s="187" t="n">
        <f aca="false">IFERROR(SUMPRODUCT((IF('JUNIO 2026'!Y6:Y110&lt;&gt;"",'JUNIO 2026'!Y6:Y110,'JUNIO 2026'!I6:I110)="NUEVO CHIRIMOTO")*('JUNIO 2026'!K6:K110="PETROLEO")*'JUNIO 2026'!M6:M110),0)</f>
        <v>0</v>
      </c>
      <c r="D1387" s="187" t="n">
        <f aca="false">IFERROR(SUMPRODUCT((IF('JUNIO 2026'!Y6:Y110&lt;&gt;"",'JUNIO 2026'!Y6:Y110,'JUNIO 2026'!I6:I110)="NUEVO CHIRIMOTO")*('JUNIO 2026'!K6:K110="PETROLEO")*'JUNIO 2026'!N6:N110),0)</f>
        <v>0</v>
      </c>
      <c r="E1387" s="187" t="n">
        <f aca="false">IFERROR(SUMPRODUCT((IF('JUNIO 2026'!Y6:Y110&lt;&gt;"",'JUNIO 2026'!Y6:Y110,'JUNIO 2026'!I6:I110)="NUEVO CHIRIMOTO")*('JUNIO 2026'!K6:K110="GASOLINA")*'JUNIO 2026'!M6:M110),0)</f>
        <v>0</v>
      </c>
      <c r="F1387" s="187" t="n">
        <f aca="false">IFERROR(SUMPRODUCT((IF('JUNIO 2026'!Y6:Y110&lt;&gt;"",'JUNIO 2026'!Y6:Y110,'JUNIO 2026'!I6:I110)="NUEVO CHIRIMOTO")*('JUNIO 2026'!K6:K110="GASOLINA")*'JUNIO 2026'!N6:N110),0)</f>
        <v>0</v>
      </c>
    </row>
    <row r="1388" customFormat="false" ht="15" hidden="false" customHeight="true" outlineLevel="0" collapsed="false">
      <c r="A1388" s="1" t="s">
        <v>64</v>
      </c>
      <c r="B1388" s="1" t="s">
        <v>5171</v>
      </c>
      <c r="C1388" s="187" t="n">
        <f aca="false">IFERROR(SUMPRODUCT((IF('JULIO 2026'!Y6:Y110&lt;&gt;"",'JULIO 2026'!Y6:Y110,'JULIO 2026'!I6:I110)="NUEVO CHIRIMOTO")*('JULIO 2026'!K6:K110="PETROLEO")*'JULIO 2026'!M6:M110),0)</f>
        <v>0</v>
      </c>
      <c r="D1388" s="187" t="n">
        <f aca="false">IFERROR(SUMPRODUCT((IF('JULIO 2026'!Y6:Y110&lt;&gt;"",'JULIO 2026'!Y6:Y110,'JULIO 2026'!I6:I110)="NUEVO CHIRIMOTO")*('JULIO 2026'!K6:K110="PETROLEO")*'JULIO 2026'!N6:N110),0)</f>
        <v>0</v>
      </c>
      <c r="E1388" s="187" t="n">
        <f aca="false">IFERROR(SUMPRODUCT((IF('JULIO 2026'!Y6:Y110&lt;&gt;"",'JULIO 2026'!Y6:Y110,'JULIO 2026'!I6:I110)="NUEVO CHIRIMOTO")*('JULIO 2026'!K6:K110="GASOLINA")*'JULIO 2026'!M6:M110),0)</f>
        <v>0</v>
      </c>
      <c r="F1388" s="187" t="n">
        <f aca="false">IFERROR(SUMPRODUCT((IF('JULIO 2026'!Y6:Y110&lt;&gt;"",'JULIO 2026'!Y6:Y110,'JULIO 2026'!I6:I110)="NUEVO CHIRIMOTO")*('JULIO 2026'!K6:K110="GASOLINA")*'JULIO 2026'!N6:N110),0)</f>
        <v>0</v>
      </c>
    </row>
    <row r="1389" customFormat="false" ht="15" hidden="false" customHeight="true" outlineLevel="0" collapsed="false">
      <c r="A1389" s="1" t="s">
        <v>64</v>
      </c>
      <c r="B1389" s="1" t="s">
        <v>5172</v>
      </c>
      <c r="C1389" s="187" t="n">
        <f aca="false">IFERROR(SUMPRODUCT((IF('AGOSTO 2026'!Y6:Y110&lt;&gt;"",'AGOSTO 2026'!Y6:Y110,'AGOSTO 2026'!I6:I110)="NUEVO CHIRIMOTO")*('AGOSTO 2026'!K6:K110="PETROLEO")*'AGOSTO 2026'!M6:M110),0)</f>
        <v>0</v>
      </c>
      <c r="D1389" s="187" t="n">
        <f aca="false">IFERROR(SUMPRODUCT((IF('AGOSTO 2026'!Y6:Y110&lt;&gt;"",'AGOSTO 2026'!Y6:Y110,'AGOSTO 2026'!I6:I110)="NUEVO CHIRIMOTO")*('AGOSTO 2026'!K6:K110="PETROLEO")*'AGOSTO 2026'!N6:N110),0)</f>
        <v>0</v>
      </c>
      <c r="E1389" s="187" t="n">
        <f aca="false">IFERROR(SUMPRODUCT((IF('AGOSTO 2026'!Y6:Y110&lt;&gt;"",'AGOSTO 2026'!Y6:Y110,'AGOSTO 2026'!I6:I110)="NUEVO CHIRIMOTO")*('AGOSTO 2026'!K6:K110="GASOLINA")*'AGOSTO 2026'!M6:M110),0)</f>
        <v>0</v>
      </c>
      <c r="F1389" s="187" t="n">
        <f aca="false">IFERROR(SUMPRODUCT((IF('AGOSTO 2026'!Y6:Y110&lt;&gt;"",'AGOSTO 2026'!Y6:Y110,'AGOSTO 2026'!I6:I110)="NUEVO CHIRIMOTO")*('AGOSTO 2026'!K6:K110="GASOLINA")*'AGOSTO 2026'!N6:N110),0)</f>
        <v>0</v>
      </c>
    </row>
    <row r="1390" customFormat="false" ht="15" hidden="false" customHeight="true" outlineLevel="0" collapsed="false">
      <c r="A1390" s="1" t="s">
        <v>64</v>
      </c>
      <c r="B1390" s="1" t="s">
        <v>5173</v>
      </c>
      <c r="C1390" s="187" t="n">
        <f aca="false">IFERROR(SUMPRODUCT((IF('SETIEMBRE 2026'!Y6:Y110&lt;&gt;"",'SETIEMBRE 2026'!Y6:Y110,'SETIEMBRE 2026'!I6:I110)="NUEVO CHIRIMOTO")*('SETIEMBRE 2026'!K6:K110="PETROLEO")*'SETIEMBRE 2026'!M6:M110),0)</f>
        <v>0</v>
      </c>
      <c r="D1390" s="187" t="n">
        <f aca="false">IFERROR(SUMPRODUCT((IF('SETIEMBRE 2026'!Y6:Y110&lt;&gt;"",'SETIEMBRE 2026'!Y6:Y110,'SETIEMBRE 2026'!I6:I110)="NUEVO CHIRIMOTO")*('SETIEMBRE 2026'!K6:K110="PETROLEO")*'SETIEMBRE 2026'!N6:N110),0)</f>
        <v>0</v>
      </c>
      <c r="E1390" s="187" t="n">
        <f aca="false">IFERROR(SUMPRODUCT((IF('SETIEMBRE 2026'!Y6:Y110&lt;&gt;"",'SETIEMBRE 2026'!Y6:Y110,'SETIEMBRE 2026'!I6:I110)="NUEVO CHIRIMOTO")*('SETIEMBRE 2026'!K6:K110="GASOLINA")*'SETIEMBRE 2026'!M6:M110),0)</f>
        <v>0</v>
      </c>
      <c r="F1390" s="187" t="n">
        <f aca="false">IFERROR(SUMPRODUCT((IF('SETIEMBRE 2026'!Y6:Y110&lt;&gt;"",'SETIEMBRE 2026'!Y6:Y110,'SETIEMBRE 2026'!I6:I110)="NUEVO CHIRIMOTO")*('SETIEMBRE 2026'!K6:K110="GASOLINA")*'SETIEMBRE 2026'!N6:N110),0)</f>
        <v>0</v>
      </c>
    </row>
    <row r="1391" customFormat="false" ht="15" hidden="false" customHeight="true" outlineLevel="0" collapsed="false">
      <c r="A1391" s="1" t="s">
        <v>64</v>
      </c>
      <c r="B1391" s="1" t="s">
        <v>5174</v>
      </c>
      <c r="C1391" s="187" t="n">
        <f aca="false">IFERROR(SUMPRODUCT((IF('OCTUBRE 2026'!Y6:Y110&lt;&gt;"",'OCTUBRE 2026'!Y6:Y110,'OCTUBRE 2026'!I6:I110)="NUEVO CHIRIMOTO")*('OCTUBRE 2026'!K6:K110="PETROLEO")*'OCTUBRE 2026'!M6:M110),0)</f>
        <v>0</v>
      </c>
      <c r="D1391" s="187" t="n">
        <f aca="false">IFERROR(SUMPRODUCT((IF('OCTUBRE 2026'!Y6:Y110&lt;&gt;"",'OCTUBRE 2026'!Y6:Y110,'OCTUBRE 2026'!I6:I110)="NUEVO CHIRIMOTO")*('OCTUBRE 2026'!K6:K110="PETROLEO")*'OCTUBRE 2026'!N6:N110),0)</f>
        <v>0</v>
      </c>
      <c r="E1391" s="187" t="n">
        <f aca="false">IFERROR(SUMPRODUCT((IF('OCTUBRE 2026'!Y6:Y110&lt;&gt;"",'OCTUBRE 2026'!Y6:Y110,'OCTUBRE 2026'!I6:I110)="NUEVO CHIRIMOTO")*('OCTUBRE 2026'!K6:K110="GASOLINA")*'OCTUBRE 2026'!M6:M110),0)</f>
        <v>0</v>
      </c>
      <c r="F1391" s="187" t="n">
        <f aca="false">IFERROR(SUMPRODUCT((IF('OCTUBRE 2026'!Y6:Y110&lt;&gt;"",'OCTUBRE 2026'!Y6:Y110,'OCTUBRE 2026'!I6:I110)="NUEVO CHIRIMOTO")*('OCTUBRE 2026'!K6:K110="GASOLINA")*'OCTUBRE 2026'!N6:N110),0)</f>
        <v>0</v>
      </c>
    </row>
    <row r="1392" customFormat="false" ht="15" hidden="false" customHeight="true" outlineLevel="0" collapsed="false">
      <c r="A1392" s="1" t="s">
        <v>64</v>
      </c>
      <c r="B1392" s="1" t="s">
        <v>5175</v>
      </c>
      <c r="C1392" s="187" t="n">
        <f aca="false">IFERROR(SUMPRODUCT((IF('NOVIEMBRE 2026'!Y6:Y110&lt;&gt;"",'NOVIEMBRE 2026'!Y6:Y110,'NOVIEMBRE 2026'!I6:I110)="NUEVO CHIRIMOTO")*('NOVIEMBRE 2026'!K6:K110="PETROLEO")*'NOVIEMBRE 2026'!M6:M110),0)</f>
        <v>0</v>
      </c>
      <c r="D1392" s="187" t="n">
        <f aca="false">IFERROR(SUMPRODUCT((IF('NOVIEMBRE 2026'!Y6:Y110&lt;&gt;"",'NOVIEMBRE 2026'!Y6:Y110,'NOVIEMBRE 2026'!I6:I110)="NUEVO CHIRIMOTO")*('NOVIEMBRE 2026'!K6:K110="PETROLEO")*'NOVIEMBRE 2026'!N6:N110),0)</f>
        <v>0</v>
      </c>
      <c r="E1392" s="187" t="n">
        <f aca="false">IFERROR(SUMPRODUCT((IF('NOVIEMBRE 2026'!Y6:Y110&lt;&gt;"",'NOVIEMBRE 2026'!Y6:Y110,'NOVIEMBRE 2026'!I6:I110)="NUEVO CHIRIMOTO")*('NOVIEMBRE 2026'!K6:K110="GASOLINA")*'NOVIEMBRE 2026'!M6:M110),0)</f>
        <v>0</v>
      </c>
      <c r="F1392" s="187" t="n">
        <f aca="false">IFERROR(SUMPRODUCT((IF('NOVIEMBRE 2026'!Y6:Y110&lt;&gt;"",'NOVIEMBRE 2026'!Y6:Y110,'NOVIEMBRE 2026'!I6:I110)="NUEVO CHIRIMOTO")*('NOVIEMBRE 2026'!K6:K110="GASOLINA")*'NOVIEMBRE 2026'!N6:N110),0)</f>
        <v>0</v>
      </c>
    </row>
    <row r="1393" customFormat="false" ht="15" hidden="false" customHeight="true" outlineLevel="0" collapsed="false">
      <c r="A1393" s="1" t="s">
        <v>64</v>
      </c>
      <c r="B1393" s="1" t="s">
        <v>5176</v>
      </c>
      <c r="C1393" s="187" t="n">
        <f aca="false">IFERROR(SUMPRODUCT((IF('DICIEMBRE 2026'!Y6:Y110&lt;&gt;"",'DICIEMBRE 2026'!Y6:Y110,'DICIEMBRE 2026'!I6:I110)="NUEVO CHIRIMOTO")*('DICIEMBRE 2026'!K6:K110="PETROLEO")*'DICIEMBRE 2026'!M6:M110),0)</f>
        <v>0</v>
      </c>
      <c r="D1393" s="187" t="n">
        <f aca="false">IFERROR(SUMPRODUCT((IF('DICIEMBRE 2026'!Y6:Y110&lt;&gt;"",'DICIEMBRE 2026'!Y6:Y110,'DICIEMBRE 2026'!I6:I110)="NUEVO CHIRIMOTO")*('DICIEMBRE 2026'!K6:K110="PETROLEO")*'DICIEMBRE 2026'!N6:N110),0)</f>
        <v>0</v>
      </c>
      <c r="E1393" s="187" t="n">
        <f aca="false">IFERROR(SUMPRODUCT((IF('DICIEMBRE 2026'!Y6:Y110&lt;&gt;"",'DICIEMBRE 2026'!Y6:Y110,'DICIEMBRE 2026'!I6:I110)="NUEVO CHIRIMOTO")*('DICIEMBRE 2026'!K6:K110="GASOLINA")*'DICIEMBRE 2026'!M6:M110),0)</f>
        <v>0</v>
      </c>
      <c r="F1393" s="187" t="n">
        <f aca="false">IFERROR(SUMPRODUCT((IF('DICIEMBRE 2026'!Y6:Y110&lt;&gt;"",'DICIEMBRE 2026'!Y6:Y110,'DICIEMBRE 2026'!I6:I110)="NUEVO CHIRIMOTO")*('DICIEMBRE 2026'!K6:K110="GASOLINA")*'DICIEMBRE 2026'!N6:N110),0)</f>
        <v>0</v>
      </c>
    </row>
    <row r="1394" customFormat="false" ht="15" hidden="false" customHeight="true" outlineLevel="0" collapsed="false">
      <c r="A1394" s="1" t="s">
        <v>66</v>
      </c>
      <c r="B1394" s="1" t="s">
        <v>5165</v>
      </c>
      <c r="C1394" s="187" t="n">
        <f aca="false">IFERROR(SUMPRODUCT((IF('ENERO 2026'!Y6:Y119&lt;&gt;"",'ENERO 2026'!Y6:Y119,'ENERO 2026'!I6:I119)="OCALLI")*('ENERO 2026'!K6:K119="PETROLEO")*'ENERO 2026'!M6:M119),0)</f>
        <v>40</v>
      </c>
      <c r="D1394" s="187" t="n">
        <f aca="false">IFERROR(SUMPRODUCT((IF('ENERO 2026'!Y6:Y119&lt;&gt;"",'ENERO 2026'!Y6:Y119,'ENERO 2026'!I6:I119)="OCALLI")*('ENERO 2026'!K6:K119="PETROLEO")*'ENERO 2026'!N6:N119),0)</f>
        <v>0</v>
      </c>
      <c r="E1394" s="187" t="n">
        <f aca="false">IFERROR(SUMPRODUCT((IF('ENERO 2026'!Y6:Y119&lt;&gt;"",'ENERO 2026'!Y6:Y119,'ENERO 2026'!I6:I119)="OCALLI")*('ENERO 2026'!K6:K119="GASOLINA")*'ENERO 2026'!M6:M119),0)</f>
        <v>0</v>
      </c>
      <c r="F1394" s="187" t="n">
        <f aca="false">IFERROR(SUMPRODUCT((IF('ENERO 2026'!Y6:Y119&lt;&gt;"",'ENERO 2026'!Y6:Y119,'ENERO 2026'!I6:I119)="OCALLI")*('ENERO 2026'!K6:K119="GASOLINA")*'ENERO 2026'!N6:N119),0)</f>
        <v>0</v>
      </c>
    </row>
    <row r="1395" customFormat="false" ht="15" hidden="false" customHeight="true" outlineLevel="0" collapsed="false">
      <c r="A1395" s="1" t="s">
        <v>66</v>
      </c>
      <c r="B1395" s="1" t="s">
        <v>5166</v>
      </c>
      <c r="C1395" s="187" t="n">
        <f aca="false">IFERROR(SUMPRODUCT((IF('FEBRERO 2026'!Y6:Y124&lt;&gt;"",'FEBRERO 2026'!Y6:Y124,'FEBRERO 2026'!I6:I124)="OCALLI")*('FEBRERO 2026'!K6:K124="PETROLEO")*'FEBRERO 2026'!M6:M124),0)</f>
        <v>46</v>
      </c>
      <c r="D1395" s="187" t="n">
        <f aca="false">IFERROR(SUMPRODUCT((IF('FEBRERO 2026'!Y6:Y124&lt;&gt;"",'FEBRERO 2026'!Y6:Y124,'FEBRERO 2026'!I6:I124)="OCALLI")*('FEBRERO 2026'!K6:K124="PETROLEO")*'FEBRERO 2026'!N6:N124),0)</f>
        <v>836.28</v>
      </c>
      <c r="E1395" s="187" t="n">
        <f aca="false">IFERROR(SUMPRODUCT((IF('FEBRERO 2026'!Y6:Y124&lt;&gt;"",'FEBRERO 2026'!Y6:Y124,'FEBRERO 2026'!I6:I124)="OCALLI")*('FEBRERO 2026'!K6:K124="GASOLINA")*'FEBRERO 2026'!M6:M124),0)</f>
        <v>0</v>
      </c>
      <c r="F1395" s="187" t="n">
        <f aca="false">IFERROR(SUMPRODUCT((IF('FEBRERO 2026'!Y6:Y124&lt;&gt;"",'FEBRERO 2026'!Y6:Y124,'FEBRERO 2026'!I6:I124)="OCALLI")*('FEBRERO 2026'!K6:K124="GASOLINA")*'FEBRERO 2026'!N6:N124),0)</f>
        <v>0</v>
      </c>
    </row>
    <row r="1396" customFormat="false" ht="15" hidden="false" customHeight="true" outlineLevel="0" collapsed="false">
      <c r="A1396" s="1" t="s">
        <v>66</v>
      </c>
      <c r="B1396" s="1" t="s">
        <v>5167</v>
      </c>
      <c r="C1396" s="187" t="n">
        <f aca="false">IFERROR(SUMPRODUCT((IF('MARZO 2026'!Y6:Y119&lt;&gt;"",'MARZO 2026'!Y6:Y119,'MARZO 2026'!I6:I119)="OCALLI")*('MARZO 2026'!K6:K119="PETROLEO")*'MARZO 2026'!M6:M119),0)</f>
        <v>42</v>
      </c>
      <c r="D1396" s="187" t="n">
        <f aca="false">IFERROR(SUMPRODUCT((IF('MARZO 2026'!Y6:Y119&lt;&gt;"",'MARZO 2026'!Y6:Y119,'MARZO 2026'!I6:I119)="OCALLI")*('MARZO 2026'!K6:K119="PETROLEO")*'MARZO 2026'!N6:N119),0)</f>
        <v>0</v>
      </c>
      <c r="E1396" s="187" t="n">
        <f aca="false">IFERROR(SUMPRODUCT((IF('MARZO 2026'!Y6:Y119&lt;&gt;"",'MARZO 2026'!Y6:Y119,'MARZO 2026'!I6:I119)="OCALLI")*('MARZO 2026'!K6:K119="GASOLINA")*'MARZO 2026'!M6:M119),0)</f>
        <v>0</v>
      </c>
      <c r="F1396" s="187" t="n">
        <f aca="false">IFERROR(SUMPRODUCT((IF('MARZO 2026'!Y6:Y119&lt;&gt;"",'MARZO 2026'!Y6:Y119,'MARZO 2026'!I6:I119)="OCALLI")*('MARZO 2026'!K6:K119="GASOLINA")*'MARZO 2026'!N6:N119),0)</f>
        <v>0</v>
      </c>
    </row>
    <row r="1397" customFormat="false" ht="15" hidden="false" customHeight="true" outlineLevel="0" collapsed="false">
      <c r="A1397" s="1" t="s">
        <v>66</v>
      </c>
      <c r="B1397" s="1" t="s">
        <v>5168</v>
      </c>
      <c r="C1397" s="187" t="n">
        <f aca="false">IFERROR(SUMPRODUCT((IF('ABRIL 2026'!Y6:Y119&lt;&gt;"",'ABRIL 2026'!Y6:Y119,'ABRIL 2026'!I6:I119)="OCALLI")*('ABRIL 2026'!K6:K119="PETROLEO")*'ABRIL 2026'!M6:M119),0)</f>
        <v>0</v>
      </c>
      <c r="D1397" s="187" t="n">
        <f aca="false">IFERROR(SUMPRODUCT((IF('ABRIL 2026'!Y6:Y119&lt;&gt;"",'ABRIL 2026'!Y6:Y119,'ABRIL 2026'!I6:I119)="OCALLI")*('ABRIL 2026'!K6:K119="PETROLEO")*'ABRIL 2026'!N6:N119),0)</f>
        <v>0</v>
      </c>
      <c r="E1397" s="187" t="n">
        <f aca="false">IFERROR(SUMPRODUCT((IF('ABRIL 2026'!Y6:Y119&lt;&gt;"",'ABRIL 2026'!Y6:Y119,'ABRIL 2026'!I6:I119)="OCALLI")*('ABRIL 2026'!K6:K119="GASOLINA")*'ABRIL 2026'!M6:M119),0)</f>
        <v>0</v>
      </c>
      <c r="F1397" s="187" t="n">
        <f aca="false">IFERROR(SUMPRODUCT((IF('ABRIL 2026'!Y6:Y119&lt;&gt;"",'ABRIL 2026'!Y6:Y119,'ABRIL 2026'!I6:I119)="OCALLI")*('ABRIL 2026'!K6:K119="GASOLINA")*'ABRIL 2026'!N6:N119),0)</f>
        <v>0</v>
      </c>
    </row>
    <row r="1398" customFormat="false" ht="15" hidden="false" customHeight="true" outlineLevel="0" collapsed="false">
      <c r="A1398" s="1" t="s">
        <v>66</v>
      </c>
      <c r="B1398" s="1" t="s">
        <v>5169</v>
      </c>
      <c r="C1398" s="187" t="n">
        <f aca="false">IFERROR(SUMPRODUCT((IF('MAYO 2026'!Y6:Y110&lt;&gt;"",'MAYO 2026'!Y6:Y110,'MAYO 2026'!I6:I110)="OCALLI")*('MAYO 2026'!K6:K110="PETROLEO")*'MAYO 2026'!M6:M110),0)</f>
        <v>0</v>
      </c>
      <c r="D1398" s="187" t="n">
        <f aca="false">IFERROR(SUMPRODUCT((IF('MAYO 2026'!Y6:Y110&lt;&gt;"",'MAYO 2026'!Y6:Y110,'MAYO 2026'!I6:I110)="OCALLI")*('MAYO 2026'!K6:K110="PETROLEO")*'MAYO 2026'!N6:N110),0)</f>
        <v>0</v>
      </c>
      <c r="E1398" s="187" t="n">
        <f aca="false">IFERROR(SUMPRODUCT((IF('MAYO 2026'!Y6:Y110&lt;&gt;"",'MAYO 2026'!Y6:Y110,'MAYO 2026'!I6:I110)="OCALLI")*('MAYO 2026'!K6:K110="GASOLINA")*'MAYO 2026'!M6:M110),0)</f>
        <v>0</v>
      </c>
      <c r="F1398" s="187" t="n">
        <f aca="false">IFERROR(SUMPRODUCT((IF('MAYO 2026'!Y6:Y110&lt;&gt;"",'MAYO 2026'!Y6:Y110,'MAYO 2026'!I6:I110)="OCALLI")*('MAYO 2026'!K6:K110="GASOLINA")*'MAYO 2026'!N6:N110),0)</f>
        <v>0</v>
      </c>
    </row>
    <row r="1399" customFormat="false" ht="15" hidden="false" customHeight="true" outlineLevel="0" collapsed="false">
      <c r="A1399" s="1" t="s">
        <v>66</v>
      </c>
      <c r="B1399" s="1" t="s">
        <v>5170</v>
      </c>
      <c r="C1399" s="187" t="n">
        <f aca="false">IFERROR(SUMPRODUCT((IF('JUNIO 2026'!Y6:Y110&lt;&gt;"",'JUNIO 2026'!Y6:Y110,'JUNIO 2026'!I6:I110)="OCALLI")*('JUNIO 2026'!K6:K110="PETROLEO")*'JUNIO 2026'!M6:M110),0)</f>
        <v>0</v>
      </c>
      <c r="D1399" s="187" t="n">
        <f aca="false">IFERROR(SUMPRODUCT((IF('JUNIO 2026'!Y6:Y110&lt;&gt;"",'JUNIO 2026'!Y6:Y110,'JUNIO 2026'!I6:I110)="OCALLI")*('JUNIO 2026'!K6:K110="PETROLEO")*'JUNIO 2026'!N6:N110),0)</f>
        <v>0</v>
      </c>
      <c r="E1399" s="187" t="n">
        <f aca="false">IFERROR(SUMPRODUCT((IF('JUNIO 2026'!Y6:Y110&lt;&gt;"",'JUNIO 2026'!Y6:Y110,'JUNIO 2026'!I6:I110)="OCALLI")*('JUNIO 2026'!K6:K110="GASOLINA")*'JUNIO 2026'!M6:M110),0)</f>
        <v>0</v>
      </c>
      <c r="F1399" s="187" t="n">
        <f aca="false">IFERROR(SUMPRODUCT((IF('JUNIO 2026'!Y6:Y110&lt;&gt;"",'JUNIO 2026'!Y6:Y110,'JUNIO 2026'!I6:I110)="OCALLI")*('JUNIO 2026'!K6:K110="GASOLINA")*'JUNIO 2026'!N6:N110),0)</f>
        <v>0</v>
      </c>
    </row>
    <row r="1400" customFormat="false" ht="15" hidden="false" customHeight="true" outlineLevel="0" collapsed="false">
      <c r="A1400" s="1" t="s">
        <v>66</v>
      </c>
      <c r="B1400" s="1" t="s">
        <v>5171</v>
      </c>
      <c r="C1400" s="187" t="n">
        <f aca="false">IFERROR(SUMPRODUCT((IF('JULIO 2026'!Y6:Y110&lt;&gt;"",'JULIO 2026'!Y6:Y110,'JULIO 2026'!I6:I110)="OCALLI")*('JULIO 2026'!K6:K110="PETROLEO")*'JULIO 2026'!M6:M110),0)</f>
        <v>0</v>
      </c>
      <c r="D1400" s="187" t="n">
        <f aca="false">IFERROR(SUMPRODUCT((IF('JULIO 2026'!Y6:Y110&lt;&gt;"",'JULIO 2026'!Y6:Y110,'JULIO 2026'!I6:I110)="OCALLI")*('JULIO 2026'!K6:K110="PETROLEO")*'JULIO 2026'!N6:N110),0)</f>
        <v>0</v>
      </c>
      <c r="E1400" s="187" t="n">
        <f aca="false">IFERROR(SUMPRODUCT((IF('JULIO 2026'!Y6:Y110&lt;&gt;"",'JULIO 2026'!Y6:Y110,'JULIO 2026'!I6:I110)="OCALLI")*('JULIO 2026'!K6:K110="GASOLINA")*'JULIO 2026'!M6:M110),0)</f>
        <v>0</v>
      </c>
      <c r="F1400" s="187" t="n">
        <f aca="false">IFERROR(SUMPRODUCT((IF('JULIO 2026'!Y6:Y110&lt;&gt;"",'JULIO 2026'!Y6:Y110,'JULIO 2026'!I6:I110)="OCALLI")*('JULIO 2026'!K6:K110="GASOLINA")*'JULIO 2026'!N6:N110),0)</f>
        <v>0</v>
      </c>
    </row>
    <row r="1401" customFormat="false" ht="15" hidden="false" customHeight="true" outlineLevel="0" collapsed="false">
      <c r="A1401" s="1" t="s">
        <v>66</v>
      </c>
      <c r="B1401" s="1" t="s">
        <v>5172</v>
      </c>
      <c r="C1401" s="187" t="n">
        <f aca="false">IFERROR(SUMPRODUCT((IF('AGOSTO 2026'!Y6:Y110&lt;&gt;"",'AGOSTO 2026'!Y6:Y110,'AGOSTO 2026'!I6:I110)="OCALLI")*('AGOSTO 2026'!K6:K110="PETROLEO")*'AGOSTO 2026'!M6:M110),0)</f>
        <v>0</v>
      </c>
      <c r="D1401" s="187" t="n">
        <f aca="false">IFERROR(SUMPRODUCT((IF('AGOSTO 2026'!Y6:Y110&lt;&gt;"",'AGOSTO 2026'!Y6:Y110,'AGOSTO 2026'!I6:I110)="OCALLI")*('AGOSTO 2026'!K6:K110="PETROLEO")*'AGOSTO 2026'!N6:N110),0)</f>
        <v>0</v>
      </c>
      <c r="E1401" s="187" t="n">
        <f aca="false">IFERROR(SUMPRODUCT((IF('AGOSTO 2026'!Y6:Y110&lt;&gt;"",'AGOSTO 2026'!Y6:Y110,'AGOSTO 2026'!I6:I110)="OCALLI")*('AGOSTO 2026'!K6:K110="GASOLINA")*'AGOSTO 2026'!M6:M110),0)</f>
        <v>0</v>
      </c>
      <c r="F1401" s="187" t="n">
        <f aca="false">IFERROR(SUMPRODUCT((IF('AGOSTO 2026'!Y6:Y110&lt;&gt;"",'AGOSTO 2026'!Y6:Y110,'AGOSTO 2026'!I6:I110)="OCALLI")*('AGOSTO 2026'!K6:K110="GASOLINA")*'AGOSTO 2026'!N6:N110),0)</f>
        <v>0</v>
      </c>
    </row>
    <row r="1402" customFormat="false" ht="15" hidden="false" customHeight="true" outlineLevel="0" collapsed="false">
      <c r="A1402" s="1" t="s">
        <v>66</v>
      </c>
      <c r="B1402" s="1" t="s">
        <v>5173</v>
      </c>
      <c r="C1402" s="187" t="n">
        <f aca="false">IFERROR(SUMPRODUCT((IF('SETIEMBRE 2026'!Y6:Y110&lt;&gt;"",'SETIEMBRE 2026'!Y6:Y110,'SETIEMBRE 2026'!I6:I110)="OCALLI")*('SETIEMBRE 2026'!K6:K110="PETROLEO")*'SETIEMBRE 2026'!M6:M110),0)</f>
        <v>0</v>
      </c>
      <c r="D1402" s="187" t="n">
        <f aca="false">IFERROR(SUMPRODUCT((IF('SETIEMBRE 2026'!Y6:Y110&lt;&gt;"",'SETIEMBRE 2026'!Y6:Y110,'SETIEMBRE 2026'!I6:I110)="OCALLI")*('SETIEMBRE 2026'!K6:K110="PETROLEO")*'SETIEMBRE 2026'!N6:N110),0)</f>
        <v>0</v>
      </c>
      <c r="E1402" s="187" t="n">
        <f aca="false">IFERROR(SUMPRODUCT((IF('SETIEMBRE 2026'!Y6:Y110&lt;&gt;"",'SETIEMBRE 2026'!Y6:Y110,'SETIEMBRE 2026'!I6:I110)="OCALLI")*('SETIEMBRE 2026'!K6:K110="GASOLINA")*'SETIEMBRE 2026'!M6:M110),0)</f>
        <v>0</v>
      </c>
      <c r="F1402" s="187" t="n">
        <f aca="false">IFERROR(SUMPRODUCT((IF('SETIEMBRE 2026'!Y6:Y110&lt;&gt;"",'SETIEMBRE 2026'!Y6:Y110,'SETIEMBRE 2026'!I6:I110)="OCALLI")*('SETIEMBRE 2026'!K6:K110="GASOLINA")*'SETIEMBRE 2026'!N6:N110),0)</f>
        <v>0</v>
      </c>
    </row>
    <row r="1403" customFormat="false" ht="15" hidden="false" customHeight="true" outlineLevel="0" collapsed="false">
      <c r="A1403" s="1" t="s">
        <v>66</v>
      </c>
      <c r="B1403" s="1" t="s">
        <v>5174</v>
      </c>
      <c r="C1403" s="187" t="n">
        <f aca="false">IFERROR(SUMPRODUCT((IF('OCTUBRE 2026'!Y6:Y110&lt;&gt;"",'OCTUBRE 2026'!Y6:Y110,'OCTUBRE 2026'!I6:I110)="OCALLI")*('OCTUBRE 2026'!K6:K110="PETROLEO")*'OCTUBRE 2026'!M6:M110),0)</f>
        <v>0</v>
      </c>
      <c r="D1403" s="187" t="n">
        <f aca="false">IFERROR(SUMPRODUCT((IF('OCTUBRE 2026'!Y6:Y110&lt;&gt;"",'OCTUBRE 2026'!Y6:Y110,'OCTUBRE 2026'!I6:I110)="OCALLI")*('OCTUBRE 2026'!K6:K110="PETROLEO")*'OCTUBRE 2026'!N6:N110),0)</f>
        <v>0</v>
      </c>
      <c r="E1403" s="187" t="n">
        <f aca="false">IFERROR(SUMPRODUCT((IF('OCTUBRE 2026'!Y6:Y110&lt;&gt;"",'OCTUBRE 2026'!Y6:Y110,'OCTUBRE 2026'!I6:I110)="OCALLI")*('OCTUBRE 2026'!K6:K110="GASOLINA")*'OCTUBRE 2026'!M6:M110),0)</f>
        <v>0</v>
      </c>
      <c r="F1403" s="187" t="n">
        <f aca="false">IFERROR(SUMPRODUCT((IF('OCTUBRE 2026'!Y6:Y110&lt;&gt;"",'OCTUBRE 2026'!Y6:Y110,'OCTUBRE 2026'!I6:I110)="OCALLI")*('OCTUBRE 2026'!K6:K110="GASOLINA")*'OCTUBRE 2026'!N6:N110),0)</f>
        <v>0</v>
      </c>
    </row>
    <row r="1404" customFormat="false" ht="15" hidden="false" customHeight="true" outlineLevel="0" collapsed="false">
      <c r="A1404" s="1" t="s">
        <v>66</v>
      </c>
      <c r="B1404" s="1" t="s">
        <v>5175</v>
      </c>
      <c r="C1404" s="187" t="n">
        <f aca="false">IFERROR(SUMPRODUCT((IF('NOVIEMBRE 2026'!Y6:Y110&lt;&gt;"",'NOVIEMBRE 2026'!Y6:Y110,'NOVIEMBRE 2026'!I6:I110)="OCALLI")*('NOVIEMBRE 2026'!K6:K110="PETROLEO")*'NOVIEMBRE 2026'!M6:M110),0)</f>
        <v>0</v>
      </c>
      <c r="D1404" s="187" t="n">
        <f aca="false">IFERROR(SUMPRODUCT((IF('NOVIEMBRE 2026'!Y6:Y110&lt;&gt;"",'NOVIEMBRE 2026'!Y6:Y110,'NOVIEMBRE 2026'!I6:I110)="OCALLI")*('NOVIEMBRE 2026'!K6:K110="PETROLEO")*'NOVIEMBRE 2026'!N6:N110),0)</f>
        <v>0</v>
      </c>
      <c r="E1404" s="187" t="n">
        <f aca="false">IFERROR(SUMPRODUCT((IF('NOVIEMBRE 2026'!Y6:Y110&lt;&gt;"",'NOVIEMBRE 2026'!Y6:Y110,'NOVIEMBRE 2026'!I6:I110)="OCALLI")*('NOVIEMBRE 2026'!K6:K110="GASOLINA")*'NOVIEMBRE 2026'!M6:M110),0)</f>
        <v>0</v>
      </c>
      <c r="F1404" s="187" t="n">
        <f aca="false">IFERROR(SUMPRODUCT((IF('NOVIEMBRE 2026'!Y6:Y110&lt;&gt;"",'NOVIEMBRE 2026'!Y6:Y110,'NOVIEMBRE 2026'!I6:I110)="OCALLI")*('NOVIEMBRE 2026'!K6:K110="GASOLINA")*'NOVIEMBRE 2026'!N6:N110),0)</f>
        <v>0</v>
      </c>
    </row>
    <row r="1405" customFormat="false" ht="15" hidden="false" customHeight="true" outlineLevel="0" collapsed="false">
      <c r="A1405" s="1" t="s">
        <v>66</v>
      </c>
      <c r="B1405" s="1" t="s">
        <v>5176</v>
      </c>
      <c r="C1405" s="187" t="n">
        <f aca="false">IFERROR(SUMPRODUCT((IF('DICIEMBRE 2026'!Y6:Y110&lt;&gt;"",'DICIEMBRE 2026'!Y6:Y110,'DICIEMBRE 2026'!I6:I110)="OCALLI")*('DICIEMBRE 2026'!K6:K110="PETROLEO")*'DICIEMBRE 2026'!M6:M110),0)</f>
        <v>0</v>
      </c>
      <c r="D1405" s="187" t="n">
        <f aca="false">IFERROR(SUMPRODUCT((IF('DICIEMBRE 2026'!Y6:Y110&lt;&gt;"",'DICIEMBRE 2026'!Y6:Y110,'DICIEMBRE 2026'!I6:I110)="OCALLI")*('DICIEMBRE 2026'!K6:K110="PETROLEO")*'DICIEMBRE 2026'!N6:N110),0)</f>
        <v>0</v>
      </c>
      <c r="E1405" s="187" t="n">
        <f aca="false">IFERROR(SUMPRODUCT((IF('DICIEMBRE 2026'!Y6:Y110&lt;&gt;"",'DICIEMBRE 2026'!Y6:Y110,'DICIEMBRE 2026'!I6:I110)="OCALLI")*('DICIEMBRE 2026'!K6:K110="GASOLINA")*'DICIEMBRE 2026'!M6:M110),0)</f>
        <v>0</v>
      </c>
      <c r="F1405" s="187" t="n">
        <f aca="false">IFERROR(SUMPRODUCT((IF('DICIEMBRE 2026'!Y6:Y110&lt;&gt;"",'DICIEMBRE 2026'!Y6:Y110,'DICIEMBRE 2026'!I6:I110)="OCALLI")*('DICIEMBRE 2026'!K6:K110="GASOLINA")*'DICIEMBRE 2026'!N6:N110),0)</f>
        <v>0</v>
      </c>
    </row>
    <row r="1406" customFormat="false" ht="15" hidden="false" customHeight="true" outlineLevel="0" collapsed="false">
      <c r="A1406" s="1" t="s">
        <v>68</v>
      </c>
      <c r="B1406" s="1" t="s">
        <v>5165</v>
      </c>
      <c r="C1406" s="187" t="n">
        <f aca="false">IFERROR(SUMPRODUCT((IF('ENERO 2026'!Y6:Y119&lt;&gt;"",'ENERO 2026'!Y6:Y119,'ENERO 2026'!I6:I119)="OMIA")*('ENERO 2026'!K6:K119="PETROLEO")*'ENERO 2026'!M6:M119),0)</f>
        <v>0</v>
      </c>
      <c r="D1406" s="187" t="n">
        <f aca="false">IFERROR(SUMPRODUCT((IF('ENERO 2026'!Y6:Y119&lt;&gt;"",'ENERO 2026'!Y6:Y119,'ENERO 2026'!I6:I119)="OMIA")*('ENERO 2026'!K6:K119="PETROLEO")*'ENERO 2026'!N6:N119),0)</f>
        <v>0</v>
      </c>
      <c r="E1406" s="187" t="n">
        <f aca="false">IFERROR(SUMPRODUCT((IF('ENERO 2026'!Y6:Y119&lt;&gt;"",'ENERO 2026'!Y6:Y119,'ENERO 2026'!I6:I119)="OMIA")*('ENERO 2026'!K6:K119="GASOLINA")*'ENERO 2026'!M6:M119),0)</f>
        <v>0</v>
      </c>
      <c r="F1406" s="187" t="n">
        <f aca="false">IFERROR(SUMPRODUCT((IF('ENERO 2026'!Y6:Y119&lt;&gt;"",'ENERO 2026'!Y6:Y119,'ENERO 2026'!I6:I119)="OMIA")*('ENERO 2026'!K6:K119="GASOLINA")*'ENERO 2026'!N6:N119),0)</f>
        <v>0</v>
      </c>
    </row>
    <row r="1407" customFormat="false" ht="15" hidden="false" customHeight="true" outlineLevel="0" collapsed="false">
      <c r="A1407" s="1" t="s">
        <v>68</v>
      </c>
      <c r="B1407" s="1" t="s">
        <v>5166</v>
      </c>
      <c r="C1407" s="187" t="n">
        <f aca="false">IFERROR(SUMPRODUCT((IF('FEBRERO 2026'!Y6:Y124&lt;&gt;"",'FEBRERO 2026'!Y6:Y124,'FEBRERO 2026'!I6:I124)="OMIA")*('FEBRERO 2026'!K6:K124="PETROLEO")*'FEBRERO 2026'!M6:M124),0)</f>
        <v>33</v>
      </c>
      <c r="D1407" s="187" t="n">
        <f aca="false">IFERROR(SUMPRODUCT((IF('FEBRERO 2026'!Y6:Y124&lt;&gt;"",'FEBRERO 2026'!Y6:Y124,'FEBRERO 2026'!I6:I124)="OMIA")*('FEBRERO 2026'!K6:K124="PETROLEO")*'FEBRERO 2026'!N6:N124),0)</f>
        <v>668.25</v>
      </c>
      <c r="E1407" s="187" t="n">
        <f aca="false">IFERROR(SUMPRODUCT((IF('FEBRERO 2026'!Y6:Y124&lt;&gt;"",'FEBRERO 2026'!Y6:Y124,'FEBRERO 2026'!I6:I124)="OMIA")*('FEBRERO 2026'!K6:K124="GASOLINA")*'FEBRERO 2026'!M6:M124),0)</f>
        <v>0</v>
      </c>
      <c r="F1407" s="187" t="n">
        <f aca="false">IFERROR(SUMPRODUCT((IF('FEBRERO 2026'!Y6:Y124&lt;&gt;"",'FEBRERO 2026'!Y6:Y124,'FEBRERO 2026'!I6:I124)="OMIA")*('FEBRERO 2026'!K6:K124="GASOLINA")*'FEBRERO 2026'!N6:N124),0)</f>
        <v>0</v>
      </c>
    </row>
    <row r="1408" customFormat="false" ht="15" hidden="false" customHeight="true" outlineLevel="0" collapsed="false">
      <c r="A1408" s="1" t="s">
        <v>68</v>
      </c>
      <c r="B1408" s="1" t="s">
        <v>5167</v>
      </c>
      <c r="C1408" s="187" t="n">
        <f aca="false">IFERROR(SUMPRODUCT((IF('MARZO 2026'!Y6:Y119&lt;&gt;"",'MARZO 2026'!Y6:Y119,'MARZO 2026'!I6:I119)="OMIA")*('MARZO 2026'!K6:K119="PETROLEO")*'MARZO 2026'!M6:M119),0)</f>
        <v>13</v>
      </c>
      <c r="D1408" s="187" t="n">
        <f aca="false">IFERROR(SUMPRODUCT((IF('MARZO 2026'!Y6:Y119&lt;&gt;"",'MARZO 2026'!Y6:Y119,'MARZO 2026'!I6:I119)="OMIA")*('MARZO 2026'!K6:K119="PETROLEO")*'MARZO 2026'!N6:N119),0)</f>
        <v>0</v>
      </c>
      <c r="E1408" s="187" t="n">
        <f aca="false">IFERROR(SUMPRODUCT((IF('MARZO 2026'!Y6:Y119&lt;&gt;"",'MARZO 2026'!Y6:Y119,'MARZO 2026'!I6:I119)="OMIA")*('MARZO 2026'!K6:K119="GASOLINA")*'MARZO 2026'!M6:M119),0)</f>
        <v>0</v>
      </c>
      <c r="F1408" s="187" t="n">
        <f aca="false">IFERROR(SUMPRODUCT((IF('MARZO 2026'!Y6:Y119&lt;&gt;"",'MARZO 2026'!Y6:Y119,'MARZO 2026'!I6:I119)="OMIA")*('MARZO 2026'!K6:K119="GASOLINA")*'MARZO 2026'!N6:N119),0)</f>
        <v>0</v>
      </c>
    </row>
    <row r="1409" customFormat="false" ht="15" hidden="false" customHeight="true" outlineLevel="0" collapsed="false">
      <c r="A1409" s="1" t="s">
        <v>68</v>
      </c>
      <c r="B1409" s="1" t="s">
        <v>5168</v>
      </c>
      <c r="C1409" s="187" t="n">
        <f aca="false">IFERROR(SUMPRODUCT((IF('ABRIL 2026'!Y6:Y119&lt;&gt;"",'ABRIL 2026'!Y6:Y119,'ABRIL 2026'!I6:I119)="OMIA")*('ABRIL 2026'!K6:K119="PETROLEO")*'ABRIL 2026'!M6:M119),0)</f>
        <v>0</v>
      </c>
      <c r="D1409" s="187" t="n">
        <f aca="false">IFERROR(SUMPRODUCT((IF('ABRIL 2026'!Y6:Y119&lt;&gt;"",'ABRIL 2026'!Y6:Y119,'ABRIL 2026'!I6:I119)="OMIA")*('ABRIL 2026'!K6:K119="PETROLEO")*'ABRIL 2026'!N6:N119),0)</f>
        <v>0</v>
      </c>
      <c r="E1409" s="187" t="n">
        <f aca="false">IFERROR(SUMPRODUCT((IF('ABRIL 2026'!Y6:Y119&lt;&gt;"",'ABRIL 2026'!Y6:Y119,'ABRIL 2026'!I6:I119)="OMIA")*('ABRIL 2026'!K6:K119="GASOLINA")*'ABRIL 2026'!M6:M119),0)</f>
        <v>0</v>
      </c>
      <c r="F1409" s="187" t="n">
        <f aca="false">IFERROR(SUMPRODUCT((IF('ABRIL 2026'!Y6:Y119&lt;&gt;"",'ABRIL 2026'!Y6:Y119,'ABRIL 2026'!I6:I119)="OMIA")*('ABRIL 2026'!K6:K119="GASOLINA")*'ABRIL 2026'!N6:N119),0)</f>
        <v>0</v>
      </c>
    </row>
    <row r="1410" customFormat="false" ht="15" hidden="false" customHeight="true" outlineLevel="0" collapsed="false">
      <c r="A1410" s="1" t="s">
        <v>68</v>
      </c>
      <c r="B1410" s="1" t="s">
        <v>5169</v>
      </c>
      <c r="C1410" s="187" t="n">
        <f aca="false">IFERROR(SUMPRODUCT((IF('MAYO 2026'!Y6:Y110&lt;&gt;"",'MAYO 2026'!Y6:Y110,'MAYO 2026'!I6:I110)="OMIA")*('MAYO 2026'!K6:K110="PETROLEO")*'MAYO 2026'!M6:M110),0)</f>
        <v>0</v>
      </c>
      <c r="D1410" s="187" t="n">
        <f aca="false">IFERROR(SUMPRODUCT((IF('MAYO 2026'!Y6:Y110&lt;&gt;"",'MAYO 2026'!Y6:Y110,'MAYO 2026'!I6:I110)="OMIA")*('MAYO 2026'!K6:K110="PETROLEO")*'MAYO 2026'!N6:N110),0)</f>
        <v>0</v>
      </c>
      <c r="E1410" s="187" t="n">
        <f aca="false">IFERROR(SUMPRODUCT((IF('MAYO 2026'!Y6:Y110&lt;&gt;"",'MAYO 2026'!Y6:Y110,'MAYO 2026'!I6:I110)="OMIA")*('MAYO 2026'!K6:K110="GASOLINA")*'MAYO 2026'!M6:M110),0)</f>
        <v>0</v>
      </c>
      <c r="F1410" s="187" t="n">
        <f aca="false">IFERROR(SUMPRODUCT((IF('MAYO 2026'!Y6:Y110&lt;&gt;"",'MAYO 2026'!Y6:Y110,'MAYO 2026'!I6:I110)="OMIA")*('MAYO 2026'!K6:K110="GASOLINA")*'MAYO 2026'!N6:N110),0)</f>
        <v>0</v>
      </c>
    </row>
    <row r="1411" customFormat="false" ht="15" hidden="false" customHeight="true" outlineLevel="0" collapsed="false">
      <c r="A1411" s="1" t="s">
        <v>68</v>
      </c>
      <c r="B1411" s="1" t="s">
        <v>5170</v>
      </c>
      <c r="C1411" s="187" t="n">
        <f aca="false">IFERROR(SUMPRODUCT((IF('JUNIO 2026'!Y6:Y110&lt;&gt;"",'JUNIO 2026'!Y6:Y110,'JUNIO 2026'!I6:I110)="OMIA")*('JUNIO 2026'!K6:K110="PETROLEO")*'JUNIO 2026'!M6:M110),0)</f>
        <v>0</v>
      </c>
      <c r="D1411" s="187" t="n">
        <f aca="false">IFERROR(SUMPRODUCT((IF('JUNIO 2026'!Y6:Y110&lt;&gt;"",'JUNIO 2026'!Y6:Y110,'JUNIO 2026'!I6:I110)="OMIA")*('JUNIO 2026'!K6:K110="PETROLEO")*'JUNIO 2026'!N6:N110),0)</f>
        <v>0</v>
      </c>
      <c r="E1411" s="187" t="n">
        <f aca="false">IFERROR(SUMPRODUCT((IF('JUNIO 2026'!Y6:Y110&lt;&gt;"",'JUNIO 2026'!Y6:Y110,'JUNIO 2026'!I6:I110)="OMIA")*('JUNIO 2026'!K6:K110="GASOLINA")*'JUNIO 2026'!M6:M110),0)</f>
        <v>0</v>
      </c>
      <c r="F1411" s="187" t="n">
        <f aca="false">IFERROR(SUMPRODUCT((IF('JUNIO 2026'!Y6:Y110&lt;&gt;"",'JUNIO 2026'!Y6:Y110,'JUNIO 2026'!I6:I110)="OMIA")*('JUNIO 2026'!K6:K110="GASOLINA")*'JUNIO 2026'!N6:N110),0)</f>
        <v>0</v>
      </c>
    </row>
    <row r="1412" customFormat="false" ht="15" hidden="false" customHeight="true" outlineLevel="0" collapsed="false">
      <c r="A1412" s="1" t="s">
        <v>68</v>
      </c>
      <c r="B1412" s="1" t="s">
        <v>5171</v>
      </c>
      <c r="C1412" s="187" t="n">
        <f aca="false">IFERROR(SUMPRODUCT((IF('JULIO 2026'!Y6:Y110&lt;&gt;"",'JULIO 2026'!Y6:Y110,'JULIO 2026'!I6:I110)="OMIA")*('JULIO 2026'!K6:K110="PETROLEO")*'JULIO 2026'!M6:M110),0)</f>
        <v>0</v>
      </c>
      <c r="D1412" s="187" t="n">
        <f aca="false">IFERROR(SUMPRODUCT((IF('JULIO 2026'!Y6:Y110&lt;&gt;"",'JULIO 2026'!Y6:Y110,'JULIO 2026'!I6:I110)="OMIA")*('JULIO 2026'!K6:K110="PETROLEO")*'JULIO 2026'!N6:N110),0)</f>
        <v>0</v>
      </c>
      <c r="E1412" s="187" t="n">
        <f aca="false">IFERROR(SUMPRODUCT((IF('JULIO 2026'!Y6:Y110&lt;&gt;"",'JULIO 2026'!Y6:Y110,'JULIO 2026'!I6:I110)="OMIA")*('JULIO 2026'!K6:K110="GASOLINA")*'JULIO 2026'!M6:M110),0)</f>
        <v>0</v>
      </c>
      <c r="F1412" s="187" t="n">
        <f aca="false">IFERROR(SUMPRODUCT((IF('JULIO 2026'!Y6:Y110&lt;&gt;"",'JULIO 2026'!Y6:Y110,'JULIO 2026'!I6:I110)="OMIA")*('JULIO 2026'!K6:K110="GASOLINA")*'JULIO 2026'!N6:N110),0)</f>
        <v>0</v>
      </c>
    </row>
    <row r="1413" customFormat="false" ht="15" hidden="false" customHeight="true" outlineLevel="0" collapsed="false">
      <c r="A1413" s="1" t="s">
        <v>68</v>
      </c>
      <c r="B1413" s="1" t="s">
        <v>5172</v>
      </c>
      <c r="C1413" s="187" t="n">
        <f aca="false">IFERROR(SUMPRODUCT((IF('AGOSTO 2026'!Y6:Y110&lt;&gt;"",'AGOSTO 2026'!Y6:Y110,'AGOSTO 2026'!I6:I110)="OMIA")*('AGOSTO 2026'!K6:K110="PETROLEO")*'AGOSTO 2026'!M6:M110),0)</f>
        <v>0</v>
      </c>
      <c r="D1413" s="187" t="n">
        <f aca="false">IFERROR(SUMPRODUCT((IF('AGOSTO 2026'!Y6:Y110&lt;&gt;"",'AGOSTO 2026'!Y6:Y110,'AGOSTO 2026'!I6:I110)="OMIA")*('AGOSTO 2026'!K6:K110="PETROLEO")*'AGOSTO 2026'!N6:N110),0)</f>
        <v>0</v>
      </c>
      <c r="E1413" s="187" t="n">
        <f aca="false">IFERROR(SUMPRODUCT((IF('AGOSTO 2026'!Y6:Y110&lt;&gt;"",'AGOSTO 2026'!Y6:Y110,'AGOSTO 2026'!I6:I110)="OMIA")*('AGOSTO 2026'!K6:K110="GASOLINA")*'AGOSTO 2026'!M6:M110),0)</f>
        <v>0</v>
      </c>
      <c r="F1413" s="187" t="n">
        <f aca="false">IFERROR(SUMPRODUCT((IF('AGOSTO 2026'!Y6:Y110&lt;&gt;"",'AGOSTO 2026'!Y6:Y110,'AGOSTO 2026'!I6:I110)="OMIA")*('AGOSTO 2026'!K6:K110="GASOLINA")*'AGOSTO 2026'!N6:N110),0)</f>
        <v>0</v>
      </c>
    </row>
    <row r="1414" customFormat="false" ht="15" hidden="false" customHeight="true" outlineLevel="0" collapsed="false">
      <c r="A1414" s="1" t="s">
        <v>68</v>
      </c>
      <c r="B1414" s="1" t="s">
        <v>5173</v>
      </c>
      <c r="C1414" s="187" t="n">
        <f aca="false">IFERROR(SUMPRODUCT((IF('SETIEMBRE 2026'!Y6:Y110&lt;&gt;"",'SETIEMBRE 2026'!Y6:Y110,'SETIEMBRE 2026'!I6:I110)="OMIA")*('SETIEMBRE 2026'!K6:K110="PETROLEO")*'SETIEMBRE 2026'!M6:M110),0)</f>
        <v>0</v>
      </c>
      <c r="D1414" s="187" t="n">
        <f aca="false">IFERROR(SUMPRODUCT((IF('SETIEMBRE 2026'!Y6:Y110&lt;&gt;"",'SETIEMBRE 2026'!Y6:Y110,'SETIEMBRE 2026'!I6:I110)="OMIA")*('SETIEMBRE 2026'!K6:K110="PETROLEO")*'SETIEMBRE 2026'!N6:N110),0)</f>
        <v>0</v>
      </c>
      <c r="E1414" s="187" t="n">
        <f aca="false">IFERROR(SUMPRODUCT((IF('SETIEMBRE 2026'!Y6:Y110&lt;&gt;"",'SETIEMBRE 2026'!Y6:Y110,'SETIEMBRE 2026'!I6:I110)="OMIA")*('SETIEMBRE 2026'!K6:K110="GASOLINA")*'SETIEMBRE 2026'!M6:M110),0)</f>
        <v>0</v>
      </c>
      <c r="F1414" s="187" t="n">
        <f aca="false">IFERROR(SUMPRODUCT((IF('SETIEMBRE 2026'!Y6:Y110&lt;&gt;"",'SETIEMBRE 2026'!Y6:Y110,'SETIEMBRE 2026'!I6:I110)="OMIA")*('SETIEMBRE 2026'!K6:K110="GASOLINA")*'SETIEMBRE 2026'!N6:N110),0)</f>
        <v>0</v>
      </c>
    </row>
    <row r="1415" customFormat="false" ht="15" hidden="false" customHeight="true" outlineLevel="0" collapsed="false">
      <c r="A1415" s="1" t="s">
        <v>68</v>
      </c>
      <c r="B1415" s="1" t="s">
        <v>5174</v>
      </c>
      <c r="C1415" s="187" t="n">
        <f aca="false">IFERROR(SUMPRODUCT((IF('OCTUBRE 2026'!Y6:Y110&lt;&gt;"",'OCTUBRE 2026'!Y6:Y110,'OCTUBRE 2026'!I6:I110)="OMIA")*('OCTUBRE 2026'!K6:K110="PETROLEO")*'OCTUBRE 2026'!M6:M110),0)</f>
        <v>0</v>
      </c>
      <c r="D1415" s="187" t="n">
        <f aca="false">IFERROR(SUMPRODUCT((IF('OCTUBRE 2026'!Y6:Y110&lt;&gt;"",'OCTUBRE 2026'!Y6:Y110,'OCTUBRE 2026'!I6:I110)="OMIA")*('OCTUBRE 2026'!K6:K110="PETROLEO")*'OCTUBRE 2026'!N6:N110),0)</f>
        <v>0</v>
      </c>
      <c r="E1415" s="187" t="n">
        <f aca="false">IFERROR(SUMPRODUCT((IF('OCTUBRE 2026'!Y6:Y110&lt;&gt;"",'OCTUBRE 2026'!Y6:Y110,'OCTUBRE 2026'!I6:I110)="OMIA")*('OCTUBRE 2026'!K6:K110="GASOLINA")*'OCTUBRE 2026'!M6:M110),0)</f>
        <v>0</v>
      </c>
      <c r="F1415" s="187" t="n">
        <f aca="false">IFERROR(SUMPRODUCT((IF('OCTUBRE 2026'!Y6:Y110&lt;&gt;"",'OCTUBRE 2026'!Y6:Y110,'OCTUBRE 2026'!I6:I110)="OMIA")*('OCTUBRE 2026'!K6:K110="GASOLINA")*'OCTUBRE 2026'!N6:N110),0)</f>
        <v>0</v>
      </c>
    </row>
    <row r="1416" customFormat="false" ht="15" hidden="false" customHeight="true" outlineLevel="0" collapsed="false">
      <c r="A1416" s="1" t="s">
        <v>68</v>
      </c>
      <c r="B1416" s="1" t="s">
        <v>5175</v>
      </c>
      <c r="C1416" s="187" t="n">
        <f aca="false">IFERROR(SUMPRODUCT((IF('NOVIEMBRE 2026'!Y6:Y110&lt;&gt;"",'NOVIEMBRE 2026'!Y6:Y110,'NOVIEMBRE 2026'!I6:I110)="OMIA")*('NOVIEMBRE 2026'!K6:K110="PETROLEO")*'NOVIEMBRE 2026'!M6:M110),0)</f>
        <v>0</v>
      </c>
      <c r="D1416" s="187" t="n">
        <f aca="false">IFERROR(SUMPRODUCT((IF('NOVIEMBRE 2026'!Y6:Y110&lt;&gt;"",'NOVIEMBRE 2026'!Y6:Y110,'NOVIEMBRE 2026'!I6:I110)="OMIA")*('NOVIEMBRE 2026'!K6:K110="PETROLEO")*'NOVIEMBRE 2026'!N6:N110),0)</f>
        <v>0</v>
      </c>
      <c r="E1416" s="187" t="n">
        <f aca="false">IFERROR(SUMPRODUCT((IF('NOVIEMBRE 2026'!Y6:Y110&lt;&gt;"",'NOVIEMBRE 2026'!Y6:Y110,'NOVIEMBRE 2026'!I6:I110)="OMIA")*('NOVIEMBRE 2026'!K6:K110="GASOLINA")*'NOVIEMBRE 2026'!M6:M110),0)</f>
        <v>0</v>
      </c>
      <c r="F1416" s="187" t="n">
        <f aca="false">IFERROR(SUMPRODUCT((IF('NOVIEMBRE 2026'!Y6:Y110&lt;&gt;"",'NOVIEMBRE 2026'!Y6:Y110,'NOVIEMBRE 2026'!I6:I110)="OMIA")*('NOVIEMBRE 2026'!K6:K110="GASOLINA")*'NOVIEMBRE 2026'!N6:N110),0)</f>
        <v>0</v>
      </c>
    </row>
    <row r="1417" customFormat="false" ht="15" hidden="false" customHeight="true" outlineLevel="0" collapsed="false">
      <c r="A1417" s="1" t="s">
        <v>68</v>
      </c>
      <c r="B1417" s="1" t="s">
        <v>5176</v>
      </c>
      <c r="C1417" s="187" t="n">
        <f aca="false">IFERROR(SUMPRODUCT((IF('DICIEMBRE 2026'!Y6:Y110&lt;&gt;"",'DICIEMBRE 2026'!Y6:Y110,'DICIEMBRE 2026'!I6:I110)="OMIA")*('DICIEMBRE 2026'!K6:K110="PETROLEO")*'DICIEMBRE 2026'!M6:M110),0)</f>
        <v>0</v>
      </c>
      <c r="D1417" s="187" t="n">
        <f aca="false">IFERROR(SUMPRODUCT((IF('DICIEMBRE 2026'!Y6:Y110&lt;&gt;"",'DICIEMBRE 2026'!Y6:Y110,'DICIEMBRE 2026'!I6:I110)="OMIA")*('DICIEMBRE 2026'!K6:K110="PETROLEO")*'DICIEMBRE 2026'!N6:N110),0)</f>
        <v>0</v>
      </c>
      <c r="E1417" s="187" t="n">
        <f aca="false">IFERROR(SUMPRODUCT((IF('DICIEMBRE 2026'!Y6:Y110&lt;&gt;"",'DICIEMBRE 2026'!Y6:Y110,'DICIEMBRE 2026'!I6:I110)="OMIA")*('DICIEMBRE 2026'!K6:K110="GASOLINA")*'DICIEMBRE 2026'!M6:M110),0)</f>
        <v>0</v>
      </c>
      <c r="F1417" s="187" t="n">
        <f aca="false">IFERROR(SUMPRODUCT((IF('DICIEMBRE 2026'!Y6:Y110&lt;&gt;"",'DICIEMBRE 2026'!Y6:Y110,'DICIEMBRE 2026'!I6:I110)="OMIA")*('DICIEMBRE 2026'!K6:K110="GASOLINA")*'DICIEMBRE 2026'!N6:N110),0)</f>
        <v>0</v>
      </c>
    </row>
    <row r="1418" customFormat="false" ht="15" hidden="false" customHeight="true" outlineLevel="0" collapsed="false">
      <c r="A1418" s="1" t="s">
        <v>70</v>
      </c>
      <c r="B1418" s="1" t="s">
        <v>5165</v>
      </c>
      <c r="C1418" s="187" t="n">
        <f aca="false">IFERROR(SUMPRODUCT((IF('ENERO 2026'!Y6:Y119&lt;&gt;"",'ENERO 2026'!Y6:Y119,'ENERO 2026'!I6:I119)="PEDRO RUIZ GALLO")*('ENERO 2026'!K6:K119="PETROLEO")*'ENERO 2026'!M6:M119),0)</f>
        <v>35</v>
      </c>
      <c r="D1418" s="187" t="n">
        <f aca="false">IFERROR(SUMPRODUCT((IF('ENERO 2026'!Y6:Y119&lt;&gt;"",'ENERO 2026'!Y6:Y119,'ENERO 2026'!I6:I119)="PEDRO RUIZ GALLO")*('ENERO 2026'!K6:K119="PETROLEO")*'ENERO 2026'!N6:N119),0)</f>
        <v>0</v>
      </c>
      <c r="E1418" s="187" t="n">
        <f aca="false">IFERROR(SUMPRODUCT((IF('ENERO 2026'!Y6:Y119&lt;&gt;"",'ENERO 2026'!Y6:Y119,'ENERO 2026'!I6:I119)="PEDRO RUIZ GALLO")*('ENERO 2026'!K6:K119="GASOLINA")*'ENERO 2026'!M6:M119),0)</f>
        <v>12</v>
      </c>
      <c r="F1418" s="187" t="n">
        <f aca="false">IFERROR(SUMPRODUCT((IF('ENERO 2026'!Y6:Y119&lt;&gt;"",'ENERO 2026'!Y6:Y119,'ENERO 2026'!I6:I119)="PEDRO RUIZ GALLO")*('ENERO 2026'!K6:K119="GASOLINA")*'ENERO 2026'!N6:N119),0)</f>
        <v>0</v>
      </c>
    </row>
    <row r="1419" customFormat="false" ht="15" hidden="false" customHeight="true" outlineLevel="0" collapsed="false">
      <c r="A1419" s="1" t="s">
        <v>70</v>
      </c>
      <c r="B1419" s="1" t="s">
        <v>5166</v>
      </c>
      <c r="C1419" s="187" t="n">
        <f aca="false">IFERROR(SUMPRODUCT((IF('FEBRERO 2026'!Y6:Y124&lt;&gt;"",'FEBRERO 2026'!Y6:Y124,'FEBRERO 2026'!I6:I124)="PEDRO RUIZ GALLO")*('FEBRERO 2026'!K6:K124="PETROLEO")*'FEBRERO 2026'!M6:M124),0)</f>
        <v>61</v>
      </c>
      <c r="D1419" s="187" t="n">
        <f aca="false">IFERROR(SUMPRODUCT((IF('FEBRERO 2026'!Y6:Y124&lt;&gt;"",'FEBRERO 2026'!Y6:Y124,'FEBRERO 2026'!I6:I124)="PEDRO RUIZ GALLO")*('FEBRERO 2026'!K6:K124="PETROLEO")*'FEBRERO 2026'!N6:N124),0)</f>
        <v>1107.6</v>
      </c>
      <c r="E1419" s="187" t="n">
        <f aca="false">IFERROR(SUMPRODUCT((IF('FEBRERO 2026'!Y6:Y124&lt;&gt;"",'FEBRERO 2026'!Y6:Y124,'FEBRERO 2026'!I6:I124)="PEDRO RUIZ GALLO")*('FEBRERO 2026'!K6:K124="GASOLINA")*'FEBRERO 2026'!M6:M124),0)</f>
        <v>18</v>
      </c>
      <c r="F1419" s="187" t="n">
        <f aca="false">IFERROR(SUMPRODUCT((IF('FEBRERO 2026'!Y6:Y124&lt;&gt;"",'FEBRERO 2026'!Y6:Y124,'FEBRERO 2026'!I6:I124)="PEDRO RUIZ GALLO")*('FEBRERO 2026'!K6:K124="GASOLINA")*'FEBRERO 2026'!N6:N124),0)</f>
        <v>323.1</v>
      </c>
    </row>
    <row r="1420" customFormat="false" ht="15" hidden="false" customHeight="true" outlineLevel="0" collapsed="false">
      <c r="A1420" s="1" t="s">
        <v>70</v>
      </c>
      <c r="B1420" s="1" t="s">
        <v>5167</v>
      </c>
      <c r="C1420" s="187" t="n">
        <f aca="false">IFERROR(SUMPRODUCT((IF('MARZO 2026'!Y6:Y119&lt;&gt;"",'MARZO 2026'!Y6:Y119,'MARZO 2026'!I6:I119)="PEDRO RUIZ GALLO")*('MARZO 2026'!K6:K119="PETROLEO")*'MARZO 2026'!M6:M119),0)</f>
        <v>20</v>
      </c>
      <c r="D1420" s="187" t="n">
        <f aca="false">IFERROR(SUMPRODUCT((IF('MARZO 2026'!Y6:Y119&lt;&gt;"",'MARZO 2026'!Y6:Y119,'MARZO 2026'!I6:I119)="PEDRO RUIZ GALLO")*('MARZO 2026'!K6:K119="PETROLEO")*'MARZO 2026'!N6:N119),0)</f>
        <v>0</v>
      </c>
      <c r="E1420" s="187" t="n">
        <f aca="false">IFERROR(SUMPRODUCT((IF('MARZO 2026'!Y6:Y119&lt;&gt;"",'MARZO 2026'!Y6:Y119,'MARZO 2026'!I6:I119)="PEDRO RUIZ GALLO")*('MARZO 2026'!K6:K119="GASOLINA")*'MARZO 2026'!M6:M119),0)</f>
        <v>24</v>
      </c>
      <c r="F1420" s="187" t="n">
        <f aca="false">IFERROR(SUMPRODUCT((IF('MARZO 2026'!Y6:Y119&lt;&gt;"",'MARZO 2026'!Y6:Y119,'MARZO 2026'!I6:I119)="PEDRO RUIZ GALLO")*('MARZO 2026'!K6:K119="GASOLINA")*'MARZO 2026'!N6:N119),0)</f>
        <v>0</v>
      </c>
    </row>
    <row r="1421" customFormat="false" ht="15" hidden="false" customHeight="true" outlineLevel="0" collapsed="false">
      <c r="A1421" s="1" t="s">
        <v>70</v>
      </c>
      <c r="B1421" s="1" t="s">
        <v>5168</v>
      </c>
      <c r="C1421" s="187" t="n">
        <f aca="false">IFERROR(SUMPRODUCT((IF('ABRIL 2026'!Y6:Y119&lt;&gt;"",'ABRIL 2026'!Y6:Y119,'ABRIL 2026'!I6:I119)="PEDRO RUIZ GALLO")*('ABRIL 2026'!K6:K119="PETROLEO")*'ABRIL 2026'!M6:M119),0)</f>
        <v>0</v>
      </c>
      <c r="D1421" s="187" t="n">
        <f aca="false">IFERROR(SUMPRODUCT((IF('ABRIL 2026'!Y6:Y119&lt;&gt;"",'ABRIL 2026'!Y6:Y119,'ABRIL 2026'!I6:I119)="PEDRO RUIZ GALLO")*('ABRIL 2026'!K6:K119="PETROLEO")*'ABRIL 2026'!N6:N119),0)</f>
        <v>0</v>
      </c>
      <c r="E1421" s="187" t="n">
        <f aca="false">IFERROR(SUMPRODUCT((IF('ABRIL 2026'!Y6:Y119&lt;&gt;"",'ABRIL 2026'!Y6:Y119,'ABRIL 2026'!I6:I119)="PEDRO RUIZ GALLO")*('ABRIL 2026'!K6:K119="GASOLINA")*'ABRIL 2026'!M6:M119),0)</f>
        <v>0</v>
      </c>
      <c r="F1421" s="187" t="n">
        <f aca="false">IFERROR(SUMPRODUCT((IF('ABRIL 2026'!Y6:Y119&lt;&gt;"",'ABRIL 2026'!Y6:Y119,'ABRIL 2026'!I6:I119)="PEDRO RUIZ GALLO")*('ABRIL 2026'!K6:K119="GASOLINA")*'ABRIL 2026'!N6:N119),0)</f>
        <v>0</v>
      </c>
    </row>
    <row r="1422" customFormat="false" ht="15" hidden="false" customHeight="true" outlineLevel="0" collapsed="false">
      <c r="A1422" s="1" t="s">
        <v>70</v>
      </c>
      <c r="B1422" s="1" t="s">
        <v>5169</v>
      </c>
      <c r="C1422" s="187" t="n">
        <f aca="false">IFERROR(SUMPRODUCT((IF('MAYO 2026'!Y6:Y110&lt;&gt;"",'MAYO 2026'!Y6:Y110,'MAYO 2026'!I6:I110)="PEDRO RUIZ GALLO")*('MAYO 2026'!K6:K110="PETROLEO")*'MAYO 2026'!M6:M110),0)</f>
        <v>0</v>
      </c>
      <c r="D1422" s="187" t="n">
        <f aca="false">IFERROR(SUMPRODUCT((IF('MAYO 2026'!Y6:Y110&lt;&gt;"",'MAYO 2026'!Y6:Y110,'MAYO 2026'!I6:I110)="PEDRO RUIZ GALLO")*('MAYO 2026'!K6:K110="PETROLEO")*'MAYO 2026'!N6:N110),0)</f>
        <v>0</v>
      </c>
      <c r="E1422" s="187" t="n">
        <f aca="false">IFERROR(SUMPRODUCT((IF('MAYO 2026'!Y6:Y110&lt;&gt;"",'MAYO 2026'!Y6:Y110,'MAYO 2026'!I6:I110)="PEDRO RUIZ GALLO")*('MAYO 2026'!K6:K110="GASOLINA")*'MAYO 2026'!M6:M110),0)</f>
        <v>0</v>
      </c>
      <c r="F1422" s="187" t="n">
        <f aca="false">IFERROR(SUMPRODUCT((IF('MAYO 2026'!Y6:Y110&lt;&gt;"",'MAYO 2026'!Y6:Y110,'MAYO 2026'!I6:I110)="PEDRO RUIZ GALLO")*('MAYO 2026'!K6:K110="GASOLINA")*'MAYO 2026'!N6:N110),0)</f>
        <v>0</v>
      </c>
    </row>
    <row r="1423" customFormat="false" ht="15" hidden="false" customHeight="true" outlineLevel="0" collapsed="false">
      <c r="A1423" s="1" t="s">
        <v>70</v>
      </c>
      <c r="B1423" s="1" t="s">
        <v>5170</v>
      </c>
      <c r="C1423" s="187" t="n">
        <f aca="false">IFERROR(SUMPRODUCT((IF('JUNIO 2026'!Y6:Y110&lt;&gt;"",'JUNIO 2026'!Y6:Y110,'JUNIO 2026'!I6:I110)="PEDRO RUIZ GALLO")*('JUNIO 2026'!K6:K110="PETROLEO")*'JUNIO 2026'!M6:M110),0)</f>
        <v>0</v>
      </c>
      <c r="D1423" s="187" t="n">
        <f aca="false">IFERROR(SUMPRODUCT((IF('JUNIO 2026'!Y6:Y110&lt;&gt;"",'JUNIO 2026'!Y6:Y110,'JUNIO 2026'!I6:I110)="PEDRO RUIZ GALLO")*('JUNIO 2026'!K6:K110="PETROLEO")*'JUNIO 2026'!N6:N110),0)</f>
        <v>0</v>
      </c>
      <c r="E1423" s="187" t="n">
        <f aca="false">IFERROR(SUMPRODUCT((IF('JUNIO 2026'!Y6:Y110&lt;&gt;"",'JUNIO 2026'!Y6:Y110,'JUNIO 2026'!I6:I110)="PEDRO RUIZ GALLO")*('JUNIO 2026'!K6:K110="GASOLINA")*'JUNIO 2026'!M6:M110),0)</f>
        <v>0</v>
      </c>
      <c r="F1423" s="187" t="n">
        <f aca="false">IFERROR(SUMPRODUCT((IF('JUNIO 2026'!Y6:Y110&lt;&gt;"",'JUNIO 2026'!Y6:Y110,'JUNIO 2026'!I6:I110)="PEDRO RUIZ GALLO")*('JUNIO 2026'!K6:K110="GASOLINA")*'JUNIO 2026'!N6:N110),0)</f>
        <v>0</v>
      </c>
    </row>
    <row r="1424" customFormat="false" ht="15" hidden="false" customHeight="true" outlineLevel="0" collapsed="false">
      <c r="A1424" s="1" t="s">
        <v>70</v>
      </c>
      <c r="B1424" s="1" t="s">
        <v>5171</v>
      </c>
      <c r="C1424" s="187" t="n">
        <f aca="false">IFERROR(SUMPRODUCT((IF('JULIO 2026'!Y6:Y110&lt;&gt;"",'JULIO 2026'!Y6:Y110,'JULIO 2026'!I6:I110)="PEDRO RUIZ GALLO")*('JULIO 2026'!K6:K110="PETROLEO")*'JULIO 2026'!M6:M110),0)</f>
        <v>0</v>
      </c>
      <c r="D1424" s="187" t="n">
        <f aca="false">IFERROR(SUMPRODUCT((IF('JULIO 2026'!Y6:Y110&lt;&gt;"",'JULIO 2026'!Y6:Y110,'JULIO 2026'!I6:I110)="PEDRO RUIZ GALLO")*('JULIO 2026'!K6:K110="PETROLEO")*'JULIO 2026'!N6:N110),0)</f>
        <v>0</v>
      </c>
      <c r="E1424" s="187" t="n">
        <f aca="false">IFERROR(SUMPRODUCT((IF('JULIO 2026'!Y6:Y110&lt;&gt;"",'JULIO 2026'!Y6:Y110,'JULIO 2026'!I6:I110)="PEDRO RUIZ GALLO")*('JULIO 2026'!K6:K110="GASOLINA")*'JULIO 2026'!M6:M110),0)</f>
        <v>0</v>
      </c>
      <c r="F1424" s="187" t="n">
        <f aca="false">IFERROR(SUMPRODUCT((IF('JULIO 2026'!Y6:Y110&lt;&gt;"",'JULIO 2026'!Y6:Y110,'JULIO 2026'!I6:I110)="PEDRO RUIZ GALLO")*('JULIO 2026'!K6:K110="GASOLINA")*'JULIO 2026'!N6:N110),0)</f>
        <v>0</v>
      </c>
    </row>
    <row r="1425" customFormat="false" ht="15" hidden="false" customHeight="true" outlineLevel="0" collapsed="false">
      <c r="A1425" s="1" t="s">
        <v>70</v>
      </c>
      <c r="B1425" s="1" t="s">
        <v>5172</v>
      </c>
      <c r="C1425" s="187" t="n">
        <f aca="false">IFERROR(SUMPRODUCT((IF('AGOSTO 2026'!Y6:Y110&lt;&gt;"",'AGOSTO 2026'!Y6:Y110,'AGOSTO 2026'!I6:I110)="PEDRO RUIZ GALLO")*('AGOSTO 2026'!K6:K110="PETROLEO")*'AGOSTO 2026'!M6:M110),0)</f>
        <v>0</v>
      </c>
      <c r="D1425" s="187" t="n">
        <f aca="false">IFERROR(SUMPRODUCT((IF('AGOSTO 2026'!Y6:Y110&lt;&gt;"",'AGOSTO 2026'!Y6:Y110,'AGOSTO 2026'!I6:I110)="PEDRO RUIZ GALLO")*('AGOSTO 2026'!K6:K110="PETROLEO")*'AGOSTO 2026'!N6:N110),0)</f>
        <v>0</v>
      </c>
      <c r="E1425" s="187" t="n">
        <f aca="false">IFERROR(SUMPRODUCT((IF('AGOSTO 2026'!Y6:Y110&lt;&gt;"",'AGOSTO 2026'!Y6:Y110,'AGOSTO 2026'!I6:I110)="PEDRO RUIZ GALLO")*('AGOSTO 2026'!K6:K110="GASOLINA")*'AGOSTO 2026'!M6:M110),0)</f>
        <v>0</v>
      </c>
      <c r="F1425" s="187" t="n">
        <f aca="false">IFERROR(SUMPRODUCT((IF('AGOSTO 2026'!Y6:Y110&lt;&gt;"",'AGOSTO 2026'!Y6:Y110,'AGOSTO 2026'!I6:I110)="PEDRO RUIZ GALLO")*('AGOSTO 2026'!K6:K110="GASOLINA")*'AGOSTO 2026'!N6:N110),0)</f>
        <v>0</v>
      </c>
    </row>
    <row r="1426" customFormat="false" ht="15" hidden="false" customHeight="true" outlineLevel="0" collapsed="false">
      <c r="A1426" s="1" t="s">
        <v>70</v>
      </c>
      <c r="B1426" s="1" t="s">
        <v>5173</v>
      </c>
      <c r="C1426" s="187" t="n">
        <f aca="false">IFERROR(SUMPRODUCT((IF('SETIEMBRE 2026'!Y6:Y110&lt;&gt;"",'SETIEMBRE 2026'!Y6:Y110,'SETIEMBRE 2026'!I6:I110)="PEDRO RUIZ GALLO")*('SETIEMBRE 2026'!K6:K110="PETROLEO")*'SETIEMBRE 2026'!M6:M110),0)</f>
        <v>0</v>
      </c>
      <c r="D1426" s="187" t="n">
        <f aca="false">IFERROR(SUMPRODUCT((IF('SETIEMBRE 2026'!Y6:Y110&lt;&gt;"",'SETIEMBRE 2026'!Y6:Y110,'SETIEMBRE 2026'!I6:I110)="PEDRO RUIZ GALLO")*('SETIEMBRE 2026'!K6:K110="PETROLEO")*'SETIEMBRE 2026'!N6:N110),0)</f>
        <v>0</v>
      </c>
      <c r="E1426" s="187" t="n">
        <f aca="false">IFERROR(SUMPRODUCT((IF('SETIEMBRE 2026'!Y6:Y110&lt;&gt;"",'SETIEMBRE 2026'!Y6:Y110,'SETIEMBRE 2026'!I6:I110)="PEDRO RUIZ GALLO")*('SETIEMBRE 2026'!K6:K110="GASOLINA")*'SETIEMBRE 2026'!M6:M110),0)</f>
        <v>0</v>
      </c>
      <c r="F1426" s="187" t="n">
        <f aca="false">IFERROR(SUMPRODUCT((IF('SETIEMBRE 2026'!Y6:Y110&lt;&gt;"",'SETIEMBRE 2026'!Y6:Y110,'SETIEMBRE 2026'!I6:I110)="PEDRO RUIZ GALLO")*('SETIEMBRE 2026'!K6:K110="GASOLINA")*'SETIEMBRE 2026'!N6:N110),0)</f>
        <v>0</v>
      </c>
    </row>
    <row r="1427" customFormat="false" ht="15" hidden="false" customHeight="true" outlineLevel="0" collapsed="false">
      <c r="A1427" s="1" t="s">
        <v>70</v>
      </c>
      <c r="B1427" s="1" t="s">
        <v>5174</v>
      </c>
      <c r="C1427" s="187" t="n">
        <f aca="false">IFERROR(SUMPRODUCT((IF('OCTUBRE 2026'!Y6:Y110&lt;&gt;"",'OCTUBRE 2026'!Y6:Y110,'OCTUBRE 2026'!I6:I110)="PEDRO RUIZ GALLO")*('OCTUBRE 2026'!K6:K110="PETROLEO")*'OCTUBRE 2026'!M6:M110),0)</f>
        <v>0</v>
      </c>
      <c r="D1427" s="187" t="n">
        <f aca="false">IFERROR(SUMPRODUCT((IF('OCTUBRE 2026'!Y6:Y110&lt;&gt;"",'OCTUBRE 2026'!Y6:Y110,'OCTUBRE 2026'!I6:I110)="PEDRO RUIZ GALLO")*('OCTUBRE 2026'!K6:K110="PETROLEO")*'OCTUBRE 2026'!N6:N110),0)</f>
        <v>0</v>
      </c>
      <c r="E1427" s="187" t="n">
        <f aca="false">IFERROR(SUMPRODUCT((IF('OCTUBRE 2026'!Y6:Y110&lt;&gt;"",'OCTUBRE 2026'!Y6:Y110,'OCTUBRE 2026'!I6:I110)="PEDRO RUIZ GALLO")*('OCTUBRE 2026'!K6:K110="GASOLINA")*'OCTUBRE 2026'!M6:M110),0)</f>
        <v>0</v>
      </c>
      <c r="F1427" s="187" t="n">
        <f aca="false">IFERROR(SUMPRODUCT((IF('OCTUBRE 2026'!Y6:Y110&lt;&gt;"",'OCTUBRE 2026'!Y6:Y110,'OCTUBRE 2026'!I6:I110)="PEDRO RUIZ GALLO")*('OCTUBRE 2026'!K6:K110="GASOLINA")*'OCTUBRE 2026'!N6:N110),0)</f>
        <v>0</v>
      </c>
    </row>
    <row r="1428" customFormat="false" ht="15" hidden="false" customHeight="true" outlineLevel="0" collapsed="false">
      <c r="A1428" s="1" t="s">
        <v>70</v>
      </c>
      <c r="B1428" s="1" t="s">
        <v>5175</v>
      </c>
      <c r="C1428" s="187" t="n">
        <f aca="false">IFERROR(SUMPRODUCT((IF('NOVIEMBRE 2026'!Y6:Y110&lt;&gt;"",'NOVIEMBRE 2026'!Y6:Y110,'NOVIEMBRE 2026'!I6:I110)="PEDRO RUIZ GALLO")*('NOVIEMBRE 2026'!K6:K110="PETROLEO")*'NOVIEMBRE 2026'!M6:M110),0)</f>
        <v>0</v>
      </c>
      <c r="D1428" s="187" t="n">
        <f aca="false">IFERROR(SUMPRODUCT((IF('NOVIEMBRE 2026'!Y6:Y110&lt;&gt;"",'NOVIEMBRE 2026'!Y6:Y110,'NOVIEMBRE 2026'!I6:I110)="PEDRO RUIZ GALLO")*('NOVIEMBRE 2026'!K6:K110="PETROLEO")*'NOVIEMBRE 2026'!N6:N110),0)</f>
        <v>0</v>
      </c>
      <c r="E1428" s="187" t="n">
        <f aca="false">IFERROR(SUMPRODUCT((IF('NOVIEMBRE 2026'!Y6:Y110&lt;&gt;"",'NOVIEMBRE 2026'!Y6:Y110,'NOVIEMBRE 2026'!I6:I110)="PEDRO RUIZ GALLO")*('NOVIEMBRE 2026'!K6:K110="GASOLINA")*'NOVIEMBRE 2026'!M6:M110),0)</f>
        <v>0</v>
      </c>
      <c r="F1428" s="187" t="n">
        <f aca="false">IFERROR(SUMPRODUCT((IF('NOVIEMBRE 2026'!Y6:Y110&lt;&gt;"",'NOVIEMBRE 2026'!Y6:Y110,'NOVIEMBRE 2026'!I6:I110)="PEDRO RUIZ GALLO")*('NOVIEMBRE 2026'!K6:K110="GASOLINA")*'NOVIEMBRE 2026'!N6:N110),0)</f>
        <v>0</v>
      </c>
    </row>
    <row r="1429" customFormat="false" ht="15" hidden="false" customHeight="true" outlineLevel="0" collapsed="false">
      <c r="A1429" s="1" t="s">
        <v>70</v>
      </c>
      <c r="B1429" s="1" t="s">
        <v>5176</v>
      </c>
      <c r="C1429" s="187" t="n">
        <f aca="false">IFERROR(SUMPRODUCT((IF('DICIEMBRE 2026'!Y6:Y110&lt;&gt;"",'DICIEMBRE 2026'!Y6:Y110,'DICIEMBRE 2026'!I6:I110)="PEDRO RUIZ GALLO")*('DICIEMBRE 2026'!K6:K110="PETROLEO")*'DICIEMBRE 2026'!M6:M110),0)</f>
        <v>0</v>
      </c>
      <c r="D1429" s="187" t="n">
        <f aca="false">IFERROR(SUMPRODUCT((IF('DICIEMBRE 2026'!Y6:Y110&lt;&gt;"",'DICIEMBRE 2026'!Y6:Y110,'DICIEMBRE 2026'!I6:I110)="PEDRO RUIZ GALLO")*('DICIEMBRE 2026'!K6:K110="PETROLEO")*'DICIEMBRE 2026'!N6:N110),0)</f>
        <v>0</v>
      </c>
      <c r="E1429" s="187" t="n">
        <f aca="false">IFERROR(SUMPRODUCT((IF('DICIEMBRE 2026'!Y6:Y110&lt;&gt;"",'DICIEMBRE 2026'!Y6:Y110,'DICIEMBRE 2026'!I6:I110)="PEDRO RUIZ GALLO")*('DICIEMBRE 2026'!K6:K110="GASOLINA")*'DICIEMBRE 2026'!M6:M110),0)</f>
        <v>0</v>
      </c>
      <c r="F1429" s="187" t="n">
        <f aca="false">IFERROR(SUMPRODUCT((IF('DICIEMBRE 2026'!Y6:Y110&lt;&gt;"",'DICIEMBRE 2026'!Y6:Y110,'DICIEMBRE 2026'!I6:I110)="PEDRO RUIZ GALLO")*('DICIEMBRE 2026'!K6:K110="GASOLINA")*'DICIEMBRE 2026'!N6:N110),0)</f>
        <v>0</v>
      </c>
    </row>
    <row r="1430" customFormat="false" ht="15" hidden="false" customHeight="true" outlineLevel="0" collapsed="false">
      <c r="A1430" s="1" t="s">
        <v>72</v>
      </c>
      <c r="B1430" s="1" t="s">
        <v>5165</v>
      </c>
      <c r="C1430" s="187" t="n">
        <f aca="false">IFERROR(SUMPRODUCT((IF('ENERO 2026'!Y6:Y119&lt;&gt;"",'ENERO 2026'!Y6:Y119,'ENERO 2026'!I6:I119)="POMACOCHAS")*('ENERO 2026'!K6:K119="PETROLEO")*'ENERO 2026'!M6:M119),0)</f>
        <v>66</v>
      </c>
      <c r="D1430" s="187" t="n">
        <f aca="false">IFERROR(SUMPRODUCT((IF('ENERO 2026'!Y6:Y119&lt;&gt;"",'ENERO 2026'!Y6:Y119,'ENERO 2026'!I6:I119)="POMACOCHAS")*('ENERO 2026'!K6:K119="PETROLEO")*'ENERO 2026'!N6:N119),0)</f>
        <v>0</v>
      </c>
      <c r="E1430" s="187" t="n">
        <f aca="false">IFERROR(SUMPRODUCT((IF('ENERO 2026'!Y6:Y119&lt;&gt;"",'ENERO 2026'!Y6:Y119,'ENERO 2026'!I6:I119)="POMACOCHAS")*('ENERO 2026'!K6:K119="GASOLINA")*'ENERO 2026'!M6:M119),0)</f>
        <v>0</v>
      </c>
      <c r="F1430" s="187" t="n">
        <f aca="false">IFERROR(SUMPRODUCT((IF('ENERO 2026'!Y6:Y119&lt;&gt;"",'ENERO 2026'!Y6:Y119,'ENERO 2026'!I6:I119)="POMACOCHAS")*('ENERO 2026'!K6:K119="GASOLINA")*'ENERO 2026'!N6:N119),0)</f>
        <v>0</v>
      </c>
    </row>
    <row r="1431" customFormat="false" ht="15" hidden="false" customHeight="true" outlineLevel="0" collapsed="false">
      <c r="A1431" s="1" t="s">
        <v>72</v>
      </c>
      <c r="B1431" s="1" t="s">
        <v>5166</v>
      </c>
      <c r="C1431" s="187" t="n">
        <f aca="false">IFERROR(SUMPRODUCT((IF('FEBRERO 2026'!Y6:Y124&lt;&gt;"",'FEBRERO 2026'!Y6:Y124,'FEBRERO 2026'!I6:I124)="POMACOCHAS")*('FEBRERO 2026'!K6:K124="PETROLEO")*'FEBRERO 2026'!M6:M124),0)</f>
        <v>66</v>
      </c>
      <c r="D1431" s="187" t="n">
        <f aca="false">IFERROR(SUMPRODUCT((IF('FEBRERO 2026'!Y6:Y124&lt;&gt;"",'FEBRERO 2026'!Y6:Y124,'FEBRERO 2026'!I6:I124)="POMACOCHAS")*('FEBRERO 2026'!K6:K124="PETROLEO")*'FEBRERO 2026'!N6:N124),0)</f>
        <v>1199.88</v>
      </c>
      <c r="E1431" s="187" t="n">
        <f aca="false">IFERROR(SUMPRODUCT((IF('FEBRERO 2026'!Y6:Y124&lt;&gt;"",'FEBRERO 2026'!Y6:Y124,'FEBRERO 2026'!I6:I124)="POMACOCHAS")*('FEBRERO 2026'!K6:K124="GASOLINA")*'FEBRERO 2026'!M6:M124),0)</f>
        <v>0</v>
      </c>
      <c r="F1431" s="187" t="n">
        <f aca="false">IFERROR(SUMPRODUCT((IF('FEBRERO 2026'!Y6:Y124&lt;&gt;"",'FEBRERO 2026'!Y6:Y124,'FEBRERO 2026'!I6:I124)="POMACOCHAS")*('FEBRERO 2026'!K6:K124="GASOLINA")*'FEBRERO 2026'!N6:N124),0)</f>
        <v>0</v>
      </c>
    </row>
    <row r="1432" customFormat="false" ht="15" hidden="false" customHeight="true" outlineLevel="0" collapsed="false">
      <c r="A1432" s="1" t="s">
        <v>72</v>
      </c>
      <c r="B1432" s="1" t="s">
        <v>5167</v>
      </c>
      <c r="C1432" s="187" t="n">
        <f aca="false">IFERROR(SUMPRODUCT((IF('MARZO 2026'!Y6:Y119&lt;&gt;"",'MARZO 2026'!Y6:Y119,'MARZO 2026'!I6:I119)="POMACOCHAS")*('MARZO 2026'!K6:K119="PETROLEO")*'MARZO 2026'!M6:M119),0)</f>
        <v>30</v>
      </c>
      <c r="D1432" s="187" t="n">
        <f aca="false">IFERROR(SUMPRODUCT((IF('MARZO 2026'!Y6:Y119&lt;&gt;"",'MARZO 2026'!Y6:Y119,'MARZO 2026'!I6:I119)="POMACOCHAS")*('MARZO 2026'!K6:K119="PETROLEO")*'MARZO 2026'!N6:N119),0)</f>
        <v>0</v>
      </c>
      <c r="E1432" s="187" t="n">
        <f aca="false">IFERROR(SUMPRODUCT((IF('MARZO 2026'!Y6:Y119&lt;&gt;"",'MARZO 2026'!Y6:Y119,'MARZO 2026'!I6:I119)="POMACOCHAS")*('MARZO 2026'!K6:K119="GASOLINA")*'MARZO 2026'!M6:M119),0)</f>
        <v>11</v>
      </c>
      <c r="F1432" s="187" t="n">
        <f aca="false">IFERROR(SUMPRODUCT((IF('MARZO 2026'!Y6:Y119&lt;&gt;"",'MARZO 2026'!Y6:Y119,'MARZO 2026'!I6:I119)="POMACOCHAS")*('MARZO 2026'!K6:K119="GASOLINA")*'MARZO 2026'!N6:N119),0)</f>
        <v>0</v>
      </c>
    </row>
    <row r="1433" customFormat="false" ht="15" hidden="false" customHeight="true" outlineLevel="0" collapsed="false">
      <c r="A1433" s="1" t="s">
        <v>72</v>
      </c>
      <c r="B1433" s="1" t="s">
        <v>5168</v>
      </c>
      <c r="C1433" s="187" t="n">
        <f aca="false">IFERROR(SUMPRODUCT((IF('ABRIL 2026'!Y6:Y119&lt;&gt;"",'ABRIL 2026'!Y6:Y119,'ABRIL 2026'!I6:I119)="POMACOCHAS")*('ABRIL 2026'!K6:K119="PETROLEO")*'ABRIL 2026'!M6:M119),0)</f>
        <v>0</v>
      </c>
      <c r="D1433" s="187" t="n">
        <f aca="false">IFERROR(SUMPRODUCT((IF('ABRIL 2026'!Y6:Y119&lt;&gt;"",'ABRIL 2026'!Y6:Y119,'ABRIL 2026'!I6:I119)="POMACOCHAS")*('ABRIL 2026'!K6:K119="PETROLEO")*'ABRIL 2026'!N6:N119),0)</f>
        <v>0</v>
      </c>
      <c r="E1433" s="187" t="n">
        <f aca="false">IFERROR(SUMPRODUCT((IF('ABRIL 2026'!Y6:Y119&lt;&gt;"",'ABRIL 2026'!Y6:Y119,'ABRIL 2026'!I6:I119)="POMACOCHAS")*('ABRIL 2026'!K6:K119="GASOLINA")*'ABRIL 2026'!M6:M119),0)</f>
        <v>0</v>
      </c>
      <c r="F1433" s="187" t="n">
        <f aca="false">IFERROR(SUMPRODUCT((IF('ABRIL 2026'!Y6:Y119&lt;&gt;"",'ABRIL 2026'!Y6:Y119,'ABRIL 2026'!I6:I119)="POMACOCHAS")*('ABRIL 2026'!K6:K119="GASOLINA")*'ABRIL 2026'!N6:N119),0)</f>
        <v>0</v>
      </c>
    </row>
    <row r="1434" customFormat="false" ht="15" hidden="false" customHeight="true" outlineLevel="0" collapsed="false">
      <c r="A1434" s="1" t="s">
        <v>72</v>
      </c>
      <c r="B1434" s="1" t="s">
        <v>5169</v>
      </c>
      <c r="C1434" s="187" t="n">
        <f aca="false">IFERROR(SUMPRODUCT((IF('MAYO 2026'!Y6:Y110&lt;&gt;"",'MAYO 2026'!Y6:Y110,'MAYO 2026'!I6:I110)="POMACOCHAS")*('MAYO 2026'!K6:K110="PETROLEO")*'MAYO 2026'!M6:M110),0)</f>
        <v>0</v>
      </c>
      <c r="D1434" s="187" t="n">
        <f aca="false">IFERROR(SUMPRODUCT((IF('MAYO 2026'!Y6:Y110&lt;&gt;"",'MAYO 2026'!Y6:Y110,'MAYO 2026'!I6:I110)="POMACOCHAS")*('MAYO 2026'!K6:K110="PETROLEO")*'MAYO 2026'!N6:N110),0)</f>
        <v>0</v>
      </c>
      <c r="E1434" s="187" t="n">
        <f aca="false">IFERROR(SUMPRODUCT((IF('MAYO 2026'!Y6:Y110&lt;&gt;"",'MAYO 2026'!Y6:Y110,'MAYO 2026'!I6:I110)="POMACOCHAS")*('MAYO 2026'!K6:K110="GASOLINA")*'MAYO 2026'!M6:M110),0)</f>
        <v>0</v>
      </c>
      <c r="F1434" s="187" t="n">
        <f aca="false">IFERROR(SUMPRODUCT((IF('MAYO 2026'!Y6:Y110&lt;&gt;"",'MAYO 2026'!Y6:Y110,'MAYO 2026'!I6:I110)="POMACOCHAS")*('MAYO 2026'!K6:K110="GASOLINA")*'MAYO 2026'!N6:N110),0)</f>
        <v>0</v>
      </c>
    </row>
    <row r="1435" customFormat="false" ht="15" hidden="false" customHeight="true" outlineLevel="0" collapsed="false">
      <c r="A1435" s="1" t="s">
        <v>72</v>
      </c>
      <c r="B1435" s="1" t="s">
        <v>5170</v>
      </c>
      <c r="C1435" s="187" t="n">
        <f aca="false">IFERROR(SUMPRODUCT((IF('JUNIO 2026'!Y6:Y110&lt;&gt;"",'JUNIO 2026'!Y6:Y110,'JUNIO 2026'!I6:I110)="POMACOCHAS")*('JUNIO 2026'!K6:K110="PETROLEO")*'JUNIO 2026'!M6:M110),0)</f>
        <v>0</v>
      </c>
      <c r="D1435" s="187" t="n">
        <f aca="false">IFERROR(SUMPRODUCT((IF('JUNIO 2026'!Y6:Y110&lt;&gt;"",'JUNIO 2026'!Y6:Y110,'JUNIO 2026'!I6:I110)="POMACOCHAS")*('JUNIO 2026'!K6:K110="PETROLEO")*'JUNIO 2026'!N6:N110),0)</f>
        <v>0</v>
      </c>
      <c r="E1435" s="187" t="n">
        <f aca="false">IFERROR(SUMPRODUCT((IF('JUNIO 2026'!Y6:Y110&lt;&gt;"",'JUNIO 2026'!Y6:Y110,'JUNIO 2026'!I6:I110)="POMACOCHAS")*('JUNIO 2026'!K6:K110="GASOLINA")*'JUNIO 2026'!M6:M110),0)</f>
        <v>0</v>
      </c>
      <c r="F1435" s="187" t="n">
        <f aca="false">IFERROR(SUMPRODUCT((IF('JUNIO 2026'!Y6:Y110&lt;&gt;"",'JUNIO 2026'!Y6:Y110,'JUNIO 2026'!I6:I110)="POMACOCHAS")*('JUNIO 2026'!K6:K110="GASOLINA")*'JUNIO 2026'!N6:N110),0)</f>
        <v>0</v>
      </c>
    </row>
    <row r="1436" customFormat="false" ht="15" hidden="false" customHeight="true" outlineLevel="0" collapsed="false">
      <c r="A1436" s="1" t="s">
        <v>72</v>
      </c>
      <c r="B1436" s="1" t="s">
        <v>5171</v>
      </c>
      <c r="C1436" s="187" t="n">
        <f aca="false">IFERROR(SUMPRODUCT((IF('JULIO 2026'!Y6:Y110&lt;&gt;"",'JULIO 2026'!Y6:Y110,'JULIO 2026'!I6:I110)="POMACOCHAS")*('JULIO 2026'!K6:K110="PETROLEO")*'JULIO 2026'!M6:M110),0)</f>
        <v>0</v>
      </c>
      <c r="D1436" s="187" t="n">
        <f aca="false">IFERROR(SUMPRODUCT((IF('JULIO 2026'!Y6:Y110&lt;&gt;"",'JULIO 2026'!Y6:Y110,'JULIO 2026'!I6:I110)="POMACOCHAS")*('JULIO 2026'!K6:K110="PETROLEO")*'JULIO 2026'!N6:N110),0)</f>
        <v>0</v>
      </c>
      <c r="E1436" s="187" t="n">
        <f aca="false">IFERROR(SUMPRODUCT((IF('JULIO 2026'!Y6:Y110&lt;&gt;"",'JULIO 2026'!Y6:Y110,'JULIO 2026'!I6:I110)="POMACOCHAS")*('JULIO 2026'!K6:K110="GASOLINA")*'JULIO 2026'!M6:M110),0)</f>
        <v>0</v>
      </c>
      <c r="F1436" s="187" t="n">
        <f aca="false">IFERROR(SUMPRODUCT((IF('JULIO 2026'!Y6:Y110&lt;&gt;"",'JULIO 2026'!Y6:Y110,'JULIO 2026'!I6:I110)="POMACOCHAS")*('JULIO 2026'!K6:K110="GASOLINA")*'JULIO 2026'!N6:N110),0)</f>
        <v>0</v>
      </c>
    </row>
    <row r="1437" customFormat="false" ht="15" hidden="false" customHeight="true" outlineLevel="0" collapsed="false">
      <c r="A1437" s="1" t="s">
        <v>72</v>
      </c>
      <c r="B1437" s="1" t="s">
        <v>5172</v>
      </c>
      <c r="C1437" s="187" t="n">
        <f aca="false">IFERROR(SUMPRODUCT((IF('AGOSTO 2026'!Y6:Y110&lt;&gt;"",'AGOSTO 2026'!Y6:Y110,'AGOSTO 2026'!I6:I110)="POMACOCHAS")*('AGOSTO 2026'!K6:K110="PETROLEO")*'AGOSTO 2026'!M6:M110),0)</f>
        <v>0</v>
      </c>
      <c r="D1437" s="187" t="n">
        <f aca="false">IFERROR(SUMPRODUCT((IF('AGOSTO 2026'!Y6:Y110&lt;&gt;"",'AGOSTO 2026'!Y6:Y110,'AGOSTO 2026'!I6:I110)="POMACOCHAS")*('AGOSTO 2026'!K6:K110="PETROLEO")*'AGOSTO 2026'!N6:N110),0)</f>
        <v>0</v>
      </c>
      <c r="E1437" s="187" t="n">
        <f aca="false">IFERROR(SUMPRODUCT((IF('AGOSTO 2026'!Y6:Y110&lt;&gt;"",'AGOSTO 2026'!Y6:Y110,'AGOSTO 2026'!I6:I110)="POMACOCHAS")*('AGOSTO 2026'!K6:K110="GASOLINA")*'AGOSTO 2026'!M6:M110),0)</f>
        <v>0</v>
      </c>
      <c r="F1437" s="187" t="n">
        <f aca="false">IFERROR(SUMPRODUCT((IF('AGOSTO 2026'!Y6:Y110&lt;&gt;"",'AGOSTO 2026'!Y6:Y110,'AGOSTO 2026'!I6:I110)="POMACOCHAS")*('AGOSTO 2026'!K6:K110="GASOLINA")*'AGOSTO 2026'!N6:N110),0)</f>
        <v>0</v>
      </c>
    </row>
    <row r="1438" customFormat="false" ht="15" hidden="false" customHeight="true" outlineLevel="0" collapsed="false">
      <c r="A1438" s="1" t="s">
        <v>72</v>
      </c>
      <c r="B1438" s="1" t="s">
        <v>5173</v>
      </c>
      <c r="C1438" s="187" t="n">
        <f aca="false">IFERROR(SUMPRODUCT((IF('SETIEMBRE 2026'!Y6:Y110&lt;&gt;"",'SETIEMBRE 2026'!Y6:Y110,'SETIEMBRE 2026'!I6:I110)="POMACOCHAS")*('SETIEMBRE 2026'!K6:K110="PETROLEO")*'SETIEMBRE 2026'!M6:M110),0)</f>
        <v>0</v>
      </c>
      <c r="D1438" s="187" t="n">
        <f aca="false">IFERROR(SUMPRODUCT((IF('SETIEMBRE 2026'!Y6:Y110&lt;&gt;"",'SETIEMBRE 2026'!Y6:Y110,'SETIEMBRE 2026'!I6:I110)="POMACOCHAS")*('SETIEMBRE 2026'!K6:K110="PETROLEO")*'SETIEMBRE 2026'!N6:N110),0)</f>
        <v>0</v>
      </c>
      <c r="E1438" s="187" t="n">
        <f aca="false">IFERROR(SUMPRODUCT((IF('SETIEMBRE 2026'!Y6:Y110&lt;&gt;"",'SETIEMBRE 2026'!Y6:Y110,'SETIEMBRE 2026'!I6:I110)="POMACOCHAS")*('SETIEMBRE 2026'!K6:K110="GASOLINA")*'SETIEMBRE 2026'!M6:M110),0)</f>
        <v>0</v>
      </c>
      <c r="F1438" s="187" t="n">
        <f aca="false">IFERROR(SUMPRODUCT((IF('SETIEMBRE 2026'!Y6:Y110&lt;&gt;"",'SETIEMBRE 2026'!Y6:Y110,'SETIEMBRE 2026'!I6:I110)="POMACOCHAS")*('SETIEMBRE 2026'!K6:K110="GASOLINA")*'SETIEMBRE 2026'!N6:N110),0)</f>
        <v>0</v>
      </c>
    </row>
    <row r="1439" customFormat="false" ht="15" hidden="false" customHeight="true" outlineLevel="0" collapsed="false">
      <c r="A1439" s="1" t="s">
        <v>72</v>
      </c>
      <c r="B1439" s="1" t="s">
        <v>5174</v>
      </c>
      <c r="C1439" s="187" t="n">
        <f aca="false">IFERROR(SUMPRODUCT((IF('OCTUBRE 2026'!Y6:Y110&lt;&gt;"",'OCTUBRE 2026'!Y6:Y110,'OCTUBRE 2026'!I6:I110)="POMACOCHAS")*('OCTUBRE 2026'!K6:K110="PETROLEO")*'OCTUBRE 2026'!M6:M110),0)</f>
        <v>0</v>
      </c>
      <c r="D1439" s="187" t="n">
        <f aca="false">IFERROR(SUMPRODUCT((IF('OCTUBRE 2026'!Y6:Y110&lt;&gt;"",'OCTUBRE 2026'!Y6:Y110,'OCTUBRE 2026'!I6:I110)="POMACOCHAS")*('OCTUBRE 2026'!K6:K110="PETROLEO")*'OCTUBRE 2026'!N6:N110),0)</f>
        <v>0</v>
      </c>
      <c r="E1439" s="187" t="n">
        <f aca="false">IFERROR(SUMPRODUCT((IF('OCTUBRE 2026'!Y6:Y110&lt;&gt;"",'OCTUBRE 2026'!Y6:Y110,'OCTUBRE 2026'!I6:I110)="POMACOCHAS")*('OCTUBRE 2026'!K6:K110="GASOLINA")*'OCTUBRE 2026'!M6:M110),0)</f>
        <v>0</v>
      </c>
      <c r="F1439" s="187" t="n">
        <f aca="false">IFERROR(SUMPRODUCT((IF('OCTUBRE 2026'!Y6:Y110&lt;&gt;"",'OCTUBRE 2026'!Y6:Y110,'OCTUBRE 2026'!I6:I110)="POMACOCHAS")*('OCTUBRE 2026'!K6:K110="GASOLINA")*'OCTUBRE 2026'!N6:N110),0)</f>
        <v>0</v>
      </c>
    </row>
    <row r="1440" customFormat="false" ht="15" hidden="false" customHeight="true" outlineLevel="0" collapsed="false">
      <c r="A1440" s="1" t="s">
        <v>72</v>
      </c>
      <c r="B1440" s="1" t="s">
        <v>5175</v>
      </c>
      <c r="C1440" s="187" t="n">
        <f aca="false">IFERROR(SUMPRODUCT((IF('NOVIEMBRE 2026'!Y6:Y110&lt;&gt;"",'NOVIEMBRE 2026'!Y6:Y110,'NOVIEMBRE 2026'!I6:I110)="POMACOCHAS")*('NOVIEMBRE 2026'!K6:K110="PETROLEO")*'NOVIEMBRE 2026'!M6:M110),0)</f>
        <v>0</v>
      </c>
      <c r="D1440" s="187" t="n">
        <f aca="false">IFERROR(SUMPRODUCT((IF('NOVIEMBRE 2026'!Y6:Y110&lt;&gt;"",'NOVIEMBRE 2026'!Y6:Y110,'NOVIEMBRE 2026'!I6:I110)="POMACOCHAS")*('NOVIEMBRE 2026'!K6:K110="PETROLEO")*'NOVIEMBRE 2026'!N6:N110),0)</f>
        <v>0</v>
      </c>
      <c r="E1440" s="187" t="n">
        <f aca="false">IFERROR(SUMPRODUCT((IF('NOVIEMBRE 2026'!Y6:Y110&lt;&gt;"",'NOVIEMBRE 2026'!Y6:Y110,'NOVIEMBRE 2026'!I6:I110)="POMACOCHAS")*('NOVIEMBRE 2026'!K6:K110="GASOLINA")*'NOVIEMBRE 2026'!M6:M110),0)</f>
        <v>0</v>
      </c>
      <c r="F1440" s="187" t="n">
        <f aca="false">IFERROR(SUMPRODUCT((IF('NOVIEMBRE 2026'!Y6:Y110&lt;&gt;"",'NOVIEMBRE 2026'!Y6:Y110,'NOVIEMBRE 2026'!I6:I110)="POMACOCHAS")*('NOVIEMBRE 2026'!K6:K110="GASOLINA")*'NOVIEMBRE 2026'!N6:N110),0)</f>
        <v>0</v>
      </c>
    </row>
    <row r="1441" customFormat="false" ht="15" hidden="false" customHeight="true" outlineLevel="0" collapsed="false">
      <c r="A1441" s="1" t="s">
        <v>72</v>
      </c>
      <c r="B1441" s="1" t="s">
        <v>5176</v>
      </c>
      <c r="C1441" s="187" t="n">
        <f aca="false">IFERROR(SUMPRODUCT((IF('DICIEMBRE 2026'!Y6:Y110&lt;&gt;"",'DICIEMBRE 2026'!Y6:Y110,'DICIEMBRE 2026'!I6:I110)="POMACOCHAS")*('DICIEMBRE 2026'!K6:K110="PETROLEO")*'DICIEMBRE 2026'!M6:M110),0)</f>
        <v>0</v>
      </c>
      <c r="D1441" s="187" t="n">
        <f aca="false">IFERROR(SUMPRODUCT((IF('DICIEMBRE 2026'!Y6:Y110&lt;&gt;"",'DICIEMBRE 2026'!Y6:Y110,'DICIEMBRE 2026'!I6:I110)="POMACOCHAS")*('DICIEMBRE 2026'!K6:K110="PETROLEO")*'DICIEMBRE 2026'!N6:N110),0)</f>
        <v>0</v>
      </c>
      <c r="E1441" s="187" t="n">
        <f aca="false">IFERROR(SUMPRODUCT((IF('DICIEMBRE 2026'!Y6:Y110&lt;&gt;"",'DICIEMBRE 2026'!Y6:Y110,'DICIEMBRE 2026'!I6:I110)="POMACOCHAS")*('DICIEMBRE 2026'!K6:K110="GASOLINA")*'DICIEMBRE 2026'!M6:M110),0)</f>
        <v>0</v>
      </c>
      <c r="F1441" s="187" t="n">
        <f aca="false">IFERROR(SUMPRODUCT((IF('DICIEMBRE 2026'!Y6:Y110&lt;&gt;"",'DICIEMBRE 2026'!Y6:Y110,'DICIEMBRE 2026'!I6:I110)="POMACOCHAS")*('DICIEMBRE 2026'!K6:K110="GASOLINA")*'DICIEMBRE 2026'!N6:N110),0)</f>
        <v>0</v>
      </c>
    </row>
    <row r="1442" customFormat="false" ht="15" hidden="false" customHeight="true" outlineLevel="0" collapsed="false">
      <c r="A1442" s="1" t="s">
        <v>262</v>
      </c>
      <c r="B1442" s="1" t="s">
        <v>5165</v>
      </c>
      <c r="C1442" s="187" t="n">
        <f aca="false">IFERROR(SUMPRODUCT((IF('ENERO 2026'!Y6:Y119&lt;&gt;"",'ENERO 2026'!Y6:Y119,'ENERO 2026'!I6:I119)="SALAZAR")*('ENERO 2026'!K6:K119="PETROLEO")*'ENERO 2026'!M6:M119),0)</f>
        <v>0</v>
      </c>
      <c r="D1442" s="187" t="n">
        <f aca="false">IFERROR(SUMPRODUCT((IF('ENERO 2026'!Y6:Y119&lt;&gt;"",'ENERO 2026'!Y6:Y119,'ENERO 2026'!I6:I119)="SALAZAR")*('ENERO 2026'!K6:K119="PETROLEO")*'ENERO 2026'!N6:N119),0)</f>
        <v>0</v>
      </c>
      <c r="E1442" s="187" t="n">
        <f aca="false">IFERROR(SUMPRODUCT((IF('ENERO 2026'!Y6:Y119&lt;&gt;"",'ENERO 2026'!Y6:Y119,'ENERO 2026'!I6:I119)="SALAZAR")*('ENERO 2026'!K6:K119="GASOLINA")*'ENERO 2026'!M6:M119),0)</f>
        <v>0</v>
      </c>
      <c r="F1442" s="187" t="n">
        <f aca="false">IFERROR(SUMPRODUCT((IF('ENERO 2026'!Y6:Y119&lt;&gt;"",'ENERO 2026'!Y6:Y119,'ENERO 2026'!I6:I119)="SALAZAR")*('ENERO 2026'!K6:K119="GASOLINA")*'ENERO 2026'!N6:N119),0)</f>
        <v>0</v>
      </c>
    </row>
    <row r="1443" customFormat="false" ht="15" hidden="false" customHeight="true" outlineLevel="0" collapsed="false">
      <c r="A1443" s="1" t="s">
        <v>262</v>
      </c>
      <c r="B1443" s="1" t="s">
        <v>5166</v>
      </c>
      <c r="C1443" s="187" t="n">
        <f aca="false">IFERROR(SUMPRODUCT((IF('FEBRERO 2026'!Y6:Y124&lt;&gt;"",'FEBRERO 2026'!Y6:Y124,'FEBRERO 2026'!I6:I124)="SALAZAR")*('FEBRERO 2026'!K6:K124="PETROLEO")*'FEBRERO 2026'!M6:M124),0)</f>
        <v>0</v>
      </c>
      <c r="D1443" s="187" t="n">
        <f aca="false">IFERROR(SUMPRODUCT((IF('FEBRERO 2026'!Y6:Y124&lt;&gt;"",'FEBRERO 2026'!Y6:Y124,'FEBRERO 2026'!I6:I124)="SALAZAR")*('FEBRERO 2026'!K6:K124="PETROLEO")*'FEBRERO 2026'!N6:N124),0)</f>
        <v>0</v>
      </c>
      <c r="E1443" s="187" t="n">
        <f aca="false">IFERROR(SUMPRODUCT((IF('FEBRERO 2026'!Y6:Y124&lt;&gt;"",'FEBRERO 2026'!Y6:Y124,'FEBRERO 2026'!I6:I124)="SALAZAR")*('FEBRERO 2026'!K6:K124="GASOLINA")*'FEBRERO 2026'!M6:M124),0)</f>
        <v>84</v>
      </c>
      <c r="F1443" s="187" t="n">
        <f aca="false">IFERROR(SUMPRODUCT((IF('FEBRERO 2026'!Y6:Y124&lt;&gt;"",'FEBRERO 2026'!Y6:Y124,'FEBRERO 2026'!I6:I124)="SALAZAR")*('FEBRERO 2026'!K6:K124="GASOLINA")*'FEBRERO 2026'!N6:N124),0)</f>
        <v>1507.8</v>
      </c>
    </row>
    <row r="1444" customFormat="false" ht="15" hidden="false" customHeight="true" outlineLevel="0" collapsed="false">
      <c r="A1444" s="1" t="s">
        <v>262</v>
      </c>
      <c r="B1444" s="1" t="s">
        <v>5167</v>
      </c>
      <c r="C1444" s="187" t="n">
        <f aca="false">IFERROR(SUMPRODUCT((IF('MARZO 2026'!Y6:Y119&lt;&gt;"",'MARZO 2026'!Y6:Y119,'MARZO 2026'!I6:I119)="SALAZAR")*('MARZO 2026'!K6:K119="PETROLEO")*'MARZO 2026'!M6:M119),0)</f>
        <v>0</v>
      </c>
      <c r="D1444" s="187" t="n">
        <f aca="false">IFERROR(SUMPRODUCT((IF('MARZO 2026'!Y6:Y119&lt;&gt;"",'MARZO 2026'!Y6:Y119,'MARZO 2026'!I6:I119)="SALAZAR")*('MARZO 2026'!K6:K119="PETROLEO")*'MARZO 2026'!N6:N119),0)</f>
        <v>0</v>
      </c>
      <c r="E1444" s="187" t="n">
        <f aca="false">IFERROR(SUMPRODUCT((IF('MARZO 2026'!Y6:Y119&lt;&gt;"",'MARZO 2026'!Y6:Y119,'MARZO 2026'!I6:I119)="SALAZAR")*('MARZO 2026'!K6:K119="GASOLINA")*'MARZO 2026'!M6:M119),0)</f>
        <v>0</v>
      </c>
      <c r="F1444" s="187" t="n">
        <f aca="false">IFERROR(SUMPRODUCT((IF('MARZO 2026'!Y6:Y119&lt;&gt;"",'MARZO 2026'!Y6:Y119,'MARZO 2026'!I6:I119)="SALAZAR")*('MARZO 2026'!K6:K119="GASOLINA")*'MARZO 2026'!N6:N119),0)</f>
        <v>0</v>
      </c>
    </row>
    <row r="1445" customFormat="false" ht="15" hidden="false" customHeight="true" outlineLevel="0" collapsed="false">
      <c r="A1445" s="1" t="s">
        <v>262</v>
      </c>
      <c r="B1445" s="1" t="s">
        <v>5168</v>
      </c>
      <c r="C1445" s="187" t="n">
        <f aca="false">IFERROR(SUMPRODUCT((IF('ABRIL 2026'!Y6:Y119&lt;&gt;"",'ABRIL 2026'!Y6:Y119,'ABRIL 2026'!I6:I119)="SALAZAR")*('ABRIL 2026'!K6:K119="PETROLEO")*'ABRIL 2026'!M6:M119),0)</f>
        <v>0</v>
      </c>
      <c r="D1445" s="187" t="n">
        <f aca="false">IFERROR(SUMPRODUCT((IF('ABRIL 2026'!Y6:Y119&lt;&gt;"",'ABRIL 2026'!Y6:Y119,'ABRIL 2026'!I6:I119)="SALAZAR")*('ABRIL 2026'!K6:K119="PETROLEO")*'ABRIL 2026'!N6:N119),0)</f>
        <v>0</v>
      </c>
      <c r="E1445" s="187" t="n">
        <f aca="false">IFERROR(SUMPRODUCT((IF('ABRIL 2026'!Y6:Y119&lt;&gt;"",'ABRIL 2026'!Y6:Y119,'ABRIL 2026'!I6:I119)="SALAZAR")*('ABRIL 2026'!K6:K119="GASOLINA")*'ABRIL 2026'!M6:M119),0)</f>
        <v>0</v>
      </c>
      <c r="F1445" s="187" t="n">
        <f aca="false">IFERROR(SUMPRODUCT((IF('ABRIL 2026'!Y6:Y119&lt;&gt;"",'ABRIL 2026'!Y6:Y119,'ABRIL 2026'!I6:I119)="SALAZAR")*('ABRIL 2026'!K6:K119="GASOLINA")*'ABRIL 2026'!N6:N119),0)</f>
        <v>0</v>
      </c>
    </row>
    <row r="1446" customFormat="false" ht="15" hidden="false" customHeight="true" outlineLevel="0" collapsed="false">
      <c r="A1446" s="1" t="s">
        <v>262</v>
      </c>
      <c r="B1446" s="1" t="s">
        <v>5169</v>
      </c>
      <c r="C1446" s="187" t="n">
        <f aca="false">IFERROR(SUMPRODUCT((IF('MAYO 2026'!Y6:Y110&lt;&gt;"",'MAYO 2026'!Y6:Y110,'MAYO 2026'!I6:I110)="SALAZAR")*('MAYO 2026'!K6:K110="PETROLEO")*'MAYO 2026'!M6:M110),0)</f>
        <v>0</v>
      </c>
      <c r="D1446" s="187" t="n">
        <f aca="false">IFERROR(SUMPRODUCT((IF('MAYO 2026'!Y6:Y110&lt;&gt;"",'MAYO 2026'!Y6:Y110,'MAYO 2026'!I6:I110)="SALAZAR")*('MAYO 2026'!K6:K110="PETROLEO")*'MAYO 2026'!N6:N110),0)</f>
        <v>0</v>
      </c>
      <c r="E1446" s="187" t="n">
        <f aca="false">IFERROR(SUMPRODUCT((IF('MAYO 2026'!Y6:Y110&lt;&gt;"",'MAYO 2026'!Y6:Y110,'MAYO 2026'!I6:I110)="SALAZAR")*('MAYO 2026'!K6:K110="GASOLINA")*'MAYO 2026'!M6:M110),0)</f>
        <v>0</v>
      </c>
      <c r="F1446" s="187" t="n">
        <f aca="false">IFERROR(SUMPRODUCT((IF('MAYO 2026'!Y6:Y110&lt;&gt;"",'MAYO 2026'!Y6:Y110,'MAYO 2026'!I6:I110)="SALAZAR")*('MAYO 2026'!K6:K110="GASOLINA")*'MAYO 2026'!N6:N110),0)</f>
        <v>0</v>
      </c>
    </row>
    <row r="1447" customFormat="false" ht="15" hidden="false" customHeight="true" outlineLevel="0" collapsed="false">
      <c r="A1447" s="1" t="s">
        <v>262</v>
      </c>
      <c r="B1447" s="1" t="s">
        <v>5170</v>
      </c>
      <c r="C1447" s="187" t="n">
        <f aca="false">IFERROR(SUMPRODUCT((IF('JUNIO 2026'!Y6:Y110&lt;&gt;"",'JUNIO 2026'!Y6:Y110,'JUNIO 2026'!I6:I110)="SALAZAR")*('JUNIO 2026'!K6:K110="PETROLEO")*'JUNIO 2026'!M6:M110),0)</f>
        <v>0</v>
      </c>
      <c r="D1447" s="187" t="n">
        <f aca="false">IFERROR(SUMPRODUCT((IF('JUNIO 2026'!Y6:Y110&lt;&gt;"",'JUNIO 2026'!Y6:Y110,'JUNIO 2026'!I6:I110)="SALAZAR")*('JUNIO 2026'!K6:K110="PETROLEO")*'JUNIO 2026'!N6:N110),0)</f>
        <v>0</v>
      </c>
      <c r="E1447" s="187" t="n">
        <f aca="false">IFERROR(SUMPRODUCT((IF('JUNIO 2026'!Y6:Y110&lt;&gt;"",'JUNIO 2026'!Y6:Y110,'JUNIO 2026'!I6:I110)="SALAZAR")*('JUNIO 2026'!K6:K110="GASOLINA")*'JUNIO 2026'!M6:M110),0)</f>
        <v>0</v>
      </c>
      <c r="F1447" s="187" t="n">
        <f aca="false">IFERROR(SUMPRODUCT((IF('JUNIO 2026'!Y6:Y110&lt;&gt;"",'JUNIO 2026'!Y6:Y110,'JUNIO 2026'!I6:I110)="SALAZAR")*('JUNIO 2026'!K6:K110="GASOLINA")*'JUNIO 2026'!N6:N110),0)</f>
        <v>0</v>
      </c>
    </row>
    <row r="1448" customFormat="false" ht="15" hidden="false" customHeight="true" outlineLevel="0" collapsed="false">
      <c r="A1448" s="1" t="s">
        <v>262</v>
      </c>
      <c r="B1448" s="1" t="s">
        <v>5171</v>
      </c>
      <c r="C1448" s="187" t="n">
        <f aca="false">IFERROR(SUMPRODUCT((IF('JULIO 2026'!Y6:Y110&lt;&gt;"",'JULIO 2026'!Y6:Y110,'JULIO 2026'!I6:I110)="SALAZAR")*('JULIO 2026'!K6:K110="PETROLEO")*'JULIO 2026'!M6:M110),0)</f>
        <v>0</v>
      </c>
      <c r="D1448" s="187" t="n">
        <f aca="false">IFERROR(SUMPRODUCT((IF('JULIO 2026'!Y6:Y110&lt;&gt;"",'JULIO 2026'!Y6:Y110,'JULIO 2026'!I6:I110)="SALAZAR")*('JULIO 2026'!K6:K110="PETROLEO")*'JULIO 2026'!N6:N110),0)</f>
        <v>0</v>
      </c>
      <c r="E1448" s="187" t="n">
        <f aca="false">IFERROR(SUMPRODUCT((IF('JULIO 2026'!Y6:Y110&lt;&gt;"",'JULIO 2026'!Y6:Y110,'JULIO 2026'!I6:I110)="SALAZAR")*('JULIO 2026'!K6:K110="GASOLINA")*'JULIO 2026'!M6:M110),0)</f>
        <v>0</v>
      </c>
      <c r="F1448" s="187" t="n">
        <f aca="false">IFERROR(SUMPRODUCT((IF('JULIO 2026'!Y6:Y110&lt;&gt;"",'JULIO 2026'!Y6:Y110,'JULIO 2026'!I6:I110)="SALAZAR")*('JULIO 2026'!K6:K110="GASOLINA")*'JULIO 2026'!N6:N110),0)</f>
        <v>0</v>
      </c>
    </row>
    <row r="1449" customFormat="false" ht="15" hidden="false" customHeight="true" outlineLevel="0" collapsed="false">
      <c r="A1449" s="1" t="s">
        <v>262</v>
      </c>
      <c r="B1449" s="1" t="s">
        <v>5172</v>
      </c>
      <c r="C1449" s="187" t="n">
        <f aca="false">IFERROR(SUMPRODUCT((IF('AGOSTO 2026'!Y6:Y110&lt;&gt;"",'AGOSTO 2026'!Y6:Y110,'AGOSTO 2026'!I6:I110)="SALAZAR")*('AGOSTO 2026'!K6:K110="PETROLEO")*'AGOSTO 2026'!M6:M110),0)</f>
        <v>0</v>
      </c>
      <c r="D1449" s="187" t="n">
        <f aca="false">IFERROR(SUMPRODUCT((IF('AGOSTO 2026'!Y6:Y110&lt;&gt;"",'AGOSTO 2026'!Y6:Y110,'AGOSTO 2026'!I6:I110)="SALAZAR")*('AGOSTO 2026'!K6:K110="PETROLEO")*'AGOSTO 2026'!N6:N110),0)</f>
        <v>0</v>
      </c>
      <c r="E1449" s="187" t="n">
        <f aca="false">IFERROR(SUMPRODUCT((IF('AGOSTO 2026'!Y6:Y110&lt;&gt;"",'AGOSTO 2026'!Y6:Y110,'AGOSTO 2026'!I6:I110)="SALAZAR")*('AGOSTO 2026'!K6:K110="GASOLINA")*'AGOSTO 2026'!M6:M110),0)</f>
        <v>0</v>
      </c>
      <c r="F1449" s="187" t="n">
        <f aca="false">IFERROR(SUMPRODUCT((IF('AGOSTO 2026'!Y6:Y110&lt;&gt;"",'AGOSTO 2026'!Y6:Y110,'AGOSTO 2026'!I6:I110)="SALAZAR")*('AGOSTO 2026'!K6:K110="GASOLINA")*'AGOSTO 2026'!N6:N110),0)</f>
        <v>0</v>
      </c>
    </row>
    <row r="1450" customFormat="false" ht="15" hidden="false" customHeight="true" outlineLevel="0" collapsed="false">
      <c r="A1450" s="1" t="s">
        <v>262</v>
      </c>
      <c r="B1450" s="1" t="s">
        <v>5173</v>
      </c>
      <c r="C1450" s="187" t="n">
        <f aca="false">IFERROR(SUMPRODUCT((IF('SETIEMBRE 2026'!Y6:Y110&lt;&gt;"",'SETIEMBRE 2026'!Y6:Y110,'SETIEMBRE 2026'!I6:I110)="SALAZAR")*('SETIEMBRE 2026'!K6:K110="PETROLEO")*'SETIEMBRE 2026'!M6:M110),0)</f>
        <v>0</v>
      </c>
      <c r="D1450" s="187" t="n">
        <f aca="false">IFERROR(SUMPRODUCT((IF('SETIEMBRE 2026'!Y6:Y110&lt;&gt;"",'SETIEMBRE 2026'!Y6:Y110,'SETIEMBRE 2026'!I6:I110)="SALAZAR")*('SETIEMBRE 2026'!K6:K110="PETROLEO")*'SETIEMBRE 2026'!N6:N110),0)</f>
        <v>0</v>
      </c>
      <c r="E1450" s="187" t="n">
        <f aca="false">IFERROR(SUMPRODUCT((IF('SETIEMBRE 2026'!Y6:Y110&lt;&gt;"",'SETIEMBRE 2026'!Y6:Y110,'SETIEMBRE 2026'!I6:I110)="SALAZAR")*('SETIEMBRE 2026'!K6:K110="GASOLINA")*'SETIEMBRE 2026'!M6:M110),0)</f>
        <v>0</v>
      </c>
      <c r="F1450" s="187" t="n">
        <f aca="false">IFERROR(SUMPRODUCT((IF('SETIEMBRE 2026'!Y6:Y110&lt;&gt;"",'SETIEMBRE 2026'!Y6:Y110,'SETIEMBRE 2026'!I6:I110)="SALAZAR")*('SETIEMBRE 2026'!K6:K110="GASOLINA")*'SETIEMBRE 2026'!N6:N110),0)</f>
        <v>0</v>
      </c>
    </row>
    <row r="1451" customFormat="false" ht="15" hidden="false" customHeight="true" outlineLevel="0" collapsed="false">
      <c r="A1451" s="1" t="s">
        <v>262</v>
      </c>
      <c r="B1451" s="1" t="s">
        <v>5174</v>
      </c>
      <c r="C1451" s="187" t="n">
        <f aca="false">IFERROR(SUMPRODUCT((IF('OCTUBRE 2026'!Y6:Y110&lt;&gt;"",'OCTUBRE 2026'!Y6:Y110,'OCTUBRE 2026'!I6:I110)="SALAZAR")*('OCTUBRE 2026'!K6:K110="PETROLEO")*'OCTUBRE 2026'!M6:M110),0)</f>
        <v>0</v>
      </c>
      <c r="D1451" s="187" t="n">
        <f aca="false">IFERROR(SUMPRODUCT((IF('OCTUBRE 2026'!Y6:Y110&lt;&gt;"",'OCTUBRE 2026'!Y6:Y110,'OCTUBRE 2026'!I6:I110)="SALAZAR")*('OCTUBRE 2026'!K6:K110="PETROLEO")*'OCTUBRE 2026'!N6:N110),0)</f>
        <v>0</v>
      </c>
      <c r="E1451" s="187" t="n">
        <f aca="false">IFERROR(SUMPRODUCT((IF('OCTUBRE 2026'!Y6:Y110&lt;&gt;"",'OCTUBRE 2026'!Y6:Y110,'OCTUBRE 2026'!I6:I110)="SALAZAR")*('OCTUBRE 2026'!K6:K110="GASOLINA")*'OCTUBRE 2026'!M6:M110),0)</f>
        <v>0</v>
      </c>
      <c r="F1451" s="187" t="n">
        <f aca="false">IFERROR(SUMPRODUCT((IF('OCTUBRE 2026'!Y6:Y110&lt;&gt;"",'OCTUBRE 2026'!Y6:Y110,'OCTUBRE 2026'!I6:I110)="SALAZAR")*('OCTUBRE 2026'!K6:K110="GASOLINA")*'OCTUBRE 2026'!N6:N110),0)</f>
        <v>0</v>
      </c>
    </row>
    <row r="1452" customFormat="false" ht="15" hidden="false" customHeight="true" outlineLevel="0" collapsed="false">
      <c r="A1452" s="1" t="s">
        <v>262</v>
      </c>
      <c r="B1452" s="1" t="s">
        <v>5175</v>
      </c>
      <c r="C1452" s="187" t="n">
        <f aca="false">IFERROR(SUMPRODUCT((IF('NOVIEMBRE 2026'!Y6:Y110&lt;&gt;"",'NOVIEMBRE 2026'!Y6:Y110,'NOVIEMBRE 2026'!I6:I110)="SALAZAR")*('NOVIEMBRE 2026'!K6:K110="PETROLEO")*'NOVIEMBRE 2026'!M6:M110),0)</f>
        <v>0</v>
      </c>
      <c r="D1452" s="187" t="n">
        <f aca="false">IFERROR(SUMPRODUCT((IF('NOVIEMBRE 2026'!Y6:Y110&lt;&gt;"",'NOVIEMBRE 2026'!Y6:Y110,'NOVIEMBRE 2026'!I6:I110)="SALAZAR")*('NOVIEMBRE 2026'!K6:K110="PETROLEO")*'NOVIEMBRE 2026'!N6:N110),0)</f>
        <v>0</v>
      </c>
      <c r="E1452" s="187" t="n">
        <f aca="false">IFERROR(SUMPRODUCT((IF('NOVIEMBRE 2026'!Y6:Y110&lt;&gt;"",'NOVIEMBRE 2026'!Y6:Y110,'NOVIEMBRE 2026'!I6:I110)="SALAZAR")*('NOVIEMBRE 2026'!K6:K110="GASOLINA")*'NOVIEMBRE 2026'!M6:M110),0)</f>
        <v>0</v>
      </c>
      <c r="F1452" s="187" t="n">
        <f aca="false">IFERROR(SUMPRODUCT((IF('NOVIEMBRE 2026'!Y6:Y110&lt;&gt;"",'NOVIEMBRE 2026'!Y6:Y110,'NOVIEMBRE 2026'!I6:I110)="SALAZAR")*('NOVIEMBRE 2026'!K6:K110="GASOLINA")*'NOVIEMBRE 2026'!N6:N110),0)</f>
        <v>0</v>
      </c>
    </row>
    <row r="1453" customFormat="false" ht="15" hidden="false" customHeight="true" outlineLevel="0" collapsed="false">
      <c r="A1453" s="1" t="s">
        <v>262</v>
      </c>
      <c r="B1453" s="1" t="s">
        <v>5176</v>
      </c>
      <c r="C1453" s="187" t="n">
        <f aca="false">IFERROR(SUMPRODUCT((IF('DICIEMBRE 2026'!Y6:Y110&lt;&gt;"",'DICIEMBRE 2026'!Y6:Y110,'DICIEMBRE 2026'!I6:I110)="SALAZAR")*('DICIEMBRE 2026'!K6:K110="PETROLEO")*'DICIEMBRE 2026'!M6:M110),0)</f>
        <v>0</v>
      </c>
      <c r="D1453" s="187" t="n">
        <f aca="false">IFERROR(SUMPRODUCT((IF('DICIEMBRE 2026'!Y6:Y110&lt;&gt;"",'DICIEMBRE 2026'!Y6:Y110,'DICIEMBRE 2026'!I6:I110)="SALAZAR")*('DICIEMBRE 2026'!K6:K110="PETROLEO")*'DICIEMBRE 2026'!N6:N110),0)</f>
        <v>0</v>
      </c>
      <c r="E1453" s="187" t="n">
        <f aca="false">IFERROR(SUMPRODUCT((IF('DICIEMBRE 2026'!Y6:Y110&lt;&gt;"",'DICIEMBRE 2026'!Y6:Y110,'DICIEMBRE 2026'!I6:I110)="SALAZAR")*('DICIEMBRE 2026'!K6:K110="GASOLINA")*'DICIEMBRE 2026'!M6:M110),0)</f>
        <v>0</v>
      </c>
      <c r="F1453" s="187" t="n">
        <f aca="false">IFERROR(SUMPRODUCT((IF('DICIEMBRE 2026'!Y6:Y110&lt;&gt;"",'DICIEMBRE 2026'!Y6:Y110,'DICIEMBRE 2026'!I6:I110)="SALAZAR")*('DICIEMBRE 2026'!K6:K110="GASOLINA")*'DICIEMBRE 2026'!N6:N110),0)</f>
        <v>0</v>
      </c>
    </row>
    <row r="1454" customFormat="false" ht="15" hidden="false" customHeight="true" outlineLevel="0" collapsed="false">
      <c r="A1454" s="1" t="s">
        <v>75</v>
      </c>
      <c r="B1454" s="1" t="s">
        <v>5165</v>
      </c>
      <c r="C1454" s="187" t="n">
        <f aca="false">IFERROR(SUMPRODUCT((IF('ENERO 2026'!Y6:Y119&lt;&gt;"",'ENERO 2026'!Y6:Y119,'ENERO 2026'!I6:I119)="SANTO TOMAS")*('ENERO 2026'!K6:K119="PETROLEO")*'ENERO 2026'!M6:M119),0)</f>
        <v>20</v>
      </c>
      <c r="D1454" s="187" t="n">
        <f aca="false">IFERROR(SUMPRODUCT((IF('ENERO 2026'!Y6:Y119&lt;&gt;"",'ENERO 2026'!Y6:Y119,'ENERO 2026'!I6:I119)="SANTO TOMAS")*('ENERO 2026'!K6:K119="PETROLEO")*'ENERO 2026'!N6:N119),0)</f>
        <v>0</v>
      </c>
      <c r="E1454" s="187" t="n">
        <f aca="false">IFERROR(SUMPRODUCT((IF('ENERO 2026'!Y6:Y119&lt;&gt;"",'ENERO 2026'!Y6:Y119,'ENERO 2026'!I6:I119)="SANTO TOMAS")*('ENERO 2026'!K6:K119="GASOLINA")*'ENERO 2026'!M6:M119),0)</f>
        <v>0</v>
      </c>
      <c r="F1454" s="187" t="n">
        <f aca="false">IFERROR(SUMPRODUCT((IF('ENERO 2026'!Y6:Y119&lt;&gt;"",'ENERO 2026'!Y6:Y119,'ENERO 2026'!I6:I119)="SANTO TOMAS")*('ENERO 2026'!K6:K119="GASOLINA")*'ENERO 2026'!N6:N119),0)</f>
        <v>0</v>
      </c>
    </row>
    <row r="1455" customFormat="false" ht="15" hidden="false" customHeight="true" outlineLevel="0" collapsed="false">
      <c r="A1455" s="1" t="s">
        <v>75</v>
      </c>
      <c r="B1455" s="1" t="s">
        <v>5166</v>
      </c>
      <c r="C1455" s="187" t="n">
        <f aca="false">IFERROR(SUMPRODUCT((IF('FEBRERO 2026'!Y6:Y124&lt;&gt;"",'FEBRERO 2026'!Y6:Y124,'FEBRERO 2026'!I6:I124)="SANTO TOMAS")*('FEBRERO 2026'!K6:K124="PETROLEO")*'FEBRERO 2026'!M6:M124),0)</f>
        <v>10</v>
      </c>
      <c r="D1455" s="187" t="n">
        <f aca="false">IFERROR(SUMPRODUCT((IF('FEBRERO 2026'!Y6:Y124&lt;&gt;"",'FEBRERO 2026'!Y6:Y124,'FEBRERO 2026'!I6:I124)="SANTO TOMAS")*('FEBRERO 2026'!K6:K124="PETROLEO")*'FEBRERO 2026'!N6:N124),0)</f>
        <v>181.8</v>
      </c>
      <c r="E1455" s="187" t="n">
        <f aca="false">IFERROR(SUMPRODUCT((IF('FEBRERO 2026'!Y6:Y124&lt;&gt;"",'FEBRERO 2026'!Y6:Y124,'FEBRERO 2026'!I6:I124)="SANTO TOMAS")*('FEBRERO 2026'!K6:K124="GASOLINA")*'FEBRERO 2026'!M6:M124),0)</f>
        <v>0</v>
      </c>
      <c r="F1455" s="187" t="n">
        <f aca="false">IFERROR(SUMPRODUCT((IF('FEBRERO 2026'!Y6:Y124&lt;&gt;"",'FEBRERO 2026'!Y6:Y124,'FEBRERO 2026'!I6:I124)="SANTO TOMAS")*('FEBRERO 2026'!K6:K124="GASOLINA")*'FEBRERO 2026'!N6:N124),0)</f>
        <v>0</v>
      </c>
    </row>
    <row r="1456" customFormat="false" ht="15" hidden="false" customHeight="true" outlineLevel="0" collapsed="false">
      <c r="A1456" s="1" t="s">
        <v>75</v>
      </c>
      <c r="B1456" s="1" t="s">
        <v>5167</v>
      </c>
      <c r="C1456" s="187" t="n">
        <f aca="false">IFERROR(SUMPRODUCT((IF('MARZO 2026'!Y6:Y119&lt;&gt;"",'MARZO 2026'!Y6:Y119,'MARZO 2026'!I6:I119)="SANTO TOMAS")*('MARZO 2026'!K6:K119="PETROLEO")*'MARZO 2026'!M6:M119),0)</f>
        <v>0</v>
      </c>
      <c r="D1456" s="187" t="n">
        <f aca="false">IFERROR(SUMPRODUCT((IF('MARZO 2026'!Y6:Y119&lt;&gt;"",'MARZO 2026'!Y6:Y119,'MARZO 2026'!I6:I119)="SANTO TOMAS")*('MARZO 2026'!K6:K119="PETROLEO")*'MARZO 2026'!N6:N119),0)</f>
        <v>0</v>
      </c>
      <c r="E1456" s="187" t="n">
        <f aca="false">IFERROR(SUMPRODUCT((IF('MARZO 2026'!Y6:Y119&lt;&gt;"",'MARZO 2026'!Y6:Y119,'MARZO 2026'!I6:I119)="SANTO TOMAS")*('MARZO 2026'!K6:K119="GASOLINA")*'MARZO 2026'!M6:M119),0)</f>
        <v>0</v>
      </c>
      <c r="F1456" s="187" t="n">
        <f aca="false">IFERROR(SUMPRODUCT((IF('MARZO 2026'!Y6:Y119&lt;&gt;"",'MARZO 2026'!Y6:Y119,'MARZO 2026'!I6:I119)="SANTO TOMAS")*('MARZO 2026'!K6:K119="GASOLINA")*'MARZO 2026'!N6:N119),0)</f>
        <v>0</v>
      </c>
    </row>
    <row r="1457" customFormat="false" ht="15" hidden="false" customHeight="true" outlineLevel="0" collapsed="false">
      <c r="A1457" s="1" t="s">
        <v>75</v>
      </c>
      <c r="B1457" s="1" t="s">
        <v>5168</v>
      </c>
      <c r="C1457" s="187" t="n">
        <f aca="false">IFERROR(SUMPRODUCT((IF('ABRIL 2026'!Y6:Y119&lt;&gt;"",'ABRIL 2026'!Y6:Y119,'ABRIL 2026'!I6:I119)="SANTO TOMAS")*('ABRIL 2026'!K6:K119="PETROLEO")*'ABRIL 2026'!M6:M119),0)</f>
        <v>0</v>
      </c>
      <c r="D1457" s="187" t="n">
        <f aca="false">IFERROR(SUMPRODUCT((IF('ABRIL 2026'!Y6:Y119&lt;&gt;"",'ABRIL 2026'!Y6:Y119,'ABRIL 2026'!I6:I119)="SANTO TOMAS")*('ABRIL 2026'!K6:K119="PETROLEO")*'ABRIL 2026'!N6:N119),0)</f>
        <v>0</v>
      </c>
      <c r="E1457" s="187" t="n">
        <f aca="false">IFERROR(SUMPRODUCT((IF('ABRIL 2026'!Y6:Y119&lt;&gt;"",'ABRIL 2026'!Y6:Y119,'ABRIL 2026'!I6:I119)="SANTO TOMAS")*('ABRIL 2026'!K6:K119="GASOLINA")*'ABRIL 2026'!M6:M119),0)</f>
        <v>0</v>
      </c>
      <c r="F1457" s="187" t="n">
        <f aca="false">IFERROR(SUMPRODUCT((IF('ABRIL 2026'!Y6:Y119&lt;&gt;"",'ABRIL 2026'!Y6:Y119,'ABRIL 2026'!I6:I119)="SANTO TOMAS")*('ABRIL 2026'!K6:K119="GASOLINA")*'ABRIL 2026'!N6:N119),0)</f>
        <v>0</v>
      </c>
    </row>
    <row r="1458" customFormat="false" ht="15" hidden="false" customHeight="true" outlineLevel="0" collapsed="false">
      <c r="A1458" s="1" t="s">
        <v>75</v>
      </c>
      <c r="B1458" s="1" t="s">
        <v>5169</v>
      </c>
      <c r="C1458" s="187" t="n">
        <f aca="false">IFERROR(SUMPRODUCT((IF('MAYO 2026'!Y6:Y110&lt;&gt;"",'MAYO 2026'!Y6:Y110,'MAYO 2026'!I6:I110)="SANTO TOMAS")*('MAYO 2026'!K6:K110="PETROLEO")*'MAYO 2026'!M6:M110),0)</f>
        <v>0</v>
      </c>
      <c r="D1458" s="187" t="n">
        <f aca="false">IFERROR(SUMPRODUCT((IF('MAYO 2026'!Y6:Y110&lt;&gt;"",'MAYO 2026'!Y6:Y110,'MAYO 2026'!I6:I110)="SANTO TOMAS")*('MAYO 2026'!K6:K110="PETROLEO")*'MAYO 2026'!N6:N110),0)</f>
        <v>0</v>
      </c>
      <c r="E1458" s="187" t="n">
        <f aca="false">IFERROR(SUMPRODUCT((IF('MAYO 2026'!Y6:Y110&lt;&gt;"",'MAYO 2026'!Y6:Y110,'MAYO 2026'!I6:I110)="SANTO TOMAS")*('MAYO 2026'!K6:K110="GASOLINA")*'MAYO 2026'!M6:M110),0)</f>
        <v>0</v>
      </c>
      <c r="F1458" s="187" t="n">
        <f aca="false">IFERROR(SUMPRODUCT((IF('MAYO 2026'!Y6:Y110&lt;&gt;"",'MAYO 2026'!Y6:Y110,'MAYO 2026'!I6:I110)="SANTO TOMAS")*('MAYO 2026'!K6:K110="GASOLINA")*'MAYO 2026'!N6:N110),0)</f>
        <v>0</v>
      </c>
    </row>
    <row r="1459" customFormat="false" ht="15" hidden="false" customHeight="true" outlineLevel="0" collapsed="false">
      <c r="A1459" s="1" t="s">
        <v>75</v>
      </c>
      <c r="B1459" s="1" t="s">
        <v>5170</v>
      </c>
      <c r="C1459" s="187" t="n">
        <f aca="false">IFERROR(SUMPRODUCT((IF('JUNIO 2026'!Y6:Y110&lt;&gt;"",'JUNIO 2026'!Y6:Y110,'JUNIO 2026'!I6:I110)="SANTO TOMAS")*('JUNIO 2026'!K6:K110="PETROLEO")*'JUNIO 2026'!M6:M110),0)</f>
        <v>0</v>
      </c>
      <c r="D1459" s="187" t="n">
        <f aca="false">IFERROR(SUMPRODUCT((IF('JUNIO 2026'!Y6:Y110&lt;&gt;"",'JUNIO 2026'!Y6:Y110,'JUNIO 2026'!I6:I110)="SANTO TOMAS")*('JUNIO 2026'!K6:K110="PETROLEO")*'JUNIO 2026'!N6:N110),0)</f>
        <v>0</v>
      </c>
      <c r="E1459" s="187" t="n">
        <f aca="false">IFERROR(SUMPRODUCT((IF('JUNIO 2026'!Y6:Y110&lt;&gt;"",'JUNIO 2026'!Y6:Y110,'JUNIO 2026'!I6:I110)="SANTO TOMAS")*('JUNIO 2026'!K6:K110="GASOLINA")*'JUNIO 2026'!M6:M110),0)</f>
        <v>0</v>
      </c>
      <c r="F1459" s="187" t="n">
        <f aca="false">IFERROR(SUMPRODUCT((IF('JUNIO 2026'!Y6:Y110&lt;&gt;"",'JUNIO 2026'!Y6:Y110,'JUNIO 2026'!I6:I110)="SANTO TOMAS")*('JUNIO 2026'!K6:K110="GASOLINA")*'JUNIO 2026'!N6:N110),0)</f>
        <v>0</v>
      </c>
    </row>
    <row r="1460" customFormat="false" ht="15" hidden="false" customHeight="true" outlineLevel="0" collapsed="false">
      <c r="A1460" s="1" t="s">
        <v>75</v>
      </c>
      <c r="B1460" s="1" t="s">
        <v>5171</v>
      </c>
      <c r="C1460" s="187" t="n">
        <f aca="false">IFERROR(SUMPRODUCT((IF('JULIO 2026'!Y6:Y110&lt;&gt;"",'JULIO 2026'!Y6:Y110,'JULIO 2026'!I6:I110)="SANTO TOMAS")*('JULIO 2026'!K6:K110="PETROLEO")*'JULIO 2026'!M6:M110),0)</f>
        <v>0</v>
      </c>
      <c r="D1460" s="187" t="n">
        <f aca="false">IFERROR(SUMPRODUCT((IF('JULIO 2026'!Y6:Y110&lt;&gt;"",'JULIO 2026'!Y6:Y110,'JULIO 2026'!I6:I110)="SANTO TOMAS")*('JULIO 2026'!K6:K110="PETROLEO")*'JULIO 2026'!N6:N110),0)</f>
        <v>0</v>
      </c>
      <c r="E1460" s="187" t="n">
        <f aca="false">IFERROR(SUMPRODUCT((IF('JULIO 2026'!Y6:Y110&lt;&gt;"",'JULIO 2026'!Y6:Y110,'JULIO 2026'!I6:I110)="SANTO TOMAS")*('JULIO 2026'!K6:K110="GASOLINA")*'JULIO 2026'!M6:M110),0)</f>
        <v>0</v>
      </c>
      <c r="F1460" s="187" t="n">
        <f aca="false">IFERROR(SUMPRODUCT((IF('JULIO 2026'!Y6:Y110&lt;&gt;"",'JULIO 2026'!Y6:Y110,'JULIO 2026'!I6:I110)="SANTO TOMAS")*('JULIO 2026'!K6:K110="GASOLINA")*'JULIO 2026'!N6:N110),0)</f>
        <v>0</v>
      </c>
    </row>
    <row r="1461" customFormat="false" ht="15" hidden="false" customHeight="true" outlineLevel="0" collapsed="false">
      <c r="A1461" s="1" t="s">
        <v>75</v>
      </c>
      <c r="B1461" s="1" t="s">
        <v>5172</v>
      </c>
      <c r="C1461" s="187" t="n">
        <f aca="false">IFERROR(SUMPRODUCT((IF('AGOSTO 2026'!Y6:Y110&lt;&gt;"",'AGOSTO 2026'!Y6:Y110,'AGOSTO 2026'!I6:I110)="SANTO TOMAS")*('AGOSTO 2026'!K6:K110="PETROLEO")*'AGOSTO 2026'!M6:M110),0)</f>
        <v>0</v>
      </c>
      <c r="D1461" s="187" t="n">
        <f aca="false">IFERROR(SUMPRODUCT((IF('AGOSTO 2026'!Y6:Y110&lt;&gt;"",'AGOSTO 2026'!Y6:Y110,'AGOSTO 2026'!I6:I110)="SANTO TOMAS")*('AGOSTO 2026'!K6:K110="PETROLEO")*'AGOSTO 2026'!N6:N110),0)</f>
        <v>0</v>
      </c>
      <c r="E1461" s="187" t="n">
        <f aca="false">IFERROR(SUMPRODUCT((IF('AGOSTO 2026'!Y6:Y110&lt;&gt;"",'AGOSTO 2026'!Y6:Y110,'AGOSTO 2026'!I6:I110)="SANTO TOMAS")*('AGOSTO 2026'!K6:K110="GASOLINA")*'AGOSTO 2026'!M6:M110),0)</f>
        <v>0</v>
      </c>
      <c r="F1461" s="187" t="n">
        <f aca="false">IFERROR(SUMPRODUCT((IF('AGOSTO 2026'!Y6:Y110&lt;&gt;"",'AGOSTO 2026'!Y6:Y110,'AGOSTO 2026'!I6:I110)="SANTO TOMAS")*('AGOSTO 2026'!K6:K110="GASOLINA")*'AGOSTO 2026'!N6:N110),0)</f>
        <v>0</v>
      </c>
    </row>
    <row r="1462" customFormat="false" ht="15" hidden="false" customHeight="true" outlineLevel="0" collapsed="false">
      <c r="A1462" s="1" t="s">
        <v>75</v>
      </c>
      <c r="B1462" s="1" t="s">
        <v>5173</v>
      </c>
      <c r="C1462" s="187" t="n">
        <f aca="false">IFERROR(SUMPRODUCT((IF('SETIEMBRE 2026'!Y6:Y110&lt;&gt;"",'SETIEMBRE 2026'!Y6:Y110,'SETIEMBRE 2026'!I6:I110)="SANTO TOMAS")*('SETIEMBRE 2026'!K6:K110="PETROLEO")*'SETIEMBRE 2026'!M6:M110),0)</f>
        <v>0</v>
      </c>
      <c r="D1462" s="187" t="n">
        <f aca="false">IFERROR(SUMPRODUCT((IF('SETIEMBRE 2026'!Y6:Y110&lt;&gt;"",'SETIEMBRE 2026'!Y6:Y110,'SETIEMBRE 2026'!I6:I110)="SANTO TOMAS")*('SETIEMBRE 2026'!K6:K110="PETROLEO")*'SETIEMBRE 2026'!N6:N110),0)</f>
        <v>0</v>
      </c>
      <c r="E1462" s="187" t="n">
        <f aca="false">IFERROR(SUMPRODUCT((IF('SETIEMBRE 2026'!Y6:Y110&lt;&gt;"",'SETIEMBRE 2026'!Y6:Y110,'SETIEMBRE 2026'!I6:I110)="SANTO TOMAS")*('SETIEMBRE 2026'!K6:K110="GASOLINA")*'SETIEMBRE 2026'!M6:M110),0)</f>
        <v>0</v>
      </c>
      <c r="F1462" s="187" t="n">
        <f aca="false">IFERROR(SUMPRODUCT((IF('SETIEMBRE 2026'!Y6:Y110&lt;&gt;"",'SETIEMBRE 2026'!Y6:Y110,'SETIEMBRE 2026'!I6:I110)="SANTO TOMAS")*('SETIEMBRE 2026'!K6:K110="GASOLINA")*'SETIEMBRE 2026'!N6:N110),0)</f>
        <v>0</v>
      </c>
    </row>
    <row r="1463" customFormat="false" ht="15" hidden="false" customHeight="true" outlineLevel="0" collapsed="false">
      <c r="A1463" s="1" t="s">
        <v>75</v>
      </c>
      <c r="B1463" s="1" t="s">
        <v>5174</v>
      </c>
      <c r="C1463" s="187" t="n">
        <f aca="false">IFERROR(SUMPRODUCT((IF('OCTUBRE 2026'!Y6:Y110&lt;&gt;"",'OCTUBRE 2026'!Y6:Y110,'OCTUBRE 2026'!I6:I110)="SANTO TOMAS")*('OCTUBRE 2026'!K6:K110="PETROLEO")*'OCTUBRE 2026'!M6:M110),0)</f>
        <v>0</v>
      </c>
      <c r="D1463" s="187" t="n">
        <f aca="false">IFERROR(SUMPRODUCT((IF('OCTUBRE 2026'!Y6:Y110&lt;&gt;"",'OCTUBRE 2026'!Y6:Y110,'OCTUBRE 2026'!I6:I110)="SANTO TOMAS")*('OCTUBRE 2026'!K6:K110="PETROLEO")*'OCTUBRE 2026'!N6:N110),0)</f>
        <v>0</v>
      </c>
      <c r="E1463" s="187" t="n">
        <f aca="false">IFERROR(SUMPRODUCT((IF('OCTUBRE 2026'!Y6:Y110&lt;&gt;"",'OCTUBRE 2026'!Y6:Y110,'OCTUBRE 2026'!I6:I110)="SANTO TOMAS")*('OCTUBRE 2026'!K6:K110="GASOLINA")*'OCTUBRE 2026'!M6:M110),0)</f>
        <v>0</v>
      </c>
      <c r="F1463" s="187" t="n">
        <f aca="false">IFERROR(SUMPRODUCT((IF('OCTUBRE 2026'!Y6:Y110&lt;&gt;"",'OCTUBRE 2026'!Y6:Y110,'OCTUBRE 2026'!I6:I110)="SANTO TOMAS")*('OCTUBRE 2026'!K6:K110="GASOLINA")*'OCTUBRE 2026'!N6:N110),0)</f>
        <v>0</v>
      </c>
    </row>
    <row r="1464" customFormat="false" ht="15" hidden="false" customHeight="true" outlineLevel="0" collapsed="false">
      <c r="A1464" s="1" t="s">
        <v>75</v>
      </c>
      <c r="B1464" s="1" t="s">
        <v>5175</v>
      </c>
      <c r="C1464" s="187" t="n">
        <f aca="false">IFERROR(SUMPRODUCT((IF('NOVIEMBRE 2026'!Y6:Y110&lt;&gt;"",'NOVIEMBRE 2026'!Y6:Y110,'NOVIEMBRE 2026'!I6:I110)="SANTO TOMAS")*('NOVIEMBRE 2026'!K6:K110="PETROLEO")*'NOVIEMBRE 2026'!M6:M110),0)</f>
        <v>0</v>
      </c>
      <c r="D1464" s="187" t="n">
        <f aca="false">IFERROR(SUMPRODUCT((IF('NOVIEMBRE 2026'!Y6:Y110&lt;&gt;"",'NOVIEMBRE 2026'!Y6:Y110,'NOVIEMBRE 2026'!I6:I110)="SANTO TOMAS")*('NOVIEMBRE 2026'!K6:K110="PETROLEO")*'NOVIEMBRE 2026'!N6:N110),0)</f>
        <v>0</v>
      </c>
      <c r="E1464" s="187" t="n">
        <f aca="false">IFERROR(SUMPRODUCT((IF('NOVIEMBRE 2026'!Y6:Y110&lt;&gt;"",'NOVIEMBRE 2026'!Y6:Y110,'NOVIEMBRE 2026'!I6:I110)="SANTO TOMAS")*('NOVIEMBRE 2026'!K6:K110="GASOLINA")*'NOVIEMBRE 2026'!M6:M110),0)</f>
        <v>0</v>
      </c>
      <c r="F1464" s="187" t="n">
        <f aca="false">IFERROR(SUMPRODUCT((IF('NOVIEMBRE 2026'!Y6:Y110&lt;&gt;"",'NOVIEMBRE 2026'!Y6:Y110,'NOVIEMBRE 2026'!I6:I110)="SANTO TOMAS")*('NOVIEMBRE 2026'!K6:K110="GASOLINA")*'NOVIEMBRE 2026'!N6:N110),0)</f>
        <v>0</v>
      </c>
    </row>
    <row r="1465" customFormat="false" ht="15" hidden="false" customHeight="true" outlineLevel="0" collapsed="false">
      <c r="A1465" s="1" t="s">
        <v>75</v>
      </c>
      <c r="B1465" s="1" t="s">
        <v>5176</v>
      </c>
      <c r="C1465" s="187" t="n">
        <f aca="false">IFERROR(SUMPRODUCT((IF('DICIEMBRE 2026'!Y6:Y110&lt;&gt;"",'DICIEMBRE 2026'!Y6:Y110,'DICIEMBRE 2026'!I6:I110)="SANTO TOMAS")*('DICIEMBRE 2026'!K6:K110="PETROLEO")*'DICIEMBRE 2026'!M6:M110),0)</f>
        <v>0</v>
      </c>
      <c r="D1465" s="187" t="n">
        <f aca="false">IFERROR(SUMPRODUCT((IF('DICIEMBRE 2026'!Y6:Y110&lt;&gt;"",'DICIEMBRE 2026'!Y6:Y110,'DICIEMBRE 2026'!I6:I110)="SANTO TOMAS")*('DICIEMBRE 2026'!K6:K110="PETROLEO")*'DICIEMBRE 2026'!N6:N110),0)</f>
        <v>0</v>
      </c>
      <c r="E1465" s="187" t="n">
        <f aca="false">IFERROR(SUMPRODUCT((IF('DICIEMBRE 2026'!Y6:Y110&lt;&gt;"",'DICIEMBRE 2026'!Y6:Y110,'DICIEMBRE 2026'!I6:I110)="SANTO TOMAS")*('DICIEMBRE 2026'!K6:K110="GASOLINA")*'DICIEMBRE 2026'!M6:M110),0)</f>
        <v>0</v>
      </c>
      <c r="F1465" s="187" t="n">
        <f aca="false">IFERROR(SUMPRODUCT((IF('DICIEMBRE 2026'!Y6:Y110&lt;&gt;"",'DICIEMBRE 2026'!Y6:Y110,'DICIEMBRE 2026'!I6:I110)="SANTO TOMAS")*('DICIEMBRE 2026'!K6:K110="GASOLINA")*'DICIEMBRE 2026'!N6:N110),0)</f>
        <v>0</v>
      </c>
    </row>
    <row r="1466" customFormat="false" ht="15" hidden="false" customHeight="true" outlineLevel="0" collapsed="false">
      <c r="A1466" s="1" t="s">
        <v>78</v>
      </c>
      <c r="B1466" s="1" t="s">
        <v>5165</v>
      </c>
      <c r="C1466" s="187" t="n">
        <f aca="false">IFERROR(SUMPRODUCT((IF('ENERO 2026'!Y6:Y119&lt;&gt;"",'ENERO 2026'!Y6:Y119,'ENERO 2026'!I6:I119)="TINGO")*('ENERO 2026'!K6:K119="PETROLEO")*'ENERO 2026'!M6:M119),0)</f>
        <v>25</v>
      </c>
      <c r="D1466" s="187" t="n">
        <f aca="false">IFERROR(SUMPRODUCT((IF('ENERO 2026'!Y6:Y119&lt;&gt;"",'ENERO 2026'!Y6:Y119,'ENERO 2026'!I6:I119)="TINGO")*('ENERO 2026'!K6:K119="PETROLEO")*'ENERO 2026'!N6:N119),0)</f>
        <v>0</v>
      </c>
      <c r="E1466" s="187" t="n">
        <f aca="false">IFERROR(SUMPRODUCT((IF('ENERO 2026'!Y6:Y119&lt;&gt;"",'ENERO 2026'!Y6:Y119,'ENERO 2026'!I6:I119)="TINGO")*('ENERO 2026'!K6:K119="GASOLINA")*'ENERO 2026'!M6:M119),0)</f>
        <v>0</v>
      </c>
      <c r="F1466" s="187" t="n">
        <f aca="false">IFERROR(SUMPRODUCT((IF('ENERO 2026'!Y6:Y119&lt;&gt;"",'ENERO 2026'!Y6:Y119,'ENERO 2026'!I6:I119)="TINGO")*('ENERO 2026'!K6:K119="GASOLINA")*'ENERO 2026'!N6:N119),0)</f>
        <v>0</v>
      </c>
    </row>
    <row r="1467" customFormat="false" ht="15" hidden="false" customHeight="true" outlineLevel="0" collapsed="false">
      <c r="A1467" s="1" t="s">
        <v>78</v>
      </c>
      <c r="B1467" s="1" t="s">
        <v>5166</v>
      </c>
      <c r="C1467" s="187" t="n">
        <f aca="false">IFERROR(SUMPRODUCT((IF('FEBRERO 2026'!Y6:Y124&lt;&gt;"",'FEBRERO 2026'!Y6:Y124,'FEBRERO 2026'!I6:I124)="TINGO")*('FEBRERO 2026'!K6:K124="PETROLEO")*'FEBRERO 2026'!M6:M124),0)</f>
        <v>10</v>
      </c>
      <c r="D1467" s="187" t="n">
        <f aca="false">IFERROR(SUMPRODUCT((IF('FEBRERO 2026'!Y6:Y124&lt;&gt;"",'FEBRERO 2026'!Y6:Y124,'FEBRERO 2026'!I6:I124)="TINGO")*('FEBRERO 2026'!K6:K124="PETROLEO")*'FEBRERO 2026'!N6:N124),0)</f>
        <v>181.8</v>
      </c>
      <c r="E1467" s="187" t="n">
        <f aca="false">IFERROR(SUMPRODUCT((IF('FEBRERO 2026'!Y6:Y124&lt;&gt;"",'FEBRERO 2026'!Y6:Y124,'FEBRERO 2026'!I6:I124)="TINGO")*('FEBRERO 2026'!K6:K124="GASOLINA")*'FEBRERO 2026'!M6:M124),0)</f>
        <v>0</v>
      </c>
      <c r="F1467" s="187" t="n">
        <f aca="false">IFERROR(SUMPRODUCT((IF('FEBRERO 2026'!Y6:Y124&lt;&gt;"",'FEBRERO 2026'!Y6:Y124,'FEBRERO 2026'!I6:I124)="TINGO")*('FEBRERO 2026'!K6:K124="GASOLINA")*'FEBRERO 2026'!N6:N124),0)</f>
        <v>0</v>
      </c>
    </row>
    <row r="1468" customFormat="false" ht="15" hidden="false" customHeight="true" outlineLevel="0" collapsed="false">
      <c r="A1468" s="1" t="s">
        <v>78</v>
      </c>
      <c r="B1468" s="1" t="s">
        <v>5167</v>
      </c>
      <c r="C1468" s="187" t="n">
        <f aca="false">IFERROR(SUMPRODUCT((IF('MARZO 2026'!Y6:Y119&lt;&gt;"",'MARZO 2026'!Y6:Y119,'MARZO 2026'!I6:I119)="TINGO")*('MARZO 2026'!K6:K119="PETROLEO")*'MARZO 2026'!M6:M119),0)</f>
        <v>20</v>
      </c>
      <c r="D1468" s="187" t="n">
        <f aca="false">IFERROR(SUMPRODUCT((IF('MARZO 2026'!Y6:Y119&lt;&gt;"",'MARZO 2026'!Y6:Y119,'MARZO 2026'!I6:I119)="TINGO")*('MARZO 2026'!K6:K119="PETROLEO")*'MARZO 2026'!N6:N119),0)</f>
        <v>0</v>
      </c>
      <c r="E1468" s="187" t="n">
        <f aca="false">IFERROR(SUMPRODUCT((IF('MARZO 2026'!Y6:Y119&lt;&gt;"",'MARZO 2026'!Y6:Y119,'MARZO 2026'!I6:I119)="TINGO")*('MARZO 2026'!K6:K119="GASOLINA")*'MARZO 2026'!M6:M119),0)</f>
        <v>0</v>
      </c>
      <c r="F1468" s="187" t="n">
        <f aca="false">IFERROR(SUMPRODUCT((IF('MARZO 2026'!Y6:Y119&lt;&gt;"",'MARZO 2026'!Y6:Y119,'MARZO 2026'!I6:I119)="TINGO")*('MARZO 2026'!K6:K119="GASOLINA")*'MARZO 2026'!N6:N119),0)</f>
        <v>0</v>
      </c>
    </row>
    <row r="1469" customFormat="false" ht="15" hidden="false" customHeight="true" outlineLevel="0" collapsed="false">
      <c r="A1469" s="1" t="s">
        <v>78</v>
      </c>
      <c r="B1469" s="1" t="s">
        <v>5168</v>
      </c>
      <c r="C1469" s="187" t="n">
        <f aca="false">IFERROR(SUMPRODUCT((IF('ABRIL 2026'!Y6:Y119&lt;&gt;"",'ABRIL 2026'!Y6:Y119,'ABRIL 2026'!I6:I119)="TINGO")*('ABRIL 2026'!K6:K119="PETROLEO")*'ABRIL 2026'!M6:M119),0)</f>
        <v>0</v>
      </c>
      <c r="D1469" s="187" t="n">
        <f aca="false">IFERROR(SUMPRODUCT((IF('ABRIL 2026'!Y6:Y119&lt;&gt;"",'ABRIL 2026'!Y6:Y119,'ABRIL 2026'!I6:I119)="TINGO")*('ABRIL 2026'!K6:K119="PETROLEO")*'ABRIL 2026'!N6:N119),0)</f>
        <v>0</v>
      </c>
      <c r="E1469" s="187" t="n">
        <f aca="false">IFERROR(SUMPRODUCT((IF('ABRIL 2026'!Y6:Y119&lt;&gt;"",'ABRIL 2026'!Y6:Y119,'ABRIL 2026'!I6:I119)="TINGO")*('ABRIL 2026'!K6:K119="GASOLINA")*'ABRIL 2026'!M6:M119),0)</f>
        <v>0</v>
      </c>
      <c r="F1469" s="187" t="n">
        <f aca="false">IFERROR(SUMPRODUCT((IF('ABRIL 2026'!Y6:Y119&lt;&gt;"",'ABRIL 2026'!Y6:Y119,'ABRIL 2026'!I6:I119)="TINGO")*('ABRIL 2026'!K6:K119="GASOLINA")*'ABRIL 2026'!N6:N119),0)</f>
        <v>0</v>
      </c>
    </row>
    <row r="1470" customFormat="false" ht="15" hidden="false" customHeight="true" outlineLevel="0" collapsed="false">
      <c r="A1470" s="1" t="s">
        <v>78</v>
      </c>
      <c r="B1470" s="1" t="s">
        <v>5169</v>
      </c>
      <c r="C1470" s="187" t="n">
        <f aca="false">IFERROR(SUMPRODUCT((IF('MAYO 2026'!Y6:Y110&lt;&gt;"",'MAYO 2026'!Y6:Y110,'MAYO 2026'!I6:I110)="TINGO")*('MAYO 2026'!K6:K110="PETROLEO")*'MAYO 2026'!M6:M110),0)</f>
        <v>0</v>
      </c>
      <c r="D1470" s="187" t="n">
        <f aca="false">IFERROR(SUMPRODUCT((IF('MAYO 2026'!Y6:Y110&lt;&gt;"",'MAYO 2026'!Y6:Y110,'MAYO 2026'!I6:I110)="TINGO")*('MAYO 2026'!K6:K110="PETROLEO")*'MAYO 2026'!N6:N110),0)</f>
        <v>0</v>
      </c>
      <c r="E1470" s="187" t="n">
        <f aca="false">IFERROR(SUMPRODUCT((IF('MAYO 2026'!Y6:Y110&lt;&gt;"",'MAYO 2026'!Y6:Y110,'MAYO 2026'!I6:I110)="TINGO")*('MAYO 2026'!K6:K110="GASOLINA")*'MAYO 2026'!M6:M110),0)</f>
        <v>0</v>
      </c>
      <c r="F1470" s="187" t="n">
        <f aca="false">IFERROR(SUMPRODUCT((IF('MAYO 2026'!Y6:Y110&lt;&gt;"",'MAYO 2026'!Y6:Y110,'MAYO 2026'!I6:I110)="TINGO")*('MAYO 2026'!K6:K110="GASOLINA")*'MAYO 2026'!N6:N110),0)</f>
        <v>0</v>
      </c>
    </row>
    <row r="1471" customFormat="false" ht="15" hidden="false" customHeight="true" outlineLevel="0" collapsed="false">
      <c r="A1471" s="1" t="s">
        <v>78</v>
      </c>
      <c r="B1471" s="1" t="s">
        <v>5170</v>
      </c>
      <c r="C1471" s="187" t="n">
        <f aca="false">IFERROR(SUMPRODUCT((IF('JUNIO 2026'!Y6:Y110&lt;&gt;"",'JUNIO 2026'!Y6:Y110,'JUNIO 2026'!I6:I110)="TINGO")*('JUNIO 2026'!K6:K110="PETROLEO")*'JUNIO 2026'!M6:M110),0)</f>
        <v>0</v>
      </c>
      <c r="D1471" s="187" t="n">
        <f aca="false">IFERROR(SUMPRODUCT((IF('JUNIO 2026'!Y6:Y110&lt;&gt;"",'JUNIO 2026'!Y6:Y110,'JUNIO 2026'!I6:I110)="TINGO")*('JUNIO 2026'!K6:K110="PETROLEO")*'JUNIO 2026'!N6:N110),0)</f>
        <v>0</v>
      </c>
      <c r="E1471" s="187" t="n">
        <f aca="false">IFERROR(SUMPRODUCT((IF('JUNIO 2026'!Y6:Y110&lt;&gt;"",'JUNIO 2026'!Y6:Y110,'JUNIO 2026'!I6:I110)="TINGO")*('JUNIO 2026'!K6:K110="GASOLINA")*'JUNIO 2026'!M6:M110),0)</f>
        <v>0</v>
      </c>
      <c r="F1471" s="187" t="n">
        <f aca="false">IFERROR(SUMPRODUCT((IF('JUNIO 2026'!Y6:Y110&lt;&gt;"",'JUNIO 2026'!Y6:Y110,'JUNIO 2026'!I6:I110)="TINGO")*('JUNIO 2026'!K6:K110="GASOLINA")*'JUNIO 2026'!N6:N110),0)</f>
        <v>0</v>
      </c>
    </row>
    <row r="1472" customFormat="false" ht="15" hidden="false" customHeight="true" outlineLevel="0" collapsed="false">
      <c r="A1472" s="1" t="s">
        <v>78</v>
      </c>
      <c r="B1472" s="1" t="s">
        <v>5171</v>
      </c>
      <c r="C1472" s="187" t="n">
        <f aca="false">IFERROR(SUMPRODUCT((IF('JULIO 2026'!Y6:Y110&lt;&gt;"",'JULIO 2026'!Y6:Y110,'JULIO 2026'!I6:I110)="TINGO")*('JULIO 2026'!K6:K110="PETROLEO")*'JULIO 2026'!M6:M110),0)</f>
        <v>0</v>
      </c>
      <c r="D1472" s="187" t="n">
        <f aca="false">IFERROR(SUMPRODUCT((IF('JULIO 2026'!Y6:Y110&lt;&gt;"",'JULIO 2026'!Y6:Y110,'JULIO 2026'!I6:I110)="TINGO")*('JULIO 2026'!K6:K110="PETROLEO")*'JULIO 2026'!N6:N110),0)</f>
        <v>0</v>
      </c>
      <c r="E1472" s="187" t="n">
        <f aca="false">IFERROR(SUMPRODUCT((IF('JULIO 2026'!Y6:Y110&lt;&gt;"",'JULIO 2026'!Y6:Y110,'JULIO 2026'!I6:I110)="TINGO")*('JULIO 2026'!K6:K110="GASOLINA")*'JULIO 2026'!M6:M110),0)</f>
        <v>0</v>
      </c>
      <c r="F1472" s="187" t="n">
        <f aca="false">IFERROR(SUMPRODUCT((IF('JULIO 2026'!Y6:Y110&lt;&gt;"",'JULIO 2026'!Y6:Y110,'JULIO 2026'!I6:I110)="TINGO")*('JULIO 2026'!K6:K110="GASOLINA")*'JULIO 2026'!N6:N110),0)</f>
        <v>0</v>
      </c>
    </row>
    <row r="1473" customFormat="false" ht="15" hidden="false" customHeight="true" outlineLevel="0" collapsed="false">
      <c r="A1473" s="1" t="s">
        <v>78</v>
      </c>
      <c r="B1473" s="1" t="s">
        <v>5172</v>
      </c>
      <c r="C1473" s="187" t="n">
        <f aca="false">IFERROR(SUMPRODUCT((IF('AGOSTO 2026'!Y6:Y110&lt;&gt;"",'AGOSTO 2026'!Y6:Y110,'AGOSTO 2026'!I6:I110)="TINGO")*('AGOSTO 2026'!K6:K110="PETROLEO")*'AGOSTO 2026'!M6:M110),0)</f>
        <v>0</v>
      </c>
      <c r="D1473" s="187" t="n">
        <f aca="false">IFERROR(SUMPRODUCT((IF('AGOSTO 2026'!Y6:Y110&lt;&gt;"",'AGOSTO 2026'!Y6:Y110,'AGOSTO 2026'!I6:I110)="TINGO")*('AGOSTO 2026'!K6:K110="PETROLEO")*'AGOSTO 2026'!N6:N110),0)</f>
        <v>0</v>
      </c>
      <c r="E1473" s="187" t="n">
        <f aca="false">IFERROR(SUMPRODUCT((IF('AGOSTO 2026'!Y6:Y110&lt;&gt;"",'AGOSTO 2026'!Y6:Y110,'AGOSTO 2026'!I6:I110)="TINGO")*('AGOSTO 2026'!K6:K110="GASOLINA")*'AGOSTO 2026'!M6:M110),0)</f>
        <v>0</v>
      </c>
      <c r="F1473" s="187" t="n">
        <f aca="false">IFERROR(SUMPRODUCT((IF('AGOSTO 2026'!Y6:Y110&lt;&gt;"",'AGOSTO 2026'!Y6:Y110,'AGOSTO 2026'!I6:I110)="TINGO")*('AGOSTO 2026'!K6:K110="GASOLINA")*'AGOSTO 2026'!N6:N110),0)</f>
        <v>0</v>
      </c>
    </row>
    <row r="1474" customFormat="false" ht="15" hidden="false" customHeight="true" outlineLevel="0" collapsed="false">
      <c r="A1474" s="1" t="s">
        <v>78</v>
      </c>
      <c r="B1474" s="1" t="s">
        <v>5173</v>
      </c>
      <c r="C1474" s="187" t="n">
        <f aca="false">IFERROR(SUMPRODUCT((IF('SETIEMBRE 2026'!Y6:Y110&lt;&gt;"",'SETIEMBRE 2026'!Y6:Y110,'SETIEMBRE 2026'!I6:I110)="TINGO")*('SETIEMBRE 2026'!K6:K110="PETROLEO")*'SETIEMBRE 2026'!M6:M110),0)</f>
        <v>0</v>
      </c>
      <c r="D1474" s="187" t="n">
        <f aca="false">IFERROR(SUMPRODUCT((IF('SETIEMBRE 2026'!Y6:Y110&lt;&gt;"",'SETIEMBRE 2026'!Y6:Y110,'SETIEMBRE 2026'!I6:I110)="TINGO")*('SETIEMBRE 2026'!K6:K110="PETROLEO")*'SETIEMBRE 2026'!N6:N110),0)</f>
        <v>0</v>
      </c>
      <c r="E1474" s="187" t="n">
        <f aca="false">IFERROR(SUMPRODUCT((IF('SETIEMBRE 2026'!Y6:Y110&lt;&gt;"",'SETIEMBRE 2026'!Y6:Y110,'SETIEMBRE 2026'!I6:I110)="TINGO")*('SETIEMBRE 2026'!K6:K110="GASOLINA")*'SETIEMBRE 2026'!M6:M110),0)</f>
        <v>0</v>
      </c>
      <c r="F1474" s="187" t="n">
        <f aca="false">IFERROR(SUMPRODUCT((IF('SETIEMBRE 2026'!Y6:Y110&lt;&gt;"",'SETIEMBRE 2026'!Y6:Y110,'SETIEMBRE 2026'!I6:I110)="TINGO")*('SETIEMBRE 2026'!K6:K110="GASOLINA")*'SETIEMBRE 2026'!N6:N110),0)</f>
        <v>0</v>
      </c>
    </row>
    <row r="1475" customFormat="false" ht="15" hidden="false" customHeight="true" outlineLevel="0" collapsed="false">
      <c r="A1475" s="1" t="s">
        <v>78</v>
      </c>
      <c r="B1475" s="1" t="s">
        <v>5174</v>
      </c>
      <c r="C1475" s="187" t="n">
        <f aca="false">IFERROR(SUMPRODUCT((IF('OCTUBRE 2026'!Y6:Y110&lt;&gt;"",'OCTUBRE 2026'!Y6:Y110,'OCTUBRE 2026'!I6:I110)="TINGO")*('OCTUBRE 2026'!K6:K110="PETROLEO")*'OCTUBRE 2026'!M6:M110),0)</f>
        <v>0</v>
      </c>
      <c r="D1475" s="187" t="n">
        <f aca="false">IFERROR(SUMPRODUCT((IF('OCTUBRE 2026'!Y6:Y110&lt;&gt;"",'OCTUBRE 2026'!Y6:Y110,'OCTUBRE 2026'!I6:I110)="TINGO")*('OCTUBRE 2026'!K6:K110="PETROLEO")*'OCTUBRE 2026'!N6:N110),0)</f>
        <v>0</v>
      </c>
      <c r="E1475" s="187" t="n">
        <f aca="false">IFERROR(SUMPRODUCT((IF('OCTUBRE 2026'!Y6:Y110&lt;&gt;"",'OCTUBRE 2026'!Y6:Y110,'OCTUBRE 2026'!I6:I110)="TINGO")*('OCTUBRE 2026'!K6:K110="GASOLINA")*'OCTUBRE 2026'!M6:M110),0)</f>
        <v>0</v>
      </c>
      <c r="F1475" s="187" t="n">
        <f aca="false">IFERROR(SUMPRODUCT((IF('OCTUBRE 2026'!Y6:Y110&lt;&gt;"",'OCTUBRE 2026'!Y6:Y110,'OCTUBRE 2026'!I6:I110)="TINGO")*('OCTUBRE 2026'!K6:K110="GASOLINA")*'OCTUBRE 2026'!N6:N110),0)</f>
        <v>0</v>
      </c>
    </row>
    <row r="1476" customFormat="false" ht="15" hidden="false" customHeight="true" outlineLevel="0" collapsed="false">
      <c r="A1476" s="1" t="s">
        <v>78</v>
      </c>
      <c r="B1476" s="1" t="s">
        <v>5175</v>
      </c>
      <c r="C1476" s="187" t="n">
        <f aca="false">IFERROR(SUMPRODUCT((IF('NOVIEMBRE 2026'!Y6:Y110&lt;&gt;"",'NOVIEMBRE 2026'!Y6:Y110,'NOVIEMBRE 2026'!I6:I110)="TINGO")*('NOVIEMBRE 2026'!K6:K110="PETROLEO")*'NOVIEMBRE 2026'!M6:M110),0)</f>
        <v>0</v>
      </c>
      <c r="D1476" s="187" t="n">
        <f aca="false">IFERROR(SUMPRODUCT((IF('NOVIEMBRE 2026'!Y6:Y110&lt;&gt;"",'NOVIEMBRE 2026'!Y6:Y110,'NOVIEMBRE 2026'!I6:I110)="TINGO")*('NOVIEMBRE 2026'!K6:K110="PETROLEO")*'NOVIEMBRE 2026'!N6:N110),0)</f>
        <v>0</v>
      </c>
      <c r="E1476" s="187" t="n">
        <f aca="false">IFERROR(SUMPRODUCT((IF('NOVIEMBRE 2026'!Y6:Y110&lt;&gt;"",'NOVIEMBRE 2026'!Y6:Y110,'NOVIEMBRE 2026'!I6:I110)="TINGO")*('NOVIEMBRE 2026'!K6:K110="GASOLINA")*'NOVIEMBRE 2026'!M6:M110),0)</f>
        <v>0</v>
      </c>
      <c r="F1476" s="187" t="n">
        <f aca="false">IFERROR(SUMPRODUCT((IF('NOVIEMBRE 2026'!Y6:Y110&lt;&gt;"",'NOVIEMBRE 2026'!Y6:Y110,'NOVIEMBRE 2026'!I6:I110)="TINGO")*('NOVIEMBRE 2026'!K6:K110="GASOLINA")*'NOVIEMBRE 2026'!N6:N110),0)</f>
        <v>0</v>
      </c>
    </row>
    <row r="1477" customFormat="false" ht="15" hidden="false" customHeight="true" outlineLevel="0" collapsed="false">
      <c r="A1477" s="1" t="s">
        <v>78</v>
      </c>
      <c r="B1477" s="1" t="s">
        <v>5176</v>
      </c>
      <c r="C1477" s="187" t="n">
        <f aca="false">IFERROR(SUMPRODUCT((IF('DICIEMBRE 2026'!Y6:Y110&lt;&gt;"",'DICIEMBRE 2026'!Y6:Y110,'DICIEMBRE 2026'!I6:I110)="TINGO")*('DICIEMBRE 2026'!K6:K110="PETROLEO")*'DICIEMBRE 2026'!M6:M110),0)</f>
        <v>0</v>
      </c>
      <c r="D1477" s="187" t="n">
        <f aca="false">IFERROR(SUMPRODUCT((IF('DICIEMBRE 2026'!Y6:Y110&lt;&gt;"",'DICIEMBRE 2026'!Y6:Y110,'DICIEMBRE 2026'!I6:I110)="TINGO")*('DICIEMBRE 2026'!K6:K110="PETROLEO")*'DICIEMBRE 2026'!N6:N110),0)</f>
        <v>0</v>
      </c>
      <c r="E1477" s="187" t="n">
        <f aca="false">IFERROR(SUMPRODUCT((IF('DICIEMBRE 2026'!Y6:Y110&lt;&gt;"",'DICIEMBRE 2026'!Y6:Y110,'DICIEMBRE 2026'!I6:I110)="TINGO")*('DICIEMBRE 2026'!K6:K110="GASOLINA")*'DICIEMBRE 2026'!M6:M110),0)</f>
        <v>0</v>
      </c>
      <c r="F1477" s="187" t="n">
        <f aca="false">IFERROR(SUMPRODUCT((IF('DICIEMBRE 2026'!Y6:Y110&lt;&gt;"",'DICIEMBRE 2026'!Y6:Y110,'DICIEMBRE 2026'!I6:I110)="TINGO")*('DICIEMBRE 2026'!K6:K110="GASOLINA")*'DICIEMBRE 2026'!N6:N110),0)</f>
        <v>0</v>
      </c>
    </row>
    <row r="1478" customFormat="false" ht="15" hidden="false" customHeight="true" outlineLevel="0" collapsed="false">
      <c r="A1478" s="1" t="s">
        <v>80</v>
      </c>
      <c r="B1478" s="1" t="s">
        <v>5165</v>
      </c>
      <c r="C1478" s="187" t="n">
        <f aca="false">IFERROR(SUMPRODUCT((IF('ENERO 2026'!Y6:Y119&lt;&gt;"",'ENERO 2026'!Y6:Y119,'ENERO 2026'!I6:I119)="TOTORA")*('ENERO 2026'!K6:K119="PETROLEO")*'ENERO 2026'!M6:M119),0)</f>
        <v>36</v>
      </c>
      <c r="D1478" s="187" t="n">
        <f aca="false">IFERROR(SUMPRODUCT((IF('ENERO 2026'!Y6:Y119&lt;&gt;"",'ENERO 2026'!Y6:Y119,'ENERO 2026'!I6:I119)="TOTORA")*('ENERO 2026'!K6:K119="PETROLEO")*'ENERO 2026'!N6:N119),0)</f>
        <v>0</v>
      </c>
      <c r="E1478" s="187" t="n">
        <f aca="false">IFERROR(SUMPRODUCT((IF('ENERO 2026'!Y6:Y119&lt;&gt;"",'ENERO 2026'!Y6:Y119,'ENERO 2026'!I6:I119)="TOTORA")*('ENERO 2026'!K6:K119="GASOLINA")*'ENERO 2026'!M6:M119),0)</f>
        <v>0</v>
      </c>
      <c r="F1478" s="187" t="n">
        <f aca="false">IFERROR(SUMPRODUCT((IF('ENERO 2026'!Y6:Y119&lt;&gt;"",'ENERO 2026'!Y6:Y119,'ENERO 2026'!I6:I119)="TOTORA")*('ENERO 2026'!K6:K119="GASOLINA")*'ENERO 2026'!N6:N119),0)</f>
        <v>0</v>
      </c>
    </row>
    <row r="1479" customFormat="false" ht="15" hidden="false" customHeight="true" outlineLevel="0" collapsed="false">
      <c r="A1479" s="1" t="s">
        <v>80</v>
      </c>
      <c r="B1479" s="1" t="s">
        <v>5166</v>
      </c>
      <c r="C1479" s="187" t="n">
        <f aca="false">IFERROR(SUMPRODUCT((IF('FEBRERO 2026'!Y6:Y124&lt;&gt;"",'FEBRERO 2026'!Y6:Y124,'FEBRERO 2026'!I6:I124)="TOTORA")*('FEBRERO 2026'!K6:K124="PETROLEO")*'FEBRERO 2026'!M6:M124),0)</f>
        <v>0</v>
      </c>
      <c r="D1479" s="187" t="n">
        <f aca="false">IFERROR(SUMPRODUCT((IF('FEBRERO 2026'!Y6:Y124&lt;&gt;"",'FEBRERO 2026'!Y6:Y124,'FEBRERO 2026'!I6:I124)="TOTORA")*('FEBRERO 2026'!K6:K124="PETROLEO")*'FEBRERO 2026'!N6:N124),0)</f>
        <v>0</v>
      </c>
      <c r="E1479" s="187" t="n">
        <f aca="false">IFERROR(SUMPRODUCT((IF('FEBRERO 2026'!Y6:Y124&lt;&gt;"",'FEBRERO 2026'!Y6:Y124,'FEBRERO 2026'!I6:I124)="TOTORA")*('FEBRERO 2026'!K6:K124="GASOLINA")*'FEBRERO 2026'!M6:M124),0)</f>
        <v>0</v>
      </c>
      <c r="F1479" s="187" t="n">
        <f aca="false">IFERROR(SUMPRODUCT((IF('FEBRERO 2026'!Y6:Y124&lt;&gt;"",'FEBRERO 2026'!Y6:Y124,'FEBRERO 2026'!I6:I124)="TOTORA")*('FEBRERO 2026'!K6:K124="GASOLINA")*'FEBRERO 2026'!N6:N124),0)</f>
        <v>0</v>
      </c>
    </row>
    <row r="1480" customFormat="false" ht="15" hidden="false" customHeight="true" outlineLevel="0" collapsed="false">
      <c r="A1480" s="1" t="s">
        <v>80</v>
      </c>
      <c r="B1480" s="1" t="s">
        <v>5167</v>
      </c>
      <c r="C1480" s="187" t="n">
        <f aca="false">IFERROR(SUMPRODUCT((IF('MARZO 2026'!Y6:Y119&lt;&gt;"",'MARZO 2026'!Y6:Y119,'MARZO 2026'!I6:I119)="TOTORA")*('MARZO 2026'!K6:K119="PETROLEO")*'MARZO 2026'!M6:M119),0)</f>
        <v>0</v>
      </c>
      <c r="D1480" s="187" t="n">
        <f aca="false">IFERROR(SUMPRODUCT((IF('MARZO 2026'!Y6:Y119&lt;&gt;"",'MARZO 2026'!Y6:Y119,'MARZO 2026'!I6:I119)="TOTORA")*('MARZO 2026'!K6:K119="PETROLEO")*'MARZO 2026'!N6:N119),0)</f>
        <v>0</v>
      </c>
      <c r="E1480" s="187" t="n">
        <f aca="false">IFERROR(SUMPRODUCT((IF('MARZO 2026'!Y6:Y119&lt;&gt;"",'MARZO 2026'!Y6:Y119,'MARZO 2026'!I6:I119)="TOTORA")*('MARZO 2026'!K6:K119="GASOLINA")*'MARZO 2026'!M6:M119),0)</f>
        <v>0</v>
      </c>
      <c r="F1480" s="187" t="n">
        <f aca="false">IFERROR(SUMPRODUCT((IF('MARZO 2026'!Y6:Y119&lt;&gt;"",'MARZO 2026'!Y6:Y119,'MARZO 2026'!I6:I119)="TOTORA")*('MARZO 2026'!K6:K119="GASOLINA")*'MARZO 2026'!N6:N119),0)</f>
        <v>0</v>
      </c>
    </row>
    <row r="1481" customFormat="false" ht="15" hidden="false" customHeight="true" outlineLevel="0" collapsed="false">
      <c r="A1481" s="1" t="s">
        <v>80</v>
      </c>
      <c r="B1481" s="1" t="s">
        <v>5168</v>
      </c>
      <c r="C1481" s="187" t="n">
        <f aca="false">IFERROR(SUMPRODUCT((IF('ABRIL 2026'!Y6:Y119&lt;&gt;"",'ABRIL 2026'!Y6:Y119,'ABRIL 2026'!I6:I119)="TOTORA")*('ABRIL 2026'!K6:K119="PETROLEO")*'ABRIL 2026'!M6:M119),0)</f>
        <v>0</v>
      </c>
      <c r="D1481" s="187" t="n">
        <f aca="false">IFERROR(SUMPRODUCT((IF('ABRIL 2026'!Y6:Y119&lt;&gt;"",'ABRIL 2026'!Y6:Y119,'ABRIL 2026'!I6:I119)="TOTORA")*('ABRIL 2026'!K6:K119="PETROLEO")*'ABRIL 2026'!N6:N119),0)</f>
        <v>0</v>
      </c>
      <c r="E1481" s="187" t="n">
        <f aca="false">IFERROR(SUMPRODUCT((IF('ABRIL 2026'!Y6:Y119&lt;&gt;"",'ABRIL 2026'!Y6:Y119,'ABRIL 2026'!I6:I119)="TOTORA")*('ABRIL 2026'!K6:K119="GASOLINA")*'ABRIL 2026'!M6:M119),0)</f>
        <v>0</v>
      </c>
      <c r="F1481" s="187" t="n">
        <f aca="false">IFERROR(SUMPRODUCT((IF('ABRIL 2026'!Y6:Y119&lt;&gt;"",'ABRIL 2026'!Y6:Y119,'ABRIL 2026'!I6:I119)="TOTORA")*('ABRIL 2026'!K6:K119="GASOLINA")*'ABRIL 2026'!N6:N119),0)</f>
        <v>0</v>
      </c>
    </row>
    <row r="1482" customFormat="false" ht="15" hidden="false" customHeight="true" outlineLevel="0" collapsed="false">
      <c r="A1482" s="1" t="s">
        <v>80</v>
      </c>
      <c r="B1482" s="1" t="s">
        <v>5169</v>
      </c>
      <c r="C1482" s="187" t="n">
        <f aca="false">IFERROR(SUMPRODUCT((IF('MAYO 2026'!Y6:Y110&lt;&gt;"",'MAYO 2026'!Y6:Y110,'MAYO 2026'!I6:I110)="TOTORA")*('MAYO 2026'!K6:K110="PETROLEO")*'MAYO 2026'!M6:M110),0)</f>
        <v>0</v>
      </c>
      <c r="D1482" s="187" t="n">
        <f aca="false">IFERROR(SUMPRODUCT((IF('MAYO 2026'!Y6:Y110&lt;&gt;"",'MAYO 2026'!Y6:Y110,'MAYO 2026'!I6:I110)="TOTORA")*('MAYO 2026'!K6:K110="PETROLEO")*'MAYO 2026'!N6:N110),0)</f>
        <v>0</v>
      </c>
      <c r="E1482" s="187" t="n">
        <f aca="false">IFERROR(SUMPRODUCT((IF('MAYO 2026'!Y6:Y110&lt;&gt;"",'MAYO 2026'!Y6:Y110,'MAYO 2026'!I6:I110)="TOTORA")*('MAYO 2026'!K6:K110="GASOLINA")*'MAYO 2026'!M6:M110),0)</f>
        <v>0</v>
      </c>
      <c r="F1482" s="187" t="n">
        <f aca="false">IFERROR(SUMPRODUCT((IF('MAYO 2026'!Y6:Y110&lt;&gt;"",'MAYO 2026'!Y6:Y110,'MAYO 2026'!I6:I110)="TOTORA")*('MAYO 2026'!K6:K110="GASOLINA")*'MAYO 2026'!N6:N110),0)</f>
        <v>0</v>
      </c>
    </row>
    <row r="1483" customFormat="false" ht="15" hidden="false" customHeight="true" outlineLevel="0" collapsed="false">
      <c r="A1483" s="1" t="s">
        <v>80</v>
      </c>
      <c r="B1483" s="1" t="s">
        <v>5170</v>
      </c>
      <c r="C1483" s="187" t="n">
        <f aca="false">IFERROR(SUMPRODUCT((IF('JUNIO 2026'!Y6:Y110&lt;&gt;"",'JUNIO 2026'!Y6:Y110,'JUNIO 2026'!I6:I110)="TOTORA")*('JUNIO 2026'!K6:K110="PETROLEO")*'JUNIO 2026'!M6:M110),0)</f>
        <v>0</v>
      </c>
      <c r="D1483" s="187" t="n">
        <f aca="false">IFERROR(SUMPRODUCT((IF('JUNIO 2026'!Y6:Y110&lt;&gt;"",'JUNIO 2026'!Y6:Y110,'JUNIO 2026'!I6:I110)="TOTORA")*('JUNIO 2026'!K6:K110="PETROLEO")*'JUNIO 2026'!N6:N110),0)</f>
        <v>0</v>
      </c>
      <c r="E1483" s="187" t="n">
        <f aca="false">IFERROR(SUMPRODUCT((IF('JUNIO 2026'!Y6:Y110&lt;&gt;"",'JUNIO 2026'!Y6:Y110,'JUNIO 2026'!I6:I110)="TOTORA")*('JUNIO 2026'!K6:K110="GASOLINA")*'JUNIO 2026'!M6:M110),0)</f>
        <v>0</v>
      </c>
      <c r="F1483" s="187" t="n">
        <f aca="false">IFERROR(SUMPRODUCT((IF('JUNIO 2026'!Y6:Y110&lt;&gt;"",'JUNIO 2026'!Y6:Y110,'JUNIO 2026'!I6:I110)="TOTORA")*('JUNIO 2026'!K6:K110="GASOLINA")*'JUNIO 2026'!N6:N110),0)</f>
        <v>0</v>
      </c>
    </row>
    <row r="1484" customFormat="false" ht="15" hidden="false" customHeight="true" outlineLevel="0" collapsed="false">
      <c r="A1484" s="1" t="s">
        <v>80</v>
      </c>
      <c r="B1484" s="1" t="s">
        <v>5171</v>
      </c>
      <c r="C1484" s="187" t="n">
        <f aca="false">IFERROR(SUMPRODUCT((IF('JULIO 2026'!Y6:Y110&lt;&gt;"",'JULIO 2026'!Y6:Y110,'JULIO 2026'!I6:I110)="TOTORA")*('JULIO 2026'!K6:K110="PETROLEO")*'JULIO 2026'!M6:M110),0)</f>
        <v>0</v>
      </c>
      <c r="D1484" s="187" t="n">
        <f aca="false">IFERROR(SUMPRODUCT((IF('JULIO 2026'!Y6:Y110&lt;&gt;"",'JULIO 2026'!Y6:Y110,'JULIO 2026'!I6:I110)="TOTORA")*('JULIO 2026'!K6:K110="PETROLEO")*'JULIO 2026'!N6:N110),0)</f>
        <v>0</v>
      </c>
      <c r="E1484" s="187" t="n">
        <f aca="false">IFERROR(SUMPRODUCT((IF('JULIO 2026'!Y6:Y110&lt;&gt;"",'JULIO 2026'!Y6:Y110,'JULIO 2026'!I6:I110)="TOTORA")*('JULIO 2026'!K6:K110="GASOLINA")*'JULIO 2026'!M6:M110),0)</f>
        <v>0</v>
      </c>
      <c r="F1484" s="187" t="n">
        <f aca="false">IFERROR(SUMPRODUCT((IF('JULIO 2026'!Y6:Y110&lt;&gt;"",'JULIO 2026'!Y6:Y110,'JULIO 2026'!I6:I110)="TOTORA")*('JULIO 2026'!K6:K110="GASOLINA")*'JULIO 2026'!N6:N110),0)</f>
        <v>0</v>
      </c>
    </row>
    <row r="1485" customFormat="false" ht="15" hidden="false" customHeight="true" outlineLevel="0" collapsed="false">
      <c r="A1485" s="1" t="s">
        <v>80</v>
      </c>
      <c r="B1485" s="1" t="s">
        <v>5172</v>
      </c>
      <c r="C1485" s="187" t="n">
        <f aca="false">IFERROR(SUMPRODUCT((IF('AGOSTO 2026'!Y6:Y110&lt;&gt;"",'AGOSTO 2026'!Y6:Y110,'AGOSTO 2026'!I6:I110)="TOTORA")*('AGOSTO 2026'!K6:K110="PETROLEO")*'AGOSTO 2026'!M6:M110),0)</f>
        <v>0</v>
      </c>
      <c r="D1485" s="187" t="n">
        <f aca="false">IFERROR(SUMPRODUCT((IF('AGOSTO 2026'!Y6:Y110&lt;&gt;"",'AGOSTO 2026'!Y6:Y110,'AGOSTO 2026'!I6:I110)="TOTORA")*('AGOSTO 2026'!K6:K110="PETROLEO")*'AGOSTO 2026'!N6:N110),0)</f>
        <v>0</v>
      </c>
      <c r="E1485" s="187" t="n">
        <f aca="false">IFERROR(SUMPRODUCT((IF('AGOSTO 2026'!Y6:Y110&lt;&gt;"",'AGOSTO 2026'!Y6:Y110,'AGOSTO 2026'!I6:I110)="TOTORA")*('AGOSTO 2026'!K6:K110="GASOLINA")*'AGOSTO 2026'!M6:M110),0)</f>
        <v>0</v>
      </c>
      <c r="F1485" s="187" t="n">
        <f aca="false">IFERROR(SUMPRODUCT((IF('AGOSTO 2026'!Y6:Y110&lt;&gt;"",'AGOSTO 2026'!Y6:Y110,'AGOSTO 2026'!I6:I110)="TOTORA")*('AGOSTO 2026'!K6:K110="GASOLINA")*'AGOSTO 2026'!N6:N110),0)</f>
        <v>0</v>
      </c>
    </row>
    <row r="1486" customFormat="false" ht="15" hidden="false" customHeight="true" outlineLevel="0" collapsed="false">
      <c r="A1486" s="1" t="s">
        <v>80</v>
      </c>
      <c r="B1486" s="1" t="s">
        <v>5173</v>
      </c>
      <c r="C1486" s="187" t="n">
        <f aca="false">IFERROR(SUMPRODUCT((IF('SETIEMBRE 2026'!Y6:Y110&lt;&gt;"",'SETIEMBRE 2026'!Y6:Y110,'SETIEMBRE 2026'!I6:I110)="TOTORA")*('SETIEMBRE 2026'!K6:K110="PETROLEO")*'SETIEMBRE 2026'!M6:M110),0)</f>
        <v>0</v>
      </c>
      <c r="D1486" s="187" t="n">
        <f aca="false">IFERROR(SUMPRODUCT((IF('SETIEMBRE 2026'!Y6:Y110&lt;&gt;"",'SETIEMBRE 2026'!Y6:Y110,'SETIEMBRE 2026'!I6:I110)="TOTORA")*('SETIEMBRE 2026'!K6:K110="PETROLEO")*'SETIEMBRE 2026'!N6:N110),0)</f>
        <v>0</v>
      </c>
      <c r="E1486" s="187" t="n">
        <f aca="false">IFERROR(SUMPRODUCT((IF('SETIEMBRE 2026'!Y6:Y110&lt;&gt;"",'SETIEMBRE 2026'!Y6:Y110,'SETIEMBRE 2026'!I6:I110)="TOTORA")*('SETIEMBRE 2026'!K6:K110="GASOLINA")*'SETIEMBRE 2026'!M6:M110),0)</f>
        <v>0</v>
      </c>
      <c r="F1486" s="187" t="n">
        <f aca="false">IFERROR(SUMPRODUCT((IF('SETIEMBRE 2026'!Y6:Y110&lt;&gt;"",'SETIEMBRE 2026'!Y6:Y110,'SETIEMBRE 2026'!I6:I110)="TOTORA")*('SETIEMBRE 2026'!K6:K110="GASOLINA")*'SETIEMBRE 2026'!N6:N110),0)</f>
        <v>0</v>
      </c>
    </row>
    <row r="1487" customFormat="false" ht="15" hidden="false" customHeight="true" outlineLevel="0" collapsed="false">
      <c r="A1487" s="1" t="s">
        <v>80</v>
      </c>
      <c r="B1487" s="1" t="s">
        <v>5174</v>
      </c>
      <c r="C1487" s="187" t="n">
        <f aca="false">IFERROR(SUMPRODUCT((IF('OCTUBRE 2026'!Y6:Y110&lt;&gt;"",'OCTUBRE 2026'!Y6:Y110,'OCTUBRE 2026'!I6:I110)="TOTORA")*('OCTUBRE 2026'!K6:K110="PETROLEO")*'OCTUBRE 2026'!M6:M110),0)</f>
        <v>0</v>
      </c>
      <c r="D1487" s="187" t="n">
        <f aca="false">IFERROR(SUMPRODUCT((IF('OCTUBRE 2026'!Y6:Y110&lt;&gt;"",'OCTUBRE 2026'!Y6:Y110,'OCTUBRE 2026'!I6:I110)="TOTORA")*('OCTUBRE 2026'!K6:K110="PETROLEO")*'OCTUBRE 2026'!N6:N110),0)</f>
        <v>0</v>
      </c>
      <c r="E1487" s="187" t="n">
        <f aca="false">IFERROR(SUMPRODUCT((IF('OCTUBRE 2026'!Y6:Y110&lt;&gt;"",'OCTUBRE 2026'!Y6:Y110,'OCTUBRE 2026'!I6:I110)="TOTORA")*('OCTUBRE 2026'!K6:K110="GASOLINA")*'OCTUBRE 2026'!M6:M110),0)</f>
        <v>0</v>
      </c>
      <c r="F1487" s="187" t="n">
        <f aca="false">IFERROR(SUMPRODUCT((IF('OCTUBRE 2026'!Y6:Y110&lt;&gt;"",'OCTUBRE 2026'!Y6:Y110,'OCTUBRE 2026'!I6:I110)="TOTORA")*('OCTUBRE 2026'!K6:K110="GASOLINA")*'OCTUBRE 2026'!N6:N110),0)</f>
        <v>0</v>
      </c>
    </row>
    <row r="1488" customFormat="false" ht="15" hidden="false" customHeight="true" outlineLevel="0" collapsed="false">
      <c r="A1488" s="1" t="s">
        <v>80</v>
      </c>
      <c r="B1488" s="1" t="s">
        <v>5175</v>
      </c>
      <c r="C1488" s="187" t="n">
        <f aca="false">IFERROR(SUMPRODUCT((IF('NOVIEMBRE 2026'!Y6:Y110&lt;&gt;"",'NOVIEMBRE 2026'!Y6:Y110,'NOVIEMBRE 2026'!I6:I110)="TOTORA")*('NOVIEMBRE 2026'!K6:K110="PETROLEO")*'NOVIEMBRE 2026'!M6:M110),0)</f>
        <v>0</v>
      </c>
      <c r="D1488" s="187" t="n">
        <f aca="false">IFERROR(SUMPRODUCT((IF('NOVIEMBRE 2026'!Y6:Y110&lt;&gt;"",'NOVIEMBRE 2026'!Y6:Y110,'NOVIEMBRE 2026'!I6:I110)="TOTORA")*('NOVIEMBRE 2026'!K6:K110="PETROLEO")*'NOVIEMBRE 2026'!N6:N110),0)</f>
        <v>0</v>
      </c>
      <c r="E1488" s="187" t="n">
        <f aca="false">IFERROR(SUMPRODUCT((IF('NOVIEMBRE 2026'!Y6:Y110&lt;&gt;"",'NOVIEMBRE 2026'!Y6:Y110,'NOVIEMBRE 2026'!I6:I110)="TOTORA")*('NOVIEMBRE 2026'!K6:K110="GASOLINA")*'NOVIEMBRE 2026'!M6:M110),0)</f>
        <v>0</v>
      </c>
      <c r="F1488" s="187" t="n">
        <f aca="false">IFERROR(SUMPRODUCT((IF('NOVIEMBRE 2026'!Y6:Y110&lt;&gt;"",'NOVIEMBRE 2026'!Y6:Y110,'NOVIEMBRE 2026'!I6:I110)="TOTORA")*('NOVIEMBRE 2026'!K6:K110="GASOLINA")*'NOVIEMBRE 2026'!N6:N110),0)</f>
        <v>0</v>
      </c>
    </row>
    <row r="1489" customFormat="false" ht="15" hidden="false" customHeight="true" outlineLevel="0" collapsed="false">
      <c r="A1489" s="1" t="s">
        <v>80</v>
      </c>
      <c r="B1489" s="1" t="s">
        <v>5176</v>
      </c>
      <c r="C1489" s="187" t="n">
        <f aca="false">IFERROR(SUMPRODUCT((IF('DICIEMBRE 2026'!Y6:Y110&lt;&gt;"",'DICIEMBRE 2026'!Y6:Y110,'DICIEMBRE 2026'!I6:I110)="TOTORA")*('DICIEMBRE 2026'!K6:K110="PETROLEO")*'DICIEMBRE 2026'!M6:M110),0)</f>
        <v>0</v>
      </c>
      <c r="D1489" s="187" t="n">
        <f aca="false">IFERROR(SUMPRODUCT((IF('DICIEMBRE 2026'!Y6:Y110&lt;&gt;"",'DICIEMBRE 2026'!Y6:Y110,'DICIEMBRE 2026'!I6:I110)="TOTORA")*('DICIEMBRE 2026'!K6:K110="PETROLEO")*'DICIEMBRE 2026'!N6:N110),0)</f>
        <v>0</v>
      </c>
      <c r="E1489" s="187" t="n">
        <f aca="false">IFERROR(SUMPRODUCT((IF('DICIEMBRE 2026'!Y6:Y110&lt;&gt;"",'DICIEMBRE 2026'!Y6:Y110,'DICIEMBRE 2026'!I6:I110)="TOTORA")*('DICIEMBRE 2026'!K6:K110="GASOLINA")*'DICIEMBRE 2026'!M6:M110),0)</f>
        <v>0</v>
      </c>
      <c r="F1489" s="187" t="n">
        <f aca="false">IFERROR(SUMPRODUCT((IF('DICIEMBRE 2026'!Y6:Y110&lt;&gt;"",'DICIEMBRE 2026'!Y6:Y110,'DICIEMBRE 2026'!I6:I110)="TOTORA")*('DICIEMBRE 2026'!K6:K110="GASOLINA")*'DICIEMBRE 2026'!N6:N110),0)</f>
        <v>0</v>
      </c>
    </row>
    <row r="1490" customFormat="false" ht="15" hidden="false" customHeight="true" outlineLevel="0" collapsed="false">
      <c r="A1490" s="1" t="s">
        <v>279</v>
      </c>
      <c r="B1490" s="1" t="s">
        <v>5165</v>
      </c>
      <c r="C1490" s="187" t="n">
        <f aca="false">IFERROR(SUMPRODUCT((IF('ENERO 2026'!Y6:Y119&lt;&gt;"",'ENERO 2026'!Y6:Y119,'ENERO 2026'!I6:I119)="YAMBRASBAMBA")*('ENERO 2026'!K6:K119="PETROLEO")*'ENERO 2026'!M6:M119),0)</f>
        <v>12</v>
      </c>
      <c r="D1490" s="187" t="n">
        <f aca="false">IFERROR(SUMPRODUCT((IF('ENERO 2026'!Y6:Y119&lt;&gt;"",'ENERO 2026'!Y6:Y119,'ENERO 2026'!I6:I119)="YAMBRASBAMBA")*('ENERO 2026'!K6:K119="PETROLEO")*'ENERO 2026'!N6:N119),0)</f>
        <v>0</v>
      </c>
      <c r="E1490" s="187" t="n">
        <f aca="false">IFERROR(SUMPRODUCT((IF('ENERO 2026'!Y6:Y119&lt;&gt;"",'ENERO 2026'!Y6:Y119,'ENERO 2026'!I6:I119)="YAMBRASBAMBA")*('ENERO 2026'!K6:K119="GASOLINA")*'ENERO 2026'!M6:M119),0)</f>
        <v>0</v>
      </c>
      <c r="F1490" s="187" t="n">
        <f aca="false">IFERROR(SUMPRODUCT((IF('ENERO 2026'!Y6:Y119&lt;&gt;"",'ENERO 2026'!Y6:Y119,'ENERO 2026'!I6:I119)="YAMBRASBAMBA")*('ENERO 2026'!K6:K119="GASOLINA")*'ENERO 2026'!N6:N119),0)</f>
        <v>0</v>
      </c>
    </row>
    <row r="1491" customFormat="false" ht="15" hidden="false" customHeight="true" outlineLevel="0" collapsed="false">
      <c r="A1491" s="1" t="s">
        <v>279</v>
      </c>
      <c r="B1491" s="1" t="s">
        <v>5166</v>
      </c>
      <c r="C1491" s="187" t="n">
        <f aca="false">IFERROR(SUMPRODUCT((IF('FEBRERO 2026'!Y6:Y124&lt;&gt;"",'FEBRERO 2026'!Y6:Y124,'FEBRERO 2026'!I6:I124)="YAMBRASBAMBA")*('FEBRERO 2026'!K6:K124="PETROLEO")*'FEBRERO 2026'!M6:M124),0)</f>
        <v>0</v>
      </c>
      <c r="D1491" s="187" t="n">
        <f aca="false">IFERROR(SUMPRODUCT((IF('FEBRERO 2026'!Y6:Y124&lt;&gt;"",'FEBRERO 2026'!Y6:Y124,'FEBRERO 2026'!I6:I124)="YAMBRASBAMBA")*('FEBRERO 2026'!K6:K124="PETROLEO")*'FEBRERO 2026'!N6:N124),0)</f>
        <v>0</v>
      </c>
      <c r="E1491" s="187" t="n">
        <f aca="false">IFERROR(SUMPRODUCT((IF('FEBRERO 2026'!Y6:Y124&lt;&gt;"",'FEBRERO 2026'!Y6:Y124,'FEBRERO 2026'!I6:I124)="YAMBRASBAMBA")*('FEBRERO 2026'!K6:K124="GASOLINA")*'FEBRERO 2026'!M6:M124),0)</f>
        <v>0</v>
      </c>
      <c r="F1491" s="187" t="n">
        <f aca="false">IFERROR(SUMPRODUCT((IF('FEBRERO 2026'!Y6:Y124&lt;&gt;"",'FEBRERO 2026'!Y6:Y124,'FEBRERO 2026'!I6:I124)="YAMBRASBAMBA")*('FEBRERO 2026'!K6:K124="GASOLINA")*'FEBRERO 2026'!N6:N124),0)</f>
        <v>0</v>
      </c>
    </row>
    <row r="1492" customFormat="false" ht="15" hidden="false" customHeight="true" outlineLevel="0" collapsed="false">
      <c r="A1492" s="1" t="s">
        <v>279</v>
      </c>
      <c r="B1492" s="1" t="s">
        <v>5167</v>
      </c>
      <c r="C1492" s="187" t="n">
        <f aca="false">IFERROR(SUMPRODUCT((IF('MARZO 2026'!Y6:Y119&lt;&gt;"",'MARZO 2026'!Y6:Y119,'MARZO 2026'!I6:I119)="YAMBRASBAMBA")*('MARZO 2026'!K6:K119="PETROLEO")*'MARZO 2026'!M6:M119),0)</f>
        <v>0</v>
      </c>
      <c r="D1492" s="187" t="n">
        <f aca="false">IFERROR(SUMPRODUCT((IF('MARZO 2026'!Y6:Y119&lt;&gt;"",'MARZO 2026'!Y6:Y119,'MARZO 2026'!I6:I119)="YAMBRASBAMBA")*('MARZO 2026'!K6:K119="PETROLEO")*'MARZO 2026'!N6:N119),0)</f>
        <v>0</v>
      </c>
      <c r="E1492" s="187" t="n">
        <f aca="false">IFERROR(SUMPRODUCT((IF('MARZO 2026'!Y6:Y119&lt;&gt;"",'MARZO 2026'!Y6:Y119,'MARZO 2026'!I6:I119)="YAMBRASBAMBA")*('MARZO 2026'!K6:K119="GASOLINA")*'MARZO 2026'!M6:M119),0)</f>
        <v>0</v>
      </c>
      <c r="F1492" s="187" t="n">
        <f aca="false">IFERROR(SUMPRODUCT((IF('MARZO 2026'!Y6:Y119&lt;&gt;"",'MARZO 2026'!Y6:Y119,'MARZO 2026'!I6:I119)="YAMBRASBAMBA")*('MARZO 2026'!K6:K119="GASOLINA")*'MARZO 2026'!N6:N119),0)</f>
        <v>0</v>
      </c>
    </row>
    <row r="1493" customFormat="false" ht="15" hidden="false" customHeight="true" outlineLevel="0" collapsed="false">
      <c r="A1493" s="1" t="s">
        <v>279</v>
      </c>
      <c r="B1493" s="1" t="s">
        <v>5168</v>
      </c>
      <c r="C1493" s="187" t="n">
        <f aca="false">IFERROR(SUMPRODUCT((IF('ABRIL 2026'!Y6:Y119&lt;&gt;"",'ABRIL 2026'!Y6:Y119,'ABRIL 2026'!I6:I119)="YAMBRASBAMBA")*('ABRIL 2026'!K6:K119="PETROLEO")*'ABRIL 2026'!M6:M119),0)</f>
        <v>0</v>
      </c>
      <c r="D1493" s="187" t="n">
        <f aca="false">IFERROR(SUMPRODUCT((IF('ABRIL 2026'!Y6:Y119&lt;&gt;"",'ABRIL 2026'!Y6:Y119,'ABRIL 2026'!I6:I119)="YAMBRASBAMBA")*('ABRIL 2026'!K6:K119="PETROLEO")*'ABRIL 2026'!N6:N119),0)</f>
        <v>0</v>
      </c>
      <c r="E1493" s="187" t="n">
        <f aca="false">IFERROR(SUMPRODUCT((IF('ABRIL 2026'!Y6:Y119&lt;&gt;"",'ABRIL 2026'!Y6:Y119,'ABRIL 2026'!I6:I119)="YAMBRASBAMBA")*('ABRIL 2026'!K6:K119="GASOLINA")*'ABRIL 2026'!M6:M119),0)</f>
        <v>0</v>
      </c>
      <c r="F1493" s="187" t="n">
        <f aca="false">IFERROR(SUMPRODUCT((IF('ABRIL 2026'!Y6:Y119&lt;&gt;"",'ABRIL 2026'!Y6:Y119,'ABRIL 2026'!I6:I119)="YAMBRASBAMBA")*('ABRIL 2026'!K6:K119="GASOLINA")*'ABRIL 2026'!N6:N119),0)</f>
        <v>0</v>
      </c>
    </row>
    <row r="1494" customFormat="false" ht="15" hidden="false" customHeight="true" outlineLevel="0" collapsed="false">
      <c r="A1494" s="1" t="s">
        <v>279</v>
      </c>
      <c r="B1494" s="1" t="s">
        <v>5169</v>
      </c>
      <c r="C1494" s="187" t="n">
        <f aca="false">IFERROR(SUMPRODUCT((IF('MAYO 2026'!Y6:Y110&lt;&gt;"",'MAYO 2026'!Y6:Y110,'MAYO 2026'!I6:I110)="YAMBRASBAMBA")*('MAYO 2026'!K6:K110="PETROLEO")*'MAYO 2026'!M6:M110),0)</f>
        <v>0</v>
      </c>
      <c r="D1494" s="187" t="n">
        <f aca="false">IFERROR(SUMPRODUCT((IF('MAYO 2026'!Y6:Y110&lt;&gt;"",'MAYO 2026'!Y6:Y110,'MAYO 2026'!I6:I110)="YAMBRASBAMBA")*('MAYO 2026'!K6:K110="PETROLEO")*'MAYO 2026'!N6:N110),0)</f>
        <v>0</v>
      </c>
      <c r="E1494" s="187" t="n">
        <f aca="false">IFERROR(SUMPRODUCT((IF('MAYO 2026'!Y6:Y110&lt;&gt;"",'MAYO 2026'!Y6:Y110,'MAYO 2026'!I6:I110)="YAMBRASBAMBA")*('MAYO 2026'!K6:K110="GASOLINA")*'MAYO 2026'!M6:M110),0)</f>
        <v>0</v>
      </c>
      <c r="F1494" s="187" t="n">
        <f aca="false">IFERROR(SUMPRODUCT((IF('MAYO 2026'!Y6:Y110&lt;&gt;"",'MAYO 2026'!Y6:Y110,'MAYO 2026'!I6:I110)="YAMBRASBAMBA")*('MAYO 2026'!K6:K110="GASOLINA")*'MAYO 2026'!N6:N110),0)</f>
        <v>0</v>
      </c>
    </row>
    <row r="1495" customFormat="false" ht="15" hidden="false" customHeight="true" outlineLevel="0" collapsed="false">
      <c r="A1495" s="1" t="s">
        <v>279</v>
      </c>
      <c r="B1495" s="1" t="s">
        <v>5170</v>
      </c>
      <c r="C1495" s="187" t="n">
        <f aca="false">IFERROR(SUMPRODUCT((IF('JUNIO 2026'!Y6:Y110&lt;&gt;"",'JUNIO 2026'!Y6:Y110,'JUNIO 2026'!I6:I110)="YAMBRASBAMBA")*('JUNIO 2026'!K6:K110="PETROLEO")*'JUNIO 2026'!M6:M110),0)</f>
        <v>0</v>
      </c>
      <c r="D1495" s="187" t="n">
        <f aca="false">IFERROR(SUMPRODUCT((IF('JUNIO 2026'!Y6:Y110&lt;&gt;"",'JUNIO 2026'!Y6:Y110,'JUNIO 2026'!I6:I110)="YAMBRASBAMBA")*('JUNIO 2026'!K6:K110="PETROLEO")*'JUNIO 2026'!N6:N110),0)</f>
        <v>0</v>
      </c>
      <c r="E1495" s="187" t="n">
        <f aca="false">IFERROR(SUMPRODUCT((IF('JUNIO 2026'!Y6:Y110&lt;&gt;"",'JUNIO 2026'!Y6:Y110,'JUNIO 2026'!I6:I110)="YAMBRASBAMBA")*('JUNIO 2026'!K6:K110="GASOLINA")*'JUNIO 2026'!M6:M110),0)</f>
        <v>0</v>
      </c>
      <c r="F1495" s="187" t="n">
        <f aca="false">IFERROR(SUMPRODUCT((IF('JUNIO 2026'!Y6:Y110&lt;&gt;"",'JUNIO 2026'!Y6:Y110,'JUNIO 2026'!I6:I110)="YAMBRASBAMBA")*('JUNIO 2026'!K6:K110="GASOLINA")*'JUNIO 2026'!N6:N110),0)</f>
        <v>0</v>
      </c>
    </row>
    <row r="1496" customFormat="false" ht="15" hidden="false" customHeight="true" outlineLevel="0" collapsed="false">
      <c r="A1496" s="1" t="s">
        <v>279</v>
      </c>
      <c r="B1496" s="1" t="s">
        <v>5171</v>
      </c>
      <c r="C1496" s="187" t="n">
        <f aca="false">IFERROR(SUMPRODUCT((IF('JULIO 2026'!Y6:Y110&lt;&gt;"",'JULIO 2026'!Y6:Y110,'JULIO 2026'!I6:I110)="YAMBRASBAMBA")*('JULIO 2026'!K6:K110="PETROLEO")*'JULIO 2026'!M6:M110),0)</f>
        <v>0</v>
      </c>
      <c r="D1496" s="187" t="n">
        <f aca="false">IFERROR(SUMPRODUCT((IF('JULIO 2026'!Y6:Y110&lt;&gt;"",'JULIO 2026'!Y6:Y110,'JULIO 2026'!I6:I110)="YAMBRASBAMBA")*('JULIO 2026'!K6:K110="PETROLEO")*'JULIO 2026'!N6:N110),0)</f>
        <v>0</v>
      </c>
      <c r="E1496" s="187" t="n">
        <f aca="false">IFERROR(SUMPRODUCT((IF('JULIO 2026'!Y6:Y110&lt;&gt;"",'JULIO 2026'!Y6:Y110,'JULIO 2026'!I6:I110)="YAMBRASBAMBA")*('JULIO 2026'!K6:K110="GASOLINA")*'JULIO 2026'!M6:M110),0)</f>
        <v>0</v>
      </c>
      <c r="F1496" s="187" t="n">
        <f aca="false">IFERROR(SUMPRODUCT((IF('JULIO 2026'!Y6:Y110&lt;&gt;"",'JULIO 2026'!Y6:Y110,'JULIO 2026'!I6:I110)="YAMBRASBAMBA")*('JULIO 2026'!K6:K110="GASOLINA")*'JULIO 2026'!N6:N110),0)</f>
        <v>0</v>
      </c>
    </row>
    <row r="1497" customFormat="false" ht="15" hidden="false" customHeight="true" outlineLevel="0" collapsed="false">
      <c r="A1497" s="1" t="s">
        <v>279</v>
      </c>
      <c r="B1497" s="1" t="s">
        <v>5172</v>
      </c>
      <c r="C1497" s="187" t="n">
        <f aca="false">IFERROR(SUMPRODUCT((IF('AGOSTO 2026'!Y6:Y110&lt;&gt;"",'AGOSTO 2026'!Y6:Y110,'AGOSTO 2026'!I6:I110)="YAMBRASBAMBA")*('AGOSTO 2026'!K6:K110="PETROLEO")*'AGOSTO 2026'!M6:M110),0)</f>
        <v>0</v>
      </c>
      <c r="D1497" s="187" t="n">
        <f aca="false">IFERROR(SUMPRODUCT((IF('AGOSTO 2026'!Y6:Y110&lt;&gt;"",'AGOSTO 2026'!Y6:Y110,'AGOSTO 2026'!I6:I110)="YAMBRASBAMBA")*('AGOSTO 2026'!K6:K110="PETROLEO")*'AGOSTO 2026'!N6:N110),0)</f>
        <v>0</v>
      </c>
      <c r="E1497" s="187" t="n">
        <f aca="false">IFERROR(SUMPRODUCT((IF('AGOSTO 2026'!Y6:Y110&lt;&gt;"",'AGOSTO 2026'!Y6:Y110,'AGOSTO 2026'!I6:I110)="YAMBRASBAMBA")*('AGOSTO 2026'!K6:K110="GASOLINA")*'AGOSTO 2026'!M6:M110),0)</f>
        <v>0</v>
      </c>
      <c r="F1497" s="187" t="n">
        <f aca="false">IFERROR(SUMPRODUCT((IF('AGOSTO 2026'!Y6:Y110&lt;&gt;"",'AGOSTO 2026'!Y6:Y110,'AGOSTO 2026'!I6:I110)="YAMBRASBAMBA")*('AGOSTO 2026'!K6:K110="GASOLINA")*'AGOSTO 2026'!N6:N110),0)</f>
        <v>0</v>
      </c>
    </row>
    <row r="1498" customFormat="false" ht="15" hidden="false" customHeight="true" outlineLevel="0" collapsed="false">
      <c r="A1498" s="1" t="s">
        <v>279</v>
      </c>
      <c r="B1498" s="1" t="s">
        <v>5173</v>
      </c>
      <c r="C1498" s="187" t="n">
        <f aca="false">IFERROR(SUMPRODUCT((IF('SETIEMBRE 2026'!Y6:Y110&lt;&gt;"",'SETIEMBRE 2026'!Y6:Y110,'SETIEMBRE 2026'!I6:I110)="YAMBRASBAMBA")*('SETIEMBRE 2026'!K6:K110="PETROLEO")*'SETIEMBRE 2026'!M6:M110),0)</f>
        <v>0</v>
      </c>
      <c r="D1498" s="187" t="n">
        <f aca="false">IFERROR(SUMPRODUCT((IF('SETIEMBRE 2026'!Y6:Y110&lt;&gt;"",'SETIEMBRE 2026'!Y6:Y110,'SETIEMBRE 2026'!I6:I110)="YAMBRASBAMBA")*('SETIEMBRE 2026'!K6:K110="PETROLEO")*'SETIEMBRE 2026'!N6:N110),0)</f>
        <v>0</v>
      </c>
      <c r="E1498" s="187" t="n">
        <f aca="false">IFERROR(SUMPRODUCT((IF('SETIEMBRE 2026'!Y6:Y110&lt;&gt;"",'SETIEMBRE 2026'!Y6:Y110,'SETIEMBRE 2026'!I6:I110)="YAMBRASBAMBA")*('SETIEMBRE 2026'!K6:K110="GASOLINA")*'SETIEMBRE 2026'!M6:M110),0)</f>
        <v>0</v>
      </c>
      <c r="F1498" s="187" t="n">
        <f aca="false">IFERROR(SUMPRODUCT((IF('SETIEMBRE 2026'!Y6:Y110&lt;&gt;"",'SETIEMBRE 2026'!Y6:Y110,'SETIEMBRE 2026'!I6:I110)="YAMBRASBAMBA")*('SETIEMBRE 2026'!K6:K110="GASOLINA")*'SETIEMBRE 2026'!N6:N110),0)</f>
        <v>0</v>
      </c>
    </row>
    <row r="1499" customFormat="false" ht="15" hidden="false" customHeight="true" outlineLevel="0" collapsed="false">
      <c r="A1499" s="1" t="s">
        <v>279</v>
      </c>
      <c r="B1499" s="1" t="s">
        <v>5174</v>
      </c>
      <c r="C1499" s="187" t="n">
        <f aca="false">IFERROR(SUMPRODUCT((IF('OCTUBRE 2026'!Y6:Y110&lt;&gt;"",'OCTUBRE 2026'!Y6:Y110,'OCTUBRE 2026'!I6:I110)="YAMBRASBAMBA")*('OCTUBRE 2026'!K6:K110="PETROLEO")*'OCTUBRE 2026'!M6:M110),0)</f>
        <v>0</v>
      </c>
      <c r="D1499" s="187" t="n">
        <f aca="false">IFERROR(SUMPRODUCT((IF('OCTUBRE 2026'!Y6:Y110&lt;&gt;"",'OCTUBRE 2026'!Y6:Y110,'OCTUBRE 2026'!I6:I110)="YAMBRASBAMBA")*('OCTUBRE 2026'!K6:K110="PETROLEO")*'OCTUBRE 2026'!N6:N110),0)</f>
        <v>0</v>
      </c>
      <c r="E1499" s="187" t="n">
        <f aca="false">IFERROR(SUMPRODUCT((IF('OCTUBRE 2026'!Y6:Y110&lt;&gt;"",'OCTUBRE 2026'!Y6:Y110,'OCTUBRE 2026'!I6:I110)="YAMBRASBAMBA")*('OCTUBRE 2026'!K6:K110="GASOLINA")*'OCTUBRE 2026'!M6:M110),0)</f>
        <v>0</v>
      </c>
      <c r="F1499" s="187" t="n">
        <f aca="false">IFERROR(SUMPRODUCT((IF('OCTUBRE 2026'!Y6:Y110&lt;&gt;"",'OCTUBRE 2026'!Y6:Y110,'OCTUBRE 2026'!I6:I110)="YAMBRASBAMBA")*('OCTUBRE 2026'!K6:K110="GASOLINA")*'OCTUBRE 2026'!N6:N110),0)</f>
        <v>0</v>
      </c>
    </row>
    <row r="1500" customFormat="false" ht="15" hidden="false" customHeight="true" outlineLevel="0" collapsed="false">
      <c r="A1500" s="1" t="s">
        <v>279</v>
      </c>
      <c r="B1500" s="1" t="s">
        <v>5175</v>
      </c>
      <c r="C1500" s="187" t="n">
        <f aca="false">IFERROR(SUMPRODUCT((IF('NOVIEMBRE 2026'!Y6:Y110&lt;&gt;"",'NOVIEMBRE 2026'!Y6:Y110,'NOVIEMBRE 2026'!I6:I110)="YAMBRASBAMBA")*('NOVIEMBRE 2026'!K6:K110="PETROLEO")*'NOVIEMBRE 2026'!M6:M110),0)</f>
        <v>0</v>
      </c>
      <c r="D1500" s="187" t="n">
        <f aca="false">IFERROR(SUMPRODUCT((IF('NOVIEMBRE 2026'!Y6:Y110&lt;&gt;"",'NOVIEMBRE 2026'!Y6:Y110,'NOVIEMBRE 2026'!I6:I110)="YAMBRASBAMBA")*('NOVIEMBRE 2026'!K6:K110="PETROLEO")*'NOVIEMBRE 2026'!N6:N110),0)</f>
        <v>0</v>
      </c>
      <c r="E1500" s="187" t="n">
        <f aca="false">IFERROR(SUMPRODUCT((IF('NOVIEMBRE 2026'!Y6:Y110&lt;&gt;"",'NOVIEMBRE 2026'!Y6:Y110,'NOVIEMBRE 2026'!I6:I110)="YAMBRASBAMBA")*('NOVIEMBRE 2026'!K6:K110="GASOLINA")*'NOVIEMBRE 2026'!M6:M110),0)</f>
        <v>0</v>
      </c>
      <c r="F1500" s="187" t="n">
        <f aca="false">IFERROR(SUMPRODUCT((IF('NOVIEMBRE 2026'!Y6:Y110&lt;&gt;"",'NOVIEMBRE 2026'!Y6:Y110,'NOVIEMBRE 2026'!I6:I110)="YAMBRASBAMBA")*('NOVIEMBRE 2026'!K6:K110="GASOLINA")*'NOVIEMBRE 2026'!N6:N110),0)</f>
        <v>0</v>
      </c>
    </row>
    <row r="1501" customFormat="false" ht="15" hidden="false" customHeight="true" outlineLevel="0" collapsed="false">
      <c r="A1501" s="1" t="s">
        <v>279</v>
      </c>
      <c r="B1501" s="1" t="s">
        <v>5176</v>
      </c>
      <c r="C1501" s="187" t="n">
        <f aca="false">IFERROR(SUMPRODUCT((IF('DICIEMBRE 2026'!Y6:Y110&lt;&gt;"",'DICIEMBRE 2026'!Y6:Y110,'DICIEMBRE 2026'!I6:I110)="YAMBRASBAMBA")*('DICIEMBRE 2026'!K6:K110="PETROLEO")*'DICIEMBRE 2026'!M6:M110),0)</f>
        <v>0</v>
      </c>
      <c r="D1501" s="187" t="n">
        <f aca="false">IFERROR(SUMPRODUCT((IF('DICIEMBRE 2026'!Y6:Y110&lt;&gt;"",'DICIEMBRE 2026'!Y6:Y110,'DICIEMBRE 2026'!I6:I110)="YAMBRASBAMBA")*('DICIEMBRE 2026'!K6:K110="PETROLEO")*'DICIEMBRE 2026'!N6:N110),0)</f>
        <v>0</v>
      </c>
      <c r="E1501" s="187" t="n">
        <f aca="false">IFERROR(SUMPRODUCT((IF('DICIEMBRE 2026'!Y6:Y110&lt;&gt;"",'DICIEMBRE 2026'!Y6:Y110,'DICIEMBRE 2026'!I6:I110)="YAMBRASBAMBA")*('DICIEMBRE 2026'!K6:K110="GASOLINA")*'DICIEMBRE 2026'!M6:M110),0)</f>
        <v>0</v>
      </c>
      <c r="F1501" s="187" t="n">
        <f aca="false">IFERROR(SUMPRODUCT((IF('DICIEMBRE 2026'!Y6:Y110&lt;&gt;"",'DICIEMBRE 2026'!Y6:Y110,'DICIEMBRE 2026'!I6:I110)="YAMBRASBAMBA")*('DICIEMBRE 2026'!K6:K110="GASOLINA")*'DICIEMBRE 2026'!N6:N110),0)</f>
        <v>0</v>
      </c>
    </row>
    <row r="1502" customFormat="false" ht="15" hidden="false" customHeight="true" outlineLevel="0" collapsed="false">
      <c r="A1502" s="1" t="s">
        <v>46</v>
      </c>
      <c r="B1502" s="1" t="s">
        <v>5165</v>
      </c>
      <c r="C1502" s="187" t="n">
        <f aca="false">IFERROR(SUMPRODUCT((IF('ENERO 2026'!Y6:Y119&lt;&gt;"",'ENERO 2026'!Y6:Y119,'ENERO 2026'!I6:I119)="YERBABUENA")*('ENERO 2026'!K6:K119="PETROLEO")*'ENERO 2026'!M6:M119),0)</f>
        <v>14</v>
      </c>
      <c r="D1502" s="187" t="n">
        <f aca="false">IFERROR(SUMPRODUCT((IF('ENERO 2026'!Y6:Y119&lt;&gt;"",'ENERO 2026'!Y6:Y119,'ENERO 2026'!I6:I119)="YERBABUENA")*('ENERO 2026'!K6:K119="PETROLEO")*'ENERO 2026'!N6:N119),0)</f>
        <v>0</v>
      </c>
      <c r="E1502" s="187" t="n">
        <f aca="false">IFERROR(SUMPRODUCT((IF('ENERO 2026'!Y6:Y119&lt;&gt;"",'ENERO 2026'!Y6:Y119,'ENERO 2026'!I6:I119)="YERBABUENA")*('ENERO 2026'!K6:K119="GASOLINA")*'ENERO 2026'!M6:M119),0)</f>
        <v>0</v>
      </c>
      <c r="F1502" s="187" t="n">
        <f aca="false">IFERROR(SUMPRODUCT((IF('ENERO 2026'!Y6:Y119&lt;&gt;"",'ENERO 2026'!Y6:Y119,'ENERO 2026'!I6:I119)="YERBABUENA")*('ENERO 2026'!K6:K119="GASOLINA")*'ENERO 2026'!N6:N119),0)</f>
        <v>0</v>
      </c>
    </row>
    <row r="1503" customFormat="false" ht="15" hidden="false" customHeight="true" outlineLevel="0" collapsed="false">
      <c r="A1503" s="1" t="s">
        <v>46</v>
      </c>
      <c r="B1503" s="1" t="s">
        <v>5166</v>
      </c>
      <c r="C1503" s="187" t="n">
        <f aca="false">IFERROR(SUMPRODUCT((IF('FEBRERO 2026'!Y6:Y124&lt;&gt;"",'FEBRERO 2026'!Y6:Y124,'FEBRERO 2026'!I6:I124)="YERBABUENA")*('FEBRERO 2026'!K6:K124="PETROLEO")*'FEBRERO 2026'!M6:M124),0)</f>
        <v>30</v>
      </c>
      <c r="D1503" s="187" t="n">
        <f aca="false">IFERROR(SUMPRODUCT((IF('FEBRERO 2026'!Y6:Y124&lt;&gt;"",'FEBRERO 2026'!Y6:Y124,'FEBRERO 2026'!I6:I124)="YERBABUENA")*('FEBRERO 2026'!K6:K124="PETROLEO")*'FEBRERO 2026'!N6:N124),0)</f>
        <v>545.4</v>
      </c>
      <c r="E1503" s="187" t="n">
        <f aca="false">IFERROR(SUMPRODUCT((IF('FEBRERO 2026'!Y6:Y124&lt;&gt;"",'FEBRERO 2026'!Y6:Y124,'FEBRERO 2026'!I6:I124)="YERBABUENA")*('FEBRERO 2026'!K6:K124="GASOLINA")*'FEBRERO 2026'!M6:M124),0)</f>
        <v>0</v>
      </c>
      <c r="F1503" s="187" t="n">
        <f aca="false">IFERROR(SUMPRODUCT((IF('FEBRERO 2026'!Y6:Y124&lt;&gt;"",'FEBRERO 2026'!Y6:Y124,'FEBRERO 2026'!I6:I124)="YERBABUENA")*('FEBRERO 2026'!K6:K124="GASOLINA")*'FEBRERO 2026'!N6:N124),0)</f>
        <v>0</v>
      </c>
    </row>
    <row r="1504" customFormat="false" ht="15" hidden="false" customHeight="true" outlineLevel="0" collapsed="false">
      <c r="A1504" s="1" t="s">
        <v>46</v>
      </c>
      <c r="B1504" s="1" t="s">
        <v>5167</v>
      </c>
      <c r="C1504" s="187" t="n">
        <f aca="false">IFERROR(SUMPRODUCT((IF('MARZO 2026'!Y6:Y119&lt;&gt;"",'MARZO 2026'!Y6:Y119,'MARZO 2026'!I6:I119)="YERBABUENA")*('MARZO 2026'!K6:K119="PETROLEO")*'MARZO 2026'!M6:M119),0)</f>
        <v>32</v>
      </c>
      <c r="D1504" s="187" t="n">
        <f aca="false">IFERROR(SUMPRODUCT((IF('MARZO 2026'!Y6:Y119&lt;&gt;"",'MARZO 2026'!Y6:Y119,'MARZO 2026'!I6:I119)="YERBABUENA")*('MARZO 2026'!K6:K119="PETROLEO")*'MARZO 2026'!N6:N119),0)</f>
        <v>0</v>
      </c>
      <c r="E1504" s="187" t="n">
        <f aca="false">IFERROR(SUMPRODUCT((IF('MARZO 2026'!Y6:Y119&lt;&gt;"",'MARZO 2026'!Y6:Y119,'MARZO 2026'!I6:I119)="YERBABUENA")*('MARZO 2026'!K6:K119="GASOLINA")*'MARZO 2026'!M6:M119),0)</f>
        <v>0</v>
      </c>
      <c r="F1504" s="187" t="n">
        <f aca="false">IFERROR(SUMPRODUCT((IF('MARZO 2026'!Y6:Y119&lt;&gt;"",'MARZO 2026'!Y6:Y119,'MARZO 2026'!I6:I119)="YERBABUENA")*('MARZO 2026'!K6:K119="GASOLINA")*'MARZO 2026'!N6:N119),0)</f>
        <v>0</v>
      </c>
    </row>
    <row r="1505" customFormat="false" ht="15" hidden="false" customHeight="true" outlineLevel="0" collapsed="false">
      <c r="A1505" s="1" t="s">
        <v>46</v>
      </c>
      <c r="B1505" s="1" t="s">
        <v>5168</v>
      </c>
      <c r="C1505" s="187" t="n">
        <f aca="false">IFERROR(SUMPRODUCT((IF('ABRIL 2026'!Y6:Y119&lt;&gt;"",'ABRIL 2026'!Y6:Y119,'ABRIL 2026'!I6:I119)="YERBABUENA")*('ABRIL 2026'!K6:K119="PETROLEO")*'ABRIL 2026'!M6:M119),0)</f>
        <v>0</v>
      </c>
      <c r="D1505" s="187" t="n">
        <f aca="false">IFERROR(SUMPRODUCT((IF('ABRIL 2026'!Y6:Y119&lt;&gt;"",'ABRIL 2026'!Y6:Y119,'ABRIL 2026'!I6:I119)="YERBABUENA")*('ABRIL 2026'!K6:K119="PETROLEO")*'ABRIL 2026'!N6:N119),0)</f>
        <v>0</v>
      </c>
      <c r="E1505" s="187" t="n">
        <f aca="false">IFERROR(SUMPRODUCT((IF('ABRIL 2026'!Y6:Y119&lt;&gt;"",'ABRIL 2026'!Y6:Y119,'ABRIL 2026'!I6:I119)="YERBABUENA")*('ABRIL 2026'!K6:K119="GASOLINA")*'ABRIL 2026'!M6:M119),0)</f>
        <v>0</v>
      </c>
      <c r="F1505" s="187" t="n">
        <f aca="false">IFERROR(SUMPRODUCT((IF('ABRIL 2026'!Y6:Y119&lt;&gt;"",'ABRIL 2026'!Y6:Y119,'ABRIL 2026'!I6:I119)="YERBABUENA")*('ABRIL 2026'!K6:K119="GASOLINA")*'ABRIL 2026'!N6:N119),0)</f>
        <v>0</v>
      </c>
    </row>
    <row r="1506" customFormat="false" ht="15" hidden="false" customHeight="true" outlineLevel="0" collapsed="false">
      <c r="A1506" s="1" t="s">
        <v>46</v>
      </c>
      <c r="B1506" s="1" t="s">
        <v>5169</v>
      </c>
      <c r="C1506" s="187" t="n">
        <f aca="false">IFERROR(SUMPRODUCT((IF('MAYO 2026'!Y6:Y110&lt;&gt;"",'MAYO 2026'!Y6:Y110,'MAYO 2026'!I6:I110)="YERBABUENA")*('MAYO 2026'!K6:K110="PETROLEO")*'MAYO 2026'!M6:M110),0)</f>
        <v>0</v>
      </c>
      <c r="D1506" s="187" t="n">
        <f aca="false">IFERROR(SUMPRODUCT((IF('MAYO 2026'!Y6:Y110&lt;&gt;"",'MAYO 2026'!Y6:Y110,'MAYO 2026'!I6:I110)="YERBABUENA")*('MAYO 2026'!K6:K110="PETROLEO")*'MAYO 2026'!N6:N110),0)</f>
        <v>0</v>
      </c>
      <c r="E1506" s="187" t="n">
        <f aca="false">IFERROR(SUMPRODUCT((IF('MAYO 2026'!Y6:Y110&lt;&gt;"",'MAYO 2026'!Y6:Y110,'MAYO 2026'!I6:I110)="YERBABUENA")*('MAYO 2026'!K6:K110="GASOLINA")*'MAYO 2026'!M6:M110),0)</f>
        <v>0</v>
      </c>
      <c r="F1506" s="187" t="n">
        <f aca="false">IFERROR(SUMPRODUCT((IF('MAYO 2026'!Y6:Y110&lt;&gt;"",'MAYO 2026'!Y6:Y110,'MAYO 2026'!I6:I110)="YERBABUENA")*('MAYO 2026'!K6:K110="GASOLINA")*'MAYO 2026'!N6:N110),0)</f>
        <v>0</v>
      </c>
    </row>
    <row r="1507" customFormat="false" ht="15" hidden="false" customHeight="true" outlineLevel="0" collapsed="false">
      <c r="A1507" s="1" t="s">
        <v>46</v>
      </c>
      <c r="B1507" s="1" t="s">
        <v>5170</v>
      </c>
      <c r="C1507" s="187" t="n">
        <f aca="false">IFERROR(SUMPRODUCT((IF('JUNIO 2026'!Y6:Y110&lt;&gt;"",'JUNIO 2026'!Y6:Y110,'JUNIO 2026'!I6:I110)="YERBABUENA")*('JUNIO 2026'!K6:K110="PETROLEO")*'JUNIO 2026'!M6:M110),0)</f>
        <v>0</v>
      </c>
      <c r="D1507" s="187" t="n">
        <f aca="false">IFERROR(SUMPRODUCT((IF('JUNIO 2026'!Y6:Y110&lt;&gt;"",'JUNIO 2026'!Y6:Y110,'JUNIO 2026'!I6:I110)="YERBABUENA")*('JUNIO 2026'!K6:K110="PETROLEO")*'JUNIO 2026'!N6:N110),0)</f>
        <v>0</v>
      </c>
      <c r="E1507" s="187" t="n">
        <f aca="false">IFERROR(SUMPRODUCT((IF('JUNIO 2026'!Y6:Y110&lt;&gt;"",'JUNIO 2026'!Y6:Y110,'JUNIO 2026'!I6:I110)="YERBABUENA")*('JUNIO 2026'!K6:K110="GASOLINA")*'JUNIO 2026'!M6:M110),0)</f>
        <v>0</v>
      </c>
      <c r="F1507" s="187" t="n">
        <f aca="false">IFERROR(SUMPRODUCT((IF('JUNIO 2026'!Y6:Y110&lt;&gt;"",'JUNIO 2026'!Y6:Y110,'JUNIO 2026'!I6:I110)="YERBABUENA")*('JUNIO 2026'!K6:K110="GASOLINA")*'JUNIO 2026'!N6:N110),0)</f>
        <v>0</v>
      </c>
    </row>
    <row r="1508" customFormat="false" ht="15" hidden="false" customHeight="true" outlineLevel="0" collapsed="false">
      <c r="A1508" s="1" t="s">
        <v>46</v>
      </c>
      <c r="B1508" s="1" t="s">
        <v>5171</v>
      </c>
      <c r="C1508" s="187" t="n">
        <f aca="false">IFERROR(SUMPRODUCT((IF('JULIO 2026'!Y6:Y110&lt;&gt;"",'JULIO 2026'!Y6:Y110,'JULIO 2026'!I6:I110)="YERBABUENA")*('JULIO 2026'!K6:K110="PETROLEO")*'JULIO 2026'!M6:M110),0)</f>
        <v>0</v>
      </c>
      <c r="D1508" s="187" t="n">
        <f aca="false">IFERROR(SUMPRODUCT((IF('JULIO 2026'!Y6:Y110&lt;&gt;"",'JULIO 2026'!Y6:Y110,'JULIO 2026'!I6:I110)="YERBABUENA")*('JULIO 2026'!K6:K110="PETROLEO")*'JULIO 2026'!N6:N110),0)</f>
        <v>0</v>
      </c>
      <c r="E1508" s="187" t="n">
        <f aca="false">IFERROR(SUMPRODUCT((IF('JULIO 2026'!Y6:Y110&lt;&gt;"",'JULIO 2026'!Y6:Y110,'JULIO 2026'!I6:I110)="YERBABUENA")*('JULIO 2026'!K6:K110="GASOLINA")*'JULIO 2026'!M6:M110),0)</f>
        <v>0</v>
      </c>
      <c r="F1508" s="187" t="n">
        <f aca="false">IFERROR(SUMPRODUCT((IF('JULIO 2026'!Y6:Y110&lt;&gt;"",'JULIO 2026'!Y6:Y110,'JULIO 2026'!I6:I110)="YERBABUENA")*('JULIO 2026'!K6:K110="GASOLINA")*'JULIO 2026'!N6:N110),0)</f>
        <v>0</v>
      </c>
    </row>
    <row r="1509" customFormat="false" ht="15" hidden="false" customHeight="true" outlineLevel="0" collapsed="false">
      <c r="A1509" s="1" t="s">
        <v>46</v>
      </c>
      <c r="B1509" s="1" t="s">
        <v>5172</v>
      </c>
      <c r="C1509" s="187" t="n">
        <f aca="false">IFERROR(SUMPRODUCT((IF('AGOSTO 2026'!Y6:Y110&lt;&gt;"",'AGOSTO 2026'!Y6:Y110,'AGOSTO 2026'!I6:I110)="YERBABUENA")*('AGOSTO 2026'!K6:K110="PETROLEO")*'AGOSTO 2026'!M6:M110),0)</f>
        <v>0</v>
      </c>
      <c r="D1509" s="187" t="n">
        <f aca="false">IFERROR(SUMPRODUCT((IF('AGOSTO 2026'!Y6:Y110&lt;&gt;"",'AGOSTO 2026'!Y6:Y110,'AGOSTO 2026'!I6:I110)="YERBABUENA")*('AGOSTO 2026'!K6:K110="PETROLEO")*'AGOSTO 2026'!N6:N110),0)</f>
        <v>0</v>
      </c>
      <c r="E1509" s="187" t="n">
        <f aca="false">IFERROR(SUMPRODUCT((IF('AGOSTO 2026'!Y6:Y110&lt;&gt;"",'AGOSTO 2026'!Y6:Y110,'AGOSTO 2026'!I6:I110)="YERBABUENA")*('AGOSTO 2026'!K6:K110="GASOLINA")*'AGOSTO 2026'!M6:M110),0)</f>
        <v>0</v>
      </c>
      <c r="F1509" s="187" t="n">
        <f aca="false">IFERROR(SUMPRODUCT((IF('AGOSTO 2026'!Y6:Y110&lt;&gt;"",'AGOSTO 2026'!Y6:Y110,'AGOSTO 2026'!I6:I110)="YERBABUENA")*('AGOSTO 2026'!K6:K110="GASOLINA")*'AGOSTO 2026'!N6:N110),0)</f>
        <v>0</v>
      </c>
    </row>
    <row r="1510" customFormat="false" ht="15" hidden="false" customHeight="true" outlineLevel="0" collapsed="false">
      <c r="A1510" s="1" t="s">
        <v>46</v>
      </c>
      <c r="B1510" s="1" t="s">
        <v>5173</v>
      </c>
      <c r="C1510" s="187" t="n">
        <f aca="false">IFERROR(SUMPRODUCT((IF('SETIEMBRE 2026'!Y6:Y110&lt;&gt;"",'SETIEMBRE 2026'!Y6:Y110,'SETIEMBRE 2026'!I6:I110)="YERBABUENA")*('SETIEMBRE 2026'!K6:K110="PETROLEO")*'SETIEMBRE 2026'!M6:M110),0)</f>
        <v>0</v>
      </c>
      <c r="D1510" s="187" t="n">
        <f aca="false">IFERROR(SUMPRODUCT((IF('SETIEMBRE 2026'!Y6:Y110&lt;&gt;"",'SETIEMBRE 2026'!Y6:Y110,'SETIEMBRE 2026'!I6:I110)="YERBABUENA")*('SETIEMBRE 2026'!K6:K110="PETROLEO")*'SETIEMBRE 2026'!N6:N110),0)</f>
        <v>0</v>
      </c>
      <c r="E1510" s="187" t="n">
        <f aca="false">IFERROR(SUMPRODUCT((IF('SETIEMBRE 2026'!Y6:Y110&lt;&gt;"",'SETIEMBRE 2026'!Y6:Y110,'SETIEMBRE 2026'!I6:I110)="YERBABUENA")*('SETIEMBRE 2026'!K6:K110="GASOLINA")*'SETIEMBRE 2026'!M6:M110),0)</f>
        <v>0</v>
      </c>
      <c r="F1510" s="187" t="n">
        <f aca="false">IFERROR(SUMPRODUCT((IF('SETIEMBRE 2026'!Y6:Y110&lt;&gt;"",'SETIEMBRE 2026'!Y6:Y110,'SETIEMBRE 2026'!I6:I110)="YERBABUENA")*('SETIEMBRE 2026'!K6:K110="GASOLINA")*'SETIEMBRE 2026'!N6:N110),0)</f>
        <v>0</v>
      </c>
    </row>
    <row r="1511" customFormat="false" ht="15" hidden="false" customHeight="true" outlineLevel="0" collapsed="false">
      <c r="A1511" s="1" t="s">
        <v>46</v>
      </c>
      <c r="B1511" s="1" t="s">
        <v>5174</v>
      </c>
      <c r="C1511" s="187" t="n">
        <f aca="false">IFERROR(SUMPRODUCT((IF('OCTUBRE 2026'!Y6:Y110&lt;&gt;"",'OCTUBRE 2026'!Y6:Y110,'OCTUBRE 2026'!I6:I110)="YERBABUENA")*('OCTUBRE 2026'!K6:K110="PETROLEO")*'OCTUBRE 2026'!M6:M110),0)</f>
        <v>0</v>
      </c>
      <c r="D1511" s="187" t="n">
        <f aca="false">IFERROR(SUMPRODUCT((IF('OCTUBRE 2026'!Y6:Y110&lt;&gt;"",'OCTUBRE 2026'!Y6:Y110,'OCTUBRE 2026'!I6:I110)="YERBABUENA")*('OCTUBRE 2026'!K6:K110="PETROLEO")*'OCTUBRE 2026'!N6:N110),0)</f>
        <v>0</v>
      </c>
      <c r="E1511" s="187" t="n">
        <f aca="false">IFERROR(SUMPRODUCT((IF('OCTUBRE 2026'!Y6:Y110&lt;&gt;"",'OCTUBRE 2026'!Y6:Y110,'OCTUBRE 2026'!I6:I110)="YERBABUENA")*('OCTUBRE 2026'!K6:K110="GASOLINA")*'OCTUBRE 2026'!M6:M110),0)</f>
        <v>0</v>
      </c>
      <c r="F1511" s="187" t="n">
        <f aca="false">IFERROR(SUMPRODUCT((IF('OCTUBRE 2026'!Y6:Y110&lt;&gt;"",'OCTUBRE 2026'!Y6:Y110,'OCTUBRE 2026'!I6:I110)="YERBABUENA")*('OCTUBRE 2026'!K6:K110="GASOLINA")*'OCTUBRE 2026'!N6:N110),0)</f>
        <v>0</v>
      </c>
    </row>
    <row r="1512" customFormat="false" ht="15" hidden="false" customHeight="true" outlineLevel="0" collapsed="false">
      <c r="A1512" s="1" t="s">
        <v>46</v>
      </c>
      <c r="B1512" s="1" t="s">
        <v>5175</v>
      </c>
      <c r="C1512" s="187" t="n">
        <f aca="false">IFERROR(SUMPRODUCT((IF('NOVIEMBRE 2026'!Y6:Y110&lt;&gt;"",'NOVIEMBRE 2026'!Y6:Y110,'NOVIEMBRE 2026'!I6:I110)="YERBABUENA")*('NOVIEMBRE 2026'!K6:K110="PETROLEO")*'NOVIEMBRE 2026'!M6:M110),0)</f>
        <v>0</v>
      </c>
      <c r="D1512" s="187" t="n">
        <f aca="false">IFERROR(SUMPRODUCT((IF('NOVIEMBRE 2026'!Y6:Y110&lt;&gt;"",'NOVIEMBRE 2026'!Y6:Y110,'NOVIEMBRE 2026'!I6:I110)="YERBABUENA")*('NOVIEMBRE 2026'!K6:K110="PETROLEO")*'NOVIEMBRE 2026'!N6:N110),0)</f>
        <v>0</v>
      </c>
      <c r="E1512" s="187" t="n">
        <f aca="false">IFERROR(SUMPRODUCT((IF('NOVIEMBRE 2026'!Y6:Y110&lt;&gt;"",'NOVIEMBRE 2026'!Y6:Y110,'NOVIEMBRE 2026'!I6:I110)="YERBABUENA")*('NOVIEMBRE 2026'!K6:K110="GASOLINA")*'NOVIEMBRE 2026'!M6:M110),0)</f>
        <v>0</v>
      </c>
      <c r="F1512" s="187" t="n">
        <f aca="false">IFERROR(SUMPRODUCT((IF('NOVIEMBRE 2026'!Y6:Y110&lt;&gt;"",'NOVIEMBRE 2026'!Y6:Y110,'NOVIEMBRE 2026'!I6:I110)="YERBABUENA")*('NOVIEMBRE 2026'!K6:K110="GASOLINA")*'NOVIEMBRE 2026'!N6:N110),0)</f>
        <v>0</v>
      </c>
    </row>
    <row r="1513" customFormat="false" ht="15" hidden="false" customHeight="true" outlineLevel="0" collapsed="false">
      <c r="A1513" s="1" t="s">
        <v>46</v>
      </c>
      <c r="B1513" s="1" t="s">
        <v>5176</v>
      </c>
      <c r="C1513" s="187" t="n">
        <f aca="false">IFERROR(SUMPRODUCT((IF('DICIEMBRE 2026'!Y6:Y110&lt;&gt;"",'DICIEMBRE 2026'!Y6:Y110,'DICIEMBRE 2026'!I6:I110)="YERBABUENA")*('DICIEMBRE 2026'!K6:K110="PETROLEO")*'DICIEMBRE 2026'!M6:M110),0)</f>
        <v>0</v>
      </c>
      <c r="D1513" s="187" t="n">
        <f aca="false">IFERROR(SUMPRODUCT((IF('DICIEMBRE 2026'!Y6:Y110&lt;&gt;"",'DICIEMBRE 2026'!Y6:Y110,'DICIEMBRE 2026'!I6:I110)="YERBABUENA")*('DICIEMBRE 2026'!K6:K110="PETROLEO")*'DICIEMBRE 2026'!N6:N110),0)</f>
        <v>0</v>
      </c>
      <c r="E1513" s="187" t="n">
        <f aca="false">IFERROR(SUMPRODUCT((IF('DICIEMBRE 2026'!Y6:Y110&lt;&gt;"",'DICIEMBRE 2026'!Y6:Y110,'DICIEMBRE 2026'!I6:I110)="YERBABUENA")*('DICIEMBRE 2026'!K6:K110="GASOLINA")*'DICIEMBRE 2026'!M6:M110),0)</f>
        <v>0</v>
      </c>
      <c r="F1513" s="187" t="n">
        <f aca="false">IFERROR(SUMPRODUCT((IF('DICIEMBRE 2026'!Y6:Y110&lt;&gt;"",'DICIEMBRE 2026'!Y6:Y110,'DICIEMBRE 2026'!I6:I110)="YERBABUENA")*('DICIEMBRE 2026'!K6:K110="GASOLINA")*'DICIEMBRE 2026'!N6:N110),0)</f>
        <v>0</v>
      </c>
    </row>
    <row r="1514" customFormat="false" ht="15" hidden="false" customHeight="true" outlineLevel="0" collapsed="false">
      <c r="A1514" s="1" t="s">
        <v>85</v>
      </c>
      <c r="B1514" s="1" t="s">
        <v>5165</v>
      </c>
      <c r="C1514" s="187" t="n">
        <f aca="false">IFERROR(SUMPRODUCT((IF('ENERO 2026'!Y6:Y119&lt;&gt;"",'ENERO 2026'!Y6:Y119,'ENERO 2026'!I6:I119)="ZARUMILLA")*('ENERO 2026'!K6:K119="PETROLEO")*'ENERO 2026'!M6:M119),0)</f>
        <v>0</v>
      </c>
      <c r="D1514" s="187" t="n">
        <f aca="false">IFERROR(SUMPRODUCT((IF('ENERO 2026'!Y6:Y119&lt;&gt;"",'ENERO 2026'!Y6:Y119,'ENERO 2026'!I6:I119)="ZARUMILLA")*('ENERO 2026'!K6:K119="PETROLEO")*'ENERO 2026'!N6:N119),0)</f>
        <v>0</v>
      </c>
      <c r="E1514" s="187" t="n">
        <f aca="false">IFERROR(SUMPRODUCT((IF('ENERO 2026'!Y6:Y119&lt;&gt;"",'ENERO 2026'!Y6:Y119,'ENERO 2026'!I6:I119)="ZARUMILLA")*('ENERO 2026'!K6:K119="GASOLINA")*'ENERO 2026'!M6:M119),0)</f>
        <v>0</v>
      </c>
      <c r="F1514" s="187" t="n">
        <f aca="false">IFERROR(SUMPRODUCT((IF('ENERO 2026'!Y6:Y119&lt;&gt;"",'ENERO 2026'!Y6:Y119,'ENERO 2026'!I6:I119)="ZARUMILLA")*('ENERO 2026'!K6:K119="GASOLINA")*'ENERO 2026'!N6:N119),0)</f>
        <v>0</v>
      </c>
    </row>
    <row r="1515" customFormat="false" ht="15" hidden="false" customHeight="true" outlineLevel="0" collapsed="false">
      <c r="A1515" s="1" t="s">
        <v>85</v>
      </c>
      <c r="B1515" s="1" t="s">
        <v>5166</v>
      </c>
      <c r="C1515" s="187" t="n">
        <f aca="false">IFERROR(SUMPRODUCT((IF('FEBRERO 2026'!Y6:Y124&lt;&gt;"",'FEBRERO 2026'!Y6:Y124,'FEBRERO 2026'!I6:I124)="ZARUMILLA")*('FEBRERO 2026'!K6:K124="PETROLEO")*'FEBRERO 2026'!M6:M124),0)</f>
        <v>0</v>
      </c>
      <c r="D1515" s="187" t="n">
        <f aca="false">IFERROR(SUMPRODUCT((IF('FEBRERO 2026'!Y6:Y124&lt;&gt;"",'FEBRERO 2026'!Y6:Y124,'FEBRERO 2026'!I6:I124)="ZARUMILLA")*('FEBRERO 2026'!K6:K124="PETROLEO")*'FEBRERO 2026'!N6:N124),0)</f>
        <v>0</v>
      </c>
      <c r="E1515" s="187" t="n">
        <f aca="false">IFERROR(SUMPRODUCT((IF('FEBRERO 2026'!Y6:Y124&lt;&gt;"",'FEBRERO 2026'!Y6:Y124,'FEBRERO 2026'!I6:I124)="ZARUMILLA")*('FEBRERO 2026'!K6:K124="GASOLINA")*'FEBRERO 2026'!M6:M124),0)</f>
        <v>0</v>
      </c>
      <c r="F1515" s="187" t="n">
        <f aca="false">IFERROR(SUMPRODUCT((IF('FEBRERO 2026'!Y6:Y124&lt;&gt;"",'FEBRERO 2026'!Y6:Y124,'FEBRERO 2026'!I6:I124)="ZARUMILLA")*('FEBRERO 2026'!K6:K124="GASOLINA")*'FEBRERO 2026'!N6:N124),0)</f>
        <v>0</v>
      </c>
    </row>
    <row r="1516" customFormat="false" ht="15" hidden="false" customHeight="true" outlineLevel="0" collapsed="false">
      <c r="A1516" s="1" t="s">
        <v>85</v>
      </c>
      <c r="B1516" s="1" t="s">
        <v>5167</v>
      </c>
      <c r="C1516" s="187" t="n">
        <f aca="false">IFERROR(SUMPRODUCT((IF('MARZO 2026'!Y6:Y119&lt;&gt;"",'MARZO 2026'!Y6:Y119,'MARZO 2026'!I6:I119)="ZARUMILLA")*('MARZO 2026'!K6:K119="PETROLEO")*'MARZO 2026'!M6:M119),0)</f>
        <v>0</v>
      </c>
      <c r="D1516" s="187" t="n">
        <f aca="false">IFERROR(SUMPRODUCT((IF('MARZO 2026'!Y6:Y119&lt;&gt;"",'MARZO 2026'!Y6:Y119,'MARZO 2026'!I6:I119)="ZARUMILLA")*('MARZO 2026'!K6:K119="PETROLEO")*'MARZO 2026'!N6:N119),0)</f>
        <v>0</v>
      </c>
      <c r="E1516" s="187" t="n">
        <f aca="false">IFERROR(SUMPRODUCT((IF('MARZO 2026'!Y6:Y119&lt;&gt;"",'MARZO 2026'!Y6:Y119,'MARZO 2026'!I6:I119)="ZARUMILLA")*('MARZO 2026'!K6:K119="GASOLINA")*'MARZO 2026'!M6:M119),0)</f>
        <v>0</v>
      </c>
      <c r="F1516" s="187" t="n">
        <f aca="false">IFERROR(SUMPRODUCT((IF('MARZO 2026'!Y6:Y119&lt;&gt;"",'MARZO 2026'!Y6:Y119,'MARZO 2026'!I6:I119)="ZARUMILLA")*('MARZO 2026'!K6:K119="GASOLINA")*'MARZO 2026'!N6:N119),0)</f>
        <v>0</v>
      </c>
    </row>
    <row r="1517" customFormat="false" ht="15" hidden="false" customHeight="true" outlineLevel="0" collapsed="false">
      <c r="A1517" s="1" t="s">
        <v>85</v>
      </c>
      <c r="B1517" s="1" t="s">
        <v>5168</v>
      </c>
      <c r="C1517" s="187" t="n">
        <f aca="false">IFERROR(SUMPRODUCT((IF('ABRIL 2026'!Y6:Y119&lt;&gt;"",'ABRIL 2026'!Y6:Y119,'ABRIL 2026'!I6:I119)="ZARUMILLA")*('ABRIL 2026'!K6:K119="PETROLEO")*'ABRIL 2026'!M6:M119),0)</f>
        <v>0</v>
      </c>
      <c r="D1517" s="187" t="n">
        <f aca="false">IFERROR(SUMPRODUCT((IF('ABRIL 2026'!Y6:Y119&lt;&gt;"",'ABRIL 2026'!Y6:Y119,'ABRIL 2026'!I6:I119)="ZARUMILLA")*('ABRIL 2026'!K6:K119="PETROLEO")*'ABRIL 2026'!N6:N119),0)</f>
        <v>0</v>
      </c>
      <c r="E1517" s="187" t="n">
        <f aca="false">IFERROR(SUMPRODUCT((IF('ABRIL 2026'!Y6:Y119&lt;&gt;"",'ABRIL 2026'!Y6:Y119,'ABRIL 2026'!I6:I119)="ZARUMILLA")*('ABRIL 2026'!K6:K119="GASOLINA")*'ABRIL 2026'!M6:M119),0)</f>
        <v>0</v>
      </c>
      <c r="F1517" s="187" t="n">
        <f aca="false">IFERROR(SUMPRODUCT((IF('ABRIL 2026'!Y6:Y119&lt;&gt;"",'ABRIL 2026'!Y6:Y119,'ABRIL 2026'!I6:I119)="ZARUMILLA")*('ABRIL 2026'!K6:K119="GASOLINA")*'ABRIL 2026'!N6:N119),0)</f>
        <v>0</v>
      </c>
    </row>
    <row r="1518" customFormat="false" ht="15" hidden="false" customHeight="true" outlineLevel="0" collapsed="false">
      <c r="A1518" s="1" t="s">
        <v>85</v>
      </c>
      <c r="B1518" s="1" t="s">
        <v>5169</v>
      </c>
      <c r="C1518" s="187" t="n">
        <f aca="false">IFERROR(SUMPRODUCT((IF('MAYO 2026'!Y6:Y110&lt;&gt;"",'MAYO 2026'!Y6:Y110,'MAYO 2026'!I6:I110)="ZARUMILLA")*('MAYO 2026'!K6:K110="PETROLEO")*'MAYO 2026'!M6:M110),0)</f>
        <v>0</v>
      </c>
      <c r="D1518" s="187" t="n">
        <f aca="false">IFERROR(SUMPRODUCT((IF('MAYO 2026'!Y6:Y110&lt;&gt;"",'MAYO 2026'!Y6:Y110,'MAYO 2026'!I6:I110)="ZARUMILLA")*('MAYO 2026'!K6:K110="PETROLEO")*'MAYO 2026'!N6:N110),0)</f>
        <v>0</v>
      </c>
      <c r="E1518" s="187" t="n">
        <f aca="false">IFERROR(SUMPRODUCT((IF('MAYO 2026'!Y6:Y110&lt;&gt;"",'MAYO 2026'!Y6:Y110,'MAYO 2026'!I6:I110)="ZARUMILLA")*('MAYO 2026'!K6:K110="GASOLINA")*'MAYO 2026'!M6:M110),0)</f>
        <v>0</v>
      </c>
      <c r="F1518" s="187" t="n">
        <f aca="false">IFERROR(SUMPRODUCT((IF('MAYO 2026'!Y6:Y110&lt;&gt;"",'MAYO 2026'!Y6:Y110,'MAYO 2026'!I6:I110)="ZARUMILLA")*('MAYO 2026'!K6:K110="GASOLINA")*'MAYO 2026'!N6:N110),0)</f>
        <v>0</v>
      </c>
    </row>
    <row r="1519" customFormat="false" ht="15" hidden="false" customHeight="true" outlineLevel="0" collapsed="false">
      <c r="A1519" s="1" t="s">
        <v>85</v>
      </c>
      <c r="B1519" s="1" t="s">
        <v>5170</v>
      </c>
      <c r="C1519" s="187" t="n">
        <f aca="false">IFERROR(SUMPRODUCT((IF('JUNIO 2026'!Y6:Y110&lt;&gt;"",'JUNIO 2026'!Y6:Y110,'JUNIO 2026'!I6:I110)="ZARUMILLA")*('JUNIO 2026'!K6:K110="PETROLEO")*'JUNIO 2026'!M6:M110),0)</f>
        <v>0</v>
      </c>
      <c r="D1519" s="187" t="n">
        <f aca="false">IFERROR(SUMPRODUCT((IF('JUNIO 2026'!Y6:Y110&lt;&gt;"",'JUNIO 2026'!Y6:Y110,'JUNIO 2026'!I6:I110)="ZARUMILLA")*('JUNIO 2026'!K6:K110="PETROLEO")*'JUNIO 2026'!N6:N110),0)</f>
        <v>0</v>
      </c>
      <c r="E1519" s="187" t="n">
        <f aca="false">IFERROR(SUMPRODUCT((IF('JUNIO 2026'!Y6:Y110&lt;&gt;"",'JUNIO 2026'!Y6:Y110,'JUNIO 2026'!I6:I110)="ZARUMILLA")*('JUNIO 2026'!K6:K110="GASOLINA")*'JUNIO 2026'!M6:M110),0)</f>
        <v>0</v>
      </c>
      <c r="F1519" s="187" t="n">
        <f aca="false">IFERROR(SUMPRODUCT((IF('JUNIO 2026'!Y6:Y110&lt;&gt;"",'JUNIO 2026'!Y6:Y110,'JUNIO 2026'!I6:I110)="ZARUMILLA")*('JUNIO 2026'!K6:K110="GASOLINA")*'JUNIO 2026'!N6:N110),0)</f>
        <v>0</v>
      </c>
    </row>
    <row r="1520" customFormat="false" ht="15" hidden="false" customHeight="true" outlineLevel="0" collapsed="false">
      <c r="A1520" s="1" t="s">
        <v>85</v>
      </c>
      <c r="B1520" s="1" t="s">
        <v>5171</v>
      </c>
      <c r="C1520" s="187" t="n">
        <f aca="false">IFERROR(SUMPRODUCT((IF('JULIO 2026'!Y6:Y110&lt;&gt;"",'JULIO 2026'!Y6:Y110,'JULIO 2026'!I6:I110)="ZARUMILLA")*('JULIO 2026'!K6:K110="PETROLEO")*'JULIO 2026'!M6:M110),0)</f>
        <v>0</v>
      </c>
      <c r="D1520" s="187" t="n">
        <f aca="false">IFERROR(SUMPRODUCT((IF('JULIO 2026'!Y6:Y110&lt;&gt;"",'JULIO 2026'!Y6:Y110,'JULIO 2026'!I6:I110)="ZARUMILLA")*('JULIO 2026'!K6:K110="PETROLEO")*'JULIO 2026'!N6:N110),0)</f>
        <v>0</v>
      </c>
      <c r="E1520" s="187" t="n">
        <f aca="false">IFERROR(SUMPRODUCT((IF('JULIO 2026'!Y6:Y110&lt;&gt;"",'JULIO 2026'!Y6:Y110,'JULIO 2026'!I6:I110)="ZARUMILLA")*('JULIO 2026'!K6:K110="GASOLINA")*'JULIO 2026'!M6:M110),0)</f>
        <v>0</v>
      </c>
      <c r="F1520" s="187" t="n">
        <f aca="false">IFERROR(SUMPRODUCT((IF('JULIO 2026'!Y6:Y110&lt;&gt;"",'JULIO 2026'!Y6:Y110,'JULIO 2026'!I6:I110)="ZARUMILLA")*('JULIO 2026'!K6:K110="GASOLINA")*'JULIO 2026'!N6:N110),0)</f>
        <v>0</v>
      </c>
    </row>
    <row r="1521" customFormat="false" ht="15" hidden="false" customHeight="true" outlineLevel="0" collapsed="false">
      <c r="A1521" s="1" t="s">
        <v>85</v>
      </c>
      <c r="B1521" s="1" t="s">
        <v>5172</v>
      </c>
      <c r="C1521" s="187" t="n">
        <f aca="false">IFERROR(SUMPRODUCT((IF('AGOSTO 2026'!Y6:Y110&lt;&gt;"",'AGOSTO 2026'!Y6:Y110,'AGOSTO 2026'!I6:I110)="ZARUMILLA")*('AGOSTO 2026'!K6:K110="PETROLEO")*'AGOSTO 2026'!M6:M110),0)</f>
        <v>0</v>
      </c>
      <c r="D1521" s="187" t="n">
        <f aca="false">IFERROR(SUMPRODUCT((IF('AGOSTO 2026'!Y6:Y110&lt;&gt;"",'AGOSTO 2026'!Y6:Y110,'AGOSTO 2026'!I6:I110)="ZARUMILLA")*('AGOSTO 2026'!K6:K110="PETROLEO")*'AGOSTO 2026'!N6:N110),0)</f>
        <v>0</v>
      </c>
      <c r="E1521" s="187" t="n">
        <f aca="false">IFERROR(SUMPRODUCT((IF('AGOSTO 2026'!Y6:Y110&lt;&gt;"",'AGOSTO 2026'!Y6:Y110,'AGOSTO 2026'!I6:I110)="ZARUMILLA")*('AGOSTO 2026'!K6:K110="GASOLINA")*'AGOSTO 2026'!M6:M110),0)</f>
        <v>0</v>
      </c>
      <c r="F1521" s="187" t="n">
        <f aca="false">IFERROR(SUMPRODUCT((IF('AGOSTO 2026'!Y6:Y110&lt;&gt;"",'AGOSTO 2026'!Y6:Y110,'AGOSTO 2026'!I6:I110)="ZARUMILLA")*('AGOSTO 2026'!K6:K110="GASOLINA")*'AGOSTO 2026'!N6:N110),0)</f>
        <v>0</v>
      </c>
    </row>
    <row r="1522" customFormat="false" ht="15" hidden="false" customHeight="true" outlineLevel="0" collapsed="false">
      <c r="A1522" s="1" t="s">
        <v>85</v>
      </c>
      <c r="B1522" s="1" t="s">
        <v>5173</v>
      </c>
      <c r="C1522" s="187" t="n">
        <f aca="false">IFERROR(SUMPRODUCT((IF('SETIEMBRE 2026'!Y6:Y110&lt;&gt;"",'SETIEMBRE 2026'!Y6:Y110,'SETIEMBRE 2026'!I6:I110)="ZARUMILLA")*('SETIEMBRE 2026'!K6:K110="PETROLEO")*'SETIEMBRE 2026'!M6:M110),0)</f>
        <v>0</v>
      </c>
      <c r="D1522" s="187" t="n">
        <f aca="false">IFERROR(SUMPRODUCT((IF('SETIEMBRE 2026'!Y6:Y110&lt;&gt;"",'SETIEMBRE 2026'!Y6:Y110,'SETIEMBRE 2026'!I6:I110)="ZARUMILLA")*('SETIEMBRE 2026'!K6:K110="PETROLEO")*'SETIEMBRE 2026'!N6:N110),0)</f>
        <v>0</v>
      </c>
      <c r="E1522" s="187" t="n">
        <f aca="false">IFERROR(SUMPRODUCT((IF('SETIEMBRE 2026'!Y6:Y110&lt;&gt;"",'SETIEMBRE 2026'!Y6:Y110,'SETIEMBRE 2026'!I6:I110)="ZARUMILLA")*('SETIEMBRE 2026'!K6:K110="GASOLINA")*'SETIEMBRE 2026'!M6:M110),0)</f>
        <v>0</v>
      </c>
      <c r="F1522" s="187" t="n">
        <f aca="false">IFERROR(SUMPRODUCT((IF('SETIEMBRE 2026'!Y6:Y110&lt;&gt;"",'SETIEMBRE 2026'!Y6:Y110,'SETIEMBRE 2026'!I6:I110)="ZARUMILLA")*('SETIEMBRE 2026'!K6:K110="GASOLINA")*'SETIEMBRE 2026'!N6:N110),0)</f>
        <v>0</v>
      </c>
    </row>
    <row r="1523" customFormat="false" ht="15" hidden="false" customHeight="true" outlineLevel="0" collapsed="false">
      <c r="A1523" s="1" t="s">
        <v>85</v>
      </c>
      <c r="B1523" s="1" t="s">
        <v>5174</v>
      </c>
      <c r="C1523" s="187" t="n">
        <f aca="false">IFERROR(SUMPRODUCT((IF('OCTUBRE 2026'!Y6:Y110&lt;&gt;"",'OCTUBRE 2026'!Y6:Y110,'OCTUBRE 2026'!I6:I110)="ZARUMILLA")*('OCTUBRE 2026'!K6:K110="PETROLEO")*'OCTUBRE 2026'!M6:M110),0)</f>
        <v>0</v>
      </c>
      <c r="D1523" s="187" t="n">
        <f aca="false">IFERROR(SUMPRODUCT((IF('OCTUBRE 2026'!Y6:Y110&lt;&gt;"",'OCTUBRE 2026'!Y6:Y110,'OCTUBRE 2026'!I6:I110)="ZARUMILLA")*('OCTUBRE 2026'!K6:K110="PETROLEO")*'OCTUBRE 2026'!N6:N110),0)</f>
        <v>0</v>
      </c>
      <c r="E1523" s="187" t="n">
        <f aca="false">IFERROR(SUMPRODUCT((IF('OCTUBRE 2026'!Y6:Y110&lt;&gt;"",'OCTUBRE 2026'!Y6:Y110,'OCTUBRE 2026'!I6:I110)="ZARUMILLA")*('OCTUBRE 2026'!K6:K110="GASOLINA")*'OCTUBRE 2026'!M6:M110),0)</f>
        <v>0</v>
      </c>
      <c r="F1523" s="187" t="n">
        <f aca="false">IFERROR(SUMPRODUCT((IF('OCTUBRE 2026'!Y6:Y110&lt;&gt;"",'OCTUBRE 2026'!Y6:Y110,'OCTUBRE 2026'!I6:I110)="ZARUMILLA")*('OCTUBRE 2026'!K6:K110="GASOLINA")*'OCTUBRE 2026'!N6:N110),0)</f>
        <v>0</v>
      </c>
    </row>
    <row r="1524" customFormat="false" ht="15" hidden="false" customHeight="true" outlineLevel="0" collapsed="false">
      <c r="A1524" s="1" t="s">
        <v>85</v>
      </c>
      <c r="B1524" s="1" t="s">
        <v>5175</v>
      </c>
      <c r="C1524" s="187" t="n">
        <f aca="false">IFERROR(SUMPRODUCT((IF('NOVIEMBRE 2026'!Y6:Y110&lt;&gt;"",'NOVIEMBRE 2026'!Y6:Y110,'NOVIEMBRE 2026'!I6:I110)="ZARUMILLA")*('NOVIEMBRE 2026'!K6:K110="PETROLEO")*'NOVIEMBRE 2026'!M6:M110),0)</f>
        <v>0</v>
      </c>
      <c r="D1524" s="187" t="n">
        <f aca="false">IFERROR(SUMPRODUCT((IF('NOVIEMBRE 2026'!Y6:Y110&lt;&gt;"",'NOVIEMBRE 2026'!Y6:Y110,'NOVIEMBRE 2026'!I6:I110)="ZARUMILLA")*('NOVIEMBRE 2026'!K6:K110="PETROLEO")*'NOVIEMBRE 2026'!N6:N110),0)</f>
        <v>0</v>
      </c>
      <c r="E1524" s="187" t="n">
        <f aca="false">IFERROR(SUMPRODUCT((IF('NOVIEMBRE 2026'!Y6:Y110&lt;&gt;"",'NOVIEMBRE 2026'!Y6:Y110,'NOVIEMBRE 2026'!I6:I110)="ZARUMILLA")*('NOVIEMBRE 2026'!K6:K110="GASOLINA")*'NOVIEMBRE 2026'!M6:M110),0)</f>
        <v>0</v>
      </c>
      <c r="F1524" s="187" t="n">
        <f aca="false">IFERROR(SUMPRODUCT((IF('NOVIEMBRE 2026'!Y6:Y110&lt;&gt;"",'NOVIEMBRE 2026'!Y6:Y110,'NOVIEMBRE 2026'!I6:I110)="ZARUMILLA")*('NOVIEMBRE 2026'!K6:K110="GASOLINA")*'NOVIEMBRE 2026'!N6:N110),0)</f>
        <v>0</v>
      </c>
    </row>
    <row r="1525" customFormat="false" ht="15" hidden="false" customHeight="true" outlineLevel="0" collapsed="false">
      <c r="A1525" s="1" t="s">
        <v>85</v>
      </c>
      <c r="B1525" s="1" t="s">
        <v>5176</v>
      </c>
      <c r="C1525" s="187" t="n">
        <f aca="false">IFERROR(SUMPRODUCT((IF('DICIEMBRE 2026'!Y6:Y110&lt;&gt;"",'DICIEMBRE 2026'!Y6:Y110,'DICIEMBRE 2026'!I6:I110)="ZARUMILLA")*('DICIEMBRE 2026'!K6:K110="PETROLEO")*'DICIEMBRE 2026'!M6:M110),0)</f>
        <v>0</v>
      </c>
      <c r="D1525" s="187" t="n">
        <f aca="false">IFERROR(SUMPRODUCT((IF('DICIEMBRE 2026'!Y6:Y110&lt;&gt;"",'DICIEMBRE 2026'!Y6:Y110,'DICIEMBRE 2026'!I6:I110)="ZARUMILLA")*('DICIEMBRE 2026'!K6:K110="PETROLEO")*'DICIEMBRE 2026'!N6:N110),0)</f>
        <v>0</v>
      </c>
      <c r="E1525" s="187" t="n">
        <f aca="false">IFERROR(SUMPRODUCT((IF('DICIEMBRE 2026'!Y6:Y110&lt;&gt;"",'DICIEMBRE 2026'!Y6:Y110,'DICIEMBRE 2026'!I6:I110)="ZARUMILLA")*('DICIEMBRE 2026'!K6:K110="GASOLINA")*'DICIEMBRE 2026'!M6:M110),0)</f>
        <v>0</v>
      </c>
      <c r="F1525" s="187" t="n">
        <f aca="false">IFERROR(SUMPRODUCT((IF('DICIEMBRE 2026'!Y6:Y110&lt;&gt;"",'DICIEMBRE 2026'!Y6:Y110,'DICIEMBRE 2026'!I6:I110)="ZARUMILLA")*('DICIEMBRE 2026'!K6:K110="GASOLINA")*'DICIEMBRE 2026'!N6:N110),0)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00"/>
    <col collapsed="false" customWidth="true" hidden="false" outlineLevel="0" max="2" min="2" style="1" width="80"/>
    <col collapsed="false" customWidth="true" hidden="false" outlineLevel="0" max="6" min="3" style="1" width="8.71"/>
  </cols>
  <sheetData>
    <row r="1" customFormat="false" ht="30" hidden="false" customHeight="true" outlineLevel="0" collapsed="false">
      <c r="A1" s="88" t="s">
        <v>5177</v>
      </c>
      <c r="B1" s="88"/>
      <c r="C1" s="88"/>
      <c r="D1" s="8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188" t="s">
        <v>5178</v>
      </c>
      <c r="B2" s="18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8" hidden="false" customHeight="true" outlineLevel="0" collapsed="false">
      <c r="A3" s="188" t="s">
        <v>5179</v>
      </c>
      <c r="B3" s="18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8" hidden="false" customHeight="true" outlineLevel="0" collapsed="false">
      <c r="A4" s="188" t="s">
        <v>5180</v>
      </c>
      <c r="B4" s="18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8" hidden="false" customHeight="true" outlineLevel="0" collapsed="false">
      <c r="A5" s="188" t="s">
        <v>5181</v>
      </c>
      <c r="B5" s="18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8" hidden="false" customHeight="true" outlineLevel="0" collapsed="false">
      <c r="A6" s="188" t="s">
        <v>5182</v>
      </c>
      <c r="B6" s="18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8" hidden="false" customHeight="true" outlineLevel="0" collapsed="false">
      <c r="A7" s="188" t="s">
        <v>5183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8" hidden="false" customHeight="true" outlineLevel="0" collapsed="false">
      <c r="A8" s="188" t="s">
        <v>5184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21.75" hidden="false" customHeight="true" outlineLevel="0" collapsed="false">
      <c r="A9" s="18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21.75" hidden="false" customHeight="true" outlineLevel="0" collapsed="false">
      <c r="A10" s="91" t="s">
        <v>5185</v>
      </c>
      <c r="B10" s="91"/>
      <c r="C10" s="91"/>
      <c r="D10" s="9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90" t="s">
        <v>5186</v>
      </c>
      <c r="B11" s="190"/>
      <c r="C11" s="190"/>
      <c r="D11" s="19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90"/>
      <c r="B12" s="190"/>
      <c r="C12" s="190"/>
      <c r="D12" s="19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90"/>
      <c r="B13" s="190"/>
      <c r="C13" s="190"/>
      <c r="D13" s="19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90"/>
      <c r="B14" s="190"/>
      <c r="C14" s="190"/>
      <c r="D14" s="19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90"/>
      <c r="B15" s="190"/>
      <c r="C15" s="190"/>
      <c r="D15" s="19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90"/>
      <c r="B16" s="190"/>
      <c r="C16" s="190"/>
      <c r="D16" s="19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90"/>
      <c r="B17" s="190"/>
      <c r="C17" s="190"/>
      <c r="D17" s="19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90"/>
      <c r="B18" s="190"/>
      <c r="C18" s="190"/>
      <c r="D18" s="19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90"/>
      <c r="B19" s="190"/>
      <c r="C19" s="190"/>
      <c r="D19" s="19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90"/>
      <c r="B20" s="190"/>
      <c r="C20" s="190"/>
      <c r="D20" s="19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90"/>
      <c r="B21" s="190"/>
      <c r="C21" s="190"/>
      <c r="D21" s="19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90"/>
      <c r="B22" s="190"/>
      <c r="C22" s="190"/>
      <c r="D22" s="19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90"/>
      <c r="B23" s="190"/>
      <c r="C23" s="190"/>
      <c r="D23" s="19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90"/>
      <c r="B24" s="190"/>
      <c r="C24" s="190"/>
      <c r="D24" s="19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90"/>
      <c r="B25" s="190"/>
      <c r="C25" s="190"/>
      <c r="D25" s="19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90"/>
      <c r="B26" s="190"/>
      <c r="C26" s="190"/>
      <c r="D26" s="19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90"/>
      <c r="B27" s="190"/>
      <c r="C27" s="190"/>
      <c r="D27" s="19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90"/>
      <c r="B28" s="190"/>
      <c r="C28" s="190"/>
      <c r="D28" s="19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90"/>
      <c r="B29" s="190"/>
      <c r="C29" s="190"/>
      <c r="D29" s="19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190"/>
      <c r="B30" s="190"/>
      <c r="C30" s="190"/>
      <c r="D30" s="19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90"/>
      <c r="B31" s="190"/>
      <c r="C31" s="190"/>
      <c r="D31" s="19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90"/>
      <c r="B32" s="190"/>
      <c r="C32" s="190"/>
      <c r="D32" s="19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90"/>
      <c r="B33" s="190"/>
      <c r="C33" s="190"/>
      <c r="D33" s="19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90"/>
      <c r="B34" s="190"/>
      <c r="C34" s="190"/>
      <c r="D34" s="19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90"/>
      <c r="B35" s="190"/>
      <c r="C35" s="190"/>
      <c r="D35" s="19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90"/>
      <c r="B36" s="190"/>
      <c r="C36" s="190"/>
      <c r="D36" s="19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90"/>
      <c r="B37" s="190"/>
      <c r="C37" s="190"/>
      <c r="D37" s="19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90"/>
      <c r="B38" s="190"/>
      <c r="C38" s="190"/>
      <c r="D38" s="19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90"/>
      <c r="B39" s="190"/>
      <c r="C39" s="190"/>
      <c r="D39" s="19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90"/>
      <c r="B40" s="190"/>
      <c r="C40" s="190"/>
      <c r="D40" s="19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90"/>
      <c r="B41" s="190"/>
      <c r="C41" s="190"/>
      <c r="D41" s="19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90"/>
      <c r="B42" s="190"/>
      <c r="C42" s="190"/>
      <c r="D42" s="19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90"/>
      <c r="B43" s="190"/>
      <c r="C43" s="190"/>
      <c r="D43" s="19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90"/>
      <c r="B44" s="190"/>
      <c r="C44" s="190"/>
      <c r="D44" s="19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90"/>
      <c r="B45" s="190"/>
      <c r="C45" s="190"/>
      <c r="D45" s="19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90"/>
      <c r="B46" s="190"/>
      <c r="C46" s="190"/>
      <c r="D46" s="19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90"/>
      <c r="B47" s="190"/>
      <c r="C47" s="190"/>
      <c r="D47" s="19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90"/>
      <c r="B48" s="190"/>
      <c r="C48" s="190"/>
      <c r="D48" s="19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90"/>
      <c r="B49" s="190"/>
      <c r="C49" s="190"/>
      <c r="D49" s="19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90"/>
      <c r="B50" s="190"/>
      <c r="C50" s="190"/>
      <c r="D50" s="19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90"/>
      <c r="B51" s="190"/>
      <c r="C51" s="190"/>
      <c r="D51" s="19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90"/>
      <c r="B52" s="190"/>
      <c r="C52" s="190"/>
      <c r="D52" s="19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90"/>
      <c r="B53" s="190"/>
      <c r="C53" s="190"/>
      <c r="D53" s="19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90"/>
      <c r="B54" s="190"/>
      <c r="C54" s="190"/>
      <c r="D54" s="19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90"/>
      <c r="B55" s="190"/>
      <c r="C55" s="190"/>
      <c r="D55" s="19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90"/>
      <c r="B56" s="190"/>
      <c r="C56" s="190"/>
      <c r="D56" s="19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90"/>
      <c r="B57" s="190"/>
      <c r="C57" s="190"/>
      <c r="D57" s="19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90"/>
      <c r="B58" s="190"/>
      <c r="C58" s="190"/>
      <c r="D58" s="19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90"/>
      <c r="B59" s="190"/>
      <c r="C59" s="190"/>
      <c r="D59" s="19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90"/>
      <c r="B60" s="190"/>
      <c r="C60" s="190"/>
      <c r="D60" s="19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90"/>
      <c r="B61" s="190"/>
      <c r="C61" s="190"/>
      <c r="D61" s="19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90"/>
      <c r="B62" s="190"/>
      <c r="C62" s="190"/>
      <c r="D62" s="19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90"/>
      <c r="B63" s="190"/>
      <c r="C63" s="190"/>
      <c r="D63" s="19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90"/>
      <c r="B64" s="190"/>
      <c r="C64" s="190"/>
      <c r="D64" s="19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90"/>
      <c r="B65" s="190"/>
      <c r="C65" s="190"/>
      <c r="D65" s="19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90"/>
      <c r="B66" s="190"/>
      <c r="C66" s="190"/>
      <c r="D66" s="19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90"/>
      <c r="B67" s="190"/>
      <c r="C67" s="190"/>
      <c r="D67" s="19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90"/>
      <c r="B68" s="190"/>
      <c r="C68" s="190"/>
      <c r="D68" s="19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90"/>
      <c r="B69" s="190"/>
      <c r="C69" s="190"/>
      <c r="D69" s="19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90"/>
      <c r="B70" s="190"/>
      <c r="C70" s="190"/>
      <c r="D70" s="19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D1"/>
    <mergeCell ref="A10:D10"/>
    <mergeCell ref="A11:D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5" min="1" style="1" width="8.71"/>
  </cols>
  <sheetData>
    <row r="1" customFormat="false" ht="15" hidden="false" customHeight="true" outlineLevel="0" collapsed="false">
      <c r="A1" s="191" t="s">
        <v>6</v>
      </c>
      <c r="B1" s="191" t="s">
        <v>32</v>
      </c>
      <c r="C1" s="191" t="s">
        <v>319</v>
      </c>
      <c r="D1" s="191" t="s">
        <v>5187</v>
      </c>
      <c r="E1" s="191" t="s">
        <v>5188</v>
      </c>
      <c r="F1" s="191" t="s">
        <v>322</v>
      </c>
      <c r="G1" s="191" t="s">
        <v>4</v>
      </c>
      <c r="H1" s="191" t="s">
        <v>5189</v>
      </c>
      <c r="I1" s="191" t="s">
        <v>324</v>
      </c>
      <c r="J1" s="191" t="s">
        <v>104</v>
      </c>
      <c r="K1" s="191" t="s">
        <v>5190</v>
      </c>
      <c r="L1" s="191" t="s">
        <v>5191</v>
      </c>
      <c r="O1" s="1" t="s">
        <v>5192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92" t="str">
        <f aca="false">IF(AND('ENERO 2026'!D6&lt;&gt;"",'ENERO 2026'!Z6="POR RECOGER"),"ENE","")</f>
        <v>ENE</v>
      </c>
      <c r="B2" s="192" t="str">
        <f aca="false">IF(AND('ENERO 2026'!D6&lt;&gt;"",'ENERO 2026'!Z6="POR RECOGER"),IF('ENERO 2026'!Y6&lt;&gt;"",'ENERO 2026'!Y6,'ENERO 2026'!I6),"")</f>
        <v>POMACOCHAS</v>
      </c>
      <c r="C2" s="192" t="str">
        <f aca="false">IF(AND('ENERO 2026'!D6&lt;&gt;"",'ENERO 2026'!Z6="POR RECOGER"),'ENERO 2026'!D6,"")</f>
        <v>CIEZA RIOS AYLANI ELIZABETH</v>
      </c>
      <c r="D2" s="192" t="str">
        <f aca="false">IF(AND('ENERO 2026'!D6&lt;&gt;"",'ENERO 2026'!Z6="POR RECOGER"),'ENERO 2026'!F6,"")</f>
        <v>94063517</v>
      </c>
      <c r="E2" s="192" t="str">
        <f aca="false">IF(AND('ENERO 2026'!D6&lt;&gt;"",'ENERO 2026'!Z6="POR RECOGER"),TEXT('ENERO 2026'!G6,"DD/MM/YYYY"),"")</f>
        <v>01/01/2026</v>
      </c>
      <c r="F2" s="192" t="str">
        <f aca="false">IF(AND('ENERO 2026'!D6&lt;&gt;"",'ENERO 2026'!Z6="POR RECOGER"),'ENERO 2026'!K6,"")</f>
        <v>PETROLEO</v>
      </c>
      <c r="G2" s="193" t="n">
        <f aca="false">IF(AND('ENERO 2026'!D6&lt;&gt;"",'ENERO 2026'!Z6="POR RECOGER"),'ENERO 2026'!M6,"")</f>
        <v>6</v>
      </c>
      <c r="H2" s="193" t="n">
        <f aca="false">IF(AND('ENERO 2026'!D6&lt;&gt;"",'ENERO 2026'!Z6="POR RECOGER"),'ENERO 2026'!N6,"")</f>
        <v>109.08</v>
      </c>
      <c r="I2" s="192" t="str">
        <f aca="false">IF(AND('ENERO 2026'!D6&lt;&gt;"",'ENERO 2026'!Z6="POR RECOGER"),'ENERO 2026'!P6,"")</f>
        <v>CARRERA ARAUJO JEINER</v>
      </c>
      <c r="J2" s="192" t="str">
        <f aca="false">IF(AND('ENERO 2026'!D6&lt;&gt;"",'ENERO 2026'!Z6="POR RECOGER"),'ENERO 2026'!Q6,"")</f>
        <v>EUH747</v>
      </c>
      <c r="K2" s="192" t="n">
        <f aca="false">IF(AND('ENERO 2026'!D6&lt;&gt;"",'ENERO 2026'!Z6="POR RECOGER"),'ENERO 2026'!Y6,"")</f>
        <v>0</v>
      </c>
      <c r="L2" s="192" t="str">
        <f aca="false">IF(AND('ENERO 2026'!D6&lt;&gt;"",'ENERO 2026'!Z6="POR RECOGER"),'ENERO 2026'!I6,"")</f>
        <v>POMACOCHAS</v>
      </c>
      <c r="O2" s="1" t="s">
        <v>305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92" t="str">
        <f aca="false">IF(AND('ENERO 2026'!D7&lt;&gt;"",'ENERO 2026'!Z7="POR RECOGER"),"ENE","")</f>
        <v>ENE</v>
      </c>
      <c r="B3" s="192" t="str">
        <f aca="false">IF(AND('ENERO 2026'!D7&lt;&gt;"",'ENERO 2026'!Z7="POR RECOGER"),IF('ENERO 2026'!Y7&lt;&gt;"",'ENERO 2026'!Y7,'ENERO 2026'!I7),"")</f>
        <v>COLCAMAR</v>
      </c>
      <c r="C3" s="192" t="str">
        <f aca="false">IF(AND('ENERO 2026'!D7&lt;&gt;"",'ENERO 2026'!Z7="POR RECOGER"),'ENERO 2026'!D7,"")</f>
        <v>DIAZ MESIA DIANELIT THALIA</v>
      </c>
      <c r="D3" s="192" t="str">
        <f aca="false">IF(AND('ENERO 2026'!D7&lt;&gt;"",'ENERO 2026'!Z7="POR RECOGER"),'ENERO 2026'!F7,"")</f>
        <v>75729771</v>
      </c>
      <c r="E3" s="192" t="str">
        <f aca="false">IF(AND('ENERO 2026'!D7&lt;&gt;"",'ENERO 2026'!Z7="POR RECOGER"),TEXT('ENERO 2026'!G7,"DD/MM/YYYY"),"")</f>
        <v>02/01/2026</v>
      </c>
      <c r="F3" s="192" t="str">
        <f aca="false">IF(AND('ENERO 2026'!D7&lt;&gt;"",'ENERO 2026'!Z7="POR RECOGER"),'ENERO 2026'!K7,"")</f>
        <v>PETROLEO</v>
      </c>
      <c r="G3" s="193" t="n">
        <f aca="false">IF(AND('ENERO 2026'!D7&lt;&gt;"",'ENERO 2026'!Z7="POR RECOGER"),'ENERO 2026'!M7,"")</f>
        <v>7</v>
      </c>
      <c r="H3" s="193" t="n">
        <f aca="false">IF(AND('ENERO 2026'!D7&lt;&gt;"",'ENERO 2026'!Z7="POR RECOGER"),'ENERO 2026'!N7,"")</f>
        <v>127.26</v>
      </c>
      <c r="I3" s="192" t="str">
        <f aca="false">IF(AND('ENERO 2026'!D7&lt;&gt;"",'ENERO 2026'!Z7="POR RECOGER"),'ENERO 2026'!P7,"")</f>
        <v>BUELOT VISALOT CARLO MAGNO</v>
      </c>
      <c r="J3" s="192" t="str">
        <f aca="false">IF(AND('ENERO 2026'!D7&lt;&gt;"",'ENERO 2026'!Z7="POR RECOGER"),'ENERO 2026'!Q7,"")</f>
        <v>EUD 634</v>
      </c>
      <c r="K3" s="192" t="n">
        <f aca="false">IF(AND('ENERO 2026'!D7&lt;&gt;"",'ENERO 2026'!Z7="POR RECOGER"),'ENERO 2026'!Y7,"")</f>
        <v>0</v>
      </c>
      <c r="L3" s="192" t="str">
        <f aca="false">IF(AND('ENERO 2026'!D7&lt;&gt;"",'ENERO 2026'!Z7="POR RECOGER"),'ENERO 2026'!I7,"")</f>
        <v>COLCAMAR</v>
      </c>
      <c r="O3" s="1" t="s">
        <v>37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192" t="str">
        <f aca="false">IF(AND('ENERO 2026'!D8&lt;&gt;"",'ENERO 2026'!Z8="POR RECOGER"),"ENE","")</f>
        <v>ENE</v>
      </c>
      <c r="B4" s="192" t="str">
        <f aca="false">IF(AND('ENERO 2026'!D8&lt;&gt;"",'ENERO 2026'!Z8="POR RECOGER"),IF('ENERO 2026'!Y8&lt;&gt;"",'ENERO 2026'!Y8,'ENERO 2026'!I8),"")</f>
        <v>MARIA AUXILIADORA</v>
      </c>
      <c r="C4" s="192" t="str">
        <f aca="false">IF(AND('ENERO 2026'!D8&lt;&gt;"",'ENERO 2026'!Z8="POR RECOGER"),'ENERO 2026'!D8,"")</f>
        <v>ZELADA SANTILLAN EWHAN ADIEL</v>
      </c>
      <c r="D4" s="192" t="str">
        <f aca="false">IF(AND('ENERO 2026'!D8&lt;&gt;"",'ENERO 2026'!Z8="POR RECOGER"),'ENERO 2026'!F8,"")</f>
        <v>92682700</v>
      </c>
      <c r="E4" s="192" t="str">
        <f aca="false">IF(AND('ENERO 2026'!D8&lt;&gt;"",'ENERO 2026'!Z8="POR RECOGER"),TEXT('ENERO 2026'!G8,"DD/MM/YYYY"),"")</f>
        <v>02/01/2026</v>
      </c>
      <c r="F4" s="192" t="str">
        <f aca="false">IF(AND('ENERO 2026'!D8&lt;&gt;"",'ENERO 2026'!Z8="POR RECOGER"),'ENERO 2026'!K8,"")</f>
        <v>PETROLEO</v>
      </c>
      <c r="G4" s="193" t="n">
        <f aca="false">IF(AND('ENERO 2026'!D8&lt;&gt;"",'ENERO 2026'!Z8="POR RECOGER"),'ENERO 2026'!M8,"")</f>
        <v>7</v>
      </c>
      <c r="H4" s="193" t="n">
        <f aca="false">IF(AND('ENERO 2026'!D8&lt;&gt;"",'ENERO 2026'!Z8="POR RECOGER"),'ENERO 2026'!N8,"")</f>
        <v>141.75</v>
      </c>
      <c r="I4" s="192" t="str">
        <f aca="false">IF(AND('ENERO 2026'!D8&lt;&gt;"",'ENERO 2026'!Z8="POR RECOGER"),'ENERO 2026'!P8,"")</f>
        <v>SERNAQUE PELAEZ WILMER</v>
      </c>
      <c r="J4" s="192" t="str">
        <f aca="false">IF(AND('ENERO 2026'!D8&lt;&gt;"",'ENERO 2026'!Z8="POR RECOGER"),'ENERO 2026'!Q8,"")</f>
        <v>EUH-421</v>
      </c>
      <c r="K4" s="192" t="n">
        <f aca="false">IF(AND('ENERO 2026'!D8&lt;&gt;"",'ENERO 2026'!Z8="POR RECOGER"),'ENERO 2026'!Y8,"")</f>
        <v>0</v>
      </c>
      <c r="L4" s="192" t="str">
        <f aca="false">IF(AND('ENERO 2026'!D8&lt;&gt;"",'ENERO 2026'!Z8="POR RECOGER"),'ENERO 2026'!I8,"")</f>
        <v>MARIA AUXILIADORA</v>
      </c>
      <c r="O4" s="1" t="s">
        <v>132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92" t="str">
        <f aca="false">IF(AND('ENERO 2026'!D9&lt;&gt;"",'ENERO 2026'!Z9="POR RECOGER"),"ENE","")</f>
        <v>ENE</v>
      </c>
      <c r="B5" s="192" t="str">
        <f aca="false">IF(AND('ENERO 2026'!D9&lt;&gt;"",'ENERO 2026'!Z9="POR RECOGER"),IF('ENERO 2026'!Y9&lt;&gt;"",'ENERO 2026'!Y9,'ENERO 2026'!I9),"")</f>
        <v>MARIA AUXILIADORA</v>
      </c>
      <c r="C5" s="192" t="str">
        <f aca="false">IF(AND('ENERO 2026'!D9&lt;&gt;"",'ENERO 2026'!Z9="POR RECOGER"),'ENERO 2026'!D9,"")</f>
        <v>RODRIGUEZ CALDERON JESUS SALVADOR</v>
      </c>
      <c r="D5" s="192" t="str">
        <f aca="false">IF(AND('ENERO 2026'!D9&lt;&gt;"",'ENERO 2026'!Z9="POR RECOGER"),'ENERO 2026'!F9,"")</f>
        <v>33950773</v>
      </c>
      <c r="E5" s="192" t="str">
        <f aca="false">IF(AND('ENERO 2026'!D9&lt;&gt;"",'ENERO 2026'!Z9="POR RECOGER"),TEXT('ENERO 2026'!G9,"DD/MM/YYYY"),"")</f>
        <v>03/01/2026</v>
      </c>
      <c r="F5" s="192" t="str">
        <f aca="false">IF(AND('ENERO 2026'!D9&lt;&gt;"",'ENERO 2026'!Z9="POR RECOGER"),'ENERO 2026'!K9,"")</f>
        <v>PETROLEO</v>
      </c>
      <c r="G5" s="193" t="n">
        <f aca="false">IF(AND('ENERO 2026'!D9&lt;&gt;"",'ENERO 2026'!Z9="POR RECOGER"),'ENERO 2026'!M9,"")</f>
        <v>7</v>
      </c>
      <c r="H5" s="193" t="n">
        <f aca="false">IF(AND('ENERO 2026'!D9&lt;&gt;"",'ENERO 2026'!Z9="POR RECOGER"),'ENERO 2026'!N9,"")</f>
        <v>141.75</v>
      </c>
      <c r="I5" s="192" t="str">
        <f aca="false">IF(AND('ENERO 2026'!D9&lt;&gt;"",'ENERO 2026'!Z9="POR RECOGER"),'ENERO 2026'!P9,"")</f>
        <v/>
      </c>
      <c r="J5" s="192" t="str">
        <f aca="false">IF(AND('ENERO 2026'!D9&lt;&gt;"",'ENERO 2026'!Z9="POR RECOGER"),'ENERO 2026'!Q9,"")</f>
        <v/>
      </c>
      <c r="K5" s="192" t="n">
        <f aca="false">IF(AND('ENERO 2026'!D9&lt;&gt;"",'ENERO 2026'!Z9="POR RECOGER"),'ENERO 2026'!Y9,"")</f>
        <v>0</v>
      </c>
      <c r="L5" s="192" t="str">
        <f aca="false">IF(AND('ENERO 2026'!D9&lt;&gt;"",'ENERO 2026'!Z9="POR RECOGER"),'ENERO 2026'!I9,"")</f>
        <v>MARIA AUXILIADORA</v>
      </c>
      <c r="O5" s="1" t="s">
        <v>295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92" t="str">
        <f aca="false">IF(AND('ENERO 2026'!D10&lt;&gt;"",'ENERO 2026'!Z10="POR RECOGER"),"ENE","")</f>
        <v>ENE</v>
      </c>
      <c r="B6" s="192" t="str">
        <f aca="false">IF(AND('ENERO 2026'!D10&lt;&gt;"",'ENERO 2026'!Z10="POR RECOGER"),IF('ENERO 2026'!Y10&lt;&gt;"",'ENERO 2026'!Y10,'ENERO 2026'!I10),"")</f>
        <v>MARIA AUXILIADORA</v>
      </c>
      <c r="C6" s="192" t="str">
        <f aca="false">IF(AND('ENERO 2026'!D10&lt;&gt;"",'ENERO 2026'!Z10="POR RECOGER"),'ENERO 2026'!D10,"")</f>
        <v>HUAMAN HUAMAN LUZ CLARITA</v>
      </c>
      <c r="D6" s="192" t="str">
        <f aca="false">IF(AND('ENERO 2026'!D10&lt;&gt;"",'ENERO 2026'!Z10="POR RECOGER"),'ENERO 2026'!F10,"")</f>
        <v>73632523</v>
      </c>
      <c r="E6" s="192" t="str">
        <f aca="false">IF(AND('ENERO 2026'!D10&lt;&gt;"",'ENERO 2026'!Z10="POR RECOGER"),TEXT('ENERO 2026'!G10,"DD/MM/YYYY"),"")</f>
        <v>04/01/2026</v>
      </c>
      <c r="F6" s="192" t="str">
        <f aca="false">IF(AND('ENERO 2026'!D10&lt;&gt;"",'ENERO 2026'!Z10="POR RECOGER"),'ENERO 2026'!K10,"")</f>
        <v>PETROLEO</v>
      </c>
      <c r="G6" s="193" t="n">
        <f aca="false">IF(AND('ENERO 2026'!D10&lt;&gt;"",'ENERO 2026'!Z10="POR RECOGER"),'ENERO 2026'!M10,"")</f>
        <v>7</v>
      </c>
      <c r="H6" s="193" t="n">
        <f aca="false">IF(AND('ENERO 2026'!D10&lt;&gt;"",'ENERO 2026'!Z10="POR RECOGER"),'ENERO 2026'!N10,"")</f>
        <v>141.75</v>
      </c>
      <c r="I6" s="192" t="str">
        <f aca="false">IF(AND('ENERO 2026'!D10&lt;&gt;"",'ENERO 2026'!Z10="POR RECOGER"),'ENERO 2026'!P10,"")</f>
        <v>ROJAS ALVARADO BENJAMIN</v>
      </c>
      <c r="J6" s="192" t="str">
        <f aca="false">IF(AND('ENERO 2026'!D10&lt;&gt;"",'ENERO 2026'!Z10="POR RECOGER"),'ENERO 2026'!Q10,"")</f>
        <v>421 EUH</v>
      </c>
      <c r="K6" s="192" t="n">
        <f aca="false">IF(AND('ENERO 2026'!D10&lt;&gt;"",'ENERO 2026'!Z10="POR RECOGER"),'ENERO 2026'!Y10,"")</f>
        <v>0</v>
      </c>
      <c r="L6" s="192" t="str">
        <f aca="false">IF(AND('ENERO 2026'!D10&lt;&gt;"",'ENERO 2026'!Z10="POR RECOGER"),'ENERO 2026'!I10,"")</f>
        <v>MARIA AUXILIADORA</v>
      </c>
      <c r="O6" s="1" t="s">
        <v>311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92" t="str">
        <f aca="false">IF(AND('ENERO 2026'!D11&lt;&gt;"",'ENERO 2026'!Z11="POR RECOGER"),"ENE","")</f>
        <v>ENE</v>
      </c>
      <c r="B7" s="192" t="str">
        <f aca="false">IF(AND('ENERO 2026'!D11&lt;&gt;"",'ENERO 2026'!Z11="POR RECOGER"),IF('ENERO 2026'!Y11&lt;&gt;"",'ENERO 2026'!Y11,'ENERO 2026'!I11),"")</f>
        <v>COLCAMAR</v>
      </c>
      <c r="C7" s="192" t="str">
        <f aca="false">IF(AND('ENERO 2026'!D11&lt;&gt;"",'ENERO 2026'!Z11="POR RECOGER"),'ENERO 2026'!D11,"")</f>
        <v>GUSMAN ALVARADO CESAR</v>
      </c>
      <c r="D7" s="192" t="str">
        <f aca="false">IF(AND('ENERO 2026'!D11&lt;&gt;"",'ENERO 2026'!Z11="POR RECOGER"),'ENERO 2026'!F11,"")</f>
        <v>45825389</v>
      </c>
      <c r="E7" s="192" t="str">
        <f aca="false">IF(AND('ENERO 2026'!D11&lt;&gt;"",'ENERO 2026'!Z11="POR RECOGER"),TEXT('ENERO 2026'!G11,"DD/MM/YYYY"),"")</f>
        <v>05/01/2026</v>
      </c>
      <c r="F7" s="192" t="str">
        <f aca="false">IF(AND('ENERO 2026'!D11&lt;&gt;"",'ENERO 2026'!Z11="POR RECOGER"),'ENERO 2026'!K11,"")</f>
        <v>PETROLEO</v>
      </c>
      <c r="G7" s="193" t="n">
        <f aca="false">IF(AND('ENERO 2026'!D11&lt;&gt;"",'ENERO 2026'!Z11="POR RECOGER"),'ENERO 2026'!M11,"")</f>
        <v>7</v>
      </c>
      <c r="H7" s="193" t="n">
        <f aca="false">IF(AND('ENERO 2026'!D11&lt;&gt;"",'ENERO 2026'!Z11="POR RECOGER"),'ENERO 2026'!N11,"")</f>
        <v>127.26</v>
      </c>
      <c r="I7" s="192" t="str">
        <f aca="false">IF(AND('ENERO 2026'!D11&lt;&gt;"",'ENERO 2026'!Z11="POR RECOGER"),'ENERO 2026'!P11,"")</f>
        <v>BUELOT VISALOT CARLO MAGNO</v>
      </c>
      <c r="J7" s="192" t="str">
        <f aca="false">IF(AND('ENERO 2026'!D11&lt;&gt;"",'ENERO 2026'!Z11="POR RECOGER"),'ENERO 2026'!Q11,"")</f>
        <v>EUD 634</v>
      </c>
      <c r="K7" s="192" t="n">
        <f aca="false">IF(AND('ENERO 2026'!D11&lt;&gt;"",'ENERO 2026'!Z11="POR RECOGER"),'ENERO 2026'!Y11,"")</f>
        <v>0</v>
      </c>
      <c r="L7" s="192" t="str">
        <f aca="false">IF(AND('ENERO 2026'!D11&lt;&gt;"",'ENERO 2026'!Z11="POR RECOGER"),'ENERO 2026'!I11,"")</f>
        <v>COLCAMAR</v>
      </c>
      <c r="O7" s="1" t="s">
        <v>119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92" t="str">
        <f aca="false">IF(AND('ENERO 2026'!D12&lt;&gt;"",'ENERO 2026'!Z12="POR RECOGER"),"ENE","")</f>
        <v>ENE</v>
      </c>
      <c r="B8" s="192" t="str">
        <f aca="false">IF(AND('ENERO 2026'!D12&lt;&gt;"",'ENERO 2026'!Z12="POR RECOGER"),IF('ENERO 2026'!Y12&lt;&gt;"",'ENERO 2026'!Y12,'ENERO 2026'!I12),"")</f>
        <v>MARIA AUXILIADORA</v>
      </c>
      <c r="C8" s="192" t="str">
        <f aca="false">IF(AND('ENERO 2026'!D12&lt;&gt;"",'ENERO 2026'!Z12="POR RECOGER"),'ENERO 2026'!D12,"")</f>
        <v>PORTOCARRERO GRANDEZ GLORIA VILMITA</v>
      </c>
      <c r="D8" s="192" t="str">
        <f aca="false">IF(AND('ENERO 2026'!D12&lt;&gt;"",'ENERO 2026'!Z12="POR RECOGER"),'ENERO 2026'!F12,"")</f>
        <v>43504295</v>
      </c>
      <c r="E8" s="192" t="str">
        <f aca="false">IF(AND('ENERO 2026'!D12&lt;&gt;"",'ENERO 2026'!Z12="POR RECOGER"),TEXT('ENERO 2026'!G12,"DD/MM/YYYY"),"")</f>
        <v>05/01/2026</v>
      </c>
      <c r="F8" s="192" t="str">
        <f aca="false">IF(AND('ENERO 2026'!D12&lt;&gt;"",'ENERO 2026'!Z12="POR RECOGER"),'ENERO 2026'!K12,"")</f>
        <v>PETROLEO</v>
      </c>
      <c r="G8" s="193" t="n">
        <f aca="false">IF(AND('ENERO 2026'!D12&lt;&gt;"",'ENERO 2026'!Z12="POR RECOGER"),'ENERO 2026'!M12,"")</f>
        <v>7</v>
      </c>
      <c r="H8" s="193" t="n">
        <f aca="false">IF(AND('ENERO 2026'!D12&lt;&gt;"",'ENERO 2026'!Z12="POR RECOGER"),'ENERO 2026'!N12,"")</f>
        <v>141.75</v>
      </c>
      <c r="I8" s="192" t="str">
        <f aca="false">IF(AND('ENERO 2026'!D12&lt;&gt;"",'ENERO 2026'!Z12="POR RECOGER"),'ENERO 2026'!P12,"")</f>
        <v/>
      </c>
      <c r="J8" s="192" t="str">
        <f aca="false">IF(AND('ENERO 2026'!D12&lt;&gt;"",'ENERO 2026'!Z12="POR RECOGER"),'ENERO 2026'!Q12,"")</f>
        <v/>
      </c>
      <c r="K8" s="192" t="n">
        <f aca="false">IF(AND('ENERO 2026'!D12&lt;&gt;"",'ENERO 2026'!Z12="POR RECOGER"),'ENERO 2026'!Y12,"")</f>
        <v>0</v>
      </c>
      <c r="L8" s="192" t="str">
        <f aca="false">IF(AND('ENERO 2026'!D12&lt;&gt;"",'ENERO 2026'!Z12="POR RECOGER"),'ENERO 2026'!I12,"")</f>
        <v>MARIA AUXILIADORA</v>
      </c>
      <c r="O8" s="1" t="s">
        <v>44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92" t="str">
        <f aca="false">IF(AND('ENERO 2026'!D13&lt;&gt;"",'ENERO 2026'!Z13="POR RECOGER"),"ENE","")</f>
        <v>ENE</v>
      </c>
      <c r="B9" s="192" t="str">
        <f aca="false">IF(AND('ENERO 2026'!D13&lt;&gt;"",'ENERO 2026'!Z13="POR RECOGER"),IF('ENERO 2026'!Y13&lt;&gt;"",'ENERO 2026'!Y13,'ENERO 2026'!I13),"")</f>
        <v>HUAMBO</v>
      </c>
      <c r="C9" s="192" t="str">
        <f aca="false">IF(AND('ENERO 2026'!D13&lt;&gt;"",'ENERO 2026'!Z13="POR RECOGER"),'ENERO 2026'!D13,"")</f>
        <v>VARGAS TUESTA BRISTYN PAOLO</v>
      </c>
      <c r="D9" s="192" t="str">
        <f aca="false">IF(AND('ENERO 2026'!D13&lt;&gt;"",'ENERO 2026'!Z13="POR RECOGER"),'ENERO 2026'!F13,"")</f>
        <v>91225101</v>
      </c>
      <c r="E9" s="192" t="str">
        <f aca="false">IF(AND('ENERO 2026'!D13&lt;&gt;"",'ENERO 2026'!Z13="POR RECOGER"),TEXT('ENERO 2026'!G13,"DD/MM/YYYY"),"")</f>
        <v>06/01/2026</v>
      </c>
      <c r="F9" s="192" t="str">
        <f aca="false">IF(AND('ENERO 2026'!D13&lt;&gt;"",'ENERO 2026'!Z13="POR RECOGER"),'ENERO 2026'!K13,"")</f>
        <v>PETROLEO</v>
      </c>
      <c r="G9" s="193" t="n">
        <f aca="false">IF(AND('ENERO 2026'!D13&lt;&gt;"",'ENERO 2026'!Z13="POR RECOGER"),'ENERO 2026'!M13,"")</f>
        <v>10</v>
      </c>
      <c r="H9" s="193" t="n">
        <f aca="false">IF(AND('ENERO 2026'!D13&lt;&gt;"",'ENERO 2026'!Z13="POR RECOGER"),'ENERO 2026'!N13,"")</f>
        <v>202.5</v>
      </c>
      <c r="I9" s="192" t="str">
        <f aca="false">IF(AND('ENERO 2026'!D13&lt;&gt;"",'ENERO 2026'!Z13="POR RECOGER"),'ENERO 2026'!P13,"")</f>
        <v>LOPEZ HOYOS MIGUEL ANGEL</v>
      </c>
      <c r="J9" s="192" t="str">
        <f aca="false">IF(AND('ENERO 2026'!D13&lt;&gt;"",'ENERO 2026'!Z13="POR RECOGER"),'ENERO 2026'!Q13,"")</f>
        <v>EUH-698</v>
      </c>
      <c r="K9" s="192" t="str">
        <f aca="false">IF(AND('ENERO 2026'!D13&lt;&gt;"",'ENERO 2026'!Z13="POR RECOGER"),'ENERO 2026'!Y13,"")</f>
        <v>HUAMBO</v>
      </c>
      <c r="L9" s="192" t="str">
        <f aca="false">IF(AND('ENERO 2026'!D13&lt;&gt;"",'ENERO 2026'!Z13="POR RECOGER"),'ENERO 2026'!I13,"")</f>
        <v>MARIA AUXILIADORA</v>
      </c>
      <c r="O9" s="1" t="s">
        <v>419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92" t="str">
        <f aca="false">IF(AND('ENERO 2026'!D14&lt;&gt;"",'ENERO 2026'!Z14="POR RECOGER"),"ENE","")</f>
        <v>ENE</v>
      </c>
      <c r="B10" s="192" t="str">
        <f aca="false">IF(AND('ENERO 2026'!D14&lt;&gt;"",'ENERO 2026'!Z14="POR RECOGER"),IF('ENERO 2026'!Y14&lt;&gt;"",'ENERO 2026'!Y14,'ENERO 2026'!I14),"")</f>
        <v>JUMBILLA</v>
      </c>
      <c r="C10" s="192" t="str">
        <f aca="false">IF(AND('ENERO 2026'!D14&lt;&gt;"",'ENERO 2026'!Z14="POR RECOGER"),'ENERO 2026'!D14,"")</f>
        <v>LEON DELGADO EIMI YAMILET</v>
      </c>
      <c r="D10" s="192" t="str">
        <f aca="false">IF(AND('ENERO 2026'!D14&lt;&gt;"",'ENERO 2026'!Z14="POR RECOGER"),'ENERO 2026'!F14,"")</f>
        <v>61561896</v>
      </c>
      <c r="E10" s="192" t="str">
        <f aca="false">IF(AND('ENERO 2026'!D14&lt;&gt;"",'ENERO 2026'!Z14="POR RECOGER"),TEXT('ENERO 2026'!G14,"DD/MM/YYYY"),"")</f>
        <v>06/01/2025</v>
      </c>
      <c r="F10" s="192" t="str">
        <f aca="false">IF(AND('ENERO 2026'!D14&lt;&gt;"",'ENERO 2026'!Z14="POR RECOGER"),'ENERO 2026'!K14,"")</f>
        <v>PETROLEO</v>
      </c>
      <c r="G10" s="193" t="n">
        <f aca="false">IF(AND('ENERO 2026'!D14&lt;&gt;"",'ENERO 2026'!Z14="POR RECOGER"),'ENERO 2026'!M14,"")</f>
        <v>5</v>
      </c>
      <c r="H10" s="193" t="n">
        <f aca="false">IF(AND('ENERO 2026'!D14&lt;&gt;"",'ENERO 2026'!Z14="POR RECOGER"),'ENERO 2026'!N14,"")</f>
        <v>90.9</v>
      </c>
      <c r="I10" s="192" t="str">
        <f aca="false">IF(AND('ENERO 2026'!D14&lt;&gt;"",'ENERO 2026'!Z14="POR RECOGER"),'ENERO 2026'!P14,"")</f>
        <v>BRICENO OXOLON MANUEL</v>
      </c>
      <c r="J10" s="192" t="str">
        <f aca="false">IF(AND('ENERO 2026'!D14&lt;&gt;"",'ENERO 2026'!Z14="POR RECOGER"),'ENERO 2026'!Q14,"")</f>
        <v>EUC976</v>
      </c>
      <c r="K10" s="192" t="n">
        <f aca="false">IF(AND('ENERO 2026'!D14&lt;&gt;"",'ENERO 2026'!Z14="POR RECOGER"),'ENERO 2026'!Y14,"")</f>
        <v>0</v>
      </c>
      <c r="L10" s="192" t="str">
        <f aca="false">IF(AND('ENERO 2026'!D14&lt;&gt;"",'ENERO 2026'!Z14="POR RECOGER"),'ENERO 2026'!I14,"")</f>
        <v>JUMBILLA</v>
      </c>
      <c r="O10" s="1" t="s">
        <v>433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92" t="str">
        <f aca="false">IF(AND('ENERO 2026'!D15&lt;&gt;"",'ENERO 2026'!Z15="POR RECOGER"),"ENE","")</f>
        <v>ENE</v>
      </c>
      <c r="B11" s="192" t="str">
        <f aca="false">IF(AND('ENERO 2026'!D15&lt;&gt;"",'ENERO 2026'!Z15="POR RECOGER"),IF('ENERO 2026'!Y15&lt;&gt;"",'ENERO 2026'!Y15,'ENERO 2026'!I15),"")</f>
        <v>MARIA AUXILIADORA</v>
      </c>
      <c r="C11" s="192" t="str">
        <f aca="false">IF(AND('ENERO 2026'!D15&lt;&gt;"",'ENERO 2026'!Z15="POR RECOGER"),'ENERO 2026'!D15,"")</f>
        <v>TAFUR LOPEZ SEGUNDO PACIFICO</v>
      </c>
      <c r="D11" s="192" t="str">
        <f aca="false">IF(AND('ENERO 2026'!D15&lt;&gt;"",'ENERO 2026'!Z15="POR RECOGER"),'ENERO 2026'!F15,"")</f>
        <v>44932120</v>
      </c>
      <c r="E11" s="192" t="str">
        <f aca="false">IF(AND('ENERO 2026'!D15&lt;&gt;"",'ENERO 2026'!Z15="POR RECOGER"),TEXT('ENERO 2026'!G15,"DD/MM/YYYY"),"")</f>
        <v>07/01/2026</v>
      </c>
      <c r="F11" s="192" t="str">
        <f aca="false">IF(AND('ENERO 2026'!D15&lt;&gt;"",'ENERO 2026'!Z15="POR RECOGER"),'ENERO 2026'!K15,"")</f>
        <v>PETROLEO</v>
      </c>
      <c r="G11" s="193" t="n">
        <f aca="false">IF(AND('ENERO 2026'!D15&lt;&gt;"",'ENERO 2026'!Z15="POR RECOGER"),'ENERO 2026'!M15,"")</f>
        <v>7</v>
      </c>
      <c r="H11" s="193" t="n">
        <f aca="false">IF(AND('ENERO 2026'!D15&lt;&gt;"",'ENERO 2026'!Z15="POR RECOGER"),'ENERO 2026'!N15,"")</f>
        <v>141.75</v>
      </c>
      <c r="I11" s="192" t="str">
        <f aca="false">IF(AND('ENERO 2026'!D15&lt;&gt;"",'ENERO 2026'!Z15="POR RECOGER"),'ENERO 2026'!P15,"")</f>
        <v/>
      </c>
      <c r="J11" s="192" t="str">
        <f aca="false">IF(AND('ENERO 2026'!D15&lt;&gt;"",'ENERO 2026'!Z15="POR RECOGER"),'ENERO 2026'!Q15,"")</f>
        <v/>
      </c>
      <c r="K11" s="192" t="n">
        <f aca="false">IF(AND('ENERO 2026'!D15&lt;&gt;"",'ENERO 2026'!Z15="POR RECOGER"),'ENERO 2026'!Y15,"")</f>
        <v>0</v>
      </c>
      <c r="L11" s="192" t="str">
        <f aca="false">IF(AND('ENERO 2026'!D15&lt;&gt;"",'ENERO 2026'!Z15="POR RECOGER"),'ENERO 2026'!I15,"")</f>
        <v>MARIA AUXILIADORA</v>
      </c>
      <c r="O11" s="1" t="s">
        <v>451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92" t="str">
        <f aca="false">IF(AND('ENERO 2026'!D16&lt;&gt;"",'ENERO 2026'!Z16="POR RECOGER"),"ENE","")</f>
        <v>ENE</v>
      </c>
      <c r="B12" s="192" t="str">
        <f aca="false">IF(AND('ENERO 2026'!D16&lt;&gt;"",'ENERO 2026'!Z16="POR RECOGER"),IF('ENERO 2026'!Y16&lt;&gt;"",'ENERO 2026'!Y16,'ENERO 2026'!I16),"")</f>
        <v>MARIA AUXILIADORA</v>
      </c>
      <c r="C12" s="192" t="str">
        <f aca="false">IF(AND('ENERO 2026'!D16&lt;&gt;"",'ENERO 2026'!Z16="POR RECOGER"),'ENERO 2026'!D16,"")</f>
        <v>VILLA LOPEZ NEILI DANITZA</v>
      </c>
      <c r="D12" s="192" t="str">
        <f aca="false">IF(AND('ENERO 2026'!D16&lt;&gt;"",'ENERO 2026'!Z16="POR RECOGER"),'ENERO 2026'!F16,"")</f>
        <v>44401644</v>
      </c>
      <c r="E12" s="192" t="str">
        <f aca="false">IF(AND('ENERO 2026'!D16&lt;&gt;"",'ENERO 2026'!Z16="POR RECOGER"),TEXT('ENERO 2026'!G16,"DD/MM/YYYY"),"")</f>
        <v>08/01/2026</v>
      </c>
      <c r="F12" s="192" t="str">
        <f aca="false">IF(AND('ENERO 2026'!D16&lt;&gt;"",'ENERO 2026'!Z16="POR RECOGER"),'ENERO 2026'!K16,"")</f>
        <v>PETROLEO</v>
      </c>
      <c r="G12" s="193" t="n">
        <f aca="false">IF(AND('ENERO 2026'!D16&lt;&gt;"",'ENERO 2026'!Z16="POR RECOGER"),'ENERO 2026'!M16,"")</f>
        <v>7</v>
      </c>
      <c r="H12" s="193" t="n">
        <f aca="false">IF(AND('ENERO 2026'!D16&lt;&gt;"",'ENERO 2026'!Z16="POR RECOGER"),'ENERO 2026'!N16,"")</f>
        <v>141.75</v>
      </c>
      <c r="I12" s="192" t="str">
        <f aca="false">IF(AND('ENERO 2026'!D16&lt;&gt;"",'ENERO 2026'!Z16="POR RECOGER"),'ENERO 2026'!P16,"")</f>
        <v>ROJAS ALVARADO BENJAMIN</v>
      </c>
      <c r="J12" s="192" t="str">
        <f aca="false">IF(AND('ENERO 2026'!D16&lt;&gt;"",'ENERO 2026'!Z16="POR RECOGER"),'ENERO 2026'!Q16,"")</f>
        <v>421 EUH</v>
      </c>
      <c r="K12" s="192" t="n">
        <f aca="false">IF(AND('ENERO 2026'!D16&lt;&gt;"",'ENERO 2026'!Z16="POR RECOGER"),'ENERO 2026'!Y16,"")</f>
        <v>0</v>
      </c>
      <c r="L12" s="192" t="str">
        <f aca="false">IF(AND('ENERO 2026'!D16&lt;&gt;"",'ENERO 2026'!Z16="POR RECOGER"),'ENERO 2026'!I16,"")</f>
        <v>MARIA AUXILIADORA</v>
      </c>
      <c r="O12" s="1" t="s">
        <v>461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92" t="str">
        <f aca="false">IF(AND('ENERO 2026'!D17&lt;&gt;"",'ENERO 2026'!Z17="POR RECOGER"),"ENE","")</f>
        <v>ENE</v>
      </c>
      <c r="B13" s="192" t="str">
        <f aca="false">IF(AND('ENERO 2026'!D17&lt;&gt;"",'ENERO 2026'!Z17="POR RECOGER"),IF('ENERO 2026'!Y17&lt;&gt;"",'ENERO 2026'!Y17,'ENERO 2026'!I17),"")</f>
        <v>MARIA AUXILIADORA</v>
      </c>
      <c r="C13" s="192" t="str">
        <f aca="false">IF(AND('ENERO 2026'!D17&lt;&gt;"",'ENERO 2026'!Z17="POR RECOGER"),'ENERO 2026'!D17,"")</f>
        <v>FERNANDEZ LOPEZ GIL AUGUSTO</v>
      </c>
      <c r="D13" s="192" t="str">
        <f aca="false">IF(AND('ENERO 2026'!D17&lt;&gt;"",'ENERO 2026'!Z17="POR RECOGER"),'ENERO 2026'!F17,"")</f>
        <v>33946545</v>
      </c>
      <c r="E13" s="192" t="str">
        <f aca="false">IF(AND('ENERO 2026'!D17&lt;&gt;"",'ENERO 2026'!Z17="POR RECOGER"),TEXT('ENERO 2026'!G17,"DD/MM/YYYY"),"")</f>
        <v>09/01/2026</v>
      </c>
      <c r="F13" s="192" t="str">
        <f aca="false">IF(AND('ENERO 2026'!D17&lt;&gt;"",'ENERO 2026'!Z17="POR RECOGER"),'ENERO 2026'!K17,"")</f>
        <v>PETROLEO</v>
      </c>
      <c r="G13" s="193" t="n">
        <f aca="false">IF(AND('ENERO 2026'!D17&lt;&gt;"",'ENERO 2026'!Z17="POR RECOGER"),'ENERO 2026'!M17,"")</f>
        <v>7</v>
      </c>
      <c r="H13" s="193" t="n">
        <f aca="false">IF(AND('ENERO 2026'!D17&lt;&gt;"",'ENERO 2026'!Z17="POR RECOGER"),'ENERO 2026'!N17,"")</f>
        <v>141.75</v>
      </c>
      <c r="I13" s="192" t="str">
        <f aca="false">IF(AND('ENERO 2026'!D17&lt;&gt;"",'ENERO 2026'!Z17="POR RECOGER"),'ENERO 2026'!P17,"")</f>
        <v>TRIGOSO TAFUR JOSE GILBER</v>
      </c>
      <c r="J13" s="192" t="str">
        <f aca="false">IF(AND('ENERO 2026'!D17&lt;&gt;"",'ENERO 2026'!Z17="POR RECOGER"),'ENERO 2026'!Q17,"")</f>
        <v>EUH 421</v>
      </c>
      <c r="K13" s="192" t="n">
        <f aca="false">IF(AND('ENERO 2026'!D17&lt;&gt;"",'ENERO 2026'!Z17="POR RECOGER"),'ENERO 2026'!Y17,"")</f>
        <v>0</v>
      </c>
      <c r="L13" s="192" t="str">
        <f aca="false">IF(AND('ENERO 2026'!D17&lt;&gt;"",'ENERO 2026'!Z17="POR RECOGER"),'ENERO 2026'!I17,"")</f>
        <v>MARIA AUXILIADORA</v>
      </c>
      <c r="O13" s="1" t="s">
        <v>48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92" t="str">
        <f aca="false">IF(AND('ENERO 2026'!D18&lt;&gt;"",'ENERO 2026'!Z18="POR RECOGER"),"ENE","")</f>
        <v>ENE</v>
      </c>
      <c r="B14" s="192" t="str">
        <f aca="false">IF(AND('ENERO 2026'!D18&lt;&gt;"",'ENERO 2026'!Z18="POR RECOGER"),IF('ENERO 2026'!Y18&lt;&gt;"",'ENERO 2026'!Y18,'ENERO 2026'!I18),"")</f>
        <v>MARIA AUXILIADORA</v>
      </c>
      <c r="C14" s="192" t="str">
        <f aca="false">IF(AND('ENERO 2026'!D18&lt;&gt;"",'ENERO 2026'!Z18="POR RECOGER"),'ENERO 2026'!D18,"")</f>
        <v>ARANA LOPEZ MARILIZ MISHEL</v>
      </c>
      <c r="D14" s="192" t="str">
        <f aca="false">IF(AND('ENERO 2026'!D18&lt;&gt;"",'ENERO 2026'!Z18="POR RECOGER"),'ENERO 2026'!F18,"")</f>
        <v>78095143</v>
      </c>
      <c r="E14" s="192" t="str">
        <f aca="false">IF(AND('ENERO 2026'!D18&lt;&gt;"",'ENERO 2026'!Z18="POR RECOGER"),TEXT('ENERO 2026'!G18,"DD/MM/YYYY"),"")</f>
        <v>10/01/2026</v>
      </c>
      <c r="F14" s="192" t="str">
        <f aca="false">IF(AND('ENERO 2026'!D18&lt;&gt;"",'ENERO 2026'!Z18="POR RECOGER"),'ENERO 2026'!K18,"")</f>
        <v>PETROLEO</v>
      </c>
      <c r="G14" s="193" t="n">
        <f aca="false">IF(AND('ENERO 2026'!D18&lt;&gt;"",'ENERO 2026'!Z18="POR RECOGER"),'ENERO 2026'!M18,"")</f>
        <v>6.8</v>
      </c>
      <c r="H14" s="193" t="n">
        <f aca="false">IF(AND('ENERO 2026'!D18&lt;&gt;"",'ENERO 2026'!Z18="POR RECOGER"),'ENERO 2026'!N18,"")</f>
        <v>137.7</v>
      </c>
      <c r="I14" s="192" t="str">
        <f aca="false">IF(AND('ENERO 2026'!D18&lt;&gt;"",'ENERO 2026'!Z18="POR RECOGER"),'ENERO 2026'!P18,"")</f>
        <v>TRIGOSO TAFUR JOSE GILBER</v>
      </c>
      <c r="J14" s="192" t="str">
        <f aca="false">IF(AND('ENERO 2026'!D18&lt;&gt;"",'ENERO 2026'!Z18="POR RECOGER"),'ENERO 2026'!Q18,"")</f>
        <v>EUH 421</v>
      </c>
      <c r="K14" s="192" t="n">
        <f aca="false">IF(AND('ENERO 2026'!D18&lt;&gt;"",'ENERO 2026'!Z18="POR RECOGER"),'ENERO 2026'!Y18,"")</f>
        <v>0</v>
      </c>
      <c r="L14" s="192" t="str">
        <f aca="false">IF(AND('ENERO 2026'!D18&lt;&gt;"",'ENERO 2026'!Z18="POR RECOGER"),'ENERO 2026'!I18,"")</f>
        <v>MARIA AUXILIADORA</v>
      </c>
      <c r="O14" s="1" t="s">
        <v>165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92" t="str">
        <f aca="false">IF(AND('ENERO 2026'!D19&lt;&gt;"",'ENERO 2026'!Z19="POR RECOGER"),"ENE","")</f>
        <v>ENE</v>
      </c>
      <c r="B15" s="192" t="str">
        <f aca="false">IF(AND('ENERO 2026'!D19&lt;&gt;"",'ENERO 2026'!Z19="POR RECOGER"),IF('ENERO 2026'!Y19&lt;&gt;"",'ENERO 2026'!Y19,'ENERO 2026'!I19),"")</f>
        <v>MARIA AUXILIADORA</v>
      </c>
      <c r="C15" s="192" t="str">
        <f aca="false">IF(AND('ENERO 2026'!D19&lt;&gt;"",'ENERO 2026'!Z19="POR RECOGER"),'ENERO 2026'!D19,"")</f>
        <v>LUCERO TUESTA MARBELI</v>
      </c>
      <c r="D15" s="192" t="str">
        <f aca="false">IF(AND('ENERO 2026'!D19&lt;&gt;"",'ENERO 2026'!Z19="POR RECOGER"),'ENERO 2026'!F19,"")</f>
        <v>63365856</v>
      </c>
      <c r="E15" s="192" t="str">
        <f aca="false">IF(AND('ENERO 2026'!D19&lt;&gt;"",'ENERO 2026'!Z19="POR RECOGER"),TEXT('ENERO 2026'!G19,"DD/MM/YYYY"),"")</f>
        <v>12/01/2026</v>
      </c>
      <c r="F15" s="192" t="str">
        <f aca="false">IF(AND('ENERO 2026'!D19&lt;&gt;"",'ENERO 2026'!Z19="POR RECOGER"),'ENERO 2026'!K19,"")</f>
        <v>PETROLEO</v>
      </c>
      <c r="G15" s="193" t="n">
        <f aca="false">IF(AND('ENERO 2026'!D19&lt;&gt;"",'ENERO 2026'!Z19="POR RECOGER"),'ENERO 2026'!M19,"")</f>
        <v>5</v>
      </c>
      <c r="H15" s="193" t="n">
        <f aca="false">IF(AND('ENERO 2026'!D19&lt;&gt;"",'ENERO 2026'!Z19="POR RECOGER"),'ENERO 2026'!N19,"")</f>
        <v>101.25</v>
      </c>
      <c r="I15" s="192" t="str">
        <f aca="false">IF(AND('ENERO 2026'!D19&lt;&gt;"",'ENERO 2026'!Z19="POR RECOGER"),'ENERO 2026'!P19,"")</f>
        <v>ROJAS ALVARADO BENJAMIN</v>
      </c>
      <c r="J15" s="192" t="str">
        <f aca="false">IF(AND('ENERO 2026'!D19&lt;&gt;"",'ENERO 2026'!Z19="POR RECOGER"),'ENERO 2026'!Q19,"")</f>
        <v>421 EUH</v>
      </c>
      <c r="K15" s="192" t="n">
        <f aca="false">IF(AND('ENERO 2026'!D19&lt;&gt;"",'ENERO 2026'!Z19="POR RECOGER"),'ENERO 2026'!Y19,"")</f>
        <v>0</v>
      </c>
      <c r="L15" s="192" t="str">
        <f aca="false">IF(AND('ENERO 2026'!D19&lt;&gt;"",'ENERO 2026'!Z19="POR RECOGER"),'ENERO 2026'!I19,"")</f>
        <v>MARIA AUXILIADORA</v>
      </c>
      <c r="O15" s="1" t="s">
        <v>51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92" t="str">
        <f aca="false">IF(AND('ENERO 2026'!D20&lt;&gt;"",'ENERO 2026'!Z20="POR RECOGER"),"ENE","")</f>
        <v>ENE</v>
      </c>
      <c r="B16" s="192" t="str">
        <f aca="false">IF(AND('ENERO 2026'!D20&lt;&gt;"",'ENERO 2026'!Z20="POR RECOGER"),IF('ENERO 2026'!Y20&lt;&gt;"",'ENERO 2026'!Y20,'ENERO 2026'!I20),"")</f>
        <v>POMACOCHAS</v>
      </c>
      <c r="C16" s="192" t="str">
        <f aca="false">IF(AND('ENERO 2026'!D20&lt;&gt;"",'ENERO 2026'!Z20="POR RECOGER"),'ENERO 2026'!D20,"")</f>
        <v>REYES VASQUEZ JOAO YADIEL</v>
      </c>
      <c r="D16" s="192" t="str">
        <f aca="false">IF(AND('ENERO 2026'!D20&lt;&gt;"",'ENERO 2026'!Z20="POR RECOGER"),'ENERO 2026'!F20,"")</f>
        <v>94359638</v>
      </c>
      <c r="E16" s="192" t="str">
        <f aca="false">IF(AND('ENERO 2026'!D20&lt;&gt;"",'ENERO 2026'!Z20="POR RECOGER"),TEXT('ENERO 2026'!G20,"DD/MM/YYYY"),"")</f>
        <v>14/01/2026</v>
      </c>
      <c r="F16" s="192" t="str">
        <f aca="false">IF(AND('ENERO 2026'!D20&lt;&gt;"",'ENERO 2026'!Z20="POR RECOGER"),'ENERO 2026'!K20,"")</f>
        <v>PETROLEO</v>
      </c>
      <c r="G16" s="193" t="n">
        <f aca="false">IF(AND('ENERO 2026'!D20&lt;&gt;"",'ENERO 2026'!Z20="POR RECOGER"),'ENERO 2026'!M20,"")</f>
        <v>6</v>
      </c>
      <c r="H16" s="193" t="n">
        <f aca="false">IF(AND('ENERO 2026'!D20&lt;&gt;"",'ENERO 2026'!Z20="POR RECOGER"),'ENERO 2026'!N20,"")</f>
        <v>109.08</v>
      </c>
      <c r="I16" s="192" t="str">
        <f aca="false">IF(AND('ENERO 2026'!D20&lt;&gt;"",'ENERO 2026'!Z20="POR RECOGER"),'ENERO 2026'!P20,"")</f>
        <v>CARRERA ARAUJO JEINER</v>
      </c>
      <c r="J16" s="192" t="str">
        <f aca="false">IF(AND('ENERO 2026'!D20&lt;&gt;"",'ENERO 2026'!Z20="POR RECOGER"),'ENERO 2026'!Q20,"")</f>
        <v>EUH747</v>
      </c>
      <c r="K16" s="192" t="n">
        <f aca="false">IF(AND('ENERO 2026'!D20&lt;&gt;"",'ENERO 2026'!Z20="POR RECOGER"),'ENERO 2026'!Y20,"")</f>
        <v>0</v>
      </c>
      <c r="L16" s="192" t="str">
        <f aca="false">IF(AND('ENERO 2026'!D20&lt;&gt;"",'ENERO 2026'!Z20="POR RECOGER"),'ENERO 2026'!I20,"")</f>
        <v>POMACOCHAS</v>
      </c>
      <c r="O16" s="1" t="s">
        <v>53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92" t="str">
        <f aca="false">IF(AND('ENERO 2026'!D21&lt;&gt;"",'ENERO 2026'!Z21="POR RECOGER"),"ENE","")</f>
        <v>ENE</v>
      </c>
      <c r="B17" s="192" t="str">
        <f aca="false">IF(AND('ENERO 2026'!D21&lt;&gt;"",'ENERO 2026'!Z21="POR RECOGER"),IF('ENERO 2026'!Y21&lt;&gt;"",'ENERO 2026'!Y21,'ENERO 2026'!I21),"")</f>
        <v>MARIA AUXILIADORA</v>
      </c>
      <c r="C17" s="192" t="str">
        <f aca="false">IF(AND('ENERO 2026'!D21&lt;&gt;"",'ENERO 2026'!Z21="POR RECOGER"),'ENERO 2026'!D21,"")</f>
        <v>CASTRO DE VARGAS JUSTINA</v>
      </c>
      <c r="D17" s="192" t="str">
        <f aca="false">IF(AND('ENERO 2026'!D21&lt;&gt;"",'ENERO 2026'!Z21="POR RECOGER"),'ENERO 2026'!F21,"")</f>
        <v>33944106</v>
      </c>
      <c r="E17" s="192" t="str">
        <f aca="false">IF(AND('ENERO 2026'!D21&lt;&gt;"",'ENERO 2026'!Z21="POR RECOGER"),TEXT('ENERO 2026'!G21,"DD/MM/YYYY"),"")</f>
        <v>14/01/2026</v>
      </c>
      <c r="F17" s="192" t="str">
        <f aca="false">IF(AND('ENERO 2026'!D21&lt;&gt;"",'ENERO 2026'!Z21="POR RECOGER"),'ENERO 2026'!K21,"")</f>
        <v>PETROLEO</v>
      </c>
      <c r="G17" s="193" t="n">
        <f aca="false">IF(AND('ENERO 2026'!D21&lt;&gt;"",'ENERO 2026'!Z21="POR RECOGER"),'ENERO 2026'!M21,"")</f>
        <v>7</v>
      </c>
      <c r="H17" s="193" t="n">
        <f aca="false">IF(AND('ENERO 2026'!D21&lt;&gt;"",'ENERO 2026'!Z21="POR RECOGER"),'ENERO 2026'!N21,"")</f>
        <v>141.75</v>
      </c>
      <c r="I17" s="192" t="str">
        <f aca="false">IF(AND('ENERO 2026'!D21&lt;&gt;"",'ENERO 2026'!Z21="POR RECOGER"),'ENERO 2026'!P21,"")</f>
        <v>TRIGOSO TAFUR JOSE GILBER</v>
      </c>
      <c r="J17" s="192" t="str">
        <f aca="false">IF(AND('ENERO 2026'!D21&lt;&gt;"",'ENERO 2026'!Z21="POR RECOGER"),'ENERO 2026'!Q21,"")</f>
        <v>EUH 421</v>
      </c>
      <c r="K17" s="192" t="n">
        <f aca="false">IF(AND('ENERO 2026'!D21&lt;&gt;"",'ENERO 2026'!Z21="POR RECOGER"),'ENERO 2026'!Y21,"")</f>
        <v>0</v>
      </c>
      <c r="L17" s="192" t="str">
        <f aca="false">IF(AND('ENERO 2026'!D21&lt;&gt;"",'ENERO 2026'!Z21="POR RECOGER"),'ENERO 2026'!I21,"")</f>
        <v>MARIA AUXILIADORA</v>
      </c>
      <c r="O17" s="1" t="s">
        <v>186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92" t="str">
        <f aca="false">IF(AND('ENERO 2026'!D22&lt;&gt;"",'ENERO 2026'!Z22="POR RECOGER"),"ENE","")</f>
        <v>ENE</v>
      </c>
      <c r="B18" s="192" t="str">
        <f aca="false">IF(AND('ENERO 2026'!D22&lt;&gt;"",'ENERO 2026'!Z22="POR RECOGER"),IF('ENERO 2026'!Y22&lt;&gt;"",'ENERO 2026'!Y22,'ENERO 2026'!I22),"")</f>
        <v>POMACOCHAS</v>
      </c>
      <c r="C18" s="192" t="str">
        <f aca="false">IF(AND('ENERO 2026'!D22&lt;&gt;"",'ENERO 2026'!Z22="POR RECOGER"),'ENERO 2026'!D22,"")</f>
        <v>OBLITAS VASQUEZ YENNY</v>
      </c>
      <c r="D18" s="192" t="str">
        <f aca="false">IF(AND('ENERO 2026'!D22&lt;&gt;"",'ENERO 2026'!Z22="POR RECOGER"),'ENERO 2026'!F22,"")</f>
        <v>77346512</v>
      </c>
      <c r="E18" s="192" t="str">
        <f aca="false">IF(AND('ENERO 2026'!D22&lt;&gt;"",'ENERO 2026'!Z22="POR RECOGER"),TEXT('ENERO 2026'!G22,"DD/MM/YYYY"),"")</f>
        <v>17/01/2026</v>
      </c>
      <c r="F18" s="192" t="str">
        <f aca="false">IF(AND('ENERO 2026'!D22&lt;&gt;"",'ENERO 2026'!Z22="POR RECOGER"),'ENERO 2026'!K22,"")</f>
        <v>PETROLEO</v>
      </c>
      <c r="G18" s="193" t="n">
        <f aca="false">IF(AND('ENERO 2026'!D22&lt;&gt;"",'ENERO 2026'!Z22="POR RECOGER"),'ENERO 2026'!M22,"")</f>
        <v>6</v>
      </c>
      <c r="H18" s="193" t="n">
        <f aca="false">IF(AND('ENERO 2026'!D22&lt;&gt;"",'ENERO 2026'!Z22="POR RECOGER"),'ENERO 2026'!N22,"")</f>
        <v>109.08</v>
      </c>
      <c r="I18" s="192" t="str">
        <f aca="false">IF(AND('ENERO 2026'!D22&lt;&gt;"",'ENERO 2026'!Z22="POR RECOGER"),'ENERO 2026'!P22,"")</f>
        <v>CARRERA ARAUJO JEINER</v>
      </c>
      <c r="J18" s="192" t="str">
        <f aca="false">IF(AND('ENERO 2026'!D22&lt;&gt;"",'ENERO 2026'!Z22="POR RECOGER"),'ENERO 2026'!Q22,"")</f>
        <v>EUH747</v>
      </c>
      <c r="K18" s="192" t="n">
        <f aca="false">IF(AND('ENERO 2026'!D22&lt;&gt;"",'ENERO 2026'!Z22="POR RECOGER"),'ENERO 2026'!Y22,"")</f>
        <v>0</v>
      </c>
      <c r="L18" s="192" t="str">
        <f aca="false">IF(AND('ENERO 2026'!D22&lt;&gt;"",'ENERO 2026'!Z22="POR RECOGER"),'ENERO 2026'!I22,"")</f>
        <v>POMACOCHAS</v>
      </c>
      <c r="O18" s="1" t="s">
        <v>509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92" t="str">
        <f aca="false">IF(AND('ENERO 2026'!D23&lt;&gt;"",'ENERO 2026'!Z23="POR RECOGER"),"ENE","")</f>
        <v>ENE</v>
      </c>
      <c r="B19" s="192" t="str">
        <f aca="false">IF(AND('ENERO 2026'!D23&lt;&gt;"",'ENERO 2026'!Z23="POR RECOGER"),IF('ENERO 2026'!Y23&lt;&gt;"",'ENERO 2026'!Y23,'ENERO 2026'!I23),"")</f>
        <v>MARIA AUXILIADORA</v>
      </c>
      <c r="C19" s="192" t="str">
        <f aca="false">IF(AND('ENERO 2026'!D23&lt;&gt;"",'ENERO 2026'!Z23="POR RECOGER"),'ENERO 2026'!D23,"")</f>
        <v>TAFUR SALDAÑA JUAN ALBERTO</v>
      </c>
      <c r="D19" s="192" t="str">
        <f aca="false">IF(AND('ENERO 2026'!D23&lt;&gt;"",'ENERO 2026'!Z23="POR RECOGER"),'ENERO 2026'!F23,"")</f>
        <v>33941504</v>
      </c>
      <c r="E19" s="192" t="str">
        <f aca="false">IF(AND('ENERO 2026'!D23&lt;&gt;"",'ENERO 2026'!Z23="POR RECOGER"),TEXT('ENERO 2026'!G23,"DD/MM/YYYY"),"")</f>
        <v>17/01/2026</v>
      </c>
      <c r="F19" s="192" t="str">
        <f aca="false">IF(AND('ENERO 2026'!D23&lt;&gt;"",'ENERO 2026'!Z23="POR RECOGER"),'ENERO 2026'!K23,"")</f>
        <v>PETROLEO</v>
      </c>
      <c r="G19" s="193" t="n">
        <f aca="false">IF(AND('ENERO 2026'!D23&lt;&gt;"",'ENERO 2026'!Z23="POR RECOGER"),'ENERO 2026'!M23,"")</f>
        <v>7</v>
      </c>
      <c r="H19" s="193" t="n">
        <f aca="false">IF(AND('ENERO 2026'!D23&lt;&gt;"",'ENERO 2026'!Z23="POR RECOGER"),'ENERO 2026'!N23,"")</f>
        <v>141.75</v>
      </c>
      <c r="I19" s="192" t="str">
        <f aca="false">IF(AND('ENERO 2026'!D23&lt;&gt;"",'ENERO 2026'!Z23="POR RECOGER"),'ENERO 2026'!P23,"")</f>
        <v>TRIGOSO TAFUR JOSE GILBER</v>
      </c>
      <c r="J19" s="192" t="str">
        <f aca="false">IF(AND('ENERO 2026'!D23&lt;&gt;"",'ENERO 2026'!Z23="POR RECOGER"),'ENERO 2026'!Q23,"")</f>
        <v>EUH 421</v>
      </c>
      <c r="K19" s="192" t="n">
        <f aca="false">IF(AND('ENERO 2026'!D23&lt;&gt;"",'ENERO 2026'!Z23="POR RECOGER"),'ENERO 2026'!Y23,"")</f>
        <v>0</v>
      </c>
      <c r="L19" s="192" t="str">
        <f aca="false">IF(AND('ENERO 2026'!D23&lt;&gt;"",'ENERO 2026'!Z23="POR RECOGER"),'ENERO 2026'!I23,"")</f>
        <v>MARIA AUXILIADORA</v>
      </c>
      <c r="O19" s="1" t="s">
        <v>511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92" t="str">
        <f aca="false">IF(AND('ENERO 2026'!D24&lt;&gt;"",'ENERO 2026'!Z24="POR RECOGER"),"ENE","")</f>
        <v>ENE</v>
      </c>
      <c r="B20" s="192" t="str">
        <f aca="false">IF(AND('ENERO 2026'!D24&lt;&gt;"",'ENERO 2026'!Z24="POR RECOGER"),IF('ENERO 2026'!Y24&lt;&gt;"",'ENERO 2026'!Y24,'ENERO 2026'!I24),"")</f>
        <v>MARIA AUXILIADORA</v>
      </c>
      <c r="C20" s="192" t="str">
        <f aca="false">IF(AND('ENERO 2026'!D24&lt;&gt;"",'ENERO 2026'!Z24="POR RECOGER"),'ENERO 2026'!D24,"")</f>
        <v>LOPEZ VILCAROMERO MARIKELI</v>
      </c>
      <c r="D20" s="192" t="str">
        <f aca="false">IF(AND('ENERO 2026'!D24&lt;&gt;"",'ENERO 2026'!Z24="POR RECOGER"),'ENERO 2026'!F24,"")</f>
        <v>60526420</v>
      </c>
      <c r="E20" s="192" t="str">
        <f aca="false">IF(AND('ENERO 2026'!D24&lt;&gt;"",'ENERO 2026'!Z24="POR RECOGER"),TEXT('ENERO 2026'!G24,"DD/MM/YYYY"),"")</f>
        <v>18/01/2026</v>
      </c>
      <c r="F20" s="192" t="str">
        <f aca="false">IF(AND('ENERO 2026'!D24&lt;&gt;"",'ENERO 2026'!Z24="POR RECOGER"),'ENERO 2026'!K24,"")</f>
        <v>PETROLEO</v>
      </c>
      <c r="G20" s="193" t="n">
        <f aca="false">IF(AND('ENERO 2026'!D24&lt;&gt;"",'ENERO 2026'!Z24="POR RECOGER"),'ENERO 2026'!M24,"")</f>
        <v>6</v>
      </c>
      <c r="H20" s="193" t="n">
        <f aca="false">IF(AND('ENERO 2026'!D24&lt;&gt;"",'ENERO 2026'!Z24="POR RECOGER"),'ENERO 2026'!N24,"")</f>
        <v>121.5</v>
      </c>
      <c r="I20" s="192" t="str">
        <f aca="false">IF(AND('ENERO 2026'!D24&lt;&gt;"",'ENERO 2026'!Z24="POR RECOGER"),'ENERO 2026'!P24,"")</f>
        <v>SERNAQUE PELAEZ WILMER</v>
      </c>
      <c r="J20" s="192" t="str">
        <f aca="false">IF(AND('ENERO 2026'!D24&lt;&gt;"",'ENERO 2026'!Z24="POR RECOGER"),'ENERO 2026'!Q24,"")</f>
        <v>EUH-421</v>
      </c>
      <c r="K20" s="192" t="n">
        <f aca="false">IF(AND('ENERO 2026'!D24&lt;&gt;"",'ENERO 2026'!Z24="POR RECOGER"),'ENERO 2026'!Y24,"")</f>
        <v>0</v>
      </c>
      <c r="L20" s="192" t="str">
        <f aca="false">IF(AND('ENERO 2026'!D24&lt;&gt;"",'ENERO 2026'!Z24="POR RECOGER"),'ENERO 2026'!I24,"")</f>
        <v>MARIA AUXILIADORA</v>
      </c>
      <c r="O20" s="1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192" t="str">
        <f aca="false">IF(AND('ENERO 2026'!D25&lt;&gt;"",'ENERO 2026'!Z25="POR RECOGER"),"ENE","")</f>
        <v>ENE</v>
      </c>
      <c r="B21" s="192" t="str">
        <f aca="false">IF(AND('ENERO 2026'!D25&lt;&gt;"",'ENERO 2026'!Z25="POR RECOGER"),IF('ENERO 2026'!Y25&lt;&gt;"",'ENERO 2026'!Y25,'ENERO 2026'!I25),"")</f>
        <v>TINGO</v>
      </c>
      <c r="C21" s="192" t="str">
        <f aca="false">IF(AND('ENERO 2026'!D25&lt;&gt;"",'ENERO 2026'!Z25="POR RECOGER"),'ENERO 2026'!D25,"")</f>
        <v>CHAVEZ AREVALO FLORES MILA</v>
      </c>
      <c r="D21" s="192" t="str">
        <f aca="false">IF(AND('ENERO 2026'!D25&lt;&gt;"",'ENERO 2026'!Z25="POR RECOGER"),'ENERO 2026'!F25,"")</f>
        <v>72686690</v>
      </c>
      <c r="E21" s="192" t="str">
        <f aca="false">IF(AND('ENERO 2026'!D25&lt;&gt;"",'ENERO 2026'!Z25="POR RECOGER"),TEXT('ENERO 2026'!G25,"DD/MM/YYYY"),"")</f>
        <v>19/01/2026</v>
      </c>
      <c r="F21" s="192" t="str">
        <f aca="false">IF(AND('ENERO 2026'!D25&lt;&gt;"",'ENERO 2026'!Z25="POR RECOGER"),'ENERO 2026'!K25,"")</f>
        <v>PETROLEO</v>
      </c>
      <c r="G21" s="193" t="n">
        <f aca="false">IF(AND('ENERO 2026'!D25&lt;&gt;"",'ENERO 2026'!Z25="POR RECOGER"),'ENERO 2026'!M25,"")</f>
        <v>5</v>
      </c>
      <c r="H21" s="193" t="n">
        <f aca="false">IF(AND('ENERO 2026'!D25&lt;&gt;"",'ENERO 2026'!Z25="POR RECOGER"),'ENERO 2026'!N25,"")</f>
        <v>90.9</v>
      </c>
      <c r="I21" s="192" t="str">
        <f aca="false">IF(AND('ENERO 2026'!D25&lt;&gt;"",'ENERO 2026'!Z25="POR RECOGER"),'ENERO 2026'!P25,"")</f>
        <v>VILCARROMERO TORREJON HERMERSON</v>
      </c>
      <c r="J21" s="192" t="str">
        <f aca="false">IF(AND('ENERO 2026'!D25&lt;&gt;"",'ENERO 2026'!Z25="POR RECOGER"),'ENERO 2026'!Q25,"")</f>
        <v>EUD-917</v>
      </c>
      <c r="K21" s="192" t="n">
        <f aca="false">IF(AND('ENERO 2026'!D25&lt;&gt;"",'ENERO 2026'!Z25="POR RECOGER"),'ENERO 2026'!Y25,"")</f>
        <v>0</v>
      </c>
      <c r="L21" s="192" t="str">
        <f aca="false">IF(AND('ENERO 2026'!D25&lt;&gt;"",'ENERO 2026'!Z25="POR RECOGER"),'ENERO 2026'!I25,"")</f>
        <v>TINGO</v>
      </c>
      <c r="O21" s="1" t="s">
        <v>58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192" t="str">
        <f aca="false">IF(AND('ENERO 2026'!D26&lt;&gt;"",'ENERO 2026'!Z26="POR RECOGER"),"ENE","")</f>
        <v>ENE</v>
      </c>
      <c r="B22" s="192" t="str">
        <f aca="false">IF(AND('ENERO 2026'!D26&lt;&gt;"",'ENERO 2026'!Z26="POR RECOGER"),IF('ENERO 2026'!Y26&lt;&gt;"",'ENERO 2026'!Y26,'ENERO 2026'!I26),"")</f>
        <v>MARIA AUXILIADORA</v>
      </c>
      <c r="C22" s="192" t="str">
        <f aca="false">IF(AND('ENERO 2026'!D26&lt;&gt;"",'ENERO 2026'!Z26="POR RECOGER"),'ENERO 2026'!D26,"")</f>
        <v>SANCHEZ REVILLA JHOSELI MANUELITA</v>
      </c>
      <c r="D22" s="192" t="str">
        <f aca="false">IF(AND('ENERO 2026'!D26&lt;&gt;"",'ENERO 2026'!Z26="POR RECOGER"),'ENERO 2026'!F26,"")</f>
        <v>60035393</v>
      </c>
      <c r="E22" s="192" t="str">
        <f aca="false">IF(AND('ENERO 2026'!D26&lt;&gt;"",'ENERO 2026'!Z26="POR RECOGER"),TEXT('ENERO 2026'!G26,"DD/MM/YYYY"),"")</f>
        <v>19/01/2026</v>
      </c>
      <c r="F22" s="192" t="str">
        <f aca="false">IF(AND('ENERO 2026'!D26&lt;&gt;"",'ENERO 2026'!Z26="POR RECOGER"),'ENERO 2026'!K26,"")</f>
        <v>PETROLEO</v>
      </c>
      <c r="G22" s="193" t="n">
        <f aca="false">IF(AND('ENERO 2026'!D26&lt;&gt;"",'ENERO 2026'!Z26="POR RECOGER"),'ENERO 2026'!M26,"")</f>
        <v>7</v>
      </c>
      <c r="H22" s="193" t="n">
        <f aca="false">IF(AND('ENERO 2026'!D26&lt;&gt;"",'ENERO 2026'!Z26="POR RECOGER"),'ENERO 2026'!N26,"")</f>
        <v>141.75</v>
      </c>
      <c r="I22" s="192" t="str">
        <f aca="false">IF(AND('ENERO 2026'!D26&lt;&gt;"",'ENERO 2026'!Z26="POR RECOGER"),'ENERO 2026'!P26,"")</f>
        <v>TRIGOSO TAFUR JOSE GILBER</v>
      </c>
      <c r="J22" s="192" t="str">
        <f aca="false">IF(AND('ENERO 2026'!D26&lt;&gt;"",'ENERO 2026'!Z26="POR RECOGER"),'ENERO 2026'!Q26,"")</f>
        <v>EUH 421</v>
      </c>
      <c r="K22" s="192" t="n">
        <f aca="false">IF(AND('ENERO 2026'!D26&lt;&gt;"",'ENERO 2026'!Z26="POR RECOGER"),'ENERO 2026'!Y26,"")</f>
        <v>0</v>
      </c>
      <c r="L22" s="192" t="str">
        <f aca="false">IF(AND('ENERO 2026'!D26&lt;&gt;"",'ENERO 2026'!Z26="POR RECOGER"),'ENERO 2026'!I26,"")</f>
        <v>MARIA AUXILIADORA</v>
      </c>
      <c r="O22" s="1" t="s">
        <v>138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192" t="str">
        <f aca="false">IF(AND('ENERO 2026'!D27&lt;&gt;"",'ENERO 2026'!Z27="POR RECOGER"),"ENE","")</f>
        <v>ENE</v>
      </c>
      <c r="B23" s="192" t="str">
        <f aca="false">IF(AND('ENERO 2026'!D27&lt;&gt;"",'ENERO 2026'!Z27="POR RECOGER"),IF('ENERO 2026'!Y27&lt;&gt;"",'ENERO 2026'!Y27,'ENERO 2026'!I27),"")</f>
        <v>TINGO</v>
      </c>
      <c r="C23" s="192" t="str">
        <f aca="false">IF(AND('ENERO 2026'!D27&lt;&gt;"",'ENERO 2026'!Z27="POR RECOGER"),'ENERO 2026'!D27,"")</f>
        <v>SILVA TAFUR DEICY MADAY</v>
      </c>
      <c r="D23" s="192" t="str">
        <f aca="false">IF(AND('ENERO 2026'!D27&lt;&gt;"",'ENERO 2026'!Z27="POR RECOGER"),'ENERO 2026'!F27,"")</f>
        <v>40662457</v>
      </c>
      <c r="E23" s="192" t="str">
        <f aca="false">IF(AND('ENERO 2026'!D27&lt;&gt;"",'ENERO 2026'!Z27="POR RECOGER"),TEXT('ENERO 2026'!G27,"DD/MM/YYYY"),"")</f>
        <v>20/01/2026</v>
      </c>
      <c r="F23" s="192" t="str">
        <f aca="false">IF(AND('ENERO 2026'!D27&lt;&gt;"",'ENERO 2026'!Z27="POR RECOGER"),'ENERO 2026'!K27,"")</f>
        <v>PETROLEO</v>
      </c>
      <c r="G23" s="193" t="n">
        <f aca="false">IF(AND('ENERO 2026'!D27&lt;&gt;"",'ENERO 2026'!Z27="POR RECOGER"),'ENERO 2026'!M27,"")</f>
        <v>5</v>
      </c>
      <c r="H23" s="193" t="n">
        <f aca="false">IF(AND('ENERO 2026'!D27&lt;&gt;"",'ENERO 2026'!Z27="POR RECOGER"),'ENERO 2026'!N27,"")</f>
        <v>90.9</v>
      </c>
      <c r="I23" s="192" t="str">
        <f aca="false">IF(AND('ENERO 2026'!D27&lt;&gt;"",'ENERO 2026'!Z27="POR RECOGER"),'ENERO 2026'!P27,"")</f>
        <v>VILCARROMERO TORREJON HERMERSON</v>
      </c>
      <c r="J23" s="192" t="str">
        <f aca="false">IF(AND('ENERO 2026'!D27&lt;&gt;"",'ENERO 2026'!Z27="POR RECOGER"),'ENERO 2026'!Q27,"")</f>
        <v>EUD-917</v>
      </c>
      <c r="K23" s="192" t="n">
        <f aca="false">IF(AND('ENERO 2026'!D27&lt;&gt;"",'ENERO 2026'!Z27="POR RECOGER"),'ENERO 2026'!Y27,"")</f>
        <v>0</v>
      </c>
      <c r="L23" s="192" t="str">
        <f aca="false">IF(AND('ENERO 2026'!D27&lt;&gt;"",'ENERO 2026'!Z27="POR RECOGER"),'ENERO 2026'!I27,"")</f>
        <v>TINGO</v>
      </c>
      <c r="O23" s="1" t="s">
        <v>93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192" t="str">
        <f aca="false">IF(AND('ENERO 2026'!D28&lt;&gt;"",'ENERO 2026'!Z28="POR RECOGER"),"ENE","")</f>
        <v>ENE</v>
      </c>
      <c r="B24" s="192" t="str">
        <f aca="false">IF(AND('ENERO 2026'!D28&lt;&gt;"",'ENERO 2026'!Z28="POR RECOGER"),IF('ENERO 2026'!Y28&lt;&gt;"",'ENERO 2026'!Y28,'ENERO 2026'!I28),"")</f>
        <v>TINGO</v>
      </c>
      <c r="C24" s="192" t="str">
        <f aca="false">IF(AND('ENERO 2026'!D28&lt;&gt;"",'ENERO 2026'!Z28="POR RECOGER"),'ENERO 2026'!D28,"")</f>
        <v>CRUZ CRUZ HILDA MERCEDES</v>
      </c>
      <c r="D24" s="192" t="str">
        <f aca="false">IF(AND('ENERO 2026'!D28&lt;&gt;"",'ENERO 2026'!Z28="POR RECOGER"),'ENERO 2026'!F28,"")</f>
        <v>33420344</v>
      </c>
      <c r="E24" s="192" t="str">
        <f aca="false">IF(AND('ENERO 2026'!D28&lt;&gt;"",'ENERO 2026'!Z28="POR RECOGER"),TEXT('ENERO 2026'!G28,"DD/MM/YYYY"),"")</f>
        <v>20/01/2026</v>
      </c>
      <c r="F24" s="192" t="str">
        <f aca="false">IF(AND('ENERO 2026'!D28&lt;&gt;"",'ENERO 2026'!Z28="POR RECOGER"),'ENERO 2026'!K28,"")</f>
        <v>PETROLEO</v>
      </c>
      <c r="G24" s="193" t="n">
        <f aca="false">IF(AND('ENERO 2026'!D28&lt;&gt;"",'ENERO 2026'!Z28="POR RECOGER"),'ENERO 2026'!M28,"")</f>
        <v>5</v>
      </c>
      <c r="H24" s="193" t="n">
        <f aca="false">IF(AND('ENERO 2026'!D28&lt;&gt;"",'ENERO 2026'!Z28="POR RECOGER"),'ENERO 2026'!N28,"")</f>
        <v>90.9</v>
      </c>
      <c r="I24" s="192" t="str">
        <f aca="false">IF(AND('ENERO 2026'!D28&lt;&gt;"",'ENERO 2026'!Z28="POR RECOGER"),'ENERO 2026'!P28,"")</f>
        <v>VILCARROMERO TORREJON HERMERSON</v>
      </c>
      <c r="J24" s="192" t="str">
        <f aca="false">IF(AND('ENERO 2026'!D28&lt;&gt;"",'ENERO 2026'!Z28="POR RECOGER"),'ENERO 2026'!Q28,"")</f>
        <v>EUD-917</v>
      </c>
      <c r="K24" s="192" t="n">
        <f aca="false">IF(AND('ENERO 2026'!D28&lt;&gt;"",'ENERO 2026'!Z28="POR RECOGER"),'ENERO 2026'!Y28,"")</f>
        <v>0</v>
      </c>
      <c r="L24" s="192" t="str">
        <f aca="false">IF(AND('ENERO 2026'!D28&lt;&gt;"",'ENERO 2026'!Z28="POR RECOGER"),'ENERO 2026'!I28,"")</f>
        <v>TINGO</v>
      </c>
      <c r="O24" s="1" t="s">
        <v>66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192" t="str">
        <f aca="false">IF(AND('ENERO 2026'!D29&lt;&gt;"",'ENERO 2026'!Z29="POR RECOGER"),"ENE","")</f>
        <v>ENE</v>
      </c>
      <c r="B25" s="192" t="str">
        <f aca="false">IF(AND('ENERO 2026'!D29&lt;&gt;"",'ENERO 2026'!Z29="POR RECOGER"),IF('ENERO 2026'!Y29&lt;&gt;"",'ENERO 2026'!Y29,'ENERO 2026'!I29),"")</f>
        <v>MARIA AUXILIADORA</v>
      </c>
      <c r="C25" s="192" t="str">
        <f aca="false">IF(AND('ENERO 2026'!D29&lt;&gt;"",'ENERO 2026'!Z29="POR RECOGER"),'ENERO 2026'!D29,"")</f>
        <v>MUÑOZ BUSTAMANTE MARINA MELANIA</v>
      </c>
      <c r="D25" s="192" t="str">
        <f aca="false">IF(AND('ENERO 2026'!D29&lt;&gt;"",'ENERO 2026'!Z29="POR RECOGER"),'ENERO 2026'!F29,"")</f>
        <v>47349553</v>
      </c>
      <c r="E25" s="192" t="str">
        <f aca="false">IF(AND('ENERO 2026'!D29&lt;&gt;"",'ENERO 2026'!Z29="POR RECOGER"),TEXT('ENERO 2026'!G29,"DD/MM/YYYY"),"")</f>
        <v>21/01/2026</v>
      </c>
      <c r="F25" s="192" t="str">
        <f aca="false">IF(AND('ENERO 2026'!D29&lt;&gt;"",'ENERO 2026'!Z29="POR RECOGER"),'ENERO 2026'!K29,"")</f>
        <v>PETROLEO</v>
      </c>
      <c r="G25" s="193" t="n">
        <f aca="false">IF(AND('ENERO 2026'!D29&lt;&gt;"",'ENERO 2026'!Z29="POR RECOGER"),'ENERO 2026'!M29,"")</f>
        <v>7</v>
      </c>
      <c r="H25" s="193" t="n">
        <f aca="false">IF(AND('ENERO 2026'!D29&lt;&gt;"",'ENERO 2026'!Z29="POR RECOGER"),'ENERO 2026'!N29,"")</f>
        <v>141.75</v>
      </c>
      <c r="I25" s="192" t="str">
        <f aca="false">IF(AND('ENERO 2026'!D29&lt;&gt;"",'ENERO 2026'!Z29="POR RECOGER"),'ENERO 2026'!P29,"")</f>
        <v>TRIGOSO TAFUR JOSE GILBER</v>
      </c>
      <c r="J25" s="192" t="str">
        <f aca="false">IF(AND('ENERO 2026'!D29&lt;&gt;"",'ENERO 2026'!Z29="POR RECOGER"),'ENERO 2026'!Q29,"")</f>
        <v>EUH 421</v>
      </c>
      <c r="K25" s="192" t="n">
        <f aca="false">IF(AND('ENERO 2026'!D29&lt;&gt;"",'ENERO 2026'!Z29="POR RECOGER"),'ENERO 2026'!Y29,"")</f>
        <v>0</v>
      </c>
      <c r="L25" s="192" t="str">
        <f aca="false">IF(AND('ENERO 2026'!D29&lt;&gt;"",'ENERO 2026'!Z29="POR RECOGER"),'ENERO 2026'!I29,"")</f>
        <v>MARIA AUXILIADORA</v>
      </c>
      <c r="O25" s="1" t="s">
        <v>68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192" t="str">
        <f aca="false">IF(AND('ENERO 2026'!D30&lt;&gt;"",'ENERO 2026'!Z30="POR RECOGER"),"ENE","")</f>
        <v>ENE</v>
      </c>
      <c r="B26" s="192" t="str">
        <f aca="false">IF(AND('ENERO 2026'!D30&lt;&gt;"",'ENERO 2026'!Z30="POR RECOGER"),IF('ENERO 2026'!Y30&lt;&gt;"",'ENERO 2026'!Y30,'ENERO 2026'!I30),"")</f>
        <v>MARIA AUXILIADORA</v>
      </c>
      <c r="C26" s="192" t="str">
        <f aca="false">IF(AND('ENERO 2026'!D30&lt;&gt;"",'ENERO 2026'!Z30="POR RECOGER"),'ENERO 2026'!D30,"")</f>
        <v>GOMEZ AQUINO CIELO IRAHY</v>
      </c>
      <c r="D26" s="192" t="str">
        <f aca="false">IF(AND('ENERO 2026'!D30&lt;&gt;"",'ENERO 2026'!Z30="POR RECOGER"),'ENERO 2026'!F30,"")</f>
        <v>90953258</v>
      </c>
      <c r="E26" s="192" t="str">
        <f aca="false">IF(AND('ENERO 2026'!D30&lt;&gt;"",'ENERO 2026'!Z30="POR RECOGER"),TEXT('ENERO 2026'!G30,"DD/MM/YYYY"),"")</f>
        <v>21/01/2026</v>
      </c>
      <c r="F26" s="192" t="str">
        <f aca="false">IF(AND('ENERO 2026'!D30&lt;&gt;"",'ENERO 2026'!Z30="POR RECOGER"),'ENERO 2026'!K30,"")</f>
        <v>PETROLEO</v>
      </c>
      <c r="G26" s="193" t="n">
        <f aca="false">IF(AND('ENERO 2026'!D30&lt;&gt;"",'ENERO 2026'!Z30="POR RECOGER"),'ENERO 2026'!M30,"")</f>
        <v>6.55</v>
      </c>
      <c r="H26" s="193" t="n">
        <f aca="false">IF(AND('ENERO 2026'!D30&lt;&gt;"",'ENERO 2026'!Z30="POR RECOGER"),'ENERO 2026'!N30,"")</f>
        <v>132.6375</v>
      </c>
      <c r="I26" s="192" t="str">
        <f aca="false">IF(AND('ENERO 2026'!D30&lt;&gt;"",'ENERO 2026'!Z30="POR RECOGER"),'ENERO 2026'!P30,"")</f>
        <v>ROJAS ALVARADO BENJAMIN</v>
      </c>
      <c r="J26" s="192" t="str">
        <f aca="false">IF(AND('ENERO 2026'!D30&lt;&gt;"",'ENERO 2026'!Z30="POR RECOGER"),'ENERO 2026'!Q30,"")</f>
        <v>421 EUH</v>
      </c>
      <c r="K26" s="192" t="n">
        <f aca="false">IF(AND('ENERO 2026'!D30&lt;&gt;"",'ENERO 2026'!Z30="POR RECOGER"),'ENERO 2026'!Y30,"")</f>
        <v>0</v>
      </c>
      <c r="L26" s="192" t="str">
        <f aca="false">IF(AND('ENERO 2026'!D30&lt;&gt;"",'ENERO 2026'!Z30="POR RECOGER"),'ENERO 2026'!I30,"")</f>
        <v>MARIA AUXILIADORA</v>
      </c>
      <c r="O26" s="1" t="s">
        <v>70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192" t="str">
        <f aca="false">IF(AND('ENERO 2026'!D31&lt;&gt;"",'ENERO 2026'!Z31="POR RECOGER"),"ENE","")</f>
        <v>ENE</v>
      </c>
      <c r="B27" s="192" t="str">
        <f aca="false">IF(AND('ENERO 2026'!D31&lt;&gt;"",'ENERO 2026'!Z31="POR RECOGER"),IF('ENERO 2026'!Y31&lt;&gt;"",'ENERO 2026'!Y31,'ENERO 2026'!I31),"")</f>
        <v>JALCA GRANDE</v>
      </c>
      <c r="C27" s="192" t="str">
        <f aca="false">IF(AND('ENERO 2026'!D31&lt;&gt;"",'ENERO 2026'!Z31="POR RECOGER"),'ENERO 2026'!D31,"")</f>
        <v>ROJAS SANCHEZ TEODOLIO</v>
      </c>
      <c r="D27" s="192" t="str">
        <f aca="false">IF(AND('ENERO 2026'!D31&lt;&gt;"",'ENERO 2026'!Z31="POR RECOGER"),'ENERO 2026'!F31,"")</f>
        <v>33415767</v>
      </c>
      <c r="E27" s="192" t="str">
        <f aca="false">IF(AND('ENERO 2026'!D31&lt;&gt;"",'ENERO 2026'!Z31="POR RECOGER"),TEXT('ENERO 2026'!G31,"DD/MM/YYYY"),"")</f>
        <v>03/01/2026</v>
      </c>
      <c r="F27" s="192" t="str">
        <f aca="false">IF(AND('ENERO 2026'!D31&lt;&gt;"",'ENERO 2026'!Z31="POR RECOGER"),'ENERO 2026'!K31,"")</f>
        <v>PETROLEO</v>
      </c>
      <c r="G27" s="193" t="n">
        <f aca="false">IF(AND('ENERO 2026'!D31&lt;&gt;"",'ENERO 2026'!Z31="POR RECOGER"),'ENERO 2026'!M31,"")</f>
        <v>7</v>
      </c>
      <c r="H27" s="193" t="n">
        <f aca="false">IF(AND('ENERO 2026'!D31&lt;&gt;"",'ENERO 2026'!Z31="POR RECOGER"),'ENERO 2026'!N31,"")</f>
        <v>127.26</v>
      </c>
      <c r="I27" s="192" t="str">
        <f aca="false">IF(AND('ENERO 2026'!D31&lt;&gt;"",'ENERO 2026'!Z31="POR RECOGER"),'ENERO 2026'!P31,"")</f>
        <v>LEIVA LARA JUNIOR</v>
      </c>
      <c r="J27" s="192" t="str">
        <f aca="false">IF(AND('ENERO 2026'!D31&lt;&gt;"",'ENERO 2026'!Z31="POR RECOGER"),'ENERO 2026'!Q31,"")</f>
        <v>EUC 959</v>
      </c>
      <c r="K27" s="192" t="n">
        <f aca="false">IF(AND('ENERO 2026'!D31&lt;&gt;"",'ENERO 2026'!Z31="POR RECOGER"),'ENERO 2026'!Y31,"")</f>
        <v>0</v>
      </c>
      <c r="L27" s="192" t="str">
        <f aca="false">IF(AND('ENERO 2026'!D31&lt;&gt;"",'ENERO 2026'!Z31="POR RECOGER"),'ENERO 2026'!I31,"")</f>
        <v>JALCA GRANDE</v>
      </c>
      <c r="O27" s="1" t="s">
        <v>72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192" t="str">
        <f aca="false">IF(AND('ENERO 2026'!D32&lt;&gt;"",'ENERO 2026'!Z32="POR RECOGER"),"ENE","")</f>
        <v>ENE</v>
      </c>
      <c r="B28" s="192" t="str">
        <f aca="false">IF(AND('ENERO 2026'!D32&lt;&gt;"",'ENERO 2026'!Z32="POR RECOGER"),IF('ENERO 2026'!Y32&lt;&gt;"",'ENERO 2026'!Y32,'ENERO 2026'!I32),"")</f>
        <v>JALCA GRANDE</v>
      </c>
      <c r="C28" s="192" t="str">
        <f aca="false">IF(AND('ENERO 2026'!D32&lt;&gt;"",'ENERO 2026'!Z32="POR RECOGER"),'ENERO 2026'!D32,"")</f>
        <v>HUAMAN HUAMAN MARLENI</v>
      </c>
      <c r="D28" s="192" t="str">
        <f aca="false">IF(AND('ENERO 2026'!D32&lt;&gt;"",'ENERO 2026'!Z32="POR RECOGER"),'ENERO 2026'!F32,"")</f>
        <v>43609007</v>
      </c>
      <c r="E28" s="192" t="str">
        <f aca="false">IF(AND('ENERO 2026'!D32&lt;&gt;"",'ENERO 2026'!Z32="POR RECOGER"),TEXT('ENERO 2026'!G32,"DD/MM/YYYY"),"")</f>
        <v>19/01/2026</v>
      </c>
      <c r="F28" s="192" t="str">
        <f aca="false">IF(AND('ENERO 2026'!D32&lt;&gt;"",'ENERO 2026'!Z32="POR RECOGER"),'ENERO 2026'!K32,"")</f>
        <v>PETROLEO</v>
      </c>
      <c r="G28" s="193" t="n">
        <f aca="false">IF(AND('ENERO 2026'!D32&lt;&gt;"",'ENERO 2026'!Z32="POR RECOGER"),'ENERO 2026'!M32,"")</f>
        <v>7</v>
      </c>
      <c r="H28" s="193" t="n">
        <f aca="false">IF(AND('ENERO 2026'!D32&lt;&gt;"",'ENERO 2026'!Z32="POR RECOGER"),'ENERO 2026'!N32,"")</f>
        <v>127.26</v>
      </c>
      <c r="I28" s="192" t="str">
        <f aca="false">IF(AND('ENERO 2026'!D32&lt;&gt;"",'ENERO 2026'!Z32="POR RECOGER"),'ENERO 2026'!P32,"")</f>
        <v>LEIVA LARA JUNIOR</v>
      </c>
      <c r="J28" s="192" t="str">
        <f aca="false">IF(AND('ENERO 2026'!D32&lt;&gt;"",'ENERO 2026'!Z32="POR RECOGER"),'ENERO 2026'!Q32,"")</f>
        <v>EUC 959</v>
      </c>
      <c r="K28" s="192" t="n">
        <f aca="false">IF(AND('ENERO 2026'!D32&lt;&gt;"",'ENERO 2026'!Z32="POR RECOGER"),'ENERO 2026'!Y32,"")</f>
        <v>0</v>
      </c>
      <c r="L28" s="192" t="str">
        <f aca="false">IF(AND('ENERO 2026'!D32&lt;&gt;"",'ENERO 2026'!Z32="POR RECOGER"),'ENERO 2026'!I32,"")</f>
        <v>JALCA GRANDE</v>
      </c>
      <c r="O28" s="1" t="s">
        <v>262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192" t="str">
        <f aca="false">IF(AND('ENERO 2026'!D33&lt;&gt;"",'ENERO 2026'!Z33="POR RECOGER"),"ENE","")</f>
        <v>ENE</v>
      </c>
      <c r="B29" s="192" t="str">
        <f aca="false">IF(AND('ENERO 2026'!D33&lt;&gt;"",'ENERO 2026'!Z33="POR RECOGER"),IF('ENERO 2026'!Y33&lt;&gt;"",'ENERO 2026'!Y33,'ENERO 2026'!I33),"")</f>
        <v>MARIA</v>
      </c>
      <c r="C29" s="192" t="str">
        <f aca="false">IF(AND('ENERO 2026'!D33&lt;&gt;"",'ENERO 2026'!Z33="POR RECOGER"),'ENERO 2026'!D33,"")</f>
        <v>ZAGACETA RAMOS NICOLAS MARTIN</v>
      </c>
      <c r="D29" s="192" t="str">
        <f aca="false">IF(AND('ENERO 2026'!D33&lt;&gt;"",'ENERO 2026'!Z33="POR RECOGER"),'ENERO 2026'!F33,"")</f>
        <v>80812524</v>
      </c>
      <c r="E29" s="192" t="str">
        <f aca="false">IF(AND('ENERO 2026'!D33&lt;&gt;"",'ENERO 2026'!Z33="POR RECOGER"),TEXT('ENERO 2026'!G33,"DD/MM/YYYY"),"")</f>
        <v>26/01/2025</v>
      </c>
      <c r="F29" s="192" t="str">
        <f aca="false">IF(AND('ENERO 2026'!D33&lt;&gt;"",'ENERO 2026'!Z33="POR RECOGER"),'ENERO 2026'!K33,"")</f>
        <v>PETROLEO</v>
      </c>
      <c r="G29" s="193" t="n">
        <f aca="false">IF(AND('ENERO 2026'!D33&lt;&gt;"",'ENERO 2026'!Z33="POR RECOGER"),'ENERO 2026'!M33,"")</f>
        <v>12</v>
      </c>
      <c r="H29" s="193" t="n">
        <f aca="false">IF(AND('ENERO 2026'!D33&lt;&gt;"",'ENERO 2026'!Z33="POR RECOGER"),'ENERO 2026'!N33,"")</f>
        <v>218.16</v>
      </c>
      <c r="I29" s="192" t="str">
        <f aca="false">IF(AND('ENERO 2026'!D33&lt;&gt;"",'ENERO 2026'!Z33="POR RECOGER"),'ENERO 2026'!P33,"")</f>
        <v>MACHUCA GARRIDO RIDER ALFONSO</v>
      </c>
      <c r="J29" s="192" t="str">
        <f aca="false">IF(AND('ENERO 2026'!D33&lt;&gt;"",'ENERO 2026'!Z33="POR RECOGER"),'ENERO 2026'!Q33,"")</f>
        <v>EUC 956</v>
      </c>
      <c r="K29" s="192" t="n">
        <f aca="false">IF(AND('ENERO 2026'!D33&lt;&gt;"",'ENERO 2026'!Z33="POR RECOGER"),'ENERO 2026'!Y33,"")</f>
        <v>0</v>
      </c>
      <c r="L29" s="192" t="str">
        <f aca="false">IF(AND('ENERO 2026'!D33&lt;&gt;"",'ENERO 2026'!Z33="POR RECOGER"),'ENERO 2026'!I33,"")</f>
        <v>MARIA</v>
      </c>
      <c r="O29" s="1" t="s">
        <v>646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A30" s="192" t="str">
        <f aca="false">IF(AND('ENERO 2026'!D34&lt;&gt;"",'ENERO 2026'!Z34="POR RECOGER"),"ENE","")</f>
        <v>ENE</v>
      </c>
      <c r="B30" s="192" t="str">
        <f aca="false">IF(AND('ENERO 2026'!D34&lt;&gt;"",'ENERO 2026'!Z34="POR RECOGER"),IF('ENERO 2026'!Y34&lt;&gt;"",'ENERO 2026'!Y34,'ENERO 2026'!I34),"")</f>
        <v>MOLINOPAMPA</v>
      </c>
      <c r="C30" s="192" t="str">
        <f aca="false">IF(AND('ENERO 2026'!D34&lt;&gt;"",'ENERO 2026'!Z34="POR RECOGER"),'ENERO 2026'!D34,"")</f>
        <v>MAS MONTOYA ROSA VICTORIA</v>
      </c>
      <c r="D30" s="192" t="str">
        <f aca="false">IF(AND('ENERO 2026'!D34&lt;&gt;"",'ENERO 2026'!Z34="POR RECOGER"),'ENERO 2026'!F34,"")</f>
        <v>33423243</v>
      </c>
      <c r="E30" s="192" t="str">
        <f aca="false">IF(AND('ENERO 2026'!D34&lt;&gt;"",'ENERO 2026'!Z34="POR RECOGER"),TEXT('ENERO 2026'!G34,"DD/MM/YYYY"),"")</f>
        <v>03/01/2026</v>
      </c>
      <c r="F30" s="192" t="str">
        <f aca="false">IF(AND('ENERO 2026'!D34&lt;&gt;"",'ENERO 2026'!Z34="POR RECOGER"),'ENERO 2026'!K34,"")</f>
        <v>GASOLINA</v>
      </c>
      <c r="G30" s="193" t="n">
        <f aca="false">IF(AND('ENERO 2026'!D34&lt;&gt;"",'ENERO 2026'!Z34="POR RECOGER"),'ENERO 2026'!M34,"")</f>
        <v>8</v>
      </c>
      <c r="H30" s="193" t="n">
        <f aca="false">IF(AND('ENERO 2026'!D34&lt;&gt;"",'ENERO 2026'!Z34="POR RECOGER"),'ENERO 2026'!N34,"")</f>
        <v>143.6</v>
      </c>
      <c r="I30" s="192" t="str">
        <f aca="false">IF(AND('ENERO 2026'!D34&lt;&gt;"",'ENERO 2026'!Z34="POR RECOGER"),'ENERO 2026'!P34,"")</f>
        <v>MAGNO CULQUIMBOS RUIZ</v>
      </c>
      <c r="J30" s="192" t="str">
        <f aca="false">IF(AND('ENERO 2026'!D34&lt;&gt;"",'ENERO 2026'!Z34="POR RECOGER"),'ENERO 2026'!Q34,"")</f>
        <v>EUE-469</v>
      </c>
      <c r="K30" s="192" t="n">
        <f aca="false">IF(AND('ENERO 2026'!D34&lt;&gt;"",'ENERO 2026'!Z34="POR RECOGER"),'ENERO 2026'!Y34,"")</f>
        <v>0</v>
      </c>
      <c r="L30" s="192" t="str">
        <f aca="false">IF(AND('ENERO 2026'!D34&lt;&gt;"",'ENERO 2026'!Z34="POR RECOGER"),'ENERO 2026'!I34,"")</f>
        <v>MOLINOPAMPA</v>
      </c>
      <c r="O30" s="1" t="s">
        <v>648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true" outlineLevel="0" collapsed="false">
      <c r="A31" s="192" t="str">
        <f aca="false">IF(AND('ENERO 2026'!D35&lt;&gt;"",'ENERO 2026'!Z35="POR RECOGER"),"ENE","")</f>
        <v>ENE</v>
      </c>
      <c r="B31" s="192" t="str">
        <f aca="false">IF(AND('ENERO 2026'!D35&lt;&gt;"",'ENERO 2026'!Z35="POR RECOGER"),IF('ENERO 2026'!Y35&lt;&gt;"",'ENERO 2026'!Y35,'ENERO 2026'!I35),"")</f>
        <v>MOLINOPAMPA</v>
      </c>
      <c r="C31" s="192" t="str">
        <f aca="false">IF(AND('ENERO 2026'!D35&lt;&gt;"",'ENERO 2026'!Z35="POR RECOGER"),'ENERO 2026'!D35,"")</f>
        <v>CANLLA GEBOL CELIDONIA</v>
      </c>
      <c r="D31" s="192" t="str">
        <f aca="false">IF(AND('ENERO 2026'!D35&lt;&gt;"",'ENERO 2026'!Z35="POR RECOGER"),'ENERO 2026'!F35,"")</f>
        <v>48797632</v>
      </c>
      <c r="E31" s="192" t="str">
        <f aca="false">IF(AND('ENERO 2026'!D35&lt;&gt;"",'ENERO 2026'!Z35="POR RECOGER"),TEXT('ENERO 2026'!G35,"DD/MM/YYYY"),"")</f>
        <v>07/01/2026</v>
      </c>
      <c r="F31" s="192" t="str">
        <f aca="false">IF(AND('ENERO 2026'!D35&lt;&gt;"",'ENERO 2026'!Z35="POR RECOGER"),'ENERO 2026'!K35,"")</f>
        <v>GASOLINA</v>
      </c>
      <c r="G31" s="193" t="n">
        <f aca="false">IF(AND('ENERO 2026'!D35&lt;&gt;"",'ENERO 2026'!Z35="POR RECOGER"),'ENERO 2026'!M35,"")</f>
        <v>8</v>
      </c>
      <c r="H31" s="193" t="n">
        <f aca="false">IF(AND('ENERO 2026'!D35&lt;&gt;"",'ENERO 2026'!Z35="POR RECOGER"),'ENERO 2026'!N35,"")</f>
        <v>143.6</v>
      </c>
      <c r="I31" s="192" t="str">
        <f aca="false">IF(AND('ENERO 2026'!D35&lt;&gt;"",'ENERO 2026'!Z35="POR RECOGER"),'ENERO 2026'!P35,"")</f>
        <v>MAGNO CULQUIMBOS RUIZ</v>
      </c>
      <c r="J31" s="192" t="str">
        <f aca="false">IF(AND('ENERO 2026'!D35&lt;&gt;"",'ENERO 2026'!Z35="POR RECOGER"),'ENERO 2026'!Q35,"")</f>
        <v>EUE-469</v>
      </c>
      <c r="K31" s="192" t="n">
        <f aca="false">IF(AND('ENERO 2026'!D35&lt;&gt;"",'ENERO 2026'!Z35="POR RECOGER"),'ENERO 2026'!Y35,"")</f>
        <v>0</v>
      </c>
      <c r="L31" s="192" t="str">
        <f aca="false">IF(AND('ENERO 2026'!D35&lt;&gt;"",'ENERO 2026'!Z35="POR RECOGER"),'ENERO 2026'!I35,"")</f>
        <v>MOLINOPAMPA</v>
      </c>
      <c r="O31" s="1" t="s">
        <v>660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true" outlineLevel="0" collapsed="false">
      <c r="A32" s="192" t="str">
        <f aca="false">IF(AND('ENERO 2026'!D36&lt;&gt;"",'ENERO 2026'!Z36="POR RECOGER"),"ENE","")</f>
        <v>ENE</v>
      </c>
      <c r="B32" s="192" t="str">
        <f aca="false">IF(AND('ENERO 2026'!D36&lt;&gt;"",'ENERO 2026'!Z36="POR RECOGER"),IF('ENERO 2026'!Y36&lt;&gt;"",'ENERO 2026'!Y36,'ENERO 2026'!I36),"")</f>
        <v>COLLONCE</v>
      </c>
      <c r="C32" s="192" t="str">
        <f aca="false">IF(AND('ENERO 2026'!D36&lt;&gt;"",'ENERO 2026'!Z36="POR RECOGER"),'ENERO 2026'!D36,"")</f>
        <v>LOPEZ GUADALUPE NARDY FIORELA</v>
      </c>
      <c r="D32" s="192" t="str">
        <f aca="false">IF(AND('ENERO 2026'!D36&lt;&gt;"",'ENERO 2026'!Z36="POR RECOGER"),'ENERO 2026'!F36,"")</f>
        <v>79521364</v>
      </c>
      <c r="E32" s="192" t="str">
        <f aca="false">IF(AND('ENERO 2026'!D36&lt;&gt;"",'ENERO 2026'!Z36="POR RECOGER"),TEXT('ENERO 2026'!G36,"DD/MM/YYYY"),"")</f>
        <v>13/01/2026</v>
      </c>
      <c r="F32" s="192" t="str">
        <f aca="false">IF(AND('ENERO 2026'!D36&lt;&gt;"",'ENERO 2026'!Z36="POR RECOGER"),'ENERO 2026'!K36,"")</f>
        <v>PETROLEO</v>
      </c>
      <c r="G32" s="193" t="n">
        <f aca="false">IF(AND('ENERO 2026'!D36&lt;&gt;"",'ENERO 2026'!Z36="POR RECOGER"),'ENERO 2026'!M36,"")</f>
        <v>20</v>
      </c>
      <c r="H32" s="193" t="n">
        <f aca="false">IF(AND('ENERO 2026'!D36&lt;&gt;"",'ENERO 2026'!Z36="POR RECOGER"),'ENERO 2026'!N36,"")</f>
        <v>363.6</v>
      </c>
      <c r="I32" s="192" t="str">
        <f aca="false">IF(AND('ENERO 2026'!D36&lt;&gt;"",'ENERO 2026'!Z36="POR RECOGER"),'ENERO 2026'!P36,"")</f>
        <v>SAUCEDO LOPEZ ELDIN NOLASCO</v>
      </c>
      <c r="J32" s="192" t="str">
        <f aca="false">IF(AND('ENERO 2026'!D36&lt;&gt;"",'ENERO 2026'!Z36="POR RECOGER"),'ENERO 2026'!Q36,"")</f>
        <v>EUH699</v>
      </c>
      <c r="K32" s="192" t="n">
        <f aca="false">IF(AND('ENERO 2026'!D36&lt;&gt;"",'ENERO 2026'!Z36="POR RECOGER"),'ENERO 2026'!Y36,"")</f>
        <v>0</v>
      </c>
      <c r="L32" s="192" t="str">
        <f aca="false">IF(AND('ENERO 2026'!D36&lt;&gt;"",'ENERO 2026'!Z36="POR RECOGER"),'ENERO 2026'!I36,"")</f>
        <v>COLLONCE</v>
      </c>
      <c r="O32" s="1" t="s">
        <v>662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true" outlineLevel="0" collapsed="false">
      <c r="A33" s="192" t="str">
        <f aca="false">IF(AND('ENERO 2026'!D37&lt;&gt;"",'ENERO 2026'!Z37="POR RECOGER"),"ENE","")</f>
        <v>ENE</v>
      </c>
      <c r="B33" s="192" t="str">
        <f aca="false">IF(AND('ENERO 2026'!D37&lt;&gt;"",'ENERO 2026'!Z37="POR RECOGER"),IF('ENERO 2026'!Y37&lt;&gt;"",'ENERO 2026'!Y37,'ENERO 2026'!I37),"")</f>
        <v>MOLINOPAMPA</v>
      </c>
      <c r="C33" s="192" t="str">
        <f aca="false">IF(AND('ENERO 2026'!D37&lt;&gt;"",'ENERO 2026'!Z37="POR RECOGER"),'ENERO 2026'!D37,"")</f>
        <v>ROJAS VARGAS MARIA CARMEN</v>
      </c>
      <c r="D33" s="192" t="str">
        <f aca="false">IF(AND('ENERO 2026'!D37&lt;&gt;"",'ENERO 2026'!Z37="POR RECOGER"),'ENERO 2026'!F37,"")</f>
        <v>47181498</v>
      </c>
      <c r="E33" s="192" t="str">
        <f aca="false">IF(AND('ENERO 2026'!D37&lt;&gt;"",'ENERO 2026'!Z37="POR RECOGER"),TEXT('ENERO 2026'!G37,"DD/MM/YYYY"),"")</f>
        <v>19/01/2026</v>
      </c>
      <c r="F33" s="192" t="str">
        <f aca="false">IF(AND('ENERO 2026'!D37&lt;&gt;"",'ENERO 2026'!Z37="POR RECOGER"),'ENERO 2026'!K37,"")</f>
        <v>GASOLINA</v>
      </c>
      <c r="G33" s="193" t="n">
        <f aca="false">IF(AND('ENERO 2026'!D37&lt;&gt;"",'ENERO 2026'!Z37="POR RECOGER"),'ENERO 2026'!M37,"")</f>
        <v>8</v>
      </c>
      <c r="H33" s="193" t="n">
        <f aca="false">IF(AND('ENERO 2026'!D37&lt;&gt;"",'ENERO 2026'!Z37="POR RECOGER"),'ENERO 2026'!N37,"")</f>
        <v>143.6</v>
      </c>
      <c r="I33" s="192" t="str">
        <f aca="false">IF(AND('ENERO 2026'!D37&lt;&gt;"",'ENERO 2026'!Z37="POR RECOGER"),'ENERO 2026'!P37,"")</f>
        <v>MAGNO CULQUIMBOS RUIZ</v>
      </c>
      <c r="J33" s="192" t="str">
        <f aca="false">IF(AND('ENERO 2026'!D37&lt;&gt;"",'ENERO 2026'!Z37="POR RECOGER"),'ENERO 2026'!Q37,"")</f>
        <v>EUE-469</v>
      </c>
      <c r="K33" s="192" t="n">
        <f aca="false">IF(AND('ENERO 2026'!D37&lt;&gt;"",'ENERO 2026'!Z37="POR RECOGER"),'ENERO 2026'!Y37,"")</f>
        <v>0</v>
      </c>
      <c r="L33" s="192" t="str">
        <f aca="false">IF(AND('ENERO 2026'!D37&lt;&gt;"",'ENERO 2026'!Z37="POR RECOGER"),'ENERO 2026'!I37,"")</f>
        <v>MOLINOPAMPA</v>
      </c>
      <c r="O33" s="1" t="s">
        <v>75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true" outlineLevel="0" collapsed="false">
      <c r="A34" s="192" t="str">
        <f aca="false">IF(AND('ENERO 2026'!D38&lt;&gt;"",'ENERO 2026'!Z38="POR RECOGER"),"ENE","")</f>
        <v>ENE</v>
      </c>
      <c r="B34" s="192" t="str">
        <f aca="false">IF(AND('ENERO 2026'!D38&lt;&gt;"",'ENERO 2026'!Z38="POR RECOGER"),IF('ENERO 2026'!Y38&lt;&gt;"",'ENERO 2026'!Y38,'ENERO 2026'!I38),"")</f>
        <v>COLLONCE</v>
      </c>
      <c r="C34" s="192" t="str">
        <f aca="false">IF(AND('ENERO 2026'!D38&lt;&gt;"",'ENERO 2026'!Z38="POR RECOGER"),'ENERO 2026'!D38,"")</f>
        <v>IZQUERDO CORDOVA LUZ MERY</v>
      </c>
      <c r="D34" s="192" t="str">
        <f aca="false">IF(AND('ENERO 2026'!D38&lt;&gt;"",'ENERO 2026'!Z38="POR RECOGER"),'ENERO 2026'!F38,"")</f>
        <v>46555340</v>
      </c>
      <c r="E34" s="192" t="str">
        <f aca="false">IF(AND('ENERO 2026'!D38&lt;&gt;"",'ENERO 2026'!Z38="POR RECOGER"),TEXT('ENERO 2026'!G38,"DD/MM/YYYY"),"")</f>
        <v>20/01/2026</v>
      </c>
      <c r="F34" s="192" t="str">
        <f aca="false">IF(AND('ENERO 2026'!D38&lt;&gt;"",'ENERO 2026'!Z38="POR RECOGER"),'ENERO 2026'!K38,"")</f>
        <v>PETROLEO</v>
      </c>
      <c r="G34" s="193" t="n">
        <f aca="false">IF(AND('ENERO 2026'!D38&lt;&gt;"",'ENERO 2026'!Z38="POR RECOGER"),'ENERO 2026'!M38,"")</f>
        <v>20</v>
      </c>
      <c r="H34" s="193" t="n">
        <f aca="false">IF(AND('ENERO 2026'!D38&lt;&gt;"",'ENERO 2026'!Z38="POR RECOGER"),'ENERO 2026'!N38,"")</f>
        <v>363.6</v>
      </c>
      <c r="I34" s="192" t="str">
        <f aca="false">IF(AND('ENERO 2026'!D38&lt;&gt;"",'ENERO 2026'!Z38="POR RECOGER"),'ENERO 2026'!P38,"")</f>
        <v>SAUCEDO LOPEZ ELDIN NOLASCO</v>
      </c>
      <c r="J34" s="192" t="str">
        <f aca="false">IF(AND('ENERO 2026'!D38&lt;&gt;"",'ENERO 2026'!Z38="POR RECOGER"),'ENERO 2026'!Q38,"")</f>
        <v>EUH699</v>
      </c>
      <c r="K34" s="192" t="str">
        <f aca="false">IF(AND('ENERO 2026'!D38&lt;&gt;"",'ENERO 2026'!Z38="POR RECOGER"),'ENERO 2026'!Y38,"")</f>
        <v>COLLONCE</v>
      </c>
      <c r="L34" s="192" t="str">
        <f aca="false">IF(AND('ENERO 2026'!D38&lt;&gt;"",'ENERO 2026'!Z38="POR RECOGER"),'ENERO 2026'!I38,"")</f>
        <v>YAULICACHI</v>
      </c>
      <c r="O34" s="1" t="s">
        <v>78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true" outlineLevel="0" collapsed="false">
      <c r="A35" s="192" t="str">
        <f aca="false">IF(AND('ENERO 2026'!D39&lt;&gt;"",'ENERO 2026'!Z39="POR RECOGER"),"ENE","")</f>
        <v>ENE</v>
      </c>
      <c r="B35" s="192" t="str">
        <f aca="false">IF(AND('ENERO 2026'!D39&lt;&gt;"",'ENERO 2026'!Z39="POR RECOGER"),IF('ENERO 2026'!Y39&lt;&gt;"",'ENERO 2026'!Y39,'ENERO 2026'!I39),"")</f>
        <v>LEYMEBAMBA</v>
      </c>
      <c r="C35" s="192" t="str">
        <f aca="false">IF(AND('ENERO 2026'!D39&lt;&gt;"",'ENERO 2026'!Z39="POR RECOGER"),'ENERO 2026'!D39,"")</f>
        <v>CHAVEZ LLANOS MILAGRO JHUDITH</v>
      </c>
      <c r="D35" s="192" t="str">
        <f aca="false">IF(AND('ENERO 2026'!D39&lt;&gt;"",'ENERO 2026'!Z39="POR RECOGER"),'ENERO 2026'!F39,"")</f>
        <v>78374986</v>
      </c>
      <c r="E35" s="192" t="str">
        <f aca="false">IF(AND('ENERO 2026'!D39&lt;&gt;"",'ENERO 2026'!Z39="POR RECOGER"),TEXT('ENERO 2026'!G39,"DD/MM/YYYY"),"")</f>
        <v>02/01/2026</v>
      </c>
      <c r="F35" s="192" t="str">
        <f aca="false">IF(AND('ENERO 2026'!D39&lt;&gt;"",'ENERO 2026'!Z39="POR RECOGER"),'ENERO 2026'!K39,"")</f>
        <v>PETROLEO</v>
      </c>
      <c r="G35" s="193" t="n">
        <f aca="false">IF(AND('ENERO 2026'!D39&lt;&gt;"",'ENERO 2026'!Z39="POR RECOGER"),'ENERO 2026'!M39,"")</f>
        <v>7.5</v>
      </c>
      <c r="H35" s="193" t="n">
        <f aca="false">IF(AND('ENERO 2026'!D39&lt;&gt;"",'ENERO 2026'!Z39="POR RECOGER"),'ENERO 2026'!N39,"")</f>
        <v>136.35</v>
      </c>
      <c r="I35" s="192" t="str">
        <f aca="false">IF(AND('ENERO 2026'!D39&lt;&gt;"",'ENERO 2026'!Z39="POR RECOGER"),'ENERO 2026'!P39,"")</f>
        <v>CHAVEZ MORI DIMAS</v>
      </c>
      <c r="J35" s="192" t="str">
        <f aca="false">IF(AND('ENERO 2026'!D39&lt;&gt;"",'ENERO 2026'!Z39="POR RECOGER"),'ENERO 2026'!Q39,"")</f>
        <v>EUH 636</v>
      </c>
      <c r="K35" s="192" t="n">
        <f aca="false">IF(AND('ENERO 2026'!D39&lt;&gt;"",'ENERO 2026'!Z39="POR RECOGER"),'ENERO 2026'!Y39,"")</f>
        <v>0</v>
      </c>
      <c r="L35" s="192" t="str">
        <f aca="false">IF(AND('ENERO 2026'!D39&lt;&gt;"",'ENERO 2026'!Z39="POR RECOGER"),'ENERO 2026'!I39,"")</f>
        <v>LEYMEBAMBA</v>
      </c>
      <c r="O35" s="1" t="s">
        <v>694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192" t="str">
        <f aca="false">IF(AND('ENERO 2026'!D40&lt;&gt;"",'ENERO 2026'!Z40="POR RECOGER"),"ENE","")</f>
        <v>ENE</v>
      </c>
      <c r="B36" s="192" t="str">
        <f aca="false">IF(AND('ENERO 2026'!D40&lt;&gt;"",'ENERO 2026'!Z40="POR RECOGER"),IF('ENERO 2026'!Y40&lt;&gt;"",'ENERO 2026'!Y40,'ENERO 2026'!I40),"")</f>
        <v>LEYMEBAMBA</v>
      </c>
      <c r="C36" s="192" t="str">
        <f aca="false">IF(AND('ENERO 2026'!D40&lt;&gt;"",'ENERO 2026'!Z40="POR RECOGER"),'ENERO 2026'!D40,"")</f>
        <v>ROJAS SILVA JOSE ALVINO</v>
      </c>
      <c r="D36" s="192" t="str">
        <f aca="false">IF(AND('ENERO 2026'!D40&lt;&gt;"",'ENERO 2026'!Z40="POR RECOGER"),'ENERO 2026'!F40,"")</f>
        <v>33417523</v>
      </c>
      <c r="E36" s="192" t="str">
        <f aca="false">IF(AND('ENERO 2026'!D40&lt;&gt;"",'ENERO 2026'!Z40="POR RECOGER"),TEXT('ENERO 2026'!G40,"DD/MM/YYYY"),"")</f>
        <v>09/01/2026</v>
      </c>
      <c r="F36" s="192" t="str">
        <f aca="false">IF(AND('ENERO 2026'!D40&lt;&gt;"",'ENERO 2026'!Z40="POR RECOGER"),'ENERO 2026'!K40,"")</f>
        <v>PETROLEO</v>
      </c>
      <c r="G36" s="193" t="n">
        <f aca="false">IF(AND('ENERO 2026'!D40&lt;&gt;"",'ENERO 2026'!Z40="POR RECOGER"),'ENERO 2026'!M40,"")</f>
        <v>6</v>
      </c>
      <c r="H36" s="193" t="n">
        <f aca="false">IF(AND('ENERO 2026'!D40&lt;&gt;"",'ENERO 2026'!Z40="POR RECOGER"),'ENERO 2026'!N40,"")</f>
        <v>109.08</v>
      </c>
      <c r="I36" s="192" t="str">
        <f aca="false">IF(AND('ENERO 2026'!D40&lt;&gt;"",'ENERO 2026'!Z40="POR RECOGER"),'ENERO 2026'!P40,"")</f>
        <v>SALCEDO ZAGACETA FEDERICO</v>
      </c>
      <c r="J36" s="192" t="str">
        <f aca="false">IF(AND('ENERO 2026'!D40&lt;&gt;"",'ENERO 2026'!Z40="POR RECOGER"),'ENERO 2026'!Q40,"")</f>
        <v>EUH-636</v>
      </c>
      <c r="K36" s="192" t="n">
        <f aca="false">IF(AND('ENERO 2026'!D40&lt;&gt;"",'ENERO 2026'!Z40="POR RECOGER"),'ENERO 2026'!Y40,"")</f>
        <v>0</v>
      </c>
      <c r="L36" s="192" t="str">
        <f aca="false">IF(AND('ENERO 2026'!D40&lt;&gt;"",'ENERO 2026'!Z40="POR RECOGER"),'ENERO 2026'!I40,"")</f>
        <v>LEYMEBAMBA</v>
      </c>
      <c r="O36" s="1" t="s">
        <v>80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true" outlineLevel="0" collapsed="false">
      <c r="A37" s="192" t="str">
        <f aca="false">IF(AND('ENERO 2026'!D41&lt;&gt;"",'ENERO 2026'!Z41="POR RECOGER"),"ENE","")</f>
        <v>ENE</v>
      </c>
      <c r="B37" s="192" t="str">
        <f aca="false">IF(AND('ENERO 2026'!D41&lt;&gt;"",'ENERO 2026'!Z41="POR RECOGER"),IF('ENERO 2026'!Y41&lt;&gt;"",'ENERO 2026'!Y41,'ENERO 2026'!I41),"")</f>
        <v>LEYMEBAMBA</v>
      </c>
      <c r="C37" s="192" t="str">
        <f aca="false">IF(AND('ENERO 2026'!D41&lt;&gt;"",'ENERO 2026'!Z41="POR RECOGER"),'ENERO 2026'!D41,"")</f>
        <v>HERAS TRAUCO MAYRITH ELIZABETH</v>
      </c>
      <c r="D37" s="192" t="str">
        <f aca="false">IF(AND('ENERO 2026'!D41&lt;&gt;"",'ENERO 2026'!Z41="POR RECOGER"),'ENERO 2026'!F41,"")</f>
        <v>75528172</v>
      </c>
      <c r="E37" s="192" t="str">
        <f aca="false">IF(AND('ENERO 2026'!D41&lt;&gt;"",'ENERO 2026'!Z41="POR RECOGER"),TEXT('ENERO 2026'!G41,"DD/MM/YYYY"),"")</f>
        <v>19/01/2026</v>
      </c>
      <c r="F37" s="192" t="str">
        <f aca="false">IF(AND('ENERO 2026'!D41&lt;&gt;"",'ENERO 2026'!Z41="POR RECOGER"),'ENERO 2026'!K41,"")</f>
        <v>PETROLEO</v>
      </c>
      <c r="G37" s="193" t="n">
        <f aca="false">IF(AND('ENERO 2026'!D41&lt;&gt;"",'ENERO 2026'!Z41="POR RECOGER"),'ENERO 2026'!M41,"")</f>
        <v>7.5</v>
      </c>
      <c r="H37" s="193" t="n">
        <f aca="false">IF(AND('ENERO 2026'!D41&lt;&gt;"",'ENERO 2026'!Z41="POR RECOGER"),'ENERO 2026'!N41,"")</f>
        <v>136.35</v>
      </c>
      <c r="I37" s="192" t="str">
        <f aca="false">IF(AND('ENERO 2026'!D41&lt;&gt;"",'ENERO 2026'!Z41="POR RECOGER"),'ENERO 2026'!P41,"")</f>
        <v>SALCEDO ZAGACETA FEDERICO</v>
      </c>
      <c r="J37" s="192" t="str">
        <f aca="false">IF(AND('ENERO 2026'!D41&lt;&gt;"",'ENERO 2026'!Z41="POR RECOGER"),'ENERO 2026'!Q41,"")</f>
        <v>EUH-636</v>
      </c>
      <c r="K37" s="192" t="n">
        <f aca="false">IF(AND('ENERO 2026'!D41&lt;&gt;"",'ENERO 2026'!Z41="POR RECOGER"),'ENERO 2026'!Y41,"")</f>
        <v>0</v>
      </c>
      <c r="L37" s="192" t="str">
        <f aca="false">IF(AND('ENERO 2026'!D41&lt;&gt;"",'ENERO 2026'!Z41="POR RECOGER"),'ENERO 2026'!I41,"")</f>
        <v>LEYMEBAMBA</v>
      </c>
      <c r="O37" s="1" t="s">
        <v>279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true" outlineLevel="0" collapsed="false">
      <c r="A38" s="192" t="str">
        <f aca="false">IF(AND('ENERO 2026'!D42&lt;&gt;"",'ENERO 2026'!Z42="POR RECOGER"),"ENE","")</f>
        <v>ENE</v>
      </c>
      <c r="B38" s="192" t="str">
        <f aca="false">IF(AND('ENERO 2026'!D42&lt;&gt;"",'ENERO 2026'!Z42="POR RECOGER"),IF('ENERO 2026'!Y42&lt;&gt;"",'ENERO 2026'!Y42,'ENERO 2026'!I42),"")</f>
        <v>COLLONCE</v>
      </c>
      <c r="C38" s="192" t="str">
        <f aca="false">IF(AND('ENERO 2026'!D42&lt;&gt;"",'ENERO 2026'!Z42="POR RECOGER"),'ENERO 2026'!D42,"")</f>
        <v>OLASCUAGA ALVA GILVER</v>
      </c>
      <c r="D38" s="192" t="str">
        <f aca="false">IF(AND('ENERO 2026'!D42&lt;&gt;"",'ENERO 2026'!Z42="POR RECOGER"),'ENERO 2026'!F42,"")</f>
        <v>33813117</v>
      </c>
      <c r="E38" s="192" t="str">
        <f aca="false">IF(AND('ENERO 2026'!D42&lt;&gt;"",'ENERO 2026'!Z42="POR RECOGER"),TEXT('ENERO 2026'!G42,"DD/MM/YYYY"),"")</f>
        <v>23/01/2026</v>
      </c>
      <c r="F38" s="192" t="str">
        <f aca="false">IF(AND('ENERO 2026'!D42&lt;&gt;"",'ENERO 2026'!Z42="POR RECOGER"),'ENERO 2026'!K42,"")</f>
        <v>PETROLEO</v>
      </c>
      <c r="G38" s="193" t="n">
        <f aca="false">IF(AND('ENERO 2026'!D42&lt;&gt;"",'ENERO 2026'!Z42="POR RECOGER"),'ENERO 2026'!M42,"")</f>
        <v>20</v>
      </c>
      <c r="H38" s="193" t="n">
        <f aca="false">IF(AND('ENERO 2026'!D42&lt;&gt;"",'ENERO 2026'!Z42="POR RECOGER"),'ENERO 2026'!N42,"")</f>
        <v>363.6</v>
      </c>
      <c r="I38" s="192" t="str">
        <f aca="false">IF(AND('ENERO 2026'!D42&lt;&gt;"",'ENERO 2026'!Z42="POR RECOGER"),'ENERO 2026'!P42,"")</f>
        <v>SAUCEDO LOPEZ ELDIN NOLASCO</v>
      </c>
      <c r="J38" s="192" t="str">
        <f aca="false">IF(AND('ENERO 2026'!D42&lt;&gt;"",'ENERO 2026'!Z42="POR RECOGER"),'ENERO 2026'!Q42,"")</f>
        <v>EUH699</v>
      </c>
      <c r="K38" s="192" t="str">
        <f aca="false">IF(AND('ENERO 2026'!D42&lt;&gt;"",'ENERO 2026'!Z42="POR RECOGER"),'ENERO 2026'!Y42,"")</f>
        <v>COLLONCE</v>
      </c>
      <c r="L38" s="192" t="str">
        <f aca="false">IF(AND('ENERO 2026'!D42&lt;&gt;"",'ENERO 2026'!Z42="POR RECOGER"),'ENERO 2026'!I42,"")</f>
        <v>SAN JUAN DE OCUMAL</v>
      </c>
      <c r="O38" s="1" t="s">
        <v>716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true" outlineLevel="0" collapsed="false">
      <c r="A39" s="192" t="str">
        <f aca="false">IF(AND('ENERO 2026'!D43&lt;&gt;"",'ENERO 2026'!Z43="POR RECOGER"),"ENE","")</f>
        <v>ENE</v>
      </c>
      <c r="B39" s="192" t="str">
        <f aca="false">IF(AND('ENERO 2026'!D43&lt;&gt;"",'ENERO 2026'!Z43="POR RECOGER"),IF('ENERO 2026'!Y43&lt;&gt;"",'ENERO 2026'!Y43,'ENERO 2026'!I43),"")</f>
        <v>COLLONCE</v>
      </c>
      <c r="C39" s="192" t="str">
        <f aca="false">IF(AND('ENERO 2026'!D43&lt;&gt;"",'ENERO 2026'!Z43="POR RECOGER"),'ENERO 2026'!D43,"")</f>
        <v>LOPEZ CHAVEZ MARIA</v>
      </c>
      <c r="D39" s="192" t="str">
        <f aca="false">IF(AND('ENERO 2026'!D43&lt;&gt;"",'ENERO 2026'!Z43="POR RECOGER"),'ENERO 2026'!F43,"")</f>
        <v>46555340</v>
      </c>
      <c r="E39" s="192" t="str">
        <f aca="false">IF(AND('ENERO 2026'!D43&lt;&gt;"",'ENERO 2026'!Z43="POR RECOGER"),TEXT('ENERO 2026'!G43,"DD/MM/YYYY"),"")</f>
        <v>26/01/2026</v>
      </c>
      <c r="F39" s="192" t="str">
        <f aca="false">IF(AND('ENERO 2026'!D43&lt;&gt;"",'ENERO 2026'!Z43="POR RECOGER"),'ENERO 2026'!K43,"")</f>
        <v>PETROLEO</v>
      </c>
      <c r="G39" s="193" t="n">
        <f aca="false">IF(AND('ENERO 2026'!D43&lt;&gt;"",'ENERO 2026'!Z43="POR RECOGER"),'ENERO 2026'!M43,"")</f>
        <v>20</v>
      </c>
      <c r="H39" s="193" t="n">
        <f aca="false">IF(AND('ENERO 2026'!D43&lt;&gt;"",'ENERO 2026'!Z43="POR RECOGER"),'ENERO 2026'!N43,"")</f>
        <v>363.6</v>
      </c>
      <c r="I39" s="192" t="str">
        <f aca="false">IF(AND('ENERO 2026'!D43&lt;&gt;"",'ENERO 2026'!Z43="POR RECOGER"),'ENERO 2026'!P43,"")</f>
        <v>SAUCEDO LOPEZ ELDIN NOLASCO</v>
      </c>
      <c r="J39" s="192" t="str">
        <f aca="false">IF(AND('ENERO 2026'!D43&lt;&gt;"",'ENERO 2026'!Z43="POR RECOGER"),'ENERO 2026'!Q43,"")</f>
        <v>EUH699</v>
      </c>
      <c r="K39" s="192" t="str">
        <f aca="false">IF(AND('ENERO 2026'!D43&lt;&gt;"",'ENERO 2026'!Z43="POR RECOGER"),'ENERO 2026'!Y43,"")</f>
        <v>COLLONCE</v>
      </c>
      <c r="L39" s="192" t="str">
        <f aca="false">IF(AND('ENERO 2026'!D43&lt;&gt;"",'ENERO 2026'!Z43="POR RECOGER"),'ENERO 2026'!I43,"")</f>
        <v>YAULICACHI</v>
      </c>
      <c r="O39" s="1" t="s">
        <v>46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true" outlineLevel="0" collapsed="false">
      <c r="A40" s="192" t="str">
        <f aca="false">IF(AND('ENERO 2026'!D44&lt;&gt;"",'ENERO 2026'!Z44="POR RECOGER"),"ENE","")</f>
        <v>ENE</v>
      </c>
      <c r="B40" s="192" t="str">
        <f aca="false">IF(AND('ENERO 2026'!D44&lt;&gt;"",'ENERO 2026'!Z44="POR RECOGER"),IF('ENERO 2026'!Y44&lt;&gt;"",'ENERO 2026'!Y44,'ENERO 2026'!I44),"")</f>
        <v>TINGO</v>
      </c>
      <c r="C40" s="192" t="str">
        <f aca="false">IF(AND('ENERO 2026'!D44&lt;&gt;"",'ENERO 2026'!Z44="POR RECOGER"),'ENERO 2026'!D44,"")</f>
        <v>SOPLIN CRUZ ITALA</v>
      </c>
      <c r="D40" s="192" t="str">
        <f aca="false">IF(AND('ENERO 2026'!D44&lt;&gt;"",'ENERO 2026'!Z44="POR RECOGER"),'ENERO 2026'!F44,"")</f>
        <v>46091617</v>
      </c>
      <c r="E40" s="192" t="str">
        <f aca="false">IF(AND('ENERO 2026'!D44&lt;&gt;"",'ENERO 2026'!Z44="POR RECOGER"),TEXT('ENERO 2026'!G44,"DD/MM/YYYY"),"")</f>
        <v>12/01/2026</v>
      </c>
      <c r="F40" s="192" t="str">
        <f aca="false">IF(AND('ENERO 2026'!D44&lt;&gt;"",'ENERO 2026'!Z44="POR RECOGER"),'ENERO 2026'!K44,"")</f>
        <v>PETROLEO</v>
      </c>
      <c r="G40" s="193" t="n">
        <f aca="false">IF(AND('ENERO 2026'!D44&lt;&gt;"",'ENERO 2026'!Z44="POR RECOGER"),'ENERO 2026'!M44,"")</f>
        <v>5</v>
      </c>
      <c r="H40" s="193" t="n">
        <f aca="false">IF(AND('ENERO 2026'!D44&lt;&gt;"",'ENERO 2026'!Z44="POR RECOGER"),'ENERO 2026'!N44,"")</f>
        <v>90.9</v>
      </c>
      <c r="I40" s="192" t="str">
        <f aca="false">IF(AND('ENERO 2026'!D44&lt;&gt;"",'ENERO 2026'!Z44="POR RECOGER"),'ENERO 2026'!P44,"")</f>
        <v>VILCARROMERO TORREJON HERMERSON</v>
      </c>
      <c r="J40" s="192" t="str">
        <f aca="false">IF(AND('ENERO 2026'!D44&lt;&gt;"",'ENERO 2026'!Z44="POR RECOGER"),'ENERO 2026'!Q44,"")</f>
        <v>EUD-917</v>
      </c>
      <c r="K40" s="192" t="n">
        <f aca="false">IF(AND('ENERO 2026'!D44&lt;&gt;"",'ENERO 2026'!Z44="POR RECOGER"),'ENERO 2026'!Y44,"")</f>
        <v>0</v>
      </c>
      <c r="L40" s="192" t="str">
        <f aca="false">IF(AND('ENERO 2026'!D44&lt;&gt;"",'ENERO 2026'!Z44="POR RECOGER"),'ENERO 2026'!I44,"")</f>
        <v>TINGO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192" t="str">
        <f aca="false">IF(AND('ENERO 2026'!D45&lt;&gt;"",'ENERO 2026'!Z45="POR RECOGER"),"ENE","")</f>
        <v>ENE</v>
      </c>
      <c r="B41" s="192" t="str">
        <f aca="false">IF(AND('ENERO 2026'!D45&lt;&gt;"",'ENERO 2026'!Z45="POR RECOGER"),IF('ENERO 2026'!Y45&lt;&gt;"",'ENERO 2026'!Y45,'ENERO 2026'!I45),"")</f>
        <v>TINGO</v>
      </c>
      <c r="C41" s="192" t="str">
        <f aca="false">IF(AND('ENERO 2026'!D45&lt;&gt;"",'ENERO 2026'!Z45="POR RECOGER"),'ENERO 2026'!D45,"")</f>
        <v>REVILLA CASTREJO ROSA</v>
      </c>
      <c r="D41" s="192" t="str">
        <f aca="false">IF(AND('ENERO 2026'!D45&lt;&gt;"",'ENERO 2026'!Z45="POR RECOGER"),'ENERO 2026'!F45,"")</f>
        <v>72926269</v>
      </c>
      <c r="E41" s="192" t="str">
        <f aca="false">IF(AND('ENERO 2026'!D45&lt;&gt;"",'ENERO 2026'!Z45="POR RECOGER"),TEXT('ENERO 2026'!G45,"DD/MM/YYYY"),"")</f>
        <v>24/01/2026</v>
      </c>
      <c r="F41" s="192" t="str">
        <f aca="false">IF(AND('ENERO 2026'!D45&lt;&gt;"",'ENERO 2026'!Z45="POR RECOGER"),'ENERO 2026'!K45,"")</f>
        <v>PETROLEO</v>
      </c>
      <c r="G41" s="193" t="n">
        <f aca="false">IF(AND('ENERO 2026'!D45&lt;&gt;"",'ENERO 2026'!Z45="POR RECOGER"),'ENERO 2026'!M45,"")</f>
        <v>5</v>
      </c>
      <c r="H41" s="193" t="n">
        <f aca="false">IF(AND('ENERO 2026'!D45&lt;&gt;"",'ENERO 2026'!Z45="POR RECOGER"),'ENERO 2026'!N45,"")</f>
        <v>90.9</v>
      </c>
      <c r="I41" s="192" t="str">
        <f aca="false">IF(AND('ENERO 2026'!D45&lt;&gt;"",'ENERO 2026'!Z45="POR RECOGER"),'ENERO 2026'!P45,"")</f>
        <v>VILCARROMERO TORREJON HERMERSON</v>
      </c>
      <c r="J41" s="192" t="str">
        <f aca="false">IF(AND('ENERO 2026'!D45&lt;&gt;"",'ENERO 2026'!Z45="POR RECOGER"),'ENERO 2026'!Q45,"")</f>
        <v>EUD-917</v>
      </c>
      <c r="K41" s="192" t="n">
        <f aca="false">IF(AND('ENERO 2026'!D45&lt;&gt;"",'ENERO 2026'!Z45="POR RECOGER"),'ENERO 2026'!Y45,"")</f>
        <v>0</v>
      </c>
      <c r="L41" s="192" t="str">
        <f aca="false">IF(AND('ENERO 2026'!D45&lt;&gt;"",'ENERO 2026'!Z45="POR RECOGER"),'ENERO 2026'!I45,"")</f>
        <v>TINGO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true" outlineLevel="0" collapsed="false">
      <c r="A42" s="192" t="str">
        <f aca="false">IF(AND('ENERO 2026'!D46&lt;&gt;"",'ENERO 2026'!Z46="POR RECOGER"),"ENE","")</f>
        <v>ENE</v>
      </c>
      <c r="B42" s="192" t="str">
        <f aca="false">IF(AND('ENERO 2026'!D46&lt;&gt;"",'ENERO 2026'!Z46="POR RECOGER"),IF('ENERO 2026'!Y46&lt;&gt;"",'ENERO 2026'!Y46,'ENERO 2026'!I46),"")</f>
        <v>LAMUD</v>
      </c>
      <c r="C42" s="192" t="str">
        <f aca="false">IF(AND('ENERO 2026'!D46&lt;&gt;"",'ENERO 2026'!Z46="POR RECOGER"),'ENERO 2026'!D46,"")</f>
        <v>SUCASACA GOMEZ MILAGROS SOFIA</v>
      </c>
      <c r="D42" s="192" t="str">
        <f aca="false">IF(AND('ENERO 2026'!D46&lt;&gt;"",'ENERO 2026'!Z46="POR RECOGER"),'ENERO 2026'!F46,"")</f>
        <v>77664061</v>
      </c>
      <c r="E42" s="192" t="str">
        <f aca="false">IF(AND('ENERO 2026'!D46&lt;&gt;"",'ENERO 2026'!Z46="POR RECOGER"),TEXT('ENERO 2026'!G46,"DD/MM/YYYY"),"")</f>
        <v>04/01/2026</v>
      </c>
      <c r="F42" s="192" t="str">
        <f aca="false">IF(AND('ENERO 2026'!D46&lt;&gt;"",'ENERO 2026'!Z46="POR RECOGER"),'ENERO 2026'!K46,"")</f>
        <v>PETROLEO</v>
      </c>
      <c r="G42" s="193" t="n">
        <f aca="false">IF(AND('ENERO 2026'!D46&lt;&gt;"",'ENERO 2026'!Z46="POR RECOGER"),'ENERO 2026'!M46,"")</f>
        <v>4</v>
      </c>
      <c r="H42" s="193" t="n">
        <f aca="false">IF(AND('ENERO 2026'!D46&lt;&gt;"",'ENERO 2026'!Z46="POR RECOGER"),'ENERO 2026'!N46,"")</f>
        <v>72.72</v>
      </c>
      <c r="I42" s="192" t="str">
        <f aca="false">IF(AND('ENERO 2026'!D46&lt;&gt;"",'ENERO 2026'!Z46="POR RECOGER"),'ENERO 2026'!P46,"")</f>
        <v>DANIEL ZELADA TRUJILLO</v>
      </c>
      <c r="J42" s="192" t="str">
        <f aca="false">IF(AND('ENERO 2026'!D46&lt;&gt;"",'ENERO 2026'!Z46="POR RECOGER"),'ENERO 2026'!Q46,"")</f>
        <v>EUA-963</v>
      </c>
      <c r="K42" s="192" t="n">
        <f aca="false">IF(AND('ENERO 2026'!D46&lt;&gt;"",'ENERO 2026'!Z46="POR RECOGER"),'ENERO 2026'!Y46,"")</f>
        <v>0</v>
      </c>
      <c r="L42" s="192" t="str">
        <f aca="false">IF(AND('ENERO 2026'!D46&lt;&gt;"",'ENERO 2026'!Z46="POR RECOGER"),'ENERO 2026'!I46,"")</f>
        <v>LAMUD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true" outlineLevel="0" collapsed="false">
      <c r="A43" s="192" t="str">
        <f aca="false">IF(AND('ENERO 2026'!D47&lt;&gt;"",'ENERO 2026'!Z47="POR RECOGER"),"ENE","")</f>
        <v>ENE</v>
      </c>
      <c r="B43" s="192" t="str">
        <f aca="false">IF(AND('ENERO 2026'!D47&lt;&gt;"",'ENERO 2026'!Z47="POR RECOGER"),IF('ENERO 2026'!Y47&lt;&gt;"",'ENERO 2026'!Y47,'ENERO 2026'!I47),"")</f>
        <v>PEDRO RUIZ GALLO</v>
      </c>
      <c r="C43" s="192" t="str">
        <f aca="false">IF(AND('ENERO 2026'!D47&lt;&gt;"",'ENERO 2026'!Z47="POR RECOGER"),'ENERO 2026'!D47,"")</f>
        <v>CULQUI LOPEZHAYA EMILIO</v>
      </c>
      <c r="D43" s="192" t="str">
        <f aca="false">IF(AND('ENERO 2026'!D47&lt;&gt;"",'ENERO 2026'!Z47="POR RECOGER"),'ENERO 2026'!F47,"")</f>
        <v>33729630</v>
      </c>
      <c r="E43" s="192" t="str">
        <f aca="false">IF(AND('ENERO 2026'!D47&lt;&gt;"",'ENERO 2026'!Z47="POR RECOGER"),TEXT('ENERO 2026'!G47,"DD/MM/YYYY"),"")</f>
        <v>02/01/2026</v>
      </c>
      <c r="F43" s="192" t="str">
        <f aca="false">IF(AND('ENERO 2026'!D47&lt;&gt;"",'ENERO 2026'!Z47="POR RECOGER"),'ENERO 2026'!K47,"")</f>
        <v>PETROLEO</v>
      </c>
      <c r="G43" s="193" t="n">
        <f aca="false">IF(AND('ENERO 2026'!D47&lt;&gt;"",'ENERO 2026'!Z47="POR RECOGER"),'ENERO 2026'!M47,"")</f>
        <v>5</v>
      </c>
      <c r="H43" s="193" t="n">
        <f aca="false">IF(AND('ENERO 2026'!D47&lt;&gt;"",'ENERO 2026'!Z47="POR RECOGER"),'ENERO 2026'!N47,"")</f>
        <v>90.9</v>
      </c>
      <c r="I43" s="192" t="str">
        <f aca="false">IF(AND('ENERO 2026'!D47&lt;&gt;"",'ENERO 2026'!Z47="POR RECOGER"),'ENERO 2026'!P47,"")</f>
        <v>RIOS CHAVEZ WUILQUE</v>
      </c>
      <c r="J43" s="192" t="str">
        <f aca="false">IF(AND('ENERO 2026'!D47&lt;&gt;"",'ENERO 2026'!Z47="POR RECOGER"),'ENERO 2026'!Q47,"")</f>
        <v>EUD360</v>
      </c>
      <c r="K43" s="192" t="n">
        <f aca="false">IF(AND('ENERO 2026'!D47&lt;&gt;"",'ENERO 2026'!Z47="POR RECOGER"),'ENERO 2026'!Y47,"")</f>
        <v>0</v>
      </c>
      <c r="L43" s="192" t="str">
        <f aca="false">IF(AND('ENERO 2026'!D47&lt;&gt;"",'ENERO 2026'!Z47="POR RECOGER"),'ENERO 2026'!I47,"")</f>
        <v>PEDRO RUIZ GALLO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" hidden="false" customHeight="true" outlineLevel="0" collapsed="false">
      <c r="A44" s="192" t="str">
        <f aca="false">IF(AND('ENERO 2026'!D48&lt;&gt;"",'ENERO 2026'!Z48="POR RECOGER"),"ENE","")</f>
        <v>ENE</v>
      </c>
      <c r="B44" s="192" t="str">
        <f aca="false">IF(AND('ENERO 2026'!D48&lt;&gt;"",'ENERO 2026'!Z48="POR RECOGER"),IF('ENERO 2026'!Y48&lt;&gt;"",'ENERO 2026'!Y48,'ENERO 2026'!I48),"")</f>
        <v>CAMPORREDONDO</v>
      </c>
      <c r="C44" s="192" t="str">
        <f aca="false">IF(AND('ENERO 2026'!D48&lt;&gt;"",'ENERO 2026'!Z48="POR RECOGER"),'ENERO 2026'!D48,"")</f>
        <v>OBLITAS SOLANO NILO</v>
      </c>
      <c r="D44" s="192" t="str">
        <f aca="false">IF(AND('ENERO 2026'!D48&lt;&gt;"",'ENERO 2026'!Z48="POR RECOGER"),'ENERO 2026'!F48,"")</f>
        <v>33784375</v>
      </c>
      <c r="E44" s="192" t="str">
        <f aca="false">IF(AND('ENERO 2026'!D48&lt;&gt;"",'ENERO 2026'!Z48="POR RECOGER"),TEXT('ENERO 2026'!G48,"DD/MM/YYYY"),"")</f>
        <v>05/01/2026</v>
      </c>
      <c r="F44" s="192" t="str">
        <f aca="false">IF(AND('ENERO 2026'!D48&lt;&gt;"",'ENERO 2026'!Z48="POR RECOGER"),'ENERO 2026'!K48,"")</f>
        <v>PETROLEO</v>
      </c>
      <c r="G44" s="193" t="n">
        <f aca="false">IF(AND('ENERO 2026'!D48&lt;&gt;"",'ENERO 2026'!Z48="POR RECOGER"),'ENERO 2026'!M48,"")</f>
        <v>20</v>
      </c>
      <c r="H44" s="193" t="n">
        <f aca="false">IF(AND('ENERO 2026'!D48&lt;&gt;"",'ENERO 2026'!Z48="POR RECOGER"),'ENERO 2026'!N48,"")</f>
        <v>363.6</v>
      </c>
      <c r="I44" s="192" t="str">
        <f aca="false">IF(AND('ENERO 2026'!D48&lt;&gt;"",'ENERO 2026'!Z48="POR RECOGER"),'ENERO 2026'!P48,"")</f>
        <v>GUEVARA VASQUEZ GREIMER MELGAR</v>
      </c>
      <c r="J44" s="192" t="str">
        <f aca="false">IF(AND('ENERO 2026'!D48&lt;&gt;"",'ENERO 2026'!Z48="POR RECOGER"),'ENERO 2026'!Q48,"")</f>
        <v>EUE 651</v>
      </c>
      <c r="K44" s="192" t="n">
        <f aca="false">IF(AND('ENERO 2026'!D48&lt;&gt;"",'ENERO 2026'!Z48="POR RECOGER"),'ENERO 2026'!Y48,"")</f>
        <v>0</v>
      </c>
      <c r="L44" s="192" t="str">
        <f aca="false">IF(AND('ENERO 2026'!D48&lt;&gt;"",'ENERO 2026'!Z48="POR RECOGER"),'ENERO 2026'!I48,"")</f>
        <v>CAMPORREDONDO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true" outlineLevel="0" collapsed="false">
      <c r="A45" s="192" t="str">
        <f aca="false">IF(AND('ENERO 2026'!D49&lt;&gt;"",'ENERO 2026'!Z49="POR RECOGER"),"ENE","")</f>
        <v>ENE</v>
      </c>
      <c r="B45" s="192" t="str">
        <f aca="false">IF(AND('ENERO 2026'!D49&lt;&gt;"",'ENERO 2026'!Z49="POR RECOGER"),IF('ENERO 2026'!Y49&lt;&gt;"",'ENERO 2026'!Y49,'ENERO 2026'!I49),"")</f>
        <v>PEDRO RUIZ GALLO</v>
      </c>
      <c r="C45" s="192" t="str">
        <f aca="false">IF(AND('ENERO 2026'!D49&lt;&gt;"",'ENERO 2026'!Z49="POR RECOGER"),'ENERO 2026'!D49,"")</f>
        <v>GALOC CHAVEZ MAYLI LEONOR</v>
      </c>
      <c r="D45" s="192" t="str">
        <f aca="false">IF(AND('ENERO 2026'!D49&lt;&gt;"",'ENERO 2026'!Z49="POR RECOGER"),'ENERO 2026'!F49,"")</f>
        <v>60030450</v>
      </c>
      <c r="E45" s="192" t="str">
        <f aca="false">IF(AND('ENERO 2026'!D49&lt;&gt;"",'ENERO 2026'!Z49="POR RECOGER"),TEXT('ENERO 2026'!G49,"DD/MM/YYYY"),"")</f>
        <v>08/01/2026</v>
      </c>
      <c r="F45" s="192" t="str">
        <f aca="false">IF(AND('ENERO 2026'!D49&lt;&gt;"",'ENERO 2026'!Z49="POR RECOGER"),'ENERO 2026'!K49,"")</f>
        <v>PETROLEO</v>
      </c>
      <c r="G45" s="193" t="n">
        <f aca="false">IF(AND('ENERO 2026'!D49&lt;&gt;"",'ENERO 2026'!Z49="POR RECOGER"),'ENERO 2026'!M49,"")</f>
        <v>5</v>
      </c>
      <c r="H45" s="193" t="n">
        <f aca="false">IF(AND('ENERO 2026'!D49&lt;&gt;"",'ENERO 2026'!Z49="POR RECOGER"),'ENERO 2026'!N49,"")</f>
        <v>90.9</v>
      </c>
      <c r="I45" s="192" t="str">
        <f aca="false">IF(AND('ENERO 2026'!D49&lt;&gt;"",'ENERO 2026'!Z49="POR RECOGER"),'ENERO 2026'!P49,"")</f>
        <v>RIOS CHAVEZ WUILQUE</v>
      </c>
      <c r="J45" s="192" t="str">
        <f aca="false">IF(AND('ENERO 2026'!D49&lt;&gt;"",'ENERO 2026'!Z49="POR RECOGER"),'ENERO 2026'!Q49,"")</f>
        <v>EUD360</v>
      </c>
      <c r="K45" s="192" t="n">
        <f aca="false">IF(AND('ENERO 2026'!D49&lt;&gt;"",'ENERO 2026'!Z49="POR RECOGER"),'ENERO 2026'!Y49,"")</f>
        <v>0</v>
      </c>
      <c r="L45" s="192" t="str">
        <f aca="false">IF(AND('ENERO 2026'!D49&lt;&gt;"",'ENERO 2026'!Z49="POR RECOGER"),'ENERO 2026'!I49,"")</f>
        <v>PEDRO RUIZ GALLO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true" outlineLevel="0" collapsed="false">
      <c r="A46" s="192" t="str">
        <f aca="false">IF(AND('ENERO 2026'!D50&lt;&gt;"",'ENERO 2026'!Z50="POR RECOGER"),"ENE","")</f>
        <v>ENE</v>
      </c>
      <c r="B46" s="192" t="str">
        <f aca="false">IF(AND('ENERO 2026'!D50&lt;&gt;"",'ENERO 2026'!Z50="POR RECOGER"),IF('ENERO 2026'!Y50&lt;&gt;"",'ENERO 2026'!Y50,'ENERO 2026'!I50),"")</f>
        <v>TOTORA</v>
      </c>
      <c r="C46" s="192" t="str">
        <f aca="false">IF(AND('ENERO 2026'!D50&lt;&gt;"",'ENERO 2026'!Z50="POR RECOGER"),'ENERO 2026'!D50,"")</f>
        <v>ARANA LOPEZ MARILIZ MISHEL</v>
      </c>
      <c r="D46" s="192" t="str">
        <f aca="false">IF(AND('ENERO 2026'!D50&lt;&gt;"",'ENERO 2026'!Z50="POR RECOGER"),'ENERO 2026'!F50,"")</f>
        <v>78095143</v>
      </c>
      <c r="E46" s="192" t="str">
        <f aca="false">IF(AND('ENERO 2026'!D50&lt;&gt;"",'ENERO 2026'!Z50="POR RECOGER"),TEXT('ENERO 2026'!G50,"DD/MM/YYYY"),"")</f>
        <v>10/01/2026</v>
      </c>
      <c r="F46" s="192" t="str">
        <f aca="false">IF(AND('ENERO 2026'!D50&lt;&gt;"",'ENERO 2026'!Z50="POR RECOGER"),'ENERO 2026'!K50,"")</f>
        <v>PETROLEO</v>
      </c>
      <c r="G46" s="193" t="n">
        <f aca="false">IF(AND('ENERO 2026'!D50&lt;&gt;"",'ENERO 2026'!Z50="POR RECOGER"),'ENERO 2026'!M50,"")</f>
        <v>12</v>
      </c>
      <c r="H46" s="193" t="n">
        <f aca="false">IF(AND('ENERO 2026'!D50&lt;&gt;"",'ENERO 2026'!Z50="POR RECOGER"),'ENERO 2026'!N50,"")</f>
        <v>243</v>
      </c>
      <c r="I46" s="192" t="str">
        <f aca="false">IF(AND('ENERO 2026'!D50&lt;&gt;"",'ENERO 2026'!Z50="POR RECOGER"),'ENERO 2026'!P50,"")</f>
        <v>VILLA GONGORA RODVIN LUIS</v>
      </c>
      <c r="J46" s="192" t="str">
        <f aca="false">IF(AND('ENERO 2026'!D50&lt;&gt;"",'ENERO 2026'!Z50="POR RECOGER"),'ENERO 2026'!Q50,"")</f>
        <v>EUD-684</v>
      </c>
      <c r="K46" s="192" t="str">
        <f aca="false">IF(AND('ENERO 2026'!D50&lt;&gt;"",'ENERO 2026'!Z50="POR RECOGER"),'ENERO 2026'!Y50,"")</f>
        <v>TOTORA</v>
      </c>
      <c r="L46" s="192" t="str">
        <f aca="false">IF(AND('ENERO 2026'!D50&lt;&gt;"",'ENERO 2026'!Z50="POR RECOGER"),'ENERO 2026'!I50,"")</f>
        <v>EL TRIUNFO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true" outlineLevel="0" collapsed="false">
      <c r="A47" s="192" t="str">
        <f aca="false">IF(AND('ENERO 2026'!D51&lt;&gt;"",'ENERO 2026'!Z51="POR RECOGER"),"ENE","")</f>
        <v>ENE</v>
      </c>
      <c r="B47" s="192" t="str">
        <f aca="false">IF(AND('ENERO 2026'!D51&lt;&gt;"",'ENERO 2026'!Z51="POR RECOGER"),IF('ENERO 2026'!Y51&lt;&gt;"",'ENERO 2026'!Y51,'ENERO 2026'!I51),"")</f>
        <v>TOTORA</v>
      </c>
      <c r="C47" s="192" t="str">
        <f aca="false">IF(AND('ENERO 2026'!D51&lt;&gt;"",'ENERO 2026'!Z51="POR RECOGER"),'ENERO 2026'!D51,"")</f>
        <v>VILLAVICENCIO HERNANDEZ WIDMER</v>
      </c>
      <c r="D47" s="192" t="str">
        <f aca="false">IF(AND('ENERO 2026'!D51&lt;&gt;"",'ENERO 2026'!Z51="POR RECOGER"),'ENERO 2026'!F51,"")</f>
        <v>42347377</v>
      </c>
      <c r="E47" s="192" t="str">
        <f aca="false">IF(AND('ENERO 2026'!D51&lt;&gt;"",'ENERO 2026'!Z51="POR RECOGER"),TEXT('ENERO 2026'!G51,"DD/MM/YYYY"),"")</f>
        <v>12/01/2026</v>
      </c>
      <c r="F47" s="192" t="str">
        <f aca="false">IF(AND('ENERO 2026'!D51&lt;&gt;"",'ENERO 2026'!Z51="POR RECOGER"),'ENERO 2026'!K51,"")</f>
        <v>PETROLEO</v>
      </c>
      <c r="G47" s="193" t="n">
        <f aca="false">IF(AND('ENERO 2026'!D51&lt;&gt;"",'ENERO 2026'!Z51="POR RECOGER"),'ENERO 2026'!M51,"")</f>
        <v>6</v>
      </c>
      <c r="H47" s="193" t="n">
        <f aca="false">IF(AND('ENERO 2026'!D51&lt;&gt;"",'ENERO 2026'!Z51="POR RECOGER"),'ENERO 2026'!N51,"")</f>
        <v>121.5</v>
      </c>
      <c r="I47" s="192" t="str">
        <f aca="false">IF(AND('ENERO 2026'!D51&lt;&gt;"",'ENERO 2026'!Z51="POR RECOGER"),'ENERO 2026'!P51,"")</f>
        <v>VILLA GONGORA RODVIN LUIS</v>
      </c>
      <c r="J47" s="192" t="str">
        <f aca="false">IF(AND('ENERO 2026'!D51&lt;&gt;"",'ENERO 2026'!Z51="POR RECOGER"),'ENERO 2026'!Q51,"")</f>
        <v>EUD-684</v>
      </c>
      <c r="K47" s="192" t="n">
        <f aca="false">IF(AND('ENERO 2026'!D51&lt;&gt;"",'ENERO 2026'!Z51="POR RECOGER"),'ENERO 2026'!Y51,"")</f>
        <v>0</v>
      </c>
      <c r="L47" s="192" t="str">
        <f aca="false">IF(AND('ENERO 2026'!D51&lt;&gt;"",'ENERO 2026'!Z51="POR RECOGER"),'ENERO 2026'!I51,"")</f>
        <v>TOTORA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true" outlineLevel="0" collapsed="false">
      <c r="A48" s="192" t="str">
        <f aca="false">IF(AND('ENERO 2026'!D52&lt;&gt;"",'ENERO 2026'!Z52="POR RECOGER"),"ENE","")</f>
        <v>ENE</v>
      </c>
      <c r="B48" s="192" t="str">
        <f aca="false">IF(AND('ENERO 2026'!D52&lt;&gt;"",'ENERO 2026'!Z52="POR RECOGER"),IF('ENERO 2026'!Y52&lt;&gt;"",'ENERO 2026'!Y52,'ENERO 2026'!I52),"")</f>
        <v>HUAMBO</v>
      </c>
      <c r="C48" s="192" t="str">
        <f aca="false">IF(AND('ENERO 2026'!D52&lt;&gt;"",'ENERO 2026'!Z52="POR RECOGER"),'ENERO 2026'!D52,"")</f>
        <v>VARGAS GRANDEZ GUSTAVO</v>
      </c>
      <c r="D48" s="192" t="str">
        <f aca="false">IF(AND('ENERO 2026'!D52&lt;&gt;"",'ENERO 2026'!Z52="POR RECOGER"),'ENERO 2026'!F52,"")</f>
        <v>33944112</v>
      </c>
      <c r="E48" s="192" t="str">
        <f aca="false">IF(AND('ENERO 2026'!D52&lt;&gt;"",'ENERO 2026'!Z52="POR RECOGER"),TEXT('ENERO 2026'!G52,"DD/MM/YYYY"),"")</f>
        <v>15/01/2026</v>
      </c>
      <c r="F48" s="192" t="str">
        <f aca="false">IF(AND('ENERO 2026'!D52&lt;&gt;"",'ENERO 2026'!Z52="POR RECOGER"),'ENERO 2026'!K52,"")</f>
        <v>PETROLEO</v>
      </c>
      <c r="G48" s="193" t="n">
        <f aca="false">IF(AND('ENERO 2026'!D52&lt;&gt;"",'ENERO 2026'!Z52="POR RECOGER"),'ENERO 2026'!M52,"")</f>
        <v>3</v>
      </c>
      <c r="H48" s="193" t="n">
        <f aca="false">IF(AND('ENERO 2026'!D52&lt;&gt;"",'ENERO 2026'!Z52="POR RECOGER"),'ENERO 2026'!N52,"")</f>
        <v>60.75</v>
      </c>
      <c r="I48" s="192" t="str">
        <f aca="false">IF(AND('ENERO 2026'!D52&lt;&gt;"",'ENERO 2026'!Z52="POR RECOGER"),'ENERO 2026'!P52,"")</f>
        <v>LOPEZ HOYOS MIGUEL ANGEL</v>
      </c>
      <c r="J48" s="192" t="str">
        <f aca="false">IF(AND('ENERO 2026'!D52&lt;&gt;"",'ENERO 2026'!Z52="POR RECOGER"),'ENERO 2026'!Q52,"")</f>
        <v>EUH-698</v>
      </c>
      <c r="K48" s="192" t="n">
        <f aca="false">IF(AND('ENERO 2026'!D52&lt;&gt;"",'ENERO 2026'!Z52="POR RECOGER"),'ENERO 2026'!Y52,"")</f>
        <v>0</v>
      </c>
      <c r="L48" s="192" t="str">
        <f aca="false">IF(AND('ENERO 2026'!D52&lt;&gt;"",'ENERO 2026'!Z52="POR RECOGER"),'ENERO 2026'!I52,"")</f>
        <v>HUAMBO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true" outlineLevel="0" collapsed="false">
      <c r="A49" s="192" t="str">
        <f aca="false">IF(AND('ENERO 2026'!D53&lt;&gt;"",'ENERO 2026'!Z53="POR RECOGER"),"ENE","")</f>
        <v>ENE</v>
      </c>
      <c r="B49" s="192" t="str">
        <f aca="false">IF(AND('ENERO 2026'!D53&lt;&gt;"",'ENERO 2026'!Z53="POR RECOGER"),IF('ENERO 2026'!Y53&lt;&gt;"",'ENERO 2026'!Y53,'ENERO 2026'!I53),"")</f>
        <v>PEDRO RUIZ GALLO</v>
      </c>
      <c r="C49" s="192" t="str">
        <f aca="false">IF(AND('ENERO 2026'!D53&lt;&gt;"",'ENERO 2026'!Z53="POR RECOGER"),'ENERO 2026'!D53,"")</f>
        <v>CHAVEZ YOMONA MILTON</v>
      </c>
      <c r="D49" s="192" t="str">
        <f aca="false">IF(AND('ENERO 2026'!D53&lt;&gt;"",'ENERO 2026'!Z53="POR RECOGER"),'ENERO 2026'!F53,"")</f>
        <v>33738999</v>
      </c>
      <c r="E49" s="192" t="str">
        <f aca="false">IF(AND('ENERO 2026'!D53&lt;&gt;"",'ENERO 2026'!Z53="POR RECOGER"),TEXT('ENERO 2026'!G53,"DD/MM/YYYY"),"")</f>
        <v>20/01/2026</v>
      </c>
      <c r="F49" s="192" t="str">
        <f aca="false">IF(AND('ENERO 2026'!D53&lt;&gt;"",'ENERO 2026'!Z53="POR RECOGER"),'ENERO 2026'!K53,"")</f>
        <v>GASOLINA</v>
      </c>
      <c r="G49" s="193" t="n">
        <f aca="false">IF(AND('ENERO 2026'!D53&lt;&gt;"",'ENERO 2026'!Z53="POR RECOGER"),'ENERO 2026'!M53,"")</f>
        <v>6</v>
      </c>
      <c r="H49" s="193" t="n">
        <f aca="false">IF(AND('ENERO 2026'!D53&lt;&gt;"",'ENERO 2026'!Z53="POR RECOGER"),'ENERO 2026'!N53,"")</f>
        <v>107.7</v>
      </c>
      <c r="I49" s="192" t="str">
        <f aca="false">IF(AND('ENERO 2026'!D53&lt;&gt;"",'ENERO 2026'!Z53="POR RECOGER"),'ENERO 2026'!P53,"")</f>
        <v>RIOS CHAVEZ WUILQUE</v>
      </c>
      <c r="J49" s="192" t="str">
        <f aca="false">IF(AND('ENERO 2026'!D53&lt;&gt;"",'ENERO 2026'!Z53="POR RECOGER"),'ENERO 2026'!Q53,"")</f>
        <v>EUD360</v>
      </c>
      <c r="K49" s="192" t="n">
        <f aca="false">IF(AND('ENERO 2026'!D53&lt;&gt;"",'ENERO 2026'!Z53="POR RECOGER"),'ENERO 2026'!Y53,"")</f>
        <v>0</v>
      </c>
      <c r="L49" s="192" t="str">
        <f aca="false">IF(AND('ENERO 2026'!D53&lt;&gt;"",'ENERO 2026'!Z53="POR RECOGER"),'ENERO 2026'!I53,"")</f>
        <v>PEDRO RUIZ GALLO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true" outlineLevel="0" collapsed="false">
      <c r="A50" s="192" t="str">
        <f aca="false">IF(AND('ENERO 2026'!D54&lt;&gt;"",'ENERO 2026'!Z54="POR RECOGER"),"ENE","")</f>
        <v>ENE</v>
      </c>
      <c r="B50" s="192" t="str">
        <f aca="false">IF(AND('ENERO 2026'!D54&lt;&gt;"",'ENERO 2026'!Z54="POR RECOGER"),IF('ENERO 2026'!Y54&lt;&gt;"",'ENERO 2026'!Y54,'ENERO 2026'!I54),"")</f>
        <v>PEDRO RUIZ GALLO</v>
      </c>
      <c r="C50" s="192" t="str">
        <f aca="false">IF(AND('ENERO 2026'!D54&lt;&gt;"",'ENERO 2026'!Z54="POR RECOGER"),'ENERO 2026'!D54,"")</f>
        <v>MEZA GUERRA SEBASTIAN LUIS ALEXANDER</v>
      </c>
      <c r="D50" s="192" t="str">
        <f aca="false">IF(AND('ENERO 2026'!D54&lt;&gt;"",'ENERO 2026'!Z54="POR RECOGER"),'ENERO 2026'!F54,"")</f>
        <v>91006502</v>
      </c>
      <c r="E50" s="192" t="str">
        <f aca="false">IF(AND('ENERO 2026'!D54&lt;&gt;"",'ENERO 2026'!Z54="POR RECOGER"),TEXT('ENERO 2026'!G54,"DD/MM/YYYY"),"")</f>
        <v>20/01/2026</v>
      </c>
      <c r="F50" s="192" t="str">
        <f aca="false">IF(AND('ENERO 2026'!D54&lt;&gt;"",'ENERO 2026'!Z54="POR RECOGER"),'ENERO 2026'!K54,"")</f>
        <v>PETROLEO</v>
      </c>
      <c r="G50" s="193" t="n">
        <f aca="false">IF(AND('ENERO 2026'!D54&lt;&gt;"",'ENERO 2026'!Z54="POR RECOGER"),'ENERO 2026'!M54,"")</f>
        <v>5</v>
      </c>
      <c r="H50" s="193" t="n">
        <f aca="false">IF(AND('ENERO 2026'!D54&lt;&gt;"",'ENERO 2026'!Z54="POR RECOGER"),'ENERO 2026'!N54,"")</f>
        <v>90.9</v>
      </c>
      <c r="I50" s="192" t="str">
        <f aca="false">IF(AND('ENERO 2026'!D54&lt;&gt;"",'ENERO 2026'!Z54="POR RECOGER"),'ENERO 2026'!P54,"")</f>
        <v>RIOS CHAVEZ WUILQUE</v>
      </c>
      <c r="J50" s="192" t="str">
        <f aca="false">IF(AND('ENERO 2026'!D54&lt;&gt;"",'ENERO 2026'!Z54="POR RECOGER"),'ENERO 2026'!Q54,"")</f>
        <v>EUD360</v>
      </c>
      <c r="K50" s="192" t="n">
        <f aca="false">IF(AND('ENERO 2026'!D54&lt;&gt;"",'ENERO 2026'!Z54="POR RECOGER"),'ENERO 2026'!Y54,"")</f>
        <v>0</v>
      </c>
      <c r="L50" s="192" t="str">
        <f aca="false">IF(AND('ENERO 2026'!D54&lt;&gt;"",'ENERO 2026'!Z54="POR RECOGER"),'ENERO 2026'!I54,"")</f>
        <v>PEDRO RUIZ GALLO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true" outlineLevel="0" collapsed="false">
      <c r="A51" s="192" t="str">
        <f aca="false">IF(AND('ENERO 2026'!D55&lt;&gt;"",'ENERO 2026'!Z55="POR RECOGER"),"ENE","")</f>
        <v>ENE</v>
      </c>
      <c r="B51" s="192" t="str">
        <f aca="false">IF(AND('ENERO 2026'!D55&lt;&gt;"",'ENERO 2026'!Z55="POR RECOGER"),IF('ENERO 2026'!Y55&lt;&gt;"",'ENERO 2026'!Y55,'ENERO 2026'!I55),"")</f>
        <v>TOTORA</v>
      </c>
      <c r="C51" s="192" t="str">
        <f aca="false">IF(AND('ENERO 2026'!D55&lt;&gt;"",'ENERO 2026'!Z55="POR RECOGER"),'ENERO 2026'!D55,"")</f>
        <v>LOPEZ RIVA KELLY</v>
      </c>
      <c r="D51" s="192" t="str">
        <f aca="false">IF(AND('ENERO 2026'!D55&lt;&gt;"",'ENERO 2026'!Z55="POR RECOGER"),'ENERO 2026'!F55,"")</f>
        <v>75083848</v>
      </c>
      <c r="E51" s="192" t="str">
        <f aca="false">IF(AND('ENERO 2026'!D55&lt;&gt;"",'ENERO 2026'!Z55="POR RECOGER"),TEXT('ENERO 2026'!G55,"DD/MM/YYYY"),"")</f>
        <v>22/01/2026</v>
      </c>
      <c r="F51" s="192" t="str">
        <f aca="false">IF(AND('ENERO 2026'!D55&lt;&gt;"",'ENERO 2026'!Z55="POR RECOGER"),'ENERO 2026'!K55,"")</f>
        <v>PETROLEO</v>
      </c>
      <c r="G51" s="193" t="n">
        <f aca="false">IF(AND('ENERO 2026'!D55&lt;&gt;"",'ENERO 2026'!Z55="POR RECOGER"),'ENERO 2026'!M55,"")</f>
        <v>8</v>
      </c>
      <c r="H51" s="193" t="n">
        <f aca="false">IF(AND('ENERO 2026'!D55&lt;&gt;"",'ENERO 2026'!Z55="POR RECOGER"),'ENERO 2026'!N55,"")</f>
        <v>162</v>
      </c>
      <c r="I51" s="192" t="str">
        <f aca="false">IF(AND('ENERO 2026'!D55&lt;&gt;"",'ENERO 2026'!Z55="POR RECOGER"),'ENERO 2026'!P55,"")</f>
        <v>VILLA GONGORA RODVIN LUIS</v>
      </c>
      <c r="J51" s="192" t="str">
        <f aca="false">IF(AND('ENERO 2026'!D55&lt;&gt;"",'ENERO 2026'!Z55="POR RECOGER"),'ENERO 2026'!Q55,"")</f>
        <v>EUD-684</v>
      </c>
      <c r="K51" s="192" t="str">
        <f aca="false">IF(AND('ENERO 2026'!D55&lt;&gt;"",'ENERO 2026'!Z55="POR RECOGER"),'ENERO 2026'!Y55,"")</f>
        <v>TOTORA</v>
      </c>
      <c r="L51" s="192" t="str">
        <f aca="false">IF(AND('ENERO 2026'!D55&lt;&gt;"",'ENERO 2026'!Z55="POR RECOGER"),'ENERO 2026'!I55,"")</f>
        <v>LIMABAMBA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true" outlineLevel="0" collapsed="false">
      <c r="A52" s="192" t="str">
        <f aca="false">IF(AND('ENERO 2026'!D56&lt;&gt;"",'ENERO 2026'!Z56="POR RECOGER"),"ENE","")</f>
        <v>ENE</v>
      </c>
      <c r="B52" s="192" t="str">
        <f aca="false">IF(AND('ENERO 2026'!D56&lt;&gt;"",'ENERO 2026'!Z56="POR RECOGER"),IF('ENERO 2026'!Y56&lt;&gt;"",'ENERO 2026'!Y56,'ENERO 2026'!I56),"")</f>
        <v>PEDRO RUIZ GALLO</v>
      </c>
      <c r="C52" s="192" t="str">
        <f aca="false">IF(AND('ENERO 2026'!D56&lt;&gt;"",'ENERO 2026'!Z56="POR RECOGER"),'ENERO 2026'!D56,"")</f>
        <v>CASAS AGUILAR JUAN</v>
      </c>
      <c r="D52" s="192" t="str">
        <f aca="false">IF(AND('ENERO 2026'!D56&lt;&gt;"",'ENERO 2026'!Z56="POR RECOGER"),'ENERO 2026'!F56,"")</f>
        <v>80233101</v>
      </c>
      <c r="E52" s="192" t="str">
        <f aca="false">IF(AND('ENERO 2026'!D56&lt;&gt;"",'ENERO 2026'!Z56="POR RECOGER"),TEXT('ENERO 2026'!G56,"DD/MM/YYYY"),"")</f>
        <v>23/01/2026</v>
      </c>
      <c r="F52" s="192" t="str">
        <f aca="false">IF(AND('ENERO 2026'!D56&lt;&gt;"",'ENERO 2026'!Z56="POR RECOGER"),'ENERO 2026'!K56,"")</f>
        <v>PETROLEO</v>
      </c>
      <c r="G52" s="193" t="n">
        <f aca="false">IF(AND('ENERO 2026'!D56&lt;&gt;"",'ENERO 2026'!Z56="POR RECOGER"),'ENERO 2026'!M56,"")</f>
        <v>5</v>
      </c>
      <c r="H52" s="193" t="n">
        <f aca="false">IF(AND('ENERO 2026'!D56&lt;&gt;"",'ENERO 2026'!Z56="POR RECOGER"),'ENERO 2026'!N56,"")</f>
        <v>90.9</v>
      </c>
      <c r="I52" s="192" t="str">
        <f aca="false">IF(AND('ENERO 2026'!D56&lt;&gt;"",'ENERO 2026'!Z56="POR RECOGER"),'ENERO 2026'!P56,"")</f>
        <v>MONTENEGRO RUIZ LUIS MIGUEL</v>
      </c>
      <c r="J52" s="192" t="str">
        <f aca="false">IF(AND('ENERO 2026'!D56&lt;&gt;"",'ENERO 2026'!Z56="POR RECOGER"),'ENERO 2026'!Q56,"")</f>
        <v>EUH-427</v>
      </c>
      <c r="K52" s="192" t="n">
        <f aca="false">IF(AND('ENERO 2026'!D56&lt;&gt;"",'ENERO 2026'!Z56="POR RECOGER"),'ENERO 2026'!Y56,"")</f>
        <v>0</v>
      </c>
      <c r="L52" s="192" t="str">
        <f aca="false">IF(AND('ENERO 2026'!D56&lt;&gt;"",'ENERO 2026'!Z56="POR RECOGER"),'ENERO 2026'!I56,"")</f>
        <v>PEDRO RUIZ GALLO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true" outlineLevel="0" collapsed="false">
      <c r="A53" s="192" t="str">
        <f aca="false">IF(AND('ENERO 2026'!D57&lt;&gt;"",'ENERO 2026'!Z57="POR RECOGER"),"ENE","")</f>
        <v>ENE</v>
      </c>
      <c r="B53" s="192" t="str">
        <f aca="false">IF(AND('ENERO 2026'!D57&lt;&gt;"",'ENERO 2026'!Z57="POR RECOGER"),IF('ENERO 2026'!Y57&lt;&gt;"",'ENERO 2026'!Y57,'ENERO 2026'!I57),"")</f>
        <v>TOTORA</v>
      </c>
      <c r="C53" s="192" t="str">
        <f aca="false">IF(AND('ENERO 2026'!D57&lt;&gt;"",'ENERO 2026'!Z57="POR RECOGER"),'ENERO 2026'!D57,"")</f>
        <v>HUAMAN LOPEZ FIDENCIO ARTEMIO</v>
      </c>
      <c r="D53" s="192" t="str">
        <f aca="false">IF(AND('ENERO 2026'!D57&lt;&gt;"",'ENERO 2026'!Z57="POR RECOGER"),'ENERO 2026'!F57,"")</f>
        <v>33946769</v>
      </c>
      <c r="E53" s="192" t="str">
        <f aca="false">IF(AND('ENERO 2026'!D57&lt;&gt;"",'ENERO 2026'!Z57="POR RECOGER"),TEXT('ENERO 2026'!G57,"DD/MM/YYYY"),"")</f>
        <v>24/01/2026</v>
      </c>
      <c r="F53" s="192" t="str">
        <f aca="false">IF(AND('ENERO 2026'!D57&lt;&gt;"",'ENERO 2026'!Z57="POR RECOGER"),'ENERO 2026'!K57,"")</f>
        <v>PETROLEO</v>
      </c>
      <c r="G53" s="193" t="n">
        <f aca="false">IF(AND('ENERO 2026'!D57&lt;&gt;"",'ENERO 2026'!Z57="POR RECOGER"),'ENERO 2026'!M57,"")</f>
        <v>10</v>
      </c>
      <c r="H53" s="193" t="n">
        <f aca="false">IF(AND('ENERO 2026'!D57&lt;&gt;"",'ENERO 2026'!Z57="POR RECOGER"),'ENERO 2026'!N57,"")</f>
        <v>202.5</v>
      </c>
      <c r="I53" s="192" t="str">
        <f aca="false">IF(AND('ENERO 2026'!D57&lt;&gt;"",'ENERO 2026'!Z57="POR RECOGER"),'ENERO 2026'!P57,"")</f>
        <v>VILLA GONGORA RODVIN LUIS</v>
      </c>
      <c r="J53" s="192" t="str">
        <f aca="false">IF(AND('ENERO 2026'!D57&lt;&gt;"",'ENERO 2026'!Z57="POR RECOGER"),'ENERO 2026'!Q57,"")</f>
        <v>EUD-684</v>
      </c>
      <c r="K53" s="192" t="str">
        <f aca="false">IF(AND('ENERO 2026'!D57&lt;&gt;"",'ENERO 2026'!Z57="POR RECOGER"),'ENERO 2026'!Y57,"")</f>
        <v>TOTORA</v>
      </c>
      <c r="L53" s="192" t="str">
        <f aca="false">IF(AND('ENERO 2026'!D57&lt;&gt;"",'ENERO 2026'!Z57="POR RECOGER"),'ENERO 2026'!I57,"")</f>
        <v>LIMABAMBA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true" outlineLevel="0" collapsed="false">
      <c r="A54" s="192" t="str">
        <f aca="false">IF(AND('ENERO 2026'!D58&lt;&gt;"",'ENERO 2026'!Z58="POR RECOGER"),"ENE","")</f>
        <v>ENE</v>
      </c>
      <c r="B54" s="192" t="str">
        <f aca="false">IF(AND('ENERO 2026'!D58&lt;&gt;"",'ENERO 2026'!Z58="POR RECOGER"),IF('ENERO 2026'!Y58&lt;&gt;"",'ENERO 2026'!Y58,'ENERO 2026'!I58),"")</f>
        <v>YERBABUENA</v>
      </c>
      <c r="C54" s="192" t="str">
        <f aca="false">IF(AND('ENERO 2026'!D58&lt;&gt;"",'ENERO 2026'!Z58="POR RECOGER"),'ENERO 2026'!D58,"")</f>
        <v>EDQUEN IDROGO MAXIMILIANO</v>
      </c>
      <c r="D54" s="192" t="str">
        <f aca="false">IF(AND('ENERO 2026'!D58&lt;&gt;"",'ENERO 2026'!Z58="POR RECOGER"),'ENERO 2026'!F58,"")</f>
        <v>33431626</v>
      </c>
      <c r="E54" s="192" t="str">
        <f aca="false">IF(AND('ENERO 2026'!D58&lt;&gt;"",'ENERO 2026'!Z58="POR RECOGER"),TEXT('ENERO 2026'!G58,"DD/MM/YYYY"),"")</f>
        <v>24/01/2026</v>
      </c>
      <c r="F54" s="192" t="str">
        <f aca="false">IF(AND('ENERO 2026'!D58&lt;&gt;"",'ENERO 2026'!Z58="POR RECOGER"),'ENERO 2026'!K58,"")</f>
        <v>PETROLEO</v>
      </c>
      <c r="G54" s="193" t="n">
        <f aca="false">IF(AND('ENERO 2026'!D58&lt;&gt;"",'ENERO 2026'!Z58="POR RECOGER"),'ENERO 2026'!M58,"")</f>
        <v>6</v>
      </c>
      <c r="H54" s="193" t="n">
        <f aca="false">IF(AND('ENERO 2026'!D58&lt;&gt;"",'ENERO 2026'!Z58="POR RECOGER"),'ENERO 2026'!N58,"")</f>
        <v>109.08</v>
      </c>
      <c r="I54" s="192" t="str">
        <f aca="false">IF(AND('ENERO 2026'!D58&lt;&gt;"",'ENERO 2026'!Z58="POR RECOGER"),'ENERO 2026'!P58,"")</f>
        <v>SANCHEZ CAJO VICENTE</v>
      </c>
      <c r="J54" s="192" t="str">
        <f aca="false">IF(AND('ENERO 2026'!D58&lt;&gt;"",'ENERO 2026'!Z58="POR RECOGER"),'ENERO 2026'!Q58,"")</f>
        <v>EGL-296</v>
      </c>
      <c r="K54" s="192" t="n">
        <f aca="false">IF(AND('ENERO 2026'!D58&lt;&gt;"",'ENERO 2026'!Z58="POR RECOGER"),'ENERO 2026'!Y58,"")</f>
        <v>0</v>
      </c>
      <c r="L54" s="192" t="str">
        <f aca="false">IF(AND('ENERO 2026'!D58&lt;&gt;"",'ENERO 2026'!Z58="POR RECOGER"),'ENERO 2026'!I58,"")</f>
        <v>YERBABUENA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true" outlineLevel="0" collapsed="false">
      <c r="A55" s="192" t="str">
        <f aca="false">IF(AND('ENERO 2026'!D59&lt;&gt;"",'ENERO 2026'!Z59="POR RECOGER"),"ENE","")</f>
        <v>ENE</v>
      </c>
      <c r="B55" s="192" t="str">
        <f aca="false">IF(AND('ENERO 2026'!D59&lt;&gt;"",'ENERO 2026'!Z59="POR RECOGER"),IF('ENERO 2026'!Y59&lt;&gt;"",'ENERO 2026'!Y59,'ENERO 2026'!I59),"")</f>
        <v>HUAMBO</v>
      </c>
      <c r="C55" s="192" t="str">
        <f aca="false">IF(AND('ENERO 2026'!D59&lt;&gt;"",'ENERO 2026'!Z59="POR RECOGER"),'ENERO 2026'!D59,"")</f>
        <v>HERNANDEZ DE LOPEZ CLOTILDE</v>
      </c>
      <c r="D55" s="192" t="str">
        <f aca="false">IF(AND('ENERO 2026'!D59&lt;&gt;"",'ENERO 2026'!Z59="POR RECOGER"),'ENERO 2026'!F59,"")</f>
        <v>33945367</v>
      </c>
      <c r="E55" s="192" t="str">
        <f aca="false">IF(AND('ENERO 2026'!D59&lt;&gt;"",'ENERO 2026'!Z59="POR RECOGER"),TEXT('ENERO 2026'!G59,"DD/MM/YYYY"),"")</f>
        <v>26/01/2026</v>
      </c>
      <c r="F55" s="192" t="str">
        <f aca="false">IF(AND('ENERO 2026'!D59&lt;&gt;"",'ENERO 2026'!Z59="POR RECOGER"),'ENERO 2026'!K59,"")</f>
        <v>PETROLEO</v>
      </c>
      <c r="G55" s="193" t="n">
        <f aca="false">IF(AND('ENERO 2026'!D59&lt;&gt;"",'ENERO 2026'!Z59="POR RECOGER"),'ENERO 2026'!M59,"")</f>
        <v>3</v>
      </c>
      <c r="H55" s="193" t="n">
        <f aca="false">IF(AND('ENERO 2026'!D59&lt;&gt;"",'ENERO 2026'!Z59="POR RECOGER"),'ENERO 2026'!N59,"")</f>
        <v>60.75</v>
      </c>
      <c r="I55" s="192" t="str">
        <f aca="false">IF(AND('ENERO 2026'!D59&lt;&gt;"",'ENERO 2026'!Z59="POR RECOGER"),'ENERO 2026'!P59,"")</f>
        <v>LOPEZ HOYOS MIGUEL ANGEL</v>
      </c>
      <c r="J55" s="192" t="str">
        <f aca="false">IF(AND('ENERO 2026'!D59&lt;&gt;"",'ENERO 2026'!Z59="POR RECOGER"),'ENERO 2026'!Q59,"")</f>
        <v>EUH-698</v>
      </c>
      <c r="K55" s="192" t="n">
        <f aca="false">IF(AND('ENERO 2026'!D59&lt;&gt;"",'ENERO 2026'!Z59="POR RECOGER"),'ENERO 2026'!Y59,"")</f>
        <v>0</v>
      </c>
      <c r="L55" s="192" t="str">
        <f aca="false">IF(AND('ENERO 2026'!D59&lt;&gt;"",'ENERO 2026'!Z59="POR RECOGER"),'ENERO 2026'!I59,"")</f>
        <v>HUAMBO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true" outlineLevel="0" collapsed="false">
      <c r="A56" s="192" t="str">
        <f aca="false">IF(AND('ENERO 2026'!D60&lt;&gt;"",'ENERO 2026'!Z60="POR RECOGER"),"ENE","")</f>
        <v>ENE</v>
      </c>
      <c r="B56" s="192" t="str">
        <f aca="false">IF(AND('ENERO 2026'!D60&lt;&gt;"",'ENERO 2026'!Z60="POR RECOGER"),IF('ENERO 2026'!Y60&lt;&gt;"",'ENERO 2026'!Y60,'ENERO 2026'!I60),"")</f>
        <v>PEDRO RUIZ GALLO</v>
      </c>
      <c r="C56" s="192" t="str">
        <f aca="false">IF(AND('ENERO 2026'!D60&lt;&gt;"",'ENERO 2026'!Z60="POR RECOGER"),'ENERO 2026'!D60,"")</f>
        <v>DAZA CHASQUIBOL KARINA</v>
      </c>
      <c r="D56" s="192" t="str">
        <f aca="false">IF(AND('ENERO 2026'!D60&lt;&gt;"",'ENERO 2026'!Z60="POR RECOGER"),'ENERO 2026'!F60,"")</f>
        <v>42056398</v>
      </c>
      <c r="E56" s="192" t="str">
        <f aca="false">IF(AND('ENERO 2026'!D60&lt;&gt;"",'ENERO 2026'!Z60="POR RECOGER"),TEXT('ENERO 2026'!G60,"DD/MM/YYYY"),"")</f>
        <v>26/01/2026</v>
      </c>
      <c r="F56" s="192" t="str">
        <f aca="false">IF(AND('ENERO 2026'!D60&lt;&gt;"",'ENERO 2026'!Z60="POR RECOGER"),'ENERO 2026'!K60,"")</f>
        <v>PETROLEO</v>
      </c>
      <c r="G56" s="193" t="n">
        <f aca="false">IF(AND('ENERO 2026'!D60&lt;&gt;"",'ENERO 2026'!Z60="POR RECOGER"),'ENERO 2026'!M60,"")</f>
        <v>5</v>
      </c>
      <c r="H56" s="193" t="n">
        <f aca="false">IF(AND('ENERO 2026'!D60&lt;&gt;"",'ENERO 2026'!Z60="POR RECOGER"),'ENERO 2026'!N60,"")</f>
        <v>90.9</v>
      </c>
      <c r="I56" s="192" t="str">
        <f aca="false">IF(AND('ENERO 2026'!D60&lt;&gt;"",'ENERO 2026'!Z60="POR RECOGER"),'ENERO 2026'!P60,"")</f>
        <v>MONTENEGRO RUIZ LUIS MIGUEL</v>
      </c>
      <c r="J56" s="192" t="str">
        <f aca="false">IF(AND('ENERO 2026'!D60&lt;&gt;"",'ENERO 2026'!Z60="POR RECOGER"),'ENERO 2026'!Q60,"")</f>
        <v>EUH-427</v>
      </c>
      <c r="K56" s="192" t="n">
        <f aca="false">IF(AND('ENERO 2026'!D60&lt;&gt;"",'ENERO 2026'!Z60="POR RECOGER"),'ENERO 2026'!Y60,"")</f>
        <v>0</v>
      </c>
      <c r="L56" s="192" t="str">
        <f aca="false">IF(AND('ENERO 2026'!D60&lt;&gt;"",'ENERO 2026'!Z60="POR RECOGER"),'ENERO 2026'!I60,"")</f>
        <v>PEDRO RUIZ GALLO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true" outlineLevel="0" collapsed="false">
      <c r="A57" s="192" t="str">
        <f aca="false">IF(AND('ENERO 2026'!D61&lt;&gt;"",'ENERO 2026'!Z61="POR RECOGER"),"ENE","")</f>
        <v>ENE</v>
      </c>
      <c r="B57" s="192" t="str">
        <f aca="false">IF(AND('ENERO 2026'!D61&lt;&gt;"",'ENERO 2026'!Z61="POR RECOGER"),IF('ENERO 2026'!Y61&lt;&gt;"",'ENERO 2026'!Y61,'ENERO 2026'!I61),"")</f>
        <v>COLCAMAR</v>
      </c>
      <c r="C57" s="192" t="str">
        <f aca="false">IF(AND('ENERO 2026'!D61&lt;&gt;"",'ENERO 2026'!Z61="POR RECOGER"),'ENERO 2026'!D61,"")</f>
        <v>AGUIRRE CHUQUIPIONDO ELIZABETH</v>
      </c>
      <c r="D57" s="192" t="str">
        <f aca="false">IF(AND('ENERO 2026'!D61&lt;&gt;"",'ENERO 2026'!Z61="POR RECOGER"),'ENERO 2026'!F61,"")</f>
        <v>60229552</v>
      </c>
      <c r="E57" s="192" t="str">
        <f aca="false">IF(AND('ENERO 2026'!D61&lt;&gt;"",'ENERO 2026'!Z61="POR RECOGER"),TEXT('ENERO 2026'!G61,"DD/MM/YYYY"),"")</f>
        <v>27/01/2026</v>
      </c>
      <c r="F57" s="192" t="str">
        <f aca="false">IF(AND('ENERO 2026'!D61&lt;&gt;"",'ENERO 2026'!Z61="POR RECOGER"),'ENERO 2026'!K61,"")</f>
        <v>PETROLEO</v>
      </c>
      <c r="G57" s="193" t="n">
        <f aca="false">IF(AND('ENERO 2026'!D61&lt;&gt;"",'ENERO 2026'!Z61="POR RECOGER"),'ENERO 2026'!M61,"")</f>
        <v>7</v>
      </c>
      <c r="H57" s="193" t="n">
        <f aca="false">IF(AND('ENERO 2026'!D61&lt;&gt;"",'ENERO 2026'!Z61="POR RECOGER"),'ENERO 2026'!N61,"")</f>
        <v>127.26</v>
      </c>
      <c r="I57" s="192" t="str">
        <f aca="false">IF(AND('ENERO 2026'!D61&lt;&gt;"",'ENERO 2026'!Z61="POR RECOGER"),'ENERO 2026'!P61,"")</f>
        <v>BUELOT VISALOT CARLO MAGNO</v>
      </c>
      <c r="J57" s="192" t="str">
        <f aca="false">IF(AND('ENERO 2026'!D61&lt;&gt;"",'ENERO 2026'!Z61="POR RECOGER"),'ENERO 2026'!Q61,"")</f>
        <v>EUD 634</v>
      </c>
      <c r="K57" s="192" t="n">
        <f aca="false">IF(AND('ENERO 2026'!D61&lt;&gt;"",'ENERO 2026'!Z61="POR RECOGER"),'ENERO 2026'!Y61,"")</f>
        <v>0</v>
      </c>
      <c r="L57" s="192" t="str">
        <f aca="false">IF(AND('ENERO 2026'!D61&lt;&gt;"",'ENERO 2026'!Z61="POR RECOGER"),'ENERO 2026'!I61,"")</f>
        <v>COLCAMAR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true" outlineLevel="0" collapsed="false">
      <c r="A58" s="192" t="str">
        <f aca="false">IF(AND('ENERO 2026'!D62&lt;&gt;"",'ENERO 2026'!Z62="POR RECOGER"),"ENE","")</f>
        <v>ENE</v>
      </c>
      <c r="B58" s="192" t="str">
        <f aca="false">IF(AND('ENERO 2026'!D62&lt;&gt;"",'ENERO 2026'!Z62="POR RECOGER"),IF('ENERO 2026'!Y62&lt;&gt;"",'ENERO 2026'!Y62,'ENERO 2026'!I62),"")</f>
        <v>YERBABUENA</v>
      </c>
      <c r="C58" s="192" t="str">
        <f aca="false">IF(AND('ENERO 2026'!D62&lt;&gt;"",'ENERO 2026'!Z62="POR RECOGER"),'ENERO 2026'!D62,"")</f>
        <v>VALLE HIDALGO JULIA CONSUELO</v>
      </c>
      <c r="D58" s="192" t="str">
        <f aca="false">IF(AND('ENERO 2026'!D62&lt;&gt;"",'ENERO 2026'!Z62="POR RECOGER"),'ENERO 2026'!F62,"")</f>
        <v>33421228</v>
      </c>
      <c r="E58" s="192" t="str">
        <f aca="false">IF(AND('ENERO 2026'!D62&lt;&gt;"",'ENERO 2026'!Z62="POR RECOGER"),TEXT('ENERO 2026'!G62,"DD/MM/YYYY"),"")</f>
        <v>29/01/2026</v>
      </c>
      <c r="F58" s="192" t="str">
        <f aca="false">IF(AND('ENERO 2026'!D62&lt;&gt;"",'ENERO 2026'!Z62="POR RECOGER"),'ENERO 2026'!K62,"")</f>
        <v>PETROLEO</v>
      </c>
      <c r="G58" s="193" t="n">
        <f aca="false">IF(AND('ENERO 2026'!D62&lt;&gt;"",'ENERO 2026'!Z62="POR RECOGER"),'ENERO 2026'!M62,"")</f>
        <v>8</v>
      </c>
      <c r="H58" s="193" t="n">
        <f aca="false">IF(AND('ENERO 2026'!D62&lt;&gt;"",'ENERO 2026'!Z62="POR RECOGER"),'ENERO 2026'!N62,"")</f>
        <v>145.44</v>
      </c>
      <c r="I58" s="192" t="str">
        <f aca="false">IF(AND('ENERO 2026'!D62&lt;&gt;"",'ENERO 2026'!Z62="POR RECOGER"),'ENERO 2026'!P62,"")</f>
        <v>SANCHEZ CAJO VICENTE</v>
      </c>
      <c r="J58" s="192" t="str">
        <f aca="false">IF(AND('ENERO 2026'!D62&lt;&gt;"",'ENERO 2026'!Z62="POR RECOGER"),'ENERO 2026'!Q62,"")</f>
        <v>EGL-296</v>
      </c>
      <c r="K58" s="192" t="str">
        <f aca="false">IF(AND('ENERO 2026'!D62&lt;&gt;"",'ENERO 2026'!Z62="POR RECOGER"),'ENERO 2026'!Y62,"")</f>
        <v>YERBABUENA</v>
      </c>
      <c r="L58" s="192" t="str">
        <f aca="false">IF(AND('ENERO 2026'!D62&lt;&gt;"",'ENERO 2026'!Z62="POR RECOGER"),'ENERO 2026'!I62,"")</f>
        <v>DURAZNOPAMPA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true" outlineLevel="0" collapsed="false">
      <c r="A59" s="192" t="str">
        <f aca="false">IF(AND('ENERO 2026'!D63&lt;&gt;"",'ENERO 2026'!Z63="POR RECOGER"),"ENE","")</f>
        <v>ENE</v>
      </c>
      <c r="B59" s="192" t="str">
        <f aca="false">IF(AND('ENERO 2026'!D63&lt;&gt;"",'ENERO 2026'!Z63="POR RECOGER"),IF('ENERO 2026'!Y63&lt;&gt;"",'ENERO 2026'!Y63,'ENERO 2026'!I63),"")</f>
        <v>COLCAMAR</v>
      </c>
      <c r="C59" s="192" t="str">
        <f aca="false">IF(AND('ENERO 2026'!D63&lt;&gt;"",'ENERO 2026'!Z63="POR RECOGER"),'ENERO 2026'!D63,"")</f>
        <v>DIAZ MESIA DIANELIT THALIA</v>
      </c>
      <c r="D59" s="192" t="str">
        <f aca="false">IF(AND('ENERO 2026'!D63&lt;&gt;"",'ENERO 2026'!Z63="POR RECOGER"),'ENERO 2026'!F63,"")</f>
        <v>75729771</v>
      </c>
      <c r="E59" s="192" t="str">
        <f aca="false">IF(AND('ENERO 2026'!D63&lt;&gt;"",'ENERO 2026'!Z63="POR RECOGER"),TEXT('ENERO 2026'!G63,"DD/MM/YYYY"),"")</f>
        <v>29/01/2026</v>
      </c>
      <c r="F59" s="192" t="str">
        <f aca="false">IF(AND('ENERO 2026'!D63&lt;&gt;"",'ENERO 2026'!Z63="POR RECOGER"),'ENERO 2026'!K63,"")</f>
        <v>PETROLEO</v>
      </c>
      <c r="G59" s="193" t="n">
        <f aca="false">IF(AND('ENERO 2026'!D63&lt;&gt;"",'ENERO 2026'!Z63="POR RECOGER"),'ENERO 2026'!M63,"")</f>
        <v>7</v>
      </c>
      <c r="H59" s="193" t="n">
        <f aca="false">IF(AND('ENERO 2026'!D63&lt;&gt;"",'ENERO 2026'!Z63="POR RECOGER"),'ENERO 2026'!N63,"")</f>
        <v>127.26</v>
      </c>
      <c r="I59" s="192" t="str">
        <f aca="false">IF(AND('ENERO 2026'!D63&lt;&gt;"",'ENERO 2026'!Z63="POR RECOGER"),'ENERO 2026'!P63,"")</f>
        <v>BUELOT VISALOT CARLO MAGNO</v>
      </c>
      <c r="J59" s="192" t="str">
        <f aca="false">IF(AND('ENERO 2026'!D63&lt;&gt;"",'ENERO 2026'!Z63="POR RECOGER"),'ENERO 2026'!Q63,"")</f>
        <v>EUD 634</v>
      </c>
      <c r="K59" s="192" t="n">
        <f aca="false">IF(AND('ENERO 2026'!D63&lt;&gt;"",'ENERO 2026'!Z63="POR RECOGER"),'ENERO 2026'!Y63,"")</f>
        <v>0</v>
      </c>
      <c r="L59" s="192" t="str">
        <f aca="false">IF(AND('ENERO 2026'!D63&lt;&gt;"",'ENERO 2026'!Z63="POR RECOGER"),'ENERO 2026'!I63,"")</f>
        <v>COLCAMAR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true" outlineLevel="0" collapsed="false">
      <c r="A60" s="192" t="str">
        <f aca="false">IF(AND('ENERO 2026'!D64&lt;&gt;"",'ENERO 2026'!Z64="POR RECOGER"),"ENE","")</f>
        <v>ENE</v>
      </c>
      <c r="B60" s="192" t="str">
        <f aca="false">IF(AND('ENERO 2026'!D64&lt;&gt;"",'ENERO 2026'!Z64="POR RECOGER"),IF('ENERO 2026'!Y64&lt;&gt;"",'ENERO 2026'!Y64,'ENERO 2026'!I64),"")</f>
        <v>PEDRO RUIZ GALLO</v>
      </c>
      <c r="C60" s="192" t="str">
        <f aca="false">IF(AND('ENERO 2026'!D64&lt;&gt;"",'ENERO 2026'!Z64="POR RECOGER"),'ENERO 2026'!D64,"")</f>
        <v>TORRES CANTA FRANCE YOSELIN</v>
      </c>
      <c r="D60" s="192" t="str">
        <f aca="false">IF(AND('ENERO 2026'!D64&lt;&gt;"",'ENERO 2026'!Z64="POR RECOGER"),'ENERO 2026'!F64,"")</f>
        <v>76059052</v>
      </c>
      <c r="E60" s="192" t="str">
        <f aca="false">IF(AND('ENERO 2026'!D64&lt;&gt;"",'ENERO 2026'!Z64="POR RECOGER"),TEXT('ENERO 2026'!G64,"DD/MM/YYYY"),"")</f>
        <v>29/01/2026</v>
      </c>
      <c r="F60" s="192" t="str">
        <f aca="false">IF(AND('ENERO 2026'!D64&lt;&gt;"",'ENERO 2026'!Z64="POR RECOGER"),'ENERO 2026'!K64,"")</f>
        <v>PETROLEO</v>
      </c>
      <c r="G60" s="193" t="n">
        <f aca="false">IF(AND('ENERO 2026'!D64&lt;&gt;"",'ENERO 2026'!Z64="POR RECOGER"),'ENERO 2026'!M64,"")</f>
        <v>5</v>
      </c>
      <c r="H60" s="193" t="n">
        <f aca="false">IF(AND('ENERO 2026'!D64&lt;&gt;"",'ENERO 2026'!Z64="POR RECOGER"),'ENERO 2026'!N64,"")</f>
        <v>90.9</v>
      </c>
      <c r="I60" s="192" t="str">
        <f aca="false">IF(AND('ENERO 2026'!D64&lt;&gt;"",'ENERO 2026'!Z64="POR RECOGER"),'ENERO 2026'!P64,"")</f>
        <v>MONTENEGRO RUIZ LUIS MIGUEL</v>
      </c>
      <c r="J60" s="192" t="str">
        <f aca="false">IF(AND('ENERO 2026'!D64&lt;&gt;"",'ENERO 2026'!Z64="POR RECOGER"),'ENERO 2026'!Q64,"")</f>
        <v>EUH-427</v>
      </c>
      <c r="K60" s="192" t="n">
        <f aca="false">IF(AND('ENERO 2026'!D64&lt;&gt;"",'ENERO 2026'!Z64="POR RECOGER"),'ENERO 2026'!Y64,"")</f>
        <v>0</v>
      </c>
      <c r="L60" s="192" t="str">
        <f aca="false">IF(AND('ENERO 2026'!D64&lt;&gt;"",'ENERO 2026'!Z64="POR RECOGER"),'ENERO 2026'!I64,"")</f>
        <v>PEDRO RUIZ GALLO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true" outlineLevel="0" collapsed="false">
      <c r="A61" s="192" t="str">
        <f aca="false">IF(AND('ENERO 2026'!D65&lt;&gt;"",'ENERO 2026'!Z65="POR RECOGER"),"ENE","")</f>
        <v>ENE</v>
      </c>
      <c r="B61" s="192" t="str">
        <f aca="false">IF(AND('ENERO 2026'!D65&lt;&gt;"",'ENERO 2026'!Z65="POR RECOGER"),IF('ENERO 2026'!Y65&lt;&gt;"",'ENERO 2026'!Y65,'ENERO 2026'!I65),"")</f>
        <v>MARIA AUXILIADORA</v>
      </c>
      <c r="C61" s="192" t="str">
        <f aca="false">IF(AND('ENERO 2026'!D65&lt;&gt;"",'ENERO 2026'!Z65="POR RECOGER"),'ENERO 2026'!D65,"")</f>
        <v>MUÑOZ BUSTAMANTE MARINA MELANIA</v>
      </c>
      <c r="D61" s="192" t="str">
        <f aca="false">IF(AND('ENERO 2026'!D65&lt;&gt;"",'ENERO 2026'!Z65="POR RECOGER"),'ENERO 2026'!F65,"")</f>
        <v>47349553</v>
      </c>
      <c r="E61" s="192" t="str">
        <f aca="false">IF(AND('ENERO 2026'!D65&lt;&gt;"",'ENERO 2026'!Z65="POR RECOGER"),TEXT('ENERO 2026'!G65,"DD/MM/YYYY"),"")</f>
        <v>29/01/2026</v>
      </c>
      <c r="F61" s="192" t="str">
        <f aca="false">IF(AND('ENERO 2026'!D65&lt;&gt;"",'ENERO 2026'!Z65="POR RECOGER"),'ENERO 2026'!K65,"")</f>
        <v>PETROLEO</v>
      </c>
      <c r="G61" s="193" t="n">
        <f aca="false">IF(AND('ENERO 2026'!D65&lt;&gt;"",'ENERO 2026'!Z65="POR RECOGER"),'ENERO 2026'!M65,"")</f>
        <v>7.5</v>
      </c>
      <c r="H61" s="193" t="n">
        <f aca="false">IF(AND('ENERO 2026'!D65&lt;&gt;"",'ENERO 2026'!Z65="POR RECOGER"),'ENERO 2026'!N65,"")</f>
        <v>151.875</v>
      </c>
      <c r="I61" s="192" t="str">
        <f aca="false">IF(AND('ENERO 2026'!D65&lt;&gt;"",'ENERO 2026'!Z65="POR RECOGER"),'ENERO 2026'!P65,"")</f>
        <v>SERNAQUE PELAEZ WILMER</v>
      </c>
      <c r="J61" s="192" t="str">
        <f aca="false">IF(AND('ENERO 2026'!D65&lt;&gt;"",'ENERO 2026'!Z65="POR RECOGER"),'ENERO 2026'!Q65,"")</f>
        <v>EUH-421</v>
      </c>
      <c r="K61" s="192" t="n">
        <f aca="false">IF(AND('ENERO 2026'!D65&lt;&gt;"",'ENERO 2026'!Z65="POR RECOGER"),'ENERO 2026'!Y65,"")</f>
        <v>0</v>
      </c>
      <c r="L61" s="192" t="str">
        <f aca="false">IF(AND('ENERO 2026'!D65&lt;&gt;"",'ENERO 2026'!Z65="POR RECOGER"),'ENERO 2026'!I65,"")</f>
        <v>MARIA AUXILIADORA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true" outlineLevel="0" collapsed="false">
      <c r="A62" s="192" t="str">
        <f aca="false">IF(AND('ENERO 2026'!D66&lt;&gt;"",'ENERO 2026'!Z66="POR RECOGER"),"ENE","")</f>
        <v>ENE</v>
      </c>
      <c r="B62" s="192" t="str">
        <f aca="false">IF(AND('ENERO 2026'!D66&lt;&gt;"",'ENERO 2026'!Z66="POR RECOGER"),IF('ENERO 2026'!Y66&lt;&gt;"",'ENERO 2026'!Y66,'ENERO 2026'!I66),"")</f>
        <v>HUAMBO</v>
      </c>
      <c r="C62" s="192" t="str">
        <f aca="false">IF(AND('ENERO 2026'!D66&lt;&gt;"",'ENERO 2026'!Z66="POR RECOGER"),'ENERO 2026'!D66,"")</f>
        <v>PORTOCARRERO PORTOCARRERO MARIA</v>
      </c>
      <c r="D62" s="192" t="str">
        <f aca="false">IF(AND('ENERO 2026'!D66&lt;&gt;"",'ENERO 2026'!Z66="POR RECOGER"),'ENERO 2026'!F66,"")</f>
        <v>46109691</v>
      </c>
      <c r="E62" s="192" t="str">
        <f aca="false">IF(AND('ENERO 2026'!D66&lt;&gt;"",'ENERO 2026'!Z66="POR RECOGER"),TEXT('ENERO 2026'!G66,"DD/MM/YYYY"),"")</f>
        <v>21/01/2026</v>
      </c>
      <c r="F62" s="192" t="str">
        <f aca="false">IF(AND('ENERO 2026'!D66&lt;&gt;"",'ENERO 2026'!Z66="POR RECOGER"),'ENERO 2026'!K66,"")</f>
        <v>PETROLEO</v>
      </c>
      <c r="G62" s="193" t="n">
        <f aca="false">IF(AND('ENERO 2026'!D66&lt;&gt;"",'ENERO 2026'!Z66="POR RECOGER"),'ENERO 2026'!M66,"")</f>
        <v>3</v>
      </c>
      <c r="H62" s="193" t="n">
        <f aca="false">IF(AND('ENERO 2026'!D66&lt;&gt;"",'ENERO 2026'!Z66="POR RECOGER"),'ENERO 2026'!N66,"")</f>
        <v>60.75</v>
      </c>
      <c r="I62" s="192" t="str">
        <f aca="false">IF(AND('ENERO 2026'!D66&lt;&gt;"",'ENERO 2026'!Z66="POR RECOGER"),'ENERO 2026'!P66,"")</f>
        <v>LOPEZ HOYOS MIGUEL ANGEL</v>
      </c>
      <c r="J62" s="192" t="str">
        <f aca="false">IF(AND('ENERO 2026'!D66&lt;&gt;"",'ENERO 2026'!Z66="POR RECOGER"),'ENERO 2026'!Q66,"")</f>
        <v>EUH-698</v>
      </c>
      <c r="K62" s="192" t="n">
        <f aca="false">IF(AND('ENERO 2026'!D66&lt;&gt;"",'ENERO 2026'!Z66="POR RECOGER"),'ENERO 2026'!Y66,"")</f>
        <v>0</v>
      </c>
      <c r="L62" s="192" t="str">
        <f aca="false">IF(AND('ENERO 2026'!D66&lt;&gt;"",'ENERO 2026'!Z66="POR RECOGER"),'ENERO 2026'!I66,"")</f>
        <v>HUAMBO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true" outlineLevel="0" collapsed="false">
      <c r="A63" s="192" t="str">
        <f aca="false">IF(AND('ENERO 2026'!D67&lt;&gt;"",'ENERO 2026'!Z67="POR RECOGER"),"ENE","")</f>
        <v>ENE</v>
      </c>
      <c r="B63" s="192" t="str">
        <f aca="false">IF(AND('ENERO 2026'!D67&lt;&gt;"",'ENERO 2026'!Z67="POR RECOGER"),IF('ENERO 2026'!Y67&lt;&gt;"",'ENERO 2026'!Y67,'ENERO 2026'!I67),"")</f>
        <v>LAMUD</v>
      </c>
      <c r="C63" s="192" t="str">
        <f aca="false">IF(AND('ENERO 2026'!D67&lt;&gt;"",'ENERO 2026'!Z67="POR RECOGER"),'ENERO 2026'!D67,"")</f>
        <v>VALLEJOS FERNANDEZ SEILI DEL CARMEN</v>
      </c>
      <c r="D63" s="192" t="str">
        <f aca="false">IF(AND('ENERO 2026'!D67&lt;&gt;"",'ENERO 2026'!Z67="POR RECOGER"),'ENERO 2026'!F67,"")</f>
        <v>76650410</v>
      </c>
      <c r="E63" s="192" t="str">
        <f aca="false">IF(AND('ENERO 2026'!D67&lt;&gt;"",'ENERO 2026'!Z67="POR RECOGER"),TEXT('ENERO 2026'!G67,"DD/MM/YYYY"),"")</f>
        <v>19/01/2026</v>
      </c>
      <c r="F63" s="192" t="str">
        <f aca="false">IF(AND('ENERO 2026'!D67&lt;&gt;"",'ENERO 2026'!Z67="POR RECOGER"),'ENERO 2026'!K67,"")</f>
        <v>PETROLEO</v>
      </c>
      <c r="G63" s="193" t="n">
        <f aca="false">IF(AND('ENERO 2026'!D67&lt;&gt;"",'ENERO 2026'!Z67="POR RECOGER"),'ENERO 2026'!M67,"")</f>
        <v>4</v>
      </c>
      <c r="H63" s="193" t="n">
        <f aca="false">IF(AND('ENERO 2026'!D67&lt;&gt;"",'ENERO 2026'!Z67="POR RECOGER"),'ENERO 2026'!N67,"")</f>
        <v>72.72</v>
      </c>
      <c r="I63" s="192" t="str">
        <f aca="false">IF(AND('ENERO 2026'!D67&lt;&gt;"",'ENERO 2026'!Z67="POR RECOGER"),'ENERO 2026'!P67,"")</f>
        <v>DANIEL ZELADA TRUJILLO</v>
      </c>
      <c r="J63" s="192" t="str">
        <f aca="false">IF(AND('ENERO 2026'!D67&lt;&gt;"",'ENERO 2026'!Z67="POR RECOGER"),'ENERO 2026'!Q67,"")</f>
        <v>EUA-963</v>
      </c>
      <c r="K63" s="192" t="n">
        <f aca="false">IF(AND('ENERO 2026'!D67&lt;&gt;"",'ENERO 2026'!Z67="POR RECOGER"),'ENERO 2026'!Y67,"")</f>
        <v>0</v>
      </c>
      <c r="L63" s="192" t="str">
        <f aca="false">IF(AND('ENERO 2026'!D67&lt;&gt;"",'ENERO 2026'!Z67="POR RECOGER"),'ENERO 2026'!I67,"")</f>
        <v>LAMUD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true" outlineLevel="0" collapsed="false">
      <c r="A64" s="192" t="str">
        <f aca="false">IF(AND('ENERO 2026'!D68&lt;&gt;"",'ENERO 2026'!Z68="POR RECOGER"),"ENE","")</f>
        <v>ENE</v>
      </c>
      <c r="B64" s="192" t="str">
        <f aca="false">IF(AND('ENERO 2026'!D68&lt;&gt;"",'ENERO 2026'!Z68="POR RECOGER"),IF('ENERO 2026'!Y68&lt;&gt;"",'ENERO 2026'!Y68,'ENERO 2026'!I68),"")</f>
        <v>LAMUD</v>
      </c>
      <c r="C64" s="192" t="str">
        <f aca="false">IF(AND('ENERO 2026'!D68&lt;&gt;"",'ENERO 2026'!Z68="POR RECOGER"),'ENERO 2026'!D68,"")</f>
        <v>GOMEZ GOMEZ MAYCOL LLAMPIER</v>
      </c>
      <c r="D64" s="192" t="str">
        <f aca="false">IF(AND('ENERO 2026'!D68&lt;&gt;"",'ENERO 2026'!Z68="POR RECOGER"),'ENERO 2026'!F68,"")</f>
        <v>60032138</v>
      </c>
      <c r="E64" s="192" t="str">
        <f aca="false">IF(AND('ENERO 2026'!D68&lt;&gt;"",'ENERO 2026'!Z68="POR RECOGER"),TEXT('ENERO 2026'!G68,"DD/MM/YYYY"),"")</f>
        <v>23/01/2026</v>
      </c>
      <c r="F64" s="192" t="str">
        <f aca="false">IF(AND('ENERO 2026'!D68&lt;&gt;"",'ENERO 2026'!Z68="POR RECOGER"),'ENERO 2026'!K68,"")</f>
        <v>PETROLEO</v>
      </c>
      <c r="G64" s="193" t="n">
        <f aca="false">IF(AND('ENERO 2026'!D68&lt;&gt;"",'ENERO 2026'!Z68="POR RECOGER"),'ENERO 2026'!M68,"")</f>
        <v>4</v>
      </c>
      <c r="H64" s="193" t="n">
        <f aca="false">IF(AND('ENERO 2026'!D68&lt;&gt;"",'ENERO 2026'!Z68="POR RECOGER"),'ENERO 2026'!N68,"")</f>
        <v>72.72</v>
      </c>
      <c r="I64" s="192" t="str">
        <f aca="false">IF(AND('ENERO 2026'!D68&lt;&gt;"",'ENERO 2026'!Z68="POR RECOGER"),'ENERO 2026'!P68,"")</f>
        <v>RUFASTO CHUQUIZUTA JUAN KAROOL</v>
      </c>
      <c r="J64" s="192" t="str">
        <f aca="false">IF(AND('ENERO 2026'!D68&lt;&gt;"",'ENERO 2026'!Z68="POR RECOGER"),'ENERO 2026'!Q68,"")</f>
        <v>EUA963</v>
      </c>
      <c r="K64" s="192" t="n">
        <f aca="false">IF(AND('ENERO 2026'!D68&lt;&gt;"",'ENERO 2026'!Z68="POR RECOGER"),'ENERO 2026'!Y68,"")</f>
        <v>0</v>
      </c>
      <c r="L64" s="192" t="str">
        <f aca="false">IF(AND('ENERO 2026'!D68&lt;&gt;"",'ENERO 2026'!Z68="POR RECOGER"),'ENERO 2026'!I68,"")</f>
        <v>LAMUD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true" outlineLevel="0" collapsed="false">
      <c r="A65" s="192" t="str">
        <f aca="false">IF(AND('ENERO 2026'!D69&lt;&gt;"",'ENERO 2026'!Z69="POR RECOGER"),"ENE","")</f>
        <v>ENE</v>
      </c>
      <c r="B65" s="192" t="str">
        <f aca="false">IF(AND('ENERO 2026'!D69&lt;&gt;"",'ENERO 2026'!Z69="POR RECOGER"),IF('ENERO 2026'!Y69&lt;&gt;"",'ENERO 2026'!Y69,'ENERO 2026'!I69),"")</f>
        <v>LAMUD</v>
      </c>
      <c r="C65" s="192" t="str">
        <f aca="false">IF(AND('ENERO 2026'!D69&lt;&gt;"",'ENERO 2026'!Z69="POR RECOGER"),'ENERO 2026'!D69,"")</f>
        <v>SANTILLAN YALTA SEGUNDO MELQUIADES</v>
      </c>
      <c r="D65" s="192" t="str">
        <f aca="false">IF(AND('ENERO 2026'!D69&lt;&gt;"",'ENERO 2026'!Z69="POR RECOGER"),'ENERO 2026'!F69,"")</f>
        <v>41690429</v>
      </c>
      <c r="E65" s="192" t="str">
        <f aca="false">IF(AND('ENERO 2026'!D69&lt;&gt;"",'ENERO 2026'!Z69="POR RECOGER"),TEXT('ENERO 2026'!G69,"DD/MM/YYYY"),"")</f>
        <v>28/01/2026</v>
      </c>
      <c r="F65" s="192" t="str">
        <f aca="false">IF(AND('ENERO 2026'!D69&lt;&gt;"",'ENERO 2026'!Z69="POR RECOGER"),'ENERO 2026'!K69,"")</f>
        <v>PETROLEO</v>
      </c>
      <c r="G65" s="193" t="n">
        <f aca="false">IF(AND('ENERO 2026'!D69&lt;&gt;"",'ENERO 2026'!Z69="POR RECOGER"),'ENERO 2026'!M69,"")</f>
        <v>4</v>
      </c>
      <c r="H65" s="193" t="n">
        <f aca="false">IF(AND('ENERO 2026'!D69&lt;&gt;"",'ENERO 2026'!Z69="POR RECOGER"),'ENERO 2026'!N69,"")</f>
        <v>72.72</v>
      </c>
      <c r="I65" s="192" t="str">
        <f aca="false">IF(AND('ENERO 2026'!D69&lt;&gt;"",'ENERO 2026'!Z69="POR RECOGER"),'ENERO 2026'!P69,"")</f>
        <v>DANIEL ZELADA TRUJILLO</v>
      </c>
      <c r="J65" s="192" t="str">
        <f aca="false">IF(AND('ENERO 2026'!D69&lt;&gt;"",'ENERO 2026'!Z69="POR RECOGER"),'ENERO 2026'!Q69,"")</f>
        <v>EUA-963</v>
      </c>
      <c r="K65" s="192" t="n">
        <f aca="false">IF(AND('ENERO 2026'!D69&lt;&gt;"",'ENERO 2026'!Z69="POR RECOGER"),'ENERO 2026'!Y69,"")</f>
        <v>0</v>
      </c>
      <c r="L65" s="192" t="str">
        <f aca="false">IF(AND('ENERO 2026'!D69&lt;&gt;"",'ENERO 2026'!Z69="POR RECOGER"),'ENERO 2026'!I69,"")</f>
        <v>LAMUD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true" outlineLevel="0" collapsed="false">
      <c r="A66" s="192" t="str">
        <f aca="false">IF(AND('ENERO 2026'!D70&lt;&gt;"",'ENERO 2026'!Z70="POR RECOGER"),"ENE","")</f>
        <v>ENE</v>
      </c>
      <c r="B66" s="192" t="str">
        <f aca="false">IF(AND('ENERO 2026'!D70&lt;&gt;"",'ENERO 2026'!Z70="POR RECOGER"),IF('ENERO 2026'!Y70&lt;&gt;"",'ENERO 2026'!Y70,'ENERO 2026'!I70),"")</f>
        <v>CHUQUIBAMBA</v>
      </c>
      <c r="C66" s="192" t="str">
        <f aca="false">IF(AND('ENERO 2026'!D70&lt;&gt;"",'ENERO 2026'!Z70="POR RECOGER"),'ENERO 2026'!D70,"")</f>
        <v>RODRIGUEZ CHAVEZ RELI JHUDIT</v>
      </c>
      <c r="D66" s="192" t="str">
        <f aca="false">IF(AND('ENERO 2026'!D70&lt;&gt;"",'ENERO 2026'!Z70="POR RECOGER"),'ENERO 2026'!F70,"")</f>
        <v>48765807</v>
      </c>
      <c r="E66" s="192" t="str">
        <f aca="false">IF(AND('ENERO 2026'!D70&lt;&gt;"",'ENERO 2026'!Z70="POR RECOGER"),TEXT('ENERO 2026'!G70,"DD/MM/YYYY"),"")</f>
        <v>16/01/2026</v>
      </c>
      <c r="F66" s="192" t="str">
        <f aca="false">IF(AND('ENERO 2026'!D70&lt;&gt;"",'ENERO 2026'!Z70="POR RECOGER"),'ENERO 2026'!K70,"")</f>
        <v>PETROLEO</v>
      </c>
      <c r="G66" s="193" t="n">
        <f aca="false">IF(AND('ENERO 2026'!D70&lt;&gt;"",'ENERO 2026'!Z70="POR RECOGER"),'ENERO 2026'!M70,"")</f>
        <v>15</v>
      </c>
      <c r="H66" s="193" t="n">
        <f aca="false">IF(AND('ENERO 2026'!D70&lt;&gt;"",'ENERO 2026'!Z70="POR RECOGER"),'ENERO 2026'!N70,"")</f>
        <v>272.7</v>
      </c>
      <c r="I66" s="192" t="str">
        <f aca="false">IF(AND('ENERO 2026'!D70&lt;&gt;"",'ENERO 2026'!Z70="POR RECOGER"),'ENERO 2026'!P70,"")</f>
        <v>ABANTO VALDIVIA HANS MIKKEL</v>
      </c>
      <c r="J66" s="192" t="str">
        <f aca="false">IF(AND('ENERO 2026'!D70&lt;&gt;"",'ENERO 2026'!Z70="POR RECOGER"),'ENERO 2026'!Q70,"")</f>
        <v>EUH 640</v>
      </c>
      <c r="K66" s="192" t="n">
        <f aca="false">IF(AND('ENERO 2026'!D70&lt;&gt;"",'ENERO 2026'!Z70="POR RECOGER"),'ENERO 2026'!Y70,"")</f>
        <v>0</v>
      </c>
      <c r="L66" s="192" t="str">
        <f aca="false">IF(AND('ENERO 2026'!D70&lt;&gt;"",'ENERO 2026'!Z70="POR RECOGER"),'ENERO 2026'!I70,"")</f>
        <v>CHUQUIBAMBA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true" outlineLevel="0" collapsed="false">
      <c r="A67" s="192" t="str">
        <f aca="false">IF(AND('ENERO 2026'!D71&lt;&gt;"",'ENERO 2026'!Z71="POR RECOGER"),"ENE","")</f>
        <v>ENE</v>
      </c>
      <c r="B67" s="192" t="str">
        <f aca="false">IF(AND('ENERO 2026'!D71&lt;&gt;"",'ENERO 2026'!Z71="POR RECOGER"),IF('ENERO 2026'!Y71&lt;&gt;"",'ENERO 2026'!Y71,'ENERO 2026'!I71),"")</f>
        <v>PEDRO RUIZ GALLO</v>
      </c>
      <c r="C67" s="192" t="str">
        <f aca="false">IF(AND('ENERO 2026'!D71&lt;&gt;"",'ENERO 2026'!Z71="POR RECOGER"),'ENERO 2026'!D71,"")</f>
        <v>ESPARRAGA CASTILLO KEYNE MICHEL</v>
      </c>
      <c r="D67" s="192" t="str">
        <f aca="false">IF(AND('ENERO 2026'!D71&lt;&gt;"",'ENERO 2026'!Z71="POR RECOGER"),'ENERO 2026'!F71,"")</f>
        <v>94051643</v>
      </c>
      <c r="E67" s="192" t="str">
        <f aca="false">IF(AND('ENERO 2026'!D71&lt;&gt;"",'ENERO 2026'!Z71="POR RECOGER"),TEXT('ENERO 2026'!G71,"DD/MM/YYYY"),"")</f>
        <v>15/01/2026</v>
      </c>
      <c r="F67" s="192" t="str">
        <f aca="false">IF(AND('ENERO 2026'!D71&lt;&gt;"",'ENERO 2026'!Z71="POR RECOGER"),'ENERO 2026'!K71,"")</f>
        <v>PETROLEO</v>
      </c>
      <c r="G67" s="193" t="n">
        <f aca="false">IF(AND('ENERO 2026'!D71&lt;&gt;"",'ENERO 2026'!Z71="POR RECOGER"),'ENERO 2026'!M71,"")</f>
        <v>5</v>
      </c>
      <c r="H67" s="193" t="n">
        <f aca="false">IF(AND('ENERO 2026'!D71&lt;&gt;"",'ENERO 2026'!Z71="POR RECOGER"),'ENERO 2026'!N71,"")</f>
        <v>90.9</v>
      </c>
      <c r="I67" s="192" t="str">
        <f aca="false">IF(AND('ENERO 2026'!D71&lt;&gt;"",'ENERO 2026'!Z71="POR RECOGER"),'ENERO 2026'!P71,"")</f>
        <v>MUNOZ VERGARAY JORGE ENRRIQUE</v>
      </c>
      <c r="J67" s="192" t="str">
        <f aca="false">IF(AND('ENERO 2026'!D71&lt;&gt;"",'ENERO 2026'!Z71="POR RECOGER"),'ENERO 2026'!Q71,"")</f>
        <v>EUH 427</v>
      </c>
      <c r="K67" s="192" t="n">
        <f aca="false">IF(AND('ENERO 2026'!D71&lt;&gt;"",'ENERO 2026'!Z71="POR RECOGER"),'ENERO 2026'!Y71,"")</f>
        <v>0</v>
      </c>
      <c r="L67" s="192" t="str">
        <f aca="false">IF(AND('ENERO 2026'!D71&lt;&gt;"",'ENERO 2026'!Z71="POR RECOGER"),'ENERO 2026'!I71,"")</f>
        <v>PEDRO RUIZ GALLO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true" outlineLevel="0" collapsed="false">
      <c r="A68" s="192" t="str">
        <f aca="false">IF(AND('ENERO 2026'!D72&lt;&gt;"",'ENERO 2026'!Z72="POR RECOGER"),"ENE","")</f>
        <v>ENE</v>
      </c>
      <c r="B68" s="192" t="str">
        <f aca="false">IF(AND('ENERO 2026'!D72&lt;&gt;"",'ENERO 2026'!Z72="POR RECOGER"),IF('ENERO 2026'!Y72&lt;&gt;"",'ENERO 2026'!Y72,'ENERO 2026'!I72),"")</f>
        <v>OCALLI</v>
      </c>
      <c r="C68" s="192" t="str">
        <f aca="false">IF(AND('ENERO 2026'!D72&lt;&gt;"",'ENERO 2026'!Z72="POR RECOGER"),'ENERO 2026'!D72,"")</f>
        <v>VALLEJOS FUENTES ROYMER</v>
      </c>
      <c r="D68" s="192" t="str">
        <f aca="false">IF(AND('ENERO 2026'!D72&lt;&gt;"",'ENERO 2026'!Z72="POR RECOGER"),'ENERO 2026'!F72,"")</f>
        <v>41151923</v>
      </c>
      <c r="E68" s="192" t="str">
        <f aca="false">IF(AND('ENERO 2026'!D72&lt;&gt;"",'ENERO 2026'!Z72="POR RECOGER"),TEXT('ENERO 2026'!G72,"DD/MM/YYYY"),"")</f>
        <v>25/01/2026</v>
      </c>
      <c r="F68" s="192" t="str">
        <f aca="false">IF(AND('ENERO 2026'!D72&lt;&gt;"",'ENERO 2026'!Z72="POR RECOGER"),'ENERO 2026'!K72,"")</f>
        <v>PETROLEO</v>
      </c>
      <c r="G68" s="193" t="n">
        <f aca="false">IF(AND('ENERO 2026'!D72&lt;&gt;"",'ENERO 2026'!Z72="POR RECOGER"),'ENERO 2026'!M72,"")</f>
        <v>20</v>
      </c>
      <c r="H68" s="193" t="n">
        <f aca="false">IF(AND('ENERO 2026'!D72&lt;&gt;"",'ENERO 2026'!Z72="POR RECOGER"),'ENERO 2026'!N72,"")</f>
        <v>363.6</v>
      </c>
      <c r="I68" s="192" t="str">
        <f aca="false">IF(AND('ENERO 2026'!D72&lt;&gt;"",'ENERO 2026'!Z72="POR RECOGER"),'ENERO 2026'!P72,"")</f>
        <v>ALBERTO FARRO PEREZ</v>
      </c>
      <c r="J68" s="192" t="str">
        <f aca="false">IF(AND('ENERO 2026'!D72&lt;&gt;"",'ENERO 2026'!Z72="POR RECOGER"),'ENERO 2026'!Q72,"")</f>
        <v>EGO-124</v>
      </c>
      <c r="K68" s="192" t="n">
        <f aca="false">IF(AND('ENERO 2026'!D72&lt;&gt;"",'ENERO 2026'!Z72="POR RECOGER"),'ENERO 2026'!Y72,"")</f>
        <v>0</v>
      </c>
      <c r="L68" s="192" t="str">
        <f aca="false">IF(AND('ENERO 2026'!D72&lt;&gt;"",'ENERO 2026'!Z72="POR RECOGER"),'ENERO 2026'!I72,"")</f>
        <v>OCALLI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true" outlineLevel="0" collapsed="false">
      <c r="A69" s="192" t="str">
        <f aca="false">IF(AND('ENERO 2026'!D73&lt;&gt;"",'ENERO 2026'!Z73="POR RECOGER"),"ENE","")</f>
        <v>ENE</v>
      </c>
      <c r="B69" s="192" t="str">
        <f aca="false">IF(AND('ENERO 2026'!D73&lt;&gt;"",'ENERO 2026'!Z73="POR RECOGER"),IF('ENERO 2026'!Y73&lt;&gt;"",'ENERO 2026'!Y73,'ENERO 2026'!I73),"")</f>
        <v>OCALLI</v>
      </c>
      <c r="C69" s="192" t="str">
        <f aca="false">IF(AND('ENERO 2026'!D73&lt;&gt;"",'ENERO 2026'!Z73="POR RECOGER"),'ENERO 2026'!D73,"")</f>
        <v>GUADALUPE MELENDEZ SILVIA MERCEDES</v>
      </c>
      <c r="D69" s="192" t="str">
        <f aca="false">IF(AND('ENERO 2026'!D73&lt;&gt;"",'ENERO 2026'!Z73="POR RECOGER"),'ENERO 2026'!F73,"")</f>
        <v>80399218</v>
      </c>
      <c r="E69" s="192" t="str">
        <f aca="false">IF(AND('ENERO 2026'!D73&lt;&gt;"",'ENERO 2026'!Z73="POR RECOGER"),TEXT('ENERO 2026'!G73,"DD/MM/YYYY"),"")</f>
        <v>15/01/2026</v>
      </c>
      <c r="F69" s="192" t="str">
        <f aca="false">IF(AND('ENERO 2026'!D73&lt;&gt;"",'ENERO 2026'!Z73="POR RECOGER"),'ENERO 2026'!K73,"")</f>
        <v>PETROLEO</v>
      </c>
      <c r="G69" s="193" t="n">
        <f aca="false">IF(AND('ENERO 2026'!D73&lt;&gt;"",'ENERO 2026'!Z73="POR RECOGER"),'ENERO 2026'!M73,"")</f>
        <v>20</v>
      </c>
      <c r="H69" s="193" t="n">
        <f aca="false">IF(AND('ENERO 2026'!D73&lt;&gt;"",'ENERO 2026'!Z73="POR RECOGER"),'ENERO 2026'!N73,"")</f>
        <v>363.6</v>
      </c>
      <c r="I69" s="192" t="str">
        <f aca="false">IF(AND('ENERO 2026'!D73&lt;&gt;"",'ENERO 2026'!Z73="POR RECOGER"),'ENERO 2026'!P73,"")</f>
        <v>ALBERTO FARRO PEREZ</v>
      </c>
      <c r="J69" s="192" t="str">
        <f aca="false">IF(AND('ENERO 2026'!D73&lt;&gt;"",'ENERO 2026'!Z73="POR RECOGER"),'ENERO 2026'!Q73,"")</f>
        <v>EGO-124</v>
      </c>
      <c r="K69" s="192" t="n">
        <f aca="false">IF(AND('ENERO 2026'!D73&lt;&gt;"",'ENERO 2026'!Z73="POR RECOGER"),'ENERO 2026'!Y73,"")</f>
        <v>0</v>
      </c>
      <c r="L69" s="192" t="str">
        <f aca="false">IF(AND('ENERO 2026'!D73&lt;&gt;"",'ENERO 2026'!Z73="POR RECOGER"),'ENERO 2026'!I73,"")</f>
        <v>OCALLI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true" outlineLevel="0" collapsed="false">
      <c r="A70" s="192" t="str">
        <f aca="false">IF(AND('ENERO 2026'!D74&lt;&gt;"",'ENERO 2026'!Z74="POR RECOGER"),"ENE","")</f>
        <v>ENE</v>
      </c>
      <c r="B70" s="192" t="str">
        <f aca="false">IF(AND('ENERO 2026'!D74&lt;&gt;"",'ENERO 2026'!Z74="POR RECOGER"),IF('ENERO 2026'!Y74&lt;&gt;"",'ENERO 2026'!Y74,'ENERO 2026'!I74),"")</f>
        <v>POMACOCHAS</v>
      </c>
      <c r="C70" s="192" t="str">
        <f aca="false">IF(AND('ENERO 2026'!D74&lt;&gt;"",'ENERO 2026'!Z74="POR RECOGER"),'ENERO 2026'!D74,"")</f>
        <v>LOPEZ RAMOS YOBANITA</v>
      </c>
      <c r="D70" s="192" t="str">
        <f aca="false">IF(AND('ENERO 2026'!D74&lt;&gt;"",'ENERO 2026'!Z74="POR RECOGER"),'ENERO 2026'!F74,"")</f>
        <v>61683414</v>
      </c>
      <c r="E70" s="192" t="str">
        <f aca="false">IF(AND('ENERO 2026'!D74&lt;&gt;"",'ENERO 2026'!Z74="POR RECOGER"),TEXT('ENERO 2026'!G74,"DD/MM/YYYY"),"")</f>
        <v>23/01/2026</v>
      </c>
      <c r="F70" s="192" t="str">
        <f aca="false">IF(AND('ENERO 2026'!D74&lt;&gt;"",'ENERO 2026'!Z74="POR RECOGER"),'ENERO 2026'!K74,"")</f>
        <v>PETROLEO</v>
      </c>
      <c r="G70" s="193" t="n">
        <f aca="false">IF(AND('ENERO 2026'!D74&lt;&gt;"",'ENERO 2026'!Z74="POR RECOGER"),'ENERO 2026'!M74,"")</f>
        <v>6</v>
      </c>
      <c r="H70" s="193" t="n">
        <f aca="false">IF(AND('ENERO 2026'!D74&lt;&gt;"",'ENERO 2026'!Z74="POR RECOGER"),'ENERO 2026'!N74,"")</f>
        <v>109.08</v>
      </c>
      <c r="I70" s="192" t="str">
        <f aca="false">IF(AND('ENERO 2026'!D74&lt;&gt;"",'ENERO 2026'!Z74="POR RECOGER"),'ENERO 2026'!P74,"")</f>
        <v>CARRERA ARAUJO JEINER</v>
      </c>
      <c r="J70" s="192" t="str">
        <f aca="false">IF(AND('ENERO 2026'!D74&lt;&gt;"",'ENERO 2026'!Z74="POR RECOGER"),'ENERO 2026'!Q74,"")</f>
        <v>EUH747</v>
      </c>
      <c r="K70" s="192" t="n">
        <f aca="false">IF(AND('ENERO 2026'!D74&lt;&gt;"",'ENERO 2026'!Z74="POR RECOGER"),'ENERO 2026'!Y74,"")</f>
        <v>0</v>
      </c>
      <c r="L70" s="192" t="str">
        <f aca="false">IF(AND('ENERO 2026'!D74&lt;&gt;"",'ENERO 2026'!Z74="POR RECOGER"),'ENERO 2026'!I74,"")</f>
        <v>POMACOCHAS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true" outlineLevel="0" collapsed="false">
      <c r="A71" s="192" t="str">
        <f aca="false">IF(AND('ENERO 2026'!D75&lt;&gt;"",'ENERO 2026'!Z75="POR RECOGER"),"ENE","")</f>
        <v>ENE</v>
      </c>
      <c r="B71" s="192" t="str">
        <f aca="false">IF(AND('ENERO 2026'!D75&lt;&gt;"",'ENERO 2026'!Z75="POR RECOGER"),IF('ENERO 2026'!Y75&lt;&gt;"",'ENERO 2026'!Y75,'ENERO 2026'!I75),"")</f>
        <v>POMACOCHAS</v>
      </c>
      <c r="C71" s="192" t="str">
        <f aca="false">IF(AND('ENERO 2026'!D75&lt;&gt;"",'ENERO 2026'!Z75="POR RECOGER"),'ENERO 2026'!D75,"")</f>
        <v>LEIVA AGUILAR SABINA</v>
      </c>
      <c r="D71" s="192" t="str">
        <f aca="false">IF(AND('ENERO 2026'!D75&lt;&gt;"",'ENERO 2026'!Z75="POR RECOGER"),'ENERO 2026'!F75,"")</f>
        <v>70208555</v>
      </c>
      <c r="E71" s="192" t="str">
        <f aca="false">IF(AND('ENERO 2026'!D75&lt;&gt;"",'ENERO 2026'!Z75="POR RECOGER"),TEXT('ENERO 2026'!G75,"DD/MM/YYYY"),"")</f>
        <v>28/01/2026</v>
      </c>
      <c r="F71" s="192" t="str">
        <f aca="false">IF(AND('ENERO 2026'!D75&lt;&gt;"",'ENERO 2026'!Z75="POR RECOGER"),'ENERO 2026'!K75,"")</f>
        <v>PETROLEO</v>
      </c>
      <c r="G71" s="193" t="n">
        <f aca="false">IF(AND('ENERO 2026'!D75&lt;&gt;"",'ENERO 2026'!Z75="POR RECOGER"),'ENERO 2026'!M75,"")</f>
        <v>6</v>
      </c>
      <c r="H71" s="193" t="n">
        <f aca="false">IF(AND('ENERO 2026'!D75&lt;&gt;"",'ENERO 2026'!Z75="POR RECOGER"),'ENERO 2026'!N75,"")</f>
        <v>109.08</v>
      </c>
      <c r="I71" s="192" t="str">
        <f aca="false">IF(AND('ENERO 2026'!D75&lt;&gt;"",'ENERO 2026'!Z75="POR RECOGER"),'ENERO 2026'!P75,"")</f>
        <v>CARRERA ARAUJO JEINER</v>
      </c>
      <c r="J71" s="192" t="str">
        <f aca="false">IF(AND('ENERO 2026'!D75&lt;&gt;"",'ENERO 2026'!Z75="POR RECOGER"),'ENERO 2026'!Q75,"")</f>
        <v>EUH747</v>
      </c>
      <c r="K71" s="192" t="n">
        <f aca="false">IF(AND('ENERO 2026'!D75&lt;&gt;"",'ENERO 2026'!Z75="POR RECOGER"),'ENERO 2026'!Y75,"")</f>
        <v>0</v>
      </c>
      <c r="L71" s="192" t="str">
        <f aca="false">IF(AND('ENERO 2026'!D75&lt;&gt;"",'ENERO 2026'!Z75="POR RECOGER"),'ENERO 2026'!I75,"")</f>
        <v>POMACOCHAS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true" outlineLevel="0" collapsed="false">
      <c r="A72" s="192" t="str">
        <f aca="false">IF(AND('ENERO 2026'!D76&lt;&gt;"",'ENERO 2026'!Z76="POR RECOGER"),"ENE","")</f>
        <v>ENE</v>
      </c>
      <c r="B72" s="192" t="str">
        <f aca="false">IF(AND('ENERO 2026'!D76&lt;&gt;"",'ENERO 2026'!Z76="POR RECOGER"),IF('ENERO 2026'!Y76&lt;&gt;"",'ENERO 2026'!Y76,'ENERO 2026'!I76),"")</f>
        <v>POMACOCHAS</v>
      </c>
      <c r="C72" s="192" t="str">
        <f aca="false">IF(AND('ENERO 2026'!D76&lt;&gt;"",'ENERO 2026'!Z76="POR RECOGER"),'ENERO 2026'!D76,"")</f>
        <v>FERNANDEZ GUEVARA DELA MARIBEL</v>
      </c>
      <c r="D72" s="192" t="str">
        <f aca="false">IF(AND('ENERO 2026'!D76&lt;&gt;"",'ENERO 2026'!Z76="POR RECOGER"),'ENERO 2026'!F76,"")</f>
        <v>43009631</v>
      </c>
      <c r="E72" s="192" t="str">
        <f aca="false">IF(AND('ENERO 2026'!D76&lt;&gt;"",'ENERO 2026'!Z76="POR RECOGER"),TEXT('ENERO 2026'!G76,"DD/MM/YYYY"),"")</f>
        <v>22/01/2026</v>
      </c>
      <c r="F72" s="192" t="str">
        <f aca="false">IF(AND('ENERO 2026'!D76&lt;&gt;"",'ENERO 2026'!Z76="POR RECOGER"),'ENERO 2026'!K76,"")</f>
        <v>PETROLEO</v>
      </c>
      <c r="G72" s="193" t="n">
        <f aca="false">IF(AND('ENERO 2026'!D76&lt;&gt;"",'ENERO 2026'!Z76="POR RECOGER"),'ENERO 2026'!M76,"")</f>
        <v>6</v>
      </c>
      <c r="H72" s="193" t="n">
        <f aca="false">IF(AND('ENERO 2026'!D76&lt;&gt;"",'ENERO 2026'!Z76="POR RECOGER"),'ENERO 2026'!N76,"")</f>
        <v>109.08</v>
      </c>
      <c r="I72" s="192" t="str">
        <f aca="false">IF(AND('ENERO 2026'!D76&lt;&gt;"",'ENERO 2026'!Z76="POR RECOGER"),'ENERO 2026'!P76,"")</f>
        <v>CARRERA ARAUJO JEINER</v>
      </c>
      <c r="J72" s="192" t="str">
        <f aca="false">IF(AND('ENERO 2026'!D76&lt;&gt;"",'ENERO 2026'!Z76="POR RECOGER"),'ENERO 2026'!Q76,"")</f>
        <v>EUH747</v>
      </c>
      <c r="K72" s="192" t="n">
        <f aca="false">IF(AND('ENERO 2026'!D76&lt;&gt;"",'ENERO 2026'!Z76="POR RECOGER"),'ENERO 2026'!Y76,"")</f>
        <v>0</v>
      </c>
      <c r="L72" s="192" t="str">
        <f aca="false">IF(AND('ENERO 2026'!D76&lt;&gt;"",'ENERO 2026'!Z76="POR RECOGER"),'ENERO 2026'!I76,"")</f>
        <v>POMACOCHAS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true" outlineLevel="0" collapsed="false">
      <c r="A73" s="192" t="str">
        <f aca="false">IF(AND('ENERO 2026'!D77&lt;&gt;"",'ENERO 2026'!Z77="POR RECOGER"),"ENE","")</f>
        <v>ENE</v>
      </c>
      <c r="B73" s="192" t="str">
        <f aca="false">IF(AND('ENERO 2026'!D77&lt;&gt;"",'ENERO 2026'!Z77="POR RECOGER"),IF('ENERO 2026'!Y77&lt;&gt;"",'ENERO 2026'!Y77,'ENERO 2026'!I77),"")</f>
        <v>POMACOCHAS</v>
      </c>
      <c r="C73" s="192" t="str">
        <f aca="false">IF(AND('ENERO 2026'!D77&lt;&gt;"",'ENERO 2026'!Z77="POR RECOGER"),'ENERO 2026'!D77,"")</f>
        <v>HERRERA VASQUEZ MARY LUZ</v>
      </c>
      <c r="D73" s="192" t="str">
        <f aca="false">IF(AND('ENERO 2026'!D77&lt;&gt;"",'ENERO 2026'!Z77="POR RECOGER"),'ENERO 2026'!F77,"")</f>
        <v>71622319</v>
      </c>
      <c r="E73" s="192" t="str">
        <f aca="false">IF(AND('ENERO 2026'!D77&lt;&gt;"",'ENERO 2026'!Z77="POR RECOGER"),TEXT('ENERO 2026'!G77,"DD/MM/YYYY"),"")</f>
        <v>26/01/2026</v>
      </c>
      <c r="F73" s="192" t="str">
        <f aca="false">IF(AND('ENERO 2026'!D77&lt;&gt;"",'ENERO 2026'!Z77="POR RECOGER"),'ENERO 2026'!K77,"")</f>
        <v>PETROLEO</v>
      </c>
      <c r="G73" s="193" t="n">
        <f aca="false">IF(AND('ENERO 2026'!D77&lt;&gt;"",'ENERO 2026'!Z77="POR RECOGER"),'ENERO 2026'!M77,"")</f>
        <v>6</v>
      </c>
      <c r="H73" s="193" t="n">
        <f aca="false">IF(AND('ENERO 2026'!D77&lt;&gt;"",'ENERO 2026'!Z77="POR RECOGER"),'ENERO 2026'!N77,"")</f>
        <v>109.08</v>
      </c>
      <c r="I73" s="192" t="str">
        <f aca="false">IF(AND('ENERO 2026'!D77&lt;&gt;"",'ENERO 2026'!Z77="POR RECOGER"),'ENERO 2026'!P77,"")</f>
        <v>CARRERA ARAUJO JEINER</v>
      </c>
      <c r="J73" s="192" t="str">
        <f aca="false">IF(AND('ENERO 2026'!D77&lt;&gt;"",'ENERO 2026'!Z77="POR RECOGER"),'ENERO 2026'!Q77,"")</f>
        <v>EUH747</v>
      </c>
      <c r="K73" s="192" t="n">
        <f aca="false">IF(AND('ENERO 2026'!D77&lt;&gt;"",'ENERO 2026'!Z77="POR RECOGER"),'ENERO 2026'!Y77,"")</f>
        <v>0</v>
      </c>
      <c r="L73" s="192" t="str">
        <f aca="false">IF(AND('ENERO 2026'!D77&lt;&gt;"",'ENERO 2026'!Z77="POR RECOGER"),'ENERO 2026'!I77,"")</f>
        <v>POMACOCHAS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true" outlineLevel="0" collapsed="false">
      <c r="A74" s="192" t="str">
        <f aca="false">IF(AND('ENERO 2026'!D78&lt;&gt;"",'ENERO 2026'!Z78="POR RECOGER"),"ENE","")</f>
        <v>ENE</v>
      </c>
      <c r="B74" s="192" t="str">
        <f aca="false">IF(AND('ENERO 2026'!D78&lt;&gt;"",'ENERO 2026'!Z78="POR RECOGER"),IF('ENERO 2026'!Y78&lt;&gt;"",'ENERO 2026'!Y78,'ENERO 2026'!I78),"")</f>
        <v>POMACOCHAS</v>
      </c>
      <c r="C74" s="192" t="str">
        <f aca="false">IF(AND('ENERO 2026'!D78&lt;&gt;"",'ENERO 2026'!Z78="POR RECOGER"),'ENERO 2026'!D78,"")</f>
        <v>VASQUEZ ABANTO YRAIDA</v>
      </c>
      <c r="D74" s="192" t="str">
        <f aca="false">IF(AND('ENERO 2026'!D78&lt;&gt;"",'ENERO 2026'!Z78="POR RECOGER"),'ENERO 2026'!F78,"")</f>
        <v>45514612</v>
      </c>
      <c r="E74" s="192" t="str">
        <f aca="false">IF(AND('ENERO 2026'!D78&lt;&gt;"",'ENERO 2026'!Z78="POR RECOGER"),TEXT('ENERO 2026'!G78,"DD/MM/YYYY"),"")</f>
        <v>28/01/2026</v>
      </c>
      <c r="F74" s="192" t="str">
        <f aca="false">IF(AND('ENERO 2026'!D78&lt;&gt;"",'ENERO 2026'!Z78="POR RECOGER"),'ENERO 2026'!K78,"")</f>
        <v>PETROLEO</v>
      </c>
      <c r="G74" s="193" t="n">
        <f aca="false">IF(AND('ENERO 2026'!D78&lt;&gt;"",'ENERO 2026'!Z78="POR RECOGER"),'ENERO 2026'!M78,"")</f>
        <v>6</v>
      </c>
      <c r="H74" s="193" t="n">
        <f aca="false">IF(AND('ENERO 2026'!D78&lt;&gt;"",'ENERO 2026'!Z78="POR RECOGER"),'ENERO 2026'!N78,"")</f>
        <v>109.08</v>
      </c>
      <c r="I74" s="192" t="str">
        <f aca="false">IF(AND('ENERO 2026'!D78&lt;&gt;"",'ENERO 2026'!Z78="POR RECOGER"),'ENERO 2026'!P78,"")</f>
        <v>CARRERA ARAUJO JEINER</v>
      </c>
      <c r="J74" s="192" t="str">
        <f aca="false">IF(AND('ENERO 2026'!D78&lt;&gt;"",'ENERO 2026'!Z78="POR RECOGER"),'ENERO 2026'!Q78,"")</f>
        <v>EUH747</v>
      </c>
      <c r="K74" s="192" t="n">
        <f aca="false">IF(AND('ENERO 2026'!D78&lt;&gt;"",'ENERO 2026'!Z78="POR RECOGER"),'ENERO 2026'!Y78,"")</f>
        <v>0</v>
      </c>
      <c r="L74" s="192" t="str">
        <f aca="false">IF(AND('ENERO 2026'!D78&lt;&gt;"",'ENERO 2026'!Z78="POR RECOGER"),'ENERO 2026'!I78,"")</f>
        <v>POMACOCHAS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true" outlineLevel="0" collapsed="false">
      <c r="A75" s="192" t="str">
        <f aca="false">IF(AND('ENERO 2026'!D79&lt;&gt;"",'ENERO 2026'!Z79="POR RECOGER"),"ENE","")</f>
        <v>ENE</v>
      </c>
      <c r="B75" s="192" t="str">
        <f aca="false">IF(AND('ENERO 2026'!D79&lt;&gt;"",'ENERO 2026'!Z79="POR RECOGER"),IF('ENERO 2026'!Y79&lt;&gt;"",'ENERO 2026'!Y79,'ENERO 2026'!I79),"")</f>
        <v>MARIA AUXILIADORA</v>
      </c>
      <c r="C75" s="192" t="str">
        <f aca="false">IF(AND('ENERO 2026'!D79&lt;&gt;"",'ENERO 2026'!Z79="POR RECOGER"),'ENERO 2026'!D79,"")</f>
        <v>NEYRA ROMAN ELENITA</v>
      </c>
      <c r="D75" s="192" t="str">
        <f aca="false">IF(AND('ENERO 2026'!D79&lt;&gt;"",'ENERO 2026'!Z79="POR RECOGER"),'ENERO 2026'!F79,"")</f>
        <v>60462057</v>
      </c>
      <c r="E75" s="192" t="str">
        <f aca="false">IF(AND('ENERO 2026'!D79&lt;&gt;"",'ENERO 2026'!Z79="POR RECOGER"),TEXT('ENERO 2026'!G79,"DD/MM/YYYY"),"")</f>
        <v>25/01/2026</v>
      </c>
      <c r="F75" s="192" t="str">
        <f aca="false">IF(AND('ENERO 2026'!D79&lt;&gt;"",'ENERO 2026'!Z79="POR RECOGER"),'ENERO 2026'!K79,"")</f>
        <v>PETROLEO</v>
      </c>
      <c r="G75" s="193" t="n">
        <f aca="false">IF(AND('ENERO 2026'!D79&lt;&gt;"",'ENERO 2026'!Z79="POR RECOGER"),'ENERO 2026'!M79,"")</f>
        <v>7</v>
      </c>
      <c r="H75" s="193" t="n">
        <f aca="false">IF(AND('ENERO 2026'!D79&lt;&gt;"",'ENERO 2026'!Z79="POR RECOGER"),'ENERO 2026'!N79,"")</f>
        <v>141.75</v>
      </c>
      <c r="I75" s="192" t="str">
        <f aca="false">IF(AND('ENERO 2026'!D79&lt;&gt;"",'ENERO 2026'!Z79="POR RECOGER"),'ENERO 2026'!P79,"")</f>
        <v>TRIGOSO TAFUR JOSE GILBER</v>
      </c>
      <c r="J75" s="192" t="str">
        <f aca="false">IF(AND('ENERO 2026'!D79&lt;&gt;"",'ENERO 2026'!Z79="POR RECOGER"),'ENERO 2026'!Q79,"")</f>
        <v>EUH 421</v>
      </c>
      <c r="K75" s="192" t="n">
        <f aca="false">IF(AND('ENERO 2026'!D79&lt;&gt;"",'ENERO 2026'!Z79="POR RECOGER"),'ENERO 2026'!Y79,"")</f>
        <v>0</v>
      </c>
      <c r="L75" s="192" t="str">
        <f aca="false">IF(AND('ENERO 2026'!D79&lt;&gt;"",'ENERO 2026'!Z79="POR RECOGER"),'ENERO 2026'!I79,"")</f>
        <v>MARIA AUXILIADORA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" hidden="false" customHeight="true" outlineLevel="0" collapsed="false">
      <c r="A76" s="192" t="str">
        <f aca="false">IF(AND('ENERO 2026'!D80&lt;&gt;"",'ENERO 2026'!Z80="POR RECOGER"),"ENE","")</f>
        <v>ENE</v>
      </c>
      <c r="B76" s="192" t="str">
        <f aca="false">IF(AND('ENERO 2026'!D80&lt;&gt;"",'ENERO 2026'!Z80="POR RECOGER"),IF('ENERO 2026'!Y80&lt;&gt;"",'ENERO 2026'!Y80,'ENERO 2026'!I80),"")</f>
        <v>MARIA AUXILIADORA</v>
      </c>
      <c r="C76" s="192" t="str">
        <f aca="false">IF(AND('ENERO 2026'!D80&lt;&gt;"",'ENERO 2026'!Z80="POR RECOGER"),'ENERO 2026'!D80,"")</f>
        <v>HUAMAN HIDALGO MARILACI</v>
      </c>
      <c r="D76" s="192" t="str">
        <f aca="false">IF(AND('ENERO 2026'!D80&lt;&gt;"",'ENERO 2026'!Z80="POR RECOGER"),'ENERO 2026'!F80,"")</f>
        <v>61644056</v>
      </c>
      <c r="E76" s="192" t="str">
        <f aca="false">IF(AND('ENERO 2026'!D80&lt;&gt;"",'ENERO 2026'!Z80="POR RECOGER"),TEXT('ENERO 2026'!G80,"DD/MM/YYYY"),"")</f>
        <v>18/01/2026</v>
      </c>
      <c r="F76" s="192" t="str">
        <f aca="false">IF(AND('ENERO 2026'!D80&lt;&gt;"",'ENERO 2026'!Z80="POR RECOGER"),'ENERO 2026'!K80,"")</f>
        <v>PETROLEO</v>
      </c>
      <c r="G76" s="193" t="n">
        <f aca="false">IF(AND('ENERO 2026'!D80&lt;&gt;"",'ENERO 2026'!Z80="POR RECOGER"),'ENERO 2026'!M80,"")</f>
        <v>6</v>
      </c>
      <c r="H76" s="193" t="n">
        <f aca="false">IF(AND('ENERO 2026'!D80&lt;&gt;"",'ENERO 2026'!Z80="POR RECOGER"),'ENERO 2026'!N80,"")</f>
        <v>121.5</v>
      </c>
      <c r="I76" s="192" t="str">
        <f aca="false">IF(AND('ENERO 2026'!D80&lt;&gt;"",'ENERO 2026'!Z80="POR RECOGER"),'ENERO 2026'!P80,"")</f>
        <v>ROJAS ALVARADO BENJAMIN</v>
      </c>
      <c r="J76" s="192" t="str">
        <f aca="false">IF(AND('ENERO 2026'!D80&lt;&gt;"",'ENERO 2026'!Z80="POR RECOGER"),'ENERO 2026'!Q80,"")</f>
        <v>421 EUH</v>
      </c>
      <c r="K76" s="192" t="n">
        <f aca="false">IF(AND('ENERO 2026'!D80&lt;&gt;"",'ENERO 2026'!Z80="POR RECOGER"),'ENERO 2026'!Y80,"")</f>
        <v>0</v>
      </c>
      <c r="L76" s="192" t="str">
        <f aca="false">IF(AND('ENERO 2026'!D80&lt;&gt;"",'ENERO 2026'!Z80="POR RECOGER"),'ENERO 2026'!I80,"")</f>
        <v>MARIA AUXILIADORA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" hidden="false" customHeight="true" outlineLevel="0" collapsed="false">
      <c r="A77" s="192" t="str">
        <f aca="false">IF(AND('ENERO 2026'!D81&lt;&gt;"",'ENERO 2026'!Z81="POR RECOGER"),"ENE","")</f>
        <v>ENE</v>
      </c>
      <c r="B77" s="192" t="str">
        <f aca="false">IF(AND('ENERO 2026'!D81&lt;&gt;"",'ENERO 2026'!Z81="POR RECOGER"),IF('ENERO 2026'!Y81&lt;&gt;"",'ENERO 2026'!Y81,'ENERO 2026'!I81),"")</f>
        <v>MARIA AUXILIADORA</v>
      </c>
      <c r="C77" s="192" t="str">
        <f aca="false">IF(AND('ENERO 2026'!D81&lt;&gt;"",'ENERO 2026'!Z81="POR RECOGER"),'ENERO 2026'!D81,"")</f>
        <v>PORTOCARRERO PORTOCARRERO MARIA</v>
      </c>
      <c r="D77" s="192" t="str">
        <f aca="false">IF(AND('ENERO 2026'!D81&lt;&gt;"",'ENERO 2026'!Z81="POR RECOGER"),'ENERO 2026'!F81,"")</f>
        <v>46109691</v>
      </c>
      <c r="E77" s="192" t="str">
        <f aca="false">IF(AND('ENERO 2026'!D81&lt;&gt;"",'ENERO 2026'!Z81="POR RECOGER"),TEXT('ENERO 2026'!G81,"DD/MM/YYYY"),"")</f>
        <v>21/01/2026</v>
      </c>
      <c r="F77" s="192" t="str">
        <f aca="false">IF(AND('ENERO 2026'!D81&lt;&gt;"",'ENERO 2026'!Z81="POR RECOGER"),'ENERO 2026'!K81,"")</f>
        <v>PETROLEO</v>
      </c>
      <c r="G77" s="193" t="n">
        <f aca="false">IF(AND('ENERO 2026'!D81&lt;&gt;"",'ENERO 2026'!Z81="POR RECOGER"),'ENERO 2026'!M81,"")</f>
        <v>7</v>
      </c>
      <c r="H77" s="193" t="n">
        <f aca="false">IF(AND('ENERO 2026'!D81&lt;&gt;"",'ENERO 2026'!Z81="POR RECOGER"),'ENERO 2026'!N81,"")</f>
        <v>141.75</v>
      </c>
      <c r="I77" s="192" t="str">
        <f aca="false">IF(AND('ENERO 2026'!D81&lt;&gt;"",'ENERO 2026'!Z81="POR RECOGER"),'ENERO 2026'!P81,"")</f>
        <v>LOPEZ HOYOS MIGUEL ANGEL</v>
      </c>
      <c r="J77" s="192" t="str">
        <f aca="false">IF(AND('ENERO 2026'!D81&lt;&gt;"",'ENERO 2026'!Z81="POR RECOGER"),'ENERO 2026'!Q81,"")</f>
        <v>EUH-698</v>
      </c>
      <c r="K77" s="192" t="n">
        <f aca="false">IF(AND('ENERO 2026'!D81&lt;&gt;"",'ENERO 2026'!Z81="POR RECOGER"),'ENERO 2026'!Y81,"")</f>
        <v>0</v>
      </c>
      <c r="L77" s="192" t="str">
        <f aca="false">IF(AND('ENERO 2026'!D81&lt;&gt;"",'ENERO 2026'!Z81="POR RECOGER"),'ENERO 2026'!I81,"")</f>
        <v>MARIA AUXILIADORA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" hidden="false" customHeight="true" outlineLevel="0" collapsed="false">
      <c r="A78" s="192" t="str">
        <f aca="false">IF(AND('ENERO 2026'!D82&lt;&gt;"",'ENERO 2026'!Z82="POR RECOGER"),"ENE","")</f>
        <v>ENE</v>
      </c>
      <c r="B78" s="192" t="str">
        <f aca="false">IF(AND('ENERO 2026'!D82&lt;&gt;"",'ENERO 2026'!Z82="POR RECOGER"),IF('ENERO 2026'!Y82&lt;&gt;"",'ENERO 2026'!Y82,'ENERO 2026'!I82),"")</f>
        <v>POMACOCHAS</v>
      </c>
      <c r="C78" s="192" t="str">
        <f aca="false">IF(AND('ENERO 2026'!D82&lt;&gt;"",'ENERO 2026'!Z82="POR RECOGER"),'ENERO 2026'!D82,"")</f>
        <v>DIAZ HERRERA MARIA LUZVINDA</v>
      </c>
      <c r="D78" s="192" t="str">
        <f aca="false">IF(AND('ENERO 2026'!D82&lt;&gt;"",'ENERO 2026'!Z82="POR RECOGER"),'ENERO 2026'!F82,"")</f>
        <v>80585000</v>
      </c>
      <c r="E78" s="192" t="str">
        <f aca="false">IF(AND('ENERO 2026'!D82&lt;&gt;"",'ENERO 2026'!Z82="POR RECOGER"),TEXT('ENERO 2026'!G82,"DD/MM/YYYY"),"")</f>
        <v>19/01/2026</v>
      </c>
      <c r="F78" s="192" t="str">
        <f aca="false">IF(AND('ENERO 2026'!D82&lt;&gt;"",'ENERO 2026'!Z82="POR RECOGER"),'ENERO 2026'!K82,"")</f>
        <v>PETROLEO</v>
      </c>
      <c r="G78" s="193" t="n">
        <f aca="false">IF(AND('ENERO 2026'!D82&lt;&gt;"",'ENERO 2026'!Z82="POR RECOGER"),'ENERO 2026'!M82,"")</f>
        <v>6</v>
      </c>
      <c r="H78" s="193" t="n">
        <f aca="false">IF(AND('ENERO 2026'!D82&lt;&gt;"",'ENERO 2026'!Z82="POR RECOGER"),'ENERO 2026'!N82,"")</f>
        <v>109.08</v>
      </c>
      <c r="I78" s="192" t="str">
        <f aca="false">IF(AND('ENERO 2026'!D82&lt;&gt;"",'ENERO 2026'!Z82="POR RECOGER"),'ENERO 2026'!P82,"")</f>
        <v>CHICANA LOPEZ MANUEL HECTOR</v>
      </c>
      <c r="J78" s="192" t="str">
        <f aca="false">IF(AND('ENERO 2026'!D82&lt;&gt;"",'ENERO 2026'!Z82="POR RECOGER"),'ENERO 2026'!Q82,"")</f>
        <v>EUH747</v>
      </c>
      <c r="K78" s="192" t="n">
        <f aca="false">IF(AND('ENERO 2026'!D82&lt;&gt;"",'ENERO 2026'!Z82="POR RECOGER"),'ENERO 2026'!Y82,"")</f>
        <v>0</v>
      </c>
      <c r="L78" s="192" t="str">
        <f aca="false">IF(AND('ENERO 2026'!D82&lt;&gt;"",'ENERO 2026'!Z82="POR RECOGER"),'ENERO 2026'!I82,"")</f>
        <v>POMACOCHAS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" hidden="false" customHeight="true" outlineLevel="0" collapsed="false">
      <c r="A79" s="192" t="str">
        <f aca="false">IF(AND('ENERO 2026'!D83&lt;&gt;"",'ENERO 2026'!Z83="POR RECOGER"),"ENE","")</f>
        <v>ENE</v>
      </c>
      <c r="B79" s="192" t="str">
        <f aca="false">IF(AND('ENERO 2026'!D83&lt;&gt;"",'ENERO 2026'!Z83="POR RECOGER"),IF('ENERO 2026'!Y83&lt;&gt;"",'ENERO 2026'!Y83,'ENERO 2026'!I83),"")</f>
        <v>POMACOCHAS</v>
      </c>
      <c r="C79" s="192" t="str">
        <f aca="false">IF(AND('ENERO 2026'!D83&lt;&gt;"",'ENERO 2026'!Z83="POR RECOGER"),'ENERO 2026'!D83,"")</f>
        <v>DIAZ VEGA NICANOR</v>
      </c>
      <c r="D79" s="192" t="str">
        <f aca="false">IF(AND('ENERO 2026'!D83&lt;&gt;"",'ENERO 2026'!Z83="POR RECOGER"),'ENERO 2026'!F83,"")</f>
        <v>48772344</v>
      </c>
      <c r="E79" s="192" t="str">
        <f aca="false">IF(AND('ENERO 2026'!D83&lt;&gt;"",'ENERO 2026'!Z83="POR RECOGER"),TEXT('ENERO 2026'!G83,"DD/MM/YYYY"),"")</f>
        <v>24/01/2026</v>
      </c>
      <c r="F79" s="192" t="str">
        <f aca="false">IF(AND('ENERO 2026'!D83&lt;&gt;"",'ENERO 2026'!Z83="POR RECOGER"),'ENERO 2026'!K83,"")</f>
        <v>PETROLEO</v>
      </c>
      <c r="G79" s="193" t="n">
        <f aca="false">IF(AND('ENERO 2026'!D83&lt;&gt;"",'ENERO 2026'!Z83="POR RECOGER"),'ENERO 2026'!M83,"")</f>
        <v>6</v>
      </c>
      <c r="H79" s="193" t="n">
        <f aca="false">IF(AND('ENERO 2026'!D83&lt;&gt;"",'ENERO 2026'!Z83="POR RECOGER"),'ENERO 2026'!N83,"")</f>
        <v>109.08</v>
      </c>
      <c r="I79" s="192" t="str">
        <f aca="false">IF(AND('ENERO 2026'!D83&lt;&gt;"",'ENERO 2026'!Z83="POR RECOGER"),'ENERO 2026'!P83,"")</f>
        <v>CHICANA LOPEZ MANUEL HECTOR</v>
      </c>
      <c r="J79" s="192" t="str">
        <f aca="false">IF(AND('ENERO 2026'!D83&lt;&gt;"",'ENERO 2026'!Z83="POR RECOGER"),'ENERO 2026'!Q83,"")</f>
        <v>EUH747</v>
      </c>
      <c r="K79" s="192" t="n">
        <f aca="false">IF(AND('ENERO 2026'!D83&lt;&gt;"",'ENERO 2026'!Z83="POR RECOGER"),'ENERO 2026'!Y83,"")</f>
        <v>0</v>
      </c>
      <c r="L79" s="192" t="str">
        <f aca="false">IF(AND('ENERO 2026'!D83&lt;&gt;"",'ENERO 2026'!Z83="POR RECOGER"),'ENERO 2026'!I83,"")</f>
        <v>POMACOCHAS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" hidden="false" customHeight="true" outlineLevel="0" collapsed="false">
      <c r="A80" s="192" t="str">
        <f aca="false">IF(AND('ENERO 2026'!D84&lt;&gt;"",'ENERO 2026'!Z84="POR RECOGER"),"ENE","")</f>
        <v>ENE</v>
      </c>
      <c r="B80" s="192" t="str">
        <f aca="false">IF(AND('ENERO 2026'!D84&lt;&gt;"",'ENERO 2026'!Z84="POR RECOGER"),IF('ENERO 2026'!Y84&lt;&gt;"",'ENERO 2026'!Y84,'ENERO 2026'!I84),"")</f>
        <v>POMACOCHAS</v>
      </c>
      <c r="C80" s="192" t="str">
        <f aca="false">IF(AND('ENERO 2026'!D84&lt;&gt;"",'ENERO 2026'!Z84="POR RECOGER"),'ENERO 2026'!D84,"")</f>
        <v>HERRERA OBLITAS VRIJIDA</v>
      </c>
      <c r="D80" s="192" t="str">
        <f aca="false">IF(AND('ENERO 2026'!D84&lt;&gt;"",'ENERO 2026'!Z84="POR RECOGER"),'ENERO 2026'!F84,"")</f>
        <v>48797626</v>
      </c>
      <c r="E80" s="192" t="str">
        <f aca="false">IF(AND('ENERO 2026'!D84&lt;&gt;"",'ENERO 2026'!Z84="POR RECOGER"),TEXT('ENERO 2026'!G84,"DD/MM/YYYY"),"")</f>
        <v>29/01/2026</v>
      </c>
      <c r="F80" s="192" t="str">
        <f aca="false">IF(AND('ENERO 2026'!D84&lt;&gt;"",'ENERO 2026'!Z84="POR RECOGER"),'ENERO 2026'!K84,"")</f>
        <v>PETROLEO</v>
      </c>
      <c r="G80" s="193" t="n">
        <f aca="false">IF(AND('ENERO 2026'!D84&lt;&gt;"",'ENERO 2026'!Z84="POR RECOGER"),'ENERO 2026'!M84,"")</f>
        <v>6</v>
      </c>
      <c r="H80" s="193" t="n">
        <f aca="false">IF(AND('ENERO 2026'!D84&lt;&gt;"",'ENERO 2026'!Z84="POR RECOGER"),'ENERO 2026'!N84,"")</f>
        <v>109.08</v>
      </c>
      <c r="I80" s="192" t="str">
        <f aca="false">IF(AND('ENERO 2026'!D84&lt;&gt;"",'ENERO 2026'!Z84="POR RECOGER"),'ENERO 2026'!P84,"")</f>
        <v>CHICANA LOPEZ MANUEL HECTOR</v>
      </c>
      <c r="J80" s="192" t="str">
        <f aca="false">IF(AND('ENERO 2026'!D84&lt;&gt;"",'ENERO 2026'!Z84="POR RECOGER"),'ENERO 2026'!Q84,"")</f>
        <v>EUH747</v>
      </c>
      <c r="K80" s="192" t="n">
        <f aca="false">IF(AND('ENERO 2026'!D84&lt;&gt;"",'ENERO 2026'!Z84="POR RECOGER"),'ENERO 2026'!Y84,"")</f>
        <v>0</v>
      </c>
      <c r="L80" s="192" t="str">
        <f aca="false">IF(AND('ENERO 2026'!D84&lt;&gt;"",'ENERO 2026'!Z84="POR RECOGER"),'ENERO 2026'!I84,"")</f>
        <v>POMACOCHAS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" hidden="false" customHeight="true" outlineLevel="0" collapsed="false">
      <c r="A81" s="192" t="str">
        <f aca="false">IF(AND('ENERO 2026'!D85&lt;&gt;"",'ENERO 2026'!Z85="POR RECOGER"),"ENE","")</f>
        <v>ENE</v>
      </c>
      <c r="B81" s="192" t="str">
        <f aca="false">IF(AND('ENERO 2026'!D85&lt;&gt;"",'ENERO 2026'!Z85="POR RECOGER"),IF('ENERO 2026'!Y85&lt;&gt;"",'ENERO 2026'!Y85,'ENERO 2026'!I85),"")</f>
        <v>SANTO TOMAS</v>
      </c>
      <c r="C81" s="192" t="str">
        <f aca="false">IF(AND('ENERO 2026'!D85&lt;&gt;"",'ENERO 2026'!Z85="POR RECOGER"),'ENERO 2026'!D85,"")</f>
        <v>CARRANZA CACHAY LUZ AURORA</v>
      </c>
      <c r="D81" s="192" t="str">
        <f aca="false">IF(AND('ENERO 2026'!D85&lt;&gt;"",'ENERO 2026'!Z85="POR RECOGER"),'ENERO 2026'!F85,"")</f>
        <v>46007941</v>
      </c>
      <c r="E81" s="192" t="str">
        <f aca="false">IF(AND('ENERO 2026'!D85&lt;&gt;"",'ENERO 2026'!Z85="POR RECOGER"),TEXT('ENERO 2026'!G85,"DD/MM/YYYY"),"")</f>
        <v>25/01/2026</v>
      </c>
      <c r="F81" s="192" t="str">
        <f aca="false">IF(AND('ENERO 2026'!D85&lt;&gt;"",'ENERO 2026'!Z85="POR RECOGER"),'ENERO 2026'!K85,"")</f>
        <v>PETROLEO</v>
      </c>
      <c r="G81" s="193" t="n">
        <f aca="false">IF(AND('ENERO 2026'!D85&lt;&gt;"",'ENERO 2026'!Z85="POR RECOGER"),'ENERO 2026'!M85,"")</f>
        <v>10</v>
      </c>
      <c r="H81" s="193" t="n">
        <f aca="false">IF(AND('ENERO 2026'!D85&lt;&gt;"",'ENERO 2026'!Z85="POR RECOGER"),'ENERO 2026'!N85,"")</f>
        <v>181.8</v>
      </c>
      <c r="I81" s="192" t="str">
        <f aca="false">IF(AND('ENERO 2026'!D85&lt;&gt;"",'ENERO 2026'!Z85="POR RECOGER"),'ENERO 2026'!P85,"")</f>
        <v>JULCA RITUAY ROGER</v>
      </c>
      <c r="J81" s="192" t="str">
        <f aca="false">IF(AND('ENERO 2026'!D85&lt;&gt;"",'ENERO 2026'!Z85="POR RECOGER"),'ENERO 2026'!Q85,"")</f>
        <v>EUH 414</v>
      </c>
      <c r="K81" s="192" t="str">
        <f aca="false">IF(AND('ENERO 2026'!D85&lt;&gt;"",'ENERO 2026'!Z85="POR RECOGER"),'ENERO 2026'!Y85,"")</f>
        <v>SANTO TOMAS</v>
      </c>
      <c r="L81" s="192" t="str">
        <f aca="false">IF(AND('ENERO 2026'!D85&lt;&gt;"",'ENERO 2026'!Z85="POR RECOGER"),'ENERO 2026'!I85,"")</f>
        <v>SAN SALVADOR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" hidden="false" customHeight="true" outlineLevel="0" collapsed="false">
      <c r="A82" s="192" t="str">
        <f aca="false">IF(AND('ENERO 2026'!D86&lt;&gt;"",'ENERO 2026'!Z86="POR RECOGER"),"ENE","")</f>
        <v>ENE</v>
      </c>
      <c r="B82" s="192" t="str">
        <f aca="false">IF(AND('ENERO 2026'!D86&lt;&gt;"",'ENERO 2026'!Z86="POR RECOGER"),IF('ENERO 2026'!Y86&lt;&gt;"",'ENERO 2026'!Y86,'ENERO 2026'!I86),"")</f>
        <v>SANTO TOMAS</v>
      </c>
      <c r="C82" s="192" t="str">
        <f aca="false">IF(AND('ENERO 2026'!D86&lt;&gt;"",'ENERO 2026'!Z86="POR RECOGER"),'ENERO 2026'!D86,"")</f>
        <v>VARGAS PITA WILFREDO</v>
      </c>
      <c r="D82" s="192" t="str">
        <f aca="false">IF(AND('ENERO 2026'!D86&lt;&gt;"",'ENERO 2026'!Z86="POR RECOGER"),'ENERO 2026'!F86,"")</f>
        <v>42749598</v>
      </c>
      <c r="E82" s="192" t="str">
        <f aca="false">IF(AND('ENERO 2026'!D86&lt;&gt;"",'ENERO 2026'!Z86="POR RECOGER"),TEXT('ENERO 2026'!G86,"DD/MM/YYYY"),"")</f>
        <v>21/01/2026</v>
      </c>
      <c r="F82" s="192" t="str">
        <f aca="false">IF(AND('ENERO 2026'!D86&lt;&gt;"",'ENERO 2026'!Z86="POR RECOGER"),'ENERO 2026'!K86,"")</f>
        <v>PETROLEO</v>
      </c>
      <c r="G82" s="193" t="n">
        <f aca="false">IF(AND('ENERO 2026'!D86&lt;&gt;"",'ENERO 2026'!Z86="POR RECOGER"),'ENERO 2026'!M86,"")</f>
        <v>10</v>
      </c>
      <c r="H82" s="193" t="n">
        <f aca="false">IF(AND('ENERO 2026'!D86&lt;&gt;"",'ENERO 2026'!Z86="POR RECOGER"),'ENERO 2026'!N86,"")</f>
        <v>181.8</v>
      </c>
      <c r="I82" s="192" t="str">
        <f aca="false">IF(AND('ENERO 2026'!D86&lt;&gt;"",'ENERO 2026'!Z86="POR RECOGER"),'ENERO 2026'!P86,"")</f>
        <v>JULCA RITUAY ROGER</v>
      </c>
      <c r="J82" s="192" t="str">
        <f aca="false">IF(AND('ENERO 2026'!D86&lt;&gt;"",'ENERO 2026'!Z86="POR RECOGER"),'ENERO 2026'!Q86,"")</f>
        <v>EUH 414</v>
      </c>
      <c r="K82" s="192" t="str">
        <f aca="false">IF(AND('ENERO 2026'!D86&lt;&gt;"",'ENERO 2026'!Z86="POR RECOGER"),'ENERO 2026'!Y86,"")</f>
        <v>SANTO TOMAS</v>
      </c>
      <c r="L82" s="192" t="str">
        <f aca="false">IF(AND('ENERO 2026'!D86&lt;&gt;"",'ENERO 2026'!Z86="POR RECOGER"),'ENERO 2026'!I86,"")</f>
        <v>LLACTAPAMPA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" hidden="false" customHeight="true" outlineLevel="0" collapsed="false">
      <c r="A83" s="192" t="str">
        <f aca="false">IF(AND('ENERO 2026'!D87&lt;&gt;"",'ENERO 2026'!Z87="POR RECOGER"),"ENE","")</f>
        <v>ENE</v>
      </c>
      <c r="B83" s="192" t="str">
        <f aca="false">IF(AND('ENERO 2026'!D87&lt;&gt;"",'ENERO 2026'!Z87="POR RECOGER"),IF('ENERO 2026'!Y87&lt;&gt;"",'ENERO 2026'!Y87,'ENERO 2026'!I87),"")</f>
        <v>YAMBRASBAMBA</v>
      </c>
      <c r="C83" s="192" t="str">
        <f aca="false">IF(AND('ENERO 2026'!D87&lt;&gt;"",'ENERO 2026'!Z87="POR RECOGER"),'ENERO 2026'!D87,"")</f>
        <v>ROJAS BAUTISTA ILDA</v>
      </c>
      <c r="D83" s="192" t="str">
        <f aca="false">IF(AND('ENERO 2026'!D87&lt;&gt;"",'ENERO 2026'!Z87="POR RECOGER"),'ENERO 2026'!F87,"")</f>
        <v>71257561</v>
      </c>
      <c r="E83" s="192" t="str">
        <f aca="false">IF(AND('ENERO 2026'!D87&lt;&gt;"",'ENERO 2026'!Z87="POR RECOGER"),TEXT('ENERO 2026'!G87,"DD/MM/YYYY"),"")</f>
        <v>21/01/2026</v>
      </c>
      <c r="F83" s="192" t="str">
        <f aca="false">IF(AND('ENERO 2026'!D87&lt;&gt;"",'ENERO 2026'!Z87="POR RECOGER"),'ENERO 2026'!K87,"")</f>
        <v>PETROLEO</v>
      </c>
      <c r="G83" s="193" t="n">
        <f aca="false">IF(AND('ENERO 2026'!D87&lt;&gt;"",'ENERO 2026'!Z87="POR RECOGER"),'ENERO 2026'!M87,"")</f>
        <v>4</v>
      </c>
      <c r="H83" s="193" t="n">
        <f aca="false">IF(AND('ENERO 2026'!D87&lt;&gt;"",'ENERO 2026'!Z87="POR RECOGER"),'ENERO 2026'!N87,"")</f>
        <v>72.72</v>
      </c>
      <c r="I83" s="192" t="str">
        <f aca="false">IF(AND('ENERO 2026'!D87&lt;&gt;"",'ENERO 2026'!Z87="POR RECOGER"),'ENERO 2026'!P87,"")</f>
        <v>CHICANA VALLE JAIME</v>
      </c>
      <c r="J83" s="192" t="str">
        <f aca="false">IF(AND('ENERO 2026'!D87&lt;&gt;"",'ENERO 2026'!Z87="POR RECOGER"),'ENERO 2026'!Q87,"")</f>
        <v>EGU 916</v>
      </c>
      <c r="K83" s="192" t="n">
        <f aca="false">IF(AND('ENERO 2026'!D87&lt;&gt;"",'ENERO 2026'!Z87="POR RECOGER"),'ENERO 2026'!Y87,"")</f>
        <v>0</v>
      </c>
      <c r="L83" s="192" t="str">
        <f aca="false">IF(AND('ENERO 2026'!D87&lt;&gt;"",'ENERO 2026'!Z87="POR RECOGER"),'ENERO 2026'!I87,"")</f>
        <v>YAMBRASBAMBA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" hidden="false" customHeight="true" outlineLevel="0" collapsed="false">
      <c r="A84" s="192" t="str">
        <f aca="false">IF(AND('ENERO 2026'!D88&lt;&gt;"",'ENERO 2026'!Z88="POR RECOGER"),"ENE","")</f>
        <v>ENE</v>
      </c>
      <c r="B84" s="192" t="str">
        <f aca="false">IF(AND('ENERO 2026'!D88&lt;&gt;"",'ENERO 2026'!Z88="POR RECOGER"),IF('ENERO 2026'!Y88&lt;&gt;"",'ENERO 2026'!Y88,'ENERO 2026'!I88),"")</f>
        <v>YAMBRASBAMBA</v>
      </c>
      <c r="C84" s="192" t="str">
        <f aca="false">IF(AND('ENERO 2026'!D88&lt;&gt;"",'ENERO 2026'!Z88="POR RECOGER"),'ENERO 2026'!D88,"")</f>
        <v>TRUJILLO LUCANA DANITZA DAYANA</v>
      </c>
      <c r="D84" s="192" t="str">
        <f aca="false">IF(AND('ENERO 2026'!D88&lt;&gt;"",'ENERO 2026'!Z88="POR RECOGER"),'ENERO 2026'!F88,"")</f>
        <v>75078001</v>
      </c>
      <c r="E84" s="192" t="str">
        <f aca="false">IF(AND('ENERO 2026'!D88&lt;&gt;"",'ENERO 2026'!Z88="POR RECOGER"),TEXT('ENERO 2026'!G88,"DD/MM/YYYY"),"")</f>
        <v>26/01/2026</v>
      </c>
      <c r="F84" s="192" t="str">
        <f aca="false">IF(AND('ENERO 2026'!D88&lt;&gt;"",'ENERO 2026'!Z88="POR RECOGER"),'ENERO 2026'!K88,"")</f>
        <v>PETROLEO</v>
      </c>
      <c r="G84" s="193" t="n">
        <f aca="false">IF(AND('ENERO 2026'!D88&lt;&gt;"",'ENERO 2026'!Z88="POR RECOGER"),'ENERO 2026'!M88,"")</f>
        <v>4</v>
      </c>
      <c r="H84" s="193" t="n">
        <f aca="false">IF(AND('ENERO 2026'!D88&lt;&gt;"",'ENERO 2026'!Z88="POR RECOGER"),'ENERO 2026'!N88,"")</f>
        <v>72.72</v>
      </c>
      <c r="I84" s="192" t="str">
        <f aca="false">IF(AND('ENERO 2026'!D88&lt;&gt;"",'ENERO 2026'!Z88="POR RECOGER"),'ENERO 2026'!P88,"")</f>
        <v>CHICANA VALLE JAIME</v>
      </c>
      <c r="J84" s="192" t="str">
        <f aca="false">IF(AND('ENERO 2026'!D88&lt;&gt;"",'ENERO 2026'!Z88="POR RECOGER"),'ENERO 2026'!Q88,"")</f>
        <v>EGU 916</v>
      </c>
      <c r="K84" s="192" t="n">
        <f aca="false">IF(AND('ENERO 2026'!D88&lt;&gt;"",'ENERO 2026'!Z88="POR RECOGER"),'ENERO 2026'!Y88,"")</f>
        <v>0</v>
      </c>
      <c r="L84" s="192" t="str">
        <f aca="false">IF(AND('ENERO 2026'!D88&lt;&gt;"",'ENERO 2026'!Z88="POR RECOGER"),'ENERO 2026'!I88,"")</f>
        <v>YAMBRASBAMBA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" hidden="false" customHeight="true" outlineLevel="0" collapsed="false">
      <c r="A85" s="192" t="str">
        <f aca="false">IF(AND('ENERO 2026'!D89&lt;&gt;"",'ENERO 2026'!Z89="POR RECOGER"),"ENE","")</f>
        <v>ENE</v>
      </c>
      <c r="B85" s="192" t="str">
        <f aca="false">IF(AND('ENERO 2026'!D89&lt;&gt;"",'ENERO 2026'!Z89="POR RECOGER"),IF('ENERO 2026'!Y89&lt;&gt;"",'ENERO 2026'!Y89,'ENERO 2026'!I89),"")</f>
        <v>YAMBRASBAMBA</v>
      </c>
      <c r="C85" s="192" t="str">
        <f aca="false">IF(AND('ENERO 2026'!D89&lt;&gt;"",'ENERO 2026'!Z89="POR RECOGER"),'ENERO 2026'!D89,"")</f>
        <v>LEIVA AGUILAR SABINA</v>
      </c>
      <c r="D85" s="192" t="str">
        <f aca="false">IF(AND('ENERO 2026'!D89&lt;&gt;"",'ENERO 2026'!Z89="POR RECOGER"),'ENERO 2026'!F89,"")</f>
        <v>70208555</v>
      </c>
      <c r="E85" s="192" t="str">
        <f aca="false">IF(AND('ENERO 2026'!D89&lt;&gt;"",'ENERO 2026'!Z89="POR RECOGER"),TEXT('ENERO 2026'!G89,"DD/MM/YYYY"),"")</f>
        <v>28/01/2026</v>
      </c>
      <c r="F85" s="192" t="str">
        <f aca="false">IF(AND('ENERO 2026'!D89&lt;&gt;"",'ENERO 2026'!Z89="POR RECOGER"),'ENERO 2026'!K89,"")</f>
        <v>PETROLEO</v>
      </c>
      <c r="G85" s="193" t="n">
        <f aca="false">IF(AND('ENERO 2026'!D89&lt;&gt;"",'ENERO 2026'!Z89="POR RECOGER"),'ENERO 2026'!M89,"")</f>
        <v>4</v>
      </c>
      <c r="H85" s="193" t="n">
        <f aca="false">IF(AND('ENERO 2026'!D89&lt;&gt;"",'ENERO 2026'!Z89="POR RECOGER"),'ENERO 2026'!N89,"")</f>
        <v>72.72</v>
      </c>
      <c r="I85" s="192" t="str">
        <f aca="false">IF(AND('ENERO 2026'!D89&lt;&gt;"",'ENERO 2026'!Z89="POR RECOGER"),'ENERO 2026'!P89,"")</f>
        <v>CHICANA VALLE JAIME</v>
      </c>
      <c r="J85" s="192" t="str">
        <f aca="false">IF(AND('ENERO 2026'!D89&lt;&gt;"",'ENERO 2026'!Z89="POR RECOGER"),'ENERO 2026'!Q89,"")</f>
        <v>EGU 916</v>
      </c>
      <c r="K85" s="192" t="n">
        <f aca="false">IF(AND('ENERO 2026'!D89&lt;&gt;"",'ENERO 2026'!Z89="POR RECOGER"),'ENERO 2026'!Y89,"")</f>
        <v>0</v>
      </c>
      <c r="L85" s="192" t="str">
        <f aca="false">IF(AND('ENERO 2026'!D89&lt;&gt;"",'ENERO 2026'!Z89="POR RECOGER"),'ENERO 2026'!I89,"")</f>
        <v>YAMBRASBAMBA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" hidden="false" customHeight="true" outlineLevel="0" collapsed="false">
      <c r="A86" s="192" t="str">
        <f aca="false">IF(AND('ENERO 2026'!D90&lt;&gt;"",'ENERO 2026'!Z90="POR RECOGER"),"ENE","")</f>
        <v>ENE</v>
      </c>
      <c r="B86" s="192" t="str">
        <f aca="false">IF(AND('ENERO 2026'!D90&lt;&gt;"",'ENERO 2026'!Z90="POR RECOGER"),IF('ENERO 2026'!Y90&lt;&gt;"",'ENERO 2026'!Y90,'ENERO 2026'!I90),"")</f>
        <v>LAMUD</v>
      </c>
      <c r="C86" s="192" t="str">
        <f aca="false">IF(AND('ENERO 2026'!D90&lt;&gt;"",'ENERO 2026'!Z90="POR RECOGER"),'ENERO 2026'!D90,"")</f>
        <v>OCAMPO CUEVA NOA ZAIRED</v>
      </c>
      <c r="D86" s="192" t="str">
        <f aca="false">IF(AND('ENERO 2026'!D90&lt;&gt;"",'ENERO 2026'!Z90="POR RECOGER"),'ENERO 2026'!F90,"")</f>
        <v>94051509</v>
      </c>
      <c r="E86" s="192" t="str">
        <f aca="false">IF(AND('ENERO 2026'!D90&lt;&gt;"",'ENERO 2026'!Z90="POR RECOGER"),TEXT('ENERO 2026'!G90,"DD/MM/YYYY"),"")</f>
        <v>20/01/2026</v>
      </c>
      <c r="F86" s="192" t="str">
        <f aca="false">IF(AND('ENERO 2026'!D90&lt;&gt;"",'ENERO 2026'!Z90="POR RECOGER"),'ENERO 2026'!K90,"")</f>
        <v>PETROLEO</v>
      </c>
      <c r="G86" s="193" t="n">
        <f aca="false">IF(AND('ENERO 2026'!D90&lt;&gt;"",'ENERO 2026'!Z90="POR RECOGER"),'ENERO 2026'!M90,"")</f>
        <v>4</v>
      </c>
      <c r="H86" s="193" t="n">
        <f aca="false">IF(AND('ENERO 2026'!D90&lt;&gt;"",'ENERO 2026'!Z90="POR RECOGER"),'ENERO 2026'!N90,"")</f>
        <v>72.72</v>
      </c>
      <c r="I86" s="192" t="str">
        <f aca="false">IF(AND('ENERO 2026'!D90&lt;&gt;"",'ENERO 2026'!Z90="POR RECOGER"),'ENERO 2026'!P90,"")</f>
        <v>RUFASTO CHUQUIZUTA JUAN KAROOL</v>
      </c>
      <c r="J86" s="192" t="str">
        <f aca="false">IF(AND('ENERO 2026'!D90&lt;&gt;"",'ENERO 2026'!Z90="POR RECOGER"),'ENERO 2026'!Q90,"")</f>
        <v>EUA963</v>
      </c>
      <c r="K86" s="192" t="n">
        <f aca="false">IF(AND('ENERO 2026'!D90&lt;&gt;"",'ENERO 2026'!Z90="POR RECOGER"),'ENERO 2026'!Y90,"")</f>
        <v>0</v>
      </c>
      <c r="L86" s="192" t="str">
        <f aca="false">IF(AND('ENERO 2026'!D90&lt;&gt;"",'ENERO 2026'!Z90="POR RECOGER"),'ENERO 2026'!I90,"")</f>
        <v>LAMUD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" hidden="false" customHeight="true" outlineLevel="0" collapsed="false">
      <c r="A87" s="192" t="str">
        <f aca="false">IF(AND('ENERO 2026'!D91&lt;&gt;"",'ENERO 2026'!Z91="POR RECOGER"),"ENE","")</f>
        <v>ENE</v>
      </c>
      <c r="B87" s="192" t="str">
        <f aca="false">IF(AND('ENERO 2026'!D91&lt;&gt;"",'ENERO 2026'!Z91="POR RECOGER"),IF('ENERO 2026'!Y91&lt;&gt;"",'ENERO 2026'!Y91,'ENERO 2026'!I91),"")</f>
        <v>PEDRO RUIZ GALLO</v>
      </c>
      <c r="C87" s="192" t="str">
        <f aca="false">IF(AND('ENERO 2026'!D91&lt;&gt;"",'ENERO 2026'!Z91="POR RECOGER"),'ENERO 2026'!D91,"")</f>
        <v>VILCA AGUILAR EDWUIN HILARIO</v>
      </c>
      <c r="D87" s="192" t="str">
        <f aca="false">IF(AND('ENERO 2026'!D91&lt;&gt;"",'ENERO 2026'!Z91="POR RECOGER"),'ENERO 2026'!F91,"")</f>
        <v>9622495</v>
      </c>
      <c r="E87" s="192" t="str">
        <f aca="false">IF(AND('ENERO 2026'!D91&lt;&gt;"",'ENERO 2026'!Z91="POR RECOGER"),TEXT('ENERO 2026'!G91,"DD/MM/YYYY"),"")</f>
        <v>28/01/2026</v>
      </c>
      <c r="F87" s="192" t="str">
        <f aca="false">IF(AND('ENERO 2026'!D91&lt;&gt;"",'ENERO 2026'!Z91="POR RECOGER"),'ENERO 2026'!K91,"")</f>
        <v>GASOLINA</v>
      </c>
      <c r="G87" s="193" t="n">
        <f aca="false">IF(AND('ENERO 2026'!D91&lt;&gt;"",'ENERO 2026'!Z91="POR RECOGER"),'ENERO 2026'!M91,"")</f>
        <v>6</v>
      </c>
      <c r="H87" s="193" t="n">
        <f aca="false">IF(AND('ENERO 2026'!D91&lt;&gt;"",'ENERO 2026'!Z91="POR RECOGER"),'ENERO 2026'!N91,"")</f>
        <v>107.7</v>
      </c>
      <c r="I87" s="192" t="str">
        <f aca="false">IF(AND('ENERO 2026'!D91&lt;&gt;"",'ENERO 2026'!Z91="POR RECOGER"),'ENERO 2026'!P91,"")</f>
        <v>MUNOZ VERGARAY JORGE ENRRIQUE</v>
      </c>
      <c r="J87" s="192" t="str">
        <f aca="false">IF(AND('ENERO 2026'!D91&lt;&gt;"",'ENERO 2026'!Z91="POR RECOGER"),'ENERO 2026'!Q91,"")</f>
        <v>EUH 427</v>
      </c>
      <c r="K87" s="192" t="n">
        <f aca="false">IF(AND('ENERO 2026'!D91&lt;&gt;"",'ENERO 2026'!Z91="POR RECOGER"),'ENERO 2026'!Y91,"")</f>
        <v>0</v>
      </c>
      <c r="L87" s="192" t="str">
        <f aca="false">IF(AND('ENERO 2026'!D91&lt;&gt;"",'ENERO 2026'!Z91="POR RECOGER"),'ENERO 2026'!I91,"")</f>
        <v>PEDRO RUIZ GALLO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" hidden="false" customHeight="true" outlineLevel="0" collapsed="false">
      <c r="A88" s="192" t="str">
        <f aca="false">IF(AND('ENERO 2026'!D92&lt;&gt;"",'ENERO 2026'!Z92="POR RECOGER"),"ENE","")</f>
        <v>ENE</v>
      </c>
      <c r="B88" s="192" t="str">
        <f aca="false">IF(AND('ENERO 2026'!D92&lt;&gt;"",'ENERO 2026'!Z92="POR RECOGER"),IF('ENERO 2026'!Y92&lt;&gt;"",'ENERO 2026'!Y92,'ENERO 2026'!I92),"")</f>
        <v>LAMUD</v>
      </c>
      <c r="C88" s="192" t="str">
        <f aca="false">IF(AND('ENERO 2026'!D92&lt;&gt;"",'ENERO 2026'!Z92="POR RECOGER"),'ENERO 2026'!D92,"")</f>
        <v>POQUIOMA CHAVEZ ENOMI</v>
      </c>
      <c r="D88" s="192" t="str">
        <f aca="false">IF(AND('ENERO 2026'!D92&lt;&gt;"",'ENERO 2026'!Z92="POR RECOGER"),'ENERO 2026'!F92,"")</f>
        <v>43914122</v>
      </c>
      <c r="E88" s="192" t="str">
        <f aca="false">IF(AND('ENERO 2026'!D92&lt;&gt;"",'ENERO 2026'!Z92="POR RECOGER"),TEXT('ENERO 2026'!G92,"DD/MM/YYYY"),"")</f>
        <v>30/01/2026</v>
      </c>
      <c r="F88" s="192" t="str">
        <f aca="false">IF(AND('ENERO 2026'!D92&lt;&gt;"",'ENERO 2026'!Z92="POR RECOGER"),'ENERO 2026'!K92,"")</f>
        <v>PETROLEO</v>
      </c>
      <c r="G88" s="193" t="n">
        <f aca="false">IF(AND('ENERO 2026'!D92&lt;&gt;"",'ENERO 2026'!Z92="POR RECOGER"),'ENERO 2026'!M92,"")</f>
        <v>4</v>
      </c>
      <c r="H88" s="193" t="n">
        <f aca="false">IF(AND('ENERO 2026'!D92&lt;&gt;"",'ENERO 2026'!Z92="POR RECOGER"),'ENERO 2026'!N92,"")</f>
        <v>72.72</v>
      </c>
      <c r="I88" s="192" t="str">
        <f aca="false">IF(AND('ENERO 2026'!D92&lt;&gt;"",'ENERO 2026'!Z92="POR RECOGER"),'ENERO 2026'!P92,"")</f>
        <v>DANIEL ZELADA TRUJILLO</v>
      </c>
      <c r="J88" s="192" t="str">
        <f aca="false">IF(AND('ENERO 2026'!D92&lt;&gt;"",'ENERO 2026'!Z92="POR RECOGER"),'ENERO 2026'!Q92,"")</f>
        <v>EUA-963</v>
      </c>
      <c r="K88" s="192" t="n">
        <f aca="false">IF(AND('ENERO 2026'!D92&lt;&gt;"",'ENERO 2026'!Z92="POR RECOGER"),'ENERO 2026'!Y92,"")</f>
        <v>0</v>
      </c>
      <c r="L88" s="192" t="str">
        <f aca="false">IF(AND('ENERO 2026'!D92&lt;&gt;"",'ENERO 2026'!Z92="POR RECOGER"),'ENERO 2026'!I92,"")</f>
        <v>LAMUD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" hidden="false" customHeight="true" outlineLevel="0" collapsed="false">
      <c r="A89" s="192" t="str">
        <f aca="false">IF(AND('ENERO 2026'!D93&lt;&gt;"",'ENERO 2026'!Z93="POR RECOGER"),"ENE","")</f>
        <v>ENE</v>
      </c>
      <c r="B89" s="192" t="str">
        <f aca="false">IF(AND('ENERO 2026'!D93&lt;&gt;"",'ENERO 2026'!Z93="POR RECOGER"),IF('ENERO 2026'!Y93&lt;&gt;"",'ENERO 2026'!Y93,'ENERO 2026'!I93),"")</f>
        <v>MARIA AUXILIADORA</v>
      </c>
      <c r="C89" s="192" t="str">
        <f aca="false">IF(AND('ENERO 2026'!D93&lt;&gt;"",'ENERO 2026'!Z93="POR RECOGER"),'ENERO 2026'!D93,"")</f>
        <v>ARISTA SALAZAR JULIAN</v>
      </c>
      <c r="D89" s="192" t="str">
        <f aca="false">IF(AND('ENERO 2026'!D93&lt;&gt;"",'ENERO 2026'!Z93="POR RECOGER"),'ENERO 2026'!F93,"")</f>
        <v>33948728</v>
      </c>
      <c r="E89" s="192" t="str">
        <f aca="false">IF(AND('ENERO 2026'!D93&lt;&gt;"",'ENERO 2026'!Z93="POR RECOGER"),TEXT('ENERO 2026'!G93,"DD/MM/YYYY"),"")</f>
        <v>24/01/2026</v>
      </c>
      <c r="F89" s="192" t="str">
        <f aca="false">IF(AND('ENERO 2026'!D93&lt;&gt;"",'ENERO 2026'!Z93="POR RECOGER"),'ENERO 2026'!K93,"")</f>
        <v>PETROLEO</v>
      </c>
      <c r="G89" s="193" t="n">
        <f aca="false">IF(AND('ENERO 2026'!D93&lt;&gt;"",'ENERO 2026'!Z93="POR RECOGER"),'ENERO 2026'!M93,"")</f>
        <v>5.7</v>
      </c>
      <c r="H89" s="193" t="n">
        <f aca="false">IF(AND('ENERO 2026'!D93&lt;&gt;"",'ENERO 2026'!Z93="POR RECOGER"),'ENERO 2026'!N93,"")</f>
        <v>115.425</v>
      </c>
      <c r="I89" s="192" t="str">
        <f aca="false">IF(AND('ENERO 2026'!D93&lt;&gt;"",'ENERO 2026'!Z93="POR RECOGER"),'ENERO 2026'!P93,"")</f>
        <v>ROJAS ALVARADO BENJAMIN</v>
      </c>
      <c r="J89" s="192" t="str">
        <f aca="false">IF(AND('ENERO 2026'!D93&lt;&gt;"",'ENERO 2026'!Z93="POR RECOGER"),'ENERO 2026'!Q93,"")</f>
        <v>421 EUH</v>
      </c>
      <c r="K89" s="192" t="n">
        <f aca="false">IF(AND('ENERO 2026'!D93&lt;&gt;"",'ENERO 2026'!Z93="POR RECOGER"),'ENERO 2026'!Y93,"")</f>
        <v>0</v>
      </c>
      <c r="L89" s="192" t="str">
        <f aca="false">IF(AND('ENERO 2026'!D93&lt;&gt;"",'ENERO 2026'!Z93="POR RECOGER"),'ENERO 2026'!I93,"")</f>
        <v>MARIA AUXILIADORA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" hidden="false" customHeight="true" outlineLevel="0" collapsed="false">
      <c r="A90" s="192" t="str">
        <f aca="false">IF(AND('ENERO 2026'!D94&lt;&gt;"",'ENERO 2026'!Z94="POR RECOGER"),"ENE","")</f>
        <v>ENE</v>
      </c>
      <c r="B90" s="192" t="str">
        <f aca="false">IF(AND('ENERO 2026'!D94&lt;&gt;"",'ENERO 2026'!Z94="POR RECOGER"),IF('ENERO 2026'!Y94&lt;&gt;"",'ENERO 2026'!Y94,'ENERO 2026'!I94),"")</f>
        <v>MARIA AUXILIADORA</v>
      </c>
      <c r="C90" s="192" t="str">
        <f aca="false">IF(AND('ENERO 2026'!D94&lt;&gt;"",'ENERO 2026'!Z94="POR RECOGER"),'ENERO 2026'!D94,"")</f>
        <v>RIVA MUÑOZ ALIPIO</v>
      </c>
      <c r="D90" s="192" t="str">
        <f aca="false">IF(AND('ENERO 2026'!D94&lt;&gt;"",'ENERO 2026'!Z94="POR RECOGER"),'ENERO 2026'!F94,"")</f>
        <v>33948299</v>
      </c>
      <c r="E90" s="192" t="str">
        <f aca="false">IF(AND('ENERO 2026'!D94&lt;&gt;"",'ENERO 2026'!Z94="POR RECOGER"),TEXT('ENERO 2026'!G94,"DD/MM/YYYY"),"")</f>
        <v>26/01/2026</v>
      </c>
      <c r="F90" s="192" t="str">
        <f aca="false">IF(AND('ENERO 2026'!D94&lt;&gt;"",'ENERO 2026'!Z94="POR RECOGER"),'ENERO 2026'!K94,"")</f>
        <v>PETROLEO</v>
      </c>
      <c r="G90" s="193" t="n">
        <f aca="false">IF(AND('ENERO 2026'!D94&lt;&gt;"",'ENERO 2026'!Z94="POR RECOGER"),'ENERO 2026'!M94,"")</f>
        <v>10</v>
      </c>
      <c r="H90" s="193" t="n">
        <f aca="false">IF(AND('ENERO 2026'!D94&lt;&gt;"",'ENERO 2026'!Z94="POR RECOGER"),'ENERO 2026'!N94,"")</f>
        <v>202.5</v>
      </c>
      <c r="I90" s="192" t="str">
        <f aca="false">IF(AND('ENERO 2026'!D94&lt;&gt;"",'ENERO 2026'!Z94="POR RECOGER"),'ENERO 2026'!P94,"")</f>
        <v>LOPEZ HOYOS MIGUEL ANGEL</v>
      </c>
      <c r="J90" s="192" t="str">
        <f aca="false">IF(AND('ENERO 2026'!D94&lt;&gt;"",'ENERO 2026'!Z94="POR RECOGER"),'ENERO 2026'!Q94,"")</f>
        <v>EUH-698</v>
      </c>
      <c r="K90" s="192" t="n">
        <f aca="false">IF(AND('ENERO 2026'!D94&lt;&gt;"",'ENERO 2026'!Z94="POR RECOGER"),'ENERO 2026'!Y94,"")</f>
        <v>0</v>
      </c>
      <c r="L90" s="192" t="str">
        <f aca="false">IF(AND('ENERO 2026'!D94&lt;&gt;"",'ENERO 2026'!Z94="POR RECOGER"),'ENERO 2026'!I94,"")</f>
        <v>MARIA AUXILIADORA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" hidden="false" customHeight="true" outlineLevel="0" collapsed="false">
      <c r="A91" s="192" t="str">
        <f aca="false">IF(AND('ENERO 2026'!D95&lt;&gt;"",'ENERO 2026'!Z95="POR RECOGER"),"ENE","")</f>
        <v/>
      </c>
      <c r="B91" s="192" t="str">
        <f aca="false">IF(AND('ENERO 2026'!D95&lt;&gt;"",'ENERO 2026'!Z95="POR RECOGER"),IF('ENERO 2026'!Y95&lt;&gt;"",'ENERO 2026'!Y95,'ENERO 2026'!I95),"")</f>
        <v/>
      </c>
      <c r="C91" s="192" t="str">
        <f aca="false">IF(AND('ENERO 2026'!D95&lt;&gt;"",'ENERO 2026'!Z95="POR RECOGER"),'ENERO 2026'!D95,"")</f>
        <v/>
      </c>
      <c r="D91" s="192" t="str">
        <f aca="false">IF(AND('ENERO 2026'!D95&lt;&gt;"",'ENERO 2026'!Z95="POR RECOGER"),'ENERO 2026'!F95,"")</f>
        <v/>
      </c>
      <c r="E91" s="192" t="str">
        <f aca="false">IF(AND('ENERO 2026'!D95&lt;&gt;"",'ENERO 2026'!Z95="POR RECOGER"),TEXT('ENERO 2026'!G95,"DD/MM/YYYY"),"")</f>
        <v/>
      </c>
      <c r="F91" s="192" t="str">
        <f aca="false">IF(AND('ENERO 2026'!D95&lt;&gt;"",'ENERO 2026'!Z95="POR RECOGER"),'ENERO 2026'!K95,"")</f>
        <v/>
      </c>
      <c r="G91" s="193" t="str">
        <f aca="false">IF(AND('ENERO 2026'!D95&lt;&gt;"",'ENERO 2026'!Z95="POR RECOGER"),'ENERO 2026'!M95,"")</f>
        <v/>
      </c>
      <c r="H91" s="193" t="str">
        <f aca="false">IF(AND('ENERO 2026'!D95&lt;&gt;"",'ENERO 2026'!Z95="POR RECOGER"),'ENERO 2026'!N95,"")</f>
        <v/>
      </c>
      <c r="I91" s="192" t="str">
        <f aca="false">IF(AND('ENERO 2026'!D95&lt;&gt;"",'ENERO 2026'!Z95="POR RECOGER"),'ENERO 2026'!P95,"")</f>
        <v/>
      </c>
      <c r="J91" s="192" t="str">
        <f aca="false">IF(AND('ENERO 2026'!D95&lt;&gt;"",'ENERO 2026'!Z95="POR RECOGER"),'ENERO 2026'!Q95,"")</f>
        <v/>
      </c>
      <c r="K91" s="192" t="str">
        <f aca="false">IF(AND('ENERO 2026'!D95&lt;&gt;"",'ENERO 2026'!Z95="POR RECOGER"),'ENERO 2026'!Y95,"")</f>
        <v/>
      </c>
      <c r="L91" s="192" t="str">
        <f aca="false">IF(AND('ENERO 2026'!D95&lt;&gt;"",'ENERO 2026'!Z95="POR RECOGER"),'ENERO 2026'!I95,"")</f>
        <v/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" hidden="false" customHeight="true" outlineLevel="0" collapsed="false">
      <c r="A92" s="192" t="str">
        <f aca="false">IF(AND('ENERO 2026'!D96&lt;&gt;"",'ENERO 2026'!Z96="POR RECOGER"),"ENE","")</f>
        <v/>
      </c>
      <c r="B92" s="192" t="str">
        <f aca="false">IF(AND('ENERO 2026'!D96&lt;&gt;"",'ENERO 2026'!Z96="POR RECOGER"),IF('ENERO 2026'!Y96&lt;&gt;"",'ENERO 2026'!Y96,'ENERO 2026'!I96),"")</f>
        <v/>
      </c>
      <c r="C92" s="192" t="str">
        <f aca="false">IF(AND('ENERO 2026'!D96&lt;&gt;"",'ENERO 2026'!Z96="POR RECOGER"),'ENERO 2026'!D96,"")</f>
        <v/>
      </c>
      <c r="D92" s="192" t="str">
        <f aca="false">IF(AND('ENERO 2026'!D96&lt;&gt;"",'ENERO 2026'!Z96="POR RECOGER"),'ENERO 2026'!F96,"")</f>
        <v/>
      </c>
      <c r="E92" s="192" t="str">
        <f aca="false">IF(AND('ENERO 2026'!D96&lt;&gt;"",'ENERO 2026'!Z96="POR RECOGER"),TEXT('ENERO 2026'!G96,"DD/MM/YYYY"),"")</f>
        <v/>
      </c>
      <c r="F92" s="192" t="str">
        <f aca="false">IF(AND('ENERO 2026'!D96&lt;&gt;"",'ENERO 2026'!Z96="POR RECOGER"),'ENERO 2026'!K96,"")</f>
        <v/>
      </c>
      <c r="G92" s="193" t="str">
        <f aca="false">IF(AND('ENERO 2026'!D96&lt;&gt;"",'ENERO 2026'!Z96="POR RECOGER"),'ENERO 2026'!M96,"")</f>
        <v/>
      </c>
      <c r="H92" s="193" t="str">
        <f aca="false">IF(AND('ENERO 2026'!D96&lt;&gt;"",'ENERO 2026'!Z96="POR RECOGER"),'ENERO 2026'!N96,"")</f>
        <v/>
      </c>
      <c r="I92" s="192" t="str">
        <f aca="false">IF(AND('ENERO 2026'!D96&lt;&gt;"",'ENERO 2026'!Z96="POR RECOGER"),'ENERO 2026'!P96,"")</f>
        <v/>
      </c>
      <c r="J92" s="192" t="str">
        <f aca="false">IF(AND('ENERO 2026'!D96&lt;&gt;"",'ENERO 2026'!Z96="POR RECOGER"),'ENERO 2026'!Q96,"")</f>
        <v/>
      </c>
      <c r="K92" s="192" t="str">
        <f aca="false">IF(AND('ENERO 2026'!D96&lt;&gt;"",'ENERO 2026'!Z96="POR RECOGER"),'ENERO 2026'!Y96,"")</f>
        <v/>
      </c>
      <c r="L92" s="192" t="str">
        <f aca="false">IF(AND('ENERO 2026'!D96&lt;&gt;"",'ENERO 2026'!Z96="POR RECOGER"),'ENERO 2026'!I96,"")</f>
        <v/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" hidden="false" customHeight="true" outlineLevel="0" collapsed="false">
      <c r="A93" s="192" t="str">
        <f aca="false">IF(AND('ENERO 2026'!D97&lt;&gt;"",'ENERO 2026'!Z97="POR RECOGER"),"ENE","")</f>
        <v/>
      </c>
      <c r="B93" s="192" t="str">
        <f aca="false">IF(AND('ENERO 2026'!D97&lt;&gt;"",'ENERO 2026'!Z97="POR RECOGER"),IF('ENERO 2026'!Y97&lt;&gt;"",'ENERO 2026'!Y97,'ENERO 2026'!I97),"")</f>
        <v/>
      </c>
      <c r="C93" s="192" t="str">
        <f aca="false">IF(AND('ENERO 2026'!D97&lt;&gt;"",'ENERO 2026'!Z97="POR RECOGER"),'ENERO 2026'!D97,"")</f>
        <v/>
      </c>
      <c r="D93" s="192" t="str">
        <f aca="false">IF(AND('ENERO 2026'!D97&lt;&gt;"",'ENERO 2026'!Z97="POR RECOGER"),'ENERO 2026'!F97,"")</f>
        <v/>
      </c>
      <c r="E93" s="192" t="str">
        <f aca="false">IF(AND('ENERO 2026'!D97&lt;&gt;"",'ENERO 2026'!Z97="POR RECOGER"),TEXT('ENERO 2026'!G97,"DD/MM/YYYY"),"")</f>
        <v/>
      </c>
      <c r="F93" s="192" t="str">
        <f aca="false">IF(AND('ENERO 2026'!D97&lt;&gt;"",'ENERO 2026'!Z97="POR RECOGER"),'ENERO 2026'!K97,"")</f>
        <v/>
      </c>
      <c r="G93" s="193" t="str">
        <f aca="false">IF(AND('ENERO 2026'!D97&lt;&gt;"",'ENERO 2026'!Z97="POR RECOGER"),'ENERO 2026'!M97,"")</f>
        <v/>
      </c>
      <c r="H93" s="193" t="str">
        <f aca="false">IF(AND('ENERO 2026'!D97&lt;&gt;"",'ENERO 2026'!Z97="POR RECOGER"),'ENERO 2026'!N97,"")</f>
        <v/>
      </c>
      <c r="I93" s="192" t="str">
        <f aca="false">IF(AND('ENERO 2026'!D97&lt;&gt;"",'ENERO 2026'!Z97="POR RECOGER"),'ENERO 2026'!P97,"")</f>
        <v/>
      </c>
      <c r="J93" s="192" t="str">
        <f aca="false">IF(AND('ENERO 2026'!D97&lt;&gt;"",'ENERO 2026'!Z97="POR RECOGER"),'ENERO 2026'!Q97,"")</f>
        <v/>
      </c>
      <c r="K93" s="192" t="str">
        <f aca="false">IF(AND('ENERO 2026'!D97&lt;&gt;"",'ENERO 2026'!Z97="POR RECOGER"),'ENERO 2026'!Y97,"")</f>
        <v/>
      </c>
      <c r="L93" s="192" t="str">
        <f aca="false">IF(AND('ENERO 2026'!D97&lt;&gt;"",'ENERO 2026'!Z97="POR RECOGER"),'ENERO 2026'!I97,"")</f>
        <v/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" hidden="false" customHeight="true" outlineLevel="0" collapsed="false">
      <c r="A94" s="192" t="str">
        <f aca="false">IF(AND('ENERO 2026'!D98&lt;&gt;"",'ENERO 2026'!Z98="POR RECOGER"),"ENE","")</f>
        <v/>
      </c>
      <c r="B94" s="192" t="str">
        <f aca="false">IF(AND('ENERO 2026'!D98&lt;&gt;"",'ENERO 2026'!Z98="POR RECOGER"),IF('ENERO 2026'!Y98&lt;&gt;"",'ENERO 2026'!Y98,'ENERO 2026'!I98),"")</f>
        <v/>
      </c>
      <c r="C94" s="192" t="str">
        <f aca="false">IF(AND('ENERO 2026'!D98&lt;&gt;"",'ENERO 2026'!Z98="POR RECOGER"),'ENERO 2026'!D98,"")</f>
        <v/>
      </c>
      <c r="D94" s="192" t="str">
        <f aca="false">IF(AND('ENERO 2026'!D98&lt;&gt;"",'ENERO 2026'!Z98="POR RECOGER"),'ENERO 2026'!F98,"")</f>
        <v/>
      </c>
      <c r="E94" s="192" t="str">
        <f aca="false">IF(AND('ENERO 2026'!D98&lt;&gt;"",'ENERO 2026'!Z98="POR RECOGER"),TEXT('ENERO 2026'!G98,"DD/MM/YYYY"),"")</f>
        <v/>
      </c>
      <c r="F94" s="192" t="str">
        <f aca="false">IF(AND('ENERO 2026'!D98&lt;&gt;"",'ENERO 2026'!Z98="POR RECOGER"),'ENERO 2026'!K98,"")</f>
        <v/>
      </c>
      <c r="G94" s="193" t="str">
        <f aca="false">IF(AND('ENERO 2026'!D98&lt;&gt;"",'ENERO 2026'!Z98="POR RECOGER"),'ENERO 2026'!M98,"")</f>
        <v/>
      </c>
      <c r="H94" s="193" t="str">
        <f aca="false">IF(AND('ENERO 2026'!D98&lt;&gt;"",'ENERO 2026'!Z98="POR RECOGER"),'ENERO 2026'!N98,"")</f>
        <v/>
      </c>
      <c r="I94" s="192" t="str">
        <f aca="false">IF(AND('ENERO 2026'!D98&lt;&gt;"",'ENERO 2026'!Z98="POR RECOGER"),'ENERO 2026'!P98,"")</f>
        <v/>
      </c>
      <c r="J94" s="192" t="str">
        <f aca="false">IF(AND('ENERO 2026'!D98&lt;&gt;"",'ENERO 2026'!Z98="POR RECOGER"),'ENERO 2026'!Q98,"")</f>
        <v/>
      </c>
      <c r="K94" s="192" t="str">
        <f aca="false">IF(AND('ENERO 2026'!D98&lt;&gt;"",'ENERO 2026'!Z98="POR RECOGER"),'ENERO 2026'!Y98,"")</f>
        <v/>
      </c>
      <c r="L94" s="192" t="str">
        <f aca="false">IF(AND('ENERO 2026'!D98&lt;&gt;"",'ENERO 2026'!Z98="POR RECOGER"),'ENERO 2026'!I98,"")</f>
        <v/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" hidden="false" customHeight="true" outlineLevel="0" collapsed="false">
      <c r="A95" s="192" t="str">
        <f aca="false">IF(AND('ENERO 2026'!D99&lt;&gt;"",'ENERO 2026'!Z99="POR RECOGER"),"ENE","")</f>
        <v/>
      </c>
      <c r="B95" s="192" t="str">
        <f aca="false">IF(AND('ENERO 2026'!D99&lt;&gt;"",'ENERO 2026'!Z99="POR RECOGER"),IF('ENERO 2026'!Y99&lt;&gt;"",'ENERO 2026'!Y99,'ENERO 2026'!I99),"")</f>
        <v/>
      </c>
      <c r="C95" s="192" t="str">
        <f aca="false">IF(AND('ENERO 2026'!D99&lt;&gt;"",'ENERO 2026'!Z99="POR RECOGER"),'ENERO 2026'!D99,"")</f>
        <v/>
      </c>
      <c r="D95" s="192" t="str">
        <f aca="false">IF(AND('ENERO 2026'!D99&lt;&gt;"",'ENERO 2026'!Z99="POR RECOGER"),'ENERO 2026'!F99,"")</f>
        <v/>
      </c>
      <c r="E95" s="192" t="str">
        <f aca="false">IF(AND('ENERO 2026'!D99&lt;&gt;"",'ENERO 2026'!Z99="POR RECOGER"),TEXT('ENERO 2026'!G99,"DD/MM/YYYY"),"")</f>
        <v/>
      </c>
      <c r="F95" s="192" t="str">
        <f aca="false">IF(AND('ENERO 2026'!D99&lt;&gt;"",'ENERO 2026'!Z99="POR RECOGER"),'ENERO 2026'!K99,"")</f>
        <v/>
      </c>
      <c r="G95" s="193" t="str">
        <f aca="false">IF(AND('ENERO 2026'!D99&lt;&gt;"",'ENERO 2026'!Z99="POR RECOGER"),'ENERO 2026'!M99,"")</f>
        <v/>
      </c>
      <c r="H95" s="193" t="str">
        <f aca="false">IF(AND('ENERO 2026'!D99&lt;&gt;"",'ENERO 2026'!Z99="POR RECOGER"),'ENERO 2026'!N99,"")</f>
        <v/>
      </c>
      <c r="I95" s="192" t="str">
        <f aca="false">IF(AND('ENERO 2026'!D99&lt;&gt;"",'ENERO 2026'!Z99="POR RECOGER"),'ENERO 2026'!P99,"")</f>
        <v/>
      </c>
      <c r="J95" s="192" t="str">
        <f aca="false">IF(AND('ENERO 2026'!D99&lt;&gt;"",'ENERO 2026'!Z99="POR RECOGER"),'ENERO 2026'!Q99,"")</f>
        <v/>
      </c>
      <c r="K95" s="192" t="str">
        <f aca="false">IF(AND('ENERO 2026'!D99&lt;&gt;"",'ENERO 2026'!Z99="POR RECOGER"),'ENERO 2026'!Y99,"")</f>
        <v/>
      </c>
      <c r="L95" s="192" t="str">
        <f aca="false">IF(AND('ENERO 2026'!D99&lt;&gt;"",'ENERO 2026'!Z99="POR RECOGER"),'ENERO 2026'!I99,"")</f>
        <v/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" hidden="false" customHeight="true" outlineLevel="0" collapsed="false">
      <c r="A96" s="192" t="str">
        <f aca="false">IF(AND('ENERO 2026'!D100&lt;&gt;"",'ENERO 2026'!Z100="POR RECOGER"),"ENE","")</f>
        <v/>
      </c>
      <c r="B96" s="192" t="str">
        <f aca="false">IF(AND('ENERO 2026'!D100&lt;&gt;"",'ENERO 2026'!Z100="POR RECOGER"),IF('ENERO 2026'!Y100&lt;&gt;"",'ENERO 2026'!Y100,'ENERO 2026'!I100),"")</f>
        <v/>
      </c>
      <c r="C96" s="192" t="str">
        <f aca="false">IF(AND('ENERO 2026'!D100&lt;&gt;"",'ENERO 2026'!Z100="POR RECOGER"),'ENERO 2026'!D100,"")</f>
        <v/>
      </c>
      <c r="D96" s="192" t="str">
        <f aca="false">IF(AND('ENERO 2026'!D100&lt;&gt;"",'ENERO 2026'!Z100="POR RECOGER"),'ENERO 2026'!F100,"")</f>
        <v/>
      </c>
      <c r="E96" s="192" t="str">
        <f aca="false">IF(AND('ENERO 2026'!D100&lt;&gt;"",'ENERO 2026'!Z100="POR RECOGER"),TEXT('ENERO 2026'!G100,"DD/MM/YYYY"),"")</f>
        <v/>
      </c>
      <c r="F96" s="192" t="str">
        <f aca="false">IF(AND('ENERO 2026'!D100&lt;&gt;"",'ENERO 2026'!Z100="POR RECOGER"),'ENERO 2026'!K100,"")</f>
        <v/>
      </c>
      <c r="G96" s="193" t="str">
        <f aca="false">IF(AND('ENERO 2026'!D100&lt;&gt;"",'ENERO 2026'!Z100="POR RECOGER"),'ENERO 2026'!M100,"")</f>
        <v/>
      </c>
      <c r="H96" s="193" t="str">
        <f aca="false">IF(AND('ENERO 2026'!D100&lt;&gt;"",'ENERO 2026'!Z100="POR RECOGER"),'ENERO 2026'!N100,"")</f>
        <v/>
      </c>
      <c r="I96" s="192" t="str">
        <f aca="false">IF(AND('ENERO 2026'!D100&lt;&gt;"",'ENERO 2026'!Z100="POR RECOGER"),'ENERO 2026'!P100,"")</f>
        <v/>
      </c>
      <c r="J96" s="192" t="str">
        <f aca="false">IF(AND('ENERO 2026'!D100&lt;&gt;"",'ENERO 2026'!Z100="POR RECOGER"),'ENERO 2026'!Q100,"")</f>
        <v/>
      </c>
      <c r="K96" s="192" t="str">
        <f aca="false">IF(AND('ENERO 2026'!D100&lt;&gt;"",'ENERO 2026'!Z100="POR RECOGER"),'ENERO 2026'!Y100,"")</f>
        <v/>
      </c>
      <c r="L96" s="192" t="str">
        <f aca="false">IF(AND('ENERO 2026'!D100&lt;&gt;"",'ENERO 2026'!Z100="POR RECOGER"),'ENERO 2026'!I100,"")</f>
        <v/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" hidden="false" customHeight="true" outlineLevel="0" collapsed="false">
      <c r="A97" s="192" t="str">
        <f aca="false">IF(AND('ENERO 2026'!D101&lt;&gt;"",'ENERO 2026'!Z101="POR RECOGER"),"ENE","")</f>
        <v/>
      </c>
      <c r="B97" s="192" t="str">
        <f aca="false">IF(AND('ENERO 2026'!D101&lt;&gt;"",'ENERO 2026'!Z101="POR RECOGER"),IF('ENERO 2026'!Y101&lt;&gt;"",'ENERO 2026'!Y101,'ENERO 2026'!I101),"")</f>
        <v/>
      </c>
      <c r="C97" s="192" t="str">
        <f aca="false">IF(AND('ENERO 2026'!D101&lt;&gt;"",'ENERO 2026'!Z101="POR RECOGER"),'ENERO 2026'!D101,"")</f>
        <v/>
      </c>
      <c r="D97" s="192" t="str">
        <f aca="false">IF(AND('ENERO 2026'!D101&lt;&gt;"",'ENERO 2026'!Z101="POR RECOGER"),'ENERO 2026'!F101,"")</f>
        <v/>
      </c>
      <c r="E97" s="192" t="str">
        <f aca="false">IF(AND('ENERO 2026'!D101&lt;&gt;"",'ENERO 2026'!Z101="POR RECOGER"),TEXT('ENERO 2026'!G101,"DD/MM/YYYY"),"")</f>
        <v/>
      </c>
      <c r="F97" s="192" t="str">
        <f aca="false">IF(AND('ENERO 2026'!D101&lt;&gt;"",'ENERO 2026'!Z101="POR RECOGER"),'ENERO 2026'!K101,"")</f>
        <v/>
      </c>
      <c r="G97" s="193" t="str">
        <f aca="false">IF(AND('ENERO 2026'!D101&lt;&gt;"",'ENERO 2026'!Z101="POR RECOGER"),'ENERO 2026'!M101,"")</f>
        <v/>
      </c>
      <c r="H97" s="193" t="str">
        <f aca="false">IF(AND('ENERO 2026'!D101&lt;&gt;"",'ENERO 2026'!Z101="POR RECOGER"),'ENERO 2026'!N101,"")</f>
        <v/>
      </c>
      <c r="I97" s="192" t="str">
        <f aca="false">IF(AND('ENERO 2026'!D101&lt;&gt;"",'ENERO 2026'!Z101="POR RECOGER"),'ENERO 2026'!P101,"")</f>
        <v/>
      </c>
      <c r="J97" s="192" t="str">
        <f aca="false">IF(AND('ENERO 2026'!D101&lt;&gt;"",'ENERO 2026'!Z101="POR RECOGER"),'ENERO 2026'!Q101,"")</f>
        <v/>
      </c>
      <c r="K97" s="192" t="str">
        <f aca="false">IF(AND('ENERO 2026'!D101&lt;&gt;"",'ENERO 2026'!Z101="POR RECOGER"),'ENERO 2026'!Y101,"")</f>
        <v/>
      </c>
      <c r="L97" s="192" t="str">
        <f aca="false">IF(AND('ENERO 2026'!D101&lt;&gt;"",'ENERO 2026'!Z101="POR RECOGER"),'ENERO 2026'!I101,"")</f>
        <v/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" hidden="false" customHeight="true" outlineLevel="0" collapsed="false">
      <c r="A98" s="192" t="str">
        <f aca="false">IF(AND('ENERO 2026'!D102&lt;&gt;"",'ENERO 2026'!Z102="POR RECOGER"),"ENE","")</f>
        <v/>
      </c>
      <c r="B98" s="192" t="str">
        <f aca="false">IF(AND('ENERO 2026'!D102&lt;&gt;"",'ENERO 2026'!Z102="POR RECOGER"),IF('ENERO 2026'!Y102&lt;&gt;"",'ENERO 2026'!Y102,'ENERO 2026'!I102),"")</f>
        <v/>
      </c>
      <c r="C98" s="192" t="str">
        <f aca="false">IF(AND('ENERO 2026'!D102&lt;&gt;"",'ENERO 2026'!Z102="POR RECOGER"),'ENERO 2026'!D102,"")</f>
        <v/>
      </c>
      <c r="D98" s="192" t="str">
        <f aca="false">IF(AND('ENERO 2026'!D102&lt;&gt;"",'ENERO 2026'!Z102="POR RECOGER"),'ENERO 2026'!F102,"")</f>
        <v/>
      </c>
      <c r="E98" s="192" t="str">
        <f aca="false">IF(AND('ENERO 2026'!D102&lt;&gt;"",'ENERO 2026'!Z102="POR RECOGER"),TEXT('ENERO 2026'!G102,"DD/MM/YYYY"),"")</f>
        <v/>
      </c>
      <c r="F98" s="192" t="str">
        <f aca="false">IF(AND('ENERO 2026'!D102&lt;&gt;"",'ENERO 2026'!Z102="POR RECOGER"),'ENERO 2026'!K102,"")</f>
        <v/>
      </c>
      <c r="G98" s="193" t="str">
        <f aca="false">IF(AND('ENERO 2026'!D102&lt;&gt;"",'ENERO 2026'!Z102="POR RECOGER"),'ENERO 2026'!M102,"")</f>
        <v/>
      </c>
      <c r="H98" s="193" t="str">
        <f aca="false">IF(AND('ENERO 2026'!D102&lt;&gt;"",'ENERO 2026'!Z102="POR RECOGER"),'ENERO 2026'!N102,"")</f>
        <v/>
      </c>
      <c r="I98" s="192" t="str">
        <f aca="false">IF(AND('ENERO 2026'!D102&lt;&gt;"",'ENERO 2026'!Z102="POR RECOGER"),'ENERO 2026'!P102,"")</f>
        <v/>
      </c>
      <c r="J98" s="192" t="str">
        <f aca="false">IF(AND('ENERO 2026'!D102&lt;&gt;"",'ENERO 2026'!Z102="POR RECOGER"),'ENERO 2026'!Q102,"")</f>
        <v/>
      </c>
      <c r="K98" s="192" t="str">
        <f aca="false">IF(AND('ENERO 2026'!D102&lt;&gt;"",'ENERO 2026'!Z102="POR RECOGER"),'ENERO 2026'!Y102,"")</f>
        <v/>
      </c>
      <c r="L98" s="192" t="str">
        <f aca="false">IF(AND('ENERO 2026'!D102&lt;&gt;"",'ENERO 2026'!Z102="POR RECOGER"),'ENERO 2026'!I102,"")</f>
        <v/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" hidden="false" customHeight="true" outlineLevel="0" collapsed="false">
      <c r="A99" s="192" t="str">
        <f aca="false">IF(AND('ENERO 2026'!D103&lt;&gt;"",'ENERO 2026'!Z103="POR RECOGER"),"ENE","")</f>
        <v/>
      </c>
      <c r="B99" s="192" t="str">
        <f aca="false">IF(AND('ENERO 2026'!D103&lt;&gt;"",'ENERO 2026'!Z103="POR RECOGER"),IF('ENERO 2026'!Y103&lt;&gt;"",'ENERO 2026'!Y103,'ENERO 2026'!I103),"")</f>
        <v/>
      </c>
      <c r="C99" s="192" t="str">
        <f aca="false">IF(AND('ENERO 2026'!D103&lt;&gt;"",'ENERO 2026'!Z103="POR RECOGER"),'ENERO 2026'!D103,"")</f>
        <v/>
      </c>
      <c r="D99" s="192" t="str">
        <f aca="false">IF(AND('ENERO 2026'!D103&lt;&gt;"",'ENERO 2026'!Z103="POR RECOGER"),'ENERO 2026'!F103,"")</f>
        <v/>
      </c>
      <c r="E99" s="192" t="str">
        <f aca="false">IF(AND('ENERO 2026'!D103&lt;&gt;"",'ENERO 2026'!Z103="POR RECOGER"),TEXT('ENERO 2026'!G103,"DD/MM/YYYY"),"")</f>
        <v/>
      </c>
      <c r="F99" s="192" t="str">
        <f aca="false">IF(AND('ENERO 2026'!D103&lt;&gt;"",'ENERO 2026'!Z103="POR RECOGER"),'ENERO 2026'!K103,"")</f>
        <v/>
      </c>
      <c r="G99" s="193" t="str">
        <f aca="false">IF(AND('ENERO 2026'!D103&lt;&gt;"",'ENERO 2026'!Z103="POR RECOGER"),'ENERO 2026'!M103,"")</f>
        <v/>
      </c>
      <c r="H99" s="193" t="str">
        <f aca="false">IF(AND('ENERO 2026'!D103&lt;&gt;"",'ENERO 2026'!Z103="POR RECOGER"),'ENERO 2026'!N103,"")</f>
        <v/>
      </c>
      <c r="I99" s="192" t="str">
        <f aca="false">IF(AND('ENERO 2026'!D103&lt;&gt;"",'ENERO 2026'!Z103="POR RECOGER"),'ENERO 2026'!P103,"")</f>
        <v/>
      </c>
      <c r="J99" s="192" t="str">
        <f aca="false">IF(AND('ENERO 2026'!D103&lt;&gt;"",'ENERO 2026'!Z103="POR RECOGER"),'ENERO 2026'!Q103,"")</f>
        <v/>
      </c>
      <c r="K99" s="192" t="str">
        <f aca="false">IF(AND('ENERO 2026'!D103&lt;&gt;"",'ENERO 2026'!Z103="POR RECOGER"),'ENERO 2026'!Y103,"")</f>
        <v/>
      </c>
      <c r="L99" s="192" t="str">
        <f aca="false">IF(AND('ENERO 2026'!D103&lt;&gt;"",'ENERO 2026'!Z103="POR RECOGER"),'ENERO 2026'!I103,"")</f>
        <v/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" hidden="false" customHeight="true" outlineLevel="0" collapsed="false">
      <c r="A100" s="192" t="str">
        <f aca="false">IF(AND('ENERO 2026'!D104&lt;&gt;"",'ENERO 2026'!Z104="POR RECOGER"),"ENE","")</f>
        <v/>
      </c>
      <c r="B100" s="192" t="str">
        <f aca="false">IF(AND('ENERO 2026'!D104&lt;&gt;"",'ENERO 2026'!Z104="POR RECOGER"),IF('ENERO 2026'!Y104&lt;&gt;"",'ENERO 2026'!Y104,'ENERO 2026'!I104),"")</f>
        <v/>
      </c>
      <c r="C100" s="192" t="str">
        <f aca="false">IF(AND('ENERO 2026'!D104&lt;&gt;"",'ENERO 2026'!Z104="POR RECOGER"),'ENERO 2026'!D104,"")</f>
        <v/>
      </c>
      <c r="D100" s="192" t="str">
        <f aca="false">IF(AND('ENERO 2026'!D104&lt;&gt;"",'ENERO 2026'!Z104="POR RECOGER"),'ENERO 2026'!F104,"")</f>
        <v/>
      </c>
      <c r="E100" s="192" t="str">
        <f aca="false">IF(AND('ENERO 2026'!D104&lt;&gt;"",'ENERO 2026'!Z104="POR RECOGER"),TEXT('ENERO 2026'!G104,"DD/MM/YYYY"),"")</f>
        <v/>
      </c>
      <c r="F100" s="192" t="str">
        <f aca="false">IF(AND('ENERO 2026'!D104&lt;&gt;"",'ENERO 2026'!Z104="POR RECOGER"),'ENERO 2026'!K104,"")</f>
        <v/>
      </c>
      <c r="G100" s="193" t="str">
        <f aca="false">IF(AND('ENERO 2026'!D104&lt;&gt;"",'ENERO 2026'!Z104="POR RECOGER"),'ENERO 2026'!M104,"")</f>
        <v/>
      </c>
      <c r="H100" s="193" t="str">
        <f aca="false">IF(AND('ENERO 2026'!D104&lt;&gt;"",'ENERO 2026'!Z104="POR RECOGER"),'ENERO 2026'!N104,"")</f>
        <v/>
      </c>
      <c r="I100" s="192" t="str">
        <f aca="false">IF(AND('ENERO 2026'!D104&lt;&gt;"",'ENERO 2026'!Z104="POR RECOGER"),'ENERO 2026'!P104,"")</f>
        <v/>
      </c>
      <c r="J100" s="192" t="str">
        <f aca="false">IF(AND('ENERO 2026'!D104&lt;&gt;"",'ENERO 2026'!Z104="POR RECOGER"),'ENERO 2026'!Q104,"")</f>
        <v/>
      </c>
      <c r="K100" s="192" t="str">
        <f aca="false">IF(AND('ENERO 2026'!D104&lt;&gt;"",'ENERO 2026'!Z104="POR RECOGER"),'ENERO 2026'!Y104,"")</f>
        <v/>
      </c>
      <c r="L100" s="192" t="str">
        <f aca="false">IF(AND('ENERO 2026'!D104&lt;&gt;"",'ENERO 2026'!Z104="POR RECOGER"),'ENERO 2026'!I104,"")</f>
        <v/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" hidden="false" customHeight="true" outlineLevel="0" collapsed="false">
      <c r="A101" s="192" t="str">
        <f aca="false">IF(AND('ENERO 2026'!D105&lt;&gt;"",'ENERO 2026'!Z105="POR RECOGER"),"ENE","")</f>
        <v/>
      </c>
      <c r="B101" s="192" t="str">
        <f aca="false">IF(AND('ENERO 2026'!D105&lt;&gt;"",'ENERO 2026'!Z105="POR RECOGER"),IF('ENERO 2026'!Y105&lt;&gt;"",'ENERO 2026'!Y105,'ENERO 2026'!I105),"")</f>
        <v/>
      </c>
      <c r="C101" s="192" t="str">
        <f aca="false">IF(AND('ENERO 2026'!D105&lt;&gt;"",'ENERO 2026'!Z105="POR RECOGER"),'ENERO 2026'!D105,"")</f>
        <v/>
      </c>
      <c r="D101" s="192" t="str">
        <f aca="false">IF(AND('ENERO 2026'!D105&lt;&gt;"",'ENERO 2026'!Z105="POR RECOGER"),'ENERO 2026'!F105,"")</f>
        <v/>
      </c>
      <c r="E101" s="192" t="str">
        <f aca="false">IF(AND('ENERO 2026'!D105&lt;&gt;"",'ENERO 2026'!Z105="POR RECOGER"),TEXT('ENERO 2026'!G105,"DD/MM/YYYY"),"")</f>
        <v/>
      </c>
      <c r="F101" s="192" t="str">
        <f aca="false">IF(AND('ENERO 2026'!D105&lt;&gt;"",'ENERO 2026'!Z105="POR RECOGER"),'ENERO 2026'!K105,"")</f>
        <v/>
      </c>
      <c r="G101" s="193" t="str">
        <f aca="false">IF(AND('ENERO 2026'!D105&lt;&gt;"",'ENERO 2026'!Z105="POR RECOGER"),'ENERO 2026'!M105,"")</f>
        <v/>
      </c>
      <c r="H101" s="193" t="str">
        <f aca="false">IF(AND('ENERO 2026'!D105&lt;&gt;"",'ENERO 2026'!Z105="POR RECOGER"),'ENERO 2026'!N105,"")</f>
        <v/>
      </c>
      <c r="I101" s="192" t="str">
        <f aca="false">IF(AND('ENERO 2026'!D105&lt;&gt;"",'ENERO 2026'!Z105="POR RECOGER"),'ENERO 2026'!P105,"")</f>
        <v/>
      </c>
      <c r="J101" s="192" t="str">
        <f aca="false">IF(AND('ENERO 2026'!D105&lt;&gt;"",'ENERO 2026'!Z105="POR RECOGER"),'ENERO 2026'!Q105,"")</f>
        <v/>
      </c>
      <c r="K101" s="192" t="str">
        <f aca="false">IF(AND('ENERO 2026'!D105&lt;&gt;"",'ENERO 2026'!Z105="POR RECOGER"),'ENERO 2026'!Y105,"")</f>
        <v/>
      </c>
      <c r="L101" s="192" t="str">
        <f aca="false">IF(AND('ENERO 2026'!D105&lt;&gt;"",'ENERO 2026'!Z105="POR RECOGER"),'ENERO 2026'!I105,"")</f>
        <v/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" hidden="false" customHeight="true" outlineLevel="0" collapsed="false">
      <c r="A102" s="192" t="str">
        <f aca="false">IF(AND('ENERO 2026'!D106&lt;&gt;"",'ENERO 2026'!Z106="POR RECOGER"),"ENE","")</f>
        <v/>
      </c>
      <c r="B102" s="192" t="str">
        <f aca="false">IF(AND('ENERO 2026'!D106&lt;&gt;"",'ENERO 2026'!Z106="POR RECOGER"),IF('ENERO 2026'!Y106&lt;&gt;"",'ENERO 2026'!Y106,'ENERO 2026'!I106),"")</f>
        <v/>
      </c>
      <c r="C102" s="192" t="str">
        <f aca="false">IF(AND('ENERO 2026'!D106&lt;&gt;"",'ENERO 2026'!Z106="POR RECOGER"),'ENERO 2026'!D106,"")</f>
        <v/>
      </c>
      <c r="D102" s="192" t="str">
        <f aca="false">IF(AND('ENERO 2026'!D106&lt;&gt;"",'ENERO 2026'!Z106="POR RECOGER"),'ENERO 2026'!F106,"")</f>
        <v/>
      </c>
      <c r="E102" s="192" t="str">
        <f aca="false">IF(AND('ENERO 2026'!D106&lt;&gt;"",'ENERO 2026'!Z106="POR RECOGER"),TEXT('ENERO 2026'!G106,"DD/MM/YYYY"),"")</f>
        <v/>
      </c>
      <c r="F102" s="192" t="str">
        <f aca="false">IF(AND('ENERO 2026'!D106&lt;&gt;"",'ENERO 2026'!Z106="POR RECOGER"),'ENERO 2026'!K106,"")</f>
        <v/>
      </c>
      <c r="G102" s="193" t="str">
        <f aca="false">IF(AND('ENERO 2026'!D106&lt;&gt;"",'ENERO 2026'!Z106="POR RECOGER"),'ENERO 2026'!M106,"")</f>
        <v/>
      </c>
      <c r="H102" s="193" t="str">
        <f aca="false">IF(AND('ENERO 2026'!D106&lt;&gt;"",'ENERO 2026'!Z106="POR RECOGER"),'ENERO 2026'!N106,"")</f>
        <v/>
      </c>
      <c r="I102" s="192" t="str">
        <f aca="false">IF(AND('ENERO 2026'!D106&lt;&gt;"",'ENERO 2026'!Z106="POR RECOGER"),'ENERO 2026'!P106,"")</f>
        <v/>
      </c>
      <c r="J102" s="192" t="str">
        <f aca="false">IF(AND('ENERO 2026'!D106&lt;&gt;"",'ENERO 2026'!Z106="POR RECOGER"),'ENERO 2026'!Q106,"")</f>
        <v/>
      </c>
      <c r="K102" s="192" t="str">
        <f aca="false">IF(AND('ENERO 2026'!D106&lt;&gt;"",'ENERO 2026'!Z106="POR RECOGER"),'ENERO 2026'!Y106,"")</f>
        <v/>
      </c>
      <c r="L102" s="192" t="str">
        <f aca="false">IF(AND('ENERO 2026'!D106&lt;&gt;"",'ENERO 2026'!Z106="POR RECOGER"),'ENERO 2026'!I106,"")</f>
        <v/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" hidden="false" customHeight="true" outlineLevel="0" collapsed="false">
      <c r="A103" s="192" t="str">
        <f aca="false">IF(AND('ENERO 2026'!D107&lt;&gt;"",'ENERO 2026'!Z107="POR RECOGER"),"ENE","")</f>
        <v/>
      </c>
      <c r="B103" s="192" t="str">
        <f aca="false">IF(AND('ENERO 2026'!D107&lt;&gt;"",'ENERO 2026'!Z107="POR RECOGER"),IF('ENERO 2026'!Y107&lt;&gt;"",'ENERO 2026'!Y107,'ENERO 2026'!I107),"")</f>
        <v/>
      </c>
      <c r="C103" s="192" t="str">
        <f aca="false">IF(AND('ENERO 2026'!D107&lt;&gt;"",'ENERO 2026'!Z107="POR RECOGER"),'ENERO 2026'!D107,"")</f>
        <v/>
      </c>
      <c r="D103" s="192" t="str">
        <f aca="false">IF(AND('ENERO 2026'!D107&lt;&gt;"",'ENERO 2026'!Z107="POR RECOGER"),'ENERO 2026'!F107,"")</f>
        <v/>
      </c>
      <c r="E103" s="192" t="str">
        <f aca="false">IF(AND('ENERO 2026'!D107&lt;&gt;"",'ENERO 2026'!Z107="POR RECOGER"),TEXT('ENERO 2026'!G107,"DD/MM/YYYY"),"")</f>
        <v/>
      </c>
      <c r="F103" s="192" t="str">
        <f aca="false">IF(AND('ENERO 2026'!D107&lt;&gt;"",'ENERO 2026'!Z107="POR RECOGER"),'ENERO 2026'!K107,"")</f>
        <v/>
      </c>
      <c r="G103" s="193" t="str">
        <f aca="false">IF(AND('ENERO 2026'!D107&lt;&gt;"",'ENERO 2026'!Z107="POR RECOGER"),'ENERO 2026'!M107,"")</f>
        <v/>
      </c>
      <c r="H103" s="193" t="str">
        <f aca="false">IF(AND('ENERO 2026'!D107&lt;&gt;"",'ENERO 2026'!Z107="POR RECOGER"),'ENERO 2026'!N107,"")</f>
        <v/>
      </c>
      <c r="I103" s="192" t="str">
        <f aca="false">IF(AND('ENERO 2026'!D107&lt;&gt;"",'ENERO 2026'!Z107="POR RECOGER"),'ENERO 2026'!P107,"")</f>
        <v/>
      </c>
      <c r="J103" s="192" t="str">
        <f aca="false">IF(AND('ENERO 2026'!D107&lt;&gt;"",'ENERO 2026'!Z107="POR RECOGER"),'ENERO 2026'!Q107,"")</f>
        <v/>
      </c>
      <c r="K103" s="192" t="str">
        <f aca="false">IF(AND('ENERO 2026'!D107&lt;&gt;"",'ENERO 2026'!Z107="POR RECOGER"),'ENERO 2026'!Y107,"")</f>
        <v/>
      </c>
      <c r="L103" s="192" t="str">
        <f aca="false">IF(AND('ENERO 2026'!D107&lt;&gt;"",'ENERO 2026'!Z107="POR RECOGER"),'ENERO 2026'!I107,"")</f>
        <v/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" hidden="false" customHeight="true" outlineLevel="0" collapsed="false">
      <c r="A104" s="192" t="str">
        <f aca="false">IF(AND('ENERO 2026'!D108&lt;&gt;"",'ENERO 2026'!Z108="POR RECOGER"),"ENE","")</f>
        <v/>
      </c>
      <c r="B104" s="192" t="str">
        <f aca="false">IF(AND('ENERO 2026'!D108&lt;&gt;"",'ENERO 2026'!Z108="POR RECOGER"),IF('ENERO 2026'!Y108&lt;&gt;"",'ENERO 2026'!Y108,'ENERO 2026'!I108),"")</f>
        <v/>
      </c>
      <c r="C104" s="192" t="str">
        <f aca="false">IF(AND('ENERO 2026'!D108&lt;&gt;"",'ENERO 2026'!Z108="POR RECOGER"),'ENERO 2026'!D108,"")</f>
        <v/>
      </c>
      <c r="D104" s="192" t="str">
        <f aca="false">IF(AND('ENERO 2026'!D108&lt;&gt;"",'ENERO 2026'!Z108="POR RECOGER"),'ENERO 2026'!F108,"")</f>
        <v/>
      </c>
      <c r="E104" s="192" t="str">
        <f aca="false">IF(AND('ENERO 2026'!D108&lt;&gt;"",'ENERO 2026'!Z108="POR RECOGER"),TEXT('ENERO 2026'!G108,"DD/MM/YYYY"),"")</f>
        <v/>
      </c>
      <c r="F104" s="192" t="str">
        <f aca="false">IF(AND('ENERO 2026'!D108&lt;&gt;"",'ENERO 2026'!Z108="POR RECOGER"),'ENERO 2026'!K108,"")</f>
        <v/>
      </c>
      <c r="G104" s="193" t="str">
        <f aca="false">IF(AND('ENERO 2026'!D108&lt;&gt;"",'ENERO 2026'!Z108="POR RECOGER"),'ENERO 2026'!M108,"")</f>
        <v/>
      </c>
      <c r="H104" s="193" t="str">
        <f aca="false">IF(AND('ENERO 2026'!D108&lt;&gt;"",'ENERO 2026'!Z108="POR RECOGER"),'ENERO 2026'!N108,"")</f>
        <v/>
      </c>
      <c r="I104" s="192" t="str">
        <f aca="false">IF(AND('ENERO 2026'!D108&lt;&gt;"",'ENERO 2026'!Z108="POR RECOGER"),'ENERO 2026'!P108,"")</f>
        <v/>
      </c>
      <c r="J104" s="192" t="str">
        <f aca="false">IF(AND('ENERO 2026'!D108&lt;&gt;"",'ENERO 2026'!Z108="POR RECOGER"),'ENERO 2026'!Q108,"")</f>
        <v/>
      </c>
      <c r="K104" s="192" t="str">
        <f aca="false">IF(AND('ENERO 2026'!D108&lt;&gt;"",'ENERO 2026'!Z108="POR RECOGER"),'ENERO 2026'!Y108,"")</f>
        <v/>
      </c>
      <c r="L104" s="192" t="str">
        <f aca="false">IF(AND('ENERO 2026'!D108&lt;&gt;"",'ENERO 2026'!Z108="POR RECOGER"),'ENERO 2026'!I108,"")</f>
        <v/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" hidden="false" customHeight="true" outlineLevel="0" collapsed="false">
      <c r="A105" s="192" t="str">
        <f aca="false">IF(AND('ENERO 2026'!D109&lt;&gt;"",'ENERO 2026'!Z109="POR RECOGER"),"ENE","")</f>
        <v/>
      </c>
      <c r="B105" s="192" t="str">
        <f aca="false">IF(AND('ENERO 2026'!D109&lt;&gt;"",'ENERO 2026'!Z109="POR RECOGER"),IF('ENERO 2026'!Y109&lt;&gt;"",'ENERO 2026'!Y109,'ENERO 2026'!I109),"")</f>
        <v/>
      </c>
      <c r="C105" s="192" t="str">
        <f aca="false">IF(AND('ENERO 2026'!D109&lt;&gt;"",'ENERO 2026'!Z109="POR RECOGER"),'ENERO 2026'!D109,"")</f>
        <v/>
      </c>
      <c r="D105" s="192" t="str">
        <f aca="false">IF(AND('ENERO 2026'!D109&lt;&gt;"",'ENERO 2026'!Z109="POR RECOGER"),'ENERO 2026'!F109,"")</f>
        <v/>
      </c>
      <c r="E105" s="192" t="str">
        <f aca="false">IF(AND('ENERO 2026'!D109&lt;&gt;"",'ENERO 2026'!Z109="POR RECOGER"),TEXT('ENERO 2026'!G109,"DD/MM/YYYY"),"")</f>
        <v/>
      </c>
      <c r="F105" s="192" t="str">
        <f aca="false">IF(AND('ENERO 2026'!D109&lt;&gt;"",'ENERO 2026'!Z109="POR RECOGER"),'ENERO 2026'!K109,"")</f>
        <v/>
      </c>
      <c r="G105" s="193" t="str">
        <f aca="false">IF(AND('ENERO 2026'!D109&lt;&gt;"",'ENERO 2026'!Z109="POR RECOGER"),'ENERO 2026'!M109,"")</f>
        <v/>
      </c>
      <c r="H105" s="193" t="str">
        <f aca="false">IF(AND('ENERO 2026'!D109&lt;&gt;"",'ENERO 2026'!Z109="POR RECOGER"),'ENERO 2026'!N109,"")</f>
        <v/>
      </c>
      <c r="I105" s="192" t="str">
        <f aca="false">IF(AND('ENERO 2026'!D109&lt;&gt;"",'ENERO 2026'!Z109="POR RECOGER"),'ENERO 2026'!P109,"")</f>
        <v/>
      </c>
      <c r="J105" s="192" t="str">
        <f aca="false">IF(AND('ENERO 2026'!D109&lt;&gt;"",'ENERO 2026'!Z109="POR RECOGER"),'ENERO 2026'!Q109,"")</f>
        <v/>
      </c>
      <c r="K105" s="192" t="str">
        <f aca="false">IF(AND('ENERO 2026'!D109&lt;&gt;"",'ENERO 2026'!Z109="POR RECOGER"),'ENERO 2026'!Y109,"")</f>
        <v/>
      </c>
      <c r="L105" s="192" t="str">
        <f aca="false">IF(AND('ENERO 2026'!D109&lt;&gt;"",'ENERO 2026'!Z109="POR RECOGER"),'ENERO 2026'!I109,"")</f>
        <v/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" hidden="false" customHeight="true" outlineLevel="0" collapsed="false">
      <c r="A106" s="192" t="str">
        <f aca="false">IF(AND('ENERO 2026'!D110&lt;&gt;"",'ENERO 2026'!Z110="POR RECOGER"),"ENE","")</f>
        <v/>
      </c>
      <c r="B106" s="192" t="str">
        <f aca="false">IF(AND('ENERO 2026'!D110&lt;&gt;"",'ENERO 2026'!Z110="POR RECOGER"),IF('ENERO 2026'!Y110&lt;&gt;"",'ENERO 2026'!Y110,'ENERO 2026'!I110),"")</f>
        <v/>
      </c>
      <c r="C106" s="192" t="str">
        <f aca="false">IF(AND('ENERO 2026'!D110&lt;&gt;"",'ENERO 2026'!Z110="POR RECOGER"),'ENERO 2026'!D110,"")</f>
        <v/>
      </c>
      <c r="D106" s="192" t="str">
        <f aca="false">IF(AND('ENERO 2026'!D110&lt;&gt;"",'ENERO 2026'!Z110="POR RECOGER"),'ENERO 2026'!F110,"")</f>
        <v/>
      </c>
      <c r="E106" s="192" t="str">
        <f aca="false">IF(AND('ENERO 2026'!D110&lt;&gt;"",'ENERO 2026'!Z110="POR RECOGER"),TEXT('ENERO 2026'!G110,"DD/MM/YYYY"),"")</f>
        <v/>
      </c>
      <c r="F106" s="192" t="str">
        <f aca="false">IF(AND('ENERO 2026'!D110&lt;&gt;"",'ENERO 2026'!Z110="POR RECOGER"),'ENERO 2026'!K110,"")</f>
        <v/>
      </c>
      <c r="G106" s="193" t="str">
        <f aca="false">IF(AND('ENERO 2026'!D110&lt;&gt;"",'ENERO 2026'!Z110="POR RECOGER"),'ENERO 2026'!M110,"")</f>
        <v/>
      </c>
      <c r="H106" s="193" t="str">
        <f aca="false">IF(AND('ENERO 2026'!D110&lt;&gt;"",'ENERO 2026'!Z110="POR RECOGER"),'ENERO 2026'!N110,"")</f>
        <v/>
      </c>
      <c r="I106" s="192" t="str">
        <f aca="false">IF(AND('ENERO 2026'!D110&lt;&gt;"",'ENERO 2026'!Z110="POR RECOGER"),'ENERO 2026'!P110,"")</f>
        <v/>
      </c>
      <c r="J106" s="192" t="str">
        <f aca="false">IF(AND('ENERO 2026'!D110&lt;&gt;"",'ENERO 2026'!Z110="POR RECOGER"),'ENERO 2026'!Q110,"")</f>
        <v/>
      </c>
      <c r="K106" s="192" t="str">
        <f aca="false">IF(AND('ENERO 2026'!D110&lt;&gt;"",'ENERO 2026'!Z110="POR RECOGER"),'ENERO 2026'!Y110,"")</f>
        <v/>
      </c>
      <c r="L106" s="192" t="str">
        <f aca="false">IF(AND('ENERO 2026'!D110&lt;&gt;"",'ENERO 2026'!Z110="POR RECOGER"),'ENERO 2026'!I110,"")</f>
        <v/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" hidden="false" customHeight="true" outlineLevel="0" collapsed="false">
      <c r="A107" s="192" t="str">
        <f aca="false">IF(AND('FEBRERO 2026'!D6&lt;&gt;"",'FEBRERO 2026'!Z6="POR RECOGER"),"FEB","")</f>
        <v>FEB</v>
      </c>
      <c r="B107" s="192" t="str">
        <f aca="false">IF(AND('FEBRERO 2026'!D6&lt;&gt;"",'FEBRERO 2026'!Z6="POR RECOGER"),IF('FEBRERO 2026'!Y6&lt;&gt;"",'FEBRERO 2026'!Y6,'FEBRERO 2026'!I6),"")</f>
        <v>SALAZAR</v>
      </c>
      <c r="C107" s="192" t="str">
        <f aca="false">IF(AND('FEBRERO 2026'!D6&lt;&gt;"",'FEBRERO 2026'!Z6="POR RECOGER"),'FEBRERO 2026'!D6,"")</f>
        <v>CHOCA CHAPPA LIS JHISENIA</v>
      </c>
      <c r="D107" s="192" t="str">
        <f aca="false">IF(AND('FEBRERO 2026'!D6&lt;&gt;"",'FEBRERO 2026'!Z6="POR RECOGER"),'FEBRERO 2026'!F6,"")</f>
        <v>77292793</v>
      </c>
      <c r="E107" s="192" t="str">
        <f aca="false">IF(AND('FEBRERO 2026'!D6&lt;&gt;"",'FEBRERO 2026'!Z6="POR RECOGER"),TEXT('FEBRERO 2026'!G6,"DD/MM/YYYY"),"")</f>
        <v>01/02/2026</v>
      </c>
      <c r="F107" s="192" t="str">
        <f aca="false">IF(AND('FEBRERO 2026'!D6&lt;&gt;"",'FEBRERO 2026'!Z6="POR RECOGER"),'FEBRERO 2026'!K6,"")</f>
        <v>GASOLINA</v>
      </c>
      <c r="G107" s="193" t="n">
        <f aca="false">IF(AND('FEBRERO 2026'!D6&lt;&gt;"",'FEBRERO 2026'!Z6="POR RECOGER"),'FEBRERO 2026'!M6,"")</f>
        <v>20</v>
      </c>
      <c r="H107" s="193" t="n">
        <f aca="false">IF(AND('FEBRERO 2026'!D6&lt;&gt;"",'FEBRERO 2026'!Z6="POR RECOGER"),'FEBRERO 2026'!N6,"")</f>
        <v>359</v>
      </c>
      <c r="I107" s="192" t="str">
        <f aca="false">IF(AND('FEBRERO 2026'!D6&lt;&gt;"",'FEBRERO 2026'!Z6="POR RECOGER"),'FEBRERO 2026'!P6,"")</f>
        <v>EDINSON CARRASCO VELA</v>
      </c>
      <c r="J107" s="192" t="str">
        <f aca="false">IF(AND('FEBRERO 2026'!D6&lt;&gt;"",'FEBRERO 2026'!Z6="POR RECOGER"),'FEBRERO 2026'!Q6,"")</f>
        <v>EUE-457</v>
      </c>
      <c r="K107" s="192" t="n">
        <f aca="false">IF(AND('FEBRERO 2026'!D6&lt;&gt;"",'FEBRERO 2026'!Z6="POR RECOGER"),'FEBRERO 2026'!Y6,"")</f>
        <v>0</v>
      </c>
      <c r="L107" s="192" t="str">
        <f aca="false">IF(AND('FEBRERO 2026'!D6&lt;&gt;"",'FEBRERO 2026'!Z6="POR RECOGER"),'FEBRERO 2026'!I6,"")</f>
        <v>SALAZAR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" hidden="false" customHeight="true" outlineLevel="0" collapsed="false">
      <c r="A108" s="192" t="str">
        <f aca="false">IF(AND('FEBRERO 2026'!D7&lt;&gt;"",'FEBRERO 2026'!Z7="POR RECOGER"),"FEB","")</f>
        <v>FEB</v>
      </c>
      <c r="B108" s="192" t="str">
        <f aca="false">IF(AND('FEBRERO 2026'!D7&lt;&gt;"",'FEBRERO 2026'!Z7="POR RECOGER"),IF('FEBRERO 2026'!Y7&lt;&gt;"",'FEBRERO 2026'!Y7,'FEBRERO 2026'!I7),"")</f>
        <v>LAMUD</v>
      </c>
      <c r="C108" s="192" t="str">
        <f aca="false">IF(AND('FEBRERO 2026'!D7&lt;&gt;"",'FEBRERO 2026'!Z7="POR RECOGER"),'FEBRERO 2026'!D7,"")</f>
        <v>ANGELES BAUTISTA MARIA NATIVIDAD</v>
      </c>
      <c r="D108" s="192" t="str">
        <f aca="false">IF(AND('FEBRERO 2026'!D7&lt;&gt;"",'FEBRERO 2026'!Z7="POR RECOGER"),'FEBRERO 2026'!F7,"")</f>
        <v>33780891</v>
      </c>
      <c r="E108" s="192" t="str">
        <f aca="false">IF(AND('FEBRERO 2026'!D7&lt;&gt;"",'FEBRERO 2026'!Z7="POR RECOGER"),TEXT('FEBRERO 2026'!G7,"DD/MM/YYYY"),"")</f>
        <v>02/02/2026</v>
      </c>
      <c r="F108" s="192" t="str">
        <f aca="false">IF(AND('FEBRERO 2026'!D7&lt;&gt;"",'FEBRERO 2026'!Z7="POR RECOGER"),'FEBRERO 2026'!K7,"")</f>
        <v>PETROLEO</v>
      </c>
      <c r="G108" s="193" t="n">
        <f aca="false">IF(AND('FEBRERO 2026'!D7&lt;&gt;"",'FEBRERO 2026'!Z7="POR RECOGER"),'FEBRERO 2026'!M7,"")</f>
        <v>4</v>
      </c>
      <c r="H108" s="193" t="n">
        <f aca="false">IF(AND('FEBRERO 2026'!D7&lt;&gt;"",'FEBRERO 2026'!Z7="POR RECOGER"),'FEBRERO 2026'!N7,"")</f>
        <v>72.72</v>
      </c>
      <c r="I108" s="192" t="str">
        <f aca="false">IF(AND('FEBRERO 2026'!D7&lt;&gt;"",'FEBRERO 2026'!Z7="POR RECOGER"),'FEBRERO 2026'!P7,"")</f>
        <v>RUFASTO CHUQUIZUTA JUAN KAROOL</v>
      </c>
      <c r="J108" s="192" t="str">
        <f aca="false">IF(AND('FEBRERO 2026'!D7&lt;&gt;"",'FEBRERO 2026'!Z7="POR RECOGER"),'FEBRERO 2026'!Q7,"")</f>
        <v>EUA963</v>
      </c>
      <c r="K108" s="192" t="n">
        <f aca="false">IF(AND('FEBRERO 2026'!D7&lt;&gt;"",'FEBRERO 2026'!Z7="POR RECOGER"),'FEBRERO 2026'!Y7,"")</f>
        <v>0</v>
      </c>
      <c r="L108" s="192" t="str">
        <f aca="false">IF(AND('FEBRERO 2026'!D7&lt;&gt;"",'FEBRERO 2026'!Z7="POR RECOGER"),'FEBRERO 2026'!I7,"")</f>
        <v>LAMUD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" hidden="false" customHeight="true" outlineLevel="0" collapsed="false">
      <c r="A109" s="192" t="str">
        <f aca="false">IF(AND('FEBRERO 2026'!D8&lt;&gt;"",'FEBRERO 2026'!Z8="POR RECOGER"),"FEB","")</f>
        <v>FEB</v>
      </c>
      <c r="B109" s="192" t="str">
        <f aca="false">IF(AND('FEBRERO 2026'!D8&lt;&gt;"",'FEBRERO 2026'!Z8="POR RECOGER"),IF('FEBRERO 2026'!Y8&lt;&gt;"",'FEBRERO 2026'!Y8,'FEBRERO 2026'!I8),"")</f>
        <v>SALAZAR</v>
      </c>
      <c r="C109" s="192" t="str">
        <f aca="false">IF(AND('FEBRERO 2026'!D8&lt;&gt;"",'FEBRERO 2026'!Z8="POR RECOGER"),'FEBRERO 2026'!D8,"")</f>
        <v>ROJAS MENDOZA ESTHER</v>
      </c>
      <c r="D109" s="192" t="str">
        <f aca="false">IF(AND('FEBRERO 2026'!D8&lt;&gt;"",'FEBRERO 2026'!Z8="POR RECOGER"),'FEBRERO 2026'!F8,"")</f>
        <v>61751899</v>
      </c>
      <c r="E109" s="192" t="str">
        <f aca="false">IF(AND('FEBRERO 2026'!D8&lt;&gt;"",'FEBRERO 2026'!Z8="POR RECOGER"),TEXT('FEBRERO 2026'!G8,"DD/MM/YYYY"),"")</f>
        <v>02/02/2026</v>
      </c>
      <c r="F109" s="192" t="str">
        <f aca="false">IF(AND('FEBRERO 2026'!D8&lt;&gt;"",'FEBRERO 2026'!Z8="POR RECOGER"),'FEBRERO 2026'!K8,"")</f>
        <v>GASOLINA</v>
      </c>
      <c r="G109" s="193" t="n">
        <f aca="false">IF(AND('FEBRERO 2026'!D8&lt;&gt;"",'FEBRERO 2026'!Z8="POR RECOGER"),'FEBRERO 2026'!M8,"")</f>
        <v>12</v>
      </c>
      <c r="H109" s="193" t="n">
        <f aca="false">IF(AND('FEBRERO 2026'!D8&lt;&gt;"",'FEBRERO 2026'!Z8="POR RECOGER"),'FEBRERO 2026'!N8,"")</f>
        <v>215.4</v>
      </c>
      <c r="I109" s="192" t="str">
        <f aca="false">IF(AND('FEBRERO 2026'!D8&lt;&gt;"",'FEBRERO 2026'!Z8="POR RECOGER"),'FEBRERO 2026'!P8,"")</f>
        <v>EDINSON CARRASCO VELA</v>
      </c>
      <c r="J109" s="192" t="str">
        <f aca="false">IF(AND('FEBRERO 2026'!D8&lt;&gt;"",'FEBRERO 2026'!Z8="POR RECOGER"),'FEBRERO 2026'!Q8,"")</f>
        <v>EUE-457</v>
      </c>
      <c r="K109" s="192" t="n">
        <f aca="false">IF(AND('FEBRERO 2026'!D8&lt;&gt;"",'FEBRERO 2026'!Z8="POR RECOGER"),'FEBRERO 2026'!Y8,"")</f>
        <v>0</v>
      </c>
      <c r="L109" s="192" t="str">
        <f aca="false">IF(AND('FEBRERO 2026'!D8&lt;&gt;"",'FEBRERO 2026'!Z8="POR RECOGER"),'FEBRERO 2026'!I8,"")</f>
        <v>SALAZAR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" hidden="false" customHeight="true" outlineLevel="0" collapsed="false">
      <c r="A110" s="192" t="str">
        <f aca="false">IF(AND('FEBRERO 2026'!D9&lt;&gt;"",'FEBRERO 2026'!Z9="POR RECOGER"),"FEB","")</f>
        <v>FEB</v>
      </c>
      <c r="B110" s="192" t="str">
        <f aca="false">IF(AND('FEBRERO 2026'!D9&lt;&gt;"",'FEBRERO 2026'!Z9="POR RECOGER"),IF('FEBRERO 2026'!Y9&lt;&gt;"",'FEBRERO 2026'!Y9,'FEBRERO 2026'!I9),"")</f>
        <v>YERBABUENA</v>
      </c>
      <c r="C110" s="192" t="str">
        <f aca="false">IF(AND('FEBRERO 2026'!D9&lt;&gt;"",'FEBRERO 2026'!Z9="POR RECOGER"),'FEBRERO 2026'!D9,"")</f>
        <v>LOJA ALVA KEISY BRIGITH</v>
      </c>
      <c r="D110" s="192" t="str">
        <f aca="false">IF(AND('FEBRERO 2026'!D9&lt;&gt;"",'FEBRERO 2026'!Z9="POR RECOGER"),'FEBRERO 2026'!F9,"")</f>
        <v>77571420</v>
      </c>
      <c r="E110" s="192" t="str">
        <f aca="false">IF(AND('FEBRERO 2026'!D9&lt;&gt;"",'FEBRERO 2026'!Z9="POR RECOGER"),TEXT('FEBRERO 2026'!G9,"DD/MM/YYYY"),"")</f>
        <v>03/02/2026</v>
      </c>
      <c r="F110" s="192" t="str">
        <f aca="false">IF(AND('FEBRERO 2026'!D9&lt;&gt;"",'FEBRERO 2026'!Z9="POR RECOGER"),'FEBRERO 2026'!K9,"")</f>
        <v>PETROLEO</v>
      </c>
      <c r="G110" s="193" t="n">
        <f aca="false">IF(AND('FEBRERO 2026'!D9&lt;&gt;"",'FEBRERO 2026'!Z9="POR RECOGER"),'FEBRERO 2026'!M9,"")</f>
        <v>6</v>
      </c>
      <c r="H110" s="193" t="n">
        <f aca="false">IF(AND('FEBRERO 2026'!D9&lt;&gt;"",'FEBRERO 2026'!Z9="POR RECOGER"),'FEBRERO 2026'!N9,"")</f>
        <v>109.08</v>
      </c>
      <c r="I110" s="192" t="str">
        <f aca="false">IF(AND('FEBRERO 2026'!D9&lt;&gt;"",'FEBRERO 2026'!Z9="POR RECOGER"),'FEBRERO 2026'!P9,"")</f>
        <v>SANCHEZ CAJO VICENTE</v>
      </c>
      <c r="J110" s="192" t="str">
        <f aca="false">IF(AND('FEBRERO 2026'!D9&lt;&gt;"",'FEBRERO 2026'!Z9="POR RECOGER"),'FEBRERO 2026'!Q9,"")</f>
        <v>EGL-296</v>
      </c>
      <c r="K110" s="192" t="n">
        <f aca="false">IF(AND('FEBRERO 2026'!D9&lt;&gt;"",'FEBRERO 2026'!Z9="POR RECOGER"),'FEBRERO 2026'!Y9,"")</f>
        <v>0</v>
      </c>
      <c r="L110" s="192" t="str">
        <f aca="false">IF(AND('FEBRERO 2026'!D9&lt;&gt;"",'FEBRERO 2026'!Z9="POR RECOGER"),'FEBRERO 2026'!I9,"")</f>
        <v>YERBABUENA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" hidden="false" customHeight="true" outlineLevel="0" collapsed="false">
      <c r="A111" s="192" t="str">
        <f aca="false">IF(AND('FEBRERO 2026'!D10&lt;&gt;"",'FEBRERO 2026'!Z10="POR RECOGER"),"FEB","")</f>
        <v>FEB</v>
      </c>
      <c r="B111" s="192" t="str">
        <f aca="false">IF(AND('FEBRERO 2026'!D10&lt;&gt;"",'FEBRERO 2026'!Z10="POR RECOGER"),IF('FEBRERO 2026'!Y10&lt;&gt;"",'FEBRERO 2026'!Y10,'FEBRERO 2026'!I10),"")</f>
        <v>JUMBILLA</v>
      </c>
      <c r="C111" s="192" t="str">
        <f aca="false">IF(AND('FEBRERO 2026'!D10&lt;&gt;"",'FEBRERO 2026'!Z10="POR RECOGER"),'FEBRERO 2026'!D10,"")</f>
        <v>SAUCEDO RODRIGUEZ ISOLINA</v>
      </c>
      <c r="D111" s="192" t="str">
        <f aca="false">IF(AND('FEBRERO 2026'!D10&lt;&gt;"",'FEBRERO 2026'!Z10="POR RECOGER"),'FEBRERO 2026'!F10,"")</f>
        <v>60268271</v>
      </c>
      <c r="E111" s="192" t="str">
        <f aca="false">IF(AND('FEBRERO 2026'!D10&lt;&gt;"",'FEBRERO 2026'!Z10="POR RECOGER"),TEXT('FEBRERO 2026'!G10,"DD/MM/YYYY"),"")</f>
        <v>03/02/2026</v>
      </c>
      <c r="F111" s="192" t="str">
        <f aca="false">IF(AND('FEBRERO 2026'!D10&lt;&gt;"",'FEBRERO 2026'!Z10="POR RECOGER"),'FEBRERO 2026'!K10,"")</f>
        <v>PETROLEO</v>
      </c>
      <c r="G111" s="193" t="n">
        <f aca="false">IF(AND('FEBRERO 2026'!D10&lt;&gt;"",'FEBRERO 2026'!Z10="POR RECOGER"),'FEBRERO 2026'!M10,"")</f>
        <v>5</v>
      </c>
      <c r="H111" s="193" t="n">
        <f aca="false">IF(AND('FEBRERO 2026'!D10&lt;&gt;"",'FEBRERO 2026'!Z10="POR RECOGER"),'FEBRERO 2026'!N10,"")</f>
        <v>90.9</v>
      </c>
      <c r="I111" s="192" t="str">
        <f aca="false">IF(AND('FEBRERO 2026'!D10&lt;&gt;"",'FEBRERO 2026'!Z10="POR RECOGER"),'FEBRERO 2026'!P10,"")</f>
        <v>BRICENO OXOLON MANUEL</v>
      </c>
      <c r="J111" s="192" t="str">
        <f aca="false">IF(AND('FEBRERO 2026'!D10&lt;&gt;"",'FEBRERO 2026'!Z10="POR RECOGER"),'FEBRERO 2026'!Q10,"")</f>
        <v>EUC976</v>
      </c>
      <c r="K111" s="192" t="str">
        <f aca="false">IF(AND('FEBRERO 2026'!D10&lt;&gt;"",'FEBRERO 2026'!Z10="POR RECOGER"),'FEBRERO 2026'!Y10,"")</f>
        <v>JUMBILLA</v>
      </c>
      <c r="L111" s="192" t="str">
        <f aca="false">IF(AND('FEBRERO 2026'!D10&lt;&gt;"",'FEBRERO 2026'!Z10="POR RECOGER"),'FEBRERO 2026'!I10,"")</f>
        <v>COROSHA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" hidden="false" customHeight="true" outlineLevel="0" collapsed="false">
      <c r="A112" s="192" t="str">
        <f aca="false">IF(AND('FEBRERO 2026'!D11&lt;&gt;"",'FEBRERO 2026'!Z11="POR RECOGER"),"FEB","")</f>
        <v>FEB</v>
      </c>
      <c r="B112" s="192" t="str">
        <f aca="false">IF(AND('FEBRERO 2026'!D11&lt;&gt;"",'FEBRERO 2026'!Z11="POR RECOGER"),IF('FEBRERO 2026'!Y11&lt;&gt;"",'FEBRERO 2026'!Y11,'FEBRERO 2026'!I11),"")</f>
        <v>MARIA AUXILIADORA</v>
      </c>
      <c r="C112" s="192" t="str">
        <f aca="false">IF(AND('FEBRERO 2026'!D11&lt;&gt;"",'FEBRERO 2026'!Z11="POR RECOGER"),'FEBRERO 2026'!D11,"")</f>
        <v> MORAN CASTILLO ROSA YOLANDA</v>
      </c>
      <c r="D112" s="192" t="str">
        <f aca="false">IF(AND('FEBRERO 2026'!D11&lt;&gt;"",'FEBRERO 2026'!Z11="POR RECOGER"),'FEBRERO 2026'!F11,"")</f>
        <v>16578620</v>
      </c>
      <c r="E112" s="192" t="str">
        <f aca="false">IF(AND('FEBRERO 2026'!D11&lt;&gt;"",'FEBRERO 2026'!Z11="POR RECOGER"),TEXT('FEBRERO 2026'!G11,"DD/MM/YYYY"),"")</f>
        <v>03/02/2026</v>
      </c>
      <c r="F112" s="192" t="str">
        <f aca="false">IF(AND('FEBRERO 2026'!D11&lt;&gt;"",'FEBRERO 2026'!Z11="POR RECOGER"),'FEBRERO 2026'!K11,"")</f>
        <v>PETROLEO</v>
      </c>
      <c r="G112" s="193" t="n">
        <f aca="false">IF(AND('FEBRERO 2026'!D11&lt;&gt;"",'FEBRERO 2026'!Z11="POR RECOGER"),'FEBRERO 2026'!M11,"")</f>
        <v>7</v>
      </c>
      <c r="H112" s="193" t="n">
        <f aca="false">IF(AND('FEBRERO 2026'!D11&lt;&gt;"",'FEBRERO 2026'!Z11="POR RECOGER"),'FEBRERO 2026'!N11,"")</f>
        <v>141.75</v>
      </c>
      <c r="I112" s="192" t="str">
        <f aca="false">IF(AND('FEBRERO 2026'!D11&lt;&gt;"",'FEBRERO 2026'!Z11="POR RECOGER"),'FEBRERO 2026'!P11,"")</f>
        <v>LOPEZ HOYOS MIGUEL ANGEL</v>
      </c>
      <c r="J112" s="192" t="str">
        <f aca="false">IF(AND('FEBRERO 2026'!D11&lt;&gt;"",'FEBRERO 2026'!Z11="POR RECOGER"),'FEBRERO 2026'!Q11,"")</f>
        <v>EUH-698</v>
      </c>
      <c r="K112" s="192" t="n">
        <f aca="false">IF(AND('FEBRERO 2026'!D11&lt;&gt;"",'FEBRERO 2026'!Z11="POR RECOGER"),'FEBRERO 2026'!Y11,"")</f>
        <v>0</v>
      </c>
      <c r="L112" s="192" t="str">
        <f aca="false">IF(AND('FEBRERO 2026'!D11&lt;&gt;"",'FEBRERO 2026'!Z11="POR RECOGER"),'FEBRERO 2026'!I11,"")</f>
        <v>MARIA AUXILIADORA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" hidden="false" customHeight="true" outlineLevel="0" collapsed="false">
      <c r="A113" s="192" t="str">
        <f aca="false">IF(AND('FEBRERO 2026'!D12&lt;&gt;"",'FEBRERO 2026'!Z12="POR RECOGER"),"FEB","")</f>
        <v>FEB</v>
      </c>
      <c r="B113" s="192" t="str">
        <f aca="false">IF(AND('FEBRERO 2026'!D12&lt;&gt;"",'FEBRERO 2026'!Z12="POR RECOGER"),IF('FEBRERO 2026'!Y12&lt;&gt;"",'FEBRERO 2026'!Y12,'FEBRERO 2026'!I12),"")</f>
        <v>LUYA</v>
      </c>
      <c r="C113" s="192" t="str">
        <f aca="false">IF(AND('FEBRERO 2026'!D12&lt;&gt;"",'FEBRERO 2026'!Z12="POR RECOGER"),'FEBRERO 2026'!D12,"")</f>
        <v>PEREZ BERNILLA GERSON JHAIMIR</v>
      </c>
      <c r="D113" s="192" t="str">
        <f aca="false">IF(AND('FEBRERO 2026'!D12&lt;&gt;"",'FEBRERO 2026'!Z12="POR RECOGER"),'FEBRERO 2026'!F12,"")</f>
        <v>60302054</v>
      </c>
      <c r="E113" s="192" t="str">
        <f aca="false">IF(AND('FEBRERO 2026'!D12&lt;&gt;"",'FEBRERO 2026'!Z12="POR RECOGER"),TEXT('FEBRERO 2026'!G12,"DD/MM/YYYY"),"")</f>
        <v>03/02/2026</v>
      </c>
      <c r="F113" s="192" t="str">
        <f aca="false">IF(AND('FEBRERO 2026'!D12&lt;&gt;"",'FEBRERO 2026'!Z12="POR RECOGER"),'FEBRERO 2026'!K12,"")</f>
        <v>PETROLEO</v>
      </c>
      <c r="G113" s="193" t="n">
        <f aca="false">IF(AND('FEBRERO 2026'!D12&lt;&gt;"",'FEBRERO 2026'!Z12="POR RECOGER"),'FEBRERO 2026'!M12,"")</f>
        <v>4</v>
      </c>
      <c r="H113" s="193" t="n">
        <f aca="false">IF(AND('FEBRERO 2026'!D12&lt;&gt;"",'FEBRERO 2026'!Z12="POR RECOGER"),'FEBRERO 2026'!N12,"")</f>
        <v>72.72</v>
      </c>
      <c r="I113" s="192" t="str">
        <f aca="false">IF(AND('FEBRERO 2026'!D12&lt;&gt;"",'FEBRERO 2026'!Z12="POR RECOGER"),'FEBRERO 2026'!P12,"")</f>
        <v>RUFASTO CHUQUIZUTA JUAN KAROOL</v>
      </c>
      <c r="J113" s="192" t="str">
        <f aca="false">IF(AND('FEBRERO 2026'!D12&lt;&gt;"",'FEBRERO 2026'!Z12="POR RECOGER"),'FEBRERO 2026'!Q12,"")</f>
        <v>EUA963</v>
      </c>
      <c r="K113" s="192" t="n">
        <f aca="false">IF(AND('FEBRERO 2026'!D12&lt;&gt;"",'FEBRERO 2026'!Z12="POR RECOGER"),'FEBRERO 2026'!Y12,"")</f>
        <v>0</v>
      </c>
      <c r="L113" s="192" t="str">
        <f aca="false">IF(AND('FEBRERO 2026'!D12&lt;&gt;"",'FEBRERO 2026'!Z12="POR RECOGER"),'FEBRERO 2026'!I12,"")</f>
        <v>LUYA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" hidden="false" customHeight="true" outlineLevel="0" collapsed="false">
      <c r="A114" s="192" t="str">
        <f aca="false">IF(AND('FEBRERO 2026'!D13&lt;&gt;"",'FEBRERO 2026'!Z13="POR RECOGER"),"FEB","")</f>
        <v>FEB</v>
      </c>
      <c r="B114" s="192" t="str">
        <f aca="false">IF(AND('FEBRERO 2026'!D13&lt;&gt;"",'FEBRERO 2026'!Z13="POR RECOGER"),IF('FEBRERO 2026'!Y13&lt;&gt;"",'FEBRERO 2026'!Y13,'FEBRERO 2026'!I13),"")</f>
        <v>JALCA GRANDE</v>
      </c>
      <c r="C114" s="192" t="str">
        <f aca="false">IF(AND('FEBRERO 2026'!D13&lt;&gt;"",'FEBRERO 2026'!Z13="POR RECOGER"),'FEBRERO 2026'!D13,"")</f>
        <v>HUAMAN PUERTA EIMY LUCIANA</v>
      </c>
      <c r="D114" s="192" t="str">
        <f aca="false">IF(AND('FEBRERO 2026'!D13&lt;&gt;"",'FEBRERO 2026'!Z13="POR RECOGER"),'FEBRERO 2026'!F13,"")</f>
        <v>94533673</v>
      </c>
      <c r="E114" s="192" t="str">
        <f aca="false">IF(AND('FEBRERO 2026'!D13&lt;&gt;"",'FEBRERO 2026'!Z13="POR RECOGER"),TEXT('FEBRERO 2026'!G13,"DD/MM/YYYY"),"")</f>
        <v>03/02/2026</v>
      </c>
      <c r="F114" s="192" t="str">
        <f aca="false">IF(AND('FEBRERO 2026'!D13&lt;&gt;"",'FEBRERO 2026'!Z13="POR RECOGER"),'FEBRERO 2026'!K13,"")</f>
        <v>PETROLEO</v>
      </c>
      <c r="G114" s="193" t="n">
        <f aca="false">IF(AND('FEBRERO 2026'!D13&lt;&gt;"",'FEBRERO 2026'!Z13="POR RECOGER"),'FEBRERO 2026'!M13,"")</f>
        <v>7</v>
      </c>
      <c r="H114" s="193" t="n">
        <f aca="false">IF(AND('FEBRERO 2026'!D13&lt;&gt;"",'FEBRERO 2026'!Z13="POR RECOGER"),'FEBRERO 2026'!N13,"")</f>
        <v>127.26</v>
      </c>
      <c r="I114" s="192" t="str">
        <f aca="false">IF(AND('FEBRERO 2026'!D13&lt;&gt;"",'FEBRERO 2026'!Z13="POR RECOGER"),'FEBRERO 2026'!P13,"")</f>
        <v>LEIVA LARA JUNIOR</v>
      </c>
      <c r="J114" s="192" t="str">
        <f aca="false">IF(AND('FEBRERO 2026'!D13&lt;&gt;"",'FEBRERO 2026'!Z13="POR RECOGER"),'FEBRERO 2026'!Q13,"")</f>
        <v>EUC 959</v>
      </c>
      <c r="K114" s="192" t="n">
        <f aca="false">IF(AND('FEBRERO 2026'!D13&lt;&gt;"",'FEBRERO 2026'!Z13="POR RECOGER"),'FEBRERO 2026'!Y13,"")</f>
        <v>0</v>
      </c>
      <c r="L114" s="192" t="str">
        <f aca="false">IF(AND('FEBRERO 2026'!D13&lt;&gt;"",'FEBRERO 2026'!Z13="POR RECOGER"),'FEBRERO 2026'!I13,"")</f>
        <v>JALCA GRANDE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" hidden="false" customHeight="true" outlineLevel="0" collapsed="false">
      <c r="A115" s="192" t="str">
        <f aca="false">IF(AND('FEBRERO 2026'!D14&lt;&gt;"",'FEBRERO 2026'!Z14="POR RECOGER"),"FEB","")</f>
        <v>FEB</v>
      </c>
      <c r="B115" s="192" t="str">
        <f aca="false">IF(AND('FEBRERO 2026'!D14&lt;&gt;"",'FEBRERO 2026'!Z14="POR RECOGER"),IF('FEBRERO 2026'!Y14&lt;&gt;"",'FEBRERO 2026'!Y14,'FEBRERO 2026'!I14),"")</f>
        <v>OCALLI</v>
      </c>
      <c r="C115" s="192" t="str">
        <f aca="false">IF(AND('FEBRERO 2026'!D14&lt;&gt;"",'FEBRERO 2026'!Z14="POR RECOGER"),'FEBRERO 2026'!D14,"")</f>
        <v>GUEVARA FUENTES NAJAT</v>
      </c>
      <c r="D115" s="192" t="str">
        <f aca="false">IF(AND('FEBRERO 2026'!D14&lt;&gt;"",'FEBRERO 2026'!Z14="POR RECOGER"),'FEBRERO 2026'!F14,"")</f>
        <v>90945709</v>
      </c>
      <c r="E115" s="192" t="str">
        <f aca="false">IF(AND('FEBRERO 2026'!D14&lt;&gt;"",'FEBRERO 2026'!Z14="POR RECOGER"),TEXT('FEBRERO 2026'!G14,"DD/MM/YYYY"),"")</f>
        <v>04/02/2026</v>
      </c>
      <c r="F115" s="192" t="str">
        <f aca="false">IF(AND('FEBRERO 2026'!D14&lt;&gt;"",'FEBRERO 2026'!Z14="POR RECOGER"),'FEBRERO 2026'!K14,"")</f>
        <v>PETROLEO</v>
      </c>
      <c r="G115" s="193" t="n">
        <f aca="false">IF(AND('FEBRERO 2026'!D14&lt;&gt;"",'FEBRERO 2026'!Z14="POR RECOGER"),'FEBRERO 2026'!M14,"")</f>
        <v>20</v>
      </c>
      <c r="H115" s="193" t="n">
        <f aca="false">IF(AND('FEBRERO 2026'!D14&lt;&gt;"",'FEBRERO 2026'!Z14="POR RECOGER"),'FEBRERO 2026'!N14,"")</f>
        <v>363.6</v>
      </c>
      <c r="I115" s="192" t="str">
        <f aca="false">IF(AND('FEBRERO 2026'!D14&lt;&gt;"",'FEBRERO 2026'!Z14="POR RECOGER"),'FEBRERO 2026'!P14,"")</f>
        <v>ALBERTO FARRO PEREZ</v>
      </c>
      <c r="J115" s="192" t="str">
        <f aca="false">IF(AND('FEBRERO 2026'!D14&lt;&gt;"",'FEBRERO 2026'!Z14="POR RECOGER"),'FEBRERO 2026'!Q14,"")</f>
        <v>EGO-124</v>
      </c>
      <c r="K115" s="192" t="n">
        <f aca="false">IF(AND('FEBRERO 2026'!D14&lt;&gt;"",'FEBRERO 2026'!Z14="POR RECOGER"),'FEBRERO 2026'!Y14,"")</f>
        <v>0</v>
      </c>
      <c r="L115" s="192" t="str">
        <f aca="false">IF(AND('FEBRERO 2026'!D14&lt;&gt;"",'FEBRERO 2026'!Z14="POR RECOGER"),'FEBRERO 2026'!I14,"")</f>
        <v>OCALLI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" hidden="false" customHeight="true" outlineLevel="0" collapsed="false">
      <c r="A116" s="192" t="str">
        <f aca="false">IF(AND('FEBRERO 2026'!D15&lt;&gt;"",'FEBRERO 2026'!Z15="POR RECOGER"),"FEB","")</f>
        <v>FEB</v>
      </c>
      <c r="B116" s="192" t="str">
        <f aca="false">IF(AND('FEBRERO 2026'!D15&lt;&gt;"",'FEBRERO 2026'!Z15="POR RECOGER"),IF('FEBRERO 2026'!Y15&lt;&gt;"",'FEBRERO 2026'!Y15,'FEBRERO 2026'!I15),"")</f>
        <v>LAMUD</v>
      </c>
      <c r="C116" s="192" t="str">
        <f aca="false">IF(AND('FEBRERO 2026'!D15&lt;&gt;"",'FEBRERO 2026'!Z15="POR RECOGER"),'FEBRERO 2026'!D15,"")</f>
        <v>TUESTA AÑASCO MATEO SMITH</v>
      </c>
      <c r="D116" s="192" t="str">
        <f aca="false">IF(AND('FEBRERO 2026'!D15&lt;&gt;"",'FEBRERO 2026'!Z15="POR RECOGER"),'FEBRERO 2026'!F15,"")</f>
        <v>93920953</v>
      </c>
      <c r="E116" s="192" t="str">
        <f aca="false">IF(AND('FEBRERO 2026'!D15&lt;&gt;"",'FEBRERO 2026'!Z15="POR RECOGER"),TEXT('FEBRERO 2026'!G15,"DD/MM/YYYY"),"")</f>
        <v>04/02/2026</v>
      </c>
      <c r="F116" s="192" t="str">
        <f aca="false">IF(AND('FEBRERO 2026'!D15&lt;&gt;"",'FEBRERO 2026'!Z15="POR RECOGER"),'FEBRERO 2026'!K15,"")</f>
        <v>PETROLEO</v>
      </c>
      <c r="G116" s="193" t="n">
        <f aca="false">IF(AND('FEBRERO 2026'!D15&lt;&gt;"",'FEBRERO 2026'!Z15="POR RECOGER"),'FEBRERO 2026'!M15,"")</f>
        <v>4</v>
      </c>
      <c r="H116" s="193" t="n">
        <f aca="false">IF(AND('FEBRERO 2026'!D15&lt;&gt;"",'FEBRERO 2026'!Z15="POR RECOGER"),'FEBRERO 2026'!N15,"")</f>
        <v>72.72</v>
      </c>
      <c r="I116" s="192" t="str">
        <f aca="false">IF(AND('FEBRERO 2026'!D15&lt;&gt;"",'FEBRERO 2026'!Z15="POR RECOGER"),'FEBRERO 2026'!P15,"")</f>
        <v>RUFASTO CHUQUIZUTA JUAN KAROOL</v>
      </c>
      <c r="J116" s="192" t="str">
        <f aca="false">IF(AND('FEBRERO 2026'!D15&lt;&gt;"",'FEBRERO 2026'!Z15="POR RECOGER"),'FEBRERO 2026'!Q15,"")</f>
        <v>EUA963</v>
      </c>
      <c r="K116" s="192" t="n">
        <f aca="false">IF(AND('FEBRERO 2026'!D15&lt;&gt;"",'FEBRERO 2026'!Z15="POR RECOGER"),'FEBRERO 2026'!Y15,"")</f>
        <v>0</v>
      </c>
      <c r="L116" s="192" t="str">
        <f aca="false">IF(AND('FEBRERO 2026'!D15&lt;&gt;"",'FEBRERO 2026'!Z15="POR RECOGER"),'FEBRERO 2026'!I15,"")</f>
        <v>LAMUD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" hidden="false" customHeight="true" outlineLevel="0" collapsed="false">
      <c r="A117" s="192" t="str">
        <f aca="false">IF(AND('FEBRERO 2026'!D16&lt;&gt;"",'FEBRERO 2026'!Z16="POR RECOGER"),"FEB","")</f>
        <v>FEB</v>
      </c>
      <c r="B117" s="192" t="str">
        <f aca="false">IF(AND('FEBRERO 2026'!D16&lt;&gt;"",'FEBRERO 2026'!Z16="POR RECOGER"),IF('FEBRERO 2026'!Y16&lt;&gt;"",'FEBRERO 2026'!Y16,'FEBRERO 2026'!I16),"")</f>
        <v>POMACOCHAS</v>
      </c>
      <c r="C117" s="192" t="str">
        <f aca="false">IF(AND('FEBRERO 2026'!D16&lt;&gt;"",'FEBRERO 2026'!Z16="POR RECOGER"),'FEBRERO 2026'!D16,"")</f>
        <v>SAUCEDO RODRIGUEZ ISOLINA</v>
      </c>
      <c r="D117" s="192" t="str">
        <f aca="false">IF(AND('FEBRERO 2026'!D16&lt;&gt;"",'FEBRERO 2026'!Z16="POR RECOGER"),'FEBRERO 2026'!F16,"")</f>
        <v>60368271</v>
      </c>
      <c r="E117" s="192" t="str">
        <f aca="false">IF(AND('FEBRERO 2026'!D16&lt;&gt;"",'FEBRERO 2026'!Z16="POR RECOGER"),TEXT('FEBRERO 2026'!G16,"DD/MM/YYYY"),"")</f>
        <v>04/02/2026</v>
      </c>
      <c r="F117" s="192" t="str">
        <f aca="false">IF(AND('FEBRERO 2026'!D16&lt;&gt;"",'FEBRERO 2026'!Z16="POR RECOGER"),'FEBRERO 2026'!K16,"")</f>
        <v>PETROLEO</v>
      </c>
      <c r="G117" s="193" t="n">
        <f aca="false">IF(AND('FEBRERO 2026'!D16&lt;&gt;"",'FEBRERO 2026'!Z16="POR RECOGER"),'FEBRERO 2026'!M16,"")</f>
        <v>6</v>
      </c>
      <c r="H117" s="193" t="n">
        <f aca="false">IF(AND('FEBRERO 2026'!D16&lt;&gt;"",'FEBRERO 2026'!Z16="POR RECOGER"),'FEBRERO 2026'!N16,"")</f>
        <v>109.08</v>
      </c>
      <c r="I117" s="192" t="str">
        <f aca="false">IF(AND('FEBRERO 2026'!D16&lt;&gt;"",'FEBRERO 2026'!Z16="POR RECOGER"),'FEBRERO 2026'!P16,"")</f>
        <v>CARRERA ARAUJO JEINER</v>
      </c>
      <c r="J117" s="192" t="str">
        <f aca="false">IF(AND('FEBRERO 2026'!D16&lt;&gt;"",'FEBRERO 2026'!Z16="POR RECOGER"),'FEBRERO 2026'!Q16,"")</f>
        <v>EUH747</v>
      </c>
      <c r="K117" s="192" t="n">
        <f aca="false">IF(AND('FEBRERO 2026'!D16&lt;&gt;"",'FEBRERO 2026'!Z16="POR RECOGER"),'FEBRERO 2026'!Y16,"")</f>
        <v>0</v>
      </c>
      <c r="L117" s="192" t="str">
        <f aca="false">IF(AND('FEBRERO 2026'!D16&lt;&gt;"",'FEBRERO 2026'!Z16="POR RECOGER"),'FEBRERO 2026'!I16,"")</f>
        <v>POMACOCHAS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" hidden="false" customHeight="true" outlineLevel="0" collapsed="false">
      <c r="A118" s="192" t="str">
        <f aca="false">IF(AND('FEBRERO 2026'!D17&lt;&gt;"",'FEBRERO 2026'!Z17="POR RECOGER"),"FEB","")</f>
        <v>FEB</v>
      </c>
      <c r="B118" s="192" t="str">
        <f aca="false">IF(AND('FEBRERO 2026'!D17&lt;&gt;"",'FEBRERO 2026'!Z17="POR RECOGER"),IF('FEBRERO 2026'!Y17&lt;&gt;"",'FEBRERO 2026'!Y17,'FEBRERO 2026'!I17),"")</f>
        <v>PEDRO RUIZ GALLO</v>
      </c>
      <c r="C118" s="192" t="str">
        <f aca="false">IF(AND('FEBRERO 2026'!D17&lt;&gt;"",'FEBRERO 2026'!Z17="POR RECOGER"),'FEBRERO 2026'!D17,"")</f>
        <v>VASQUEZ FASABI AILANY DANITZA</v>
      </c>
      <c r="D118" s="192" t="str">
        <f aca="false">IF(AND('FEBRERO 2026'!D17&lt;&gt;"",'FEBRERO 2026'!Z17="POR RECOGER"),'FEBRERO 2026'!F17,"")</f>
        <v>94484594</v>
      </c>
      <c r="E118" s="192" t="str">
        <f aca="false">IF(AND('FEBRERO 2026'!D17&lt;&gt;"",'FEBRERO 2026'!Z17="POR RECOGER"),TEXT('FEBRERO 2026'!G17,"DD/MM/YYYY"),"")</f>
        <v>05/02/2026</v>
      </c>
      <c r="F118" s="192" t="str">
        <f aca="false">IF(AND('FEBRERO 2026'!D17&lt;&gt;"",'FEBRERO 2026'!Z17="POR RECOGER"),'FEBRERO 2026'!K17,"")</f>
        <v>PETROLEO</v>
      </c>
      <c r="G118" s="193" t="n">
        <f aca="false">IF(AND('FEBRERO 2026'!D17&lt;&gt;"",'FEBRERO 2026'!Z17="POR RECOGER"),'FEBRERO 2026'!M17,"")</f>
        <v>5</v>
      </c>
      <c r="H118" s="193" t="n">
        <f aca="false">IF(AND('FEBRERO 2026'!D17&lt;&gt;"",'FEBRERO 2026'!Z17="POR RECOGER"),'FEBRERO 2026'!N17,"")</f>
        <v>90.9</v>
      </c>
      <c r="I118" s="192" t="str">
        <f aca="false">IF(AND('FEBRERO 2026'!D17&lt;&gt;"",'FEBRERO 2026'!Z17="POR RECOGER"),'FEBRERO 2026'!P17,"")</f>
        <v>MONTENEGRO RUIZ LUIS MIGUEL</v>
      </c>
      <c r="J118" s="192" t="str">
        <f aca="false">IF(AND('FEBRERO 2026'!D17&lt;&gt;"",'FEBRERO 2026'!Z17="POR RECOGER"),'FEBRERO 2026'!Q17,"")</f>
        <v>EUH-427</v>
      </c>
      <c r="K118" s="192" t="n">
        <f aca="false">IF(AND('FEBRERO 2026'!D17&lt;&gt;"",'FEBRERO 2026'!Z17="POR RECOGER"),'FEBRERO 2026'!Y17,"")</f>
        <v>0</v>
      </c>
      <c r="L118" s="192" t="str">
        <f aca="false">IF(AND('FEBRERO 2026'!D17&lt;&gt;"",'FEBRERO 2026'!Z17="POR RECOGER"),'FEBRERO 2026'!I17,"")</f>
        <v>PEDRO RUIZ GALLO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" hidden="false" customHeight="true" outlineLevel="0" collapsed="false">
      <c r="A119" s="192" t="str">
        <f aca="false">IF(AND('FEBRERO 2026'!D18&lt;&gt;"",'FEBRERO 2026'!Z18="POR RECOGER"),"FEB","")</f>
        <v>FEB</v>
      </c>
      <c r="B119" s="192" t="str">
        <f aca="false">IF(AND('FEBRERO 2026'!D18&lt;&gt;"",'FEBRERO 2026'!Z18="POR RECOGER"),IF('FEBRERO 2026'!Y18&lt;&gt;"",'FEBRERO 2026'!Y18,'FEBRERO 2026'!I18),"")</f>
        <v>MARIA</v>
      </c>
      <c r="C119" s="192" t="str">
        <f aca="false">IF(AND('FEBRERO 2026'!D18&lt;&gt;"",'FEBRERO 2026'!Z18="POR RECOGER"),'FEBRERO 2026'!D18,"")</f>
        <v>JULCA RAMOS ERLIN ALEXANDER</v>
      </c>
      <c r="D119" s="192" t="str">
        <f aca="false">IF(AND('FEBRERO 2026'!D18&lt;&gt;"",'FEBRERO 2026'!Z18="POR RECOGER"),'FEBRERO 2026'!F18,"")</f>
        <v>62198629</v>
      </c>
      <c r="E119" s="192" t="str">
        <f aca="false">IF(AND('FEBRERO 2026'!D18&lt;&gt;"",'FEBRERO 2026'!Z18="POR RECOGER"),TEXT('FEBRERO 2026'!G18,"DD/MM/YYYY"),"")</f>
        <v>05/02/2026</v>
      </c>
      <c r="F119" s="192" t="str">
        <f aca="false">IF(AND('FEBRERO 2026'!D18&lt;&gt;"",'FEBRERO 2026'!Z18="POR RECOGER"),'FEBRERO 2026'!K18,"")</f>
        <v>PETROLEO</v>
      </c>
      <c r="G119" s="193" t="n">
        <f aca="false">IF(AND('FEBRERO 2026'!D18&lt;&gt;"",'FEBRERO 2026'!Z18="POR RECOGER"),'FEBRERO 2026'!M18,"")</f>
        <v>12</v>
      </c>
      <c r="H119" s="193" t="n">
        <f aca="false">IF(AND('FEBRERO 2026'!D18&lt;&gt;"",'FEBRERO 2026'!Z18="POR RECOGER"),'FEBRERO 2026'!N18,"")</f>
        <v>218.16</v>
      </c>
      <c r="I119" s="192" t="str">
        <f aca="false">IF(AND('FEBRERO 2026'!D18&lt;&gt;"",'FEBRERO 2026'!Z18="POR RECOGER"),'FEBRERO 2026'!P18,"")</f>
        <v>MACHUCA GARRIDO RIDER ALFONSO</v>
      </c>
      <c r="J119" s="192" t="str">
        <f aca="false">IF(AND('FEBRERO 2026'!D18&lt;&gt;"",'FEBRERO 2026'!Z18="POR RECOGER"),'FEBRERO 2026'!Q18,"")</f>
        <v>EUC 956</v>
      </c>
      <c r="K119" s="192" t="n">
        <f aca="false">IF(AND('FEBRERO 2026'!D18&lt;&gt;"",'FEBRERO 2026'!Z18="POR RECOGER"),'FEBRERO 2026'!Y18,"")</f>
        <v>0</v>
      </c>
      <c r="L119" s="192" t="str">
        <f aca="false">IF(AND('FEBRERO 2026'!D18&lt;&gt;"",'FEBRERO 2026'!Z18="POR RECOGER"),'FEBRERO 2026'!I18,"")</f>
        <v>MARIA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" hidden="false" customHeight="true" outlineLevel="0" collapsed="false">
      <c r="A120" s="192" t="str">
        <f aca="false">IF(AND('FEBRERO 2026'!D19&lt;&gt;"",'FEBRERO 2026'!Z19="POR RECOGER"),"FEB","")</f>
        <v>FEB</v>
      </c>
      <c r="B120" s="192" t="str">
        <f aca="false">IF(AND('FEBRERO 2026'!D19&lt;&gt;"",'FEBRERO 2026'!Z19="POR RECOGER"),IF('FEBRERO 2026'!Y19&lt;&gt;"",'FEBRERO 2026'!Y19,'FEBRERO 2026'!I19),"")</f>
        <v>OMIA</v>
      </c>
      <c r="C120" s="192" t="str">
        <f aca="false">IF(AND('FEBRERO 2026'!D19&lt;&gt;"",'FEBRERO 2026'!Z19="POR RECOGER"),'FEBRERO 2026'!D19,"")</f>
        <v>TORRES ALFREDO</v>
      </c>
      <c r="D120" s="192" t="str">
        <f aca="false">IF(AND('FEBRERO 2026'!D19&lt;&gt;"",'FEBRERO 2026'!Z19="POR RECOGER"),'FEBRERO 2026'!F19,"")</f>
        <v>49022631</v>
      </c>
      <c r="E120" s="192" t="str">
        <f aca="false">IF(AND('FEBRERO 2026'!D19&lt;&gt;"",'FEBRERO 2026'!Z19="POR RECOGER"),TEXT('FEBRERO 2026'!G19,"DD/MM/YYYY"),"")</f>
        <v>05/02/2026</v>
      </c>
      <c r="F120" s="192" t="str">
        <f aca="false">IF(AND('FEBRERO 2026'!D19&lt;&gt;"",'FEBRERO 2026'!Z19="POR RECOGER"),'FEBRERO 2026'!K19,"")</f>
        <v>PETROLEO</v>
      </c>
      <c r="G120" s="193" t="n">
        <f aca="false">IF(AND('FEBRERO 2026'!D19&lt;&gt;"",'FEBRERO 2026'!Z19="POR RECOGER"),'FEBRERO 2026'!M19,"")</f>
        <v>10</v>
      </c>
      <c r="H120" s="193" t="n">
        <f aca="false">IF(AND('FEBRERO 2026'!D19&lt;&gt;"",'FEBRERO 2026'!Z19="POR RECOGER"),'FEBRERO 2026'!N19,"")</f>
        <v>202.5</v>
      </c>
      <c r="I120" s="192" t="str">
        <f aca="false">IF(AND('FEBRERO 2026'!D19&lt;&gt;"",'FEBRERO 2026'!Z19="POR RECOGER"),'FEBRERO 2026'!P19,"")</f>
        <v>LOPEZ VARGAS HUBER</v>
      </c>
      <c r="J120" s="192" t="str">
        <f aca="false">IF(AND('FEBRERO 2026'!D19&lt;&gt;"",'FEBRERO 2026'!Z19="POR RECOGER"),'FEBRERO 2026'!Q19,"")</f>
        <v>EUH 634</v>
      </c>
      <c r="K120" s="192" t="str">
        <f aca="false">IF(AND('FEBRERO 2026'!D19&lt;&gt;"",'FEBRERO 2026'!Z19="POR RECOGER"),'FEBRERO 2026'!Y19,"")</f>
        <v>OMIA</v>
      </c>
      <c r="L120" s="192" t="str">
        <f aca="false">IF(AND('FEBRERO 2026'!D19&lt;&gt;"",'FEBRERO 2026'!Z19="POR RECOGER"),'FEBRERO 2026'!I19,"")</f>
        <v>MARIA AUXILIADORA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" hidden="false" customHeight="true" outlineLevel="0" collapsed="false">
      <c r="A121" s="192" t="str">
        <f aca="false">IF(AND('FEBRERO 2026'!D20&lt;&gt;"",'FEBRERO 2026'!Z20="POR RECOGER"),"FEB","")</f>
        <v>FEB</v>
      </c>
      <c r="B121" s="192" t="str">
        <f aca="false">IF(AND('FEBRERO 2026'!D20&lt;&gt;"",'FEBRERO 2026'!Z20="POR RECOGER"),IF('FEBRERO 2026'!Y20&lt;&gt;"",'FEBRERO 2026'!Y20,'FEBRERO 2026'!I20),"")</f>
        <v>LUYA</v>
      </c>
      <c r="C121" s="192" t="str">
        <f aca="false">IF(AND('FEBRERO 2026'!D20&lt;&gt;"",'FEBRERO 2026'!Z20="POR RECOGER"),'FEBRERO 2026'!D20,"")</f>
        <v>ROJAS GUELAC ALEXANDRA</v>
      </c>
      <c r="D121" s="192" t="str">
        <f aca="false">IF(AND('FEBRERO 2026'!D20&lt;&gt;"",'FEBRERO 2026'!Z20="POR RECOGER"),'FEBRERO 2026'!F20,"")</f>
        <v>60302212</v>
      </c>
      <c r="E121" s="192" t="str">
        <f aca="false">IF(AND('FEBRERO 2026'!D20&lt;&gt;"",'FEBRERO 2026'!Z20="POR RECOGER"),TEXT('FEBRERO 2026'!G20,"DD/MM/YYYY"),"")</f>
        <v>05/02/2026</v>
      </c>
      <c r="F121" s="192" t="str">
        <f aca="false">IF(AND('FEBRERO 2026'!D20&lt;&gt;"",'FEBRERO 2026'!Z20="POR RECOGER"),'FEBRERO 2026'!K20,"")</f>
        <v>PETROLEO</v>
      </c>
      <c r="G121" s="193" t="n">
        <f aca="false">IF(AND('FEBRERO 2026'!D20&lt;&gt;"",'FEBRERO 2026'!Z20="POR RECOGER"),'FEBRERO 2026'!M20,"")</f>
        <v>4</v>
      </c>
      <c r="H121" s="193" t="n">
        <f aca="false">IF(AND('FEBRERO 2026'!D20&lt;&gt;"",'FEBRERO 2026'!Z20="POR RECOGER"),'FEBRERO 2026'!N20,"")</f>
        <v>72.72</v>
      </c>
      <c r="I121" s="192" t="str">
        <f aca="false">IF(AND('FEBRERO 2026'!D20&lt;&gt;"",'FEBRERO 2026'!Z20="POR RECOGER"),'FEBRERO 2026'!P20,"")</f>
        <v>RUFASTO CHUQUIZUTA JUAN KAROOL</v>
      </c>
      <c r="J121" s="192" t="str">
        <f aca="false">IF(AND('FEBRERO 2026'!D20&lt;&gt;"",'FEBRERO 2026'!Z20="POR RECOGER"),'FEBRERO 2026'!Q20,"")</f>
        <v>EUA963</v>
      </c>
      <c r="K121" s="192" t="n">
        <f aca="false">IF(AND('FEBRERO 2026'!D20&lt;&gt;"",'FEBRERO 2026'!Z20="POR RECOGER"),'FEBRERO 2026'!Y20,"")</f>
        <v>0</v>
      </c>
      <c r="L121" s="192" t="str">
        <f aca="false">IF(AND('FEBRERO 2026'!D20&lt;&gt;"",'FEBRERO 2026'!Z20="POR RECOGER"),'FEBRERO 2026'!I20,"")</f>
        <v>LUYA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" hidden="false" customHeight="true" outlineLevel="0" collapsed="false">
      <c r="A122" s="192" t="str">
        <f aca="false">IF(AND('FEBRERO 2026'!D21&lt;&gt;"",'FEBRERO 2026'!Z21="POR RECOGER"),"FEB","")</f>
        <v>FEB</v>
      </c>
      <c r="B122" s="192" t="str">
        <f aca="false">IF(AND('FEBRERO 2026'!D21&lt;&gt;"",'FEBRERO 2026'!Z21="POR RECOGER"),IF('FEBRERO 2026'!Y21&lt;&gt;"",'FEBRERO 2026'!Y21,'FEBRERO 2026'!I21),"")</f>
        <v>LEYMEBAMBA</v>
      </c>
      <c r="C122" s="192" t="str">
        <f aca="false">IF(AND('FEBRERO 2026'!D21&lt;&gt;"",'FEBRERO 2026'!Z21="POR RECOGER"),'FEBRERO 2026'!D21,"")</f>
        <v>BARDALES RITUAY LUCINDA</v>
      </c>
      <c r="D122" s="192" t="str">
        <f aca="false">IF(AND('FEBRERO 2026'!D21&lt;&gt;"",'FEBRERO 2026'!Z21="POR RECOGER"),'FEBRERO 2026'!F21,"")</f>
        <v>33417621</v>
      </c>
      <c r="E122" s="192" t="str">
        <f aca="false">IF(AND('FEBRERO 2026'!D21&lt;&gt;"",'FEBRERO 2026'!Z21="POR RECOGER"),TEXT('FEBRERO 2026'!G21,"DD/MM/YYYY"),"")</f>
        <v>05/02/2026</v>
      </c>
      <c r="F122" s="192" t="str">
        <f aca="false">IF(AND('FEBRERO 2026'!D21&lt;&gt;"",'FEBRERO 2026'!Z21="POR RECOGER"),'FEBRERO 2026'!K21,"")</f>
        <v>PETROLEO</v>
      </c>
      <c r="G122" s="193" t="n">
        <f aca="false">IF(AND('FEBRERO 2026'!D21&lt;&gt;"",'FEBRERO 2026'!Z21="POR RECOGER"),'FEBRERO 2026'!M21,"")</f>
        <v>7.5</v>
      </c>
      <c r="H122" s="193" t="n">
        <f aca="false">IF(AND('FEBRERO 2026'!D21&lt;&gt;"",'FEBRERO 2026'!Z21="POR RECOGER"),'FEBRERO 2026'!N21,"")</f>
        <v>136.35</v>
      </c>
      <c r="I122" s="192" t="str">
        <f aca="false">IF(AND('FEBRERO 2026'!D21&lt;&gt;"",'FEBRERO 2026'!Z21="POR RECOGER"),'FEBRERO 2026'!P21,"")</f>
        <v>CHAVEZ MORI DIMAS</v>
      </c>
      <c r="J122" s="192" t="str">
        <f aca="false">IF(AND('FEBRERO 2026'!D21&lt;&gt;"",'FEBRERO 2026'!Z21="POR RECOGER"),'FEBRERO 2026'!Q21,"")</f>
        <v>EUH 636</v>
      </c>
      <c r="K122" s="192" t="n">
        <f aca="false">IF(AND('FEBRERO 2026'!D21&lt;&gt;"",'FEBRERO 2026'!Z21="POR RECOGER"),'FEBRERO 2026'!Y21,"")</f>
        <v>0</v>
      </c>
      <c r="L122" s="192" t="str">
        <f aca="false">IF(AND('FEBRERO 2026'!D21&lt;&gt;"",'FEBRERO 2026'!Z21="POR RECOGER"),'FEBRERO 2026'!I21,"")</f>
        <v>LEYMEBAMBA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" hidden="false" customHeight="true" outlineLevel="0" collapsed="false">
      <c r="A123" s="192" t="str">
        <f aca="false">IF(AND('FEBRERO 2026'!D22&lt;&gt;"",'FEBRERO 2026'!Z22="POR RECOGER"),"FEB","")</f>
        <v>FEB</v>
      </c>
      <c r="B123" s="192" t="str">
        <f aca="false">IF(AND('FEBRERO 2026'!D22&lt;&gt;"",'FEBRERO 2026'!Z22="POR RECOGER"),IF('FEBRERO 2026'!Y22&lt;&gt;"",'FEBRERO 2026'!Y22,'FEBRERO 2026'!I22),"")</f>
        <v>LAMUD</v>
      </c>
      <c r="C123" s="192" t="str">
        <f aca="false">IF(AND('FEBRERO 2026'!D22&lt;&gt;"",'FEBRERO 2026'!Z22="POR RECOGER"),'FEBRERO 2026'!D22,"")</f>
        <v>ANGELES DELCRUS JUANA</v>
      </c>
      <c r="D123" s="192" t="str">
        <f aca="false">IF(AND('FEBRERO 2026'!D22&lt;&gt;"",'FEBRERO 2026'!Z22="POR RECOGER"),'FEBRERO 2026'!F22,"")</f>
        <v>48671328</v>
      </c>
      <c r="E123" s="192" t="str">
        <f aca="false">IF(AND('FEBRERO 2026'!D22&lt;&gt;"",'FEBRERO 2026'!Z22="POR RECOGER"),TEXT('FEBRERO 2026'!G22,"DD/MM/YYYY"),"")</f>
        <v>06/02/2026</v>
      </c>
      <c r="F123" s="192" t="str">
        <f aca="false">IF(AND('FEBRERO 2026'!D22&lt;&gt;"",'FEBRERO 2026'!Z22="POR RECOGER"),'FEBRERO 2026'!K22,"")</f>
        <v>PETROLEO</v>
      </c>
      <c r="G123" s="193" t="n">
        <f aca="false">IF(AND('FEBRERO 2026'!D22&lt;&gt;"",'FEBRERO 2026'!Z22="POR RECOGER"),'FEBRERO 2026'!M22,"")</f>
        <v>8</v>
      </c>
      <c r="H123" s="193" t="n">
        <f aca="false">IF(AND('FEBRERO 2026'!D22&lt;&gt;"",'FEBRERO 2026'!Z22="POR RECOGER"),'FEBRERO 2026'!N22,"")</f>
        <v>145.44</v>
      </c>
      <c r="I123" s="192" t="str">
        <f aca="false">IF(AND('FEBRERO 2026'!D22&lt;&gt;"",'FEBRERO 2026'!Z22="POR RECOGER"),'FEBRERO 2026'!P22,"")</f>
        <v>RUFASTO CHUQUIZUTA JUAN KAROOL</v>
      </c>
      <c r="J123" s="192" t="str">
        <f aca="false">IF(AND('FEBRERO 2026'!D22&lt;&gt;"",'FEBRERO 2026'!Z22="POR RECOGER"),'FEBRERO 2026'!Q22,"")</f>
        <v>EUA963</v>
      </c>
      <c r="K123" s="192" t="str">
        <f aca="false">IF(AND('FEBRERO 2026'!D22&lt;&gt;"",'FEBRERO 2026'!Z22="POR RECOGER"),'FEBRERO 2026'!Y22,"")</f>
        <v>LAMUD</v>
      </c>
      <c r="L123" s="192" t="str">
        <f aca="false">IF(AND('FEBRERO 2026'!D22&lt;&gt;"",'FEBRERO 2026'!Z22="POR RECOGER"),'FEBRERO 2026'!I22,"")</f>
        <v>SANTA CATALINA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" hidden="false" customHeight="true" outlineLevel="0" collapsed="false">
      <c r="A124" s="192" t="str">
        <f aca="false">IF(AND('FEBRERO 2026'!D23&lt;&gt;"",'FEBRERO 2026'!Z23="POR RECOGER"),"FEB","")</f>
        <v>FEB</v>
      </c>
      <c r="B124" s="192" t="str">
        <f aca="false">IF(AND('FEBRERO 2026'!D23&lt;&gt;"",'FEBRERO 2026'!Z23="POR RECOGER"),IF('FEBRERO 2026'!Y23&lt;&gt;"",'FEBRERO 2026'!Y23,'FEBRERO 2026'!I23),"")</f>
        <v>MARIA AUXILIADORA</v>
      </c>
      <c r="C124" s="192" t="str">
        <f aca="false">IF(AND('FEBRERO 2026'!D23&lt;&gt;"",'FEBRERO 2026'!Z23="POR RECOGER"),'FEBRERO 2026'!D23,"")</f>
        <v>ESPICHAN VARGAS PEDRO PABLO</v>
      </c>
      <c r="D124" s="192" t="str">
        <f aca="false">IF(AND('FEBRERO 2026'!D23&lt;&gt;"",'FEBRERO 2026'!Z23="POR RECOGER"),'FEBRERO 2026'!F23,"")</f>
        <v>46532820</v>
      </c>
      <c r="E124" s="192" t="str">
        <f aca="false">IF(AND('FEBRERO 2026'!D23&lt;&gt;"",'FEBRERO 2026'!Z23="POR RECOGER"),TEXT('FEBRERO 2026'!G23,"DD/MM/YYYY"),"")</f>
        <v>06/02/2026</v>
      </c>
      <c r="F124" s="192" t="str">
        <f aca="false">IF(AND('FEBRERO 2026'!D23&lt;&gt;"",'FEBRERO 2026'!Z23="POR RECOGER"),'FEBRERO 2026'!K23,"")</f>
        <v>PETROLEO</v>
      </c>
      <c r="G124" s="193" t="n">
        <f aca="false">IF(AND('FEBRERO 2026'!D23&lt;&gt;"",'FEBRERO 2026'!Z23="POR RECOGER"),'FEBRERO 2026'!M23,"")</f>
        <v>7</v>
      </c>
      <c r="H124" s="193" t="n">
        <f aca="false">IF(AND('FEBRERO 2026'!D23&lt;&gt;"",'FEBRERO 2026'!Z23="POR RECOGER"),'FEBRERO 2026'!N23,"")</f>
        <v>141.75</v>
      </c>
      <c r="I124" s="192" t="str">
        <f aca="false">IF(AND('FEBRERO 2026'!D23&lt;&gt;"",'FEBRERO 2026'!Z23="POR RECOGER"),'FEBRERO 2026'!P23,"")</f>
        <v>TRIGOSO TAFUR JOSE GILBER</v>
      </c>
      <c r="J124" s="192" t="str">
        <f aca="false">IF(AND('FEBRERO 2026'!D23&lt;&gt;"",'FEBRERO 2026'!Z23="POR RECOGER"),'FEBRERO 2026'!Q23,"")</f>
        <v>EUH 421</v>
      </c>
      <c r="K124" s="192" t="n">
        <f aca="false">IF(AND('FEBRERO 2026'!D23&lt;&gt;"",'FEBRERO 2026'!Z23="POR RECOGER"),'FEBRERO 2026'!Y23,"")</f>
        <v>0</v>
      </c>
      <c r="L124" s="192" t="str">
        <f aca="false">IF(AND('FEBRERO 2026'!D23&lt;&gt;"",'FEBRERO 2026'!Z23="POR RECOGER"),'FEBRERO 2026'!I23,"")</f>
        <v>MARIA AUXILIADORA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" hidden="false" customHeight="true" outlineLevel="0" collapsed="false">
      <c r="A125" s="192" t="str">
        <f aca="false">IF(AND('FEBRERO 2026'!D24&lt;&gt;"",'FEBRERO 2026'!Z24="POR RECOGER"),"FEB","")</f>
        <v>FEB</v>
      </c>
      <c r="B125" s="192" t="str">
        <f aca="false">IF(AND('FEBRERO 2026'!D24&lt;&gt;"",'FEBRERO 2026'!Z24="POR RECOGER"),IF('FEBRERO 2026'!Y24&lt;&gt;"",'FEBRERO 2026'!Y24,'FEBRERO 2026'!I24),"")</f>
        <v>MARIA</v>
      </c>
      <c r="C125" s="192" t="str">
        <f aca="false">IF(AND('FEBRERO 2026'!D24&lt;&gt;"",'FEBRERO 2026'!Z24="POR RECOGER"),'FEBRERO 2026'!D24,"")</f>
        <v>CARUAJULCA LEYVA LUSDINA</v>
      </c>
      <c r="D125" s="192" t="str">
        <f aca="false">IF(AND('FEBRERO 2026'!D24&lt;&gt;"",'FEBRERO 2026'!Z24="POR RECOGER"),'FEBRERO 2026'!F24,"")</f>
        <v>42474105</v>
      </c>
      <c r="E125" s="192" t="str">
        <f aca="false">IF(AND('FEBRERO 2026'!D24&lt;&gt;"",'FEBRERO 2026'!Z24="POR RECOGER"),TEXT('FEBRERO 2026'!G24,"DD/MM/YYYY"),"")</f>
        <v>06/02/2026</v>
      </c>
      <c r="F125" s="192" t="str">
        <f aca="false">IF(AND('FEBRERO 2026'!D24&lt;&gt;"",'FEBRERO 2026'!Z24="POR RECOGER"),'FEBRERO 2026'!K24,"")</f>
        <v>PETROLEO</v>
      </c>
      <c r="G125" s="193" t="n">
        <f aca="false">IF(AND('FEBRERO 2026'!D24&lt;&gt;"",'FEBRERO 2026'!Z24="POR RECOGER"),'FEBRERO 2026'!M24,"")</f>
        <v>12</v>
      </c>
      <c r="H125" s="193" t="n">
        <f aca="false">IF(AND('FEBRERO 2026'!D24&lt;&gt;"",'FEBRERO 2026'!Z24="POR RECOGER"),'FEBRERO 2026'!N24,"")</f>
        <v>218.16</v>
      </c>
      <c r="I125" s="192" t="str">
        <f aca="false">IF(AND('FEBRERO 2026'!D24&lt;&gt;"",'FEBRERO 2026'!Z24="POR RECOGER"),'FEBRERO 2026'!P24,"")</f>
        <v>MACHUCA GARRIDO RIDER ALFONSO</v>
      </c>
      <c r="J125" s="192" t="str">
        <f aca="false">IF(AND('FEBRERO 2026'!D24&lt;&gt;"",'FEBRERO 2026'!Z24="POR RECOGER"),'FEBRERO 2026'!Q24,"")</f>
        <v>EUC 956</v>
      </c>
      <c r="K125" s="192" t="n">
        <f aca="false">IF(AND('FEBRERO 2026'!D24&lt;&gt;"",'FEBRERO 2026'!Z24="POR RECOGER"),'FEBRERO 2026'!Y24,"")</f>
        <v>0</v>
      </c>
      <c r="L125" s="192" t="str">
        <f aca="false">IF(AND('FEBRERO 2026'!D24&lt;&gt;"",'FEBRERO 2026'!Z24="POR RECOGER"),'FEBRERO 2026'!I24,"")</f>
        <v>MARIA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" hidden="false" customHeight="true" outlineLevel="0" collapsed="false">
      <c r="A126" s="192" t="str">
        <f aca="false">IF(AND('FEBRERO 2026'!D25&lt;&gt;"",'FEBRERO 2026'!Z25="POR RECOGER"),"FEB","")</f>
        <v>FEB</v>
      </c>
      <c r="B126" s="192" t="str">
        <f aca="false">IF(AND('FEBRERO 2026'!D25&lt;&gt;"",'FEBRERO 2026'!Z25="POR RECOGER"),IF('FEBRERO 2026'!Y25&lt;&gt;"",'FEBRERO 2026'!Y25,'FEBRERO 2026'!I25),"")</f>
        <v>HUAMBO</v>
      </c>
      <c r="C126" s="192" t="str">
        <f aca="false">IF(AND('FEBRERO 2026'!D25&lt;&gt;"",'FEBRERO 2026'!Z25="POR RECOGER"),'FEBRERO 2026'!D25,"")</f>
        <v>LOZANO ARCE EVA</v>
      </c>
      <c r="D126" s="192" t="str">
        <f aca="false">IF(AND('FEBRERO 2026'!D25&lt;&gt;"",'FEBRERO 2026'!Z25="POR RECOGER"),'FEBRERO 2026'!F25,"")</f>
        <v>44739103</v>
      </c>
      <c r="E126" s="192" t="str">
        <f aca="false">IF(AND('FEBRERO 2026'!D25&lt;&gt;"",'FEBRERO 2026'!Z25="POR RECOGER"),TEXT('FEBRERO 2026'!G25,"DD/MM/YYYY"),"")</f>
        <v>06/02/2026</v>
      </c>
      <c r="F126" s="192" t="str">
        <f aca="false">IF(AND('FEBRERO 2026'!D25&lt;&gt;"",'FEBRERO 2026'!Z25="POR RECOGER"),'FEBRERO 2026'!K25,"")</f>
        <v>PETROLEO</v>
      </c>
      <c r="G126" s="193" t="n">
        <f aca="false">IF(AND('FEBRERO 2026'!D25&lt;&gt;"",'FEBRERO 2026'!Z25="POR RECOGER"),'FEBRERO 2026'!M25,"")</f>
        <v>10</v>
      </c>
      <c r="H126" s="193" t="n">
        <f aca="false">IF(AND('FEBRERO 2026'!D25&lt;&gt;"",'FEBRERO 2026'!Z25="POR RECOGER"),'FEBRERO 2026'!N25,"")</f>
        <v>202.5</v>
      </c>
      <c r="I126" s="192" t="str">
        <f aca="false">IF(AND('FEBRERO 2026'!D25&lt;&gt;"",'FEBRERO 2026'!Z25="POR RECOGER"),'FEBRERO 2026'!P25,"")</f>
        <v>LOPEZ HOYOS MIGUEL ANGEL</v>
      </c>
      <c r="J126" s="192" t="str">
        <f aca="false">IF(AND('FEBRERO 2026'!D25&lt;&gt;"",'FEBRERO 2026'!Z25="POR RECOGER"),'FEBRERO 2026'!Q25,"")</f>
        <v>EUH-698</v>
      </c>
      <c r="K126" s="192" t="str">
        <f aca="false">IF(AND('FEBRERO 2026'!D25&lt;&gt;"",'FEBRERO 2026'!Z25="POR RECOGER"),'FEBRERO 2026'!Y25,"")</f>
        <v>HUAMBO</v>
      </c>
      <c r="L126" s="192" t="str">
        <f aca="false">IF(AND('FEBRERO 2026'!D25&lt;&gt;"",'FEBRERO 2026'!Z25="POR RECOGER"),'FEBRERO 2026'!I25,"")</f>
        <v>MARIA AUXILIADORA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" hidden="false" customHeight="true" outlineLevel="0" collapsed="false">
      <c r="A127" s="192" t="str">
        <f aca="false">IF(AND('FEBRERO 2026'!D26&lt;&gt;"",'FEBRERO 2026'!Z26="POR RECOGER"),"FEB","")</f>
        <v>FEB</v>
      </c>
      <c r="B127" s="192" t="str">
        <f aca="false">IF(AND('FEBRERO 2026'!D26&lt;&gt;"",'FEBRERO 2026'!Z26="POR RECOGER"),IF('FEBRERO 2026'!Y26&lt;&gt;"",'FEBRERO 2026'!Y26,'FEBRERO 2026'!I26),"")</f>
        <v>SAN JUAN DE OCUMAL</v>
      </c>
      <c r="C127" s="192" t="str">
        <f aca="false">IF(AND('FEBRERO 2026'!D26&lt;&gt;"",'FEBRERO 2026'!Z26="POR RECOGER"),'FEBRERO 2026'!D26,"")</f>
        <v>TUESTA VALQUI NELIDA ASUNTA</v>
      </c>
      <c r="D127" s="192" t="str">
        <f aca="false">IF(AND('FEBRERO 2026'!D26&lt;&gt;"",'FEBRERO 2026'!Z26="POR RECOGER"),'FEBRERO 2026'!F26,"")</f>
        <v>43352386</v>
      </c>
      <c r="E127" s="192" t="str">
        <f aca="false">IF(AND('FEBRERO 2026'!D26&lt;&gt;"",'FEBRERO 2026'!Z26="POR RECOGER"),TEXT('FEBRERO 2026'!G26,"DD/MM/YYYY"),"")</f>
        <v>07/02/2026</v>
      </c>
      <c r="F127" s="192" t="str">
        <f aca="false">IF(AND('FEBRERO 2026'!D26&lt;&gt;"",'FEBRERO 2026'!Z26="POR RECOGER"),'FEBRERO 2026'!K26,"")</f>
        <v>PETROLEO</v>
      </c>
      <c r="G127" s="193" t="n">
        <f aca="false">IF(AND('FEBRERO 2026'!D26&lt;&gt;"",'FEBRERO 2026'!Z26="POR RECOGER"),'FEBRERO 2026'!M26,"")</f>
        <v>20</v>
      </c>
      <c r="H127" s="193" t="n">
        <f aca="false">IF(AND('FEBRERO 2026'!D26&lt;&gt;"",'FEBRERO 2026'!Z26="POR RECOGER"),'FEBRERO 2026'!N26,"")</f>
        <v>363.6</v>
      </c>
      <c r="I127" s="192" t="str">
        <f aca="false">IF(AND('FEBRERO 2026'!D26&lt;&gt;"",'FEBRERO 2026'!Z26="POR RECOGER"),'FEBRERO 2026'!P26,"")</f>
        <v>SAUCEDO LOPEZ ELDIN NOLASCO</v>
      </c>
      <c r="J127" s="192" t="str">
        <f aca="false">IF(AND('FEBRERO 2026'!D26&lt;&gt;"",'FEBRERO 2026'!Z26="POR RECOGER"),'FEBRERO 2026'!Q26,"")</f>
        <v>EUH699</v>
      </c>
      <c r="K127" s="192" t="n">
        <f aca="false">IF(AND('FEBRERO 2026'!D26&lt;&gt;"",'FEBRERO 2026'!Z26="POR RECOGER"),'FEBRERO 2026'!Y26,"")</f>
        <v>0</v>
      </c>
      <c r="L127" s="192" t="str">
        <f aca="false">IF(AND('FEBRERO 2026'!D26&lt;&gt;"",'FEBRERO 2026'!Z26="POR RECOGER"),'FEBRERO 2026'!I26,"")</f>
        <v>SAN JUAN DE OCUMAL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" hidden="false" customHeight="true" outlineLevel="0" collapsed="false">
      <c r="A128" s="192" t="str">
        <f aca="false">IF(AND('FEBRERO 2026'!D27&lt;&gt;"",'FEBRERO 2026'!Z27="POR RECOGER"),"FEB","")</f>
        <v>FEB</v>
      </c>
      <c r="B128" s="192" t="str">
        <f aca="false">IF(AND('FEBRERO 2026'!D27&lt;&gt;"",'FEBRERO 2026'!Z27="POR RECOGER"),IF('FEBRERO 2026'!Y27&lt;&gt;"",'FEBRERO 2026'!Y27,'FEBRERO 2026'!I27),"")</f>
        <v>TINGO</v>
      </c>
      <c r="C128" s="192" t="str">
        <f aca="false">IF(AND('FEBRERO 2026'!D27&lt;&gt;"",'FEBRERO 2026'!Z27="POR RECOGER"),'FEBRERO 2026'!D27,"")</f>
        <v>MENDOZA GARRO ESTEFANY DAYANA</v>
      </c>
      <c r="D128" s="192" t="str">
        <f aca="false">IF(AND('FEBRERO 2026'!D27&lt;&gt;"",'FEBRERO 2026'!Z27="POR RECOGER"),'FEBRERO 2026'!F27,"")</f>
        <v>62692323</v>
      </c>
      <c r="E128" s="192" t="str">
        <f aca="false">IF(AND('FEBRERO 2026'!D27&lt;&gt;"",'FEBRERO 2026'!Z27="POR RECOGER"),TEXT('FEBRERO 2026'!G27,"DD/MM/YYYY"),"")</f>
        <v>07/02/2026</v>
      </c>
      <c r="F128" s="192" t="str">
        <f aca="false">IF(AND('FEBRERO 2026'!D27&lt;&gt;"",'FEBRERO 2026'!Z27="POR RECOGER"),'FEBRERO 2026'!K27,"")</f>
        <v>PETROLEO</v>
      </c>
      <c r="G128" s="193" t="n">
        <f aca="false">IF(AND('FEBRERO 2026'!D27&lt;&gt;"",'FEBRERO 2026'!Z27="POR RECOGER"),'FEBRERO 2026'!M27,"")</f>
        <v>5</v>
      </c>
      <c r="H128" s="193" t="n">
        <f aca="false">IF(AND('FEBRERO 2026'!D27&lt;&gt;"",'FEBRERO 2026'!Z27="POR RECOGER"),'FEBRERO 2026'!N27,"")</f>
        <v>90.9</v>
      </c>
      <c r="I128" s="192" t="str">
        <f aca="false">IF(AND('FEBRERO 2026'!D27&lt;&gt;"",'FEBRERO 2026'!Z27="POR RECOGER"),'FEBRERO 2026'!P27,"")</f>
        <v>VILCARROMERO TORREJON HERMERSON</v>
      </c>
      <c r="J128" s="192" t="str">
        <f aca="false">IF(AND('FEBRERO 2026'!D27&lt;&gt;"",'FEBRERO 2026'!Z27="POR RECOGER"),'FEBRERO 2026'!Q27,"")</f>
        <v>EUD-917</v>
      </c>
      <c r="K128" s="192" t="n">
        <f aca="false">IF(AND('FEBRERO 2026'!D27&lt;&gt;"",'FEBRERO 2026'!Z27="POR RECOGER"),'FEBRERO 2026'!Y27,"")</f>
        <v>0</v>
      </c>
      <c r="L128" s="192" t="str">
        <f aca="false">IF(AND('FEBRERO 2026'!D27&lt;&gt;"",'FEBRERO 2026'!Z27="POR RECOGER"),'FEBRERO 2026'!I27,"")</f>
        <v>TINGO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" hidden="false" customHeight="true" outlineLevel="0" collapsed="false">
      <c r="A129" s="192" t="str">
        <f aca="false">IF(AND('FEBRERO 2026'!D28&lt;&gt;"",'FEBRERO 2026'!Z28="POR RECOGER"),"FEB","")</f>
        <v>FEB</v>
      </c>
      <c r="B129" s="192" t="str">
        <f aca="false">IF(AND('FEBRERO 2026'!D28&lt;&gt;"",'FEBRERO 2026'!Z28="POR RECOGER"),IF('FEBRERO 2026'!Y28&lt;&gt;"",'FEBRERO 2026'!Y28,'FEBRERO 2026'!I28),"")</f>
        <v>PEDRO RUIZ GALLO</v>
      </c>
      <c r="C129" s="192" t="str">
        <f aca="false">IF(AND('FEBRERO 2026'!D28&lt;&gt;"",'FEBRERO 2026'!Z28="POR RECOGER"),'FEBRERO 2026'!D28,"")</f>
        <v>CASTAÑEDA POQUIOMA MIRTA</v>
      </c>
      <c r="D129" s="192" t="str">
        <f aca="false">IF(AND('FEBRERO 2026'!D28&lt;&gt;"",'FEBRERO 2026'!Z28="POR RECOGER"),'FEBRERO 2026'!F28,"")</f>
        <v>70318112</v>
      </c>
      <c r="E129" s="192" t="str">
        <f aca="false">IF(AND('FEBRERO 2026'!D28&lt;&gt;"",'FEBRERO 2026'!Z28="POR RECOGER"),TEXT('FEBRERO 2026'!G28,"DD/MM/YYYY"),"")</f>
        <v>07/02/2026</v>
      </c>
      <c r="F129" s="192" t="str">
        <f aca="false">IF(AND('FEBRERO 2026'!D28&lt;&gt;"",'FEBRERO 2026'!Z28="POR RECOGER"),'FEBRERO 2026'!K28,"")</f>
        <v>PETROLEO</v>
      </c>
      <c r="G129" s="193" t="n">
        <f aca="false">IF(AND('FEBRERO 2026'!D28&lt;&gt;"",'FEBRERO 2026'!Z28="POR RECOGER"),'FEBRERO 2026'!M28,"")</f>
        <v>5</v>
      </c>
      <c r="H129" s="193" t="n">
        <f aca="false">IF(AND('FEBRERO 2026'!D28&lt;&gt;"",'FEBRERO 2026'!Z28="POR RECOGER"),'FEBRERO 2026'!N28,"")</f>
        <v>90.9</v>
      </c>
      <c r="I129" s="192" t="str">
        <f aca="false">IF(AND('FEBRERO 2026'!D28&lt;&gt;"",'FEBRERO 2026'!Z28="POR RECOGER"),'FEBRERO 2026'!P28,"")</f>
        <v>MUNOZ VERGARAY JORGE ENRRIQUE</v>
      </c>
      <c r="J129" s="192" t="str">
        <f aca="false">IF(AND('FEBRERO 2026'!D28&lt;&gt;"",'FEBRERO 2026'!Z28="POR RECOGER"),'FEBRERO 2026'!Q28,"")</f>
        <v>EUH 427</v>
      </c>
      <c r="K129" s="192" t="n">
        <f aca="false">IF(AND('FEBRERO 2026'!D28&lt;&gt;"",'FEBRERO 2026'!Z28="POR RECOGER"),'FEBRERO 2026'!Y28,"")</f>
        <v>0</v>
      </c>
      <c r="L129" s="192" t="str">
        <f aca="false">IF(AND('FEBRERO 2026'!D28&lt;&gt;"",'FEBRERO 2026'!Z28="POR RECOGER"),'FEBRERO 2026'!I28,"")</f>
        <v>PEDRO RUIZ GALLO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" hidden="false" customHeight="true" outlineLevel="0" collapsed="false">
      <c r="A130" s="192" t="str">
        <f aca="false">IF(AND('FEBRERO 2026'!D29&lt;&gt;"",'FEBRERO 2026'!Z29="POR RECOGER"),"FEB","")</f>
        <v>FEB</v>
      </c>
      <c r="B130" s="192" t="str">
        <f aca="false">IF(AND('FEBRERO 2026'!D29&lt;&gt;"",'FEBRERO 2026'!Z29="POR RECOGER"),IF('FEBRERO 2026'!Y29&lt;&gt;"",'FEBRERO 2026'!Y29,'FEBRERO 2026'!I29),"")</f>
        <v>CAMPORREDONDO</v>
      </c>
      <c r="C130" s="192" t="str">
        <f aca="false">IF(AND('FEBRERO 2026'!D29&lt;&gt;"",'FEBRERO 2026'!Z29="POR RECOGER"),'FEBRERO 2026'!D29,"")</f>
        <v>RAMOS BARRERA LUZ DELINDA</v>
      </c>
      <c r="D130" s="192" t="str">
        <f aca="false">IF(AND('FEBRERO 2026'!D29&lt;&gt;"",'FEBRERO 2026'!Z29="POR RECOGER"),'FEBRERO 2026'!F29,"")</f>
        <v>62219395</v>
      </c>
      <c r="E130" s="192" t="str">
        <f aca="false">IF(AND('FEBRERO 2026'!D29&lt;&gt;"",'FEBRERO 2026'!Z29="POR RECOGER"),TEXT('FEBRERO 2026'!G29,"DD/MM/YYYY"),"")</f>
        <v>07/02/2026</v>
      </c>
      <c r="F130" s="192" t="str">
        <f aca="false">IF(AND('FEBRERO 2026'!D29&lt;&gt;"",'FEBRERO 2026'!Z29="POR RECOGER"),'FEBRERO 2026'!K29,"")</f>
        <v>PETROLEO</v>
      </c>
      <c r="G130" s="193" t="n">
        <f aca="false">IF(AND('FEBRERO 2026'!D29&lt;&gt;"",'FEBRERO 2026'!Z29="POR RECOGER"),'FEBRERO 2026'!M29,"")</f>
        <v>20</v>
      </c>
      <c r="H130" s="193" t="n">
        <f aca="false">IF(AND('FEBRERO 2026'!D29&lt;&gt;"",'FEBRERO 2026'!Z29="POR RECOGER"),'FEBRERO 2026'!N29,"")</f>
        <v>363.6</v>
      </c>
      <c r="I130" s="192" t="str">
        <f aca="false">IF(AND('FEBRERO 2026'!D29&lt;&gt;"",'FEBRERO 2026'!Z29="POR RECOGER"),'FEBRERO 2026'!P29,"")</f>
        <v>GUEVARA VASQUEZ GREIMER MELGAR</v>
      </c>
      <c r="J130" s="192" t="str">
        <f aca="false">IF(AND('FEBRERO 2026'!D29&lt;&gt;"",'FEBRERO 2026'!Z29="POR RECOGER"),'FEBRERO 2026'!Q29,"")</f>
        <v>EUE 651</v>
      </c>
      <c r="K130" s="192" t="n">
        <f aca="false">IF(AND('FEBRERO 2026'!D29&lt;&gt;"",'FEBRERO 2026'!Z29="POR RECOGER"),'FEBRERO 2026'!Y29,"")</f>
        <v>0</v>
      </c>
      <c r="L130" s="192" t="str">
        <f aca="false">IF(AND('FEBRERO 2026'!D29&lt;&gt;"",'FEBRERO 2026'!Z29="POR RECOGER"),'FEBRERO 2026'!I29,"")</f>
        <v>CAMPORREDONDO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" hidden="false" customHeight="true" outlineLevel="0" collapsed="false">
      <c r="A131" s="192" t="str">
        <f aca="false">IF(AND('FEBRERO 2026'!D30&lt;&gt;"",'FEBRERO 2026'!Z30="POR RECOGER"),"FEB","")</f>
        <v>FEB</v>
      </c>
      <c r="B131" s="192" t="str">
        <f aca="false">IF(AND('FEBRERO 2026'!D30&lt;&gt;"",'FEBRERO 2026'!Z30="POR RECOGER"),IF('FEBRERO 2026'!Y30&lt;&gt;"",'FEBRERO 2026'!Y30,'FEBRERO 2026'!I30),"")</f>
        <v>LUYA</v>
      </c>
      <c r="C131" s="192" t="str">
        <f aca="false">IF(AND('FEBRERO 2026'!D30&lt;&gt;"",'FEBRERO 2026'!Z30="POR RECOGER"),'FEBRERO 2026'!D30,"")</f>
        <v>NUÑEZ VILCA DALIA NOEMI</v>
      </c>
      <c r="D131" s="192" t="str">
        <f aca="false">IF(AND('FEBRERO 2026'!D30&lt;&gt;"",'FEBRERO 2026'!Z30="POR RECOGER"),'FEBRERO 2026'!F30,"")</f>
        <v>74419174</v>
      </c>
      <c r="E131" s="192" t="str">
        <f aca="false">IF(AND('FEBRERO 2026'!D30&lt;&gt;"",'FEBRERO 2026'!Z30="POR RECOGER"),TEXT('FEBRERO 2026'!G30,"DD/MM/YYYY"),"")</f>
        <v>09/02/2026</v>
      </c>
      <c r="F131" s="192" t="str">
        <f aca="false">IF(AND('FEBRERO 2026'!D30&lt;&gt;"",'FEBRERO 2026'!Z30="POR RECOGER"),'FEBRERO 2026'!K30,"")</f>
        <v>PETROLEO</v>
      </c>
      <c r="G131" s="193" t="n">
        <f aca="false">IF(AND('FEBRERO 2026'!D30&lt;&gt;"",'FEBRERO 2026'!Z30="POR RECOGER"),'FEBRERO 2026'!M30,"")</f>
        <v>4</v>
      </c>
      <c r="H131" s="193" t="n">
        <f aca="false">IF(AND('FEBRERO 2026'!D30&lt;&gt;"",'FEBRERO 2026'!Z30="POR RECOGER"),'FEBRERO 2026'!N30,"")</f>
        <v>72.72</v>
      </c>
      <c r="I131" s="192" t="str">
        <f aca="false">IF(AND('FEBRERO 2026'!D30&lt;&gt;"",'FEBRERO 2026'!Z30="POR RECOGER"),'FEBRERO 2026'!P30,"")</f>
        <v>RUBIO CARO JEYNER</v>
      </c>
      <c r="J131" s="192" t="str">
        <f aca="false">IF(AND('FEBRERO 2026'!D30&lt;&gt;"",'FEBRERO 2026'!Z30="POR RECOGER"),'FEBRERO 2026'!Q30,"")</f>
        <v>EUH-717</v>
      </c>
      <c r="K131" s="192" t="n">
        <f aca="false">IF(AND('FEBRERO 2026'!D30&lt;&gt;"",'FEBRERO 2026'!Z30="POR RECOGER"),'FEBRERO 2026'!Y30,"")</f>
        <v>0</v>
      </c>
      <c r="L131" s="192" t="str">
        <f aca="false">IF(AND('FEBRERO 2026'!D30&lt;&gt;"",'FEBRERO 2026'!Z30="POR RECOGER"),'FEBRERO 2026'!I30,"")</f>
        <v>LUYA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" hidden="false" customHeight="true" outlineLevel="0" collapsed="false">
      <c r="A132" s="192" t="str">
        <f aca="false">IF(AND('FEBRERO 2026'!D31&lt;&gt;"",'FEBRERO 2026'!Z31="POR RECOGER"),"FEB","")</f>
        <v>FEB</v>
      </c>
      <c r="B132" s="192" t="str">
        <f aca="false">IF(AND('FEBRERO 2026'!D31&lt;&gt;"",'FEBRERO 2026'!Z31="POR RECOGER"),IF('FEBRERO 2026'!Y31&lt;&gt;"",'FEBRERO 2026'!Y31,'FEBRERO 2026'!I31),"")</f>
        <v>HUAMBO</v>
      </c>
      <c r="C132" s="192" t="str">
        <f aca="false">IF(AND('FEBRERO 2026'!D31&lt;&gt;"",'FEBRERO 2026'!Z31="POR RECOGER"),'FEBRERO 2026'!D31,"")</f>
        <v>VARGAS AGUILAR JOSE EULER</v>
      </c>
      <c r="D132" s="192" t="str">
        <f aca="false">IF(AND('FEBRERO 2026'!D31&lt;&gt;"",'FEBRERO 2026'!Z31="POR RECOGER"),'FEBRERO 2026'!F31,"")</f>
        <v>40472594</v>
      </c>
      <c r="E132" s="192" t="str">
        <f aca="false">IF(AND('FEBRERO 2026'!D31&lt;&gt;"",'FEBRERO 2026'!Z31="POR RECOGER"),TEXT('FEBRERO 2026'!G31,"DD/MM/YYYY"),"")</f>
        <v>09/02/2026</v>
      </c>
      <c r="F132" s="192" t="str">
        <f aca="false">IF(AND('FEBRERO 2026'!D31&lt;&gt;"",'FEBRERO 2026'!Z31="POR RECOGER"),'FEBRERO 2026'!K31,"")</f>
        <v>PETROLEO</v>
      </c>
      <c r="G132" s="193" t="n">
        <f aca="false">IF(AND('FEBRERO 2026'!D31&lt;&gt;"",'FEBRERO 2026'!Z31="POR RECOGER"),'FEBRERO 2026'!M31,"")</f>
        <v>10</v>
      </c>
      <c r="H132" s="193" t="n">
        <f aca="false">IF(AND('FEBRERO 2026'!D31&lt;&gt;"",'FEBRERO 2026'!Z31="POR RECOGER"),'FEBRERO 2026'!N31,"")</f>
        <v>202.5</v>
      </c>
      <c r="I132" s="192" t="str">
        <f aca="false">IF(AND('FEBRERO 2026'!D31&lt;&gt;"",'FEBRERO 2026'!Z31="POR RECOGER"),'FEBRERO 2026'!P31,"")</f>
        <v>LOPEZ HOYOS MIGUEL ANGEL</v>
      </c>
      <c r="J132" s="192" t="str">
        <f aca="false">IF(AND('FEBRERO 2026'!D31&lt;&gt;"",'FEBRERO 2026'!Z31="POR RECOGER"),'FEBRERO 2026'!Q31,"")</f>
        <v>EUH-698</v>
      </c>
      <c r="K132" s="192" t="str">
        <f aca="false">IF(AND('FEBRERO 2026'!D31&lt;&gt;"",'FEBRERO 2026'!Z31="POR RECOGER"),'FEBRERO 2026'!Y31,"")</f>
        <v>HUAMBO</v>
      </c>
      <c r="L132" s="192" t="str">
        <f aca="false">IF(AND('FEBRERO 2026'!D31&lt;&gt;"",'FEBRERO 2026'!Z31="POR RECOGER"),'FEBRERO 2026'!I31,"")</f>
        <v>MARIA AUXILIADORA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" hidden="false" customHeight="true" outlineLevel="0" collapsed="false">
      <c r="A133" s="192" t="str">
        <f aca="false">IF(AND('FEBRERO 2026'!D32&lt;&gt;"",'FEBRERO 2026'!Z32="POR RECOGER"),"FEB","")</f>
        <v>FEB</v>
      </c>
      <c r="B133" s="192" t="str">
        <f aca="false">IF(AND('FEBRERO 2026'!D32&lt;&gt;"",'FEBRERO 2026'!Z32="POR RECOGER"),IF('FEBRERO 2026'!Y32&lt;&gt;"",'FEBRERO 2026'!Y32,'FEBRERO 2026'!I32),"")</f>
        <v>COLLONCE</v>
      </c>
      <c r="C133" s="192" t="str">
        <f aca="false">IF(AND('FEBRERO 2026'!D32&lt;&gt;"",'FEBRERO 2026'!Z32="POR RECOGER"),'FEBRERO 2026'!D32,"")</f>
        <v>LOPEZ GUADALUPE NARDY FIORELA</v>
      </c>
      <c r="D133" s="192" t="str">
        <f aca="false">IF(AND('FEBRERO 2026'!D32&lt;&gt;"",'FEBRERO 2026'!Z32="POR RECOGER"),'FEBRERO 2026'!F32,"")</f>
        <v>79521364</v>
      </c>
      <c r="E133" s="192" t="str">
        <f aca="false">IF(AND('FEBRERO 2026'!D32&lt;&gt;"",'FEBRERO 2026'!Z32="POR RECOGER"),TEXT('FEBRERO 2026'!G32,"DD/MM/YYYY"),"")</f>
        <v>09/02/2026</v>
      </c>
      <c r="F133" s="192" t="str">
        <f aca="false">IF(AND('FEBRERO 2026'!D32&lt;&gt;"",'FEBRERO 2026'!Z32="POR RECOGER"),'FEBRERO 2026'!K32,"")</f>
        <v>PETROLEO</v>
      </c>
      <c r="G133" s="193" t="n">
        <f aca="false">IF(AND('FEBRERO 2026'!D32&lt;&gt;"",'FEBRERO 2026'!Z32="POR RECOGER"),'FEBRERO 2026'!M32,"")</f>
        <v>20</v>
      </c>
      <c r="H133" s="193" t="n">
        <f aca="false">IF(AND('FEBRERO 2026'!D32&lt;&gt;"",'FEBRERO 2026'!Z32="POR RECOGER"),'FEBRERO 2026'!N32,"")</f>
        <v>363.6</v>
      </c>
      <c r="I133" s="192" t="str">
        <f aca="false">IF(AND('FEBRERO 2026'!D32&lt;&gt;"",'FEBRERO 2026'!Z32="POR RECOGER"),'FEBRERO 2026'!P32,"")</f>
        <v>SAUCEDO LOPEZ ELDIN NOLASCO</v>
      </c>
      <c r="J133" s="192" t="str">
        <f aca="false">IF(AND('FEBRERO 2026'!D32&lt;&gt;"",'FEBRERO 2026'!Z32="POR RECOGER"),'FEBRERO 2026'!Q32,"")</f>
        <v>EUH699</v>
      </c>
      <c r="K133" s="192" t="n">
        <f aca="false">IF(AND('FEBRERO 2026'!D32&lt;&gt;"",'FEBRERO 2026'!Z32="POR RECOGER"),'FEBRERO 2026'!Y32,"")</f>
        <v>0</v>
      </c>
      <c r="L133" s="192" t="str">
        <f aca="false">IF(AND('FEBRERO 2026'!D32&lt;&gt;"",'FEBRERO 2026'!Z32="POR RECOGER"),'FEBRERO 2026'!I32,"")</f>
        <v>COLLONCE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" hidden="false" customHeight="true" outlineLevel="0" collapsed="false">
      <c r="A134" s="192" t="str">
        <f aca="false">IF(AND('FEBRERO 2026'!D33&lt;&gt;"",'FEBRERO 2026'!Z33="POR RECOGER"),"FEB","")</f>
        <v>FEB</v>
      </c>
      <c r="B134" s="192" t="str">
        <f aca="false">IF(AND('FEBRERO 2026'!D33&lt;&gt;"",'FEBRERO 2026'!Z33="POR RECOGER"),IF('FEBRERO 2026'!Y33&lt;&gt;"",'FEBRERO 2026'!Y33,'FEBRERO 2026'!I33),"")</f>
        <v>LUYA</v>
      </c>
      <c r="C134" s="192" t="str">
        <f aca="false">IF(AND('FEBRERO 2026'!D33&lt;&gt;"",'FEBRERO 2026'!Z33="POR RECOGER"),'FEBRERO 2026'!D33,"")</f>
        <v>HUAMAN CHUQUIZUTA EDWARS</v>
      </c>
      <c r="D134" s="192" t="str">
        <f aca="false">IF(AND('FEBRERO 2026'!D33&lt;&gt;"",'FEBRERO 2026'!Z33="POR RECOGER"),'FEBRERO 2026'!F33,"")</f>
        <v>63397123</v>
      </c>
      <c r="E134" s="192" t="str">
        <f aca="false">IF(AND('FEBRERO 2026'!D33&lt;&gt;"",'FEBRERO 2026'!Z33="POR RECOGER"),TEXT('FEBRERO 2026'!G33,"DD/MM/YYYY"),"")</f>
        <v>10/02/2026</v>
      </c>
      <c r="F134" s="192" t="str">
        <f aca="false">IF(AND('FEBRERO 2026'!D33&lt;&gt;"",'FEBRERO 2026'!Z33="POR RECOGER"),'FEBRERO 2026'!K33,"")</f>
        <v>PETROLEO</v>
      </c>
      <c r="G134" s="193" t="n">
        <f aca="false">IF(AND('FEBRERO 2026'!D33&lt;&gt;"",'FEBRERO 2026'!Z33="POR RECOGER"),'FEBRERO 2026'!M33,"")</f>
        <v>4</v>
      </c>
      <c r="H134" s="193" t="n">
        <f aca="false">IF(AND('FEBRERO 2026'!D33&lt;&gt;"",'FEBRERO 2026'!Z33="POR RECOGER"),'FEBRERO 2026'!N33,"")</f>
        <v>72.72</v>
      </c>
      <c r="I134" s="192" t="str">
        <f aca="false">IF(AND('FEBRERO 2026'!D33&lt;&gt;"",'FEBRERO 2026'!Z33="POR RECOGER"),'FEBRERO 2026'!P33,"")</f>
        <v>DANIEL ZELADA TRUJILLO</v>
      </c>
      <c r="J134" s="192" t="str">
        <f aca="false">IF(AND('FEBRERO 2026'!D33&lt;&gt;"",'FEBRERO 2026'!Z33="POR RECOGER"),'FEBRERO 2026'!Q33,"")</f>
        <v>EUA-963</v>
      </c>
      <c r="K134" s="192" t="n">
        <f aca="false">IF(AND('FEBRERO 2026'!D33&lt;&gt;"",'FEBRERO 2026'!Z33="POR RECOGER"),'FEBRERO 2026'!Y33,"")</f>
        <v>0</v>
      </c>
      <c r="L134" s="192" t="str">
        <f aca="false">IF(AND('FEBRERO 2026'!D33&lt;&gt;"",'FEBRERO 2026'!Z33="POR RECOGER"),'FEBRERO 2026'!I33,"")</f>
        <v>LUYA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" hidden="false" customHeight="true" outlineLevel="0" collapsed="false">
      <c r="A135" s="192" t="str">
        <f aca="false">IF(AND('FEBRERO 2026'!D34&lt;&gt;"",'FEBRERO 2026'!Z34="POR RECOGER"),"FEB","")</f>
        <v>FEB</v>
      </c>
      <c r="B135" s="192" t="str">
        <f aca="false">IF(AND('FEBRERO 2026'!D34&lt;&gt;"",'FEBRERO 2026'!Z34="POR RECOGER"),IF('FEBRERO 2026'!Y34&lt;&gt;"",'FEBRERO 2026'!Y34,'FEBRERO 2026'!I34),"")</f>
        <v>JUMBILLA</v>
      </c>
      <c r="C135" s="192" t="str">
        <f aca="false">IF(AND('FEBRERO 2026'!D34&lt;&gt;"",'FEBRERO 2026'!Z34="POR RECOGER"),'FEBRERO 2026'!D34,"")</f>
        <v>VALLE MONTENEGRO JHEYCO</v>
      </c>
      <c r="D135" s="192" t="str">
        <f aca="false">IF(AND('FEBRERO 2026'!D34&lt;&gt;"",'FEBRERO 2026'!Z34="POR RECOGER"),'FEBRERO 2026'!F34,"")</f>
        <v>72807396</v>
      </c>
      <c r="E135" s="192" t="str">
        <f aca="false">IF(AND('FEBRERO 2026'!D34&lt;&gt;"",'FEBRERO 2026'!Z34="POR RECOGER"),TEXT('FEBRERO 2026'!G34,"DD/MM/YYYY"),"")</f>
        <v>10/02/2026</v>
      </c>
      <c r="F135" s="192" t="str">
        <f aca="false">IF(AND('FEBRERO 2026'!D34&lt;&gt;"",'FEBRERO 2026'!Z34="POR RECOGER"),'FEBRERO 2026'!K34,"")</f>
        <v>PETROLEO</v>
      </c>
      <c r="G135" s="193" t="n">
        <f aca="false">IF(AND('FEBRERO 2026'!D34&lt;&gt;"",'FEBRERO 2026'!Z34="POR RECOGER"),'FEBRERO 2026'!M34,"")</f>
        <v>12</v>
      </c>
      <c r="H135" s="193" t="n">
        <f aca="false">IF(AND('FEBRERO 2026'!D34&lt;&gt;"",'FEBRERO 2026'!Z34="POR RECOGER"),'FEBRERO 2026'!N34,"")</f>
        <v>218.16</v>
      </c>
      <c r="I135" s="192" t="str">
        <f aca="false">IF(AND('FEBRERO 2026'!D34&lt;&gt;"",'FEBRERO 2026'!Z34="POR RECOGER"),'FEBRERO 2026'!P34,"")</f>
        <v>BRICENO OXOLON MANUEL</v>
      </c>
      <c r="J135" s="192" t="str">
        <f aca="false">IF(AND('FEBRERO 2026'!D34&lt;&gt;"",'FEBRERO 2026'!Z34="POR RECOGER"),'FEBRERO 2026'!Q34,"")</f>
        <v>EUC976</v>
      </c>
      <c r="K135" s="192" t="n">
        <f aca="false">IF(AND('FEBRERO 2026'!D34&lt;&gt;"",'FEBRERO 2026'!Z34="POR RECOGER"),'FEBRERO 2026'!Y34,"")</f>
        <v>0</v>
      </c>
      <c r="L135" s="192" t="str">
        <f aca="false">IF(AND('FEBRERO 2026'!D34&lt;&gt;"",'FEBRERO 2026'!Z34="POR RECOGER"),'FEBRERO 2026'!I34,"")</f>
        <v>JUMBILLA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" hidden="false" customHeight="true" outlineLevel="0" collapsed="false">
      <c r="A136" s="192" t="str">
        <f aca="false">IF(AND('FEBRERO 2026'!D35&lt;&gt;"",'FEBRERO 2026'!Z35="POR RECOGER"),"FEB","")</f>
        <v>FEB</v>
      </c>
      <c r="B136" s="192" t="str">
        <f aca="false">IF(AND('FEBRERO 2026'!D35&lt;&gt;"",'FEBRERO 2026'!Z35="POR RECOGER"),IF('FEBRERO 2026'!Y35&lt;&gt;"",'FEBRERO 2026'!Y35,'FEBRERO 2026'!I35),"")</f>
        <v>MARIA AUXILIADORA</v>
      </c>
      <c r="C136" s="192" t="str">
        <f aca="false">IF(AND('FEBRERO 2026'!D35&lt;&gt;"",'FEBRERO 2026'!Z35="POR RECOGER"),'FEBRERO 2026'!D35,"")</f>
        <v>NOVOA TAFUR EDIHTA CONSUELO</v>
      </c>
      <c r="D136" s="192" t="str">
        <f aca="false">IF(AND('FEBRERO 2026'!D35&lt;&gt;"",'FEBRERO 2026'!Z35="POR RECOGER"),'FEBRERO 2026'!F35,"")</f>
        <v>33951427</v>
      </c>
      <c r="E136" s="192" t="str">
        <f aca="false">IF(AND('FEBRERO 2026'!D35&lt;&gt;"",'FEBRERO 2026'!Z35="POR RECOGER"),TEXT('FEBRERO 2026'!G35,"DD/MM/YYYY"),"")</f>
        <v>10/02/2026</v>
      </c>
      <c r="F136" s="192" t="str">
        <f aca="false">IF(AND('FEBRERO 2026'!D35&lt;&gt;"",'FEBRERO 2026'!Z35="POR RECOGER"),'FEBRERO 2026'!K35,"")</f>
        <v>PETROLEO</v>
      </c>
      <c r="G136" s="193" t="n">
        <f aca="false">IF(AND('FEBRERO 2026'!D35&lt;&gt;"",'FEBRERO 2026'!Z35="POR RECOGER"),'FEBRERO 2026'!M35,"")</f>
        <v>7</v>
      </c>
      <c r="H136" s="193" t="n">
        <f aca="false">IF(AND('FEBRERO 2026'!D35&lt;&gt;"",'FEBRERO 2026'!Z35="POR RECOGER"),'FEBRERO 2026'!N35,"")</f>
        <v>141.75</v>
      </c>
      <c r="I136" s="192" t="str">
        <f aca="false">IF(AND('FEBRERO 2026'!D35&lt;&gt;"",'FEBRERO 2026'!Z35="POR RECOGER"),'FEBRERO 2026'!P35,"")</f>
        <v>TRIGOSO TAFUR JOSE GILBER</v>
      </c>
      <c r="J136" s="192" t="str">
        <f aca="false">IF(AND('FEBRERO 2026'!D35&lt;&gt;"",'FEBRERO 2026'!Z35="POR RECOGER"),'FEBRERO 2026'!Q35,"")</f>
        <v>EUH 421</v>
      </c>
      <c r="K136" s="192" t="n">
        <f aca="false">IF(AND('FEBRERO 2026'!D35&lt;&gt;"",'FEBRERO 2026'!Z35="POR RECOGER"),'FEBRERO 2026'!Y35,"")</f>
        <v>0</v>
      </c>
      <c r="L136" s="192" t="str">
        <f aca="false">IF(AND('FEBRERO 2026'!D35&lt;&gt;"",'FEBRERO 2026'!Z35="POR RECOGER"),'FEBRERO 2026'!I35,"")</f>
        <v>MARIA AUXILIADORA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" hidden="false" customHeight="true" outlineLevel="0" collapsed="false">
      <c r="A137" s="192" t="str">
        <f aca="false">IF(AND('FEBRERO 2026'!D36&lt;&gt;"",'FEBRERO 2026'!Z36="POR RECOGER"),"FEB","")</f>
        <v>FEB</v>
      </c>
      <c r="B137" s="192" t="str">
        <f aca="false">IF(AND('FEBRERO 2026'!D36&lt;&gt;"",'FEBRERO 2026'!Z36="POR RECOGER"),IF('FEBRERO 2026'!Y36&lt;&gt;"",'FEBRERO 2026'!Y36,'FEBRERO 2026'!I36),"")</f>
        <v>PEDRO RUIZ GALLO</v>
      </c>
      <c r="C137" s="192" t="str">
        <f aca="false">IF(AND('FEBRERO 2026'!D36&lt;&gt;"",'FEBRERO 2026'!Z36="POR RECOGER"),'FEBRERO 2026'!D36,"")</f>
        <v>CRUZ PIZAN KEIKO MAGALY</v>
      </c>
      <c r="D137" s="192" t="str">
        <f aca="false">IF(AND('FEBRERO 2026'!D36&lt;&gt;"",'FEBRERO 2026'!Z36="POR RECOGER"),'FEBRERO 2026'!F36,"")</f>
        <v>73309506</v>
      </c>
      <c r="E137" s="192" t="str">
        <f aca="false">IF(AND('FEBRERO 2026'!D36&lt;&gt;"",'FEBRERO 2026'!Z36="POR RECOGER"),TEXT('FEBRERO 2026'!G36,"DD/MM/YYYY"),"")</f>
        <v>10/02/2026</v>
      </c>
      <c r="F137" s="192" t="str">
        <f aca="false">IF(AND('FEBRERO 2026'!D36&lt;&gt;"",'FEBRERO 2026'!Z36="POR RECOGER"),'FEBRERO 2026'!K36,"")</f>
        <v>PETROLEO</v>
      </c>
      <c r="G137" s="193" t="n">
        <f aca="false">IF(AND('FEBRERO 2026'!D36&lt;&gt;"",'FEBRERO 2026'!Z36="POR RECOGER"),'FEBRERO 2026'!M36,"")</f>
        <v>5</v>
      </c>
      <c r="H137" s="193" t="n">
        <f aca="false">IF(AND('FEBRERO 2026'!D36&lt;&gt;"",'FEBRERO 2026'!Z36="POR RECOGER"),'FEBRERO 2026'!N36,"")</f>
        <v>90.9</v>
      </c>
      <c r="I137" s="192" t="str">
        <f aca="false">IF(AND('FEBRERO 2026'!D36&lt;&gt;"",'FEBRERO 2026'!Z36="POR RECOGER"),'FEBRERO 2026'!P36,"")</f>
        <v>MONTENEGRO RUIZ LUIS MIGUEL</v>
      </c>
      <c r="J137" s="192" t="str">
        <f aca="false">IF(AND('FEBRERO 2026'!D36&lt;&gt;"",'FEBRERO 2026'!Z36="POR RECOGER"),'FEBRERO 2026'!Q36,"")</f>
        <v>EUH-427</v>
      </c>
      <c r="K137" s="192" t="n">
        <f aca="false">IF(AND('FEBRERO 2026'!D36&lt;&gt;"",'FEBRERO 2026'!Z36="POR RECOGER"),'FEBRERO 2026'!Y36,"")</f>
        <v>0</v>
      </c>
      <c r="L137" s="192" t="str">
        <f aca="false">IF(AND('FEBRERO 2026'!D36&lt;&gt;"",'FEBRERO 2026'!Z36="POR RECOGER"),'FEBRERO 2026'!I36,"")</f>
        <v>PEDRO RUIZ GALLO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" hidden="false" customHeight="true" outlineLevel="0" collapsed="false">
      <c r="A138" s="192" t="str">
        <f aca="false">IF(AND('FEBRERO 2026'!D37&lt;&gt;"",'FEBRERO 2026'!Z37="POR RECOGER"),"FEB","")</f>
        <v>FEB</v>
      </c>
      <c r="B138" s="192" t="str">
        <f aca="false">IF(AND('FEBRERO 2026'!D37&lt;&gt;"",'FEBRERO 2026'!Z37="POR RECOGER"),IF('FEBRERO 2026'!Y37&lt;&gt;"",'FEBRERO 2026'!Y37,'FEBRERO 2026'!I37),"")</f>
        <v>YAULICACHI</v>
      </c>
      <c r="C138" s="192" t="str">
        <f aca="false">IF(AND('FEBRERO 2026'!D37&lt;&gt;"",'FEBRERO 2026'!Z37="POR RECOGER"),'FEBRERO 2026'!D37,"")</f>
        <v>SIFUENTES MENDOZA JULIANA NAOMI</v>
      </c>
      <c r="D138" s="192" t="str">
        <f aca="false">IF(AND('FEBRERO 2026'!D37&lt;&gt;"",'FEBRERO 2026'!Z37="POR RECOGER"),'FEBRERO 2026'!F37,"")</f>
        <v>70700554</v>
      </c>
      <c r="E138" s="192" t="str">
        <f aca="false">IF(AND('FEBRERO 2026'!D37&lt;&gt;"",'FEBRERO 2026'!Z37="POR RECOGER"),TEXT('FEBRERO 2026'!G37,"DD/MM/YYYY"),"")</f>
        <v>10/02/2026</v>
      </c>
      <c r="F138" s="192" t="str">
        <f aca="false">IF(AND('FEBRERO 2026'!D37&lt;&gt;"",'FEBRERO 2026'!Z37="POR RECOGER"),'FEBRERO 2026'!K37,"")</f>
        <v>PETROLEO</v>
      </c>
      <c r="G138" s="193" t="n">
        <f aca="false">IF(AND('FEBRERO 2026'!D37&lt;&gt;"",'FEBRERO 2026'!Z37="POR RECOGER"),'FEBRERO 2026'!M37,"")</f>
        <v>20</v>
      </c>
      <c r="H138" s="193" t="n">
        <f aca="false">IF(AND('FEBRERO 2026'!D37&lt;&gt;"",'FEBRERO 2026'!Z37="POR RECOGER"),'FEBRERO 2026'!N37,"")</f>
        <v>363.6</v>
      </c>
      <c r="I138" s="192" t="str">
        <f aca="false">IF(AND('FEBRERO 2026'!D37&lt;&gt;"",'FEBRERO 2026'!Z37="POR RECOGER"),'FEBRERO 2026'!P37,"")</f>
        <v>SAUCEDO LOPEZ ELDIN NOLASCO</v>
      </c>
      <c r="J138" s="192" t="str">
        <f aca="false">IF(AND('FEBRERO 2026'!D37&lt;&gt;"",'FEBRERO 2026'!Z37="POR RECOGER"),'FEBRERO 2026'!Q37,"")</f>
        <v>EUH699</v>
      </c>
      <c r="K138" s="192" t="n">
        <f aca="false">IF(AND('FEBRERO 2026'!D37&lt;&gt;"",'FEBRERO 2026'!Z37="POR RECOGER"),'FEBRERO 2026'!Y37,"")</f>
        <v>0</v>
      </c>
      <c r="L138" s="192" t="str">
        <f aca="false">IF(AND('FEBRERO 2026'!D37&lt;&gt;"",'FEBRERO 2026'!Z37="POR RECOGER"),'FEBRERO 2026'!I37,"")</f>
        <v>YAULICACHI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" hidden="false" customHeight="true" outlineLevel="0" collapsed="false">
      <c r="A139" s="192" t="str">
        <f aca="false">IF(AND('FEBRERO 2026'!D38&lt;&gt;"",'FEBRERO 2026'!Z38="POR RECOGER"),"FEB","")</f>
        <v>FEB</v>
      </c>
      <c r="B139" s="192" t="str">
        <f aca="false">IF(AND('FEBRERO 2026'!D38&lt;&gt;"",'FEBRERO 2026'!Z38="POR RECOGER"),IF('FEBRERO 2026'!Y38&lt;&gt;"",'FEBRERO 2026'!Y38,'FEBRERO 2026'!I38),"")</f>
        <v>LEYMEBAMBA</v>
      </c>
      <c r="C139" s="192" t="str">
        <f aca="false">IF(AND('FEBRERO 2026'!D38&lt;&gt;"",'FEBRERO 2026'!Z38="POR RECOGER"),'FEBRERO 2026'!D38,"")</f>
        <v>FLORINDEZ ROJAS GHERAL</v>
      </c>
      <c r="D139" s="192" t="str">
        <f aca="false">IF(AND('FEBRERO 2026'!D38&lt;&gt;"",'FEBRERO 2026'!Z38="POR RECOGER"),'FEBRERO 2026'!F38,"")</f>
        <v>90033095</v>
      </c>
      <c r="E139" s="192" t="str">
        <f aca="false">IF(AND('FEBRERO 2026'!D38&lt;&gt;"",'FEBRERO 2026'!Z38="POR RECOGER"),TEXT('FEBRERO 2026'!G38,"DD/MM/YYYY"),"")</f>
        <v>11/02/2026</v>
      </c>
      <c r="F139" s="192" t="str">
        <f aca="false">IF(AND('FEBRERO 2026'!D38&lt;&gt;"",'FEBRERO 2026'!Z38="POR RECOGER"),'FEBRERO 2026'!K38,"")</f>
        <v>PETROLEO</v>
      </c>
      <c r="G139" s="193" t="n">
        <f aca="false">IF(AND('FEBRERO 2026'!D38&lt;&gt;"",'FEBRERO 2026'!Z38="POR RECOGER"),'FEBRERO 2026'!M38,"")</f>
        <v>7.5</v>
      </c>
      <c r="H139" s="193" t="n">
        <f aca="false">IF(AND('FEBRERO 2026'!D38&lt;&gt;"",'FEBRERO 2026'!Z38="POR RECOGER"),'FEBRERO 2026'!N38,"")</f>
        <v>136.35</v>
      </c>
      <c r="I139" s="192" t="str">
        <f aca="false">IF(AND('FEBRERO 2026'!D38&lt;&gt;"",'FEBRERO 2026'!Z38="POR RECOGER"),'FEBRERO 2026'!P38,"")</f>
        <v>CHAVEZ MORI DIMAS</v>
      </c>
      <c r="J139" s="192" t="str">
        <f aca="false">IF(AND('FEBRERO 2026'!D38&lt;&gt;"",'FEBRERO 2026'!Z38="POR RECOGER"),'FEBRERO 2026'!Q38,"")</f>
        <v>EUH 636</v>
      </c>
      <c r="K139" s="192" t="n">
        <f aca="false">IF(AND('FEBRERO 2026'!D38&lt;&gt;"",'FEBRERO 2026'!Z38="POR RECOGER"),'FEBRERO 2026'!Y38,"")</f>
        <v>0</v>
      </c>
      <c r="L139" s="192" t="str">
        <f aca="false">IF(AND('FEBRERO 2026'!D38&lt;&gt;"",'FEBRERO 2026'!Z38="POR RECOGER"),'FEBRERO 2026'!I38,"")</f>
        <v>LEYMEBAMBA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" hidden="false" customHeight="true" outlineLevel="0" collapsed="false">
      <c r="A140" s="192" t="str">
        <f aca="false">IF(AND('FEBRERO 2026'!D39&lt;&gt;"",'FEBRERO 2026'!Z39="POR RECOGER"),"FEB","")</f>
        <v>FEB</v>
      </c>
      <c r="B140" s="192" t="str">
        <f aca="false">IF(AND('FEBRERO 2026'!D39&lt;&gt;"",'FEBRERO 2026'!Z39="POR RECOGER"),IF('FEBRERO 2026'!Y39&lt;&gt;"",'FEBRERO 2026'!Y39,'FEBRERO 2026'!I39),"")</f>
        <v>JUMBILLA</v>
      </c>
      <c r="C140" s="192" t="str">
        <f aca="false">IF(AND('FEBRERO 2026'!D39&lt;&gt;"",'FEBRERO 2026'!Z39="POR RECOGER"),'FEBRERO 2026'!D39,"")</f>
        <v>NUNCEVAY ORDOÑEZ LALLY AMPARO</v>
      </c>
      <c r="D140" s="192" t="str">
        <f aca="false">IF(AND('FEBRERO 2026'!D39&lt;&gt;"",'FEBRERO 2026'!Z39="POR RECOGER"),'FEBRERO 2026'!F39,"")</f>
        <v>75658490</v>
      </c>
      <c r="E140" s="192" t="str">
        <f aca="false">IF(AND('FEBRERO 2026'!D39&lt;&gt;"",'FEBRERO 2026'!Z39="POR RECOGER"),TEXT('FEBRERO 2026'!G39,"DD/MM/YYYY"),"")</f>
        <v>11/02/2026</v>
      </c>
      <c r="F140" s="192" t="str">
        <f aca="false">IF(AND('FEBRERO 2026'!D39&lt;&gt;"",'FEBRERO 2026'!Z39="POR RECOGER"),'FEBRERO 2026'!K39,"")</f>
        <v>PETROLEO</v>
      </c>
      <c r="G140" s="193" t="n">
        <f aca="false">IF(AND('FEBRERO 2026'!D39&lt;&gt;"",'FEBRERO 2026'!Z39="POR RECOGER"),'FEBRERO 2026'!M39,"")</f>
        <v>12</v>
      </c>
      <c r="H140" s="193" t="n">
        <f aca="false">IF(AND('FEBRERO 2026'!D39&lt;&gt;"",'FEBRERO 2026'!Z39="POR RECOGER"),'FEBRERO 2026'!N39,"")</f>
        <v>218.16</v>
      </c>
      <c r="I140" s="192" t="str">
        <f aca="false">IF(AND('FEBRERO 2026'!D39&lt;&gt;"",'FEBRERO 2026'!Z39="POR RECOGER"),'FEBRERO 2026'!P39,"")</f>
        <v>BRICENO OXOLON MANUEL</v>
      </c>
      <c r="J140" s="192" t="str">
        <f aca="false">IF(AND('FEBRERO 2026'!D39&lt;&gt;"",'FEBRERO 2026'!Z39="POR RECOGER"),'FEBRERO 2026'!Q39,"")</f>
        <v>EUC976</v>
      </c>
      <c r="K140" s="192" t="n">
        <f aca="false">IF(AND('FEBRERO 2026'!D39&lt;&gt;"",'FEBRERO 2026'!Z39="POR RECOGER"),'FEBRERO 2026'!Y39,"")</f>
        <v>0</v>
      </c>
      <c r="L140" s="192" t="str">
        <f aca="false">IF(AND('FEBRERO 2026'!D39&lt;&gt;"",'FEBRERO 2026'!Z39="POR RECOGER"),'FEBRERO 2026'!I39,"")</f>
        <v>JUMBILLA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" hidden="false" customHeight="true" outlineLevel="0" collapsed="false">
      <c r="A141" s="192" t="str">
        <f aca="false">IF(AND('FEBRERO 2026'!D40&lt;&gt;"",'FEBRERO 2026'!Z40="POR RECOGER"),"FEB","")</f>
        <v>FEB</v>
      </c>
      <c r="B141" s="192" t="str">
        <f aca="false">IF(AND('FEBRERO 2026'!D40&lt;&gt;"",'FEBRERO 2026'!Z40="POR RECOGER"),IF('FEBRERO 2026'!Y40&lt;&gt;"",'FEBRERO 2026'!Y40,'FEBRERO 2026'!I40),"")</f>
        <v>MARIA AUXILIADORA</v>
      </c>
      <c r="C141" s="192" t="str">
        <f aca="false">IF(AND('FEBRERO 2026'!D40&lt;&gt;"",'FEBRERO 2026'!Z40="POR RECOGER"),'FEBRERO 2026'!D40,"")</f>
        <v>HUAMAN HUAMAN JUAN JOSE</v>
      </c>
      <c r="D141" s="192" t="str">
        <f aca="false">IF(AND('FEBRERO 2026'!D40&lt;&gt;"",'FEBRERO 2026'!Z40="POR RECOGER"),'FEBRERO 2026'!F40,"")</f>
        <v>33960724</v>
      </c>
      <c r="E141" s="192" t="str">
        <f aca="false">IF(AND('FEBRERO 2026'!D40&lt;&gt;"",'FEBRERO 2026'!Z40="POR RECOGER"),TEXT('FEBRERO 2026'!G40,"DD/MM/YYYY"),"")</f>
        <v>11/02/2026</v>
      </c>
      <c r="F141" s="192" t="str">
        <f aca="false">IF(AND('FEBRERO 2026'!D40&lt;&gt;"",'FEBRERO 2026'!Z40="POR RECOGER"),'FEBRERO 2026'!K40,"")</f>
        <v>PETROLEO</v>
      </c>
      <c r="G141" s="193" t="n">
        <f aca="false">IF(AND('FEBRERO 2026'!D40&lt;&gt;"",'FEBRERO 2026'!Z40="POR RECOGER"),'FEBRERO 2026'!M40,"")</f>
        <v>9.09</v>
      </c>
      <c r="H141" s="193" t="n">
        <f aca="false">IF(AND('FEBRERO 2026'!D40&lt;&gt;"",'FEBRERO 2026'!Z40="POR RECOGER"),'FEBRERO 2026'!N40,"")</f>
        <v>184.0725</v>
      </c>
      <c r="I141" s="192" t="str">
        <f aca="false">IF(AND('FEBRERO 2026'!D40&lt;&gt;"",'FEBRERO 2026'!Z40="POR RECOGER"),'FEBRERO 2026'!P40,"")</f>
        <v>SERNAQUE PELAEZ WILMER</v>
      </c>
      <c r="J141" s="192" t="str">
        <f aca="false">IF(AND('FEBRERO 2026'!D40&lt;&gt;"",'FEBRERO 2026'!Z40="POR RECOGER"),'FEBRERO 2026'!Q40,"")</f>
        <v>EUH-421</v>
      </c>
      <c r="K141" s="192" t="n">
        <f aca="false">IF(AND('FEBRERO 2026'!D40&lt;&gt;"",'FEBRERO 2026'!Z40="POR RECOGER"),'FEBRERO 2026'!Y40,"")</f>
        <v>0</v>
      </c>
      <c r="L141" s="192" t="str">
        <f aca="false">IF(AND('FEBRERO 2026'!D40&lt;&gt;"",'FEBRERO 2026'!Z40="POR RECOGER"),'FEBRERO 2026'!I40,"")</f>
        <v>MARIA AUXILIADORA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" hidden="false" customHeight="true" outlineLevel="0" collapsed="false">
      <c r="A142" s="192" t="str">
        <f aca="false">IF(AND('FEBRERO 2026'!D41&lt;&gt;"",'FEBRERO 2026'!Z41="POR RECOGER"),"FEB","")</f>
        <v>FEB</v>
      </c>
      <c r="B142" s="192" t="str">
        <f aca="false">IF(AND('FEBRERO 2026'!D41&lt;&gt;"",'FEBRERO 2026'!Z41="POR RECOGER"),IF('FEBRERO 2026'!Y41&lt;&gt;"",'FEBRERO 2026'!Y41,'FEBRERO 2026'!I41),"")</f>
        <v>TINGO</v>
      </c>
      <c r="C142" s="192" t="str">
        <f aca="false">IF(AND('FEBRERO 2026'!D41&lt;&gt;"",'FEBRERO 2026'!Z41="POR RECOGER"),'FEBRERO 2026'!D41,"")</f>
        <v>CHAVEZ ZABALETA EULOGIA</v>
      </c>
      <c r="D142" s="192" t="str">
        <f aca="false">IF(AND('FEBRERO 2026'!D41&lt;&gt;"",'FEBRERO 2026'!Z41="POR RECOGER"),'FEBRERO 2026'!F41,"")</f>
        <v>33789829</v>
      </c>
      <c r="E142" s="192" t="str">
        <f aca="false">IF(AND('FEBRERO 2026'!D41&lt;&gt;"",'FEBRERO 2026'!Z41="POR RECOGER"),TEXT('FEBRERO 2026'!G41,"DD/MM/YYYY"),"")</f>
        <v>11/02/2026</v>
      </c>
      <c r="F142" s="192" t="str">
        <f aca="false">IF(AND('FEBRERO 2026'!D41&lt;&gt;"",'FEBRERO 2026'!Z41="POR RECOGER"),'FEBRERO 2026'!K41,"")</f>
        <v>PETROLEO</v>
      </c>
      <c r="G142" s="193" t="n">
        <f aca="false">IF(AND('FEBRERO 2026'!D41&lt;&gt;"",'FEBRERO 2026'!Z41="POR RECOGER"),'FEBRERO 2026'!M41,"")</f>
        <v>5</v>
      </c>
      <c r="H142" s="193" t="n">
        <f aca="false">IF(AND('FEBRERO 2026'!D41&lt;&gt;"",'FEBRERO 2026'!Z41="POR RECOGER"),'FEBRERO 2026'!N41,"")</f>
        <v>90.9</v>
      </c>
      <c r="I142" s="192" t="str">
        <f aca="false">IF(AND('FEBRERO 2026'!D41&lt;&gt;"",'FEBRERO 2026'!Z41="POR RECOGER"),'FEBRERO 2026'!P41,"")</f>
        <v>VILCARROMERO TORREJON HERMERSON</v>
      </c>
      <c r="J142" s="192" t="str">
        <f aca="false">IF(AND('FEBRERO 2026'!D41&lt;&gt;"",'FEBRERO 2026'!Z41="POR RECOGER"),'FEBRERO 2026'!Q41,"")</f>
        <v>EUD-917</v>
      </c>
      <c r="K142" s="192" t="n">
        <f aca="false">IF(AND('FEBRERO 2026'!D41&lt;&gt;"",'FEBRERO 2026'!Z41="POR RECOGER"),'FEBRERO 2026'!Y41,"")</f>
        <v>0</v>
      </c>
      <c r="L142" s="192" t="str">
        <f aca="false">IF(AND('FEBRERO 2026'!D41&lt;&gt;"",'FEBRERO 2026'!Z41="POR RECOGER"),'FEBRERO 2026'!I41,"")</f>
        <v>TINGO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" hidden="false" customHeight="true" outlineLevel="0" collapsed="false">
      <c r="A143" s="192" t="str">
        <f aca="false">IF(AND('FEBRERO 2026'!D42&lt;&gt;"",'FEBRERO 2026'!Z42="POR RECOGER"),"FEB","")</f>
        <v>FEB</v>
      </c>
      <c r="B143" s="192" t="str">
        <f aca="false">IF(AND('FEBRERO 2026'!D42&lt;&gt;"",'FEBRERO 2026'!Z42="POR RECOGER"),IF('FEBRERO 2026'!Y42&lt;&gt;"",'FEBRERO 2026'!Y42,'FEBRERO 2026'!I42),"")</f>
        <v>PEDRO RUIZ GALLO</v>
      </c>
      <c r="C143" s="192" t="str">
        <f aca="false">IF(AND('FEBRERO 2026'!D42&lt;&gt;"",'FEBRERO 2026'!Z42="POR RECOGER"),'FEBRERO 2026'!D42,"")</f>
        <v>FLORES DE OLIVARES MAGNOLIA</v>
      </c>
      <c r="D143" s="192" t="str">
        <f aca="false">IF(AND('FEBRERO 2026'!D42&lt;&gt;"",'FEBRERO 2026'!Z42="POR RECOGER"),'FEBRERO 2026'!F42,"")</f>
        <v>33802091</v>
      </c>
      <c r="E143" s="192" t="str">
        <f aca="false">IF(AND('FEBRERO 2026'!D42&lt;&gt;"",'FEBRERO 2026'!Z42="POR RECOGER"),TEXT('FEBRERO 2026'!G42,"DD/MM/YYYY"),"")</f>
        <v>11/02/2026</v>
      </c>
      <c r="F143" s="192" t="str">
        <f aca="false">IF(AND('FEBRERO 2026'!D42&lt;&gt;"",'FEBRERO 2026'!Z42="POR RECOGER"),'FEBRERO 2026'!K42,"")</f>
        <v>PETROLEO</v>
      </c>
      <c r="G143" s="193" t="n">
        <f aca="false">IF(AND('FEBRERO 2026'!D42&lt;&gt;"",'FEBRERO 2026'!Z42="POR RECOGER"),'FEBRERO 2026'!M42,"")</f>
        <v>5</v>
      </c>
      <c r="H143" s="193" t="n">
        <f aca="false">IF(AND('FEBRERO 2026'!D42&lt;&gt;"",'FEBRERO 2026'!Z42="POR RECOGER"),'FEBRERO 2026'!N42,"")</f>
        <v>90.9</v>
      </c>
      <c r="I143" s="192" t="str">
        <f aca="false">IF(AND('FEBRERO 2026'!D42&lt;&gt;"",'FEBRERO 2026'!Z42="POR RECOGER"),'FEBRERO 2026'!P42,"")</f>
        <v>MONTENEGRO RUIZ LUIS MIGUEL</v>
      </c>
      <c r="J143" s="192" t="str">
        <f aca="false">IF(AND('FEBRERO 2026'!D42&lt;&gt;"",'FEBRERO 2026'!Z42="POR RECOGER"),'FEBRERO 2026'!Q42,"")</f>
        <v>EUH-427</v>
      </c>
      <c r="K143" s="192" t="n">
        <f aca="false">IF(AND('FEBRERO 2026'!D42&lt;&gt;"",'FEBRERO 2026'!Z42="POR RECOGER"),'FEBRERO 2026'!Y42,"")</f>
        <v>0</v>
      </c>
      <c r="L143" s="192" t="str">
        <f aca="false">IF(AND('FEBRERO 2026'!D42&lt;&gt;"",'FEBRERO 2026'!Z42="POR RECOGER"),'FEBRERO 2026'!I42,"")</f>
        <v>PEDRO RUIZ GALLO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" hidden="false" customHeight="true" outlineLevel="0" collapsed="false">
      <c r="A144" s="192" t="str">
        <f aca="false">IF(AND('FEBRERO 2026'!D43&lt;&gt;"",'FEBRERO 2026'!Z43="POR RECOGER"),"FEB","")</f>
        <v>FEB</v>
      </c>
      <c r="B144" s="192" t="str">
        <f aca="false">IF(AND('FEBRERO 2026'!D43&lt;&gt;"",'FEBRERO 2026'!Z43="POR RECOGER"),IF('FEBRERO 2026'!Y43&lt;&gt;"",'FEBRERO 2026'!Y43,'FEBRERO 2026'!I43),"")</f>
        <v>JALCA GRANDE</v>
      </c>
      <c r="C144" s="192" t="str">
        <f aca="false">IF(AND('FEBRERO 2026'!D43&lt;&gt;"",'FEBRERO 2026'!Z43="POR RECOGER"),'FEBRERO 2026'!D43,"")</f>
        <v>PUSCAN HUAMAN NORIT IRAKCE</v>
      </c>
      <c r="D144" s="192" t="str">
        <f aca="false">IF(AND('FEBRERO 2026'!D43&lt;&gt;"",'FEBRERO 2026'!Z43="POR RECOGER"),'FEBRERO 2026'!F43,"")</f>
        <v>60708321</v>
      </c>
      <c r="E144" s="192" t="str">
        <f aca="false">IF(AND('FEBRERO 2026'!D43&lt;&gt;"",'FEBRERO 2026'!Z43="POR RECOGER"),TEXT('FEBRERO 2026'!G43,"DD/MM/YYYY"),"")</f>
        <v>11/02/2026</v>
      </c>
      <c r="F144" s="192" t="str">
        <f aca="false">IF(AND('FEBRERO 2026'!D43&lt;&gt;"",'FEBRERO 2026'!Z43="POR RECOGER"),'FEBRERO 2026'!K43,"")</f>
        <v>PETROLEO</v>
      </c>
      <c r="G144" s="193" t="n">
        <f aca="false">IF(AND('FEBRERO 2026'!D43&lt;&gt;"",'FEBRERO 2026'!Z43="POR RECOGER"),'FEBRERO 2026'!M43,"")</f>
        <v>7</v>
      </c>
      <c r="H144" s="193" t="n">
        <f aca="false">IF(AND('FEBRERO 2026'!D43&lt;&gt;"",'FEBRERO 2026'!Z43="POR RECOGER"),'FEBRERO 2026'!N43,"")</f>
        <v>127.26</v>
      </c>
      <c r="I144" s="192" t="str">
        <f aca="false">IF(AND('FEBRERO 2026'!D43&lt;&gt;"",'FEBRERO 2026'!Z43="POR RECOGER"),'FEBRERO 2026'!P43,"")</f>
        <v>LEIVA LARA JUNIOR</v>
      </c>
      <c r="J144" s="192" t="str">
        <f aca="false">IF(AND('FEBRERO 2026'!D43&lt;&gt;"",'FEBRERO 2026'!Z43="POR RECOGER"),'FEBRERO 2026'!Q43,"")</f>
        <v>EUC 959</v>
      </c>
      <c r="K144" s="192" t="n">
        <f aca="false">IF(AND('FEBRERO 2026'!D43&lt;&gt;"",'FEBRERO 2026'!Z43="POR RECOGER"),'FEBRERO 2026'!Y43,"")</f>
        <v>0</v>
      </c>
      <c r="L144" s="192" t="str">
        <f aca="false">IF(AND('FEBRERO 2026'!D43&lt;&gt;"",'FEBRERO 2026'!Z43="POR RECOGER"),'FEBRERO 2026'!I43,"")</f>
        <v>JALCA GRANDE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" hidden="false" customHeight="true" outlineLevel="0" collapsed="false">
      <c r="A145" s="192" t="str">
        <f aca="false">IF(AND('FEBRERO 2026'!D44&lt;&gt;"",'FEBRERO 2026'!Z44="POR RECOGER"),"FEB","")</f>
        <v>FEB</v>
      </c>
      <c r="B145" s="192" t="str">
        <f aca="false">IF(AND('FEBRERO 2026'!D44&lt;&gt;"",'FEBRERO 2026'!Z44="POR RECOGER"),IF('FEBRERO 2026'!Y44&lt;&gt;"",'FEBRERO 2026'!Y44,'FEBRERO 2026'!I44),"")</f>
        <v>POMACOCHAS</v>
      </c>
      <c r="C145" s="192" t="str">
        <f aca="false">IF(AND('FEBRERO 2026'!D44&lt;&gt;"",'FEBRERO 2026'!Z44="POR RECOGER"),'FEBRERO 2026'!D44,"")</f>
        <v>VIGIL CUBAS MARTHA RENE</v>
      </c>
      <c r="D145" s="192" t="str">
        <f aca="false">IF(AND('FEBRERO 2026'!D44&lt;&gt;"",'FEBRERO 2026'!Z44="POR RECOGER"),'FEBRERO 2026'!F44,"")</f>
        <v>72708806</v>
      </c>
      <c r="E145" s="192" t="str">
        <f aca="false">IF(AND('FEBRERO 2026'!D44&lt;&gt;"",'FEBRERO 2026'!Z44="POR RECOGER"),TEXT('FEBRERO 2026'!G44,"DD/MM/YYYY"),"")</f>
        <v>11/02/2026</v>
      </c>
      <c r="F145" s="192" t="str">
        <f aca="false">IF(AND('FEBRERO 2026'!D44&lt;&gt;"",'FEBRERO 2026'!Z44="POR RECOGER"),'FEBRERO 2026'!K44,"")</f>
        <v>PETROLEO</v>
      </c>
      <c r="G145" s="193" t="n">
        <f aca="false">IF(AND('FEBRERO 2026'!D44&lt;&gt;"",'FEBRERO 2026'!Z44="POR RECOGER"),'FEBRERO 2026'!M44,"")</f>
        <v>6</v>
      </c>
      <c r="H145" s="193" t="n">
        <f aca="false">IF(AND('FEBRERO 2026'!D44&lt;&gt;"",'FEBRERO 2026'!Z44="POR RECOGER"),'FEBRERO 2026'!N44,"")</f>
        <v>109.08</v>
      </c>
      <c r="I145" s="192" t="str">
        <f aca="false">IF(AND('FEBRERO 2026'!D44&lt;&gt;"",'FEBRERO 2026'!Z44="POR RECOGER"),'FEBRERO 2026'!P44,"")</f>
        <v>CHICANA LOPEZ MANUEL HECTOR</v>
      </c>
      <c r="J145" s="192" t="str">
        <f aca="false">IF(AND('FEBRERO 2026'!D44&lt;&gt;"",'FEBRERO 2026'!Z44="POR RECOGER"),'FEBRERO 2026'!Q44,"")</f>
        <v>EUH747</v>
      </c>
      <c r="K145" s="192" t="n">
        <f aca="false">IF(AND('FEBRERO 2026'!D44&lt;&gt;"",'FEBRERO 2026'!Z44="POR RECOGER"),'FEBRERO 2026'!Y44,"")</f>
        <v>0</v>
      </c>
      <c r="L145" s="192" t="str">
        <f aca="false">IF(AND('FEBRERO 2026'!D44&lt;&gt;"",'FEBRERO 2026'!Z44="POR RECOGER"),'FEBRERO 2026'!I44,"")</f>
        <v>POMACOCHAS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" hidden="false" customHeight="true" outlineLevel="0" collapsed="false">
      <c r="A146" s="192" t="str">
        <f aca="false">IF(AND('FEBRERO 2026'!D45&lt;&gt;"",'FEBRERO 2026'!Z45="POR RECOGER"),"FEB","")</f>
        <v>FEB</v>
      </c>
      <c r="B146" s="192" t="str">
        <f aca="false">IF(AND('FEBRERO 2026'!D45&lt;&gt;"",'FEBRERO 2026'!Z45="POR RECOGER"),IF('FEBRERO 2026'!Y45&lt;&gt;"",'FEBRERO 2026'!Y45,'FEBRERO 2026'!I45),"")</f>
        <v>BUENOS AIRES</v>
      </c>
      <c r="C146" s="192" t="str">
        <f aca="false">IF(AND('FEBRERO 2026'!D45&lt;&gt;"",'FEBRERO 2026'!Z45="POR RECOGER"),'FEBRERO 2026'!D45,"")</f>
        <v>LEIVA MARRUFO ELVA MAYANI</v>
      </c>
      <c r="D146" s="192" t="str">
        <f aca="false">IF(AND('FEBRERO 2026'!D45&lt;&gt;"",'FEBRERO 2026'!Z45="POR RECOGER"),'FEBRERO 2026'!F45,"")</f>
        <v>48313315</v>
      </c>
      <c r="E146" s="192" t="str">
        <f aca="false">IF(AND('FEBRERO 2026'!D45&lt;&gt;"",'FEBRERO 2026'!Z45="POR RECOGER"),TEXT('FEBRERO 2026'!G45,"DD/MM/YYYY"),"")</f>
        <v>12/02/2026</v>
      </c>
      <c r="F146" s="192" t="str">
        <f aca="false">IF(AND('FEBRERO 2026'!D45&lt;&gt;"",'FEBRERO 2026'!Z45="POR RECOGER"),'FEBRERO 2026'!K45,"")</f>
        <v>GASOLINA</v>
      </c>
      <c r="G146" s="193" t="n">
        <f aca="false">IF(AND('FEBRERO 2026'!D45&lt;&gt;"",'FEBRERO 2026'!Z45="POR RECOGER"),'FEBRERO 2026'!M45,"")</f>
        <v>5</v>
      </c>
      <c r="H146" s="193" t="n">
        <f aca="false">IF(AND('FEBRERO 2026'!D45&lt;&gt;"",'FEBRERO 2026'!Z45="POR RECOGER"),'FEBRERO 2026'!N45,"")</f>
        <v>89.75</v>
      </c>
      <c r="I146" s="192" t="str">
        <f aca="false">IF(AND('FEBRERO 2026'!D45&lt;&gt;"",'FEBRERO 2026'!Z45="POR RECOGER"),'FEBRERO 2026'!P45,"")</f>
        <v>RONAL SAUCEDO GUEVARA</v>
      </c>
      <c r="J146" s="192" t="str">
        <f aca="false">IF(AND('FEBRERO 2026'!D45&lt;&gt;"",'FEBRERO 2026'!Z45="POR RECOGER"),'FEBRERO 2026'!Q45,"")</f>
        <v>EUB-067</v>
      </c>
      <c r="K146" s="192" t="n">
        <f aca="false">IF(AND('FEBRERO 2026'!D45&lt;&gt;"",'FEBRERO 2026'!Z45="POR RECOGER"),'FEBRERO 2026'!Y45,"")</f>
        <v>0</v>
      </c>
      <c r="L146" s="192" t="str">
        <f aca="false">IF(AND('FEBRERO 2026'!D45&lt;&gt;"",'FEBRERO 2026'!Z45="POR RECOGER"),'FEBRERO 2026'!I45,"")</f>
        <v>BUENOS AIRES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" hidden="false" customHeight="true" outlineLevel="0" collapsed="false">
      <c r="A147" s="192" t="str">
        <f aca="false">IF(AND('FEBRERO 2026'!D46&lt;&gt;"",'FEBRERO 2026'!Z46="POR RECOGER"),"FEB","")</f>
        <v>FEB</v>
      </c>
      <c r="B147" s="192" t="str">
        <f aca="false">IF(AND('FEBRERO 2026'!D46&lt;&gt;"",'FEBRERO 2026'!Z46="POR RECOGER"),IF('FEBRERO 2026'!Y46&lt;&gt;"",'FEBRERO 2026'!Y46,'FEBRERO 2026'!I46),"")</f>
        <v>MARIA AUXILIADORA</v>
      </c>
      <c r="C147" s="192" t="str">
        <f aca="false">IF(AND('FEBRERO 2026'!D46&lt;&gt;"",'FEBRERO 2026'!Z46="POR RECOGER"),'FEBRERO 2026'!D46,"")</f>
        <v>LOPEZ TORRES YURI KATERIN</v>
      </c>
      <c r="D147" s="192" t="str">
        <f aca="false">IF(AND('FEBRERO 2026'!D46&lt;&gt;"",'FEBRERO 2026'!Z46="POR RECOGER"),'FEBRERO 2026'!F46,"")</f>
        <v>71962443</v>
      </c>
      <c r="E147" s="192" t="str">
        <f aca="false">IF(AND('FEBRERO 2026'!D46&lt;&gt;"",'FEBRERO 2026'!Z46="POR RECOGER"),TEXT('FEBRERO 2026'!G46,"DD/MM/YYYY"),"")</f>
        <v>13/02/2026</v>
      </c>
      <c r="F147" s="192" t="str">
        <f aca="false">IF(AND('FEBRERO 2026'!D46&lt;&gt;"",'FEBRERO 2026'!Z46="POR RECOGER"),'FEBRERO 2026'!K46,"")</f>
        <v>PETROLEO</v>
      </c>
      <c r="G147" s="193" t="n">
        <f aca="false">IF(AND('FEBRERO 2026'!D46&lt;&gt;"",'FEBRERO 2026'!Z46="POR RECOGER"),'FEBRERO 2026'!M46,"")</f>
        <v>7</v>
      </c>
      <c r="H147" s="193" t="n">
        <f aca="false">IF(AND('FEBRERO 2026'!D46&lt;&gt;"",'FEBRERO 2026'!Z46="POR RECOGER"),'FEBRERO 2026'!N46,"")</f>
        <v>141.75</v>
      </c>
      <c r="I147" s="192" t="str">
        <f aca="false">IF(AND('FEBRERO 2026'!D46&lt;&gt;"",'FEBRERO 2026'!Z46="POR RECOGER"),'FEBRERO 2026'!P46,"")</f>
        <v>PORTOCARRERO PELAEZ MIGUEL ANTONIO</v>
      </c>
      <c r="J147" s="192" t="str">
        <f aca="false">IF(AND('FEBRERO 2026'!D46&lt;&gt;"",'FEBRERO 2026'!Z46="POR RECOGER"),'FEBRERO 2026'!Q46,"")</f>
        <v>EUH-421</v>
      </c>
      <c r="K147" s="192" t="n">
        <f aca="false">IF(AND('FEBRERO 2026'!D46&lt;&gt;"",'FEBRERO 2026'!Z46="POR RECOGER"),'FEBRERO 2026'!Y46,"")</f>
        <v>0</v>
      </c>
      <c r="L147" s="192" t="str">
        <f aca="false">IF(AND('FEBRERO 2026'!D46&lt;&gt;"",'FEBRERO 2026'!Z46="POR RECOGER"),'FEBRERO 2026'!I46,"")</f>
        <v>MARIA AUXILIADORA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" hidden="false" customHeight="true" outlineLevel="0" collapsed="false">
      <c r="A148" s="192" t="str">
        <f aca="false">IF(AND('FEBRERO 2026'!D47&lt;&gt;"",'FEBRERO 2026'!Z47="POR RECOGER"),"FEB","")</f>
        <v>FEB</v>
      </c>
      <c r="B148" s="192" t="str">
        <f aca="false">IF(AND('FEBRERO 2026'!D47&lt;&gt;"",'FEBRERO 2026'!Z47="POR RECOGER"),IF('FEBRERO 2026'!Y47&lt;&gt;"",'FEBRERO 2026'!Y47,'FEBRERO 2026'!I47),"")</f>
        <v>OMIA</v>
      </c>
      <c r="C148" s="192" t="str">
        <f aca="false">IF(AND('FEBRERO 2026'!D47&lt;&gt;"",'FEBRERO 2026'!Z47="POR RECOGER"),'FEBRERO 2026'!D47,"")</f>
        <v>SILVA VASQUEZ ESTER</v>
      </c>
      <c r="D148" s="192" t="str">
        <f aca="false">IF(AND('FEBRERO 2026'!D47&lt;&gt;"",'FEBRERO 2026'!Z47="POR RECOGER"),'FEBRERO 2026'!F47,"")</f>
        <v>62174169</v>
      </c>
      <c r="E148" s="192" t="str">
        <f aca="false">IF(AND('FEBRERO 2026'!D47&lt;&gt;"",'FEBRERO 2026'!Z47="POR RECOGER"),TEXT('FEBRERO 2026'!G47,"DD/MM/YYYY"),"")</f>
        <v>13/02/2026</v>
      </c>
      <c r="F148" s="192" t="str">
        <f aca="false">IF(AND('FEBRERO 2026'!D47&lt;&gt;"",'FEBRERO 2026'!Z47="POR RECOGER"),'FEBRERO 2026'!K47,"")</f>
        <v>PETROLEO</v>
      </c>
      <c r="G148" s="193" t="n">
        <f aca="false">IF(AND('FEBRERO 2026'!D47&lt;&gt;"",'FEBRERO 2026'!Z47="POR RECOGER"),'FEBRERO 2026'!M47,"")</f>
        <v>3</v>
      </c>
      <c r="H148" s="193" t="n">
        <f aca="false">IF(AND('FEBRERO 2026'!D47&lt;&gt;"",'FEBRERO 2026'!Z47="POR RECOGER"),'FEBRERO 2026'!N47,"")</f>
        <v>60.75</v>
      </c>
      <c r="I148" s="192" t="str">
        <f aca="false">IF(AND('FEBRERO 2026'!D47&lt;&gt;"",'FEBRERO 2026'!Z47="POR RECOGER"),'FEBRERO 2026'!P47,"")</f>
        <v>LOPEZ VARGAS HUBER</v>
      </c>
      <c r="J148" s="192" t="str">
        <f aca="false">IF(AND('FEBRERO 2026'!D47&lt;&gt;"",'FEBRERO 2026'!Z47="POR RECOGER"),'FEBRERO 2026'!Q47,"")</f>
        <v>EUH 634</v>
      </c>
      <c r="K148" s="192" t="n">
        <f aca="false">IF(AND('FEBRERO 2026'!D47&lt;&gt;"",'FEBRERO 2026'!Z47="POR RECOGER"),'FEBRERO 2026'!Y47,"")</f>
        <v>0</v>
      </c>
      <c r="L148" s="192" t="str">
        <f aca="false">IF(AND('FEBRERO 2026'!D47&lt;&gt;"",'FEBRERO 2026'!Z47="POR RECOGER"),'FEBRERO 2026'!I47,"")</f>
        <v>OMIA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" hidden="false" customHeight="true" outlineLevel="0" collapsed="false">
      <c r="A149" s="192" t="str">
        <f aca="false">IF(AND('FEBRERO 2026'!D48&lt;&gt;"",'FEBRERO 2026'!Z48="POR RECOGER"),"FEB","")</f>
        <v>FEB</v>
      </c>
      <c r="B149" s="192" t="str">
        <f aca="false">IF(AND('FEBRERO 2026'!D48&lt;&gt;"",'FEBRERO 2026'!Z48="POR RECOGER"),IF('FEBRERO 2026'!Y48&lt;&gt;"",'FEBRERO 2026'!Y48,'FEBRERO 2026'!I48),"")</f>
        <v>YERBABUENA</v>
      </c>
      <c r="C149" s="192" t="str">
        <f aca="false">IF(AND('FEBRERO 2026'!D48&lt;&gt;"",'FEBRERO 2026'!Z48="POR RECOGER"),'FEBRERO 2026'!D48,"")</f>
        <v>CHAVEZ LEIVA ROMULO</v>
      </c>
      <c r="D149" s="192" t="str">
        <f aca="false">IF(AND('FEBRERO 2026'!D48&lt;&gt;"",'FEBRERO 2026'!Z48="POR RECOGER"),'FEBRERO 2026'!F48,"")</f>
        <v>48503466</v>
      </c>
      <c r="E149" s="192" t="str">
        <f aca="false">IF(AND('FEBRERO 2026'!D48&lt;&gt;"",'FEBRERO 2026'!Z48="POR RECOGER"),TEXT('FEBRERO 2026'!G48,"DD/MM/YYYY"),"")</f>
        <v>13/02/2026</v>
      </c>
      <c r="F149" s="192" t="str">
        <f aca="false">IF(AND('FEBRERO 2026'!D48&lt;&gt;"",'FEBRERO 2026'!Z48="POR RECOGER"),'FEBRERO 2026'!K48,"")</f>
        <v>PETROLEO</v>
      </c>
      <c r="G149" s="193" t="n">
        <f aca="false">IF(AND('FEBRERO 2026'!D48&lt;&gt;"",'FEBRERO 2026'!Z48="POR RECOGER"),'FEBRERO 2026'!M48,"")</f>
        <v>6</v>
      </c>
      <c r="H149" s="193" t="n">
        <f aca="false">IF(AND('FEBRERO 2026'!D48&lt;&gt;"",'FEBRERO 2026'!Z48="POR RECOGER"),'FEBRERO 2026'!N48,"")</f>
        <v>109.08</v>
      </c>
      <c r="I149" s="192" t="str">
        <f aca="false">IF(AND('FEBRERO 2026'!D48&lt;&gt;"",'FEBRERO 2026'!Z48="POR RECOGER"),'FEBRERO 2026'!P48,"")</f>
        <v>SANCHEZ CAJO VICENTE</v>
      </c>
      <c r="J149" s="192" t="str">
        <f aca="false">IF(AND('FEBRERO 2026'!D48&lt;&gt;"",'FEBRERO 2026'!Z48="POR RECOGER"),'FEBRERO 2026'!Q48,"")</f>
        <v>EGL-296</v>
      </c>
      <c r="K149" s="192" t="n">
        <f aca="false">IF(AND('FEBRERO 2026'!D48&lt;&gt;"",'FEBRERO 2026'!Z48="POR RECOGER"),'FEBRERO 2026'!Y48,"")</f>
        <v>0</v>
      </c>
      <c r="L149" s="192" t="str">
        <f aca="false">IF(AND('FEBRERO 2026'!D48&lt;&gt;"",'FEBRERO 2026'!Z48="POR RECOGER"),'FEBRERO 2026'!I48,"")</f>
        <v>YERBABUENA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" hidden="false" customHeight="true" outlineLevel="0" collapsed="false">
      <c r="A150" s="192" t="str">
        <f aca="false">IF(AND('FEBRERO 2026'!D49&lt;&gt;"",'FEBRERO 2026'!Z49="POR RECOGER"),"FEB","")</f>
        <v>FEB</v>
      </c>
      <c r="B150" s="192" t="str">
        <f aca="false">IF(AND('FEBRERO 2026'!D49&lt;&gt;"",'FEBRERO 2026'!Z49="POR RECOGER"),IF('FEBRERO 2026'!Y49&lt;&gt;"",'FEBRERO 2026'!Y49,'FEBRERO 2026'!I49),"")</f>
        <v>SALAZAR</v>
      </c>
      <c r="C150" s="192" t="str">
        <f aca="false">IF(AND('FEBRERO 2026'!D49&lt;&gt;"",'FEBRERO 2026'!Z49="POR RECOGER"),'FEBRERO 2026'!D49,"")</f>
        <v>HERRERA CULLAMPE DINA</v>
      </c>
      <c r="D150" s="192" t="str">
        <f aca="false">IF(AND('FEBRERO 2026'!D49&lt;&gt;"",'FEBRERO 2026'!Z49="POR RECOGER"),'FEBRERO 2026'!F49,"")</f>
        <v>60349371</v>
      </c>
      <c r="E150" s="192" t="str">
        <f aca="false">IF(AND('FEBRERO 2026'!D49&lt;&gt;"",'FEBRERO 2026'!Z49="POR RECOGER"),TEXT('FEBRERO 2026'!G49,"DD/MM/YYYY"),"")</f>
        <v>13/02/2026</v>
      </c>
      <c r="F150" s="192" t="str">
        <f aca="false">IF(AND('FEBRERO 2026'!D49&lt;&gt;"",'FEBRERO 2026'!Z49="POR RECOGER"),'FEBRERO 2026'!K49,"")</f>
        <v>GASOLINA</v>
      </c>
      <c r="G150" s="193" t="n">
        <f aca="false">IF(AND('FEBRERO 2026'!D49&lt;&gt;"",'FEBRERO 2026'!Z49="POR RECOGER"),'FEBRERO 2026'!M49,"")</f>
        <v>16</v>
      </c>
      <c r="H150" s="193" t="n">
        <f aca="false">IF(AND('FEBRERO 2026'!D49&lt;&gt;"",'FEBRERO 2026'!Z49="POR RECOGER"),'FEBRERO 2026'!N49,"")</f>
        <v>287.2</v>
      </c>
      <c r="I150" s="192" t="str">
        <f aca="false">IF(AND('FEBRERO 2026'!D49&lt;&gt;"",'FEBRERO 2026'!Z49="POR RECOGER"),'FEBRERO 2026'!P49,"")</f>
        <v>EDINSON CARRASCO VELA</v>
      </c>
      <c r="J150" s="192" t="str">
        <f aca="false">IF(AND('FEBRERO 2026'!D49&lt;&gt;"",'FEBRERO 2026'!Z49="POR RECOGER"),'FEBRERO 2026'!Q49,"")</f>
        <v>EUE-457</v>
      </c>
      <c r="K150" s="192" t="str">
        <f aca="false">IF(AND('FEBRERO 2026'!D49&lt;&gt;"",'FEBRERO 2026'!Z49="POR RECOGER"),'FEBRERO 2026'!Y49,"")</f>
        <v>SALAZAR</v>
      </c>
      <c r="L150" s="192" t="str">
        <f aca="false">IF(AND('FEBRERO 2026'!D49&lt;&gt;"",'FEBRERO 2026'!Z49="POR RECOGER"),'FEBRERO 2026'!I49,"")</f>
        <v>SAN JUAN DE PROVIDENCIA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" hidden="false" customHeight="true" outlineLevel="0" collapsed="false">
      <c r="A151" s="192" t="str">
        <f aca="false">IF(AND('FEBRERO 2026'!D50&lt;&gt;"",'FEBRERO 2026'!Z50="POR RECOGER"),"FEB","")</f>
        <v>FEB</v>
      </c>
      <c r="B151" s="192" t="str">
        <f aca="false">IF(AND('FEBRERO 2026'!D50&lt;&gt;"",'FEBRERO 2026'!Z50="POR RECOGER"),IF('FEBRERO 2026'!Y50&lt;&gt;"",'FEBRERO 2026'!Y50,'FEBRERO 2026'!I50),"")</f>
        <v>SANTO TOMAS</v>
      </c>
      <c r="C151" s="192" t="str">
        <f aca="false">IF(AND('FEBRERO 2026'!D50&lt;&gt;"",'FEBRERO 2026'!Z50="POR RECOGER"),'FEBRERO 2026'!D50,"")</f>
        <v>YOPLAC TRUJILLO VILMA</v>
      </c>
      <c r="D151" s="192" t="str">
        <f aca="false">IF(AND('FEBRERO 2026'!D50&lt;&gt;"",'FEBRERO 2026'!Z50="POR RECOGER"),'FEBRERO 2026'!F50,"")</f>
        <v>48771580</v>
      </c>
      <c r="E151" s="192" t="str">
        <f aca="false">IF(AND('FEBRERO 2026'!D50&lt;&gt;"",'FEBRERO 2026'!Z50="POR RECOGER"),TEXT('FEBRERO 2026'!G50,"DD/MM/YYYY"),"")</f>
        <v>13/02/2026</v>
      </c>
      <c r="F151" s="192" t="str">
        <f aca="false">IF(AND('FEBRERO 2026'!D50&lt;&gt;"",'FEBRERO 2026'!Z50="POR RECOGER"),'FEBRERO 2026'!K50,"")</f>
        <v>PETROLEO</v>
      </c>
      <c r="G151" s="193" t="n">
        <f aca="false">IF(AND('FEBRERO 2026'!D50&lt;&gt;"",'FEBRERO 2026'!Z50="POR RECOGER"),'FEBRERO 2026'!M50,"")</f>
        <v>10</v>
      </c>
      <c r="H151" s="193" t="n">
        <f aca="false">IF(AND('FEBRERO 2026'!D50&lt;&gt;"",'FEBRERO 2026'!Z50="POR RECOGER"),'FEBRERO 2026'!N50,"")</f>
        <v>181.8</v>
      </c>
      <c r="I151" s="192" t="str">
        <f aca="false">IF(AND('FEBRERO 2026'!D50&lt;&gt;"",'FEBRERO 2026'!Z50="POR RECOGER"),'FEBRERO 2026'!P50,"")</f>
        <v>JULCA RITUAY ROGER</v>
      </c>
      <c r="J151" s="192" t="str">
        <f aca="false">IF(AND('FEBRERO 2026'!D50&lt;&gt;"",'FEBRERO 2026'!Z50="POR RECOGER"),'FEBRERO 2026'!Q50,"")</f>
        <v>EUH 414</v>
      </c>
      <c r="K151" s="192" t="str">
        <f aca="false">IF(AND('FEBRERO 2026'!D50&lt;&gt;"",'FEBRERO 2026'!Z50="POR RECOGER"),'FEBRERO 2026'!Y50,"")</f>
        <v>SANTO TOMAS</v>
      </c>
      <c r="L151" s="192" t="str">
        <f aca="false">IF(AND('FEBRERO 2026'!D50&lt;&gt;"",'FEBRERO 2026'!Z50="POR RECOGER"),'FEBRERO 2026'!I50,"")</f>
        <v>TINTIN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" hidden="false" customHeight="true" outlineLevel="0" collapsed="false">
      <c r="A152" s="192" t="str">
        <f aca="false">IF(AND('FEBRERO 2026'!D51&lt;&gt;"",'FEBRERO 2026'!Z51="POR RECOGER"),"FEB","")</f>
        <v>FEB</v>
      </c>
      <c r="B152" s="192" t="str">
        <f aca="false">IF(AND('FEBRERO 2026'!D51&lt;&gt;"",'FEBRERO 2026'!Z51="POR RECOGER"),IF('FEBRERO 2026'!Y51&lt;&gt;"",'FEBRERO 2026'!Y51,'FEBRERO 2026'!I51),"")</f>
        <v>MARIA AUXILIADORA</v>
      </c>
      <c r="C152" s="192" t="str">
        <f aca="false">IF(AND('FEBRERO 2026'!D51&lt;&gt;"",'FEBRERO 2026'!Z51="POR RECOGER"),'FEBRERO 2026'!D51,"")</f>
        <v>ROMAN MORETO DANY MARLITH</v>
      </c>
      <c r="D152" s="192" t="str">
        <f aca="false">IF(AND('FEBRERO 2026'!D51&lt;&gt;"",'FEBRERO 2026'!Z51="POR RECOGER"),'FEBRERO 2026'!F51,"")</f>
        <v>74938552</v>
      </c>
      <c r="E152" s="192" t="str">
        <f aca="false">IF(AND('FEBRERO 2026'!D51&lt;&gt;"",'FEBRERO 2026'!Z51="POR RECOGER"),TEXT('FEBRERO 2026'!G51,"DD/MM/YYYY"),"")</f>
        <v>13/02/2026</v>
      </c>
      <c r="F152" s="192" t="str">
        <f aca="false">IF(AND('FEBRERO 2026'!D51&lt;&gt;"",'FEBRERO 2026'!Z51="POR RECOGER"),'FEBRERO 2026'!K51,"")</f>
        <v>PETROLEO</v>
      </c>
      <c r="G152" s="193" t="n">
        <f aca="false">IF(AND('FEBRERO 2026'!D51&lt;&gt;"",'FEBRERO 2026'!Z51="POR RECOGER"),'FEBRERO 2026'!M51,"")</f>
        <v>7</v>
      </c>
      <c r="H152" s="193" t="n">
        <f aca="false">IF(AND('FEBRERO 2026'!D51&lt;&gt;"",'FEBRERO 2026'!Z51="POR RECOGER"),'FEBRERO 2026'!N51,"")</f>
        <v>141.75</v>
      </c>
      <c r="I152" s="192" t="str">
        <f aca="false">IF(AND('FEBRERO 2026'!D51&lt;&gt;"",'FEBRERO 2026'!Z51="POR RECOGER"),'FEBRERO 2026'!P51,"")</f>
        <v>SERNAQUE PELAEZ WILMER</v>
      </c>
      <c r="J152" s="192" t="str">
        <f aca="false">IF(AND('FEBRERO 2026'!D51&lt;&gt;"",'FEBRERO 2026'!Z51="POR RECOGER"),'FEBRERO 2026'!Q51,"")</f>
        <v>EUH-421</v>
      </c>
      <c r="K152" s="192" t="n">
        <f aca="false">IF(AND('FEBRERO 2026'!D51&lt;&gt;"",'FEBRERO 2026'!Z51="POR RECOGER"),'FEBRERO 2026'!Y51,"")</f>
        <v>0</v>
      </c>
      <c r="L152" s="192" t="str">
        <f aca="false">IF(AND('FEBRERO 2026'!D51&lt;&gt;"",'FEBRERO 2026'!Z51="POR RECOGER"),'FEBRERO 2026'!I51,"")</f>
        <v>MARIA AUXILIADORA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" hidden="false" customHeight="true" outlineLevel="0" collapsed="false">
      <c r="A153" s="192" t="str">
        <f aca="false">IF(AND('FEBRERO 2026'!D52&lt;&gt;"",'FEBRERO 2026'!Z52="POR RECOGER"),"FEB","")</f>
        <v>FEB</v>
      </c>
      <c r="B153" s="192" t="str">
        <f aca="false">IF(AND('FEBRERO 2026'!D52&lt;&gt;"",'FEBRERO 2026'!Z52="POR RECOGER"),IF('FEBRERO 2026'!Y52&lt;&gt;"",'FEBRERO 2026'!Y52,'FEBRERO 2026'!I52),"")</f>
        <v>SALAZAR</v>
      </c>
      <c r="C153" s="192" t="str">
        <f aca="false">IF(AND('FEBRERO 2026'!D52&lt;&gt;"",'FEBRERO 2026'!Z52="POR RECOGER"),'FEBRERO 2026'!D52,"")</f>
        <v>HERRERA GUELAC ABIGAIL</v>
      </c>
      <c r="D153" s="192" t="str">
        <f aca="false">IF(AND('FEBRERO 2026'!D52&lt;&gt;"",'FEBRERO 2026'!Z52="POR RECOGER"),'FEBRERO 2026'!F52,"")</f>
        <v>60229616</v>
      </c>
      <c r="E153" s="192" t="str">
        <f aca="false">IF(AND('FEBRERO 2026'!D52&lt;&gt;"",'FEBRERO 2026'!Z52="POR RECOGER"),TEXT('FEBRERO 2026'!G52,"DD/MM/YYYY"),"")</f>
        <v>14/02/2026</v>
      </c>
      <c r="F153" s="192" t="str">
        <f aca="false">IF(AND('FEBRERO 2026'!D52&lt;&gt;"",'FEBRERO 2026'!Z52="POR RECOGER"),'FEBRERO 2026'!K52,"")</f>
        <v>GASOLINA</v>
      </c>
      <c r="G153" s="193" t="n">
        <f aca="false">IF(AND('FEBRERO 2026'!D52&lt;&gt;"",'FEBRERO 2026'!Z52="POR RECOGER"),'FEBRERO 2026'!M52,"")</f>
        <v>16</v>
      </c>
      <c r="H153" s="193" t="n">
        <f aca="false">IF(AND('FEBRERO 2026'!D52&lt;&gt;"",'FEBRERO 2026'!Z52="POR RECOGER"),'FEBRERO 2026'!N52,"")</f>
        <v>287.2</v>
      </c>
      <c r="I153" s="192" t="str">
        <f aca="false">IF(AND('FEBRERO 2026'!D52&lt;&gt;"",'FEBRERO 2026'!Z52="POR RECOGER"),'FEBRERO 2026'!P52,"")</f>
        <v>EDINSON CARRASCO VELA</v>
      </c>
      <c r="J153" s="192" t="str">
        <f aca="false">IF(AND('FEBRERO 2026'!D52&lt;&gt;"",'FEBRERO 2026'!Z52="POR RECOGER"),'FEBRERO 2026'!Q52,"")</f>
        <v>EUE-457</v>
      </c>
      <c r="K153" s="192" t="n">
        <f aca="false">IF(AND('FEBRERO 2026'!D52&lt;&gt;"",'FEBRERO 2026'!Z52="POR RECOGER"),'FEBRERO 2026'!Y52,"")</f>
        <v>0</v>
      </c>
      <c r="L153" s="192" t="str">
        <f aca="false">IF(AND('FEBRERO 2026'!D52&lt;&gt;"",'FEBRERO 2026'!Z52="POR RECOGER"),'FEBRERO 2026'!I52,"")</f>
        <v>SALAZAR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" hidden="false" customHeight="true" outlineLevel="0" collapsed="false">
      <c r="A154" s="192" t="str">
        <f aca="false">IF(AND('FEBRERO 2026'!D53&lt;&gt;"",'FEBRERO 2026'!Z53="POR RECOGER"),"FEB","")</f>
        <v>FEB</v>
      </c>
      <c r="B154" s="192" t="str">
        <f aca="false">IF(AND('FEBRERO 2026'!D53&lt;&gt;"",'FEBRERO 2026'!Z53="POR RECOGER"),IF('FEBRERO 2026'!Y53&lt;&gt;"",'FEBRERO 2026'!Y53,'FEBRERO 2026'!I53),"")</f>
        <v>PEDRO RUIZ GALLO</v>
      </c>
      <c r="C154" s="192" t="str">
        <f aca="false">IF(AND('FEBRERO 2026'!D53&lt;&gt;"",'FEBRERO 2026'!Z53="POR RECOGER"),'FEBRERO 2026'!D53,"")</f>
        <v>MASLUCAN FIGUEROA LISBETH MILENE</v>
      </c>
      <c r="D154" s="192" t="str">
        <f aca="false">IF(AND('FEBRERO 2026'!D53&lt;&gt;"",'FEBRERO 2026'!Z53="POR RECOGER"),'FEBRERO 2026'!F53,"")</f>
        <v>75958106</v>
      </c>
      <c r="E154" s="192" t="str">
        <f aca="false">IF(AND('FEBRERO 2026'!D53&lt;&gt;"",'FEBRERO 2026'!Z53="POR RECOGER"),TEXT('FEBRERO 2026'!G53,"DD/MM/YYYY"),"")</f>
        <v>14/02/2026</v>
      </c>
      <c r="F154" s="192" t="str">
        <f aca="false">IF(AND('FEBRERO 2026'!D53&lt;&gt;"",'FEBRERO 2026'!Z53="POR RECOGER"),'FEBRERO 2026'!K53,"")</f>
        <v>PETROLEO</v>
      </c>
      <c r="G154" s="193" t="n">
        <f aca="false">IF(AND('FEBRERO 2026'!D53&lt;&gt;"",'FEBRERO 2026'!Z53="POR RECOGER"),'FEBRERO 2026'!M53,"")</f>
        <v>5</v>
      </c>
      <c r="H154" s="193" t="n">
        <f aca="false">IF(AND('FEBRERO 2026'!D53&lt;&gt;"",'FEBRERO 2026'!Z53="POR RECOGER"),'FEBRERO 2026'!N53,"")</f>
        <v>90.9</v>
      </c>
      <c r="I154" s="192" t="str">
        <f aca="false">IF(AND('FEBRERO 2026'!D53&lt;&gt;"",'FEBRERO 2026'!Z53="POR RECOGER"),'FEBRERO 2026'!P53,"")</f>
        <v>MONTENEGRO RUIZ LUIS MIGUEL</v>
      </c>
      <c r="J154" s="192" t="str">
        <f aca="false">IF(AND('FEBRERO 2026'!D53&lt;&gt;"",'FEBRERO 2026'!Z53="POR RECOGER"),'FEBRERO 2026'!Q53,"")</f>
        <v>EUH-427</v>
      </c>
      <c r="K154" s="192" t="n">
        <f aca="false">IF(AND('FEBRERO 2026'!D53&lt;&gt;"",'FEBRERO 2026'!Z53="POR RECOGER"),'FEBRERO 2026'!Y53,"")</f>
        <v>0</v>
      </c>
      <c r="L154" s="192" t="str">
        <f aca="false">IF(AND('FEBRERO 2026'!D53&lt;&gt;"",'FEBRERO 2026'!Z53="POR RECOGER"),'FEBRERO 2026'!I53,"")</f>
        <v>PEDRO RUIZ GALLO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" hidden="false" customHeight="true" outlineLevel="0" collapsed="false">
      <c r="A155" s="192" t="str">
        <f aca="false">IF(AND('FEBRERO 2026'!D54&lt;&gt;"",'FEBRERO 2026'!Z54="POR RECOGER"),"FEB","")</f>
        <v>FEB</v>
      </c>
      <c r="B155" s="192" t="str">
        <f aca="false">IF(AND('FEBRERO 2026'!D54&lt;&gt;"",'FEBRERO 2026'!Z54="POR RECOGER"),IF('FEBRERO 2026'!Y54&lt;&gt;"",'FEBRERO 2026'!Y54,'FEBRERO 2026'!I54),"")</f>
        <v>PEDRO RUIZ GALLO</v>
      </c>
      <c r="C155" s="192" t="str">
        <f aca="false">IF(AND('FEBRERO 2026'!D54&lt;&gt;"",'FEBRERO 2026'!Z54="POR RECOGER"),'FEBRERO 2026'!D54,"")</f>
        <v>HERRERA GUELAC ABIGAIL</v>
      </c>
      <c r="D155" s="192" t="str">
        <f aca="false">IF(AND('FEBRERO 2026'!D54&lt;&gt;"",'FEBRERO 2026'!Z54="POR RECOGER"),'FEBRERO 2026'!F54,"")</f>
        <v>60229616</v>
      </c>
      <c r="E155" s="192" t="str">
        <f aca="false">IF(AND('FEBRERO 2026'!D54&lt;&gt;"",'FEBRERO 2026'!Z54="POR RECOGER"),TEXT('FEBRERO 2026'!G54,"DD/MM/YYYY"),"")</f>
        <v>14/02/2026</v>
      </c>
      <c r="F155" s="192" t="str">
        <f aca="false">IF(AND('FEBRERO 2026'!D54&lt;&gt;"",'FEBRERO 2026'!Z54="POR RECOGER"),'FEBRERO 2026'!K54,"")</f>
        <v>PETROLEO</v>
      </c>
      <c r="G155" s="193" t="n">
        <f aca="false">IF(AND('FEBRERO 2026'!D54&lt;&gt;"",'FEBRERO 2026'!Z54="POR RECOGER"),'FEBRERO 2026'!M54,"")</f>
        <v>5</v>
      </c>
      <c r="H155" s="193" t="n">
        <f aca="false">IF(AND('FEBRERO 2026'!D54&lt;&gt;"",'FEBRERO 2026'!Z54="POR RECOGER"),'FEBRERO 2026'!N54,"")</f>
        <v>90.9</v>
      </c>
      <c r="I155" s="192" t="str">
        <f aca="false">IF(AND('FEBRERO 2026'!D54&lt;&gt;"",'FEBRERO 2026'!Z54="POR RECOGER"),'FEBRERO 2026'!P54,"")</f>
        <v>MONTENEGRO RUIZ LUIS MIGUEL</v>
      </c>
      <c r="J155" s="192" t="str">
        <f aca="false">IF(AND('FEBRERO 2026'!D54&lt;&gt;"",'FEBRERO 2026'!Z54="POR RECOGER"),'FEBRERO 2026'!Q54,"")</f>
        <v>EUH-427</v>
      </c>
      <c r="K155" s="192" t="n">
        <f aca="false">IF(AND('FEBRERO 2026'!D54&lt;&gt;"",'FEBRERO 2026'!Z54="POR RECOGER"),'FEBRERO 2026'!Y54,"")</f>
        <v>0</v>
      </c>
      <c r="L155" s="192" t="str">
        <f aca="false">IF(AND('FEBRERO 2026'!D54&lt;&gt;"",'FEBRERO 2026'!Z54="POR RECOGER"),'FEBRERO 2026'!I54,"")</f>
        <v>PEDRO RUIZ GALLO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" hidden="false" customHeight="true" outlineLevel="0" collapsed="false">
      <c r="A156" s="192" t="str">
        <f aca="false">IF(AND('FEBRERO 2026'!D55&lt;&gt;"",'FEBRERO 2026'!Z55="POR RECOGER"),"FEB","")</f>
        <v>FEB</v>
      </c>
      <c r="B156" s="192" t="str">
        <f aca="false">IF(AND('FEBRERO 2026'!D55&lt;&gt;"",'FEBRERO 2026'!Z55="POR RECOGER"),IF('FEBRERO 2026'!Y55&lt;&gt;"",'FEBRERO 2026'!Y55,'FEBRERO 2026'!I55),"")</f>
        <v>PEDRO RUIZ GALLO</v>
      </c>
      <c r="C156" s="192" t="str">
        <f aca="false">IF(AND('FEBRERO 2026'!D55&lt;&gt;"",'FEBRERO 2026'!Z55="POR RECOGER"),'FEBRERO 2026'!D55,"")</f>
        <v>INGA FLORES ZULEMA</v>
      </c>
      <c r="D156" s="192" t="str">
        <f aca="false">IF(AND('FEBRERO 2026'!D55&lt;&gt;"",'FEBRERO 2026'!Z55="POR RECOGER"),'FEBRERO 2026'!F55,"")</f>
        <v>75257960</v>
      </c>
      <c r="E156" s="192" t="str">
        <f aca="false">IF(AND('FEBRERO 2026'!D55&lt;&gt;"",'FEBRERO 2026'!Z55="POR RECOGER"),TEXT('FEBRERO 2026'!G55,"DD/MM/YYYY"),"")</f>
        <v>14/02/2026</v>
      </c>
      <c r="F156" s="192" t="str">
        <f aca="false">IF(AND('FEBRERO 2026'!D55&lt;&gt;"",'FEBRERO 2026'!Z55="POR RECOGER"),'FEBRERO 2026'!K55,"")</f>
        <v>GASOLINA</v>
      </c>
      <c r="G156" s="193" t="n">
        <f aca="false">IF(AND('FEBRERO 2026'!D55&lt;&gt;"",'FEBRERO 2026'!Z55="POR RECOGER"),'FEBRERO 2026'!M55,"")</f>
        <v>6</v>
      </c>
      <c r="H156" s="193" t="n">
        <f aca="false">IF(AND('FEBRERO 2026'!D55&lt;&gt;"",'FEBRERO 2026'!Z55="POR RECOGER"),'FEBRERO 2026'!N55,"")</f>
        <v>107.7</v>
      </c>
      <c r="I156" s="192" t="str">
        <f aca="false">IF(AND('FEBRERO 2026'!D55&lt;&gt;"",'FEBRERO 2026'!Z55="POR RECOGER"),'FEBRERO 2026'!P55,"")</f>
        <v>MUNOZ VERGARAY JORGE ENRRIQUE</v>
      </c>
      <c r="J156" s="192" t="str">
        <f aca="false">IF(AND('FEBRERO 2026'!D55&lt;&gt;"",'FEBRERO 2026'!Z55="POR RECOGER"),'FEBRERO 2026'!Q55,"")</f>
        <v>EUH 427</v>
      </c>
      <c r="K156" s="192" t="n">
        <f aca="false">IF(AND('FEBRERO 2026'!D55&lt;&gt;"",'FEBRERO 2026'!Z55="POR RECOGER"),'FEBRERO 2026'!Y55,"")</f>
        <v>0</v>
      </c>
      <c r="L156" s="192" t="str">
        <f aca="false">IF(AND('FEBRERO 2026'!D55&lt;&gt;"",'FEBRERO 2026'!Z55="POR RECOGER"),'FEBRERO 2026'!I55,"")</f>
        <v>PEDRO RUIZ GALLO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" hidden="false" customHeight="true" outlineLevel="0" collapsed="false">
      <c r="A157" s="192" t="str">
        <f aca="false">IF(AND('FEBRERO 2026'!D56&lt;&gt;"",'FEBRERO 2026'!Z56="POR RECOGER"),"FEB","")</f>
        <v>FEB</v>
      </c>
      <c r="B157" s="192" t="str">
        <f aca="false">IF(AND('FEBRERO 2026'!D56&lt;&gt;"",'FEBRERO 2026'!Z56="POR RECOGER"),IF('FEBRERO 2026'!Y56&lt;&gt;"",'FEBRERO 2026'!Y56,'FEBRERO 2026'!I56),"")</f>
        <v>SALAZAR</v>
      </c>
      <c r="C157" s="192" t="str">
        <f aca="false">IF(AND('FEBRERO 2026'!D56&lt;&gt;"",'FEBRERO 2026'!Z56="POR RECOGER"),'FEBRERO 2026'!D56,"")</f>
        <v>HUAMAN GUELAC MARBELIT</v>
      </c>
      <c r="D157" s="192" t="str">
        <f aca="false">IF(AND('FEBRERO 2026'!D56&lt;&gt;"",'FEBRERO 2026'!Z56="POR RECOGER"),'FEBRERO 2026'!F56,"")</f>
        <v>72110655</v>
      </c>
      <c r="E157" s="192" t="str">
        <f aca="false">IF(AND('FEBRERO 2026'!D56&lt;&gt;"",'FEBRERO 2026'!Z56="POR RECOGER"),TEXT('FEBRERO 2026'!G56,"DD/MM/YYYY"),"")</f>
        <v>15/02/2026</v>
      </c>
      <c r="F157" s="192" t="str">
        <f aca="false">IF(AND('FEBRERO 2026'!D56&lt;&gt;"",'FEBRERO 2026'!Z56="POR RECOGER"),'FEBRERO 2026'!K56,"")</f>
        <v>GASOLINA</v>
      </c>
      <c r="G157" s="193" t="n">
        <f aca="false">IF(AND('FEBRERO 2026'!D56&lt;&gt;"",'FEBRERO 2026'!Z56="POR RECOGER"),'FEBRERO 2026'!M56,"")</f>
        <v>20</v>
      </c>
      <c r="H157" s="193" t="n">
        <f aca="false">IF(AND('FEBRERO 2026'!D56&lt;&gt;"",'FEBRERO 2026'!Z56="POR RECOGER"),'FEBRERO 2026'!N56,"")</f>
        <v>359</v>
      </c>
      <c r="I157" s="192" t="str">
        <f aca="false">IF(AND('FEBRERO 2026'!D56&lt;&gt;"",'FEBRERO 2026'!Z56="POR RECOGER"),'FEBRERO 2026'!P56,"")</f>
        <v>EDINSON CARRASCO VELA</v>
      </c>
      <c r="J157" s="192" t="str">
        <f aca="false">IF(AND('FEBRERO 2026'!D56&lt;&gt;"",'FEBRERO 2026'!Z56="POR RECOGER"),'FEBRERO 2026'!Q56,"")</f>
        <v>EUE-457</v>
      </c>
      <c r="K157" s="192" t="n">
        <f aca="false">IF(AND('FEBRERO 2026'!D56&lt;&gt;"",'FEBRERO 2026'!Z56="POR RECOGER"),'FEBRERO 2026'!Y56,"")</f>
        <v>0</v>
      </c>
      <c r="L157" s="192" t="str">
        <f aca="false">IF(AND('FEBRERO 2026'!D56&lt;&gt;"",'FEBRERO 2026'!Z56="POR RECOGER"),'FEBRERO 2026'!I56,"")</f>
        <v>SALAZAR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" hidden="false" customHeight="true" outlineLevel="0" collapsed="false">
      <c r="A158" s="192" t="str">
        <f aca="false">IF(AND('FEBRERO 2026'!D57&lt;&gt;"",'FEBRERO 2026'!Z57="POR RECOGER"),"FEB","")</f>
        <v>FEB</v>
      </c>
      <c r="B158" s="192" t="str">
        <f aca="false">IF(AND('FEBRERO 2026'!D57&lt;&gt;"",'FEBRERO 2026'!Z57="POR RECOGER"),IF('FEBRERO 2026'!Y57&lt;&gt;"",'FEBRERO 2026'!Y57,'FEBRERO 2026'!I57),"")</f>
        <v>PEDRO RUIZ GALLO</v>
      </c>
      <c r="C158" s="192" t="str">
        <f aca="false">IF(AND('FEBRERO 2026'!D57&lt;&gt;"",'FEBRERO 2026'!Z57="POR RECOGER"),'FEBRERO 2026'!D57,"")</f>
        <v>CHAVEZ HUAYAMIS MERCEDES</v>
      </c>
      <c r="D158" s="192" t="str">
        <f aca="false">IF(AND('FEBRERO 2026'!D57&lt;&gt;"",'FEBRERO 2026'!Z57="POR RECOGER"),'FEBRERO 2026'!F57,"")</f>
        <v>63296418</v>
      </c>
      <c r="E158" s="192" t="str">
        <f aca="false">IF(AND('FEBRERO 2026'!D57&lt;&gt;"",'FEBRERO 2026'!Z57="POR RECOGER"),TEXT('FEBRERO 2026'!G57,"DD/MM/YYYY"),"")</f>
        <v>15/02/2026</v>
      </c>
      <c r="F158" s="192" t="str">
        <f aca="false">IF(AND('FEBRERO 2026'!D57&lt;&gt;"",'FEBRERO 2026'!Z57="POR RECOGER"),'FEBRERO 2026'!K57,"")</f>
        <v>PETROLEO</v>
      </c>
      <c r="G158" s="193" t="n">
        <f aca="false">IF(AND('FEBRERO 2026'!D57&lt;&gt;"",'FEBRERO 2026'!Z57="POR RECOGER"),'FEBRERO 2026'!M57,"")</f>
        <v>5</v>
      </c>
      <c r="H158" s="193" t="n">
        <f aca="false">IF(AND('FEBRERO 2026'!D57&lt;&gt;"",'FEBRERO 2026'!Z57="POR RECOGER"),'FEBRERO 2026'!N57,"")</f>
        <v>90.9</v>
      </c>
      <c r="I158" s="192" t="str">
        <f aca="false">IF(AND('FEBRERO 2026'!D57&lt;&gt;"",'FEBRERO 2026'!Z57="POR RECOGER"),'FEBRERO 2026'!P57,"")</f>
        <v>MONTENEGRO RUIZ LUIS MIGUEL</v>
      </c>
      <c r="J158" s="192" t="str">
        <f aca="false">IF(AND('FEBRERO 2026'!D57&lt;&gt;"",'FEBRERO 2026'!Z57="POR RECOGER"),'FEBRERO 2026'!Q57,"")</f>
        <v>EUH-427</v>
      </c>
      <c r="K158" s="192" t="n">
        <f aca="false">IF(AND('FEBRERO 2026'!D57&lt;&gt;"",'FEBRERO 2026'!Z57="POR RECOGER"),'FEBRERO 2026'!Y57,"")</f>
        <v>0</v>
      </c>
      <c r="L158" s="192" t="str">
        <f aca="false">IF(AND('FEBRERO 2026'!D57&lt;&gt;"",'FEBRERO 2026'!Z57="POR RECOGER"),'FEBRERO 2026'!I57,"")</f>
        <v>PEDRO RUIZ GALLO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" hidden="false" customHeight="true" outlineLevel="0" collapsed="false">
      <c r="A159" s="192" t="str">
        <f aca="false">IF(AND('FEBRERO 2026'!D58&lt;&gt;"",'FEBRERO 2026'!Z58="POR RECOGER"),"FEB","")</f>
        <v>FEB</v>
      </c>
      <c r="B159" s="192" t="str">
        <f aca="false">IF(AND('FEBRERO 2026'!D58&lt;&gt;"",'FEBRERO 2026'!Z58="POR RECOGER"),IF('FEBRERO 2026'!Y58&lt;&gt;"",'FEBRERO 2026'!Y58,'FEBRERO 2026'!I58),"")</f>
        <v>POMACOCHAS</v>
      </c>
      <c r="C159" s="192" t="str">
        <f aca="false">IF(AND('FEBRERO 2026'!D58&lt;&gt;"",'FEBRERO 2026'!Z58="POR RECOGER"),'FEBRERO 2026'!D58,"")</f>
        <v>BARBOZA VASQUEZ SEGUNDO LEONIDAS</v>
      </c>
      <c r="D159" s="192" t="str">
        <f aca="false">IF(AND('FEBRERO 2026'!D58&lt;&gt;"",'FEBRERO 2026'!Z58="POR RECOGER"),'FEBRERO 2026'!F58,"")</f>
        <v>33741567</v>
      </c>
      <c r="E159" s="192" t="str">
        <f aca="false">IF(AND('FEBRERO 2026'!D58&lt;&gt;"",'FEBRERO 2026'!Z58="POR RECOGER"),TEXT('FEBRERO 2026'!G58,"DD/MM/YYYY"),"")</f>
        <v>15/02/2026</v>
      </c>
      <c r="F159" s="192" t="str">
        <f aca="false">IF(AND('FEBRERO 2026'!D58&lt;&gt;"",'FEBRERO 2026'!Z58="POR RECOGER"),'FEBRERO 2026'!K58,"")</f>
        <v>PETROLEO</v>
      </c>
      <c r="G159" s="193" t="n">
        <f aca="false">IF(AND('FEBRERO 2026'!D58&lt;&gt;"",'FEBRERO 2026'!Z58="POR RECOGER"),'FEBRERO 2026'!M58,"")</f>
        <v>6</v>
      </c>
      <c r="H159" s="193" t="n">
        <f aca="false">IF(AND('FEBRERO 2026'!D58&lt;&gt;"",'FEBRERO 2026'!Z58="POR RECOGER"),'FEBRERO 2026'!N58,"")</f>
        <v>109.08</v>
      </c>
      <c r="I159" s="192" t="str">
        <f aca="false">IF(AND('FEBRERO 2026'!D58&lt;&gt;"",'FEBRERO 2026'!Z58="POR RECOGER"),'FEBRERO 2026'!P58,"")</f>
        <v>CARRERA ARAUJO JEINER</v>
      </c>
      <c r="J159" s="192" t="str">
        <f aca="false">IF(AND('FEBRERO 2026'!D58&lt;&gt;"",'FEBRERO 2026'!Z58="POR RECOGER"),'FEBRERO 2026'!Q58,"")</f>
        <v>EUH747</v>
      </c>
      <c r="K159" s="192" t="n">
        <f aca="false">IF(AND('FEBRERO 2026'!D58&lt;&gt;"",'FEBRERO 2026'!Z58="POR RECOGER"),'FEBRERO 2026'!Y58,"")</f>
        <v>0</v>
      </c>
      <c r="L159" s="192" t="str">
        <f aca="false">IF(AND('FEBRERO 2026'!D58&lt;&gt;"",'FEBRERO 2026'!Z58="POR RECOGER"),'FEBRERO 2026'!I58,"")</f>
        <v>POMACOCHAS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" hidden="false" customHeight="true" outlineLevel="0" collapsed="false">
      <c r="A160" s="192" t="str">
        <f aca="false">IF(AND('FEBRERO 2026'!D59&lt;&gt;"",'FEBRERO 2026'!Z59="POR RECOGER"),"FEB","")</f>
        <v>FEB</v>
      </c>
      <c r="B160" s="192" t="str">
        <f aca="false">IF(AND('FEBRERO 2026'!D59&lt;&gt;"",'FEBRERO 2026'!Z59="POR RECOGER"),IF('FEBRERO 2026'!Y59&lt;&gt;"",'FEBRERO 2026'!Y59,'FEBRERO 2026'!I59),"")</f>
        <v>POMACOCHAS</v>
      </c>
      <c r="C160" s="192" t="str">
        <f aca="false">IF(AND('FEBRERO 2026'!D59&lt;&gt;"",'FEBRERO 2026'!Z59="POR RECOGER"),'FEBRERO 2026'!D59,"")</f>
        <v>LOPEZ CORONEL RN</v>
      </c>
      <c r="D160" s="192" t="str">
        <f aca="false">IF(AND('FEBRERO 2026'!D59&lt;&gt;"",'FEBRERO 2026'!Z59="POR RECOGER"),'FEBRERO 2026'!F59,"")</f>
        <v>11281148</v>
      </c>
      <c r="E160" s="192" t="str">
        <f aca="false">IF(AND('FEBRERO 2026'!D59&lt;&gt;"",'FEBRERO 2026'!Z59="POR RECOGER"),TEXT('FEBRERO 2026'!G59,"DD/MM/YYYY"),"")</f>
        <v>15/02/2026</v>
      </c>
      <c r="F160" s="192" t="str">
        <f aca="false">IF(AND('FEBRERO 2026'!D59&lt;&gt;"",'FEBRERO 2026'!Z59="POR RECOGER"),'FEBRERO 2026'!K59,"")</f>
        <v>PETROLEO</v>
      </c>
      <c r="G160" s="193" t="n">
        <f aca="false">IF(AND('FEBRERO 2026'!D59&lt;&gt;"",'FEBRERO 2026'!Z59="POR RECOGER"),'FEBRERO 2026'!M59,"")</f>
        <v>6</v>
      </c>
      <c r="H160" s="193" t="n">
        <f aca="false">IF(AND('FEBRERO 2026'!D59&lt;&gt;"",'FEBRERO 2026'!Z59="POR RECOGER"),'FEBRERO 2026'!N59,"")</f>
        <v>109.08</v>
      </c>
      <c r="I160" s="192" t="str">
        <f aca="false">IF(AND('FEBRERO 2026'!D59&lt;&gt;"",'FEBRERO 2026'!Z59="POR RECOGER"),'FEBRERO 2026'!P59,"")</f>
        <v>CHICANA LOPEZ MANUEL HECTOR</v>
      </c>
      <c r="J160" s="192" t="str">
        <f aca="false">IF(AND('FEBRERO 2026'!D59&lt;&gt;"",'FEBRERO 2026'!Z59="POR RECOGER"),'FEBRERO 2026'!Q59,"")</f>
        <v>EUH747</v>
      </c>
      <c r="K160" s="192" t="n">
        <f aca="false">IF(AND('FEBRERO 2026'!D59&lt;&gt;"",'FEBRERO 2026'!Z59="POR RECOGER"),'FEBRERO 2026'!Y59,"")</f>
        <v>0</v>
      </c>
      <c r="L160" s="192" t="str">
        <f aca="false">IF(AND('FEBRERO 2026'!D59&lt;&gt;"",'FEBRERO 2026'!Z59="POR RECOGER"),'FEBRERO 2026'!I59,"")</f>
        <v>POMACOCHAS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" hidden="false" customHeight="true" outlineLevel="0" collapsed="false">
      <c r="A161" s="192" t="str">
        <f aca="false">IF(AND('FEBRERO 2026'!D60&lt;&gt;"",'FEBRERO 2026'!Z60="POR RECOGER"),"FEB","")</f>
        <v>FEB</v>
      </c>
      <c r="B161" s="192" t="str">
        <f aca="false">IF(AND('FEBRERO 2026'!D60&lt;&gt;"",'FEBRERO 2026'!Z60="POR RECOGER"),IF('FEBRERO 2026'!Y60&lt;&gt;"",'FEBRERO 2026'!Y60,'FEBRERO 2026'!I60),"")</f>
        <v>LAMUD</v>
      </c>
      <c r="C161" s="192" t="str">
        <f aca="false">IF(AND('FEBRERO 2026'!D60&lt;&gt;"",'FEBRERO 2026'!Z60="POR RECOGER"),'FEBRERO 2026'!D60,"")</f>
        <v>VARGAS DE VALQUI ANGELINA</v>
      </c>
      <c r="D161" s="192" t="str">
        <f aca="false">IF(AND('FEBRERO 2026'!D60&lt;&gt;"",'FEBRERO 2026'!Z60="POR RECOGER"),'FEBRERO 2026'!F60,"")</f>
        <v>33800656</v>
      </c>
      <c r="E161" s="192" t="str">
        <f aca="false">IF(AND('FEBRERO 2026'!D60&lt;&gt;"",'FEBRERO 2026'!Z60="POR RECOGER"),TEXT('FEBRERO 2026'!G60,"DD/MM/YYYY"),"")</f>
        <v>16/02/2026</v>
      </c>
      <c r="F161" s="192" t="str">
        <f aca="false">IF(AND('FEBRERO 2026'!D60&lt;&gt;"",'FEBRERO 2026'!Z60="POR RECOGER"),'FEBRERO 2026'!K60,"")</f>
        <v>PETROLEO</v>
      </c>
      <c r="G161" s="193" t="n">
        <f aca="false">IF(AND('FEBRERO 2026'!D60&lt;&gt;"",'FEBRERO 2026'!Z60="POR RECOGER"),'FEBRERO 2026'!M60,"")</f>
        <v>4</v>
      </c>
      <c r="H161" s="193" t="n">
        <f aca="false">IF(AND('FEBRERO 2026'!D60&lt;&gt;"",'FEBRERO 2026'!Z60="POR RECOGER"),'FEBRERO 2026'!N60,"")</f>
        <v>72.72</v>
      </c>
      <c r="I161" s="192" t="str">
        <f aca="false">IF(AND('FEBRERO 2026'!D60&lt;&gt;"",'FEBRERO 2026'!Z60="POR RECOGER"),'FEBRERO 2026'!P60,"")</f>
        <v>RUFASTO CHUQUIZUTA JUAN KAROOL</v>
      </c>
      <c r="J161" s="192" t="str">
        <f aca="false">IF(AND('FEBRERO 2026'!D60&lt;&gt;"",'FEBRERO 2026'!Z60="POR RECOGER"),'FEBRERO 2026'!Q60,"")</f>
        <v>EUA963</v>
      </c>
      <c r="K161" s="192" t="n">
        <f aca="false">IF(AND('FEBRERO 2026'!D60&lt;&gt;"",'FEBRERO 2026'!Z60="POR RECOGER"),'FEBRERO 2026'!Y60,"")</f>
        <v>0</v>
      </c>
      <c r="L161" s="192" t="str">
        <f aca="false">IF(AND('FEBRERO 2026'!D60&lt;&gt;"",'FEBRERO 2026'!Z60="POR RECOGER"),'FEBRERO 2026'!I60,"")</f>
        <v>LAMUD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" hidden="false" customHeight="true" outlineLevel="0" collapsed="false">
      <c r="A162" s="192" t="str">
        <f aca="false">IF(AND('FEBRERO 2026'!D61&lt;&gt;"",'FEBRERO 2026'!Z61="POR RECOGER"),"FEB","")</f>
        <v>FEB</v>
      </c>
      <c r="B162" s="192" t="str">
        <f aca="false">IF(AND('FEBRERO 2026'!D61&lt;&gt;"",'FEBRERO 2026'!Z61="POR RECOGER"),IF('FEBRERO 2026'!Y61&lt;&gt;"",'FEBRERO 2026'!Y61,'FEBRERO 2026'!I61),"")</f>
        <v>MARIA</v>
      </c>
      <c r="C162" s="192" t="str">
        <f aca="false">IF(AND('FEBRERO 2026'!D61&lt;&gt;"",'FEBRERO 2026'!Z61="POR RECOGER"),'FEBRERO 2026'!D61,"")</f>
        <v>SILVA RODRIGUEZ CORY</v>
      </c>
      <c r="D162" s="192" t="str">
        <f aca="false">IF(AND('FEBRERO 2026'!D61&lt;&gt;"",'FEBRERO 2026'!Z61="POR RECOGER"),'FEBRERO 2026'!F61,"")</f>
        <v>44358617</v>
      </c>
      <c r="E162" s="192" t="str">
        <f aca="false">IF(AND('FEBRERO 2026'!D61&lt;&gt;"",'FEBRERO 2026'!Z61="POR RECOGER"),TEXT('FEBRERO 2026'!G61,"DD/MM/YYYY"),"")</f>
        <v>16/02/2026</v>
      </c>
      <c r="F162" s="192" t="str">
        <f aca="false">IF(AND('FEBRERO 2026'!D61&lt;&gt;"",'FEBRERO 2026'!Z61="POR RECOGER"),'FEBRERO 2026'!K61,"")</f>
        <v>PETROLEO</v>
      </c>
      <c r="G162" s="193" t="n">
        <f aca="false">IF(AND('FEBRERO 2026'!D61&lt;&gt;"",'FEBRERO 2026'!Z61="POR RECOGER"),'FEBRERO 2026'!M61,"")</f>
        <v>12</v>
      </c>
      <c r="H162" s="193" t="n">
        <f aca="false">IF(AND('FEBRERO 2026'!D61&lt;&gt;"",'FEBRERO 2026'!Z61="POR RECOGER"),'FEBRERO 2026'!N61,"")</f>
        <v>218.16</v>
      </c>
      <c r="I162" s="192" t="str">
        <f aca="false">IF(AND('FEBRERO 2026'!D61&lt;&gt;"",'FEBRERO 2026'!Z61="POR RECOGER"),'FEBRERO 2026'!P61,"")</f>
        <v>MACHUCA GARRIDO RIDER ALFONSO</v>
      </c>
      <c r="J162" s="192" t="str">
        <f aca="false">IF(AND('FEBRERO 2026'!D61&lt;&gt;"",'FEBRERO 2026'!Z61="POR RECOGER"),'FEBRERO 2026'!Q61,"")</f>
        <v>EUC 956</v>
      </c>
      <c r="K162" s="192" t="n">
        <f aca="false">IF(AND('FEBRERO 2026'!D61&lt;&gt;"",'FEBRERO 2026'!Z61="POR RECOGER"),'FEBRERO 2026'!Y61,"")</f>
        <v>0</v>
      </c>
      <c r="L162" s="192" t="str">
        <f aca="false">IF(AND('FEBRERO 2026'!D61&lt;&gt;"",'FEBRERO 2026'!Z61="POR RECOGER"),'FEBRERO 2026'!I61,"")</f>
        <v>MARIA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" hidden="false" customHeight="true" outlineLevel="0" collapsed="false">
      <c r="A163" s="192" t="str">
        <f aca="false">IF(AND('FEBRERO 2026'!D62&lt;&gt;"",'FEBRERO 2026'!Z62="POR RECOGER"),"FEB","")</f>
        <v>FEB</v>
      </c>
      <c r="B163" s="192" t="str">
        <f aca="false">IF(AND('FEBRERO 2026'!D62&lt;&gt;"",'FEBRERO 2026'!Z62="POR RECOGER"),IF('FEBRERO 2026'!Y62&lt;&gt;"",'FEBRERO 2026'!Y62,'FEBRERO 2026'!I62),"")</f>
        <v>MARIA AUXILIADORA</v>
      </c>
      <c r="C163" s="192" t="str">
        <f aca="false">IF(AND('FEBRERO 2026'!D62&lt;&gt;"",'FEBRERO 2026'!Z62="POR RECOGER"),'FEBRERO 2026'!D62,"")</f>
        <v>YNGA YARANGA FELICITA</v>
      </c>
      <c r="D163" s="192" t="str">
        <f aca="false">IF(AND('FEBRERO 2026'!D62&lt;&gt;"",'FEBRERO 2026'!Z62="POR RECOGER"),'FEBRERO 2026'!F62,"")</f>
        <v>19872702</v>
      </c>
      <c r="E163" s="192" t="str">
        <f aca="false">IF(AND('FEBRERO 2026'!D62&lt;&gt;"",'FEBRERO 2026'!Z62="POR RECOGER"),TEXT('FEBRERO 2026'!G62,"DD/MM/YYYY"),"")</f>
        <v>16/02/2026</v>
      </c>
      <c r="F163" s="192" t="str">
        <f aca="false">IF(AND('FEBRERO 2026'!D62&lt;&gt;"",'FEBRERO 2026'!Z62="POR RECOGER"),'FEBRERO 2026'!K62,"")</f>
        <v>PETROLEO</v>
      </c>
      <c r="G163" s="193" t="n">
        <f aca="false">IF(AND('FEBRERO 2026'!D62&lt;&gt;"",'FEBRERO 2026'!Z62="POR RECOGER"),'FEBRERO 2026'!M62,"")</f>
        <v>7</v>
      </c>
      <c r="H163" s="193" t="n">
        <f aca="false">IF(AND('FEBRERO 2026'!D62&lt;&gt;"",'FEBRERO 2026'!Z62="POR RECOGER"),'FEBRERO 2026'!N62,"")</f>
        <v>141.75</v>
      </c>
      <c r="I163" s="192" t="str">
        <f aca="false">IF(AND('FEBRERO 2026'!D62&lt;&gt;"",'FEBRERO 2026'!Z62="POR RECOGER"),'FEBRERO 2026'!P62,"")</f>
        <v/>
      </c>
      <c r="J163" s="192" t="str">
        <f aca="false">IF(AND('FEBRERO 2026'!D62&lt;&gt;"",'FEBRERO 2026'!Z62="POR RECOGER"),'FEBRERO 2026'!Q62,"")</f>
        <v/>
      </c>
      <c r="K163" s="192" t="n">
        <f aca="false">IF(AND('FEBRERO 2026'!D62&lt;&gt;"",'FEBRERO 2026'!Z62="POR RECOGER"),'FEBRERO 2026'!Y62,"")</f>
        <v>0</v>
      </c>
      <c r="L163" s="192" t="str">
        <f aca="false">IF(AND('FEBRERO 2026'!D62&lt;&gt;"",'FEBRERO 2026'!Z62="POR RECOGER"),'FEBRERO 2026'!I62,"")</f>
        <v>MARIA AUXILIADORA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" hidden="false" customHeight="true" outlineLevel="0" collapsed="false">
      <c r="A164" s="192" t="str">
        <f aca="false">IF(AND('FEBRERO 2026'!D63&lt;&gt;"",'FEBRERO 2026'!Z63="POR RECOGER"),"FEB","")</f>
        <v>FEB</v>
      </c>
      <c r="B164" s="192" t="str">
        <f aca="false">IF(AND('FEBRERO 2026'!D63&lt;&gt;"",'FEBRERO 2026'!Z63="POR RECOGER"),IF('FEBRERO 2026'!Y63&lt;&gt;"",'FEBRERO 2026'!Y63,'FEBRERO 2026'!I63),"")</f>
        <v>POMACOCHAS</v>
      </c>
      <c r="C164" s="192" t="str">
        <f aca="false">IF(AND('FEBRERO 2026'!D63&lt;&gt;"",'FEBRERO 2026'!Z63="POR RECOGER"),'FEBRERO 2026'!D63,"")</f>
        <v>VALLE DE PILCO AMANDA</v>
      </c>
      <c r="D164" s="192" t="str">
        <f aca="false">IF(AND('FEBRERO 2026'!D63&lt;&gt;"",'FEBRERO 2026'!Z63="POR RECOGER"),'FEBRERO 2026'!F63,"")</f>
        <v>33731681</v>
      </c>
      <c r="E164" s="192" t="str">
        <f aca="false">IF(AND('FEBRERO 2026'!D63&lt;&gt;"",'FEBRERO 2026'!Z63="POR RECOGER"),TEXT('FEBRERO 2026'!G63,"DD/MM/YYYY"),"")</f>
        <v>16/02/2026</v>
      </c>
      <c r="F164" s="192" t="str">
        <f aca="false">IF(AND('FEBRERO 2026'!D63&lt;&gt;"",'FEBRERO 2026'!Z63="POR RECOGER"),'FEBRERO 2026'!K63,"")</f>
        <v>PETROLEO</v>
      </c>
      <c r="G164" s="193" t="n">
        <f aca="false">IF(AND('FEBRERO 2026'!D63&lt;&gt;"",'FEBRERO 2026'!Z63="POR RECOGER"),'FEBRERO 2026'!M63,"")</f>
        <v>6</v>
      </c>
      <c r="H164" s="193" t="n">
        <f aca="false">IF(AND('FEBRERO 2026'!D63&lt;&gt;"",'FEBRERO 2026'!Z63="POR RECOGER"),'FEBRERO 2026'!N63,"")</f>
        <v>109.08</v>
      </c>
      <c r="I164" s="192" t="str">
        <f aca="false">IF(AND('FEBRERO 2026'!D63&lt;&gt;"",'FEBRERO 2026'!Z63="POR RECOGER"),'FEBRERO 2026'!P63,"")</f>
        <v>CHICANA LOPEZ MANUEL HECTOR</v>
      </c>
      <c r="J164" s="192" t="str">
        <f aca="false">IF(AND('FEBRERO 2026'!D63&lt;&gt;"",'FEBRERO 2026'!Z63="POR RECOGER"),'FEBRERO 2026'!Q63,"")</f>
        <v>EUH747</v>
      </c>
      <c r="K164" s="192" t="n">
        <f aca="false">IF(AND('FEBRERO 2026'!D63&lt;&gt;"",'FEBRERO 2026'!Z63="POR RECOGER"),'FEBRERO 2026'!Y63,"")</f>
        <v>0</v>
      </c>
      <c r="L164" s="192" t="str">
        <f aca="false">IF(AND('FEBRERO 2026'!D63&lt;&gt;"",'FEBRERO 2026'!Z63="POR RECOGER"),'FEBRERO 2026'!I63,"")</f>
        <v>POMACOCHAS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" hidden="false" customHeight="true" outlineLevel="0" collapsed="false">
      <c r="A165" s="192" t="str">
        <f aca="false">IF(AND('FEBRERO 2026'!D64&lt;&gt;"",'FEBRERO 2026'!Z64="POR RECOGER"),"FEB","")</f>
        <v>FEB</v>
      </c>
      <c r="B165" s="192" t="str">
        <f aca="false">IF(AND('FEBRERO 2026'!D64&lt;&gt;"",'FEBRERO 2026'!Z64="POR RECOGER"),IF('FEBRERO 2026'!Y64&lt;&gt;"",'FEBRERO 2026'!Y64,'FEBRERO 2026'!I64),"")</f>
        <v>SAN SALVADOR</v>
      </c>
      <c r="C165" s="192" t="str">
        <f aca="false">IF(AND('FEBRERO 2026'!D64&lt;&gt;"",'FEBRERO 2026'!Z64="POR RECOGER"),'FEBRERO 2026'!D64,"")</f>
        <v>TRUJILLO LLANOS ROSALIA</v>
      </c>
      <c r="D165" s="192" t="str">
        <f aca="false">IF(AND('FEBRERO 2026'!D64&lt;&gt;"",'FEBRERO 2026'!Z64="POR RECOGER"),'FEBRERO 2026'!F64,"")</f>
        <v>48280579</v>
      </c>
      <c r="E165" s="192" t="str">
        <f aca="false">IF(AND('FEBRERO 2026'!D64&lt;&gt;"",'FEBRERO 2026'!Z64="POR RECOGER"),TEXT('FEBRERO 2026'!G64,"DD/MM/YYYY"),"")</f>
        <v>16/02/2026</v>
      </c>
      <c r="F165" s="192" t="str">
        <f aca="false">IF(AND('FEBRERO 2026'!D64&lt;&gt;"",'FEBRERO 2026'!Z64="POR RECOGER"),'FEBRERO 2026'!K64,"")</f>
        <v>PETROLEO</v>
      </c>
      <c r="G165" s="193" t="n">
        <f aca="false">IF(AND('FEBRERO 2026'!D64&lt;&gt;"",'FEBRERO 2026'!Z64="POR RECOGER"),'FEBRERO 2026'!M64,"")</f>
        <v>10</v>
      </c>
      <c r="H165" s="193" t="n">
        <f aca="false">IF(AND('FEBRERO 2026'!D64&lt;&gt;"",'FEBRERO 2026'!Z64="POR RECOGER"),'FEBRERO 2026'!N64,"")</f>
        <v>181.8</v>
      </c>
      <c r="I165" s="192" t="str">
        <f aca="false">IF(AND('FEBRERO 2026'!D64&lt;&gt;"",'FEBRERO 2026'!Z64="POR RECOGER"),'FEBRERO 2026'!P64,"")</f>
        <v>JULCA RITUAY ROGER</v>
      </c>
      <c r="J165" s="192" t="str">
        <f aca="false">IF(AND('FEBRERO 2026'!D64&lt;&gt;"",'FEBRERO 2026'!Z64="POR RECOGER"),'FEBRERO 2026'!Q64,"")</f>
        <v>EUH 414</v>
      </c>
      <c r="K165" s="192" t="n">
        <f aca="false">IF(AND('FEBRERO 2026'!D64&lt;&gt;"",'FEBRERO 2026'!Z64="POR RECOGER"),'FEBRERO 2026'!Y64,"")</f>
        <v>0</v>
      </c>
      <c r="L165" s="192" t="str">
        <f aca="false">IF(AND('FEBRERO 2026'!D64&lt;&gt;"",'FEBRERO 2026'!Z64="POR RECOGER"),'FEBRERO 2026'!I64,"")</f>
        <v>SAN SALVADOR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" hidden="false" customHeight="true" outlineLevel="0" collapsed="false">
      <c r="A166" s="192" t="str">
        <f aca="false">IF(AND('FEBRERO 2026'!D65&lt;&gt;"",'FEBRERO 2026'!Z65="POR RECOGER"),"FEB","")</f>
        <v>FEB</v>
      </c>
      <c r="B166" s="192" t="str">
        <f aca="false">IF(AND('FEBRERO 2026'!D65&lt;&gt;"",'FEBRERO 2026'!Z65="POR RECOGER"),IF('FEBRERO 2026'!Y65&lt;&gt;"",'FEBRERO 2026'!Y65,'FEBRERO 2026'!I65),"")</f>
        <v>YERBABUENA</v>
      </c>
      <c r="C166" s="192" t="str">
        <f aca="false">IF(AND('FEBRERO 2026'!D65&lt;&gt;"",'FEBRERO 2026'!Z65="POR RECOGER"),'FEBRERO 2026'!D65,"")</f>
        <v>HERRERA MARIÑO INGRID CRISTINA</v>
      </c>
      <c r="D166" s="192" t="str">
        <f aca="false">IF(AND('FEBRERO 2026'!D65&lt;&gt;"",'FEBRERO 2026'!Z65="POR RECOGER"),'FEBRERO 2026'!F65,"")</f>
        <v>77216339</v>
      </c>
      <c r="E166" s="192" t="str">
        <f aca="false">IF(AND('FEBRERO 2026'!D65&lt;&gt;"",'FEBRERO 2026'!Z65="POR RECOGER"),TEXT('FEBRERO 2026'!G65,"DD/MM/YYYY"),"")</f>
        <v>17/02/2026</v>
      </c>
      <c r="F166" s="192" t="str">
        <f aca="false">IF(AND('FEBRERO 2026'!D65&lt;&gt;"",'FEBRERO 2026'!Z65="POR RECOGER"),'FEBRERO 2026'!K65,"")</f>
        <v>PETROLEO</v>
      </c>
      <c r="G166" s="193" t="n">
        <f aca="false">IF(AND('FEBRERO 2026'!D65&lt;&gt;"",'FEBRERO 2026'!Z65="POR RECOGER"),'FEBRERO 2026'!M65,"")</f>
        <v>6</v>
      </c>
      <c r="H166" s="193" t="n">
        <f aca="false">IF(AND('FEBRERO 2026'!D65&lt;&gt;"",'FEBRERO 2026'!Z65="POR RECOGER"),'FEBRERO 2026'!N65,"")</f>
        <v>109.08</v>
      </c>
      <c r="I166" s="192" t="str">
        <f aca="false">IF(AND('FEBRERO 2026'!D65&lt;&gt;"",'FEBRERO 2026'!Z65="POR RECOGER"),'FEBRERO 2026'!P65,"")</f>
        <v>SANCHEZ CAJO VICENTE</v>
      </c>
      <c r="J166" s="192" t="str">
        <f aca="false">IF(AND('FEBRERO 2026'!D65&lt;&gt;"",'FEBRERO 2026'!Z65="POR RECOGER"),'FEBRERO 2026'!Q65,"")</f>
        <v>EGL-296</v>
      </c>
      <c r="K166" s="192" t="n">
        <f aca="false">IF(AND('FEBRERO 2026'!D65&lt;&gt;"",'FEBRERO 2026'!Z65="POR RECOGER"),'FEBRERO 2026'!Y65,"")</f>
        <v>0</v>
      </c>
      <c r="L166" s="192" t="str">
        <f aca="false">IF(AND('FEBRERO 2026'!D65&lt;&gt;"",'FEBRERO 2026'!Z65="POR RECOGER"),'FEBRERO 2026'!I65,"")</f>
        <v>YERBABUENA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" hidden="false" customHeight="true" outlineLevel="0" collapsed="false">
      <c r="A167" s="192" t="str">
        <f aca="false">IF(AND('FEBRERO 2026'!D66&lt;&gt;"",'FEBRERO 2026'!Z66="POR RECOGER"),"FEB","")</f>
        <v>FEB</v>
      </c>
      <c r="B167" s="192" t="str">
        <f aca="false">IF(AND('FEBRERO 2026'!D66&lt;&gt;"",'FEBRERO 2026'!Z66="POR RECOGER"),IF('FEBRERO 2026'!Y66&lt;&gt;"",'FEBRERO 2026'!Y66,'FEBRERO 2026'!I66),"")</f>
        <v>MARIA AUXILIADORA</v>
      </c>
      <c r="C167" s="192" t="str">
        <f aca="false">IF(AND('FEBRERO 2026'!D66&lt;&gt;"",'FEBRERO 2026'!Z66="POR RECOGER"),'FEBRERO 2026'!D66,"")</f>
        <v>QUISPE CHUQUICUSMA ROXANA</v>
      </c>
      <c r="D167" s="192" t="str">
        <f aca="false">IF(AND('FEBRERO 2026'!D66&lt;&gt;"",'FEBRERO 2026'!Z66="POR RECOGER"),'FEBRERO 2026'!F66,"")</f>
        <v>61811745</v>
      </c>
      <c r="E167" s="192" t="str">
        <f aca="false">IF(AND('FEBRERO 2026'!D66&lt;&gt;"",'FEBRERO 2026'!Z66="POR RECOGER"),TEXT('FEBRERO 2026'!G66,"DD/MM/YYYY"),"")</f>
        <v>17/02/2026</v>
      </c>
      <c r="F167" s="192" t="str">
        <f aca="false">IF(AND('FEBRERO 2026'!D66&lt;&gt;"",'FEBRERO 2026'!Z66="POR RECOGER"),'FEBRERO 2026'!K66,"")</f>
        <v>PETROLEO</v>
      </c>
      <c r="G167" s="193" t="n">
        <f aca="false">IF(AND('FEBRERO 2026'!D66&lt;&gt;"",'FEBRERO 2026'!Z66="POR RECOGER"),'FEBRERO 2026'!M66,"")</f>
        <v>7</v>
      </c>
      <c r="H167" s="193" t="n">
        <f aca="false">IF(AND('FEBRERO 2026'!D66&lt;&gt;"",'FEBRERO 2026'!Z66="POR RECOGER"),'FEBRERO 2026'!N66,"")</f>
        <v>141.75</v>
      </c>
      <c r="I167" s="192" t="str">
        <f aca="false">IF(AND('FEBRERO 2026'!D66&lt;&gt;"",'FEBRERO 2026'!Z66="POR RECOGER"),'FEBRERO 2026'!P66,"")</f>
        <v/>
      </c>
      <c r="J167" s="192" t="str">
        <f aca="false">IF(AND('FEBRERO 2026'!D66&lt;&gt;"",'FEBRERO 2026'!Z66="POR RECOGER"),'FEBRERO 2026'!Q66,"")</f>
        <v/>
      </c>
      <c r="K167" s="192" t="n">
        <f aca="false">IF(AND('FEBRERO 2026'!D66&lt;&gt;"",'FEBRERO 2026'!Z66="POR RECOGER"),'FEBRERO 2026'!Y66,"")</f>
        <v>0</v>
      </c>
      <c r="L167" s="192" t="str">
        <f aca="false">IF(AND('FEBRERO 2026'!D66&lt;&gt;"",'FEBRERO 2026'!Z66="POR RECOGER"),'FEBRERO 2026'!I66,"")</f>
        <v>MARIA AUXILIADORA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" hidden="false" customHeight="true" outlineLevel="0" collapsed="false">
      <c r="A168" s="192" t="str">
        <f aca="false">IF(AND('FEBRERO 2026'!D67&lt;&gt;"",'FEBRERO 2026'!Z67="POR RECOGER"),"FEB","")</f>
        <v>FEB</v>
      </c>
      <c r="B168" s="192" t="str">
        <f aca="false">IF(AND('FEBRERO 2026'!D67&lt;&gt;"",'FEBRERO 2026'!Z67="POR RECOGER"),IF('FEBRERO 2026'!Y67&lt;&gt;"",'FEBRERO 2026'!Y67,'FEBRERO 2026'!I67),"")</f>
        <v>POMACOCHAS</v>
      </c>
      <c r="C168" s="192" t="str">
        <f aca="false">IF(AND('FEBRERO 2026'!D67&lt;&gt;"",'FEBRERO 2026'!Z67="POR RECOGER"),'FEBRERO 2026'!D67,"")</f>
        <v>AVILA SANCHEZ LUIS GIANFRANCO</v>
      </c>
      <c r="D168" s="192" t="str">
        <f aca="false">IF(AND('FEBRERO 2026'!D67&lt;&gt;"",'FEBRERO 2026'!Z67="POR RECOGER"),'FEBRERO 2026'!F67,"")</f>
        <v>79865822</v>
      </c>
      <c r="E168" s="192" t="str">
        <f aca="false">IF(AND('FEBRERO 2026'!D67&lt;&gt;"",'FEBRERO 2026'!Z67="POR RECOGER"),TEXT('FEBRERO 2026'!G67,"DD/MM/YYYY"),"")</f>
        <v>17/02/2026</v>
      </c>
      <c r="F168" s="192" t="str">
        <f aca="false">IF(AND('FEBRERO 2026'!D67&lt;&gt;"",'FEBRERO 2026'!Z67="POR RECOGER"),'FEBRERO 2026'!K67,"")</f>
        <v>PETROLEO</v>
      </c>
      <c r="G168" s="193" t="n">
        <f aca="false">IF(AND('FEBRERO 2026'!D67&lt;&gt;"",'FEBRERO 2026'!Z67="POR RECOGER"),'FEBRERO 2026'!M67,"")</f>
        <v>6</v>
      </c>
      <c r="H168" s="193" t="n">
        <f aca="false">IF(AND('FEBRERO 2026'!D67&lt;&gt;"",'FEBRERO 2026'!Z67="POR RECOGER"),'FEBRERO 2026'!N67,"")</f>
        <v>109.08</v>
      </c>
      <c r="I168" s="192" t="str">
        <f aca="false">IF(AND('FEBRERO 2026'!D67&lt;&gt;"",'FEBRERO 2026'!Z67="POR RECOGER"),'FEBRERO 2026'!P67,"")</f>
        <v>CHICANA LOPEZ MANUEL HECTOR</v>
      </c>
      <c r="J168" s="192" t="str">
        <f aca="false">IF(AND('FEBRERO 2026'!D67&lt;&gt;"",'FEBRERO 2026'!Z67="POR RECOGER"),'FEBRERO 2026'!Q67,"")</f>
        <v>EUH747</v>
      </c>
      <c r="K168" s="192" t="n">
        <f aca="false">IF(AND('FEBRERO 2026'!D67&lt;&gt;"",'FEBRERO 2026'!Z67="POR RECOGER"),'FEBRERO 2026'!Y67,"")</f>
        <v>0</v>
      </c>
      <c r="L168" s="192" t="str">
        <f aca="false">IF(AND('FEBRERO 2026'!D67&lt;&gt;"",'FEBRERO 2026'!Z67="POR RECOGER"),'FEBRERO 2026'!I67,"")</f>
        <v>POMACOCHAS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" hidden="false" customHeight="true" outlineLevel="0" collapsed="false">
      <c r="A169" s="192" t="str">
        <f aca="false">IF(AND('FEBRERO 2026'!D68&lt;&gt;"",'FEBRERO 2026'!Z68="POR RECOGER"),"FEB","")</f>
        <v>FEB</v>
      </c>
      <c r="B169" s="192" t="str">
        <f aca="false">IF(AND('FEBRERO 2026'!D68&lt;&gt;"",'FEBRERO 2026'!Z68="POR RECOGER"),IF('FEBRERO 2026'!Y68&lt;&gt;"",'FEBRERO 2026'!Y68,'FEBRERO 2026'!I68),"")</f>
        <v>LAMUD</v>
      </c>
      <c r="C169" s="192" t="str">
        <f aca="false">IF(AND('FEBRERO 2026'!D68&lt;&gt;"",'FEBRERO 2026'!Z68="POR RECOGER"),'FEBRERO 2026'!D68,"")</f>
        <v>VILCA VALQUI AGUIDA</v>
      </c>
      <c r="D169" s="192" t="str">
        <f aca="false">IF(AND('FEBRERO 2026'!D68&lt;&gt;"",'FEBRERO 2026'!Z68="POR RECOGER"),'FEBRERO 2026'!F68,"")</f>
        <v>33800782</v>
      </c>
      <c r="E169" s="192" t="str">
        <f aca="false">IF(AND('FEBRERO 2026'!D68&lt;&gt;"",'FEBRERO 2026'!Z68="POR RECOGER"),TEXT('FEBRERO 2026'!G68,"DD/MM/YYYY"),"")</f>
        <v>17/02/2026</v>
      </c>
      <c r="F169" s="192" t="str">
        <f aca="false">IF(AND('FEBRERO 2026'!D68&lt;&gt;"",'FEBRERO 2026'!Z68="POR RECOGER"),'FEBRERO 2026'!K68,"")</f>
        <v>PETROLEO</v>
      </c>
      <c r="G169" s="193" t="n">
        <f aca="false">IF(AND('FEBRERO 2026'!D68&lt;&gt;"",'FEBRERO 2026'!Z68="POR RECOGER"),'FEBRERO 2026'!M68,"")</f>
        <v>4</v>
      </c>
      <c r="H169" s="193" t="n">
        <f aca="false">IF(AND('FEBRERO 2026'!D68&lt;&gt;"",'FEBRERO 2026'!Z68="POR RECOGER"),'FEBRERO 2026'!N68,"")</f>
        <v>72.72</v>
      </c>
      <c r="I169" s="192" t="str">
        <f aca="false">IF(AND('FEBRERO 2026'!D68&lt;&gt;"",'FEBRERO 2026'!Z68="POR RECOGER"),'FEBRERO 2026'!P68,"")</f>
        <v>RUFASTO CHUQUIZUTA JUAN KAROOL</v>
      </c>
      <c r="J169" s="192" t="str">
        <f aca="false">IF(AND('FEBRERO 2026'!D68&lt;&gt;"",'FEBRERO 2026'!Z68="POR RECOGER"),'FEBRERO 2026'!Q68,"")</f>
        <v>EUA963</v>
      </c>
      <c r="K169" s="192" t="n">
        <f aca="false">IF(AND('FEBRERO 2026'!D68&lt;&gt;"",'FEBRERO 2026'!Z68="POR RECOGER"),'FEBRERO 2026'!Y68,"")</f>
        <v>0</v>
      </c>
      <c r="L169" s="192" t="str">
        <f aca="false">IF(AND('FEBRERO 2026'!D68&lt;&gt;"",'FEBRERO 2026'!Z68="POR RECOGER"),'FEBRERO 2026'!I68,"")</f>
        <v>LAMUD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" hidden="false" customHeight="true" outlineLevel="0" collapsed="false">
      <c r="A170" s="192" t="str">
        <f aca="false">IF(AND('FEBRERO 2026'!D69&lt;&gt;"",'FEBRERO 2026'!Z69="POR RECOGER"),"FEB","")</f>
        <v>FEB</v>
      </c>
      <c r="B170" s="192" t="str">
        <f aca="false">IF(AND('FEBRERO 2026'!D69&lt;&gt;"",'FEBRERO 2026'!Z69="POR RECOGER"),IF('FEBRERO 2026'!Y69&lt;&gt;"",'FEBRERO 2026'!Y69,'FEBRERO 2026'!I69),"")</f>
        <v>POMACOCHAS</v>
      </c>
      <c r="C170" s="192" t="str">
        <f aca="false">IF(AND('FEBRERO 2026'!D69&lt;&gt;"",'FEBRERO 2026'!Z69="POR RECOGER"),'FEBRERO 2026'!D69,"")</f>
        <v>JULON CAMPOS DEISI MIRELA</v>
      </c>
      <c r="D170" s="192" t="str">
        <f aca="false">IF(AND('FEBRERO 2026'!D69&lt;&gt;"",'FEBRERO 2026'!Z69="POR RECOGER"),'FEBRERO 2026'!F69,"")</f>
        <v>72458211</v>
      </c>
      <c r="E170" s="192" t="str">
        <f aca="false">IF(AND('FEBRERO 2026'!D69&lt;&gt;"",'FEBRERO 2026'!Z69="POR RECOGER"),TEXT('FEBRERO 2026'!G69,"DD/MM/YYYY"),"")</f>
        <v>17/02/2026</v>
      </c>
      <c r="F170" s="192" t="str">
        <f aca="false">IF(AND('FEBRERO 2026'!D69&lt;&gt;"",'FEBRERO 2026'!Z69="POR RECOGER"),'FEBRERO 2026'!K69,"")</f>
        <v>PETROLEO</v>
      </c>
      <c r="G170" s="193" t="n">
        <f aca="false">IF(AND('FEBRERO 2026'!D69&lt;&gt;"",'FEBRERO 2026'!Z69="POR RECOGER"),'FEBRERO 2026'!M69,"")</f>
        <v>6</v>
      </c>
      <c r="H170" s="193" t="n">
        <f aca="false">IF(AND('FEBRERO 2026'!D69&lt;&gt;"",'FEBRERO 2026'!Z69="POR RECOGER"),'FEBRERO 2026'!N69,"")</f>
        <v>109.08</v>
      </c>
      <c r="I170" s="192" t="str">
        <f aca="false">IF(AND('FEBRERO 2026'!D69&lt;&gt;"",'FEBRERO 2026'!Z69="POR RECOGER"),'FEBRERO 2026'!P69,"")</f>
        <v>CHICANA LOPEZ MANUEL HECTOR</v>
      </c>
      <c r="J170" s="192" t="str">
        <f aca="false">IF(AND('FEBRERO 2026'!D69&lt;&gt;"",'FEBRERO 2026'!Z69="POR RECOGER"),'FEBRERO 2026'!Q69,"")</f>
        <v>EUH747</v>
      </c>
      <c r="K170" s="192" t="n">
        <f aca="false">IF(AND('FEBRERO 2026'!D69&lt;&gt;"",'FEBRERO 2026'!Z69="POR RECOGER"),'FEBRERO 2026'!Y69,"")</f>
        <v>0</v>
      </c>
      <c r="L170" s="192" t="str">
        <f aca="false">IF(AND('FEBRERO 2026'!D69&lt;&gt;"",'FEBRERO 2026'!Z69="POR RECOGER"),'FEBRERO 2026'!I69,"")</f>
        <v>POMACOCHAS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" hidden="false" customHeight="true" outlineLevel="0" collapsed="false">
      <c r="A171" s="192" t="str">
        <f aca="false">IF(AND('FEBRERO 2026'!D70&lt;&gt;"",'FEBRERO 2026'!Z70="POR RECOGER"),"FEB","")</f>
        <v>FEB</v>
      </c>
      <c r="B171" s="192" t="str">
        <f aca="false">IF(AND('FEBRERO 2026'!D70&lt;&gt;"",'FEBRERO 2026'!Z70="POR RECOGER"),IF('FEBRERO 2026'!Y70&lt;&gt;"",'FEBRERO 2026'!Y70,'FEBRERO 2026'!I70),"")</f>
        <v>LAMUD</v>
      </c>
      <c r="C171" s="192" t="str">
        <f aca="false">IF(AND('FEBRERO 2026'!D70&lt;&gt;"",'FEBRERO 2026'!Z70="POR RECOGER"),'FEBRERO 2026'!D70,"")</f>
        <v>VALQUI DE HUAMAN ELISA</v>
      </c>
      <c r="D171" s="192" t="str">
        <f aca="false">IF(AND('FEBRERO 2026'!D70&lt;&gt;"",'FEBRERO 2026'!Z70="POR RECOGER"),'FEBRERO 2026'!F70,"")</f>
        <v>33800690</v>
      </c>
      <c r="E171" s="192" t="str">
        <f aca="false">IF(AND('FEBRERO 2026'!D70&lt;&gt;"",'FEBRERO 2026'!Z70="POR RECOGER"),TEXT('FEBRERO 2026'!G70,"DD/MM/YYYY"),"")</f>
        <v>18/02/2026</v>
      </c>
      <c r="F171" s="192" t="str">
        <f aca="false">IF(AND('FEBRERO 2026'!D70&lt;&gt;"",'FEBRERO 2026'!Z70="POR RECOGER"),'FEBRERO 2026'!K70,"")</f>
        <v>PETROLEO</v>
      </c>
      <c r="G171" s="193" t="n">
        <f aca="false">IF(AND('FEBRERO 2026'!D70&lt;&gt;"",'FEBRERO 2026'!Z70="POR RECOGER"),'FEBRERO 2026'!M70,"")</f>
        <v>4</v>
      </c>
      <c r="H171" s="193" t="n">
        <f aca="false">IF(AND('FEBRERO 2026'!D70&lt;&gt;"",'FEBRERO 2026'!Z70="POR RECOGER"),'FEBRERO 2026'!N70,"")</f>
        <v>72.72</v>
      </c>
      <c r="I171" s="192" t="str">
        <f aca="false">IF(AND('FEBRERO 2026'!D70&lt;&gt;"",'FEBRERO 2026'!Z70="POR RECOGER"),'FEBRERO 2026'!P70,"")</f>
        <v>RUFASTO CHUQUIZUTA JUAN KAROOL</v>
      </c>
      <c r="J171" s="192" t="str">
        <f aca="false">IF(AND('FEBRERO 2026'!D70&lt;&gt;"",'FEBRERO 2026'!Z70="POR RECOGER"),'FEBRERO 2026'!Q70,"")</f>
        <v>EUA963</v>
      </c>
      <c r="K171" s="192" t="n">
        <f aca="false">IF(AND('FEBRERO 2026'!D70&lt;&gt;"",'FEBRERO 2026'!Z70="POR RECOGER"),'FEBRERO 2026'!Y70,"")</f>
        <v>0</v>
      </c>
      <c r="L171" s="192" t="str">
        <f aca="false">IF(AND('FEBRERO 2026'!D70&lt;&gt;"",'FEBRERO 2026'!Z70="POR RECOGER"),'FEBRERO 2026'!I70,"")</f>
        <v>LAMUD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" hidden="false" customHeight="true" outlineLevel="0" collapsed="false">
      <c r="A172" s="192" t="str">
        <f aca="false">IF(AND('FEBRERO 2026'!D71&lt;&gt;"",'FEBRERO 2026'!Z71="POR RECOGER"),"FEB","")</f>
        <v>FEB</v>
      </c>
      <c r="B172" s="192" t="str">
        <f aca="false">IF(AND('FEBRERO 2026'!D71&lt;&gt;"",'FEBRERO 2026'!Z71="POR RECOGER"),IF('FEBRERO 2026'!Y71&lt;&gt;"",'FEBRERO 2026'!Y71,'FEBRERO 2026'!I71),"")</f>
        <v>PEDRO RUIZ GALLO</v>
      </c>
      <c r="C172" s="192" t="str">
        <f aca="false">IF(AND('FEBRERO 2026'!D71&lt;&gt;"",'FEBRERO 2026'!Z71="POR RECOGER"),'FEBRERO 2026'!D71,"")</f>
        <v>SANCHEZ SILVA MARIA IVON</v>
      </c>
      <c r="D172" s="192" t="str">
        <f aca="false">IF(AND('FEBRERO 2026'!D71&lt;&gt;"",'FEBRERO 2026'!Z71="POR RECOGER"),'FEBRERO 2026'!F71,"")</f>
        <v>74700539</v>
      </c>
      <c r="E172" s="192" t="str">
        <f aca="false">IF(AND('FEBRERO 2026'!D71&lt;&gt;"",'FEBRERO 2026'!Z71="POR RECOGER"),TEXT('FEBRERO 2026'!G71,"DD/MM/YYYY"),"")</f>
        <v>18/02/2026</v>
      </c>
      <c r="F172" s="192" t="str">
        <f aca="false">IF(AND('FEBRERO 2026'!D71&lt;&gt;"",'FEBRERO 2026'!Z71="POR RECOGER"),'FEBRERO 2026'!K71,"")</f>
        <v>PETROLEO</v>
      </c>
      <c r="G172" s="193" t="n">
        <f aca="false">IF(AND('FEBRERO 2026'!D71&lt;&gt;"",'FEBRERO 2026'!Z71="POR RECOGER"),'FEBRERO 2026'!M71,"")</f>
        <v>5</v>
      </c>
      <c r="H172" s="193" t="n">
        <f aca="false">IF(AND('FEBRERO 2026'!D71&lt;&gt;"",'FEBRERO 2026'!Z71="POR RECOGER"),'FEBRERO 2026'!N71,"")</f>
        <v>90.9</v>
      </c>
      <c r="I172" s="192" t="str">
        <f aca="false">IF(AND('FEBRERO 2026'!D71&lt;&gt;"",'FEBRERO 2026'!Z71="POR RECOGER"),'FEBRERO 2026'!P71,"")</f>
        <v>MUNOZ VERGARAY JORGE ENRRIQUE</v>
      </c>
      <c r="J172" s="192" t="str">
        <f aca="false">IF(AND('FEBRERO 2026'!D71&lt;&gt;"",'FEBRERO 2026'!Z71="POR RECOGER"),'FEBRERO 2026'!Q71,"")</f>
        <v>EUH 427</v>
      </c>
      <c r="K172" s="192" t="n">
        <f aca="false">IF(AND('FEBRERO 2026'!D71&lt;&gt;"",'FEBRERO 2026'!Z71="POR RECOGER"),'FEBRERO 2026'!Y71,"")</f>
        <v>0</v>
      </c>
      <c r="L172" s="192" t="str">
        <f aca="false">IF(AND('FEBRERO 2026'!D71&lt;&gt;"",'FEBRERO 2026'!Z71="POR RECOGER"),'FEBRERO 2026'!I71,"")</f>
        <v>PEDRO RUIZ GALLO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" hidden="false" customHeight="true" outlineLevel="0" collapsed="false">
      <c r="A173" s="192" t="str">
        <f aca="false">IF(AND('FEBRERO 2026'!D72&lt;&gt;"",'FEBRERO 2026'!Z72="POR RECOGER"),"FEB","")</f>
        <v>FEB</v>
      </c>
      <c r="B173" s="192" t="str">
        <f aca="false">IF(AND('FEBRERO 2026'!D72&lt;&gt;"",'FEBRERO 2026'!Z72="POR RECOGER"),IF('FEBRERO 2026'!Y72&lt;&gt;"",'FEBRERO 2026'!Y72,'FEBRERO 2026'!I72),"")</f>
        <v>POMACOCHAS</v>
      </c>
      <c r="C173" s="192" t="str">
        <f aca="false">IF(AND('FEBRERO 2026'!D72&lt;&gt;"",'FEBRERO 2026'!Z72="POR RECOGER"),'FEBRERO 2026'!D72,"")</f>
        <v>RODRIGUEZ FERNANDEZ MARIA ESTHER</v>
      </c>
      <c r="D173" s="192" t="str">
        <f aca="false">IF(AND('FEBRERO 2026'!D72&lt;&gt;"",'FEBRERO 2026'!Z72="POR RECOGER"),'FEBRERO 2026'!F72,"")</f>
        <v>43963947</v>
      </c>
      <c r="E173" s="192" t="str">
        <f aca="false">IF(AND('FEBRERO 2026'!D72&lt;&gt;"",'FEBRERO 2026'!Z72="POR RECOGER"),TEXT('FEBRERO 2026'!G72,"DD/MM/YYYY"),"")</f>
        <v>18/02/2026</v>
      </c>
      <c r="F173" s="192" t="str">
        <f aca="false">IF(AND('FEBRERO 2026'!D72&lt;&gt;"",'FEBRERO 2026'!Z72="POR RECOGER"),'FEBRERO 2026'!K72,"")</f>
        <v>PETROLEO</v>
      </c>
      <c r="G173" s="193" t="n">
        <f aca="false">IF(AND('FEBRERO 2026'!D72&lt;&gt;"",'FEBRERO 2026'!Z72="POR RECOGER"),'FEBRERO 2026'!M72,"")</f>
        <v>6</v>
      </c>
      <c r="H173" s="193" t="n">
        <f aca="false">IF(AND('FEBRERO 2026'!D72&lt;&gt;"",'FEBRERO 2026'!Z72="POR RECOGER"),'FEBRERO 2026'!N72,"")</f>
        <v>109.08</v>
      </c>
      <c r="I173" s="192" t="str">
        <f aca="false">IF(AND('FEBRERO 2026'!D72&lt;&gt;"",'FEBRERO 2026'!Z72="POR RECOGER"),'FEBRERO 2026'!P72,"")</f>
        <v>CHICANA LOPEZ MANUEL HECTOR</v>
      </c>
      <c r="J173" s="192" t="str">
        <f aca="false">IF(AND('FEBRERO 2026'!D72&lt;&gt;"",'FEBRERO 2026'!Z72="POR RECOGER"),'FEBRERO 2026'!Q72,"")</f>
        <v>EUH747</v>
      </c>
      <c r="K173" s="192" t="n">
        <f aca="false">IF(AND('FEBRERO 2026'!D72&lt;&gt;"",'FEBRERO 2026'!Z72="POR RECOGER"),'FEBRERO 2026'!Y72,"")</f>
        <v>0</v>
      </c>
      <c r="L173" s="192" t="str">
        <f aca="false">IF(AND('FEBRERO 2026'!D72&lt;&gt;"",'FEBRERO 2026'!Z72="POR RECOGER"),'FEBRERO 2026'!I72,"")</f>
        <v>POMACOCHAS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" hidden="false" customHeight="true" outlineLevel="0" collapsed="false">
      <c r="A174" s="192" t="str">
        <f aca="false">IF(AND('FEBRERO 2026'!D73&lt;&gt;"",'FEBRERO 2026'!Z73="POR RECOGER"),"FEB","")</f>
        <v>FEB</v>
      </c>
      <c r="B174" s="192" t="str">
        <f aca="false">IF(AND('FEBRERO 2026'!D73&lt;&gt;"",'FEBRERO 2026'!Z73="POR RECOGER"),IF('FEBRERO 2026'!Y73&lt;&gt;"",'FEBRERO 2026'!Y73,'FEBRERO 2026'!I73),"")</f>
        <v>BUENOS AIRES</v>
      </c>
      <c r="C174" s="192" t="str">
        <f aca="false">IF(AND('FEBRERO 2026'!D73&lt;&gt;"",'FEBRERO 2026'!Z73="POR RECOGER"),'FEBRERO 2026'!D73,"")</f>
        <v>RODRIGUEZ FERNANDEZ MARIA ESTHER</v>
      </c>
      <c r="D174" s="192" t="str">
        <f aca="false">IF(AND('FEBRERO 2026'!D73&lt;&gt;"",'FEBRERO 2026'!Z73="POR RECOGER"),'FEBRERO 2026'!F73,"")</f>
        <v>43963947</v>
      </c>
      <c r="E174" s="192" t="str">
        <f aca="false">IF(AND('FEBRERO 2026'!D73&lt;&gt;"",'FEBRERO 2026'!Z73="POR RECOGER"),TEXT('FEBRERO 2026'!G73,"DD/MM/YYYY"),"")</f>
        <v>18/02/2026</v>
      </c>
      <c r="F174" s="192" t="str">
        <f aca="false">IF(AND('FEBRERO 2026'!D73&lt;&gt;"",'FEBRERO 2026'!Z73="POR RECOGER"),'FEBRERO 2026'!K73,"")</f>
        <v>GASOLINA</v>
      </c>
      <c r="G174" s="193" t="n">
        <f aca="false">IF(AND('FEBRERO 2026'!D73&lt;&gt;"",'FEBRERO 2026'!Z73="POR RECOGER"),'FEBRERO 2026'!M73,"")</f>
        <v>5</v>
      </c>
      <c r="H174" s="193" t="n">
        <f aca="false">IF(AND('FEBRERO 2026'!D73&lt;&gt;"",'FEBRERO 2026'!Z73="POR RECOGER"),'FEBRERO 2026'!N73,"")</f>
        <v>89.75</v>
      </c>
      <c r="I174" s="192" t="str">
        <f aca="false">IF(AND('FEBRERO 2026'!D73&lt;&gt;"",'FEBRERO 2026'!Z73="POR RECOGER"),'FEBRERO 2026'!P73,"")</f>
        <v>RONAL SAUCEDO GUEVARA</v>
      </c>
      <c r="J174" s="192" t="str">
        <f aca="false">IF(AND('FEBRERO 2026'!D73&lt;&gt;"",'FEBRERO 2026'!Z73="POR RECOGER"),'FEBRERO 2026'!Q73,"")</f>
        <v>EUB-067</v>
      </c>
      <c r="K174" s="192" t="n">
        <f aca="false">IF(AND('FEBRERO 2026'!D73&lt;&gt;"",'FEBRERO 2026'!Z73="POR RECOGER"),'FEBRERO 2026'!Y73,"")</f>
        <v>0</v>
      </c>
      <c r="L174" s="192" t="str">
        <f aca="false">IF(AND('FEBRERO 2026'!D73&lt;&gt;"",'FEBRERO 2026'!Z73="POR RECOGER"),'FEBRERO 2026'!I73,"")</f>
        <v>BUENOS AIRES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" hidden="false" customHeight="true" outlineLevel="0" collapsed="false">
      <c r="A175" s="192" t="str">
        <f aca="false">IF(AND('FEBRERO 2026'!D74&lt;&gt;"",'FEBRERO 2026'!Z74="POR RECOGER"),"FEB","")</f>
        <v>FEB</v>
      </c>
      <c r="B175" s="192" t="str">
        <f aca="false">IF(AND('FEBRERO 2026'!D74&lt;&gt;"",'FEBRERO 2026'!Z74="POR RECOGER"),IF('FEBRERO 2026'!Y74&lt;&gt;"",'FEBRERO 2026'!Y74,'FEBRERO 2026'!I74),"")</f>
        <v>MARIA AUXILIADORA</v>
      </c>
      <c r="C175" s="192" t="str">
        <f aca="false">IF(AND('FEBRERO 2026'!D74&lt;&gt;"",'FEBRERO 2026'!Z74="POR RECOGER"),'FEBRERO 2026'!D74,"")</f>
        <v>LOPEZ PORTOCARRERO LEOVIGILDO</v>
      </c>
      <c r="D175" s="192" t="str">
        <f aca="false">IF(AND('FEBRERO 2026'!D74&lt;&gt;"",'FEBRERO 2026'!Z74="POR RECOGER"),'FEBRERO 2026'!F74,"")</f>
        <v>33944247</v>
      </c>
      <c r="E175" s="192" t="str">
        <f aca="false">IF(AND('FEBRERO 2026'!D74&lt;&gt;"",'FEBRERO 2026'!Z74="POR RECOGER"),TEXT('FEBRERO 2026'!G74,"DD/MM/YYYY"),"")</f>
        <v>19/02/2026</v>
      </c>
      <c r="F175" s="192" t="str">
        <f aca="false">IF(AND('FEBRERO 2026'!D74&lt;&gt;"",'FEBRERO 2026'!Z74="POR RECOGER"),'FEBRERO 2026'!K74,"")</f>
        <v>PETROLEO</v>
      </c>
      <c r="G175" s="193" t="n">
        <f aca="false">IF(AND('FEBRERO 2026'!D74&lt;&gt;"",'FEBRERO 2026'!Z74="POR RECOGER"),'FEBRERO 2026'!M74,"")</f>
        <v>7</v>
      </c>
      <c r="H175" s="193" t="n">
        <f aca="false">IF(AND('FEBRERO 2026'!D74&lt;&gt;"",'FEBRERO 2026'!Z74="POR RECOGER"),'FEBRERO 2026'!N74,"")</f>
        <v>141.75</v>
      </c>
      <c r="I175" s="192" t="str">
        <f aca="false">IF(AND('FEBRERO 2026'!D74&lt;&gt;"",'FEBRERO 2026'!Z74="POR RECOGER"),'FEBRERO 2026'!P74,"")</f>
        <v>TRIGOSO TAFUR JOSE GILBER</v>
      </c>
      <c r="J175" s="192" t="str">
        <f aca="false">IF(AND('FEBRERO 2026'!D74&lt;&gt;"",'FEBRERO 2026'!Z74="POR RECOGER"),'FEBRERO 2026'!Q74,"")</f>
        <v>EUH 421</v>
      </c>
      <c r="K175" s="192" t="n">
        <f aca="false">IF(AND('FEBRERO 2026'!D74&lt;&gt;"",'FEBRERO 2026'!Z74="POR RECOGER"),'FEBRERO 2026'!Y74,"")</f>
        <v>0</v>
      </c>
      <c r="L175" s="192" t="str">
        <f aca="false">IF(AND('FEBRERO 2026'!D74&lt;&gt;"",'FEBRERO 2026'!Z74="POR RECOGER"),'FEBRERO 2026'!I74,"")</f>
        <v>MARIA AUXILIADORA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" hidden="false" customHeight="true" outlineLevel="0" collapsed="false">
      <c r="A176" s="192" t="str">
        <f aca="false">IF(AND('FEBRERO 2026'!D75&lt;&gt;"",'FEBRERO 2026'!Z75="POR RECOGER"),"FEB","")</f>
        <v>FEB</v>
      </c>
      <c r="B176" s="192" t="str">
        <f aca="false">IF(AND('FEBRERO 2026'!D75&lt;&gt;"",'FEBRERO 2026'!Z75="POR RECOGER"),IF('FEBRERO 2026'!Y75&lt;&gt;"",'FEBRERO 2026'!Y75,'FEBRERO 2026'!I75),"")</f>
        <v>HUAMBO</v>
      </c>
      <c r="C176" s="192" t="str">
        <f aca="false">IF(AND('FEBRERO 2026'!D75&lt;&gt;"",'FEBRERO 2026'!Z75="POR RECOGER"),'FEBRERO 2026'!D75,"")</f>
        <v>TAFUR LOPEZ JOSE GIL</v>
      </c>
      <c r="D176" s="192" t="str">
        <f aca="false">IF(AND('FEBRERO 2026'!D75&lt;&gt;"",'FEBRERO 2026'!Z75="POR RECOGER"),'FEBRERO 2026'!F75,"")</f>
        <v>33945002</v>
      </c>
      <c r="E176" s="192" t="str">
        <f aca="false">IF(AND('FEBRERO 2026'!D75&lt;&gt;"",'FEBRERO 2026'!Z75="POR RECOGER"),TEXT('FEBRERO 2026'!G75,"DD/MM/YYYY"),"")</f>
        <v>19/02/2026</v>
      </c>
      <c r="F176" s="192" t="str">
        <f aca="false">IF(AND('FEBRERO 2026'!D75&lt;&gt;"",'FEBRERO 2026'!Z75="POR RECOGER"),'FEBRERO 2026'!K75,"")</f>
        <v>PETROLEO</v>
      </c>
      <c r="G176" s="193" t="n">
        <f aca="false">IF(AND('FEBRERO 2026'!D75&lt;&gt;"",'FEBRERO 2026'!Z75="POR RECOGER"),'FEBRERO 2026'!M75,"")</f>
        <v>3</v>
      </c>
      <c r="H176" s="193" t="n">
        <f aca="false">IF(AND('FEBRERO 2026'!D75&lt;&gt;"",'FEBRERO 2026'!Z75="POR RECOGER"),'FEBRERO 2026'!N75,"")</f>
        <v>60.75</v>
      </c>
      <c r="I176" s="192" t="str">
        <f aca="false">IF(AND('FEBRERO 2026'!D75&lt;&gt;"",'FEBRERO 2026'!Z75="POR RECOGER"),'FEBRERO 2026'!P75,"")</f>
        <v>LOPEZ HOYOS MIGUEL ANGEL</v>
      </c>
      <c r="J176" s="192" t="str">
        <f aca="false">IF(AND('FEBRERO 2026'!D75&lt;&gt;"",'FEBRERO 2026'!Z75="POR RECOGER"),'FEBRERO 2026'!Q75,"")</f>
        <v>EUH-698</v>
      </c>
      <c r="K176" s="192" t="n">
        <f aca="false">IF(AND('FEBRERO 2026'!D75&lt;&gt;"",'FEBRERO 2026'!Z75="POR RECOGER"),'FEBRERO 2026'!Y75,"")</f>
        <v>0</v>
      </c>
      <c r="L176" s="192" t="str">
        <f aca="false">IF(AND('FEBRERO 2026'!D75&lt;&gt;"",'FEBRERO 2026'!Z75="POR RECOGER"),'FEBRERO 2026'!I75,"")</f>
        <v>HUAMBO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" hidden="false" customHeight="true" outlineLevel="0" collapsed="false">
      <c r="A177" s="192" t="str">
        <f aca="false">IF(AND('FEBRERO 2026'!D76&lt;&gt;"",'FEBRERO 2026'!Z76="POR RECOGER"),"FEB","")</f>
        <v>FEB</v>
      </c>
      <c r="B177" s="192" t="str">
        <f aca="false">IF(AND('FEBRERO 2026'!D76&lt;&gt;"",'FEBRERO 2026'!Z76="POR RECOGER"),IF('FEBRERO 2026'!Y76&lt;&gt;"",'FEBRERO 2026'!Y76,'FEBRERO 2026'!I76),"")</f>
        <v>COCABAMBA</v>
      </c>
      <c r="C177" s="192" t="str">
        <f aca="false">IF(AND('FEBRERO 2026'!D76&lt;&gt;"",'FEBRERO 2026'!Z76="POR RECOGER"),'FEBRERO 2026'!D76,"")</f>
        <v>JULCA BARRERA LILIANA</v>
      </c>
      <c r="D177" s="192" t="str">
        <f aca="false">IF(AND('FEBRERO 2026'!D76&lt;&gt;"",'FEBRERO 2026'!Z76="POR RECOGER"),'FEBRERO 2026'!F76,"")</f>
        <v>47467877</v>
      </c>
      <c r="E177" s="192" t="str">
        <f aca="false">IF(AND('FEBRERO 2026'!D76&lt;&gt;"",'FEBRERO 2026'!Z76="POR RECOGER"),TEXT('FEBRERO 2026'!G76,"DD/MM/YYYY"),"")</f>
        <v>19/02/2026</v>
      </c>
      <c r="F177" s="192" t="str">
        <f aca="false">IF(AND('FEBRERO 2026'!D76&lt;&gt;"",'FEBRERO 2026'!Z76="POR RECOGER"),'FEBRERO 2026'!K76,"")</f>
        <v>GASOLINA</v>
      </c>
      <c r="G177" s="193" t="n">
        <f aca="false">IF(AND('FEBRERO 2026'!D76&lt;&gt;"",'FEBRERO 2026'!Z76="POR RECOGER"),'FEBRERO 2026'!M76,"")</f>
        <v>26</v>
      </c>
      <c r="H177" s="193" t="n">
        <f aca="false">IF(AND('FEBRERO 2026'!D76&lt;&gt;"",'FEBRERO 2026'!Z76="POR RECOGER"),'FEBRERO 2026'!N76,"")</f>
        <v>466.7</v>
      </c>
      <c r="I177" s="192" t="str">
        <f aca="false">IF(AND('FEBRERO 2026'!D76&lt;&gt;"",'FEBRERO 2026'!Z76="POR RECOGER"),'FEBRERO 2026'!P76,"")</f>
        <v/>
      </c>
      <c r="J177" s="192" t="str">
        <f aca="false">IF(AND('FEBRERO 2026'!D76&lt;&gt;"",'FEBRERO 2026'!Z76="POR RECOGER"),'FEBRERO 2026'!Q76,"")</f>
        <v/>
      </c>
      <c r="K177" s="192" t="n">
        <f aca="false">IF(AND('FEBRERO 2026'!D76&lt;&gt;"",'FEBRERO 2026'!Z76="POR RECOGER"),'FEBRERO 2026'!Y76,"")</f>
        <v>0</v>
      </c>
      <c r="L177" s="192" t="str">
        <f aca="false">IF(AND('FEBRERO 2026'!D76&lt;&gt;"",'FEBRERO 2026'!Z76="POR RECOGER"),'FEBRERO 2026'!I76,"")</f>
        <v>COCABAMBA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" hidden="false" customHeight="true" outlineLevel="0" collapsed="false">
      <c r="A178" s="192" t="str">
        <f aca="false">IF(AND('FEBRERO 2026'!D77&lt;&gt;"",'FEBRERO 2026'!Z77="POR RECOGER"),"FEB","")</f>
        <v>FEB</v>
      </c>
      <c r="B178" s="192" t="str">
        <f aca="false">IF(AND('FEBRERO 2026'!D77&lt;&gt;"",'FEBRERO 2026'!Z77="POR RECOGER"),IF('FEBRERO 2026'!Y77&lt;&gt;"",'FEBRERO 2026'!Y77,'FEBRERO 2026'!I77),"")</f>
        <v>MARIA AUXILIADORA</v>
      </c>
      <c r="C178" s="192" t="str">
        <f aca="false">IF(AND('FEBRERO 2026'!D77&lt;&gt;"",'FEBRERO 2026'!Z77="POR RECOGER"),'FEBRERO 2026'!D77,"")</f>
        <v>CAMPOVERDE RIVERA TEMISTO</v>
      </c>
      <c r="D178" s="192" t="str">
        <f aca="false">IF(AND('FEBRERO 2026'!D77&lt;&gt;"",'FEBRERO 2026'!Z77="POR RECOGER"),'FEBRERO 2026'!F77,"")</f>
        <v>23170863</v>
      </c>
      <c r="E178" s="192" t="str">
        <f aca="false">IF(AND('FEBRERO 2026'!D77&lt;&gt;"",'FEBRERO 2026'!Z77="POR RECOGER"),TEXT('FEBRERO 2026'!G77,"DD/MM/YYYY"),"")</f>
        <v>20/02/2026</v>
      </c>
      <c r="F178" s="192" t="str">
        <f aca="false">IF(AND('FEBRERO 2026'!D77&lt;&gt;"",'FEBRERO 2026'!Z77="POR RECOGER"),'FEBRERO 2026'!K77,"")</f>
        <v>PETROLEO</v>
      </c>
      <c r="G178" s="193" t="n">
        <f aca="false">IF(AND('FEBRERO 2026'!D77&lt;&gt;"",'FEBRERO 2026'!Z77="POR RECOGER"),'FEBRERO 2026'!M77,"")</f>
        <v>7</v>
      </c>
      <c r="H178" s="193" t="n">
        <f aca="false">IF(AND('FEBRERO 2026'!D77&lt;&gt;"",'FEBRERO 2026'!Z77="POR RECOGER"),'FEBRERO 2026'!N77,"")</f>
        <v>141.75</v>
      </c>
      <c r="I178" s="192" t="str">
        <f aca="false">IF(AND('FEBRERO 2026'!D77&lt;&gt;"",'FEBRERO 2026'!Z77="POR RECOGER"),'FEBRERO 2026'!P77,"")</f>
        <v/>
      </c>
      <c r="J178" s="192" t="str">
        <f aca="false">IF(AND('FEBRERO 2026'!D77&lt;&gt;"",'FEBRERO 2026'!Z77="POR RECOGER"),'FEBRERO 2026'!Q77,"")</f>
        <v/>
      </c>
      <c r="K178" s="192" t="n">
        <f aca="false">IF(AND('FEBRERO 2026'!D77&lt;&gt;"",'FEBRERO 2026'!Z77="POR RECOGER"),'FEBRERO 2026'!Y77,"")</f>
        <v>0</v>
      </c>
      <c r="L178" s="192" t="str">
        <f aca="false">IF(AND('FEBRERO 2026'!D77&lt;&gt;"",'FEBRERO 2026'!Z77="POR RECOGER"),'FEBRERO 2026'!I77,"")</f>
        <v>MARIA AUXILIADORA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" hidden="false" customHeight="true" outlineLevel="0" collapsed="false">
      <c r="A179" s="192" t="str">
        <f aca="false">IF(AND('FEBRERO 2026'!D78&lt;&gt;"",'FEBRERO 2026'!Z78="POR RECOGER"),"FEB","")</f>
        <v>FEB</v>
      </c>
      <c r="B179" s="192" t="str">
        <f aca="false">IF(AND('FEBRERO 2026'!D78&lt;&gt;"",'FEBRERO 2026'!Z78="POR RECOGER"),IF('FEBRERO 2026'!Y78&lt;&gt;"",'FEBRERO 2026'!Y78,'FEBRERO 2026'!I78),"")</f>
        <v>HUAMBO</v>
      </c>
      <c r="C179" s="192" t="str">
        <f aca="false">IF(AND('FEBRERO 2026'!D78&lt;&gt;"",'FEBRERO 2026'!Z78="POR RECOGER"),'FEBRERO 2026'!D78,"")</f>
        <v>PORTOCARRERO PORTOCARRERO MARIA CRUZ</v>
      </c>
      <c r="D179" s="192" t="str">
        <f aca="false">IF(AND('FEBRERO 2026'!D78&lt;&gt;"",'FEBRERO 2026'!Z78="POR RECOGER"),'FEBRERO 2026'!F78,"")</f>
        <v>46109691</v>
      </c>
      <c r="E179" s="192" t="str">
        <f aca="false">IF(AND('FEBRERO 2026'!D78&lt;&gt;"",'FEBRERO 2026'!Z78="POR RECOGER"),TEXT('FEBRERO 2026'!G78,"DD/MM/YYYY"),"")</f>
        <v>20/02/2026</v>
      </c>
      <c r="F179" s="192" t="str">
        <f aca="false">IF(AND('FEBRERO 2026'!D78&lt;&gt;"",'FEBRERO 2026'!Z78="POR RECOGER"),'FEBRERO 2026'!K78,"")</f>
        <v>PETROLEO</v>
      </c>
      <c r="G179" s="193" t="n">
        <f aca="false">IF(AND('FEBRERO 2026'!D78&lt;&gt;"",'FEBRERO 2026'!Z78="POR RECOGER"),'FEBRERO 2026'!M78,"")</f>
        <v>3</v>
      </c>
      <c r="H179" s="193" t="n">
        <f aca="false">IF(AND('FEBRERO 2026'!D78&lt;&gt;"",'FEBRERO 2026'!Z78="POR RECOGER"),'FEBRERO 2026'!N78,"")</f>
        <v>60.75</v>
      </c>
      <c r="I179" s="192" t="str">
        <f aca="false">IF(AND('FEBRERO 2026'!D78&lt;&gt;"",'FEBRERO 2026'!Z78="POR RECOGER"),'FEBRERO 2026'!P78,"")</f>
        <v>LOPEZ HOYOS MIGUEL ANGEL</v>
      </c>
      <c r="J179" s="192" t="str">
        <f aca="false">IF(AND('FEBRERO 2026'!D78&lt;&gt;"",'FEBRERO 2026'!Z78="POR RECOGER"),'FEBRERO 2026'!Q78,"")</f>
        <v>EUH-698</v>
      </c>
      <c r="K179" s="192" t="n">
        <f aca="false">IF(AND('FEBRERO 2026'!D78&lt;&gt;"",'FEBRERO 2026'!Z78="POR RECOGER"),'FEBRERO 2026'!Y78,"")</f>
        <v>0</v>
      </c>
      <c r="L179" s="192" t="str">
        <f aca="false">IF(AND('FEBRERO 2026'!D78&lt;&gt;"",'FEBRERO 2026'!Z78="POR RECOGER"),'FEBRERO 2026'!I78,"")</f>
        <v>HUAMBO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" hidden="false" customHeight="true" outlineLevel="0" collapsed="false">
      <c r="A180" s="192" t="str">
        <f aca="false">IF(AND('FEBRERO 2026'!D79&lt;&gt;"",'FEBRERO 2026'!Z79="POR RECOGER"),"FEB","")</f>
        <v>FEB</v>
      </c>
      <c r="B180" s="192" t="str">
        <f aca="false">IF(AND('FEBRERO 2026'!D79&lt;&gt;"",'FEBRERO 2026'!Z79="POR RECOGER"),IF('FEBRERO 2026'!Y79&lt;&gt;"",'FEBRERO 2026'!Y79,'FEBRERO 2026'!I79),"")</f>
        <v>OMIA</v>
      </c>
      <c r="C180" s="192" t="str">
        <f aca="false">IF(AND('FEBRERO 2026'!D79&lt;&gt;"",'FEBRERO 2026'!Z79="POR RECOGER"),'FEBRERO 2026'!D79,"")</f>
        <v>HERRERA IBERICO THALIA</v>
      </c>
      <c r="D180" s="192" t="str">
        <f aca="false">IF(AND('FEBRERO 2026'!D79&lt;&gt;"",'FEBRERO 2026'!Z79="POR RECOGER"),'FEBRERO 2026'!F79,"")</f>
        <v>72304779</v>
      </c>
      <c r="E180" s="192" t="str">
        <f aca="false">IF(AND('FEBRERO 2026'!D79&lt;&gt;"",'FEBRERO 2026'!Z79="POR RECOGER"),TEXT('FEBRERO 2026'!G79,"DD/MM/YYYY"),"")</f>
        <v>20/02/2026</v>
      </c>
      <c r="F180" s="192" t="str">
        <f aca="false">IF(AND('FEBRERO 2026'!D79&lt;&gt;"",'FEBRERO 2026'!Z79="POR RECOGER"),'FEBRERO 2026'!K79,"")</f>
        <v>PETROLEO</v>
      </c>
      <c r="G180" s="193" t="n">
        <f aca="false">IF(AND('FEBRERO 2026'!D79&lt;&gt;"",'FEBRERO 2026'!Z79="POR RECOGER"),'FEBRERO 2026'!M79,"")</f>
        <v>10</v>
      </c>
      <c r="H180" s="193" t="n">
        <f aca="false">IF(AND('FEBRERO 2026'!D79&lt;&gt;"",'FEBRERO 2026'!Z79="POR RECOGER"),'FEBRERO 2026'!N79,"")</f>
        <v>202.5</v>
      </c>
      <c r="I180" s="192" t="str">
        <f aca="false">IF(AND('FEBRERO 2026'!D79&lt;&gt;"",'FEBRERO 2026'!Z79="POR RECOGER"),'FEBRERO 2026'!P79,"")</f>
        <v>LOPEZ VARGAS HUBER</v>
      </c>
      <c r="J180" s="192" t="str">
        <f aca="false">IF(AND('FEBRERO 2026'!D79&lt;&gt;"",'FEBRERO 2026'!Z79="POR RECOGER"),'FEBRERO 2026'!Q79,"")</f>
        <v>EUH 634</v>
      </c>
      <c r="K180" s="192" t="str">
        <f aca="false">IF(AND('FEBRERO 2026'!D79&lt;&gt;"",'FEBRERO 2026'!Z79="POR RECOGER"),'FEBRERO 2026'!Y79,"")</f>
        <v>OMIA</v>
      </c>
      <c r="L180" s="192" t="str">
        <f aca="false">IF(AND('FEBRERO 2026'!D79&lt;&gt;"",'FEBRERO 2026'!Z79="POR RECOGER"),'FEBRERO 2026'!I79,"")</f>
        <v>MARIA AUXILIADORA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" hidden="false" customHeight="true" outlineLevel="0" collapsed="false">
      <c r="A181" s="192" t="str">
        <f aca="false">IF(AND('FEBRERO 2026'!D80&lt;&gt;"",'FEBRERO 2026'!Z80="POR RECOGER"),"FEB","")</f>
        <v>FEB</v>
      </c>
      <c r="B181" s="192" t="str">
        <f aca="false">IF(AND('FEBRERO 2026'!D80&lt;&gt;"",'FEBRERO 2026'!Z80="POR RECOGER"),IF('FEBRERO 2026'!Y80&lt;&gt;"",'FEBRERO 2026'!Y80,'FEBRERO 2026'!I80),"")</f>
        <v>YERBABUENA</v>
      </c>
      <c r="C181" s="192" t="str">
        <f aca="false">IF(AND('FEBRERO 2026'!D80&lt;&gt;"",'FEBRERO 2026'!Z80="POR RECOGER"),'FEBRERO 2026'!D80,"")</f>
        <v>MARIÑAS FERNENDEZ MARITSA</v>
      </c>
      <c r="D181" s="192" t="str">
        <f aca="false">IF(AND('FEBRERO 2026'!D80&lt;&gt;"",'FEBRERO 2026'!Z80="POR RECOGER"),'FEBRERO 2026'!F80,"")</f>
        <v>47444684</v>
      </c>
      <c r="E181" s="192" t="str">
        <f aca="false">IF(AND('FEBRERO 2026'!D80&lt;&gt;"",'FEBRERO 2026'!Z80="POR RECOGER"),TEXT('FEBRERO 2026'!G80,"DD/MM/YYYY"),"")</f>
        <v>21/02/2026</v>
      </c>
      <c r="F181" s="192" t="str">
        <f aca="false">IF(AND('FEBRERO 2026'!D80&lt;&gt;"",'FEBRERO 2026'!Z80="POR RECOGER"),'FEBRERO 2026'!K80,"")</f>
        <v>PETROLEO</v>
      </c>
      <c r="G181" s="193" t="n">
        <f aca="false">IF(AND('FEBRERO 2026'!D80&lt;&gt;"",'FEBRERO 2026'!Z80="POR RECOGER"),'FEBRERO 2026'!M80,"")</f>
        <v>6</v>
      </c>
      <c r="H181" s="193" t="n">
        <f aca="false">IF(AND('FEBRERO 2026'!D80&lt;&gt;"",'FEBRERO 2026'!Z80="POR RECOGER"),'FEBRERO 2026'!N80,"")</f>
        <v>109.08</v>
      </c>
      <c r="I181" s="192" t="str">
        <f aca="false">IF(AND('FEBRERO 2026'!D80&lt;&gt;"",'FEBRERO 2026'!Z80="POR RECOGER"),'FEBRERO 2026'!P80,"")</f>
        <v>SANCHEZ CAJO VICENTE</v>
      </c>
      <c r="J181" s="192" t="str">
        <f aca="false">IF(AND('FEBRERO 2026'!D80&lt;&gt;"",'FEBRERO 2026'!Z80="POR RECOGER"),'FEBRERO 2026'!Q80,"")</f>
        <v>EGL-296</v>
      </c>
      <c r="K181" s="192" t="n">
        <f aca="false">IF(AND('FEBRERO 2026'!D80&lt;&gt;"",'FEBRERO 2026'!Z80="POR RECOGER"),'FEBRERO 2026'!Y80,"")</f>
        <v>0</v>
      </c>
      <c r="L181" s="192" t="str">
        <f aca="false">IF(AND('FEBRERO 2026'!D80&lt;&gt;"",'FEBRERO 2026'!Z80="POR RECOGER"),'FEBRERO 2026'!I80,"")</f>
        <v>YERBABUENA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" hidden="false" customHeight="true" outlineLevel="0" collapsed="false">
      <c r="A182" s="192" t="str">
        <f aca="false">IF(AND('FEBRERO 2026'!D81&lt;&gt;"",'FEBRERO 2026'!Z81="POR RECOGER"),"FEB","")</f>
        <v>FEB</v>
      </c>
      <c r="B182" s="192" t="str">
        <f aca="false">IF(AND('FEBRERO 2026'!D81&lt;&gt;"",'FEBRERO 2026'!Z81="POR RECOGER"),IF('FEBRERO 2026'!Y81&lt;&gt;"",'FEBRERO 2026'!Y81,'FEBRERO 2026'!I81),"")</f>
        <v>MARIA AUXILIADORA</v>
      </c>
      <c r="C182" s="192" t="str">
        <f aca="false">IF(AND('FEBRERO 2026'!D81&lt;&gt;"",'FEBRERO 2026'!Z81="POR RECOGER"),'FEBRERO 2026'!D81,"")</f>
        <v>LOPEZ SANTILLAN AYSEL AMARA</v>
      </c>
      <c r="D182" s="192" t="str">
        <f aca="false">IF(AND('FEBRERO 2026'!D81&lt;&gt;"",'FEBRERO 2026'!Z81="POR RECOGER"),'FEBRERO 2026'!F81,"")</f>
        <v>94185790</v>
      </c>
      <c r="E182" s="192" t="str">
        <f aca="false">IF(AND('FEBRERO 2026'!D81&lt;&gt;"",'FEBRERO 2026'!Z81="POR RECOGER"),TEXT('FEBRERO 2026'!G81,"DD/MM/YYYY"),"")</f>
        <v>21/02/2026</v>
      </c>
      <c r="F182" s="192" t="str">
        <f aca="false">IF(AND('FEBRERO 2026'!D81&lt;&gt;"",'FEBRERO 2026'!Z81="POR RECOGER"),'FEBRERO 2026'!K81,"")</f>
        <v>PETROLEO</v>
      </c>
      <c r="G182" s="193" t="n">
        <f aca="false">IF(AND('FEBRERO 2026'!D81&lt;&gt;"",'FEBRERO 2026'!Z81="POR RECOGER"),'FEBRERO 2026'!M81,"")</f>
        <v>7</v>
      </c>
      <c r="H182" s="193" t="n">
        <f aca="false">IF(AND('FEBRERO 2026'!D81&lt;&gt;"",'FEBRERO 2026'!Z81="POR RECOGER"),'FEBRERO 2026'!N81,"")</f>
        <v>141.75</v>
      </c>
      <c r="I182" s="192" t="str">
        <f aca="false">IF(AND('FEBRERO 2026'!D81&lt;&gt;"",'FEBRERO 2026'!Z81="POR RECOGER"),'FEBRERO 2026'!P81,"")</f>
        <v>PORTOCARRERO PELAEZ MIGUEL ANTONIO</v>
      </c>
      <c r="J182" s="192" t="str">
        <f aca="false">IF(AND('FEBRERO 2026'!D81&lt;&gt;"",'FEBRERO 2026'!Z81="POR RECOGER"),'FEBRERO 2026'!Q81,"")</f>
        <v>EUH-421</v>
      </c>
      <c r="K182" s="192" t="n">
        <f aca="false">IF(AND('FEBRERO 2026'!D81&lt;&gt;"",'FEBRERO 2026'!Z81="POR RECOGER"),'FEBRERO 2026'!Y81,"")</f>
        <v>0</v>
      </c>
      <c r="L182" s="192" t="str">
        <f aca="false">IF(AND('FEBRERO 2026'!D81&lt;&gt;"",'FEBRERO 2026'!Z81="POR RECOGER"),'FEBRERO 2026'!I81,"")</f>
        <v>MARIA AUXILIADORA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" hidden="false" customHeight="true" outlineLevel="0" collapsed="false">
      <c r="A183" s="192" t="str">
        <f aca="false">IF(AND('FEBRERO 2026'!D82&lt;&gt;"",'FEBRERO 2026'!Z82="POR RECOGER"),"FEB","")</f>
        <v>FEB</v>
      </c>
      <c r="B183" s="192" t="str">
        <f aca="false">IF(AND('FEBRERO 2026'!D82&lt;&gt;"",'FEBRERO 2026'!Z82="POR RECOGER"),IF('FEBRERO 2026'!Y82&lt;&gt;"",'FEBRERO 2026'!Y82,'FEBRERO 2026'!I82),"")</f>
        <v>PEDRO RUIZ GALLO</v>
      </c>
      <c r="C183" s="192" t="str">
        <f aca="false">IF(AND('FEBRERO 2026'!D82&lt;&gt;"",'FEBRERO 2026'!Z82="POR RECOGER"),'FEBRERO 2026'!D82,"")</f>
        <v>PEREZ AGUILAR WILSON</v>
      </c>
      <c r="D183" s="192" t="str">
        <f aca="false">IF(AND('FEBRERO 2026'!D82&lt;&gt;"",'FEBRERO 2026'!Z82="POR RECOGER"),'FEBRERO 2026'!F82,"")</f>
        <v>33783927</v>
      </c>
      <c r="E183" s="192" t="str">
        <f aca="false">IF(AND('FEBRERO 2026'!D82&lt;&gt;"",'FEBRERO 2026'!Z82="POR RECOGER"),TEXT('FEBRERO 2026'!G82,"DD/MM/YYYY"),"")</f>
        <v>21/02/2026</v>
      </c>
      <c r="F183" s="192" t="str">
        <f aca="false">IF(AND('FEBRERO 2026'!D82&lt;&gt;"",'FEBRERO 2026'!Z82="POR RECOGER"),'FEBRERO 2026'!K82,"")</f>
        <v>GASOLINA</v>
      </c>
      <c r="G183" s="193" t="n">
        <f aca="false">IF(AND('FEBRERO 2026'!D82&lt;&gt;"",'FEBRERO 2026'!Z82="POR RECOGER"),'FEBRERO 2026'!M82,"")</f>
        <v>6</v>
      </c>
      <c r="H183" s="193" t="n">
        <f aca="false">IF(AND('FEBRERO 2026'!D82&lt;&gt;"",'FEBRERO 2026'!Z82="POR RECOGER"),'FEBRERO 2026'!N82,"")</f>
        <v>107.7</v>
      </c>
      <c r="I183" s="192" t="str">
        <f aca="false">IF(AND('FEBRERO 2026'!D82&lt;&gt;"",'FEBRERO 2026'!Z82="POR RECOGER"),'FEBRERO 2026'!P82,"")</f>
        <v>MONTENEGRO RUIZ LUIS MIGUEL</v>
      </c>
      <c r="J183" s="192" t="str">
        <f aca="false">IF(AND('FEBRERO 2026'!D82&lt;&gt;"",'FEBRERO 2026'!Z82="POR RECOGER"),'FEBRERO 2026'!Q82,"")</f>
        <v>EUH-427</v>
      </c>
      <c r="K183" s="192" t="n">
        <f aca="false">IF(AND('FEBRERO 2026'!D82&lt;&gt;"",'FEBRERO 2026'!Z82="POR RECOGER"),'FEBRERO 2026'!Y82,"")</f>
        <v>0</v>
      </c>
      <c r="L183" s="192" t="str">
        <f aca="false">IF(AND('FEBRERO 2026'!D82&lt;&gt;"",'FEBRERO 2026'!Z82="POR RECOGER"),'FEBRERO 2026'!I82,"")</f>
        <v>PEDRO RUIZ GALLO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" hidden="false" customHeight="true" outlineLevel="0" collapsed="false">
      <c r="A184" s="192" t="str">
        <f aca="false">IF(AND('FEBRERO 2026'!D83&lt;&gt;"",'FEBRERO 2026'!Z83="POR RECOGER"),"FEB","")</f>
        <v>FEB</v>
      </c>
      <c r="B184" s="192" t="str">
        <f aca="false">IF(AND('FEBRERO 2026'!D83&lt;&gt;"",'FEBRERO 2026'!Z83="POR RECOGER"),IF('FEBRERO 2026'!Y83&lt;&gt;"",'FEBRERO 2026'!Y83,'FEBRERO 2026'!I83),"")</f>
        <v>MARIA AUXILIADORA</v>
      </c>
      <c r="C184" s="192" t="str">
        <f aca="false">IF(AND('FEBRERO 2026'!D83&lt;&gt;"",'FEBRERO 2026'!Z83="POR RECOGER"),'FEBRERO 2026'!D83,"")</f>
        <v>VILLANUEVA SAYAVERDE CARMELITA</v>
      </c>
      <c r="D184" s="192" t="str">
        <f aca="false">IF(AND('FEBRERO 2026'!D83&lt;&gt;"",'FEBRERO 2026'!Z83="POR RECOGER"),'FEBRERO 2026'!F83,"")</f>
        <v>73693426</v>
      </c>
      <c r="E184" s="192" t="str">
        <f aca="false">IF(AND('FEBRERO 2026'!D83&lt;&gt;"",'FEBRERO 2026'!Z83="POR RECOGER"),TEXT('FEBRERO 2026'!G83,"DD/MM/YYYY"),"")</f>
        <v>21/02/2026</v>
      </c>
      <c r="F184" s="192" t="str">
        <f aca="false">IF(AND('FEBRERO 2026'!D83&lt;&gt;"",'FEBRERO 2026'!Z83="POR RECOGER"),'FEBRERO 2026'!K83,"")</f>
        <v>PETROLEO</v>
      </c>
      <c r="G184" s="193" t="n">
        <f aca="false">IF(AND('FEBRERO 2026'!D83&lt;&gt;"",'FEBRERO 2026'!Z83="POR RECOGER"),'FEBRERO 2026'!M83,"")</f>
        <v>7</v>
      </c>
      <c r="H184" s="193" t="n">
        <f aca="false">IF(AND('FEBRERO 2026'!D83&lt;&gt;"",'FEBRERO 2026'!Z83="POR RECOGER"),'FEBRERO 2026'!N83,"")</f>
        <v>141.75</v>
      </c>
      <c r="I184" s="192" t="str">
        <f aca="false">IF(AND('FEBRERO 2026'!D83&lt;&gt;"",'FEBRERO 2026'!Z83="POR RECOGER"),'FEBRERO 2026'!P83,"")</f>
        <v/>
      </c>
      <c r="J184" s="192" t="str">
        <f aca="false">IF(AND('FEBRERO 2026'!D83&lt;&gt;"",'FEBRERO 2026'!Z83="POR RECOGER"),'FEBRERO 2026'!Q83,"")</f>
        <v/>
      </c>
      <c r="K184" s="192" t="n">
        <f aca="false">IF(AND('FEBRERO 2026'!D83&lt;&gt;"",'FEBRERO 2026'!Z83="POR RECOGER"),'FEBRERO 2026'!Y83,"")</f>
        <v>0</v>
      </c>
      <c r="L184" s="192" t="str">
        <f aca="false">IF(AND('FEBRERO 2026'!D83&lt;&gt;"",'FEBRERO 2026'!Z83="POR RECOGER"),'FEBRERO 2026'!I83,"")</f>
        <v>MARIA AUXILIADORA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" hidden="false" customHeight="true" outlineLevel="0" collapsed="false">
      <c r="A185" s="192" t="str">
        <f aca="false">IF(AND('FEBRERO 2026'!D84&lt;&gt;"",'FEBRERO 2026'!Z84="POR RECOGER"),"FEB","")</f>
        <v>FEB</v>
      </c>
      <c r="B185" s="192" t="str">
        <f aca="false">IF(AND('FEBRERO 2026'!D84&lt;&gt;"",'FEBRERO 2026'!Z84="POR RECOGER"),IF('FEBRERO 2026'!Y84&lt;&gt;"",'FEBRERO 2026'!Y84,'FEBRERO 2026'!I84),"")</f>
        <v>COCOCHO</v>
      </c>
      <c r="C185" s="192" t="str">
        <f aca="false">IF(AND('FEBRERO 2026'!D84&lt;&gt;"",'FEBRERO 2026'!Z84="POR RECOGER"),'FEBRERO 2026'!D84,"")</f>
        <v>CHUQUIMANGO GOICOCHEA JHONER LUGO</v>
      </c>
      <c r="D185" s="192" t="str">
        <f aca="false">IF(AND('FEBRERO 2026'!D84&lt;&gt;"",'FEBRERO 2026'!Z84="POR RECOGER"),'FEBRERO 2026'!F84,"")</f>
        <v>63289165</v>
      </c>
      <c r="E185" s="192" t="str">
        <f aca="false">IF(AND('FEBRERO 2026'!D84&lt;&gt;"",'FEBRERO 2026'!Z84="POR RECOGER"),TEXT('FEBRERO 2026'!G84,"DD/MM/YYYY"),"")</f>
        <v>22/02/2026</v>
      </c>
      <c r="F185" s="192" t="str">
        <f aca="false">IF(AND('FEBRERO 2026'!D84&lt;&gt;"",'FEBRERO 2026'!Z84="POR RECOGER"),'FEBRERO 2026'!K84,"")</f>
        <v>PETROLEO</v>
      </c>
      <c r="G185" s="193" t="n">
        <f aca="false">IF(AND('FEBRERO 2026'!D84&lt;&gt;"",'FEBRERO 2026'!Z84="POR RECOGER"),'FEBRERO 2026'!M84,"")</f>
        <v>20</v>
      </c>
      <c r="H185" s="193" t="n">
        <f aca="false">IF(AND('FEBRERO 2026'!D84&lt;&gt;"",'FEBRERO 2026'!Z84="POR RECOGER"),'FEBRERO 2026'!N84,"")</f>
        <v>363.6</v>
      </c>
      <c r="I185" s="192" t="str">
        <f aca="false">IF(AND('FEBRERO 2026'!D84&lt;&gt;"",'FEBRERO 2026'!Z84="POR RECOGER"),'FEBRERO 2026'!P84,"")</f>
        <v>NAIDER TELLO ESTELA</v>
      </c>
      <c r="J185" s="192" t="str">
        <f aca="false">IF(AND('FEBRERO 2026'!D84&lt;&gt;"",'FEBRERO 2026'!Z84="POR RECOGER"),'FEBRERO 2026'!Q84,"")</f>
        <v>EUH-708</v>
      </c>
      <c r="K185" s="192" t="n">
        <f aca="false">IF(AND('FEBRERO 2026'!D84&lt;&gt;"",'FEBRERO 2026'!Z84="POR RECOGER"),'FEBRERO 2026'!Y84,"")</f>
        <v>0</v>
      </c>
      <c r="L185" s="192" t="str">
        <f aca="false">IF(AND('FEBRERO 2026'!D84&lt;&gt;"",'FEBRERO 2026'!Z84="POR RECOGER"),'FEBRERO 2026'!I84,"")</f>
        <v>COCOCHO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" hidden="false" customHeight="true" outlineLevel="0" collapsed="false">
      <c r="A186" s="192" t="str">
        <f aca="false">IF(AND('FEBRERO 2026'!D85&lt;&gt;"",'FEBRERO 2026'!Z85="POR RECOGER"),"FEB","")</f>
        <v>FEB</v>
      </c>
      <c r="B186" s="192" t="str">
        <f aca="false">IF(AND('FEBRERO 2026'!D85&lt;&gt;"",'FEBRERO 2026'!Z85="POR RECOGER"),IF('FEBRERO 2026'!Y85&lt;&gt;"",'FEBRERO 2026'!Y85,'FEBRERO 2026'!I85),"")</f>
        <v>YERBABUENA</v>
      </c>
      <c r="C186" s="192" t="str">
        <f aca="false">IF(AND('FEBRERO 2026'!D85&lt;&gt;"",'FEBRERO 2026'!Z85="POR RECOGER"),'FEBRERO 2026'!D85,"")</f>
        <v>CULQUE CAMAN APOLINAR</v>
      </c>
      <c r="D186" s="192" t="str">
        <f aca="false">IF(AND('FEBRERO 2026'!D85&lt;&gt;"",'FEBRERO 2026'!Z85="POR RECOGER"),'FEBRERO 2026'!F85,"")</f>
        <v>48968517</v>
      </c>
      <c r="E186" s="192" t="str">
        <f aca="false">IF(AND('FEBRERO 2026'!D85&lt;&gt;"",'FEBRERO 2026'!Z85="POR RECOGER"),TEXT('FEBRERO 2026'!G85,"DD/MM/YYYY"),"")</f>
        <v>23/02/2026</v>
      </c>
      <c r="F186" s="192" t="str">
        <f aca="false">IF(AND('FEBRERO 2026'!D85&lt;&gt;"",'FEBRERO 2026'!Z85="POR RECOGER"),'FEBRERO 2026'!K85,"")</f>
        <v>PETROLEO</v>
      </c>
      <c r="G186" s="193" t="n">
        <f aca="false">IF(AND('FEBRERO 2026'!D85&lt;&gt;"",'FEBRERO 2026'!Z85="POR RECOGER"),'FEBRERO 2026'!M85,"")</f>
        <v>6</v>
      </c>
      <c r="H186" s="193" t="n">
        <f aca="false">IF(AND('FEBRERO 2026'!D85&lt;&gt;"",'FEBRERO 2026'!Z85="POR RECOGER"),'FEBRERO 2026'!N85,"")</f>
        <v>109.08</v>
      </c>
      <c r="I186" s="192" t="str">
        <f aca="false">IF(AND('FEBRERO 2026'!D85&lt;&gt;"",'FEBRERO 2026'!Z85="POR RECOGER"),'FEBRERO 2026'!P85,"")</f>
        <v>SANCHEZ CAJO VICENTE</v>
      </c>
      <c r="J186" s="192" t="str">
        <f aca="false">IF(AND('FEBRERO 2026'!D85&lt;&gt;"",'FEBRERO 2026'!Z85="POR RECOGER"),'FEBRERO 2026'!Q85,"")</f>
        <v>EGL-296</v>
      </c>
      <c r="K186" s="192" t="n">
        <f aca="false">IF(AND('FEBRERO 2026'!D85&lt;&gt;"",'FEBRERO 2026'!Z85="POR RECOGER"),'FEBRERO 2026'!Y85,"")</f>
        <v>0</v>
      </c>
      <c r="L186" s="192" t="str">
        <f aca="false">IF(AND('FEBRERO 2026'!D85&lt;&gt;"",'FEBRERO 2026'!Z85="POR RECOGER"),'FEBRERO 2026'!I85,"")</f>
        <v>YERBABUENA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" hidden="false" customHeight="true" outlineLevel="0" collapsed="false">
      <c r="A187" s="192" t="str">
        <f aca="false">IF(AND('FEBRERO 2026'!D86&lt;&gt;"",'FEBRERO 2026'!Z86="POR RECOGER"),"FEB","")</f>
        <v>FEB</v>
      </c>
      <c r="B187" s="192" t="str">
        <f aca="false">IF(AND('FEBRERO 2026'!D86&lt;&gt;"",'FEBRERO 2026'!Z86="POR RECOGER"),IF('FEBRERO 2026'!Y86&lt;&gt;"",'FEBRERO 2026'!Y86,'FEBRERO 2026'!I86),"")</f>
        <v>MARIA AUXILIADORA</v>
      </c>
      <c r="C187" s="192" t="str">
        <f aca="false">IF(AND('FEBRERO 2026'!D86&lt;&gt;"",'FEBRERO 2026'!Z86="POR RECOGER"),'FEBRERO 2026'!D86,"")</f>
        <v>ROCHA PORTOCARRERO JHONER</v>
      </c>
      <c r="D187" s="192" t="str">
        <f aca="false">IF(AND('FEBRERO 2026'!D86&lt;&gt;"",'FEBRERO 2026'!Z86="POR RECOGER"),'FEBRERO 2026'!F86,"")</f>
        <v>62461300</v>
      </c>
      <c r="E187" s="192" t="str">
        <f aca="false">IF(AND('FEBRERO 2026'!D86&lt;&gt;"",'FEBRERO 2026'!Z86="POR RECOGER"),TEXT('FEBRERO 2026'!G86,"DD/MM/YYYY"),"")</f>
        <v>23/02/2026</v>
      </c>
      <c r="F187" s="192" t="str">
        <f aca="false">IF(AND('FEBRERO 2026'!D86&lt;&gt;"",'FEBRERO 2026'!Z86="POR RECOGER"),'FEBRERO 2026'!K86,"")</f>
        <v>PETROLEO</v>
      </c>
      <c r="G187" s="193" t="n">
        <f aca="false">IF(AND('FEBRERO 2026'!D86&lt;&gt;"",'FEBRERO 2026'!Z86="POR RECOGER"),'FEBRERO 2026'!M86,"")</f>
        <v>7</v>
      </c>
      <c r="H187" s="193" t="n">
        <f aca="false">IF(AND('FEBRERO 2026'!D86&lt;&gt;"",'FEBRERO 2026'!Z86="POR RECOGER"),'FEBRERO 2026'!N86,"")</f>
        <v>141.75</v>
      </c>
      <c r="I187" s="192" t="str">
        <f aca="false">IF(AND('FEBRERO 2026'!D86&lt;&gt;"",'FEBRERO 2026'!Z86="POR RECOGER"),'FEBRERO 2026'!P86,"")</f>
        <v>TRIGOSO TAFUR JOSE GILBER</v>
      </c>
      <c r="J187" s="192" t="str">
        <f aca="false">IF(AND('FEBRERO 2026'!D86&lt;&gt;"",'FEBRERO 2026'!Z86="POR RECOGER"),'FEBRERO 2026'!Q86,"")</f>
        <v>EUH 421</v>
      </c>
      <c r="K187" s="192" t="n">
        <f aca="false">IF(AND('FEBRERO 2026'!D86&lt;&gt;"",'FEBRERO 2026'!Z86="POR RECOGER"),'FEBRERO 2026'!Y86,"")</f>
        <v>0</v>
      </c>
      <c r="L187" s="192" t="str">
        <f aca="false">IF(AND('FEBRERO 2026'!D86&lt;&gt;"",'FEBRERO 2026'!Z86="POR RECOGER"),'FEBRERO 2026'!I86,"")</f>
        <v>MARIA AUXILIADORA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" hidden="false" customHeight="true" outlineLevel="0" collapsed="false">
      <c r="A188" s="192" t="str">
        <f aca="false">IF(AND('FEBRERO 2026'!D87&lt;&gt;"",'FEBRERO 2026'!Z87="POR RECOGER"),"FEB","")</f>
        <v>FEB</v>
      </c>
      <c r="B188" s="192" t="str">
        <f aca="false">IF(AND('FEBRERO 2026'!D87&lt;&gt;"",'FEBRERO 2026'!Z87="POR RECOGER"),IF('FEBRERO 2026'!Y87&lt;&gt;"",'FEBRERO 2026'!Y87,'FEBRERO 2026'!I87),"")</f>
        <v>MARIA AUXILIADORA</v>
      </c>
      <c r="C188" s="192" t="str">
        <f aca="false">IF(AND('FEBRERO 2026'!D87&lt;&gt;"",'FEBRERO 2026'!Z87="POR RECOGER"),'FEBRERO 2026'!D87,"")</f>
        <v>SANCHEZ DE GONGORA ZOILA FRANCISCA</v>
      </c>
      <c r="D188" s="192" t="str">
        <f aca="false">IF(AND('FEBRERO 2026'!D87&lt;&gt;"",'FEBRERO 2026'!Z87="POR RECOGER"),'FEBRERO 2026'!F87,"")</f>
        <v>33940132</v>
      </c>
      <c r="E188" s="192" t="str">
        <f aca="false">IF(AND('FEBRERO 2026'!D87&lt;&gt;"",'FEBRERO 2026'!Z87="POR RECOGER"),TEXT('FEBRERO 2026'!G87,"DD/MM/YYYY"),"")</f>
        <v>24/02/2026</v>
      </c>
      <c r="F188" s="192" t="str">
        <f aca="false">IF(AND('FEBRERO 2026'!D87&lt;&gt;"",'FEBRERO 2026'!Z87="POR RECOGER"),'FEBRERO 2026'!K87,"")</f>
        <v>PETROLEO</v>
      </c>
      <c r="G188" s="193" t="n">
        <f aca="false">IF(AND('FEBRERO 2026'!D87&lt;&gt;"",'FEBRERO 2026'!Z87="POR RECOGER"),'FEBRERO 2026'!M87,"")</f>
        <v>7</v>
      </c>
      <c r="H188" s="193" t="n">
        <f aca="false">IF(AND('FEBRERO 2026'!D87&lt;&gt;"",'FEBRERO 2026'!Z87="POR RECOGER"),'FEBRERO 2026'!N87,"")</f>
        <v>141.75</v>
      </c>
      <c r="I188" s="192" t="str">
        <f aca="false">IF(AND('FEBRERO 2026'!D87&lt;&gt;"",'FEBRERO 2026'!Z87="POR RECOGER"),'FEBRERO 2026'!P87,"")</f>
        <v/>
      </c>
      <c r="J188" s="192" t="str">
        <f aca="false">IF(AND('FEBRERO 2026'!D87&lt;&gt;"",'FEBRERO 2026'!Z87="POR RECOGER"),'FEBRERO 2026'!Q87,"")</f>
        <v/>
      </c>
      <c r="K188" s="192" t="n">
        <f aca="false">IF(AND('FEBRERO 2026'!D87&lt;&gt;"",'FEBRERO 2026'!Z87="POR RECOGER"),'FEBRERO 2026'!Y87,"")</f>
        <v>0</v>
      </c>
      <c r="L188" s="192" t="str">
        <f aca="false">IF(AND('FEBRERO 2026'!D87&lt;&gt;"",'FEBRERO 2026'!Z87="POR RECOGER"),'FEBRERO 2026'!I87,"")</f>
        <v>MARIA AUXILIADORA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" hidden="false" customHeight="true" outlineLevel="0" collapsed="false">
      <c r="A189" s="192" t="str">
        <f aca="false">IF(AND('FEBRERO 2026'!D88&lt;&gt;"",'FEBRERO 2026'!Z88="POR RECOGER"),"FEB","")</f>
        <v>FEB</v>
      </c>
      <c r="B189" s="192" t="str">
        <f aca="false">IF(AND('FEBRERO 2026'!D88&lt;&gt;"",'FEBRERO 2026'!Z88="POR RECOGER"),IF('FEBRERO 2026'!Y88&lt;&gt;"",'FEBRERO 2026'!Y88,'FEBRERO 2026'!I88),"")</f>
        <v>PEDRO RUIZ GALLO</v>
      </c>
      <c r="C189" s="192" t="str">
        <f aca="false">IF(AND('FEBRERO 2026'!D88&lt;&gt;"",'FEBRERO 2026'!Z88="POR RECOGER"),'FEBRERO 2026'!D88,"")</f>
        <v>MONTOYA DETT ANDY ROMAIN</v>
      </c>
      <c r="D189" s="192" t="str">
        <f aca="false">IF(AND('FEBRERO 2026'!D88&lt;&gt;"",'FEBRERO 2026'!Z88="POR RECOGER"),'FEBRERO 2026'!F88,"")</f>
        <v>77022003</v>
      </c>
      <c r="E189" s="192" t="str">
        <f aca="false">IF(AND('FEBRERO 2026'!D88&lt;&gt;"",'FEBRERO 2026'!Z88="POR RECOGER"),TEXT('FEBRERO 2026'!G88,"DD/MM/YYYY"),"")</f>
        <v>24/02/2026</v>
      </c>
      <c r="F189" s="192" t="str">
        <f aca="false">IF(AND('FEBRERO 2026'!D88&lt;&gt;"",'FEBRERO 2026'!Z88="POR RECOGER"),'FEBRERO 2026'!K88,"")</f>
        <v>GASOLINA</v>
      </c>
      <c r="G189" s="193" t="n">
        <f aca="false">IF(AND('FEBRERO 2026'!D88&lt;&gt;"",'FEBRERO 2026'!Z88="POR RECOGER"),'FEBRERO 2026'!M88,"")</f>
        <v>6</v>
      </c>
      <c r="H189" s="193" t="n">
        <f aca="false">IF(AND('FEBRERO 2026'!D88&lt;&gt;"",'FEBRERO 2026'!Z88="POR RECOGER"),'FEBRERO 2026'!N88,"")</f>
        <v>107.7</v>
      </c>
      <c r="I189" s="192" t="str">
        <f aca="false">IF(AND('FEBRERO 2026'!D88&lt;&gt;"",'FEBRERO 2026'!Z88="POR RECOGER"),'FEBRERO 2026'!P88,"")</f>
        <v>MUNOZ VERGARAY JORGE ENRRIQUE</v>
      </c>
      <c r="J189" s="192" t="str">
        <f aca="false">IF(AND('FEBRERO 2026'!D88&lt;&gt;"",'FEBRERO 2026'!Z88="POR RECOGER"),'FEBRERO 2026'!Q88,"")</f>
        <v>EUH 427</v>
      </c>
      <c r="K189" s="192" t="n">
        <f aca="false">IF(AND('FEBRERO 2026'!D88&lt;&gt;"",'FEBRERO 2026'!Z88="POR RECOGER"),'FEBRERO 2026'!Y88,"")</f>
        <v>0</v>
      </c>
      <c r="L189" s="192" t="str">
        <f aca="false">IF(AND('FEBRERO 2026'!D88&lt;&gt;"",'FEBRERO 2026'!Z88="POR RECOGER"),'FEBRERO 2026'!I88,"")</f>
        <v>PEDRO RUIZ GALLO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" hidden="false" customHeight="true" outlineLevel="0" collapsed="false">
      <c r="A190" s="192" t="str">
        <f aca="false">IF(AND('FEBRERO 2026'!D89&lt;&gt;"",'FEBRERO 2026'!Z89="POR RECOGER"),"FEB","")</f>
        <v>FEB</v>
      </c>
      <c r="B190" s="192" t="str">
        <f aca="false">IF(AND('FEBRERO 2026'!D89&lt;&gt;"",'FEBRERO 2026'!Z89="POR RECOGER"),IF('FEBRERO 2026'!Y89&lt;&gt;"",'FEBRERO 2026'!Y89,'FEBRERO 2026'!I89),"")</f>
        <v>PEDRO RUIZ GALLO</v>
      </c>
      <c r="C190" s="192" t="str">
        <f aca="false">IF(AND('FEBRERO 2026'!D89&lt;&gt;"",'FEBRERO 2026'!Z89="POR RECOGER"),'FEBRERO 2026'!D89,"")</f>
        <v>GOSGOT DAZA ELODY STEISY</v>
      </c>
      <c r="D190" s="192" t="str">
        <f aca="false">IF(AND('FEBRERO 2026'!D89&lt;&gt;"",'FEBRERO 2026'!Z89="POR RECOGER"),'FEBRERO 2026'!F89,"")</f>
        <v>94527453</v>
      </c>
      <c r="E190" s="192" t="str">
        <f aca="false">IF(AND('FEBRERO 2026'!D89&lt;&gt;"",'FEBRERO 2026'!Z89="POR RECOGER"),TEXT('FEBRERO 2026'!G89,"DD/MM/YYYY"),"")</f>
        <v>24/02/2026</v>
      </c>
      <c r="F190" s="192" t="str">
        <f aca="false">IF(AND('FEBRERO 2026'!D89&lt;&gt;"",'FEBRERO 2026'!Z89="POR RECOGER"),'FEBRERO 2026'!K89,"")</f>
        <v>PETROLEO</v>
      </c>
      <c r="G190" s="193" t="n">
        <f aca="false">IF(AND('FEBRERO 2026'!D89&lt;&gt;"",'FEBRERO 2026'!Z89="POR RECOGER"),'FEBRERO 2026'!M89,"")</f>
        <v>5</v>
      </c>
      <c r="H190" s="193" t="n">
        <f aca="false">IF(AND('FEBRERO 2026'!D89&lt;&gt;"",'FEBRERO 2026'!Z89="POR RECOGER"),'FEBRERO 2026'!N89,"")</f>
        <v>90.9</v>
      </c>
      <c r="I190" s="192" t="str">
        <f aca="false">IF(AND('FEBRERO 2026'!D89&lt;&gt;"",'FEBRERO 2026'!Z89="POR RECOGER"),'FEBRERO 2026'!P89,"")</f>
        <v>MONTENEGRO RUIZ LUIS MIGUEL</v>
      </c>
      <c r="J190" s="192" t="str">
        <f aca="false">IF(AND('FEBRERO 2026'!D89&lt;&gt;"",'FEBRERO 2026'!Z89="POR RECOGER"),'FEBRERO 2026'!Q89,"")</f>
        <v>EUH-427</v>
      </c>
      <c r="K190" s="192" t="n">
        <f aca="false">IF(AND('FEBRERO 2026'!D89&lt;&gt;"",'FEBRERO 2026'!Z89="POR RECOGER"),'FEBRERO 2026'!Y89,"")</f>
        <v>0</v>
      </c>
      <c r="L190" s="192" t="str">
        <f aca="false">IF(AND('FEBRERO 2026'!D89&lt;&gt;"",'FEBRERO 2026'!Z89="POR RECOGER"),'FEBRERO 2026'!I89,"")</f>
        <v>PEDRO RUIZ GALLO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" hidden="false" customHeight="true" outlineLevel="0" collapsed="false">
      <c r="A191" s="192" t="str">
        <f aca="false">IF(AND('FEBRERO 2026'!D90&lt;&gt;"",'FEBRERO 2026'!Z90="POR RECOGER"),"FEB","")</f>
        <v>FEB</v>
      </c>
      <c r="B191" s="192" t="str">
        <f aca="false">IF(AND('FEBRERO 2026'!D90&lt;&gt;"",'FEBRERO 2026'!Z90="POR RECOGER"),IF('FEBRERO 2026'!Y90&lt;&gt;"",'FEBRERO 2026'!Y90,'FEBRERO 2026'!I90),"")</f>
        <v>POMACOCHAS</v>
      </c>
      <c r="C191" s="192" t="str">
        <f aca="false">IF(AND('FEBRERO 2026'!D90&lt;&gt;"",'FEBRERO 2026'!Z90="POR RECOGER"),'FEBRERO 2026'!D90,"")</f>
        <v>IRURETA QUINDE CLEYDI ELIZABETH</v>
      </c>
      <c r="D191" s="192" t="str">
        <f aca="false">IF(AND('FEBRERO 2026'!D90&lt;&gt;"",'FEBRERO 2026'!Z90="POR RECOGER"),'FEBRERO 2026'!F90,"")</f>
        <v>73497114</v>
      </c>
      <c r="E191" s="192" t="str">
        <f aca="false">IF(AND('FEBRERO 2026'!D90&lt;&gt;"",'FEBRERO 2026'!Z90="POR RECOGER"),TEXT('FEBRERO 2026'!G90,"DD/MM/YYYY"),"")</f>
        <v>24/02/2026</v>
      </c>
      <c r="F191" s="192" t="str">
        <f aca="false">IF(AND('FEBRERO 2026'!D90&lt;&gt;"",'FEBRERO 2026'!Z90="POR RECOGER"),'FEBRERO 2026'!K90,"")</f>
        <v>PETROLEO</v>
      </c>
      <c r="G191" s="193" t="n">
        <f aca="false">IF(AND('FEBRERO 2026'!D90&lt;&gt;"",'FEBRERO 2026'!Z90="POR RECOGER"),'FEBRERO 2026'!M90,"")</f>
        <v>6</v>
      </c>
      <c r="H191" s="193" t="n">
        <f aca="false">IF(AND('FEBRERO 2026'!D90&lt;&gt;"",'FEBRERO 2026'!Z90="POR RECOGER"),'FEBRERO 2026'!N90,"")</f>
        <v>109.08</v>
      </c>
      <c r="I191" s="192" t="str">
        <f aca="false">IF(AND('FEBRERO 2026'!D90&lt;&gt;"",'FEBRERO 2026'!Z90="POR RECOGER"),'FEBRERO 2026'!P90,"")</f>
        <v>CHICANA LOPEZ MANUEL HECTOR</v>
      </c>
      <c r="J191" s="192" t="str">
        <f aca="false">IF(AND('FEBRERO 2026'!D90&lt;&gt;"",'FEBRERO 2026'!Z90="POR RECOGER"),'FEBRERO 2026'!Q90,"")</f>
        <v>EUH747</v>
      </c>
      <c r="K191" s="192" t="n">
        <f aca="false">IF(AND('FEBRERO 2026'!D90&lt;&gt;"",'FEBRERO 2026'!Z90="POR RECOGER"),'FEBRERO 2026'!Y90,"")</f>
        <v>0</v>
      </c>
      <c r="L191" s="192" t="str">
        <f aca="false">IF(AND('FEBRERO 2026'!D90&lt;&gt;"",'FEBRERO 2026'!Z90="POR RECOGER"),'FEBRERO 2026'!I90,"")</f>
        <v>POMACOCHAS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" hidden="false" customHeight="true" outlineLevel="0" collapsed="false">
      <c r="A192" s="192" t="str">
        <f aca="false">IF(AND('FEBRERO 2026'!D91&lt;&gt;"",'FEBRERO 2026'!Z91="POR RECOGER"),"FEB","")</f>
        <v>FEB</v>
      </c>
      <c r="B192" s="192" t="str">
        <f aca="false">IF(AND('FEBRERO 2026'!D91&lt;&gt;"",'FEBRERO 2026'!Z91="POR RECOGER"),IF('FEBRERO 2026'!Y91&lt;&gt;"",'FEBRERO 2026'!Y91,'FEBRERO 2026'!I91),"")</f>
        <v>MARIA AUXILIADORA</v>
      </c>
      <c r="C192" s="192" t="str">
        <f aca="false">IF(AND('FEBRERO 2026'!D91&lt;&gt;"",'FEBRERO 2026'!Z91="POR RECOGER"),'FEBRERO 2026'!D91,"")</f>
        <v>GRANDEZ RODRIGUEZ JOSE JOVITO</v>
      </c>
      <c r="D192" s="192" t="str">
        <f aca="false">IF(AND('FEBRERO 2026'!D91&lt;&gt;"",'FEBRERO 2026'!Z91="POR RECOGER"),'FEBRERO 2026'!F91,"")</f>
        <v>33942395</v>
      </c>
      <c r="E192" s="192" t="str">
        <f aca="false">IF(AND('FEBRERO 2026'!D91&lt;&gt;"",'FEBRERO 2026'!Z91="POR RECOGER"),TEXT('FEBRERO 2026'!G91,"DD/MM/YYYY"),"")</f>
        <v>24/02/2026</v>
      </c>
      <c r="F192" s="192" t="str">
        <f aca="false">IF(AND('FEBRERO 2026'!D91&lt;&gt;"",'FEBRERO 2026'!Z91="POR RECOGER"),'FEBRERO 2026'!K91,"")</f>
        <v>PETROLEO</v>
      </c>
      <c r="G192" s="193" t="n">
        <f aca="false">IF(AND('FEBRERO 2026'!D91&lt;&gt;"",'FEBRERO 2026'!Z91="POR RECOGER"),'FEBRERO 2026'!M91,"")</f>
        <v>10</v>
      </c>
      <c r="H192" s="193" t="n">
        <f aca="false">IF(AND('FEBRERO 2026'!D91&lt;&gt;"",'FEBRERO 2026'!Z91="POR RECOGER"),'FEBRERO 2026'!N91,"")</f>
        <v>181.8</v>
      </c>
      <c r="I192" s="192" t="str">
        <f aca="false">IF(AND('FEBRERO 2026'!D91&lt;&gt;"",'FEBRERO 2026'!Z91="POR RECOGER"),'FEBRERO 2026'!P91,"")</f>
        <v>LOPEZ HOYOS MIGUEL ANGEL</v>
      </c>
      <c r="J192" s="192" t="str">
        <f aca="false">IF(AND('FEBRERO 2026'!D91&lt;&gt;"",'FEBRERO 2026'!Z91="POR RECOGER"),'FEBRERO 2026'!Q91,"")</f>
        <v>EUH-698</v>
      </c>
      <c r="K192" s="192" t="n">
        <f aca="false">IF(AND('FEBRERO 2026'!D91&lt;&gt;"",'FEBRERO 2026'!Z91="POR RECOGER"),'FEBRERO 2026'!Y91,"")</f>
        <v>0</v>
      </c>
      <c r="L192" s="192" t="str">
        <f aca="false">IF(AND('FEBRERO 2026'!D91&lt;&gt;"",'FEBRERO 2026'!Z91="POR RECOGER"),'FEBRERO 2026'!I91,"")</f>
        <v>MARIA AUXILIADORA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" hidden="false" customHeight="true" outlineLevel="0" collapsed="false">
      <c r="A193" s="192" t="str">
        <f aca="false">IF(AND('FEBRERO 2026'!D92&lt;&gt;"",'FEBRERO 2026'!Z92="POR RECOGER"),"FEB","")</f>
        <v>FEB</v>
      </c>
      <c r="B193" s="192" t="str">
        <f aca="false">IF(AND('FEBRERO 2026'!D92&lt;&gt;"",'FEBRERO 2026'!Z92="POR RECOGER"),IF('FEBRERO 2026'!Y92&lt;&gt;"",'FEBRERO 2026'!Y92,'FEBRERO 2026'!I92),"")</f>
        <v>JALCA GRANDE</v>
      </c>
      <c r="C193" s="192" t="str">
        <f aca="false">IF(AND('FEBRERO 2026'!D92&lt;&gt;"",'FEBRERO 2026'!Z92="POR RECOGER"),'FEBRERO 2026'!D92,"")</f>
        <v>PUSCAN PUERTA DANITZA</v>
      </c>
      <c r="D193" s="192" t="str">
        <f aca="false">IF(AND('FEBRERO 2026'!D92&lt;&gt;"",'FEBRERO 2026'!Z92="POR RECOGER"),'FEBRERO 2026'!F92,"")</f>
        <v>75050753</v>
      </c>
      <c r="E193" s="192" t="str">
        <f aca="false">IF(AND('FEBRERO 2026'!D92&lt;&gt;"",'FEBRERO 2026'!Z92="POR RECOGER"),TEXT('FEBRERO 2026'!G92,"DD/MM/YYYY"),"")</f>
        <v>24/02/2026</v>
      </c>
      <c r="F193" s="192" t="str">
        <f aca="false">IF(AND('FEBRERO 2026'!D92&lt;&gt;"",'FEBRERO 2026'!Z92="POR RECOGER"),'FEBRERO 2026'!K92,"")</f>
        <v>PETROLEO</v>
      </c>
      <c r="G193" s="193" t="n">
        <f aca="false">IF(AND('FEBRERO 2026'!D92&lt;&gt;"",'FEBRERO 2026'!Z92="POR RECOGER"),'FEBRERO 2026'!M92,"")</f>
        <v>7</v>
      </c>
      <c r="H193" s="193" t="n">
        <f aca="false">IF(AND('FEBRERO 2026'!D92&lt;&gt;"",'FEBRERO 2026'!Z92="POR RECOGER"),'FEBRERO 2026'!N92,"")</f>
        <v>127.26</v>
      </c>
      <c r="I193" s="192" t="str">
        <f aca="false">IF(AND('FEBRERO 2026'!D92&lt;&gt;"",'FEBRERO 2026'!Z92="POR RECOGER"),'FEBRERO 2026'!P92,"")</f>
        <v>LEIVA LARA JUNIOR</v>
      </c>
      <c r="J193" s="192" t="str">
        <f aca="false">IF(AND('FEBRERO 2026'!D92&lt;&gt;"",'FEBRERO 2026'!Z92="POR RECOGER"),'FEBRERO 2026'!Q92,"")</f>
        <v>EUC 959</v>
      </c>
      <c r="K193" s="192" t="n">
        <f aca="false">IF(AND('FEBRERO 2026'!D92&lt;&gt;"",'FEBRERO 2026'!Z92="POR RECOGER"),'FEBRERO 2026'!Y92,"")</f>
        <v>0</v>
      </c>
      <c r="L193" s="192" t="str">
        <f aca="false">IF(AND('FEBRERO 2026'!D92&lt;&gt;"",'FEBRERO 2026'!Z92="POR RECOGER"),'FEBRERO 2026'!I92,"")</f>
        <v>JALCA GRANDE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" hidden="false" customHeight="true" outlineLevel="0" collapsed="false">
      <c r="A194" s="192" t="str">
        <f aca="false">IF(AND('FEBRERO 2026'!D93&lt;&gt;"",'FEBRERO 2026'!Z93="POR RECOGER"),"FEB","")</f>
        <v>FEB</v>
      </c>
      <c r="B194" s="192" t="str">
        <f aca="false">IF(AND('FEBRERO 2026'!D93&lt;&gt;"",'FEBRERO 2026'!Z93="POR RECOGER"),IF('FEBRERO 2026'!Y93&lt;&gt;"",'FEBRERO 2026'!Y93,'FEBRERO 2026'!I93),"")</f>
        <v>PEDRO RUIZ GALLO</v>
      </c>
      <c r="C194" s="192" t="str">
        <f aca="false">IF(AND('FEBRERO 2026'!D93&lt;&gt;"",'FEBRERO 2026'!Z93="POR RECOGER"),'FEBRERO 2026'!D93,"")</f>
        <v>CRUZ DE CORTEGANA FLORINDA</v>
      </c>
      <c r="D194" s="192" t="str">
        <f aca="false">IF(AND('FEBRERO 2026'!D93&lt;&gt;"",'FEBRERO 2026'!Z93="POR RECOGER"),'FEBRERO 2026'!F93,"")</f>
        <v>33426858</v>
      </c>
      <c r="E194" s="192" t="str">
        <f aca="false">IF(AND('FEBRERO 2026'!D93&lt;&gt;"",'FEBRERO 2026'!Z93="POR RECOGER"),TEXT('FEBRERO 2026'!G93,"DD/MM/YYYY"),"")</f>
        <v>25/02/2026</v>
      </c>
      <c r="F194" s="192" t="str">
        <f aca="false">IF(AND('FEBRERO 2026'!D93&lt;&gt;"",'FEBRERO 2026'!Z93="POR RECOGER"),'FEBRERO 2026'!K93,"")</f>
        <v>PETROLEO</v>
      </c>
      <c r="G194" s="193" t="n">
        <f aca="false">IF(AND('FEBRERO 2026'!D93&lt;&gt;"",'FEBRERO 2026'!Z93="POR RECOGER"),'FEBRERO 2026'!M93,"")</f>
        <v>5</v>
      </c>
      <c r="H194" s="193" t="n">
        <f aca="false">IF(AND('FEBRERO 2026'!D93&lt;&gt;"",'FEBRERO 2026'!Z93="POR RECOGER"),'FEBRERO 2026'!N93,"")</f>
        <v>90.9</v>
      </c>
      <c r="I194" s="192" t="str">
        <f aca="false">IF(AND('FEBRERO 2026'!D93&lt;&gt;"",'FEBRERO 2026'!Z93="POR RECOGER"),'FEBRERO 2026'!P93,"")</f>
        <v/>
      </c>
      <c r="J194" s="192" t="str">
        <f aca="false">IF(AND('FEBRERO 2026'!D93&lt;&gt;"",'FEBRERO 2026'!Z93="POR RECOGER"),'FEBRERO 2026'!Q93,"")</f>
        <v/>
      </c>
      <c r="K194" s="192" t="n">
        <f aca="false">IF(AND('FEBRERO 2026'!D93&lt;&gt;"",'FEBRERO 2026'!Z93="POR RECOGER"),'FEBRERO 2026'!Y93,"")</f>
        <v>0</v>
      </c>
      <c r="L194" s="192" t="str">
        <f aca="false">IF(AND('FEBRERO 2026'!D93&lt;&gt;"",'FEBRERO 2026'!Z93="POR RECOGER"),'FEBRERO 2026'!I93,"")</f>
        <v>PEDRO RUIZ GALLO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" hidden="false" customHeight="true" outlineLevel="0" collapsed="false">
      <c r="A195" s="192" t="str">
        <f aca="false">IF(AND('FEBRERO 2026'!D94&lt;&gt;"",'FEBRERO 2026'!Z94="POR RECOGER"),"FEB","")</f>
        <v>FEB</v>
      </c>
      <c r="B195" s="192" t="str">
        <f aca="false">IF(AND('FEBRERO 2026'!D94&lt;&gt;"",'FEBRERO 2026'!Z94="POR RECOGER"),IF('FEBRERO 2026'!Y94&lt;&gt;"",'FEBRERO 2026'!Y94,'FEBRERO 2026'!I94),"")</f>
        <v>PEDRO RUIZ GALLO</v>
      </c>
      <c r="C195" s="192" t="str">
        <f aca="false">IF(AND('FEBRERO 2026'!D94&lt;&gt;"",'FEBRERO 2026'!Z94="POR RECOGER"),'FEBRERO 2026'!D94,"")</f>
        <v>TRUJILLO VIERA EDISA</v>
      </c>
      <c r="D195" s="192" t="str">
        <f aca="false">IF(AND('FEBRERO 2026'!D94&lt;&gt;"",'FEBRERO 2026'!Z94="POR RECOGER"),'FEBRERO 2026'!F94,"")</f>
        <v>44027111</v>
      </c>
      <c r="E195" s="192" t="str">
        <f aca="false">IF(AND('FEBRERO 2026'!D94&lt;&gt;"",'FEBRERO 2026'!Z94="POR RECOGER"),TEXT('FEBRERO 2026'!G94,"DD/MM/YYYY"),"")</f>
        <v>25/02/2026</v>
      </c>
      <c r="F195" s="192" t="str">
        <f aca="false">IF(AND('FEBRERO 2026'!D94&lt;&gt;"",'FEBRERO 2026'!Z94="POR RECOGER"),'FEBRERO 2026'!K94,"")</f>
        <v>PETROLEO</v>
      </c>
      <c r="G195" s="193" t="n">
        <f aca="false">IF(AND('FEBRERO 2026'!D94&lt;&gt;"",'FEBRERO 2026'!Z94="POR RECOGER"),'FEBRERO 2026'!M94,"")</f>
        <v>5</v>
      </c>
      <c r="H195" s="193" t="n">
        <f aca="false">IF(AND('FEBRERO 2026'!D94&lt;&gt;"",'FEBRERO 2026'!Z94="POR RECOGER"),'FEBRERO 2026'!N94,"")</f>
        <v>90.9</v>
      </c>
      <c r="I195" s="192" t="str">
        <f aca="false">IF(AND('FEBRERO 2026'!D94&lt;&gt;"",'FEBRERO 2026'!Z94="POR RECOGER"),'FEBRERO 2026'!P94,"")</f>
        <v>MUNOZ VERGARAY JORGE ENRRIQUE</v>
      </c>
      <c r="J195" s="192" t="str">
        <f aca="false">IF(AND('FEBRERO 2026'!D94&lt;&gt;"",'FEBRERO 2026'!Z94="POR RECOGER"),'FEBRERO 2026'!Q94,"")</f>
        <v>EUH 427</v>
      </c>
      <c r="K195" s="192" t="n">
        <f aca="false">IF(AND('FEBRERO 2026'!D94&lt;&gt;"",'FEBRERO 2026'!Z94="POR RECOGER"),'FEBRERO 2026'!Y94,"")</f>
        <v>0</v>
      </c>
      <c r="L195" s="192" t="str">
        <f aca="false">IF(AND('FEBRERO 2026'!D94&lt;&gt;"",'FEBRERO 2026'!Z94="POR RECOGER"),'FEBRERO 2026'!I94,"")</f>
        <v>PEDRO RUIZ GALLO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" hidden="false" customHeight="true" outlineLevel="0" collapsed="false">
      <c r="A196" s="192" t="str">
        <f aca="false">IF(AND('FEBRERO 2026'!D95&lt;&gt;"",'FEBRERO 2026'!Z95="POR RECOGER"),"FEB","")</f>
        <v>FEB</v>
      </c>
      <c r="B196" s="192" t="str">
        <f aca="false">IF(AND('FEBRERO 2026'!D95&lt;&gt;"",'FEBRERO 2026'!Z95="POR RECOGER"),IF('FEBRERO 2026'!Y95&lt;&gt;"",'FEBRERO 2026'!Y95,'FEBRERO 2026'!I95),"")</f>
        <v>POMACOCHAS</v>
      </c>
      <c r="C196" s="192" t="str">
        <f aca="false">IF(AND('FEBRERO 2026'!D95&lt;&gt;"",'FEBRERO 2026'!Z95="POR RECOGER"),'FEBRERO 2026'!D95,"")</f>
        <v>ROJAS RIMARACHIN JAYDEN GADIEL</v>
      </c>
      <c r="D196" s="192" t="str">
        <f aca="false">IF(AND('FEBRERO 2026'!D95&lt;&gt;"",'FEBRERO 2026'!Z95="POR RECOGER"),'FEBRERO 2026'!F95,"")</f>
        <v>94267570</v>
      </c>
      <c r="E196" s="192" t="str">
        <f aca="false">IF(AND('FEBRERO 2026'!D95&lt;&gt;"",'FEBRERO 2026'!Z95="POR RECOGER"),TEXT('FEBRERO 2026'!G95,"DD/MM/YYYY"),"")</f>
        <v>25/02/2026</v>
      </c>
      <c r="F196" s="192" t="str">
        <f aca="false">IF(AND('FEBRERO 2026'!D95&lt;&gt;"",'FEBRERO 2026'!Z95="POR RECOGER"),'FEBRERO 2026'!K95,"")</f>
        <v>PETROLEO</v>
      </c>
      <c r="G196" s="193" t="n">
        <f aca="false">IF(AND('FEBRERO 2026'!D95&lt;&gt;"",'FEBRERO 2026'!Z95="POR RECOGER"),'FEBRERO 2026'!M95,"")</f>
        <v>6</v>
      </c>
      <c r="H196" s="193" t="n">
        <f aca="false">IF(AND('FEBRERO 2026'!D95&lt;&gt;"",'FEBRERO 2026'!Z95="POR RECOGER"),'FEBRERO 2026'!N95,"")</f>
        <v>109.08</v>
      </c>
      <c r="I196" s="192" t="str">
        <f aca="false">IF(AND('FEBRERO 2026'!D95&lt;&gt;"",'FEBRERO 2026'!Z95="POR RECOGER"),'FEBRERO 2026'!P95,"")</f>
        <v>CARRERA ARAUJO JEINER</v>
      </c>
      <c r="J196" s="192" t="str">
        <f aca="false">IF(AND('FEBRERO 2026'!D95&lt;&gt;"",'FEBRERO 2026'!Z95="POR RECOGER"),'FEBRERO 2026'!Q95,"")</f>
        <v>EUH747</v>
      </c>
      <c r="K196" s="192" t="n">
        <f aca="false">IF(AND('FEBRERO 2026'!D95&lt;&gt;"",'FEBRERO 2026'!Z95="POR RECOGER"),'FEBRERO 2026'!Y95,"")</f>
        <v>0</v>
      </c>
      <c r="L196" s="192" t="str">
        <f aca="false">IF(AND('FEBRERO 2026'!D95&lt;&gt;"",'FEBRERO 2026'!Z95="POR RECOGER"),'FEBRERO 2026'!I95,"")</f>
        <v>POMACOCHAS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" hidden="false" customHeight="true" outlineLevel="0" collapsed="false">
      <c r="A197" s="192" t="str">
        <f aca="false">IF(AND('FEBRERO 2026'!D96&lt;&gt;"",'FEBRERO 2026'!Z96="POR RECOGER"),"FEB","")</f>
        <v>FEB</v>
      </c>
      <c r="B197" s="192" t="str">
        <f aca="false">IF(AND('FEBRERO 2026'!D96&lt;&gt;"",'FEBRERO 2026'!Z96="POR RECOGER"),IF('FEBRERO 2026'!Y96&lt;&gt;"",'FEBRERO 2026'!Y96,'FEBRERO 2026'!I96),"")</f>
        <v>MARIA AUXILIADORA</v>
      </c>
      <c r="C197" s="192" t="str">
        <f aca="false">IF(AND('FEBRERO 2026'!D96&lt;&gt;"",'FEBRERO 2026'!Z96="POR RECOGER"),'FEBRERO 2026'!D96,"")</f>
        <v>ARBILDO VILLA JOSE PORFIRIO</v>
      </c>
      <c r="D197" s="192" t="str">
        <f aca="false">IF(AND('FEBRERO 2026'!D96&lt;&gt;"",'FEBRERO 2026'!Z96="POR RECOGER"),'FEBRERO 2026'!F96,"")</f>
        <v>33952707</v>
      </c>
      <c r="E197" s="192" t="str">
        <f aca="false">IF(AND('FEBRERO 2026'!D96&lt;&gt;"",'FEBRERO 2026'!Z96="POR RECOGER"),TEXT('FEBRERO 2026'!G96,"DD/MM/YYYY"),"")</f>
        <v>26/02/2026</v>
      </c>
      <c r="F197" s="192" t="str">
        <f aca="false">IF(AND('FEBRERO 2026'!D96&lt;&gt;"",'FEBRERO 2026'!Z96="POR RECOGER"),'FEBRERO 2026'!K96,"")</f>
        <v>PETROLEO</v>
      </c>
      <c r="G197" s="193" t="n">
        <f aca="false">IF(AND('FEBRERO 2026'!D96&lt;&gt;"",'FEBRERO 2026'!Z96="POR RECOGER"),'FEBRERO 2026'!M96,"")</f>
        <v>7</v>
      </c>
      <c r="H197" s="193" t="n">
        <f aca="false">IF(AND('FEBRERO 2026'!D96&lt;&gt;"",'FEBRERO 2026'!Z96="POR RECOGER"),'FEBRERO 2026'!N96,"")</f>
        <v>141.75</v>
      </c>
      <c r="I197" s="192" t="str">
        <f aca="false">IF(AND('FEBRERO 2026'!D96&lt;&gt;"",'FEBRERO 2026'!Z96="POR RECOGER"),'FEBRERO 2026'!P96,"")</f>
        <v>PORTOCARRERO PELAEZ MIGUEL ANTONIO</v>
      </c>
      <c r="J197" s="192" t="str">
        <f aca="false">IF(AND('FEBRERO 2026'!D96&lt;&gt;"",'FEBRERO 2026'!Z96="POR RECOGER"),'FEBRERO 2026'!Q96,"")</f>
        <v>EUH-421</v>
      </c>
      <c r="K197" s="192" t="n">
        <f aca="false">IF(AND('FEBRERO 2026'!D96&lt;&gt;"",'FEBRERO 2026'!Z96="POR RECOGER"),'FEBRERO 2026'!Y96,"")</f>
        <v>0</v>
      </c>
      <c r="L197" s="192" t="str">
        <f aca="false">IF(AND('FEBRERO 2026'!D96&lt;&gt;"",'FEBRERO 2026'!Z96="POR RECOGER"),'FEBRERO 2026'!I96,"")</f>
        <v>MARIA AUXILIADORA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" hidden="false" customHeight="true" outlineLevel="0" collapsed="false">
      <c r="A198" s="192" t="str">
        <f aca="false">IF(AND('FEBRERO 2026'!D97&lt;&gt;"",'FEBRERO 2026'!Z97="POR RECOGER"),"FEB","")</f>
        <v>FEB</v>
      </c>
      <c r="B198" s="192" t="str">
        <f aca="false">IF(AND('FEBRERO 2026'!D97&lt;&gt;"",'FEBRERO 2026'!Z97="POR RECOGER"),IF('FEBRERO 2026'!Y97&lt;&gt;"",'FEBRERO 2026'!Y97,'FEBRERO 2026'!I97),"")</f>
        <v>OMIA</v>
      </c>
      <c r="C198" s="192" t="str">
        <f aca="false">IF(AND('FEBRERO 2026'!D97&lt;&gt;"",'FEBRERO 2026'!Z97="POR RECOGER"),'FEBRERO 2026'!D97,"")</f>
        <v>LOPEZ MONTOYA JOSE ALCIDES </v>
      </c>
      <c r="D198" s="192" t="str">
        <f aca="false">IF(AND('FEBRERO 2026'!D97&lt;&gt;"",'FEBRERO 2026'!Z97="POR RECOGER"),'FEBRERO 2026'!F97,"")</f>
        <v>33952489</v>
      </c>
      <c r="E198" s="192" t="str">
        <f aca="false">IF(AND('FEBRERO 2026'!D97&lt;&gt;"",'FEBRERO 2026'!Z97="POR RECOGER"),TEXT('FEBRERO 2026'!G97,"DD/MM/YYYY"),"")</f>
        <v>26/02/2026</v>
      </c>
      <c r="F198" s="192" t="str">
        <f aca="false">IF(AND('FEBRERO 2026'!D97&lt;&gt;"",'FEBRERO 2026'!Z97="POR RECOGER"),'FEBRERO 2026'!K97,"")</f>
        <v>PETROLEO</v>
      </c>
      <c r="G198" s="193" t="n">
        <f aca="false">IF(AND('FEBRERO 2026'!D97&lt;&gt;"",'FEBRERO 2026'!Z97="POR RECOGER"),'FEBRERO 2026'!M97,"")</f>
        <v>10</v>
      </c>
      <c r="H198" s="193" t="n">
        <f aca="false">IF(AND('FEBRERO 2026'!D97&lt;&gt;"",'FEBRERO 2026'!Z97="POR RECOGER"),'FEBRERO 2026'!N97,"")</f>
        <v>202.5</v>
      </c>
      <c r="I198" s="192" t="str">
        <f aca="false">IF(AND('FEBRERO 2026'!D97&lt;&gt;"",'FEBRERO 2026'!Z97="POR RECOGER"),'FEBRERO 2026'!P97,"")</f>
        <v>LOPEZ VARGAS HUBER</v>
      </c>
      <c r="J198" s="192" t="str">
        <f aca="false">IF(AND('FEBRERO 2026'!D97&lt;&gt;"",'FEBRERO 2026'!Z97="POR RECOGER"),'FEBRERO 2026'!Q97,"")</f>
        <v>EUH 634</v>
      </c>
      <c r="K198" s="192" t="str">
        <f aca="false">IF(AND('FEBRERO 2026'!D97&lt;&gt;"",'FEBRERO 2026'!Z97="POR RECOGER"),'FEBRERO 2026'!Y97,"")</f>
        <v>OMIA</v>
      </c>
      <c r="L198" s="192" t="str">
        <f aca="false">IF(AND('FEBRERO 2026'!D97&lt;&gt;"",'FEBRERO 2026'!Z97="POR RECOGER"),'FEBRERO 2026'!I97,"")</f>
        <v>MARIA AUXILIADORA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" hidden="false" customHeight="true" outlineLevel="0" collapsed="false">
      <c r="A199" s="192" t="str">
        <f aca="false">IF(AND('FEBRERO 2026'!D98&lt;&gt;"",'FEBRERO 2026'!Z98="POR RECOGER"),"FEB","")</f>
        <v>FEB</v>
      </c>
      <c r="B199" s="192" t="str">
        <f aca="false">IF(AND('FEBRERO 2026'!D98&lt;&gt;"",'FEBRERO 2026'!Z98="POR RECOGER"),IF('FEBRERO 2026'!Y98&lt;&gt;"",'FEBRERO 2026'!Y98,'FEBRERO 2026'!I98),"")</f>
        <v>MARIA AUXILIADORA</v>
      </c>
      <c r="C199" s="192" t="str">
        <f aca="false">IF(AND('FEBRERO 2026'!D98&lt;&gt;"",'FEBRERO 2026'!Z98="POR RECOGER"),'FEBRERO 2026'!D98,"")</f>
        <v>SALAZAR SALAZAR YSIDORO</v>
      </c>
      <c r="D199" s="192" t="str">
        <f aca="false">IF(AND('FEBRERO 2026'!D98&lt;&gt;"",'FEBRERO 2026'!Z98="POR RECOGER"),'FEBRERO 2026'!F98,"")</f>
        <v>33940526</v>
      </c>
      <c r="E199" s="192" t="str">
        <f aca="false">IF(AND('FEBRERO 2026'!D98&lt;&gt;"",'FEBRERO 2026'!Z98="POR RECOGER"),TEXT('FEBRERO 2026'!G98,"DD/MM/YYYY"),"")</f>
        <v>27/02/2026</v>
      </c>
      <c r="F199" s="192" t="str">
        <f aca="false">IF(AND('FEBRERO 2026'!D98&lt;&gt;"",'FEBRERO 2026'!Z98="POR RECOGER"),'FEBRERO 2026'!K98,"")</f>
        <v>PETROLEO</v>
      </c>
      <c r="G199" s="193" t="n">
        <f aca="false">IF(AND('FEBRERO 2026'!D98&lt;&gt;"",'FEBRERO 2026'!Z98="POR RECOGER"),'FEBRERO 2026'!M98,"")</f>
        <v>7</v>
      </c>
      <c r="H199" s="193" t="n">
        <f aca="false">IF(AND('FEBRERO 2026'!D98&lt;&gt;"",'FEBRERO 2026'!Z98="POR RECOGER"),'FEBRERO 2026'!N98,"")</f>
        <v>141.75</v>
      </c>
      <c r="I199" s="192" t="str">
        <f aca="false">IF(AND('FEBRERO 2026'!D98&lt;&gt;"",'FEBRERO 2026'!Z98="POR RECOGER"),'FEBRERO 2026'!P98,"")</f>
        <v>PORTOCARRERO PELAEZ MIGUEL ANTONIO</v>
      </c>
      <c r="J199" s="192" t="str">
        <f aca="false">IF(AND('FEBRERO 2026'!D98&lt;&gt;"",'FEBRERO 2026'!Z98="POR RECOGER"),'FEBRERO 2026'!Q98,"")</f>
        <v>EUH-421</v>
      </c>
      <c r="K199" s="192" t="n">
        <f aca="false">IF(AND('FEBRERO 2026'!D98&lt;&gt;"",'FEBRERO 2026'!Z98="POR RECOGER"),'FEBRERO 2026'!Y98,"")</f>
        <v>0</v>
      </c>
      <c r="L199" s="192" t="str">
        <f aca="false">IF(AND('FEBRERO 2026'!D98&lt;&gt;"",'FEBRERO 2026'!Z98="POR RECOGER"),'FEBRERO 2026'!I98,"")</f>
        <v>MARIA AUXILIADORA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" hidden="false" customHeight="true" outlineLevel="0" collapsed="false">
      <c r="A200" s="192" t="str">
        <f aca="false">IF(AND('FEBRERO 2026'!D99&lt;&gt;"",'FEBRERO 2026'!Z99="POR RECOGER"),"FEB","")</f>
        <v>FEB</v>
      </c>
      <c r="B200" s="192" t="str">
        <f aca="false">IF(AND('FEBRERO 2026'!D99&lt;&gt;"",'FEBRERO 2026'!Z99="POR RECOGER"),IF('FEBRERO 2026'!Y99&lt;&gt;"",'FEBRERO 2026'!Y99,'FEBRERO 2026'!I99),"")</f>
        <v>PEDRO RUIZ GALLO</v>
      </c>
      <c r="C200" s="192" t="str">
        <f aca="false">IF(AND('FEBRERO 2026'!D99&lt;&gt;"",'FEBRERO 2026'!Z99="POR RECOGER"),'FEBRERO 2026'!D99,"")</f>
        <v>MORAN CASERES DORA BEATRIZ</v>
      </c>
      <c r="D200" s="192" t="str">
        <f aca="false">IF(AND('FEBRERO 2026'!D99&lt;&gt;"",'FEBRERO 2026'!Z99="POR RECOGER"),'FEBRERO 2026'!F99,"")</f>
        <v>46693174</v>
      </c>
      <c r="E200" s="192" t="str">
        <f aca="false">IF(AND('FEBRERO 2026'!D99&lt;&gt;"",'FEBRERO 2026'!Z99="POR RECOGER"),TEXT('FEBRERO 2026'!G99,"DD/MM/YYYY"),"")</f>
        <v>27/02/2026</v>
      </c>
      <c r="F200" s="192" t="str">
        <f aca="false">IF(AND('FEBRERO 2026'!D99&lt;&gt;"",'FEBRERO 2026'!Z99="POR RECOGER"),'FEBRERO 2026'!K99,"")</f>
        <v>PETROLEO</v>
      </c>
      <c r="G200" s="193" t="n">
        <f aca="false">IF(AND('FEBRERO 2026'!D99&lt;&gt;"",'FEBRERO 2026'!Z99="POR RECOGER"),'FEBRERO 2026'!M99,"")</f>
        <v>6</v>
      </c>
      <c r="H200" s="193" t="n">
        <f aca="false">IF(AND('FEBRERO 2026'!D99&lt;&gt;"",'FEBRERO 2026'!Z99="POR RECOGER"),'FEBRERO 2026'!N99,"")</f>
        <v>107.7</v>
      </c>
      <c r="I200" s="192" t="str">
        <f aca="false">IF(AND('FEBRERO 2026'!D99&lt;&gt;"",'FEBRERO 2026'!Z99="POR RECOGER"),'FEBRERO 2026'!P99,"")</f>
        <v>MONTENEGRO RUIZ LUIS MIGUEL</v>
      </c>
      <c r="J200" s="192" t="str">
        <f aca="false">IF(AND('FEBRERO 2026'!D99&lt;&gt;"",'FEBRERO 2026'!Z99="POR RECOGER"),'FEBRERO 2026'!Q99,"")</f>
        <v>EUH-427</v>
      </c>
      <c r="K200" s="192" t="n">
        <f aca="false">IF(AND('FEBRERO 2026'!D99&lt;&gt;"",'FEBRERO 2026'!Z99="POR RECOGER"),'FEBRERO 2026'!Y99,"")</f>
        <v>0</v>
      </c>
      <c r="L200" s="192" t="str">
        <f aca="false">IF(AND('FEBRERO 2026'!D99&lt;&gt;"",'FEBRERO 2026'!Z99="POR RECOGER"),'FEBRERO 2026'!I99,"")</f>
        <v>PEDRO RUIZ GALLO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" hidden="false" customHeight="true" outlineLevel="0" collapsed="false">
      <c r="A201" s="192" t="str">
        <f aca="false">IF(AND('FEBRERO 2026'!D100&lt;&gt;"",'FEBRERO 2026'!Z100="POR RECOGER"),"FEB","")</f>
        <v>FEB</v>
      </c>
      <c r="B201" s="192" t="str">
        <f aca="false">IF(AND('FEBRERO 2026'!D100&lt;&gt;"",'FEBRERO 2026'!Z100="POR RECOGER"),IF('FEBRERO 2026'!Y100&lt;&gt;"",'FEBRERO 2026'!Y100,'FEBRERO 2026'!I100),"")</f>
        <v>JALCA GRANDE</v>
      </c>
      <c r="C201" s="192" t="str">
        <f aca="false">IF(AND('FEBRERO 2026'!D100&lt;&gt;"",'FEBRERO 2026'!Z100="POR RECOGER"),'FEBRERO 2026'!D100,"")</f>
        <v>HUAMAN SALON ELIFIA</v>
      </c>
      <c r="D201" s="192" t="str">
        <f aca="false">IF(AND('FEBRERO 2026'!D100&lt;&gt;"",'FEBRERO 2026'!Z100="POR RECOGER"),'FEBRERO 2026'!F100,"")</f>
        <v>72732503</v>
      </c>
      <c r="E201" s="192" t="str">
        <f aca="false">IF(AND('FEBRERO 2026'!D100&lt;&gt;"",'FEBRERO 2026'!Z100="POR RECOGER"),TEXT('FEBRERO 2026'!G100,"DD/MM/YYYY"),"")</f>
        <v>27/02/2026</v>
      </c>
      <c r="F201" s="192" t="str">
        <f aca="false">IF(AND('FEBRERO 2026'!D100&lt;&gt;"",'FEBRERO 2026'!Z100="POR RECOGER"),'FEBRERO 2026'!K100,"")</f>
        <v>PETROLEO</v>
      </c>
      <c r="G201" s="193" t="n">
        <f aca="false">IF(AND('FEBRERO 2026'!D100&lt;&gt;"",'FEBRERO 2026'!Z100="POR RECOGER"),'FEBRERO 2026'!M100,"")</f>
        <v>7</v>
      </c>
      <c r="H201" s="193" t="n">
        <f aca="false">IF(AND('FEBRERO 2026'!D100&lt;&gt;"",'FEBRERO 2026'!Z100="POR RECOGER"),'FEBRERO 2026'!N100,"")</f>
        <v>127.26</v>
      </c>
      <c r="I201" s="192" t="str">
        <f aca="false">IF(AND('FEBRERO 2026'!D100&lt;&gt;"",'FEBRERO 2026'!Z100="POR RECOGER"),'FEBRERO 2026'!P100,"")</f>
        <v>LEIVA LARA JUNIOR</v>
      </c>
      <c r="J201" s="192" t="str">
        <f aca="false">IF(AND('FEBRERO 2026'!D100&lt;&gt;"",'FEBRERO 2026'!Z100="POR RECOGER"),'FEBRERO 2026'!Q100,"")</f>
        <v>EUC 959</v>
      </c>
      <c r="K201" s="192" t="n">
        <f aca="false">IF(AND('FEBRERO 2026'!D100&lt;&gt;"",'FEBRERO 2026'!Z100="POR RECOGER"),'FEBRERO 2026'!Y100,"")</f>
        <v>0</v>
      </c>
      <c r="L201" s="192" t="str">
        <f aca="false">IF(AND('FEBRERO 2026'!D100&lt;&gt;"",'FEBRERO 2026'!Z100="POR RECOGER"),'FEBRERO 2026'!I100,"")</f>
        <v>JALCA GRANDE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" hidden="false" customHeight="true" outlineLevel="0" collapsed="false">
      <c r="A202" s="192" t="str">
        <f aca="false">IF(AND('FEBRERO 2026'!D101&lt;&gt;"",'FEBRERO 2026'!Z101="POR RECOGER"),"FEB","")</f>
        <v>FEB</v>
      </c>
      <c r="B202" s="192" t="str">
        <f aca="false">IF(AND('FEBRERO 2026'!D101&lt;&gt;"",'FEBRERO 2026'!Z101="POR RECOGER"),IF('FEBRERO 2026'!Y101&lt;&gt;"",'FEBRERO 2026'!Y101,'FEBRERO 2026'!I101),"")</f>
        <v>POMACOCHAS</v>
      </c>
      <c r="C202" s="192" t="str">
        <f aca="false">IF(AND('FEBRERO 2026'!D101&lt;&gt;"",'FEBRERO 2026'!Z101="POR RECOGER"),'FEBRERO 2026'!D101,"")</f>
        <v>MONTENEGRO VARGAS SHARON MAITE</v>
      </c>
      <c r="D202" s="192" t="str">
        <f aca="false">IF(AND('FEBRERO 2026'!D101&lt;&gt;"",'FEBRERO 2026'!Z101="POR RECOGER"),'FEBRERO 2026'!F101,"")</f>
        <v>80810803</v>
      </c>
      <c r="E202" s="192" t="str">
        <f aca="false">IF(AND('FEBRERO 2026'!D101&lt;&gt;"",'FEBRERO 2026'!Z101="POR RECOGER"),TEXT('FEBRERO 2026'!G101,"DD/MM/YYYY"),"")</f>
        <v>27/02/2026</v>
      </c>
      <c r="F202" s="192" t="str">
        <f aca="false">IF(AND('FEBRERO 2026'!D101&lt;&gt;"",'FEBRERO 2026'!Z101="POR RECOGER"),'FEBRERO 2026'!K101,"")</f>
        <v>PETROLEO</v>
      </c>
      <c r="G202" s="193" t="n">
        <f aca="false">IF(AND('FEBRERO 2026'!D101&lt;&gt;"",'FEBRERO 2026'!Z101="POR RECOGER"),'FEBRERO 2026'!M101,"")</f>
        <v>6</v>
      </c>
      <c r="H202" s="193" t="n">
        <f aca="false">IF(AND('FEBRERO 2026'!D101&lt;&gt;"",'FEBRERO 2026'!Z101="POR RECOGER"),'FEBRERO 2026'!N101,"")</f>
        <v>109.08</v>
      </c>
      <c r="I202" s="192" t="str">
        <f aca="false">IF(AND('FEBRERO 2026'!D101&lt;&gt;"",'FEBRERO 2026'!Z101="POR RECOGER"),'FEBRERO 2026'!P101,"")</f>
        <v>CHICANA LOPEZ MANUEL HECTOR</v>
      </c>
      <c r="J202" s="192" t="str">
        <f aca="false">IF(AND('FEBRERO 2026'!D101&lt;&gt;"",'FEBRERO 2026'!Z101="POR RECOGER"),'FEBRERO 2026'!Q101,"")</f>
        <v>EUH747</v>
      </c>
      <c r="K202" s="192" t="n">
        <f aca="false">IF(AND('FEBRERO 2026'!D101&lt;&gt;"",'FEBRERO 2026'!Z101="POR RECOGER"),'FEBRERO 2026'!Y101,"")</f>
        <v>0</v>
      </c>
      <c r="L202" s="192" t="str">
        <f aca="false">IF(AND('FEBRERO 2026'!D101&lt;&gt;"",'FEBRERO 2026'!Z101="POR RECOGER"),'FEBRERO 2026'!I101,"")</f>
        <v>POMACOCHAS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" hidden="false" customHeight="true" outlineLevel="0" collapsed="false">
      <c r="A203" s="192" t="str">
        <f aca="false">IF(AND('FEBRERO 2026'!D102&lt;&gt;"",'FEBRERO 2026'!Z102="POR RECOGER"),"FEB","")</f>
        <v>FEB</v>
      </c>
      <c r="B203" s="192" t="str">
        <f aca="false">IF(AND('FEBRERO 2026'!D102&lt;&gt;"",'FEBRERO 2026'!Z102="POR RECOGER"),IF('FEBRERO 2026'!Y102&lt;&gt;"",'FEBRERO 2026'!Y102,'FEBRERO 2026'!I102),"")</f>
        <v>OCALLI</v>
      </c>
      <c r="C203" s="192" t="str">
        <f aca="false">IF(AND('FEBRERO 2026'!D102&lt;&gt;"",'FEBRERO 2026'!Z102="POR RECOGER"),'FEBRERO 2026'!D102,"")</f>
        <v>VELA TAFUR HAMERLY</v>
      </c>
      <c r="D203" s="192" t="str">
        <f aca="false">IF(AND('FEBRERO 2026'!D102&lt;&gt;"",'FEBRERO 2026'!Z102="POR RECOGER"),'FEBRERO 2026'!F102,"")</f>
        <v>63380142</v>
      </c>
      <c r="E203" s="192" t="str">
        <f aca="false">IF(AND('FEBRERO 2026'!D102&lt;&gt;"",'FEBRERO 2026'!Z102="POR RECOGER"),TEXT('FEBRERO 2026'!G102,"DD/MM/YYYY"),"")</f>
        <v>27/02/2026</v>
      </c>
      <c r="F203" s="192" t="str">
        <f aca="false">IF(AND('FEBRERO 2026'!D102&lt;&gt;"",'FEBRERO 2026'!Z102="POR RECOGER"),'FEBRERO 2026'!K102,"")</f>
        <v>PETROLEO</v>
      </c>
      <c r="G203" s="193" t="n">
        <f aca="false">IF(AND('FEBRERO 2026'!D102&lt;&gt;"",'FEBRERO 2026'!Z102="POR RECOGER"),'FEBRERO 2026'!M102,"")</f>
        <v>26</v>
      </c>
      <c r="H203" s="193" t="n">
        <f aca="false">IF(AND('FEBRERO 2026'!D102&lt;&gt;"",'FEBRERO 2026'!Z102="POR RECOGER"),'FEBRERO 2026'!N102,"")</f>
        <v>472.68</v>
      </c>
      <c r="I203" s="192" t="str">
        <f aca="false">IF(AND('FEBRERO 2026'!D102&lt;&gt;"",'FEBRERO 2026'!Z102="POR RECOGER"),'FEBRERO 2026'!P102,"")</f>
        <v>ALBERTO FARRO PEREZ</v>
      </c>
      <c r="J203" s="192" t="str">
        <f aca="false">IF(AND('FEBRERO 2026'!D102&lt;&gt;"",'FEBRERO 2026'!Z102="POR RECOGER"),'FEBRERO 2026'!Q102,"")</f>
        <v>EGO-124</v>
      </c>
      <c r="K203" s="192" t="n">
        <f aca="false">IF(AND('FEBRERO 2026'!D102&lt;&gt;"",'FEBRERO 2026'!Z102="POR RECOGER"),'FEBRERO 2026'!Y102,"")</f>
        <v>0</v>
      </c>
      <c r="L203" s="192" t="str">
        <f aca="false">IF(AND('FEBRERO 2026'!D102&lt;&gt;"",'FEBRERO 2026'!Z102="POR RECOGER"),'FEBRERO 2026'!I102,"")</f>
        <v>OCALLI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" hidden="false" customHeight="true" outlineLevel="0" collapsed="false">
      <c r="A204" s="192" t="str">
        <f aca="false">IF(AND('FEBRERO 2026'!D103&lt;&gt;"",'FEBRERO 2026'!Z103="POR RECOGER"),"FEB","")</f>
        <v>FEB</v>
      </c>
      <c r="B204" s="192" t="str">
        <f aca="false">IF(AND('FEBRERO 2026'!D103&lt;&gt;"",'FEBRERO 2026'!Z103="POR RECOGER"),IF('FEBRERO 2026'!Y103&lt;&gt;"",'FEBRERO 2026'!Y103,'FEBRERO 2026'!I103),"")</f>
        <v>LUYA</v>
      </c>
      <c r="C204" s="192" t="str">
        <f aca="false">IF(AND('FEBRERO 2026'!D103&lt;&gt;"",'FEBRERO 2026'!Z103="POR RECOGER"),'FEBRERO 2026'!D103,"")</f>
        <v>MILLA QUINTANA JORGE</v>
      </c>
      <c r="D204" s="192" t="str">
        <f aca="false">IF(AND('FEBRERO 2026'!D103&lt;&gt;"",'FEBRERO 2026'!Z103="POR RECOGER"),'FEBRERO 2026'!F103,"")</f>
        <v>9514524</v>
      </c>
      <c r="E204" s="192" t="str">
        <f aca="false">IF(AND('FEBRERO 2026'!D103&lt;&gt;"",'FEBRERO 2026'!Z103="POR RECOGER"),TEXT('FEBRERO 2026'!G103,"DD/MM/YYYY"),"")</f>
        <v>26/02/2026</v>
      </c>
      <c r="F204" s="192" t="str">
        <f aca="false">IF(AND('FEBRERO 2026'!D103&lt;&gt;"",'FEBRERO 2026'!Z103="POR RECOGER"),'FEBRERO 2026'!K103,"")</f>
        <v>PETROLEO</v>
      </c>
      <c r="G204" s="193" t="n">
        <f aca="false">IF(AND('FEBRERO 2026'!D103&lt;&gt;"",'FEBRERO 2026'!Z103="POR RECOGER"),'FEBRERO 2026'!M103,"")</f>
        <v>4</v>
      </c>
      <c r="H204" s="193" t="n">
        <f aca="false">IF(AND('FEBRERO 2026'!D103&lt;&gt;"",'FEBRERO 2026'!Z103="POR RECOGER"),'FEBRERO 2026'!N103,"")</f>
        <v>72.72</v>
      </c>
      <c r="I204" s="192" t="str">
        <f aca="false">IF(AND('FEBRERO 2026'!D103&lt;&gt;"",'FEBRERO 2026'!Z103="POR RECOGER"),'FEBRERO 2026'!P103,"")</f>
        <v>ZAGACETA RUIZ GELLER ENRIQUE</v>
      </c>
      <c r="J204" s="192" t="str">
        <f aca="false">IF(AND('FEBRERO 2026'!D103&lt;&gt;"",'FEBRERO 2026'!Z103="POR RECOGER"),'FEBRERO 2026'!Q103,"")</f>
        <v>EUH-717</v>
      </c>
      <c r="K204" s="192" t="n">
        <f aca="false">IF(AND('FEBRERO 2026'!D103&lt;&gt;"",'FEBRERO 2026'!Z103="POR RECOGER"),'FEBRERO 2026'!Y103,"")</f>
        <v>0</v>
      </c>
      <c r="L204" s="192" t="str">
        <f aca="false">IF(AND('FEBRERO 2026'!D103&lt;&gt;"",'FEBRERO 2026'!Z103="POR RECOGER"),'FEBRERO 2026'!I103,"")</f>
        <v>LUYA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" hidden="false" customHeight="true" outlineLevel="0" collapsed="false">
      <c r="A205" s="192" t="str">
        <f aca="false">IF(AND('FEBRERO 2026'!D104&lt;&gt;"",'FEBRERO 2026'!Z104="POR RECOGER"),"FEB","")</f>
        <v>FEB</v>
      </c>
      <c r="B205" s="192" t="str">
        <f aca="false">IF(AND('FEBRERO 2026'!D104&lt;&gt;"",'FEBRERO 2026'!Z104="POR RECOGER"),IF('FEBRERO 2026'!Y104&lt;&gt;"",'FEBRERO 2026'!Y104,'FEBRERO 2026'!I104),"")</f>
        <v>LUYA</v>
      </c>
      <c r="C205" s="192" t="str">
        <f aca="false">IF(AND('FEBRERO 2026'!D104&lt;&gt;"",'FEBRERO 2026'!Z104="POR RECOGER"),'FEBRERO 2026'!D104,"")</f>
        <v>DIPIZ ROJAS DANNA ANTONELA</v>
      </c>
      <c r="D205" s="192" t="str">
        <f aca="false">IF(AND('FEBRERO 2026'!D104&lt;&gt;"",'FEBRERO 2026'!Z104="POR RECOGER"),'FEBRERO 2026'!F104,"")</f>
        <v>33787219</v>
      </c>
      <c r="E205" s="192" t="str">
        <f aca="false">IF(AND('FEBRERO 2026'!D104&lt;&gt;"",'FEBRERO 2026'!Z104="POR RECOGER"),TEXT('FEBRERO 2026'!G104,"DD/MM/YYYY"),"")</f>
        <v>28/02/2026</v>
      </c>
      <c r="F205" s="192" t="str">
        <f aca="false">IF(AND('FEBRERO 2026'!D104&lt;&gt;"",'FEBRERO 2026'!Z104="POR RECOGER"),'FEBRERO 2026'!K104,"")</f>
        <v>PETROLEO</v>
      </c>
      <c r="G205" s="193" t="n">
        <f aca="false">IF(AND('FEBRERO 2026'!D104&lt;&gt;"",'FEBRERO 2026'!Z104="POR RECOGER"),'FEBRERO 2026'!M104,"")</f>
        <v>4</v>
      </c>
      <c r="H205" s="193" t="n">
        <f aca="false">IF(AND('FEBRERO 2026'!D104&lt;&gt;"",'FEBRERO 2026'!Z104="POR RECOGER"),'FEBRERO 2026'!N104,"")</f>
        <v>72.72</v>
      </c>
      <c r="I205" s="192" t="str">
        <f aca="false">IF(AND('FEBRERO 2026'!D104&lt;&gt;"",'FEBRERO 2026'!Z104="POR RECOGER"),'FEBRERO 2026'!P104,"")</f>
        <v>ZAGACETA RUIZ GELLER ENRIQUE</v>
      </c>
      <c r="J205" s="192" t="str">
        <f aca="false">IF(AND('FEBRERO 2026'!D104&lt;&gt;"",'FEBRERO 2026'!Z104="POR RECOGER"),'FEBRERO 2026'!Q104,"")</f>
        <v>EUH-717</v>
      </c>
      <c r="K205" s="192" t="n">
        <f aca="false">IF(AND('FEBRERO 2026'!D104&lt;&gt;"",'FEBRERO 2026'!Z104="POR RECOGER"),'FEBRERO 2026'!Y104,"")</f>
        <v>0</v>
      </c>
      <c r="L205" s="192" t="str">
        <f aca="false">IF(AND('FEBRERO 2026'!D104&lt;&gt;"",'FEBRERO 2026'!Z104="POR RECOGER"),'FEBRERO 2026'!I104,"")</f>
        <v>LUYA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" hidden="false" customHeight="true" outlineLevel="0" collapsed="false">
      <c r="A206" s="192" t="str">
        <f aca="false">IF(AND('FEBRERO 2026'!D105&lt;&gt;"",'FEBRERO 2026'!Z105="POR RECOGER"),"FEB","")</f>
        <v/>
      </c>
      <c r="B206" s="192" t="str">
        <f aca="false">IF(AND('FEBRERO 2026'!D105&lt;&gt;"",'FEBRERO 2026'!Z105="POR RECOGER"),IF('FEBRERO 2026'!Y105&lt;&gt;"",'FEBRERO 2026'!Y105,'FEBRERO 2026'!I105),"")</f>
        <v/>
      </c>
      <c r="C206" s="192" t="str">
        <f aca="false">IF(AND('FEBRERO 2026'!D105&lt;&gt;"",'FEBRERO 2026'!Z105="POR RECOGER"),'FEBRERO 2026'!D105,"")</f>
        <v/>
      </c>
      <c r="D206" s="192" t="str">
        <f aca="false">IF(AND('FEBRERO 2026'!D105&lt;&gt;"",'FEBRERO 2026'!Z105="POR RECOGER"),'FEBRERO 2026'!F105,"")</f>
        <v/>
      </c>
      <c r="E206" s="192" t="str">
        <f aca="false">IF(AND('FEBRERO 2026'!D105&lt;&gt;"",'FEBRERO 2026'!Z105="POR RECOGER"),TEXT('FEBRERO 2026'!G105,"DD/MM/YYYY"),"")</f>
        <v/>
      </c>
      <c r="F206" s="192" t="str">
        <f aca="false">IF(AND('FEBRERO 2026'!D105&lt;&gt;"",'FEBRERO 2026'!Z105="POR RECOGER"),'FEBRERO 2026'!K105,"")</f>
        <v/>
      </c>
      <c r="G206" s="193" t="str">
        <f aca="false">IF(AND('FEBRERO 2026'!D105&lt;&gt;"",'FEBRERO 2026'!Z105="POR RECOGER"),'FEBRERO 2026'!M105,"")</f>
        <v/>
      </c>
      <c r="H206" s="193" t="str">
        <f aca="false">IF(AND('FEBRERO 2026'!D105&lt;&gt;"",'FEBRERO 2026'!Z105="POR RECOGER"),'FEBRERO 2026'!N105,"")</f>
        <v/>
      </c>
      <c r="I206" s="192" t="str">
        <f aca="false">IF(AND('FEBRERO 2026'!D105&lt;&gt;"",'FEBRERO 2026'!Z105="POR RECOGER"),'FEBRERO 2026'!P105,"")</f>
        <v/>
      </c>
      <c r="J206" s="192" t="str">
        <f aca="false">IF(AND('FEBRERO 2026'!D105&lt;&gt;"",'FEBRERO 2026'!Z105="POR RECOGER"),'FEBRERO 2026'!Q105,"")</f>
        <v/>
      </c>
      <c r="K206" s="192" t="str">
        <f aca="false">IF(AND('FEBRERO 2026'!D105&lt;&gt;"",'FEBRERO 2026'!Z105="POR RECOGER"),'FEBRERO 2026'!Y105,"")</f>
        <v/>
      </c>
      <c r="L206" s="192" t="str">
        <f aca="false">IF(AND('FEBRERO 2026'!D105&lt;&gt;"",'FEBRERO 2026'!Z105="POR RECOGER"),'FEBRERO 2026'!I105,"")</f>
        <v/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" hidden="false" customHeight="true" outlineLevel="0" collapsed="false">
      <c r="A207" s="192" t="str">
        <f aca="false">IF(AND('FEBRERO 2026'!D106&lt;&gt;"",'FEBRERO 2026'!Z106="POR RECOGER"),"FEB","")</f>
        <v/>
      </c>
      <c r="B207" s="192" t="str">
        <f aca="false">IF(AND('FEBRERO 2026'!D106&lt;&gt;"",'FEBRERO 2026'!Z106="POR RECOGER"),IF('FEBRERO 2026'!Y106&lt;&gt;"",'FEBRERO 2026'!Y106,'FEBRERO 2026'!I106),"")</f>
        <v/>
      </c>
      <c r="C207" s="192" t="str">
        <f aca="false">IF(AND('FEBRERO 2026'!D106&lt;&gt;"",'FEBRERO 2026'!Z106="POR RECOGER"),'FEBRERO 2026'!D106,"")</f>
        <v/>
      </c>
      <c r="D207" s="192" t="str">
        <f aca="false">IF(AND('FEBRERO 2026'!D106&lt;&gt;"",'FEBRERO 2026'!Z106="POR RECOGER"),'FEBRERO 2026'!F106,"")</f>
        <v/>
      </c>
      <c r="E207" s="192" t="str">
        <f aca="false">IF(AND('FEBRERO 2026'!D106&lt;&gt;"",'FEBRERO 2026'!Z106="POR RECOGER"),TEXT('FEBRERO 2026'!G106,"DD/MM/YYYY"),"")</f>
        <v/>
      </c>
      <c r="F207" s="192" t="str">
        <f aca="false">IF(AND('FEBRERO 2026'!D106&lt;&gt;"",'FEBRERO 2026'!Z106="POR RECOGER"),'FEBRERO 2026'!K106,"")</f>
        <v/>
      </c>
      <c r="G207" s="193" t="str">
        <f aca="false">IF(AND('FEBRERO 2026'!D106&lt;&gt;"",'FEBRERO 2026'!Z106="POR RECOGER"),'FEBRERO 2026'!M106,"")</f>
        <v/>
      </c>
      <c r="H207" s="193" t="str">
        <f aca="false">IF(AND('FEBRERO 2026'!D106&lt;&gt;"",'FEBRERO 2026'!Z106="POR RECOGER"),'FEBRERO 2026'!N106,"")</f>
        <v/>
      </c>
      <c r="I207" s="192" t="str">
        <f aca="false">IF(AND('FEBRERO 2026'!D106&lt;&gt;"",'FEBRERO 2026'!Z106="POR RECOGER"),'FEBRERO 2026'!P106,"")</f>
        <v/>
      </c>
      <c r="J207" s="192" t="str">
        <f aca="false">IF(AND('FEBRERO 2026'!D106&lt;&gt;"",'FEBRERO 2026'!Z106="POR RECOGER"),'FEBRERO 2026'!Q106,"")</f>
        <v/>
      </c>
      <c r="K207" s="192" t="str">
        <f aca="false">IF(AND('FEBRERO 2026'!D106&lt;&gt;"",'FEBRERO 2026'!Z106="POR RECOGER"),'FEBRERO 2026'!Y106,"")</f>
        <v/>
      </c>
      <c r="L207" s="192" t="str">
        <f aca="false">IF(AND('FEBRERO 2026'!D106&lt;&gt;"",'FEBRERO 2026'!Z106="POR RECOGER"),'FEBRERO 2026'!I106,"")</f>
        <v/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" hidden="false" customHeight="true" outlineLevel="0" collapsed="false">
      <c r="A208" s="192" t="str">
        <f aca="false">IF(AND('FEBRERO 2026'!D107&lt;&gt;"",'FEBRERO 2026'!Z107="POR RECOGER"),"FEB","")</f>
        <v/>
      </c>
      <c r="B208" s="192" t="str">
        <f aca="false">IF(AND('FEBRERO 2026'!D107&lt;&gt;"",'FEBRERO 2026'!Z107="POR RECOGER"),IF('FEBRERO 2026'!Y107&lt;&gt;"",'FEBRERO 2026'!Y107,'FEBRERO 2026'!I107),"")</f>
        <v/>
      </c>
      <c r="C208" s="192" t="str">
        <f aca="false">IF(AND('FEBRERO 2026'!D107&lt;&gt;"",'FEBRERO 2026'!Z107="POR RECOGER"),'FEBRERO 2026'!D107,"")</f>
        <v/>
      </c>
      <c r="D208" s="192" t="str">
        <f aca="false">IF(AND('FEBRERO 2026'!D107&lt;&gt;"",'FEBRERO 2026'!Z107="POR RECOGER"),'FEBRERO 2026'!F107,"")</f>
        <v/>
      </c>
      <c r="E208" s="192" t="str">
        <f aca="false">IF(AND('FEBRERO 2026'!D107&lt;&gt;"",'FEBRERO 2026'!Z107="POR RECOGER"),TEXT('FEBRERO 2026'!G107,"DD/MM/YYYY"),"")</f>
        <v/>
      </c>
      <c r="F208" s="192" t="str">
        <f aca="false">IF(AND('FEBRERO 2026'!D107&lt;&gt;"",'FEBRERO 2026'!Z107="POR RECOGER"),'FEBRERO 2026'!K107,"")</f>
        <v/>
      </c>
      <c r="G208" s="193" t="str">
        <f aca="false">IF(AND('FEBRERO 2026'!D107&lt;&gt;"",'FEBRERO 2026'!Z107="POR RECOGER"),'FEBRERO 2026'!M107,"")</f>
        <v/>
      </c>
      <c r="H208" s="193" t="str">
        <f aca="false">IF(AND('FEBRERO 2026'!D107&lt;&gt;"",'FEBRERO 2026'!Z107="POR RECOGER"),'FEBRERO 2026'!N107,"")</f>
        <v/>
      </c>
      <c r="I208" s="192" t="str">
        <f aca="false">IF(AND('FEBRERO 2026'!D107&lt;&gt;"",'FEBRERO 2026'!Z107="POR RECOGER"),'FEBRERO 2026'!P107,"")</f>
        <v/>
      </c>
      <c r="J208" s="192" t="str">
        <f aca="false">IF(AND('FEBRERO 2026'!D107&lt;&gt;"",'FEBRERO 2026'!Z107="POR RECOGER"),'FEBRERO 2026'!Q107,"")</f>
        <v/>
      </c>
      <c r="K208" s="192" t="str">
        <f aca="false">IF(AND('FEBRERO 2026'!D107&lt;&gt;"",'FEBRERO 2026'!Z107="POR RECOGER"),'FEBRERO 2026'!Y107,"")</f>
        <v/>
      </c>
      <c r="L208" s="192" t="str">
        <f aca="false">IF(AND('FEBRERO 2026'!D107&lt;&gt;"",'FEBRERO 2026'!Z107="POR RECOGER"),'FEBRERO 2026'!I107,"")</f>
        <v/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" hidden="false" customHeight="true" outlineLevel="0" collapsed="false">
      <c r="A209" s="192" t="str">
        <f aca="false">IF(AND('FEBRERO 2026'!D108&lt;&gt;"",'FEBRERO 2026'!Z108="POR RECOGER"),"FEB","")</f>
        <v/>
      </c>
      <c r="B209" s="192" t="str">
        <f aca="false">IF(AND('FEBRERO 2026'!D108&lt;&gt;"",'FEBRERO 2026'!Z108="POR RECOGER"),IF('FEBRERO 2026'!Y108&lt;&gt;"",'FEBRERO 2026'!Y108,'FEBRERO 2026'!I108),"")</f>
        <v/>
      </c>
      <c r="C209" s="192" t="str">
        <f aca="false">IF(AND('FEBRERO 2026'!D108&lt;&gt;"",'FEBRERO 2026'!Z108="POR RECOGER"),'FEBRERO 2026'!D108,"")</f>
        <v/>
      </c>
      <c r="D209" s="192" t="str">
        <f aca="false">IF(AND('FEBRERO 2026'!D108&lt;&gt;"",'FEBRERO 2026'!Z108="POR RECOGER"),'FEBRERO 2026'!F108,"")</f>
        <v/>
      </c>
      <c r="E209" s="192" t="str">
        <f aca="false">IF(AND('FEBRERO 2026'!D108&lt;&gt;"",'FEBRERO 2026'!Z108="POR RECOGER"),TEXT('FEBRERO 2026'!G108,"DD/MM/YYYY"),"")</f>
        <v/>
      </c>
      <c r="F209" s="192" t="str">
        <f aca="false">IF(AND('FEBRERO 2026'!D108&lt;&gt;"",'FEBRERO 2026'!Z108="POR RECOGER"),'FEBRERO 2026'!K108,"")</f>
        <v/>
      </c>
      <c r="G209" s="193" t="str">
        <f aca="false">IF(AND('FEBRERO 2026'!D108&lt;&gt;"",'FEBRERO 2026'!Z108="POR RECOGER"),'FEBRERO 2026'!M108,"")</f>
        <v/>
      </c>
      <c r="H209" s="193" t="str">
        <f aca="false">IF(AND('FEBRERO 2026'!D108&lt;&gt;"",'FEBRERO 2026'!Z108="POR RECOGER"),'FEBRERO 2026'!N108,"")</f>
        <v/>
      </c>
      <c r="I209" s="192" t="str">
        <f aca="false">IF(AND('FEBRERO 2026'!D108&lt;&gt;"",'FEBRERO 2026'!Z108="POR RECOGER"),'FEBRERO 2026'!P108,"")</f>
        <v/>
      </c>
      <c r="J209" s="192" t="str">
        <f aca="false">IF(AND('FEBRERO 2026'!D108&lt;&gt;"",'FEBRERO 2026'!Z108="POR RECOGER"),'FEBRERO 2026'!Q108,"")</f>
        <v/>
      </c>
      <c r="K209" s="192" t="str">
        <f aca="false">IF(AND('FEBRERO 2026'!D108&lt;&gt;"",'FEBRERO 2026'!Z108="POR RECOGER"),'FEBRERO 2026'!Y108,"")</f>
        <v/>
      </c>
      <c r="L209" s="192" t="str">
        <f aca="false">IF(AND('FEBRERO 2026'!D108&lt;&gt;"",'FEBRERO 2026'!Z108="POR RECOGER"),'FEBRERO 2026'!I108,"")</f>
        <v/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" hidden="false" customHeight="true" outlineLevel="0" collapsed="false">
      <c r="A210" s="192" t="str">
        <f aca="false">IF(AND('FEBRERO 2026'!D109&lt;&gt;"",'FEBRERO 2026'!Z109="POR RECOGER"),"FEB","")</f>
        <v/>
      </c>
      <c r="B210" s="192" t="str">
        <f aca="false">IF(AND('FEBRERO 2026'!D109&lt;&gt;"",'FEBRERO 2026'!Z109="POR RECOGER"),IF('FEBRERO 2026'!Y109&lt;&gt;"",'FEBRERO 2026'!Y109,'FEBRERO 2026'!I109),"")</f>
        <v/>
      </c>
      <c r="C210" s="192" t="str">
        <f aca="false">IF(AND('FEBRERO 2026'!D109&lt;&gt;"",'FEBRERO 2026'!Z109="POR RECOGER"),'FEBRERO 2026'!D109,"")</f>
        <v/>
      </c>
      <c r="D210" s="192" t="str">
        <f aca="false">IF(AND('FEBRERO 2026'!D109&lt;&gt;"",'FEBRERO 2026'!Z109="POR RECOGER"),'FEBRERO 2026'!F109,"")</f>
        <v/>
      </c>
      <c r="E210" s="192" t="str">
        <f aca="false">IF(AND('FEBRERO 2026'!D109&lt;&gt;"",'FEBRERO 2026'!Z109="POR RECOGER"),TEXT('FEBRERO 2026'!G109,"DD/MM/YYYY"),"")</f>
        <v/>
      </c>
      <c r="F210" s="192" t="str">
        <f aca="false">IF(AND('FEBRERO 2026'!D109&lt;&gt;"",'FEBRERO 2026'!Z109="POR RECOGER"),'FEBRERO 2026'!K109,"")</f>
        <v/>
      </c>
      <c r="G210" s="193" t="str">
        <f aca="false">IF(AND('FEBRERO 2026'!D109&lt;&gt;"",'FEBRERO 2026'!Z109="POR RECOGER"),'FEBRERO 2026'!M109,"")</f>
        <v/>
      </c>
      <c r="H210" s="193" t="str">
        <f aca="false">IF(AND('FEBRERO 2026'!D109&lt;&gt;"",'FEBRERO 2026'!Z109="POR RECOGER"),'FEBRERO 2026'!N109,"")</f>
        <v/>
      </c>
      <c r="I210" s="192" t="str">
        <f aca="false">IF(AND('FEBRERO 2026'!D109&lt;&gt;"",'FEBRERO 2026'!Z109="POR RECOGER"),'FEBRERO 2026'!P109,"")</f>
        <v/>
      </c>
      <c r="J210" s="192" t="str">
        <f aca="false">IF(AND('FEBRERO 2026'!D109&lt;&gt;"",'FEBRERO 2026'!Z109="POR RECOGER"),'FEBRERO 2026'!Q109,"")</f>
        <v/>
      </c>
      <c r="K210" s="192" t="str">
        <f aca="false">IF(AND('FEBRERO 2026'!D109&lt;&gt;"",'FEBRERO 2026'!Z109="POR RECOGER"),'FEBRERO 2026'!Y109,"")</f>
        <v/>
      </c>
      <c r="L210" s="192" t="str">
        <f aca="false">IF(AND('FEBRERO 2026'!D109&lt;&gt;"",'FEBRERO 2026'!Z109="POR RECOGER"),'FEBRERO 2026'!I109,"")</f>
        <v/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" hidden="false" customHeight="true" outlineLevel="0" collapsed="false">
      <c r="A211" s="192" t="str">
        <f aca="false">IF(AND('FEBRERO 2026'!D110&lt;&gt;"",'FEBRERO 2026'!Z110="POR RECOGER"),"FEB","")</f>
        <v/>
      </c>
      <c r="B211" s="192" t="str">
        <f aca="false">IF(AND('FEBRERO 2026'!D110&lt;&gt;"",'FEBRERO 2026'!Z110="POR RECOGER"),IF('FEBRERO 2026'!Y110&lt;&gt;"",'FEBRERO 2026'!Y110,'FEBRERO 2026'!I110),"")</f>
        <v/>
      </c>
      <c r="C211" s="192" t="str">
        <f aca="false">IF(AND('FEBRERO 2026'!D110&lt;&gt;"",'FEBRERO 2026'!Z110="POR RECOGER"),'FEBRERO 2026'!D110,"")</f>
        <v/>
      </c>
      <c r="D211" s="192" t="str">
        <f aca="false">IF(AND('FEBRERO 2026'!D110&lt;&gt;"",'FEBRERO 2026'!Z110="POR RECOGER"),'FEBRERO 2026'!F110,"")</f>
        <v/>
      </c>
      <c r="E211" s="192" t="str">
        <f aca="false">IF(AND('FEBRERO 2026'!D110&lt;&gt;"",'FEBRERO 2026'!Z110="POR RECOGER"),TEXT('FEBRERO 2026'!G110,"DD/MM/YYYY"),"")</f>
        <v/>
      </c>
      <c r="F211" s="192" t="str">
        <f aca="false">IF(AND('FEBRERO 2026'!D110&lt;&gt;"",'FEBRERO 2026'!Z110="POR RECOGER"),'FEBRERO 2026'!K110,"")</f>
        <v/>
      </c>
      <c r="G211" s="193" t="str">
        <f aca="false">IF(AND('FEBRERO 2026'!D110&lt;&gt;"",'FEBRERO 2026'!Z110="POR RECOGER"),'FEBRERO 2026'!M110,"")</f>
        <v/>
      </c>
      <c r="H211" s="193" t="str">
        <f aca="false">IF(AND('FEBRERO 2026'!D110&lt;&gt;"",'FEBRERO 2026'!Z110="POR RECOGER"),'FEBRERO 2026'!N110,"")</f>
        <v/>
      </c>
      <c r="I211" s="192" t="str">
        <f aca="false">IF(AND('FEBRERO 2026'!D110&lt;&gt;"",'FEBRERO 2026'!Z110="POR RECOGER"),'FEBRERO 2026'!P110,"")</f>
        <v/>
      </c>
      <c r="J211" s="192" t="str">
        <f aca="false">IF(AND('FEBRERO 2026'!D110&lt;&gt;"",'FEBRERO 2026'!Z110="POR RECOGER"),'FEBRERO 2026'!Q110,"")</f>
        <v/>
      </c>
      <c r="K211" s="192" t="str">
        <f aca="false">IF(AND('FEBRERO 2026'!D110&lt;&gt;"",'FEBRERO 2026'!Z110="POR RECOGER"),'FEBRERO 2026'!Y110,"")</f>
        <v/>
      </c>
      <c r="L211" s="192" t="str">
        <f aca="false">IF(AND('FEBRERO 2026'!D110&lt;&gt;"",'FEBRERO 2026'!Z110="POR RECOGER"),'FEBRERO 2026'!I110,"")</f>
        <v/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" hidden="false" customHeight="true" outlineLevel="0" collapsed="false">
      <c r="A212" s="192" t="str">
        <f aca="false">IF(AND('MARZO 2026'!D6&lt;&gt;"",'MARZO 2026'!Z6="POR RECOGER"),"MAR","")</f>
        <v>MAR</v>
      </c>
      <c r="B212" s="192" t="str">
        <f aca="false">IF(AND('MARZO 2026'!D6&lt;&gt;"",'MARZO 2026'!Z6="POR RECOGER"),IF('MARZO 2026'!Y6&lt;&gt;"",'MARZO 2026'!Y6,'MARZO 2026'!I6),"")</f>
        <v>MARIA AUXILIADORA</v>
      </c>
      <c r="C212" s="192" t="str">
        <f aca="false">IF(AND('MARZO 2026'!D6&lt;&gt;"",'MARZO 2026'!Z6="POR RECOGER"),'MARZO 2026'!D6,"")</f>
        <v>LOJA ACOSTA LEILY ADRIANA</v>
      </c>
      <c r="D212" s="192" t="str">
        <f aca="false">IF(AND('MARZO 2026'!D6&lt;&gt;"",'MARZO 2026'!Z6="POR RECOGER"),'MARZO 2026'!F6,"")</f>
        <v>61642771</v>
      </c>
      <c r="E212" s="192" t="str">
        <f aca="false">IF(AND('MARZO 2026'!D6&lt;&gt;"",'MARZO 2026'!Z6="POR RECOGER"),TEXT('MARZO 2026'!G6,"DD/MM/YYYY"),"")</f>
        <v>01/03/2026</v>
      </c>
      <c r="F212" s="192" t="str">
        <f aca="false">IF(AND('MARZO 2026'!D6&lt;&gt;"",'MARZO 2026'!Z6="POR RECOGER"),'MARZO 2026'!K6,"")</f>
        <v>PETROLEO</v>
      </c>
      <c r="G212" s="193" t="n">
        <f aca="false">IF(AND('MARZO 2026'!D6&lt;&gt;"",'MARZO 2026'!Z6="POR RECOGER"),'MARZO 2026'!M6,"")</f>
        <v>7</v>
      </c>
      <c r="H212" s="193" t="n">
        <f aca="false">IF(AND('MARZO 2026'!D6&lt;&gt;"",'MARZO 2026'!Z6="POR RECOGER"),'MARZO 2026'!N6,"")</f>
        <v>141.75</v>
      </c>
      <c r="I212" s="192" t="str">
        <f aca="false">IF(AND('MARZO 2026'!D6&lt;&gt;"",'MARZO 2026'!Z6="POR RECOGER"),'MARZO 2026'!P6,"")</f>
        <v>PORTOCARRERO PELAEZ MIGUEL ANTONIO</v>
      </c>
      <c r="J212" s="192" t="str">
        <f aca="false">IF(AND('MARZO 2026'!D6&lt;&gt;"",'MARZO 2026'!Z6="POR RECOGER"),'MARZO 2026'!Q6,"")</f>
        <v>EUH-421</v>
      </c>
      <c r="K212" s="192" t="n">
        <f aca="false">IF(AND('MARZO 2026'!D6&lt;&gt;"",'MARZO 2026'!Z6="POR RECOGER"),'MARZO 2026'!Y6,"")</f>
        <v>0</v>
      </c>
      <c r="L212" s="192" t="str">
        <f aca="false">IF(AND('MARZO 2026'!D6&lt;&gt;"",'MARZO 2026'!Z6="POR RECOGER"),'MARZO 2026'!I6,"")</f>
        <v>MARIA AUXILIADORA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" hidden="false" customHeight="true" outlineLevel="0" collapsed="false">
      <c r="A213" s="192" t="str">
        <f aca="false">IF(AND('MARZO 2026'!D7&lt;&gt;"",'MARZO 2026'!Z7="POR RECOGER"),"MAR","")</f>
        <v>MAR</v>
      </c>
      <c r="B213" s="192" t="str">
        <f aca="false">IF(AND('MARZO 2026'!D7&lt;&gt;"",'MARZO 2026'!Z7="POR RECOGER"),IF('MARZO 2026'!Y7&lt;&gt;"",'MARZO 2026'!Y7,'MARZO 2026'!I7),"")</f>
        <v>MARIA AUXILIADORA</v>
      </c>
      <c r="C213" s="192" t="str">
        <f aca="false">IF(AND('MARZO 2026'!D7&lt;&gt;"",'MARZO 2026'!Z7="POR RECOGER"),'MARZO 2026'!D7,"")</f>
        <v>ALTAMIRANO AYAY SALATIEL</v>
      </c>
      <c r="D213" s="192" t="str">
        <f aca="false">IF(AND('MARZO 2026'!D7&lt;&gt;"",'MARZO 2026'!Z7="POR RECOGER"),'MARZO 2026'!F7,"")</f>
        <v>71734120</v>
      </c>
      <c r="E213" s="192" t="str">
        <f aca="false">IF(AND('MARZO 2026'!D7&lt;&gt;"",'MARZO 2026'!Z7="POR RECOGER"),TEXT('MARZO 2026'!G7,"DD/MM/YYYY"),"")</f>
        <v>01/03/2026</v>
      </c>
      <c r="F213" s="192" t="str">
        <f aca="false">IF(AND('MARZO 2026'!D7&lt;&gt;"",'MARZO 2026'!Z7="POR RECOGER"),'MARZO 2026'!K7,"")</f>
        <v>PETROLEO</v>
      </c>
      <c r="G213" s="193" t="n">
        <f aca="false">IF(AND('MARZO 2026'!D7&lt;&gt;"",'MARZO 2026'!Z7="POR RECOGER"),'MARZO 2026'!M7,"")</f>
        <v>7</v>
      </c>
      <c r="H213" s="193" t="n">
        <f aca="false">IF(AND('MARZO 2026'!D7&lt;&gt;"",'MARZO 2026'!Z7="POR RECOGER"),'MARZO 2026'!N7,"")</f>
        <v>141.75</v>
      </c>
      <c r="I213" s="192" t="str">
        <f aca="false">IF(AND('MARZO 2026'!D7&lt;&gt;"",'MARZO 2026'!Z7="POR RECOGER"),'MARZO 2026'!P7,"")</f>
        <v/>
      </c>
      <c r="J213" s="192" t="str">
        <f aca="false">IF(AND('MARZO 2026'!D7&lt;&gt;"",'MARZO 2026'!Z7="POR RECOGER"),'MARZO 2026'!Q7,"")</f>
        <v/>
      </c>
      <c r="K213" s="192" t="n">
        <f aca="false">IF(AND('MARZO 2026'!D7&lt;&gt;"",'MARZO 2026'!Z7="POR RECOGER"),'MARZO 2026'!Y7,"")</f>
        <v>0</v>
      </c>
      <c r="L213" s="192" t="str">
        <f aca="false">IF(AND('MARZO 2026'!D7&lt;&gt;"",'MARZO 2026'!Z7="POR RECOGER"),'MARZO 2026'!I7,"")</f>
        <v>MARIA AUXILIADORA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" hidden="false" customHeight="true" outlineLevel="0" collapsed="false">
      <c r="A214" s="192" t="str">
        <f aca="false">IF(AND('MARZO 2026'!D8&lt;&gt;"",'MARZO 2026'!Z8="POR RECOGER"),"MAR","")</f>
        <v>MAR</v>
      </c>
      <c r="B214" s="192" t="str">
        <f aca="false">IF(AND('MARZO 2026'!D8&lt;&gt;"",'MARZO 2026'!Z8="POR RECOGER"),IF('MARZO 2026'!Y8&lt;&gt;"",'MARZO 2026'!Y8,'MARZO 2026'!I8),"")</f>
        <v>JALCA GRANDE</v>
      </c>
      <c r="C214" s="192" t="str">
        <f aca="false">IF(AND('MARZO 2026'!D8&lt;&gt;"",'MARZO 2026'!Z8="POR RECOGER"),'MARZO 2026'!D8,"")</f>
        <v>HORNA GUIOP ANA VICTORIA</v>
      </c>
      <c r="D214" s="192" t="str">
        <f aca="false">IF(AND('MARZO 2026'!D8&lt;&gt;"",'MARZO 2026'!Z8="POR RECOGER"),'MARZO 2026'!F8,"")</f>
        <v>33416390</v>
      </c>
      <c r="E214" s="192" t="str">
        <f aca="false">IF(AND('MARZO 2026'!D8&lt;&gt;"",'MARZO 2026'!Z8="POR RECOGER"),TEXT('MARZO 2026'!G8,"DD/MM/YYYY"),"")</f>
        <v>01/03/2026</v>
      </c>
      <c r="F214" s="192" t="str">
        <f aca="false">IF(AND('MARZO 2026'!D8&lt;&gt;"",'MARZO 2026'!Z8="POR RECOGER"),'MARZO 2026'!K8,"")</f>
        <v>PETROLEO</v>
      </c>
      <c r="G214" s="193" t="n">
        <f aca="false">IF(AND('MARZO 2026'!D8&lt;&gt;"",'MARZO 2026'!Z8="POR RECOGER"),'MARZO 2026'!M8,"")</f>
        <v>7</v>
      </c>
      <c r="H214" s="193" t="n">
        <f aca="false">IF(AND('MARZO 2026'!D8&lt;&gt;"",'MARZO 2026'!Z8="POR RECOGER"),'MARZO 2026'!N8,"")</f>
        <v>127.26</v>
      </c>
      <c r="I214" s="192" t="str">
        <f aca="false">IF(AND('MARZO 2026'!D8&lt;&gt;"",'MARZO 2026'!Z8="POR RECOGER"),'MARZO 2026'!P8,"")</f>
        <v>LEIVA LARA JUNIOR</v>
      </c>
      <c r="J214" s="192" t="str">
        <f aca="false">IF(AND('MARZO 2026'!D8&lt;&gt;"",'MARZO 2026'!Z8="POR RECOGER"),'MARZO 2026'!Q8,"")</f>
        <v>EUC 959</v>
      </c>
      <c r="K214" s="192" t="n">
        <f aca="false">IF(AND('MARZO 2026'!D8&lt;&gt;"",'MARZO 2026'!Z8="POR RECOGER"),'MARZO 2026'!Y8,"")</f>
        <v>0</v>
      </c>
      <c r="L214" s="192" t="str">
        <f aca="false">IF(AND('MARZO 2026'!D8&lt;&gt;"",'MARZO 2026'!Z8="POR RECOGER"),'MARZO 2026'!I8,"")</f>
        <v>JALCA GRANDE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" hidden="false" customHeight="true" outlineLevel="0" collapsed="false">
      <c r="A215" s="192" t="str">
        <f aca="false">IF(AND('MARZO 2026'!D9&lt;&gt;"",'MARZO 2026'!Z9="POR RECOGER"),"MAR","")</f>
        <v>MAR</v>
      </c>
      <c r="B215" s="192" t="str">
        <f aca="false">IF(AND('MARZO 2026'!D9&lt;&gt;"",'MARZO 2026'!Z9="POR RECOGER"),IF('MARZO 2026'!Y9&lt;&gt;"",'MARZO 2026'!Y9,'MARZO 2026'!I9),"")</f>
        <v>POMACOCHAS</v>
      </c>
      <c r="C215" s="192" t="str">
        <f aca="false">IF(AND('MARZO 2026'!D9&lt;&gt;"",'MARZO 2026'!Z9="POR RECOGER"),'MARZO 2026'!D9,"")</f>
        <v>GUEVARA CUBAS ORLANDO JESUS</v>
      </c>
      <c r="D215" s="192" t="str">
        <f aca="false">IF(AND('MARZO 2026'!D9&lt;&gt;"",'MARZO 2026'!Z9="POR RECOGER"),'MARZO 2026'!F9,"")</f>
        <v>80251775</v>
      </c>
      <c r="E215" s="192" t="str">
        <f aca="false">IF(AND('MARZO 2026'!D9&lt;&gt;"",'MARZO 2026'!Z9="POR RECOGER"),TEXT('MARZO 2026'!G9,"DD/MM/YYYY"),"")</f>
        <v>01/03/2026</v>
      </c>
      <c r="F215" s="192" t="str">
        <f aca="false">IF(AND('MARZO 2026'!D9&lt;&gt;"",'MARZO 2026'!Z9="POR RECOGER"),'MARZO 2026'!K9,"")</f>
        <v>PETROLEO</v>
      </c>
      <c r="G215" s="193" t="n">
        <f aca="false">IF(AND('MARZO 2026'!D9&lt;&gt;"",'MARZO 2026'!Z9="POR RECOGER"),'MARZO 2026'!M9,"")</f>
        <v>6</v>
      </c>
      <c r="H215" s="193" t="n">
        <f aca="false">IF(AND('MARZO 2026'!D9&lt;&gt;"",'MARZO 2026'!Z9="POR RECOGER"),'MARZO 2026'!N9,"")</f>
        <v>109.08</v>
      </c>
      <c r="I215" s="192" t="str">
        <f aca="false">IF(AND('MARZO 2026'!D9&lt;&gt;"",'MARZO 2026'!Z9="POR RECOGER"),'MARZO 2026'!P9,"")</f>
        <v>CHICANA LOPEZ MANUEL HECTOR</v>
      </c>
      <c r="J215" s="192" t="str">
        <f aca="false">IF(AND('MARZO 2026'!D9&lt;&gt;"",'MARZO 2026'!Z9="POR RECOGER"),'MARZO 2026'!Q9,"")</f>
        <v>EUH747</v>
      </c>
      <c r="K215" s="192" t="n">
        <f aca="false">IF(AND('MARZO 2026'!D9&lt;&gt;"",'MARZO 2026'!Z9="POR RECOGER"),'MARZO 2026'!Y9,"")</f>
        <v>0</v>
      </c>
      <c r="L215" s="192" t="str">
        <f aca="false">IF(AND('MARZO 2026'!D9&lt;&gt;"",'MARZO 2026'!Z9="POR RECOGER"),'MARZO 2026'!I9,"")</f>
        <v>POMACOCHAS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" hidden="false" customHeight="true" outlineLevel="0" collapsed="false">
      <c r="A216" s="192" t="str">
        <f aca="false">IF(AND('MARZO 2026'!D10&lt;&gt;"",'MARZO 2026'!Z10="POR RECOGER"),"MAR","")</f>
        <v>MAR</v>
      </c>
      <c r="B216" s="192" t="str">
        <f aca="false">IF(AND('MARZO 2026'!D10&lt;&gt;"",'MARZO 2026'!Z10="POR RECOGER"),IF('MARZO 2026'!Y10&lt;&gt;"",'MARZO 2026'!Y10,'MARZO 2026'!I10),"")</f>
        <v>BUENOS AIRES</v>
      </c>
      <c r="C216" s="192" t="str">
        <f aca="false">IF(AND('MARZO 2026'!D10&lt;&gt;"",'MARZO 2026'!Z10="POR RECOGER"),'MARZO 2026'!D10,"")</f>
        <v>SEGURA BUSTAMANTE AIDEE</v>
      </c>
      <c r="D216" s="192" t="str">
        <f aca="false">IF(AND('MARZO 2026'!D10&lt;&gt;"",'MARZO 2026'!Z10="POR RECOGER"),'MARZO 2026'!F10,"")</f>
        <v>47664874</v>
      </c>
      <c r="E216" s="192" t="str">
        <f aca="false">IF(AND('MARZO 2026'!D10&lt;&gt;"",'MARZO 2026'!Z10="POR RECOGER"),TEXT('MARZO 2026'!G10,"DD/MM/YYYY"),"")</f>
        <v>01/03/2026</v>
      </c>
      <c r="F216" s="192" t="str">
        <f aca="false">IF(AND('MARZO 2026'!D10&lt;&gt;"",'MARZO 2026'!Z10="POR RECOGER"),'MARZO 2026'!K10,"")</f>
        <v>GASOLINA</v>
      </c>
      <c r="G216" s="193" t="n">
        <f aca="false">IF(AND('MARZO 2026'!D10&lt;&gt;"",'MARZO 2026'!Z10="POR RECOGER"),'MARZO 2026'!M10,"")</f>
        <v>15</v>
      </c>
      <c r="H216" s="193" t="n">
        <f aca="false">IF(AND('MARZO 2026'!D10&lt;&gt;"",'MARZO 2026'!Z10="POR RECOGER"),'MARZO 2026'!N10,"")</f>
        <v>269.25</v>
      </c>
      <c r="I216" s="192" t="str">
        <f aca="false">IF(AND('MARZO 2026'!D10&lt;&gt;"",'MARZO 2026'!Z10="POR RECOGER"),'MARZO 2026'!P10,"")</f>
        <v>RONAL SAUCEDO GUEVARA</v>
      </c>
      <c r="J216" s="192" t="str">
        <f aca="false">IF(AND('MARZO 2026'!D10&lt;&gt;"",'MARZO 2026'!Z10="POR RECOGER"),'MARZO 2026'!Q10,"")</f>
        <v>EUB-067</v>
      </c>
      <c r="K216" s="192" t="n">
        <f aca="false">IF(AND('MARZO 2026'!D10&lt;&gt;"",'MARZO 2026'!Z10="POR RECOGER"),'MARZO 2026'!Y10,"")</f>
        <v>0</v>
      </c>
      <c r="L216" s="192" t="str">
        <f aca="false">IF(AND('MARZO 2026'!D10&lt;&gt;"",'MARZO 2026'!Z10="POR RECOGER"),'MARZO 2026'!I10,"")</f>
        <v>BUENOS AIRES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" hidden="false" customHeight="true" outlineLevel="0" collapsed="false">
      <c r="A217" s="192" t="str">
        <f aca="false">IF(AND('MARZO 2026'!D11&lt;&gt;"",'MARZO 2026'!Z11="POR RECOGER"),"MAR","")</f>
        <v>MAR</v>
      </c>
      <c r="B217" s="192" t="str">
        <f aca="false">IF(AND('MARZO 2026'!D11&lt;&gt;"",'MARZO 2026'!Z11="POR RECOGER"),IF('MARZO 2026'!Y11&lt;&gt;"",'MARZO 2026'!Y11,'MARZO 2026'!I11),"")</f>
        <v>LUYA</v>
      </c>
      <c r="C217" s="192" t="str">
        <f aca="false">IF(AND('MARZO 2026'!D11&lt;&gt;"",'MARZO 2026'!Z11="POR RECOGER"),'MARZO 2026'!D11,"")</f>
        <v>DIAPIZ ROJAS DANNA ANTONELA</v>
      </c>
      <c r="D217" s="192" t="str">
        <f aca="false">IF(AND('MARZO 2026'!D11&lt;&gt;"",'MARZO 2026'!Z11="POR RECOGER"),'MARZO 2026'!F11,"")</f>
        <v>93906119</v>
      </c>
      <c r="E217" s="192" t="str">
        <f aca="false">IF(AND('MARZO 2026'!D11&lt;&gt;"",'MARZO 2026'!Z11="POR RECOGER"),TEXT('MARZO 2026'!G11,"DD/MM/YYYY"),"")</f>
        <v>01/03/2026</v>
      </c>
      <c r="F217" s="192" t="str">
        <f aca="false">IF(AND('MARZO 2026'!D11&lt;&gt;"",'MARZO 2026'!Z11="POR RECOGER"),'MARZO 2026'!K11,"")</f>
        <v>PETROLEO</v>
      </c>
      <c r="G217" s="193" t="n">
        <f aca="false">IF(AND('MARZO 2026'!D11&lt;&gt;"",'MARZO 2026'!Z11="POR RECOGER"),'MARZO 2026'!M11,"")</f>
        <v>4</v>
      </c>
      <c r="H217" s="193" t="n">
        <f aca="false">IF(AND('MARZO 2026'!D11&lt;&gt;"",'MARZO 2026'!Z11="POR RECOGER"),'MARZO 2026'!N11,"")</f>
        <v>72.72</v>
      </c>
      <c r="I217" s="192" t="str">
        <f aca="false">IF(AND('MARZO 2026'!D11&lt;&gt;"",'MARZO 2026'!Z11="POR RECOGER"),'MARZO 2026'!P11,"")</f>
        <v>DANIEL ZELADA TRUJILLO</v>
      </c>
      <c r="J217" s="192" t="str">
        <f aca="false">IF(AND('MARZO 2026'!D11&lt;&gt;"",'MARZO 2026'!Z11="POR RECOGER"),'MARZO 2026'!Q11,"")</f>
        <v>EUA-963</v>
      </c>
      <c r="K217" s="192" t="n">
        <f aca="false">IF(AND('MARZO 2026'!D11&lt;&gt;"",'MARZO 2026'!Z11="POR RECOGER"),'MARZO 2026'!Y11,"")</f>
        <v>0</v>
      </c>
      <c r="L217" s="192" t="str">
        <f aca="false">IF(AND('MARZO 2026'!D11&lt;&gt;"",'MARZO 2026'!Z11="POR RECOGER"),'MARZO 2026'!I11,"")</f>
        <v>LUYA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" hidden="false" customHeight="true" outlineLevel="0" collapsed="false">
      <c r="A218" s="192" t="str">
        <f aca="false">IF(AND('MARZO 2026'!D12&lt;&gt;"",'MARZO 2026'!Z12="POR RECOGER"),"MAR","")</f>
        <v>MAR</v>
      </c>
      <c r="B218" s="192" t="str">
        <f aca="false">IF(AND('MARZO 2026'!D12&lt;&gt;"",'MARZO 2026'!Z12="POR RECOGER"),IF('MARZO 2026'!Y12&lt;&gt;"",'MARZO 2026'!Y12,'MARZO 2026'!I12),"")</f>
        <v>MARIA AUXILIADORA</v>
      </c>
      <c r="C218" s="192" t="str">
        <f aca="false">IF(AND('MARZO 2026'!D12&lt;&gt;"",'MARZO 2026'!Z12="POR RECOGER"),'MARZO 2026'!D12,"")</f>
        <v>MUÑOZ LLANOS JUANA</v>
      </c>
      <c r="D218" s="192" t="str">
        <f aca="false">IF(AND('MARZO 2026'!D12&lt;&gt;"",'MARZO 2026'!Z12="POR RECOGER"),'MARZO 2026'!F12,"")</f>
        <v>49071793</v>
      </c>
      <c r="E218" s="192" t="str">
        <f aca="false">IF(AND('MARZO 2026'!D12&lt;&gt;"",'MARZO 2026'!Z12="POR RECOGER"),TEXT('MARZO 2026'!G12,"DD/MM/YYYY"),"")</f>
        <v>02/03/2026</v>
      </c>
      <c r="F218" s="192" t="str">
        <f aca="false">IF(AND('MARZO 2026'!D12&lt;&gt;"",'MARZO 2026'!Z12="POR RECOGER"),'MARZO 2026'!K12,"")</f>
        <v>PETROLEO</v>
      </c>
      <c r="G218" s="193" t="n">
        <f aca="false">IF(AND('MARZO 2026'!D12&lt;&gt;"",'MARZO 2026'!Z12="POR RECOGER"),'MARZO 2026'!M12,"")</f>
        <v>7.1</v>
      </c>
      <c r="H218" s="193" t="n">
        <f aca="false">IF(AND('MARZO 2026'!D12&lt;&gt;"",'MARZO 2026'!Z12="POR RECOGER"),'MARZO 2026'!N12,"")</f>
        <v>143.775</v>
      </c>
      <c r="I218" s="192" t="str">
        <f aca="false">IF(AND('MARZO 2026'!D12&lt;&gt;"",'MARZO 2026'!Z12="POR RECOGER"),'MARZO 2026'!P12,"")</f>
        <v>SERNAQUE PELAEZ WILMER</v>
      </c>
      <c r="J218" s="192" t="str">
        <f aca="false">IF(AND('MARZO 2026'!D12&lt;&gt;"",'MARZO 2026'!Z12="POR RECOGER"),'MARZO 2026'!Q12,"")</f>
        <v>EUH-421</v>
      </c>
      <c r="K218" s="192" t="n">
        <f aca="false">IF(AND('MARZO 2026'!D12&lt;&gt;"",'MARZO 2026'!Z12="POR RECOGER"),'MARZO 2026'!Y12,"")</f>
        <v>0</v>
      </c>
      <c r="L218" s="192" t="str">
        <f aca="false">IF(AND('MARZO 2026'!D12&lt;&gt;"",'MARZO 2026'!Z12="POR RECOGER"),'MARZO 2026'!I12,"")</f>
        <v>MARIA AUXILIADORA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" hidden="false" customHeight="true" outlineLevel="0" collapsed="false">
      <c r="A219" s="192" t="str">
        <f aca="false">IF(AND('MARZO 2026'!D13&lt;&gt;"",'MARZO 2026'!Z13="POR RECOGER"),"MAR","")</f>
        <v>MAR</v>
      </c>
      <c r="B219" s="192" t="str">
        <f aca="false">IF(AND('MARZO 2026'!D13&lt;&gt;"",'MARZO 2026'!Z13="POR RECOGER"),IF('MARZO 2026'!Y13&lt;&gt;"",'MARZO 2026'!Y13,'MARZO 2026'!I13),"")</f>
        <v>POMACOCHAS</v>
      </c>
      <c r="C219" s="192" t="str">
        <f aca="false">IF(AND('MARZO 2026'!D13&lt;&gt;"",'MARZO 2026'!Z13="POR RECOGER"),'MARZO 2026'!D13,"")</f>
        <v>VASQUEZ BENAVIDES FRANCISCO</v>
      </c>
      <c r="D219" s="192" t="str">
        <f aca="false">IF(AND('MARZO 2026'!D13&lt;&gt;"",'MARZO 2026'!Z13="POR RECOGER"),'MARZO 2026'!F13,"")</f>
        <v>27547313</v>
      </c>
      <c r="E219" s="192" t="str">
        <f aca="false">IF(AND('MARZO 2026'!D13&lt;&gt;"",'MARZO 2026'!Z13="POR RECOGER"),TEXT('MARZO 2026'!G13,"DD/MM/YYYY"),"")</f>
        <v>02/03/2026</v>
      </c>
      <c r="F219" s="192" t="str">
        <f aca="false">IF(AND('MARZO 2026'!D13&lt;&gt;"",'MARZO 2026'!Z13="POR RECOGER"),'MARZO 2026'!K13,"")</f>
        <v>PETROLEO</v>
      </c>
      <c r="G219" s="193" t="n">
        <f aca="false">IF(AND('MARZO 2026'!D13&lt;&gt;"",'MARZO 2026'!Z13="POR RECOGER"),'MARZO 2026'!M13,"")</f>
        <v>6</v>
      </c>
      <c r="H219" s="193" t="n">
        <f aca="false">IF(AND('MARZO 2026'!D13&lt;&gt;"",'MARZO 2026'!Z13="POR RECOGER"),'MARZO 2026'!N13,"")</f>
        <v>109.08</v>
      </c>
      <c r="I219" s="192" t="str">
        <f aca="false">IF(AND('MARZO 2026'!D13&lt;&gt;"",'MARZO 2026'!Z13="POR RECOGER"),'MARZO 2026'!P13,"")</f>
        <v>CHICANA LOPEZ MANUEL HECTOR</v>
      </c>
      <c r="J219" s="192" t="str">
        <f aca="false">IF(AND('MARZO 2026'!D13&lt;&gt;"",'MARZO 2026'!Z13="POR RECOGER"),'MARZO 2026'!Q13,"")</f>
        <v>EUH747</v>
      </c>
      <c r="K219" s="192" t="n">
        <f aca="false">IF(AND('MARZO 2026'!D13&lt;&gt;"",'MARZO 2026'!Z13="POR RECOGER"),'MARZO 2026'!Y13,"")</f>
        <v>0</v>
      </c>
      <c r="L219" s="192" t="str">
        <f aca="false">IF(AND('MARZO 2026'!D13&lt;&gt;"",'MARZO 2026'!Z13="POR RECOGER"),'MARZO 2026'!I13,"")</f>
        <v>POMACOCHAS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" hidden="false" customHeight="true" outlineLevel="0" collapsed="false">
      <c r="A220" s="192" t="str">
        <f aca="false">IF(AND('MARZO 2026'!D14&lt;&gt;"",'MARZO 2026'!Z14="POR RECOGER"),"MAR","")</f>
        <v>MAR</v>
      </c>
      <c r="B220" s="192" t="str">
        <f aca="false">IF(AND('MARZO 2026'!D14&lt;&gt;"",'MARZO 2026'!Z14="POR RECOGER"),IF('MARZO 2026'!Y14&lt;&gt;"",'MARZO 2026'!Y14,'MARZO 2026'!I14),"")</f>
        <v>MARIA AUXILIADORA</v>
      </c>
      <c r="C220" s="192" t="str">
        <f aca="false">IF(AND('MARZO 2026'!D14&lt;&gt;"",'MARZO 2026'!Z14="POR RECOGER"),'MARZO 2026'!D14,"")</f>
        <v>TEJADA TUESTA JUANA</v>
      </c>
      <c r="D220" s="192" t="str">
        <f aca="false">IF(AND('MARZO 2026'!D14&lt;&gt;"",'MARZO 2026'!Z14="POR RECOGER"),'MARZO 2026'!F14,"")</f>
        <v>33945273</v>
      </c>
      <c r="E220" s="192" t="str">
        <f aca="false">IF(AND('MARZO 2026'!D14&lt;&gt;"",'MARZO 2026'!Z14="POR RECOGER"),TEXT('MARZO 2026'!G14,"DD/MM/YYYY"),"")</f>
        <v>03/03/2026</v>
      </c>
      <c r="F220" s="192" t="str">
        <f aca="false">IF(AND('MARZO 2026'!D14&lt;&gt;"",'MARZO 2026'!Z14="POR RECOGER"),'MARZO 2026'!K14,"")</f>
        <v>PETROLEO</v>
      </c>
      <c r="G220" s="193" t="n">
        <f aca="false">IF(AND('MARZO 2026'!D14&lt;&gt;"",'MARZO 2026'!Z14="POR RECOGER"),'MARZO 2026'!M14,"")</f>
        <v>7</v>
      </c>
      <c r="H220" s="193" t="n">
        <f aca="false">IF(AND('MARZO 2026'!D14&lt;&gt;"",'MARZO 2026'!Z14="POR RECOGER"),'MARZO 2026'!N14,"")</f>
        <v>141.75</v>
      </c>
      <c r="I220" s="192" t="str">
        <f aca="false">IF(AND('MARZO 2026'!D14&lt;&gt;"",'MARZO 2026'!Z14="POR RECOGER"),'MARZO 2026'!P14,"")</f>
        <v>SERNAQUE PELAEZ WILMER</v>
      </c>
      <c r="J220" s="192" t="str">
        <f aca="false">IF(AND('MARZO 2026'!D14&lt;&gt;"",'MARZO 2026'!Z14="POR RECOGER"),'MARZO 2026'!Q14,"")</f>
        <v>EUH-421</v>
      </c>
      <c r="K220" s="192" t="n">
        <f aca="false">IF(AND('MARZO 2026'!D14&lt;&gt;"",'MARZO 2026'!Z14="POR RECOGER"),'MARZO 2026'!Y14,"")</f>
        <v>0</v>
      </c>
      <c r="L220" s="192" t="str">
        <f aca="false">IF(AND('MARZO 2026'!D14&lt;&gt;"",'MARZO 2026'!Z14="POR RECOGER"),'MARZO 2026'!I14,"")</f>
        <v>MARIA AUXILIADORA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" hidden="false" customHeight="true" outlineLevel="0" collapsed="false">
      <c r="A221" s="192" t="str">
        <f aca="false">IF(AND('MARZO 2026'!D15&lt;&gt;"",'MARZO 2026'!Z15="POR RECOGER"),"MAR","")</f>
        <v>MAR</v>
      </c>
      <c r="B221" s="192" t="str">
        <f aca="false">IF(AND('MARZO 2026'!D15&lt;&gt;"",'MARZO 2026'!Z15="POR RECOGER"),IF('MARZO 2026'!Y15&lt;&gt;"",'MARZO 2026'!Y15,'MARZO 2026'!I15),"")</f>
        <v>MARIA AUXILIADORA</v>
      </c>
      <c r="C221" s="192" t="str">
        <f aca="false">IF(AND('MARZO 2026'!D15&lt;&gt;"",'MARZO 2026'!Z15="POR RECOGER"),'MARZO 2026'!D15,"")</f>
        <v>REYNALDO HUAMAN CULQUI</v>
      </c>
      <c r="D221" s="192" t="str">
        <f aca="false">IF(AND('MARZO 2026'!D15&lt;&gt;"",'MARZO 2026'!Z15="POR RECOGER"),'MARZO 2026'!F15,"")</f>
        <v>80538348</v>
      </c>
      <c r="E221" s="192" t="str">
        <f aca="false">IF(AND('MARZO 2026'!D15&lt;&gt;"",'MARZO 2026'!Z15="POR RECOGER"),TEXT('MARZO 2026'!G15,"DD/MM/YYYY"),"")</f>
        <v>03/03/2026</v>
      </c>
      <c r="F221" s="192" t="str">
        <f aca="false">IF(AND('MARZO 2026'!D15&lt;&gt;"",'MARZO 2026'!Z15="POR RECOGER"),'MARZO 2026'!K15,"")</f>
        <v>PETROLEO</v>
      </c>
      <c r="G221" s="193" t="n">
        <f aca="false">IF(AND('MARZO 2026'!D15&lt;&gt;"",'MARZO 2026'!Z15="POR RECOGER"),'MARZO 2026'!M15,"")</f>
        <v>7</v>
      </c>
      <c r="H221" s="193" t="n">
        <f aca="false">IF(AND('MARZO 2026'!D15&lt;&gt;"",'MARZO 2026'!Z15="POR RECOGER"),'MARZO 2026'!N15,"")</f>
        <v>141.75</v>
      </c>
      <c r="I221" s="192" t="str">
        <f aca="false">IF(AND('MARZO 2026'!D15&lt;&gt;"",'MARZO 2026'!Z15="POR RECOGER"),'MARZO 2026'!P15,"")</f>
        <v>ROJAS ALVARADO BENJAMIN</v>
      </c>
      <c r="J221" s="192" t="str">
        <f aca="false">IF(AND('MARZO 2026'!D15&lt;&gt;"",'MARZO 2026'!Z15="POR RECOGER"),'MARZO 2026'!Q15,"")</f>
        <v>421 EUH</v>
      </c>
      <c r="K221" s="192" t="n">
        <f aca="false">IF(AND('MARZO 2026'!D15&lt;&gt;"",'MARZO 2026'!Z15="POR RECOGER"),'MARZO 2026'!Y15,"")</f>
        <v>0</v>
      </c>
      <c r="L221" s="192" t="str">
        <f aca="false">IF(AND('MARZO 2026'!D15&lt;&gt;"",'MARZO 2026'!Z15="POR RECOGER"),'MARZO 2026'!I15,"")</f>
        <v>MARIA AUXILIADORA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" hidden="false" customHeight="true" outlineLevel="0" collapsed="false">
      <c r="A222" s="192" t="str">
        <f aca="false">IF(AND('MARZO 2026'!D16&lt;&gt;"",'MARZO 2026'!Z16="POR RECOGER"),"MAR","")</f>
        <v>MAR</v>
      </c>
      <c r="B222" s="192" t="str">
        <f aca="false">IF(AND('MARZO 2026'!D16&lt;&gt;"",'MARZO 2026'!Z16="POR RECOGER"),IF('MARZO 2026'!Y16&lt;&gt;"",'MARZO 2026'!Y16,'MARZO 2026'!I16),"")</f>
        <v>PEDRO RUIZ GALLO</v>
      </c>
      <c r="C222" s="192" t="str">
        <f aca="false">IF(AND('MARZO 2026'!D16&lt;&gt;"",'MARZO 2026'!Z16="POR RECOGER"),'MARZO 2026'!D16,"")</f>
        <v>PEREZ DIAZ MARIA NELLY</v>
      </c>
      <c r="D222" s="192" t="str">
        <f aca="false">IF(AND('MARZO 2026'!D16&lt;&gt;"",'MARZO 2026'!Z16="POR RECOGER"),'MARZO 2026'!F16,"")</f>
        <v>76236830</v>
      </c>
      <c r="E222" s="192" t="str">
        <f aca="false">IF(AND('MARZO 2026'!D16&lt;&gt;"",'MARZO 2026'!Z16="POR RECOGER"),TEXT('MARZO 2026'!G16,"DD/MM/YYYY"),"")</f>
        <v>03/03/2026</v>
      </c>
      <c r="F222" s="192" t="str">
        <f aca="false">IF(AND('MARZO 2026'!D16&lt;&gt;"",'MARZO 2026'!Z16="POR RECOGER"),'MARZO 2026'!K16,"")</f>
        <v>PETROLEO</v>
      </c>
      <c r="G222" s="193" t="n">
        <f aca="false">IF(AND('MARZO 2026'!D16&lt;&gt;"",'MARZO 2026'!Z16="POR RECOGER"),'MARZO 2026'!M16,"")</f>
        <v>5</v>
      </c>
      <c r="H222" s="193" t="n">
        <f aca="false">IF(AND('MARZO 2026'!D16&lt;&gt;"",'MARZO 2026'!Z16="POR RECOGER"),'MARZO 2026'!N16,"")</f>
        <v>90.9</v>
      </c>
      <c r="I222" s="192" t="str">
        <f aca="false">IF(AND('MARZO 2026'!D16&lt;&gt;"",'MARZO 2026'!Z16="POR RECOGER"),'MARZO 2026'!P16,"")</f>
        <v>RIOS CHAVEZ WUILQUE</v>
      </c>
      <c r="J222" s="192" t="str">
        <f aca="false">IF(AND('MARZO 2026'!D16&lt;&gt;"",'MARZO 2026'!Z16="POR RECOGER"),'MARZO 2026'!Q16,"")</f>
        <v>EUD360</v>
      </c>
      <c r="K222" s="192" t="n">
        <f aca="false">IF(AND('MARZO 2026'!D16&lt;&gt;"",'MARZO 2026'!Z16="POR RECOGER"),'MARZO 2026'!Y16,"")</f>
        <v>0</v>
      </c>
      <c r="L222" s="192" t="str">
        <f aca="false">IF(AND('MARZO 2026'!D16&lt;&gt;"",'MARZO 2026'!Z16="POR RECOGER"),'MARZO 2026'!I16,"")</f>
        <v>PEDRO RUIZ GALLO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" hidden="false" customHeight="true" outlineLevel="0" collapsed="false">
      <c r="A223" s="192" t="str">
        <f aca="false">IF(AND('MARZO 2026'!D17&lt;&gt;"",'MARZO 2026'!Z17="POR RECOGER"),"MAR","")</f>
        <v>MAR</v>
      </c>
      <c r="B223" s="192" t="str">
        <f aca="false">IF(AND('MARZO 2026'!D17&lt;&gt;"",'MARZO 2026'!Z17="POR RECOGER"),IF('MARZO 2026'!Y17&lt;&gt;"",'MARZO 2026'!Y17,'MARZO 2026'!I17),"")</f>
        <v>YERBABUENA</v>
      </c>
      <c r="C223" s="192" t="str">
        <f aca="false">IF(AND('MARZO 2026'!D17&lt;&gt;"",'MARZO 2026'!Z17="POR RECOGER"),'MARZO 2026'!D17,"")</f>
        <v>HUERTA ORIHUELA FIORELA ISABEL</v>
      </c>
      <c r="D223" s="192" t="str">
        <f aca="false">IF(AND('MARZO 2026'!D17&lt;&gt;"",'MARZO 2026'!Z17="POR RECOGER"),'MARZO 2026'!F17,"")</f>
        <v>47598878</v>
      </c>
      <c r="E223" s="192" t="str">
        <f aca="false">IF(AND('MARZO 2026'!D17&lt;&gt;"",'MARZO 2026'!Z17="POR RECOGER"),TEXT('MARZO 2026'!G17,"DD/MM/YYYY"),"")</f>
        <v>04/03/2026</v>
      </c>
      <c r="F223" s="192" t="str">
        <f aca="false">IF(AND('MARZO 2026'!D17&lt;&gt;"",'MARZO 2026'!Z17="POR RECOGER"),'MARZO 2026'!K17,"")</f>
        <v>PETROLEO</v>
      </c>
      <c r="G223" s="193" t="n">
        <f aca="false">IF(AND('MARZO 2026'!D17&lt;&gt;"",'MARZO 2026'!Z17="POR RECOGER"),'MARZO 2026'!M17,"")</f>
        <v>6</v>
      </c>
      <c r="H223" s="193" t="n">
        <f aca="false">IF(AND('MARZO 2026'!D17&lt;&gt;"",'MARZO 2026'!Z17="POR RECOGER"),'MARZO 2026'!N17,"")</f>
        <v>109.08</v>
      </c>
      <c r="I223" s="192" t="str">
        <f aca="false">IF(AND('MARZO 2026'!D17&lt;&gt;"",'MARZO 2026'!Z17="POR RECOGER"),'MARZO 2026'!P17,"")</f>
        <v>SANCHEZ CAJO VICENTE</v>
      </c>
      <c r="J223" s="192" t="str">
        <f aca="false">IF(AND('MARZO 2026'!D17&lt;&gt;"",'MARZO 2026'!Z17="POR RECOGER"),'MARZO 2026'!Q17,"")</f>
        <v>EGL-296</v>
      </c>
      <c r="K223" s="192" t="n">
        <f aca="false">IF(AND('MARZO 2026'!D17&lt;&gt;"",'MARZO 2026'!Z17="POR RECOGER"),'MARZO 2026'!Y17,"")</f>
        <v>0</v>
      </c>
      <c r="L223" s="192" t="str">
        <f aca="false">IF(AND('MARZO 2026'!D17&lt;&gt;"",'MARZO 2026'!Z17="POR RECOGER"),'MARZO 2026'!I17,"")</f>
        <v>YERBABUENA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" hidden="false" customHeight="true" outlineLevel="0" collapsed="false">
      <c r="A224" s="192" t="str">
        <f aca="false">IF(AND('MARZO 2026'!D18&lt;&gt;"",'MARZO 2026'!Z18="POR RECOGER"),"MAR","")</f>
        <v>MAR</v>
      </c>
      <c r="B224" s="192" t="str">
        <f aca="false">IF(AND('MARZO 2026'!D18&lt;&gt;"",'MARZO 2026'!Z18="POR RECOGER"),IF('MARZO 2026'!Y18&lt;&gt;"",'MARZO 2026'!Y18,'MARZO 2026'!I18),"")</f>
        <v>PEDRO RUIZ GALLO</v>
      </c>
      <c r="C224" s="192" t="str">
        <f aca="false">IF(AND('MARZO 2026'!D18&lt;&gt;"",'MARZO 2026'!Z18="POR RECOGER"),'MARZO 2026'!D18,"")</f>
        <v>BARRANTES TAFUR SEBASTIAN</v>
      </c>
      <c r="D224" s="192" t="str">
        <f aca="false">IF(AND('MARZO 2026'!D18&lt;&gt;"",'MARZO 2026'!Z18="POR RECOGER"),'MARZO 2026'!F18,"")</f>
        <v>91328245</v>
      </c>
      <c r="E224" s="192" t="str">
        <f aca="false">IF(AND('MARZO 2026'!D18&lt;&gt;"",'MARZO 2026'!Z18="POR RECOGER"),TEXT('MARZO 2026'!G18,"DD/MM/YYYY"),"")</f>
        <v>04/03/2026</v>
      </c>
      <c r="F224" s="192" t="str">
        <f aca="false">IF(AND('MARZO 2026'!D18&lt;&gt;"",'MARZO 2026'!Z18="POR RECOGER"),'MARZO 2026'!K18,"")</f>
        <v>GASOLINA</v>
      </c>
      <c r="G224" s="193" t="n">
        <f aca="false">IF(AND('MARZO 2026'!D18&lt;&gt;"",'MARZO 2026'!Z18="POR RECOGER"),'MARZO 2026'!M18,"")</f>
        <v>6</v>
      </c>
      <c r="H224" s="193" t="n">
        <f aca="false">IF(AND('MARZO 2026'!D18&lt;&gt;"",'MARZO 2026'!Z18="POR RECOGER"),'MARZO 2026'!N18,"")</f>
        <v>107.7</v>
      </c>
      <c r="I224" s="192" t="str">
        <f aca="false">IF(AND('MARZO 2026'!D18&lt;&gt;"",'MARZO 2026'!Z18="POR RECOGER"),'MARZO 2026'!P18,"")</f>
        <v>MONTENEGRO RUIZ LUIS MIGUEL</v>
      </c>
      <c r="J224" s="192" t="str">
        <f aca="false">IF(AND('MARZO 2026'!D18&lt;&gt;"",'MARZO 2026'!Z18="POR RECOGER"),'MARZO 2026'!Q18,"")</f>
        <v>EUH-427</v>
      </c>
      <c r="K224" s="192" t="n">
        <f aca="false">IF(AND('MARZO 2026'!D18&lt;&gt;"",'MARZO 2026'!Z18="POR RECOGER"),'MARZO 2026'!Y18,"")</f>
        <v>0</v>
      </c>
      <c r="L224" s="192" t="str">
        <f aca="false">IF(AND('MARZO 2026'!D18&lt;&gt;"",'MARZO 2026'!Z18="POR RECOGER"),'MARZO 2026'!I18,"")</f>
        <v>PEDRO RUIZ GALLO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" hidden="false" customHeight="true" outlineLevel="0" collapsed="false">
      <c r="A225" s="192" t="str">
        <f aca="false">IF(AND('MARZO 2026'!D19&lt;&gt;"",'MARZO 2026'!Z19="POR RECOGER"),"MAR","")</f>
        <v>MAR</v>
      </c>
      <c r="B225" s="192" t="str">
        <f aca="false">IF(AND('MARZO 2026'!D19&lt;&gt;"",'MARZO 2026'!Z19="POR RECOGER"),IF('MARZO 2026'!Y19&lt;&gt;"",'MARZO 2026'!Y19,'MARZO 2026'!I19),"")</f>
        <v>MARIA AUXILIADORA</v>
      </c>
      <c r="C225" s="192" t="str">
        <f aca="false">IF(AND('MARZO 2026'!D19&lt;&gt;"",'MARZO 2026'!Z19="POR RECOGER"),'MARZO 2026'!D19,"")</f>
        <v>GUZMAN LLANOS GLORIELA</v>
      </c>
      <c r="D225" s="192" t="str">
        <f aca="false">IF(AND('MARZO 2026'!D19&lt;&gt;"",'MARZO 2026'!Z19="POR RECOGER"),'MARZO 2026'!F19,"")</f>
        <v>48615157</v>
      </c>
      <c r="E225" s="192" t="str">
        <f aca="false">IF(AND('MARZO 2026'!D19&lt;&gt;"",'MARZO 2026'!Z19="POR RECOGER"),TEXT('MARZO 2026'!G19,"DD/MM/YYYY"),"")</f>
        <v>05/03/2026</v>
      </c>
      <c r="F225" s="192" t="str">
        <f aca="false">IF(AND('MARZO 2026'!D19&lt;&gt;"",'MARZO 2026'!Z19="POR RECOGER"),'MARZO 2026'!K19,"")</f>
        <v>PETROLEO</v>
      </c>
      <c r="G225" s="193" t="n">
        <f aca="false">IF(AND('MARZO 2026'!D19&lt;&gt;"",'MARZO 2026'!Z19="POR RECOGER"),'MARZO 2026'!M19,"")</f>
        <v>7</v>
      </c>
      <c r="H225" s="193" t="n">
        <f aca="false">IF(AND('MARZO 2026'!D19&lt;&gt;"",'MARZO 2026'!Z19="POR RECOGER"),'MARZO 2026'!N19,"")</f>
        <v>141.75</v>
      </c>
      <c r="I225" s="192" t="str">
        <f aca="false">IF(AND('MARZO 2026'!D19&lt;&gt;"",'MARZO 2026'!Z19="POR RECOGER"),'MARZO 2026'!P19,"")</f>
        <v>PORTOCARRERO PELAEZ MIGUEL ANTONIO</v>
      </c>
      <c r="J225" s="192" t="str">
        <f aca="false">IF(AND('MARZO 2026'!D19&lt;&gt;"",'MARZO 2026'!Z19="POR RECOGER"),'MARZO 2026'!Q19,"")</f>
        <v>EUH-421</v>
      </c>
      <c r="K225" s="192" t="n">
        <f aca="false">IF(AND('MARZO 2026'!D19&lt;&gt;"",'MARZO 2026'!Z19="POR RECOGER"),'MARZO 2026'!Y19,"")</f>
        <v>0</v>
      </c>
      <c r="L225" s="192" t="str">
        <f aca="false">IF(AND('MARZO 2026'!D19&lt;&gt;"",'MARZO 2026'!Z19="POR RECOGER"),'MARZO 2026'!I19,"")</f>
        <v>MARIA AUXILIADORA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" hidden="false" customHeight="true" outlineLevel="0" collapsed="false">
      <c r="A226" s="192" t="str">
        <f aca="false">IF(AND('MARZO 2026'!D20&lt;&gt;"",'MARZO 2026'!Z20="POR RECOGER"),"MAR","")</f>
        <v>MAR</v>
      </c>
      <c r="B226" s="192" t="str">
        <f aca="false">IF(AND('MARZO 2026'!D20&lt;&gt;"",'MARZO 2026'!Z20="POR RECOGER"),IF('MARZO 2026'!Y20&lt;&gt;"",'MARZO 2026'!Y20,'MARZO 2026'!I20),"")</f>
        <v>YERBABUENA</v>
      </c>
      <c r="C226" s="192" t="str">
        <f aca="false">IF(AND('MARZO 2026'!D20&lt;&gt;"",'MARZO 2026'!Z20="POR RECOGER"),'MARZO 2026'!D20,"")</f>
        <v>SALAZAR RUIZ SAMUEL</v>
      </c>
      <c r="D226" s="192" t="str">
        <f aca="false">IF(AND('MARZO 2026'!D20&lt;&gt;"",'MARZO 2026'!Z20="POR RECOGER"),'MARZO 2026'!F20,"")</f>
        <v>33436255</v>
      </c>
      <c r="E226" s="192" t="str">
        <f aca="false">IF(AND('MARZO 2026'!D20&lt;&gt;"",'MARZO 2026'!Z20="POR RECOGER"),TEXT('MARZO 2026'!G20,"DD/MM/YYYY"),"")</f>
        <v>05/03/2026</v>
      </c>
      <c r="F226" s="192" t="str">
        <f aca="false">IF(AND('MARZO 2026'!D20&lt;&gt;"",'MARZO 2026'!Z20="POR RECOGER"),'MARZO 2026'!K20,"")</f>
        <v>PETROLEO</v>
      </c>
      <c r="G226" s="193" t="n">
        <f aca="false">IF(AND('MARZO 2026'!D20&lt;&gt;"",'MARZO 2026'!Z20="POR RECOGER"),'MARZO 2026'!M20,"")</f>
        <v>6</v>
      </c>
      <c r="H226" s="193" t="n">
        <f aca="false">IF(AND('MARZO 2026'!D20&lt;&gt;"",'MARZO 2026'!Z20="POR RECOGER"),'MARZO 2026'!N20,"")</f>
        <v>109.08</v>
      </c>
      <c r="I226" s="192" t="str">
        <f aca="false">IF(AND('MARZO 2026'!D20&lt;&gt;"",'MARZO 2026'!Z20="POR RECOGER"),'MARZO 2026'!P20,"")</f>
        <v>SANCHEZ CAJO VICENTE</v>
      </c>
      <c r="J226" s="192" t="str">
        <f aca="false">IF(AND('MARZO 2026'!D20&lt;&gt;"",'MARZO 2026'!Z20="POR RECOGER"),'MARZO 2026'!Q20,"")</f>
        <v>EGL-296</v>
      </c>
      <c r="K226" s="192" t="n">
        <f aca="false">IF(AND('MARZO 2026'!D20&lt;&gt;"",'MARZO 2026'!Z20="POR RECOGER"),'MARZO 2026'!Y20,"")</f>
        <v>0</v>
      </c>
      <c r="L226" s="192" t="str">
        <f aca="false">IF(AND('MARZO 2026'!D20&lt;&gt;"",'MARZO 2026'!Z20="POR RECOGER"),'MARZO 2026'!I20,"")</f>
        <v>YERBABUENA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" hidden="false" customHeight="true" outlineLevel="0" collapsed="false">
      <c r="A227" s="192" t="str">
        <f aca="false">IF(AND('MARZO 2026'!D21&lt;&gt;"",'MARZO 2026'!Z21="POR RECOGER"),"MAR","")</f>
        <v>MAR</v>
      </c>
      <c r="B227" s="192" t="str">
        <f aca="false">IF(AND('MARZO 2026'!D21&lt;&gt;"",'MARZO 2026'!Z21="POR RECOGER"),IF('MARZO 2026'!Y21&lt;&gt;"",'MARZO 2026'!Y21,'MARZO 2026'!I21),"")</f>
        <v>PEDRO RUIZ GALLO</v>
      </c>
      <c r="C227" s="192" t="str">
        <f aca="false">IF(AND('MARZO 2026'!D21&lt;&gt;"",'MARZO 2026'!Z21="POR RECOGER"),'MARZO 2026'!D21,"")</f>
        <v>CHUQUIZUTA VALQUI ANTONIA</v>
      </c>
      <c r="D227" s="192" t="str">
        <f aca="false">IF(AND('MARZO 2026'!D21&lt;&gt;"",'MARZO 2026'!Z21="POR RECOGER"),'MARZO 2026'!F21,"")</f>
        <v>72106519</v>
      </c>
      <c r="E227" s="192" t="str">
        <f aca="false">IF(AND('MARZO 2026'!D21&lt;&gt;"",'MARZO 2026'!Z21="POR RECOGER"),TEXT('MARZO 2026'!G21,"DD/MM/YYYY"),"")</f>
        <v>06/03/2026</v>
      </c>
      <c r="F227" s="192" t="str">
        <f aca="false">IF(AND('MARZO 2026'!D21&lt;&gt;"",'MARZO 2026'!Z21="POR RECOGER"),'MARZO 2026'!K21,"")</f>
        <v>GASOLINA</v>
      </c>
      <c r="G227" s="193" t="n">
        <f aca="false">IF(AND('MARZO 2026'!D21&lt;&gt;"",'MARZO 2026'!Z21="POR RECOGER"),'MARZO 2026'!M21,"")</f>
        <v>6</v>
      </c>
      <c r="H227" s="193" t="n">
        <f aca="false">IF(AND('MARZO 2026'!D21&lt;&gt;"",'MARZO 2026'!Z21="POR RECOGER"),'MARZO 2026'!N21,"")</f>
        <v>107.7</v>
      </c>
      <c r="I227" s="192" t="str">
        <f aca="false">IF(AND('MARZO 2026'!D21&lt;&gt;"",'MARZO 2026'!Z21="POR RECOGER"),'MARZO 2026'!P21,"")</f>
        <v>MONTENEGRO RUIZ LUIS MIGUEL</v>
      </c>
      <c r="J227" s="192" t="str">
        <f aca="false">IF(AND('MARZO 2026'!D21&lt;&gt;"",'MARZO 2026'!Z21="POR RECOGER"),'MARZO 2026'!Q21,"")</f>
        <v>EUH-427</v>
      </c>
      <c r="K227" s="192" t="n">
        <f aca="false">IF(AND('MARZO 2026'!D21&lt;&gt;"",'MARZO 2026'!Z21="POR RECOGER"),'MARZO 2026'!Y21,"")</f>
        <v>0</v>
      </c>
      <c r="L227" s="192" t="str">
        <f aca="false">IF(AND('MARZO 2026'!D21&lt;&gt;"",'MARZO 2026'!Z21="POR RECOGER"),'MARZO 2026'!I21,"")</f>
        <v>PEDRO RUIZ GALLO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" hidden="false" customHeight="true" outlineLevel="0" collapsed="false">
      <c r="A228" s="192" t="str">
        <f aca="false">IF(AND('MARZO 2026'!D22&lt;&gt;"",'MARZO 2026'!Z22="POR RECOGER"),"MAR","")</f>
        <v>MAR</v>
      </c>
      <c r="B228" s="192" t="str">
        <f aca="false">IF(AND('MARZO 2026'!D22&lt;&gt;"",'MARZO 2026'!Z22="POR RECOGER"),IF('MARZO 2026'!Y22&lt;&gt;"",'MARZO 2026'!Y22,'MARZO 2026'!I22),"")</f>
        <v>PEDRO RUIZ GALLO</v>
      </c>
      <c r="C228" s="192" t="str">
        <f aca="false">IF(AND('MARZO 2026'!D22&lt;&gt;"",'MARZO 2026'!Z22="POR RECOGER"),'MARZO 2026'!D22,"")</f>
        <v>PORTAL AÑASCO DENISE IBONE</v>
      </c>
      <c r="D228" s="192" t="str">
        <f aca="false">IF(AND('MARZO 2026'!D22&lt;&gt;"",'MARZO 2026'!Z22="POR RECOGER"),'MARZO 2026'!F22,"")</f>
        <v>33733965</v>
      </c>
      <c r="E228" s="192" t="str">
        <f aca="false">IF(AND('MARZO 2026'!D22&lt;&gt;"",'MARZO 2026'!Z22="POR RECOGER"),TEXT('MARZO 2026'!G22,"DD/MM/YYYY"),"")</f>
        <v>06/03/2026</v>
      </c>
      <c r="F228" s="192" t="str">
        <f aca="false">IF(AND('MARZO 2026'!D22&lt;&gt;"",'MARZO 2026'!Z22="POR RECOGER"),'MARZO 2026'!K22,"")</f>
        <v>GASOLINA</v>
      </c>
      <c r="G228" s="193" t="n">
        <f aca="false">IF(AND('MARZO 2026'!D22&lt;&gt;"",'MARZO 2026'!Z22="POR RECOGER"),'MARZO 2026'!M22,"")</f>
        <v>6</v>
      </c>
      <c r="H228" s="193" t="n">
        <f aca="false">IF(AND('MARZO 2026'!D22&lt;&gt;"",'MARZO 2026'!Z22="POR RECOGER"),'MARZO 2026'!N22,"")</f>
        <v>107.7</v>
      </c>
      <c r="I228" s="192" t="str">
        <f aca="false">IF(AND('MARZO 2026'!D22&lt;&gt;"",'MARZO 2026'!Z22="POR RECOGER"),'MARZO 2026'!P22,"")</f>
        <v>RIOS CHAVEZ WUILQUE</v>
      </c>
      <c r="J228" s="192" t="str">
        <f aca="false">IF(AND('MARZO 2026'!D22&lt;&gt;"",'MARZO 2026'!Z22="POR RECOGER"),'MARZO 2026'!Q22,"")</f>
        <v>EUD360</v>
      </c>
      <c r="K228" s="192" t="n">
        <f aca="false">IF(AND('MARZO 2026'!D22&lt;&gt;"",'MARZO 2026'!Z22="POR RECOGER"),'MARZO 2026'!Y22,"")</f>
        <v>0</v>
      </c>
      <c r="L228" s="192" t="str">
        <f aca="false">IF(AND('MARZO 2026'!D22&lt;&gt;"",'MARZO 2026'!Z22="POR RECOGER"),'MARZO 2026'!I22,"")</f>
        <v>PEDRO RUIZ GALLO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" hidden="false" customHeight="true" outlineLevel="0" collapsed="false">
      <c r="A229" s="192" t="str">
        <f aca="false">IF(AND('MARZO 2026'!D23&lt;&gt;"",'MARZO 2026'!Z23="POR RECOGER"),"MAR","")</f>
        <v>MAR</v>
      </c>
      <c r="B229" s="192" t="str">
        <f aca="false">IF(AND('MARZO 2026'!D23&lt;&gt;"",'MARZO 2026'!Z23="POR RECOGER"),IF('MARZO 2026'!Y23&lt;&gt;"",'MARZO 2026'!Y23,'MARZO 2026'!I23),"")</f>
        <v>MARIA AUXILIADORA</v>
      </c>
      <c r="C229" s="192" t="str">
        <f aca="false">IF(AND('MARZO 2026'!D23&lt;&gt;"",'MARZO 2026'!Z23="POR RECOGER"),'MARZO 2026'!D23,"")</f>
        <v>TAFUR LOPEZ RITA TRINIDAD</v>
      </c>
      <c r="D229" s="192" t="str">
        <f aca="false">IF(AND('MARZO 2026'!D23&lt;&gt;"",'MARZO 2026'!Z23="POR RECOGER"),'MARZO 2026'!F23,"")</f>
        <v>33949640</v>
      </c>
      <c r="E229" s="192" t="str">
        <f aca="false">IF(AND('MARZO 2026'!D23&lt;&gt;"",'MARZO 2026'!Z23="POR RECOGER"),TEXT('MARZO 2026'!G23,"DD/MM/YYYY"),"")</f>
        <v>06/03/2026</v>
      </c>
      <c r="F229" s="192" t="str">
        <f aca="false">IF(AND('MARZO 2026'!D23&lt;&gt;"",'MARZO 2026'!Z23="POR RECOGER"),'MARZO 2026'!K23,"")</f>
        <v>PETROLEO</v>
      </c>
      <c r="G229" s="193" t="n">
        <f aca="false">IF(AND('MARZO 2026'!D23&lt;&gt;"",'MARZO 2026'!Z23="POR RECOGER"),'MARZO 2026'!M23,"")</f>
        <v>7</v>
      </c>
      <c r="H229" s="193" t="n">
        <f aca="false">IF(AND('MARZO 2026'!D23&lt;&gt;"",'MARZO 2026'!Z23="POR RECOGER"),'MARZO 2026'!N23,"")</f>
        <v>141.75</v>
      </c>
      <c r="I229" s="192" t="str">
        <f aca="false">IF(AND('MARZO 2026'!D23&lt;&gt;"",'MARZO 2026'!Z23="POR RECOGER"),'MARZO 2026'!P23,"")</f>
        <v>SERNAQUE PELAEZ WILMER</v>
      </c>
      <c r="J229" s="192" t="str">
        <f aca="false">IF(AND('MARZO 2026'!D23&lt;&gt;"",'MARZO 2026'!Z23="POR RECOGER"),'MARZO 2026'!Q23,"")</f>
        <v>EUH-421</v>
      </c>
      <c r="K229" s="192" t="n">
        <f aca="false">IF(AND('MARZO 2026'!D23&lt;&gt;"",'MARZO 2026'!Z23="POR RECOGER"),'MARZO 2026'!Y23,"")</f>
        <v>0</v>
      </c>
      <c r="L229" s="192" t="str">
        <f aca="false">IF(AND('MARZO 2026'!D23&lt;&gt;"",'MARZO 2026'!Z23="POR RECOGER"),'MARZO 2026'!I23,"")</f>
        <v>MARIA AUXILIADORA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" hidden="false" customHeight="true" outlineLevel="0" collapsed="false">
      <c r="A230" s="192" t="str">
        <f aca="false">IF(AND('MARZO 2026'!D24&lt;&gt;"",'MARZO 2026'!Z24="POR RECOGER"),"MAR","")</f>
        <v>MAR</v>
      </c>
      <c r="B230" s="192" t="str">
        <f aca="false">IF(AND('MARZO 2026'!D24&lt;&gt;"",'MARZO 2026'!Z24="POR RECOGER"),IF('MARZO 2026'!Y24&lt;&gt;"",'MARZO 2026'!Y24,'MARZO 2026'!I24),"")</f>
        <v>OMIA</v>
      </c>
      <c r="C230" s="192" t="str">
        <f aca="false">IF(AND('MARZO 2026'!D24&lt;&gt;"",'MARZO 2026'!Z24="POR RECOGER"),'MARZO 2026'!D24,"")</f>
        <v>ARENAS HERNANDEZ NATALY</v>
      </c>
      <c r="D230" s="192" t="str">
        <f aca="false">IF(AND('MARZO 2026'!D24&lt;&gt;"",'MARZO 2026'!Z24="POR RECOGER"),'MARZO 2026'!F24,"")</f>
        <v>43793289</v>
      </c>
      <c r="E230" s="192" t="str">
        <f aca="false">IF(AND('MARZO 2026'!D24&lt;&gt;"",'MARZO 2026'!Z24="POR RECOGER"),TEXT('MARZO 2026'!G24,"DD/MM/YYYY"),"")</f>
        <v>07/03/2026</v>
      </c>
      <c r="F230" s="192" t="str">
        <f aca="false">IF(AND('MARZO 2026'!D24&lt;&gt;"",'MARZO 2026'!Z24="POR RECOGER"),'MARZO 2026'!K24,"")</f>
        <v>PETROLEO</v>
      </c>
      <c r="G230" s="193" t="n">
        <f aca="false">IF(AND('MARZO 2026'!D24&lt;&gt;"",'MARZO 2026'!Z24="POR RECOGER"),'MARZO 2026'!M24,"")</f>
        <v>3</v>
      </c>
      <c r="H230" s="193" t="n">
        <f aca="false">IF(AND('MARZO 2026'!D24&lt;&gt;"",'MARZO 2026'!Z24="POR RECOGER"),'MARZO 2026'!N24,"")</f>
        <v>60.75</v>
      </c>
      <c r="I230" s="192" t="str">
        <f aca="false">IF(AND('MARZO 2026'!D24&lt;&gt;"",'MARZO 2026'!Z24="POR RECOGER"),'MARZO 2026'!P24,"")</f>
        <v>LOPEZ VARGAS HUBER</v>
      </c>
      <c r="J230" s="192" t="str">
        <f aca="false">IF(AND('MARZO 2026'!D24&lt;&gt;"",'MARZO 2026'!Z24="POR RECOGER"),'MARZO 2026'!Q24,"")</f>
        <v>EUH 634</v>
      </c>
      <c r="K230" s="192" t="n">
        <f aca="false">IF(AND('MARZO 2026'!D24&lt;&gt;"",'MARZO 2026'!Z24="POR RECOGER"),'MARZO 2026'!Y24,"")</f>
        <v>0</v>
      </c>
      <c r="L230" s="192" t="str">
        <f aca="false">IF(AND('MARZO 2026'!D24&lt;&gt;"",'MARZO 2026'!Z24="POR RECOGER"),'MARZO 2026'!I24,"")</f>
        <v>OMIA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" hidden="false" customHeight="true" outlineLevel="0" collapsed="false">
      <c r="A231" s="192" t="str">
        <f aca="false">IF(AND('MARZO 2026'!D25&lt;&gt;"",'MARZO 2026'!Z25="POR RECOGER"),"MAR","")</f>
        <v>MAR</v>
      </c>
      <c r="B231" s="192" t="str">
        <f aca="false">IF(AND('MARZO 2026'!D25&lt;&gt;"",'MARZO 2026'!Z25="POR RECOGER"),IF('MARZO 2026'!Y25&lt;&gt;"",'MARZO 2026'!Y25,'MARZO 2026'!I25),"")</f>
        <v>MARIA AUXILIADORA</v>
      </c>
      <c r="C231" s="192" t="str">
        <f aca="false">IF(AND('MARZO 2026'!D25&lt;&gt;"",'MARZO 2026'!Z25="POR RECOGER"),'MARZO 2026'!D25,"")</f>
        <v>CHAVEZ PELAEZ MARINA</v>
      </c>
      <c r="D231" s="192" t="str">
        <f aca="false">IF(AND('MARZO 2026'!D25&lt;&gt;"",'MARZO 2026'!Z25="POR RECOGER"),'MARZO 2026'!F25,"")</f>
        <v>49019221</v>
      </c>
      <c r="E231" s="192" t="str">
        <f aca="false">IF(AND('MARZO 2026'!D25&lt;&gt;"",'MARZO 2026'!Z25="POR RECOGER"),TEXT('MARZO 2026'!G25,"DD/MM/YYYY"),"")</f>
        <v>07/03/2026</v>
      </c>
      <c r="F231" s="192" t="str">
        <f aca="false">IF(AND('MARZO 2026'!D25&lt;&gt;"",'MARZO 2026'!Z25="POR RECOGER"),'MARZO 2026'!K25,"")</f>
        <v>PETROLEO</v>
      </c>
      <c r="G231" s="193" t="n">
        <f aca="false">IF(AND('MARZO 2026'!D25&lt;&gt;"",'MARZO 2026'!Z25="POR RECOGER"),'MARZO 2026'!M25,"")</f>
        <v>7</v>
      </c>
      <c r="H231" s="193" t="n">
        <f aca="false">IF(AND('MARZO 2026'!D25&lt;&gt;"",'MARZO 2026'!Z25="POR RECOGER"),'MARZO 2026'!N25,"")</f>
        <v>141.75</v>
      </c>
      <c r="I231" s="192" t="str">
        <f aca="false">IF(AND('MARZO 2026'!D25&lt;&gt;"",'MARZO 2026'!Z25="POR RECOGER"),'MARZO 2026'!P25,"")</f>
        <v>SERNAQUE PELAEZ WILMER</v>
      </c>
      <c r="J231" s="192" t="str">
        <f aca="false">IF(AND('MARZO 2026'!D25&lt;&gt;"",'MARZO 2026'!Z25="POR RECOGER"),'MARZO 2026'!Q25,"")</f>
        <v>EUH-421</v>
      </c>
      <c r="K231" s="192" t="n">
        <f aca="false">IF(AND('MARZO 2026'!D25&lt;&gt;"",'MARZO 2026'!Z25="POR RECOGER"),'MARZO 2026'!Y25,"")</f>
        <v>0</v>
      </c>
      <c r="L231" s="192" t="str">
        <f aca="false">IF(AND('MARZO 2026'!D25&lt;&gt;"",'MARZO 2026'!Z25="POR RECOGER"),'MARZO 2026'!I25,"")</f>
        <v>MARIA AUXILIADORA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" hidden="false" customHeight="true" outlineLevel="0" collapsed="false">
      <c r="A232" s="192" t="str">
        <f aca="false">IF(AND('MARZO 2026'!D26&lt;&gt;"",'MARZO 2026'!Z26="POR RECOGER"),"MAR","")</f>
        <v>MAR</v>
      </c>
      <c r="B232" s="192" t="str">
        <f aca="false">IF(AND('MARZO 2026'!D26&lt;&gt;"",'MARZO 2026'!Z26="POR RECOGER"),IF('MARZO 2026'!Y26&lt;&gt;"",'MARZO 2026'!Y26,'MARZO 2026'!I26),"")</f>
        <v>COCOCHO</v>
      </c>
      <c r="C232" s="192" t="str">
        <f aca="false">IF(AND('MARZO 2026'!D26&lt;&gt;"",'MARZO 2026'!Z26="POR RECOGER"),'MARZO 2026'!D26,"")</f>
        <v>FONSECA MARTINEZ JHIANINA</v>
      </c>
      <c r="D232" s="192" t="str">
        <f aca="false">IF(AND('MARZO 2026'!D26&lt;&gt;"",'MARZO 2026'!Z26="POR RECOGER"),'MARZO 2026'!F26,"")</f>
        <v>75524926</v>
      </c>
      <c r="E232" s="192" t="str">
        <f aca="false">IF(AND('MARZO 2026'!D26&lt;&gt;"",'MARZO 2026'!Z26="POR RECOGER"),TEXT('MARZO 2026'!G26,"DD/MM/YYYY"),"")</f>
        <v>07/03/2026</v>
      </c>
      <c r="F232" s="192" t="str">
        <f aca="false">IF(AND('MARZO 2026'!D26&lt;&gt;"",'MARZO 2026'!Z26="POR RECOGER"),'MARZO 2026'!K26,"")</f>
        <v>PETROLEO</v>
      </c>
      <c r="G232" s="193" t="n">
        <f aca="false">IF(AND('MARZO 2026'!D26&lt;&gt;"",'MARZO 2026'!Z26="POR RECOGER"),'MARZO 2026'!M26,"")</f>
        <v>20</v>
      </c>
      <c r="H232" s="193" t="n">
        <f aca="false">IF(AND('MARZO 2026'!D26&lt;&gt;"",'MARZO 2026'!Z26="POR RECOGER"),'MARZO 2026'!N26,"")</f>
        <v>363.6</v>
      </c>
      <c r="I232" s="192" t="str">
        <f aca="false">IF(AND('MARZO 2026'!D26&lt;&gt;"",'MARZO 2026'!Z26="POR RECOGER"),'MARZO 2026'!P26,"")</f>
        <v>NAIDER TELLO ESTELA</v>
      </c>
      <c r="J232" s="192" t="str">
        <f aca="false">IF(AND('MARZO 2026'!D26&lt;&gt;"",'MARZO 2026'!Z26="POR RECOGER"),'MARZO 2026'!Q26,"")</f>
        <v>EUH-708</v>
      </c>
      <c r="K232" s="192" t="str">
        <f aca="false">IF(AND('MARZO 2026'!D26&lt;&gt;"",'MARZO 2026'!Z26="POR RECOGER"),'MARZO 2026'!Y26,"")</f>
        <v>COCOCHO</v>
      </c>
      <c r="L232" s="192" t="str">
        <f aca="false">IF(AND('MARZO 2026'!D26&lt;&gt;"",'MARZO 2026'!Z26="POR RECOGER"),'MARZO 2026'!I26,"")</f>
        <v>GUADALUPE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" hidden="false" customHeight="true" outlineLevel="0" collapsed="false">
      <c r="A233" s="192" t="str">
        <f aca="false">IF(AND('MARZO 2026'!D27&lt;&gt;"",'MARZO 2026'!Z27="POR RECOGER"),"MAR","")</f>
        <v>MAR</v>
      </c>
      <c r="B233" s="192" t="str">
        <f aca="false">IF(AND('MARZO 2026'!D27&lt;&gt;"",'MARZO 2026'!Z27="POR RECOGER"),IF('MARZO 2026'!Y27&lt;&gt;"",'MARZO 2026'!Y27,'MARZO 2026'!I27),"")</f>
        <v>MARIA AUXILIADORA</v>
      </c>
      <c r="C233" s="192" t="str">
        <f aca="false">IF(AND('MARZO 2026'!D27&lt;&gt;"",'MARZO 2026'!Z27="POR RECOGER"),'MARZO 2026'!D27,"")</f>
        <v>MUÑOZ VILLALOVOS JUAN</v>
      </c>
      <c r="D233" s="192" t="str">
        <f aca="false">IF(AND('MARZO 2026'!D27&lt;&gt;"",'MARZO 2026'!Z27="POR RECOGER"),'MARZO 2026'!F27,"")</f>
        <v>3686526</v>
      </c>
      <c r="E233" s="192" t="str">
        <f aca="false">IF(AND('MARZO 2026'!D27&lt;&gt;"",'MARZO 2026'!Z27="POR RECOGER"),TEXT('MARZO 2026'!G27,"DD/MM/YYYY"),"")</f>
        <v>08/03/2026</v>
      </c>
      <c r="F233" s="192" t="str">
        <f aca="false">IF(AND('MARZO 2026'!D27&lt;&gt;"",'MARZO 2026'!Z27="POR RECOGER"),'MARZO 2026'!K27,"")</f>
        <v>PETROLEO</v>
      </c>
      <c r="G233" s="193" t="n">
        <f aca="false">IF(AND('MARZO 2026'!D27&lt;&gt;"",'MARZO 2026'!Z27="POR RECOGER"),'MARZO 2026'!M27,"")</f>
        <v>7</v>
      </c>
      <c r="H233" s="193" t="n">
        <f aca="false">IF(AND('MARZO 2026'!D27&lt;&gt;"",'MARZO 2026'!Z27="POR RECOGER"),'MARZO 2026'!N27,"")</f>
        <v>141.75</v>
      </c>
      <c r="I233" s="192" t="str">
        <f aca="false">IF(AND('MARZO 2026'!D27&lt;&gt;"",'MARZO 2026'!Z27="POR RECOGER"),'MARZO 2026'!P27,"")</f>
        <v>PORTOCARRERO PELAEZ MIGUEL ANTONIO</v>
      </c>
      <c r="J233" s="192" t="str">
        <f aca="false">IF(AND('MARZO 2026'!D27&lt;&gt;"",'MARZO 2026'!Z27="POR RECOGER"),'MARZO 2026'!Q27,"")</f>
        <v>EUH-421</v>
      </c>
      <c r="K233" s="192" t="n">
        <f aca="false">IF(AND('MARZO 2026'!D27&lt;&gt;"",'MARZO 2026'!Z27="POR RECOGER"),'MARZO 2026'!Y27,"")</f>
        <v>0</v>
      </c>
      <c r="L233" s="192" t="str">
        <f aca="false">IF(AND('MARZO 2026'!D27&lt;&gt;"",'MARZO 2026'!Z27="POR RECOGER"),'MARZO 2026'!I27,"")</f>
        <v>MARIA AUXILIADORA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" hidden="false" customHeight="true" outlineLevel="0" collapsed="false">
      <c r="A234" s="192" t="str">
        <f aca="false">IF(AND('MARZO 2026'!D28&lt;&gt;"",'MARZO 2026'!Z28="POR RECOGER"),"MAR","")</f>
        <v>MAR</v>
      </c>
      <c r="B234" s="192" t="str">
        <f aca="false">IF(AND('MARZO 2026'!D28&lt;&gt;"",'MARZO 2026'!Z28="POR RECOGER"),IF('MARZO 2026'!Y28&lt;&gt;"",'MARZO 2026'!Y28,'MARZO 2026'!I28),"")</f>
        <v>YERBABUENA</v>
      </c>
      <c r="C234" s="192" t="str">
        <f aca="false">IF(AND('MARZO 2026'!D28&lt;&gt;"",'MARZO 2026'!Z28="POR RECOGER"),'MARZO 2026'!D28,"")</f>
        <v>EDQUEN IDROGO MAXIMILIANO</v>
      </c>
      <c r="D234" s="192" t="str">
        <f aca="false">IF(AND('MARZO 2026'!D28&lt;&gt;"",'MARZO 2026'!Z28="POR RECOGER"),'MARZO 2026'!F28,"")</f>
        <v>33431626</v>
      </c>
      <c r="E234" s="192" t="str">
        <f aca="false">IF(AND('MARZO 2026'!D28&lt;&gt;"",'MARZO 2026'!Z28="POR RECOGER"),TEXT('MARZO 2026'!G28,"DD/MM/YYYY"),"")</f>
        <v>08/03/2026</v>
      </c>
      <c r="F234" s="192" t="str">
        <f aca="false">IF(AND('MARZO 2026'!D28&lt;&gt;"",'MARZO 2026'!Z28="POR RECOGER"),'MARZO 2026'!K28,"")</f>
        <v>PETROLEO</v>
      </c>
      <c r="G234" s="193" t="n">
        <f aca="false">IF(AND('MARZO 2026'!D28&lt;&gt;"",'MARZO 2026'!Z28="POR RECOGER"),'MARZO 2026'!M28,"")</f>
        <v>6</v>
      </c>
      <c r="H234" s="193" t="n">
        <f aca="false">IF(AND('MARZO 2026'!D28&lt;&gt;"",'MARZO 2026'!Z28="POR RECOGER"),'MARZO 2026'!N28,"")</f>
        <v>109.08</v>
      </c>
      <c r="I234" s="192" t="str">
        <f aca="false">IF(AND('MARZO 2026'!D28&lt;&gt;"",'MARZO 2026'!Z28="POR RECOGER"),'MARZO 2026'!P28,"")</f>
        <v>SANCHEZ CAJO VICENTE</v>
      </c>
      <c r="J234" s="192" t="str">
        <f aca="false">IF(AND('MARZO 2026'!D28&lt;&gt;"",'MARZO 2026'!Z28="POR RECOGER"),'MARZO 2026'!Q28,"")</f>
        <v>EGL-296</v>
      </c>
      <c r="K234" s="192" t="n">
        <f aca="false">IF(AND('MARZO 2026'!D28&lt;&gt;"",'MARZO 2026'!Z28="POR RECOGER"),'MARZO 2026'!Y28,"")</f>
        <v>0</v>
      </c>
      <c r="L234" s="192" t="str">
        <f aca="false">IF(AND('MARZO 2026'!D28&lt;&gt;"",'MARZO 2026'!Z28="POR RECOGER"),'MARZO 2026'!I28,"")</f>
        <v>YERBABUENA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" hidden="false" customHeight="true" outlineLevel="0" collapsed="false">
      <c r="A235" s="192" t="str">
        <f aca="false">IF(AND('MARZO 2026'!D29&lt;&gt;"",'MARZO 2026'!Z29="POR RECOGER"),"MAR","")</f>
        <v>MAR</v>
      </c>
      <c r="B235" s="192" t="str">
        <f aca="false">IF(AND('MARZO 2026'!D29&lt;&gt;"",'MARZO 2026'!Z29="POR RECOGER"),IF('MARZO 2026'!Y29&lt;&gt;"",'MARZO 2026'!Y29,'MARZO 2026'!I29),"")</f>
        <v>OCALLI</v>
      </c>
      <c r="C235" s="192" t="str">
        <f aca="false">IF(AND('MARZO 2026'!D29&lt;&gt;"",'MARZO 2026'!Z29="POR RECOGER"),'MARZO 2026'!D29,"")</f>
        <v>CHALAS TISNADO NANCY RAQUEL</v>
      </c>
      <c r="D235" s="192" t="str">
        <f aca="false">IF(AND('MARZO 2026'!D29&lt;&gt;"",'MARZO 2026'!Z29="POR RECOGER"),'MARZO 2026'!F29,"")</f>
        <v>44592948</v>
      </c>
      <c r="E235" s="192" t="str">
        <f aca="false">IF(AND('MARZO 2026'!D29&lt;&gt;"",'MARZO 2026'!Z29="POR RECOGER"),TEXT('MARZO 2026'!G29,"DD/MM/YYYY"),"")</f>
        <v>08/03/2026</v>
      </c>
      <c r="F235" s="192" t="str">
        <f aca="false">IF(AND('MARZO 2026'!D29&lt;&gt;"",'MARZO 2026'!Z29="POR RECOGER"),'MARZO 2026'!K29,"")</f>
        <v>PETROLEO</v>
      </c>
      <c r="G235" s="193" t="n">
        <f aca="false">IF(AND('MARZO 2026'!D29&lt;&gt;"",'MARZO 2026'!Z29="POR RECOGER"),'MARZO 2026'!M29,"")</f>
        <v>22</v>
      </c>
      <c r="H235" s="193" t="n">
        <f aca="false">IF(AND('MARZO 2026'!D29&lt;&gt;"",'MARZO 2026'!Z29="POR RECOGER"),'MARZO 2026'!N29,"")</f>
        <v>399.96</v>
      </c>
      <c r="I235" s="192" t="str">
        <f aca="false">IF(AND('MARZO 2026'!D29&lt;&gt;"",'MARZO 2026'!Z29="POR RECOGER"),'MARZO 2026'!P29,"")</f>
        <v>ALBERTO FARRO PEREZ</v>
      </c>
      <c r="J235" s="192" t="str">
        <f aca="false">IF(AND('MARZO 2026'!D29&lt;&gt;"",'MARZO 2026'!Z29="POR RECOGER"),'MARZO 2026'!Q29,"")</f>
        <v>EGO-124</v>
      </c>
      <c r="K235" s="192" t="n">
        <f aca="false">IF(AND('MARZO 2026'!D29&lt;&gt;"",'MARZO 2026'!Z29="POR RECOGER"),'MARZO 2026'!Y29,"")</f>
        <v>0</v>
      </c>
      <c r="L235" s="192" t="str">
        <f aca="false">IF(AND('MARZO 2026'!D29&lt;&gt;"",'MARZO 2026'!Z29="POR RECOGER"),'MARZO 2026'!I29,"")</f>
        <v>OCALLI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" hidden="false" customHeight="true" outlineLevel="0" collapsed="false">
      <c r="A236" s="192" t="str">
        <f aca="false">IF(AND('MARZO 2026'!D30&lt;&gt;"",'MARZO 2026'!Z30="POR RECOGER"),"MAR","")</f>
        <v>MAR</v>
      </c>
      <c r="B236" s="192" t="str">
        <f aca="false">IF(AND('MARZO 2026'!D30&lt;&gt;"",'MARZO 2026'!Z30="POR RECOGER"),IF('MARZO 2026'!Y30&lt;&gt;"",'MARZO 2026'!Y30,'MARZO 2026'!I30),"")</f>
        <v>PEDRO RUIZ GALLO</v>
      </c>
      <c r="C236" s="192" t="str">
        <f aca="false">IF(AND('MARZO 2026'!D30&lt;&gt;"",'MARZO 2026'!Z30="POR RECOGER"),'MARZO 2026'!D30,"")</f>
        <v>TAFUR HOYOS ROSA LIDIA</v>
      </c>
      <c r="D236" s="192" t="str">
        <f aca="false">IF(AND('MARZO 2026'!D30&lt;&gt;"",'MARZO 2026'!Z30="POR RECOGER"),'MARZO 2026'!F30,"")</f>
        <v>33739130</v>
      </c>
      <c r="E236" s="192" t="str">
        <f aca="false">IF(AND('MARZO 2026'!D30&lt;&gt;"",'MARZO 2026'!Z30="POR RECOGER"),TEXT('MARZO 2026'!G30,"DD/MM/YYYY"),"")</f>
        <v>09/03/2026</v>
      </c>
      <c r="F236" s="192" t="str">
        <f aca="false">IF(AND('MARZO 2026'!D30&lt;&gt;"",'MARZO 2026'!Z30="POR RECOGER"),'MARZO 2026'!K30,"")</f>
        <v>PETROLEO</v>
      </c>
      <c r="G236" s="193" t="n">
        <f aca="false">IF(AND('MARZO 2026'!D30&lt;&gt;"",'MARZO 2026'!Z30="POR RECOGER"),'MARZO 2026'!M30,"")</f>
        <v>5</v>
      </c>
      <c r="H236" s="193" t="n">
        <f aca="false">IF(AND('MARZO 2026'!D30&lt;&gt;"",'MARZO 2026'!Z30="POR RECOGER"),'MARZO 2026'!N30,"")</f>
        <v>90.9</v>
      </c>
      <c r="I236" s="192" t="str">
        <f aca="false">IF(AND('MARZO 2026'!D30&lt;&gt;"",'MARZO 2026'!Z30="POR RECOGER"),'MARZO 2026'!P30,"")</f>
        <v>MONTENEGRO RUIZ LUIS MIGUEL</v>
      </c>
      <c r="J236" s="192" t="str">
        <f aca="false">IF(AND('MARZO 2026'!D30&lt;&gt;"",'MARZO 2026'!Z30="POR RECOGER"),'MARZO 2026'!Q30,"")</f>
        <v>EUH-427</v>
      </c>
      <c r="K236" s="192" t="n">
        <f aca="false">IF(AND('MARZO 2026'!D30&lt;&gt;"",'MARZO 2026'!Z30="POR RECOGER"),'MARZO 2026'!Y30,"")</f>
        <v>0</v>
      </c>
      <c r="L236" s="192" t="str">
        <f aca="false">IF(AND('MARZO 2026'!D30&lt;&gt;"",'MARZO 2026'!Z30="POR RECOGER"),'MARZO 2026'!I30,"")</f>
        <v>PEDRO RUIZ GALLO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" hidden="false" customHeight="true" outlineLevel="0" collapsed="false">
      <c r="A237" s="192" t="str">
        <f aca="false">IF(AND('MARZO 2026'!D31&lt;&gt;"",'MARZO 2026'!Z31="POR RECOGER"),"MAR","")</f>
        <v>MAR</v>
      </c>
      <c r="B237" s="192" t="str">
        <f aca="false">IF(AND('MARZO 2026'!D31&lt;&gt;"",'MARZO 2026'!Z31="POR RECOGER"),IF('MARZO 2026'!Y31&lt;&gt;"",'MARZO 2026'!Y31,'MARZO 2026'!I31),"")</f>
        <v>COCOCHO</v>
      </c>
      <c r="C237" s="192" t="str">
        <f aca="false">IF(AND('MARZO 2026'!D31&lt;&gt;"",'MARZO 2026'!Z31="POR RECOGER"),'MARZO 2026'!D31,"")</f>
        <v>CASAS RAMOS FLORECINDA</v>
      </c>
      <c r="D237" s="192" t="str">
        <f aca="false">IF(AND('MARZO 2026'!D31&lt;&gt;"",'MARZO 2026'!Z31="POR RECOGER"),'MARZO 2026'!F31,"")</f>
        <v>48437939</v>
      </c>
      <c r="E237" s="192" t="str">
        <f aca="false">IF(AND('MARZO 2026'!D31&lt;&gt;"",'MARZO 2026'!Z31="POR RECOGER"),TEXT('MARZO 2026'!G31,"DD/MM/YYYY"),"")</f>
        <v>09/03/2026</v>
      </c>
      <c r="F237" s="192" t="str">
        <f aca="false">IF(AND('MARZO 2026'!D31&lt;&gt;"",'MARZO 2026'!Z31="POR RECOGER"),'MARZO 2026'!K31,"")</f>
        <v>PETROLEO</v>
      </c>
      <c r="G237" s="193" t="n">
        <f aca="false">IF(AND('MARZO 2026'!D31&lt;&gt;"",'MARZO 2026'!Z31="POR RECOGER"),'MARZO 2026'!M31,"")</f>
        <v>22</v>
      </c>
      <c r="H237" s="193" t="n">
        <f aca="false">IF(AND('MARZO 2026'!D31&lt;&gt;"",'MARZO 2026'!Z31="POR RECOGER"),'MARZO 2026'!N31,"")</f>
        <v>399.96</v>
      </c>
      <c r="I237" s="192" t="str">
        <f aca="false">IF(AND('MARZO 2026'!D31&lt;&gt;"",'MARZO 2026'!Z31="POR RECOGER"),'MARZO 2026'!P31,"")</f>
        <v>NAIDER TELLO ESTELA</v>
      </c>
      <c r="J237" s="192" t="str">
        <f aca="false">IF(AND('MARZO 2026'!D31&lt;&gt;"",'MARZO 2026'!Z31="POR RECOGER"),'MARZO 2026'!Q31,"")</f>
        <v>EUH-708</v>
      </c>
      <c r="K237" s="192" t="n">
        <f aca="false">IF(AND('MARZO 2026'!D31&lt;&gt;"",'MARZO 2026'!Z31="POR RECOGER"),'MARZO 2026'!Y31,"")</f>
        <v>0</v>
      </c>
      <c r="L237" s="192" t="str">
        <f aca="false">IF(AND('MARZO 2026'!D31&lt;&gt;"",'MARZO 2026'!Z31="POR RECOGER"),'MARZO 2026'!I31,"")</f>
        <v>COCOCHO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" hidden="false" customHeight="true" outlineLevel="0" collapsed="false">
      <c r="A238" s="192" t="str">
        <f aca="false">IF(AND('MARZO 2026'!D32&lt;&gt;"",'MARZO 2026'!Z32="POR RECOGER"),"MAR","")</f>
        <v>MAR</v>
      </c>
      <c r="B238" s="192" t="str">
        <f aca="false">IF(AND('MARZO 2026'!D32&lt;&gt;"",'MARZO 2026'!Z32="POR RECOGER"),IF('MARZO 2026'!Y32&lt;&gt;"",'MARZO 2026'!Y32,'MARZO 2026'!I32),"")</f>
        <v>MARIA AUXILIADORA</v>
      </c>
      <c r="C238" s="192" t="str">
        <f aca="false">IF(AND('MARZO 2026'!D32&lt;&gt;"",'MARZO 2026'!Z32="POR RECOGER"),'MARZO 2026'!D32,"")</f>
        <v>JARA ALIAGA ALDAIR ANTENOR</v>
      </c>
      <c r="D238" s="192" t="str">
        <f aca="false">IF(AND('MARZO 2026'!D32&lt;&gt;"",'MARZO 2026'!Z32="POR RECOGER"),'MARZO 2026'!F32,"")</f>
        <v>63721070</v>
      </c>
      <c r="E238" s="192" t="str">
        <f aca="false">IF(AND('MARZO 2026'!D32&lt;&gt;"",'MARZO 2026'!Z32="POR RECOGER"),TEXT('MARZO 2026'!G32,"DD/MM/YYYY"),"")</f>
        <v>10/03/2026</v>
      </c>
      <c r="F238" s="192" t="str">
        <f aca="false">IF(AND('MARZO 2026'!D32&lt;&gt;"",'MARZO 2026'!Z32="POR RECOGER"),'MARZO 2026'!K32,"")</f>
        <v>PETROLEO</v>
      </c>
      <c r="G238" s="193" t="n">
        <f aca="false">IF(AND('MARZO 2026'!D32&lt;&gt;"",'MARZO 2026'!Z32="POR RECOGER"),'MARZO 2026'!M32,"")</f>
        <v>7</v>
      </c>
      <c r="H238" s="193" t="n">
        <f aca="false">IF(AND('MARZO 2026'!D32&lt;&gt;"",'MARZO 2026'!Z32="POR RECOGER"),'MARZO 2026'!N32,"")</f>
        <v>141.75</v>
      </c>
      <c r="I238" s="192" t="str">
        <f aca="false">IF(AND('MARZO 2026'!D32&lt;&gt;"",'MARZO 2026'!Z32="POR RECOGER"),'MARZO 2026'!P32,"")</f>
        <v>PORTOCARRERO PELAEZ MIGUEL ANTONIO</v>
      </c>
      <c r="J238" s="192" t="str">
        <f aca="false">IF(AND('MARZO 2026'!D32&lt;&gt;"",'MARZO 2026'!Z32="POR RECOGER"),'MARZO 2026'!Q32,"")</f>
        <v>EUH-421</v>
      </c>
      <c r="K238" s="192" t="n">
        <f aca="false">IF(AND('MARZO 2026'!D32&lt;&gt;"",'MARZO 2026'!Z32="POR RECOGER"),'MARZO 2026'!Y32,"")</f>
        <v>0</v>
      </c>
      <c r="L238" s="192" t="str">
        <f aca="false">IF(AND('MARZO 2026'!D32&lt;&gt;"",'MARZO 2026'!Z32="POR RECOGER"),'MARZO 2026'!I32,"")</f>
        <v>MARIA AUXILIADORA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" hidden="false" customHeight="true" outlineLevel="0" collapsed="false">
      <c r="A239" s="192" t="str">
        <f aca="false">IF(AND('MARZO 2026'!D33&lt;&gt;"",'MARZO 2026'!Z33="POR RECOGER"),"MAR","")</f>
        <v>MAR</v>
      </c>
      <c r="B239" s="192" t="str">
        <f aca="false">IF(AND('MARZO 2026'!D33&lt;&gt;"",'MARZO 2026'!Z33="POR RECOGER"),IF('MARZO 2026'!Y33&lt;&gt;"",'MARZO 2026'!Y33,'MARZO 2026'!I33),"")</f>
        <v>POMACOCHAS</v>
      </c>
      <c r="C239" s="192" t="str">
        <f aca="false">IF(AND('MARZO 2026'!D33&lt;&gt;"",'MARZO 2026'!Z33="POR RECOGER"),'MARZO 2026'!D33,"")</f>
        <v>MENDOZA ZUTA VICTOR</v>
      </c>
      <c r="D239" s="192" t="str">
        <f aca="false">IF(AND('MARZO 2026'!D33&lt;&gt;"",'MARZO 2026'!Z33="POR RECOGER"),'MARZO 2026'!F33,"")</f>
        <v>33725852</v>
      </c>
      <c r="E239" s="192" t="str">
        <f aca="false">IF(AND('MARZO 2026'!D33&lt;&gt;"",'MARZO 2026'!Z33="POR RECOGER"),TEXT('MARZO 2026'!G33,"DD/MM/YYYY"),"")</f>
        <v>10/03/2026</v>
      </c>
      <c r="F239" s="192" t="str">
        <f aca="false">IF(AND('MARZO 2026'!D33&lt;&gt;"",'MARZO 2026'!Z33="POR RECOGER"),'MARZO 2026'!K33,"")</f>
        <v>GASOLINA</v>
      </c>
      <c r="G239" s="193" t="n">
        <f aca="false">IF(AND('MARZO 2026'!D33&lt;&gt;"",'MARZO 2026'!Z33="POR RECOGER"),'MARZO 2026'!M33,"")</f>
        <v>11</v>
      </c>
      <c r="H239" s="193" t="n">
        <f aca="false">IF(AND('MARZO 2026'!D33&lt;&gt;"",'MARZO 2026'!Z33="POR RECOGER"),'MARZO 2026'!N33,"")</f>
        <v>197.45</v>
      </c>
      <c r="I239" s="192" t="str">
        <f aca="false">IF(AND('MARZO 2026'!D33&lt;&gt;"",'MARZO 2026'!Z33="POR RECOGER"),'MARZO 2026'!P33,"")</f>
        <v>CARRERA ARAUJO JEINER</v>
      </c>
      <c r="J239" s="192" t="str">
        <f aca="false">IF(AND('MARZO 2026'!D33&lt;&gt;"",'MARZO 2026'!Z33="POR RECOGER"),'MARZO 2026'!Q33,"")</f>
        <v>EUH747</v>
      </c>
      <c r="K239" s="192" t="n">
        <f aca="false">IF(AND('MARZO 2026'!D33&lt;&gt;"",'MARZO 2026'!Z33="POR RECOGER"),'MARZO 2026'!Y33,"")</f>
        <v>0</v>
      </c>
      <c r="L239" s="192" t="str">
        <f aca="false">IF(AND('MARZO 2026'!D33&lt;&gt;"",'MARZO 2026'!Z33="POR RECOGER"),'MARZO 2026'!I33,"")</f>
        <v>POMACOCHAS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" hidden="false" customHeight="true" outlineLevel="0" collapsed="false">
      <c r="A240" s="192" t="str">
        <f aca="false">IF(AND('MARZO 2026'!D34&lt;&gt;"",'MARZO 2026'!Z34="POR RECOGER"),"MAR","")</f>
        <v>MAR</v>
      </c>
      <c r="B240" s="192" t="str">
        <f aca="false">IF(AND('MARZO 2026'!D34&lt;&gt;"",'MARZO 2026'!Z34="POR RECOGER"),IF('MARZO 2026'!Y34&lt;&gt;"",'MARZO 2026'!Y34,'MARZO 2026'!I34),"")</f>
        <v>MARIA AUXILIADORA</v>
      </c>
      <c r="C240" s="192" t="str">
        <f aca="false">IF(AND('MARZO 2026'!D34&lt;&gt;"",'MARZO 2026'!Z34="POR RECOGER"),'MARZO 2026'!D34,"")</f>
        <v>MEJIA DOMINGUEZ LILI LLOVANI</v>
      </c>
      <c r="D240" s="192" t="str">
        <f aca="false">IF(AND('MARZO 2026'!D34&lt;&gt;"",'MARZO 2026'!Z34="POR RECOGER"),'MARZO 2026'!F34,"")</f>
        <v>74448692</v>
      </c>
      <c r="E240" s="192" t="str">
        <f aca="false">IF(AND('MARZO 2026'!D34&lt;&gt;"",'MARZO 2026'!Z34="POR RECOGER"),TEXT('MARZO 2026'!G34,"DD/MM/YYYY"),"")</f>
        <v>10/03/2026</v>
      </c>
      <c r="F240" s="192" t="str">
        <f aca="false">IF(AND('MARZO 2026'!D34&lt;&gt;"",'MARZO 2026'!Z34="POR RECOGER"),'MARZO 2026'!K34,"")</f>
        <v>PETROLEO</v>
      </c>
      <c r="G240" s="193" t="n">
        <f aca="false">IF(AND('MARZO 2026'!D34&lt;&gt;"",'MARZO 2026'!Z34="POR RECOGER"),'MARZO 2026'!M34,"")</f>
        <v>7</v>
      </c>
      <c r="H240" s="193" t="n">
        <f aca="false">IF(AND('MARZO 2026'!D34&lt;&gt;"",'MARZO 2026'!Z34="POR RECOGER"),'MARZO 2026'!N34,"")</f>
        <v>141.75</v>
      </c>
      <c r="I240" s="192" t="str">
        <f aca="false">IF(AND('MARZO 2026'!D34&lt;&gt;"",'MARZO 2026'!Z34="POR RECOGER"),'MARZO 2026'!P34,"")</f>
        <v>PORTOCARRERO PELAEZ MIGUEL ANTONIO</v>
      </c>
      <c r="J240" s="192" t="str">
        <f aca="false">IF(AND('MARZO 2026'!D34&lt;&gt;"",'MARZO 2026'!Z34="POR RECOGER"),'MARZO 2026'!Q34,"")</f>
        <v>EUH-421</v>
      </c>
      <c r="K240" s="192" t="n">
        <f aca="false">IF(AND('MARZO 2026'!D34&lt;&gt;"",'MARZO 2026'!Z34="POR RECOGER"),'MARZO 2026'!Y34,"")</f>
        <v>0</v>
      </c>
      <c r="L240" s="192" t="str">
        <f aca="false">IF(AND('MARZO 2026'!D34&lt;&gt;"",'MARZO 2026'!Z34="POR RECOGER"),'MARZO 2026'!I34,"")</f>
        <v>MARIA AUXILIADORA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" hidden="false" customHeight="true" outlineLevel="0" collapsed="false">
      <c r="A241" s="192" t="str">
        <f aca="false">IF(AND('MARZO 2026'!D35&lt;&gt;"",'MARZO 2026'!Z35="POR RECOGER"),"MAR","")</f>
        <v>MAR</v>
      </c>
      <c r="B241" s="192" t="str">
        <f aca="false">IF(AND('MARZO 2026'!D35&lt;&gt;"",'MARZO 2026'!Z35="POR RECOGER"),IF('MARZO 2026'!Y35&lt;&gt;"",'MARZO 2026'!Y35,'MARZO 2026'!I35),"")</f>
        <v>OCALLI</v>
      </c>
      <c r="C241" s="192" t="str">
        <f aca="false">IF(AND('MARZO 2026'!D35&lt;&gt;"",'MARZO 2026'!Z35="POR RECOGER"),'MARZO 2026'!D35,"")</f>
        <v>MUÑOZ NAYERLY CARLOS</v>
      </c>
      <c r="D241" s="192" t="str">
        <f aca="false">IF(AND('MARZO 2026'!D35&lt;&gt;"",'MARZO 2026'!Z35="POR RECOGER"),'MARZO 2026'!F35,"")</f>
        <v>78203690</v>
      </c>
      <c r="E241" s="192" t="str">
        <f aca="false">IF(AND('MARZO 2026'!D35&lt;&gt;"",'MARZO 2026'!Z35="POR RECOGER"),TEXT('MARZO 2026'!G35,"DD/MM/YYYY"),"")</f>
        <v>10/03/2026</v>
      </c>
      <c r="F241" s="192" t="str">
        <f aca="false">IF(AND('MARZO 2026'!D35&lt;&gt;"",'MARZO 2026'!Z35="POR RECOGER"),'MARZO 2026'!K35,"")</f>
        <v>PETROLEO</v>
      </c>
      <c r="G241" s="193" t="n">
        <f aca="false">IF(AND('MARZO 2026'!D35&lt;&gt;"",'MARZO 2026'!Z35="POR RECOGER"),'MARZO 2026'!M35,"")</f>
        <v>20</v>
      </c>
      <c r="H241" s="193" t="n">
        <f aca="false">IF(AND('MARZO 2026'!D35&lt;&gt;"",'MARZO 2026'!Z35="POR RECOGER"),'MARZO 2026'!N35,"")</f>
        <v>363.6</v>
      </c>
      <c r="I241" s="192" t="str">
        <f aca="false">IF(AND('MARZO 2026'!D35&lt;&gt;"",'MARZO 2026'!Z35="POR RECOGER"),'MARZO 2026'!P35,"")</f>
        <v>ALBERTO FARRO PEREZ</v>
      </c>
      <c r="J241" s="192" t="str">
        <f aca="false">IF(AND('MARZO 2026'!D35&lt;&gt;"",'MARZO 2026'!Z35="POR RECOGER"),'MARZO 2026'!Q35,"")</f>
        <v>EGO-124</v>
      </c>
      <c r="K241" s="192" t="str">
        <f aca="false">IF(AND('MARZO 2026'!D35&lt;&gt;"",'MARZO 2026'!Z35="POR RECOGER"),'MARZO 2026'!Y35,"")</f>
        <v>OCALLI</v>
      </c>
      <c r="L241" s="192" t="str">
        <f aca="false">IF(AND('MARZO 2026'!D35&lt;&gt;"",'MARZO 2026'!Z35="POR RECOGER"),'MARZO 2026'!I35,"")</f>
        <v>SAN JUAN DE OCUMAL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" hidden="false" customHeight="true" outlineLevel="0" collapsed="false">
      <c r="A242" s="192" t="str">
        <f aca="false">IF(AND('MARZO 2026'!D36&lt;&gt;"",'MARZO 2026'!Z36="POR RECOGER"),"MAR","")</f>
        <v>MAR</v>
      </c>
      <c r="B242" s="192" t="str">
        <f aca="false">IF(AND('MARZO 2026'!D36&lt;&gt;"",'MARZO 2026'!Z36="POR RECOGER"),IF('MARZO 2026'!Y36&lt;&gt;"",'MARZO 2026'!Y36,'MARZO 2026'!I36),"")</f>
        <v>YERBABUENA</v>
      </c>
      <c r="C242" s="192" t="str">
        <f aca="false">IF(AND('MARZO 2026'!D36&lt;&gt;"",'MARZO 2026'!Z36="POR RECOGER"),'MARZO 2026'!D36,"")</f>
        <v>VALDEZ MORI HERMILA</v>
      </c>
      <c r="D242" s="192" t="str">
        <f aca="false">IF(AND('MARZO 2026'!D36&lt;&gt;"",'MARZO 2026'!Z36="POR RECOGER"),'MARZO 2026'!F36,"")</f>
        <v>33804235</v>
      </c>
      <c r="E242" s="192" t="str">
        <f aca="false">IF(AND('MARZO 2026'!D36&lt;&gt;"",'MARZO 2026'!Z36="POR RECOGER"),TEXT('MARZO 2026'!G36,"DD/MM/YYYY"),"")</f>
        <v>11/03/2026</v>
      </c>
      <c r="F242" s="192" t="str">
        <f aca="false">IF(AND('MARZO 2026'!D36&lt;&gt;"",'MARZO 2026'!Z36="POR RECOGER"),'MARZO 2026'!K36,"")</f>
        <v>PETROLEO</v>
      </c>
      <c r="G242" s="193" t="n">
        <f aca="false">IF(AND('MARZO 2026'!D36&lt;&gt;"",'MARZO 2026'!Z36="POR RECOGER"),'MARZO 2026'!M36,"")</f>
        <v>8</v>
      </c>
      <c r="H242" s="193" t="n">
        <f aca="false">IF(AND('MARZO 2026'!D36&lt;&gt;"",'MARZO 2026'!Z36="POR RECOGER"),'MARZO 2026'!N36,"")</f>
        <v>145.44</v>
      </c>
      <c r="I242" s="192" t="str">
        <f aca="false">IF(AND('MARZO 2026'!D36&lt;&gt;"",'MARZO 2026'!Z36="POR RECOGER"),'MARZO 2026'!P36,"")</f>
        <v>LEIVA LARA JUNIOR</v>
      </c>
      <c r="J242" s="192" t="str">
        <f aca="false">IF(AND('MARZO 2026'!D36&lt;&gt;"",'MARZO 2026'!Z36="POR RECOGER"),'MARZO 2026'!Q36,"")</f>
        <v>EUC 959</v>
      </c>
      <c r="K242" s="192" t="n">
        <f aca="false">IF(AND('MARZO 2026'!D36&lt;&gt;"",'MARZO 2026'!Z36="POR RECOGER"),'MARZO 2026'!Y36,"")</f>
        <v>0</v>
      </c>
      <c r="L242" s="192" t="str">
        <f aca="false">IF(AND('MARZO 2026'!D36&lt;&gt;"",'MARZO 2026'!Z36="POR RECOGER"),'MARZO 2026'!I36,"")</f>
        <v>YERBABUENA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" hidden="false" customHeight="true" outlineLevel="0" collapsed="false">
      <c r="A243" s="192" t="str">
        <f aca="false">IF(AND('MARZO 2026'!D37&lt;&gt;"",'MARZO 2026'!Z37="POR RECOGER"),"MAR","")</f>
        <v>MAR</v>
      </c>
      <c r="B243" s="192" t="str">
        <f aca="false">IF(AND('MARZO 2026'!D37&lt;&gt;"",'MARZO 2026'!Z37="POR RECOGER"),IF('MARZO 2026'!Y37&lt;&gt;"",'MARZO 2026'!Y37,'MARZO 2026'!I37),"")</f>
        <v>MARIA AUXILIADORA</v>
      </c>
      <c r="C243" s="192" t="str">
        <f aca="false">IF(AND('MARZO 2026'!D37&lt;&gt;"",'MARZO 2026'!Z37="POR RECOGER"),'MARZO 2026'!D37,"")</f>
        <v>PORTOCARRERO ARISTA ROSA SOFIA</v>
      </c>
      <c r="D243" s="192" t="str">
        <f aca="false">IF(AND('MARZO 2026'!D37&lt;&gt;"",'MARZO 2026'!Z37="POR RECOGER"),'MARZO 2026'!F37,"")</f>
        <v>33944625</v>
      </c>
      <c r="E243" s="192" t="str">
        <f aca="false">IF(AND('MARZO 2026'!D37&lt;&gt;"",'MARZO 2026'!Z37="POR RECOGER"),TEXT('MARZO 2026'!G37,"DD/MM/YYYY"),"")</f>
        <v>11/03/2026</v>
      </c>
      <c r="F243" s="192" t="str">
        <f aca="false">IF(AND('MARZO 2026'!D37&lt;&gt;"",'MARZO 2026'!Z37="POR RECOGER"),'MARZO 2026'!K37,"")</f>
        <v>PETROLEO</v>
      </c>
      <c r="G243" s="193" t="n">
        <f aca="false">IF(AND('MARZO 2026'!D37&lt;&gt;"",'MARZO 2026'!Z37="POR RECOGER"),'MARZO 2026'!M37,"")</f>
        <v>7</v>
      </c>
      <c r="H243" s="193" t="n">
        <f aca="false">IF(AND('MARZO 2026'!D37&lt;&gt;"",'MARZO 2026'!Z37="POR RECOGER"),'MARZO 2026'!N37,"")</f>
        <v>141.75</v>
      </c>
      <c r="I243" s="192" t="str">
        <f aca="false">IF(AND('MARZO 2026'!D37&lt;&gt;"",'MARZO 2026'!Z37="POR RECOGER"),'MARZO 2026'!P37,"")</f>
        <v>ROJAS ALVARADO BENJAMIN</v>
      </c>
      <c r="J243" s="192" t="str">
        <f aca="false">IF(AND('MARZO 2026'!D37&lt;&gt;"",'MARZO 2026'!Z37="POR RECOGER"),'MARZO 2026'!Q37,"")</f>
        <v>421 EUH</v>
      </c>
      <c r="K243" s="192" t="n">
        <f aca="false">IF(AND('MARZO 2026'!D37&lt;&gt;"",'MARZO 2026'!Z37="POR RECOGER"),'MARZO 2026'!Y37,"")</f>
        <v>0</v>
      </c>
      <c r="L243" s="192" t="str">
        <f aca="false">IF(AND('MARZO 2026'!D37&lt;&gt;"",'MARZO 2026'!Z37="POR RECOGER"),'MARZO 2026'!I37,"")</f>
        <v>MARIA AUXILIADORA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" hidden="false" customHeight="true" outlineLevel="0" collapsed="false">
      <c r="A244" s="192" t="str">
        <f aca="false">IF(AND('MARZO 2026'!D38&lt;&gt;"",'MARZO 2026'!Z38="POR RECOGER"),"MAR","")</f>
        <v>MAR</v>
      </c>
      <c r="B244" s="192" t="str">
        <f aca="false">IF(AND('MARZO 2026'!D38&lt;&gt;"",'MARZO 2026'!Z38="POR RECOGER"),IF('MARZO 2026'!Y38&lt;&gt;"",'MARZO 2026'!Y38,'MARZO 2026'!I38),"")</f>
        <v>PEDRO RUIZ GALLO</v>
      </c>
      <c r="C244" s="192" t="str">
        <f aca="false">IF(AND('MARZO 2026'!D38&lt;&gt;"",'MARZO 2026'!Z38="POR RECOGER"),'MARZO 2026'!D38,"")</f>
        <v>LLATANCE HERRERA DYLAN MOISES</v>
      </c>
      <c r="D244" s="192" t="str">
        <f aca="false">IF(AND('MARZO 2026'!D38&lt;&gt;"",'MARZO 2026'!Z38="POR RECOGER"),'MARZO 2026'!F38,"")</f>
        <v>93419545</v>
      </c>
      <c r="E244" s="192" t="str">
        <f aca="false">IF(AND('MARZO 2026'!D38&lt;&gt;"",'MARZO 2026'!Z38="POR RECOGER"),TEXT('MARZO 2026'!G38,"DD/MM/YYYY"),"")</f>
        <v>11/03/2026</v>
      </c>
      <c r="F244" s="192" t="str">
        <f aca="false">IF(AND('MARZO 2026'!D38&lt;&gt;"",'MARZO 2026'!Z38="POR RECOGER"),'MARZO 2026'!K38,"")</f>
        <v>PETROLEO</v>
      </c>
      <c r="G244" s="193" t="n">
        <f aca="false">IF(AND('MARZO 2026'!D38&lt;&gt;"",'MARZO 2026'!Z38="POR RECOGER"),'MARZO 2026'!M38,"")</f>
        <v>5</v>
      </c>
      <c r="H244" s="193" t="n">
        <f aca="false">IF(AND('MARZO 2026'!D38&lt;&gt;"",'MARZO 2026'!Z38="POR RECOGER"),'MARZO 2026'!N38,"")</f>
        <v>90.9</v>
      </c>
      <c r="I244" s="192" t="str">
        <f aca="false">IF(AND('MARZO 2026'!D38&lt;&gt;"",'MARZO 2026'!Z38="POR RECOGER"),'MARZO 2026'!P38,"")</f>
        <v>RIOS CHAVEZ WUILQUE</v>
      </c>
      <c r="J244" s="192" t="str">
        <f aca="false">IF(AND('MARZO 2026'!D38&lt;&gt;"",'MARZO 2026'!Z38="POR RECOGER"),'MARZO 2026'!Q38,"")</f>
        <v>EUD360</v>
      </c>
      <c r="K244" s="192" t="n">
        <f aca="false">IF(AND('MARZO 2026'!D38&lt;&gt;"",'MARZO 2026'!Z38="POR RECOGER"),'MARZO 2026'!Y38,"")</f>
        <v>0</v>
      </c>
      <c r="L244" s="192" t="str">
        <f aca="false">IF(AND('MARZO 2026'!D38&lt;&gt;"",'MARZO 2026'!Z38="POR RECOGER"),'MARZO 2026'!I38,"")</f>
        <v>PEDRO RUIZ GALLO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" hidden="false" customHeight="true" outlineLevel="0" collapsed="false">
      <c r="A245" s="192" t="str">
        <f aca="false">IF(AND('MARZO 2026'!D39&lt;&gt;"",'MARZO 2026'!Z39="POR RECOGER"),"MAR","")</f>
        <v>MAR</v>
      </c>
      <c r="B245" s="192" t="str">
        <f aca="false">IF(AND('MARZO 2026'!D39&lt;&gt;"",'MARZO 2026'!Z39="POR RECOGER"),IF('MARZO 2026'!Y39&lt;&gt;"",'MARZO 2026'!Y39,'MARZO 2026'!I39),"")</f>
        <v>TINGO</v>
      </c>
      <c r="C245" s="192" t="str">
        <f aca="false">IF(AND('MARZO 2026'!D39&lt;&gt;"",'MARZO 2026'!Z39="POR RECOGER"),'MARZO 2026'!D39,"")</f>
        <v>MORI VALQUI YOHAN FABIAN</v>
      </c>
      <c r="D245" s="192" t="str">
        <f aca="false">IF(AND('MARZO 2026'!D39&lt;&gt;"",'MARZO 2026'!Z39="POR RECOGER"),'MARZO 2026'!F39,"")</f>
        <v>80813086</v>
      </c>
      <c r="E245" s="192" t="str">
        <f aca="false">IF(AND('MARZO 2026'!D39&lt;&gt;"",'MARZO 2026'!Z39="POR RECOGER"),TEXT('MARZO 2026'!G39,"DD/MM/YYYY"),"")</f>
        <v>11/03/2026</v>
      </c>
      <c r="F245" s="192" t="str">
        <f aca="false">IF(AND('MARZO 2026'!D39&lt;&gt;"",'MARZO 2026'!Z39="POR RECOGER"),'MARZO 2026'!K39,"")</f>
        <v>PETROLEO</v>
      </c>
      <c r="G245" s="193" t="n">
        <f aca="false">IF(AND('MARZO 2026'!D39&lt;&gt;"",'MARZO 2026'!Z39="POR RECOGER"),'MARZO 2026'!M39,"")</f>
        <v>5</v>
      </c>
      <c r="H245" s="193" t="n">
        <f aca="false">IF(AND('MARZO 2026'!D39&lt;&gt;"",'MARZO 2026'!Z39="POR RECOGER"),'MARZO 2026'!N39,"")</f>
        <v>90.9</v>
      </c>
      <c r="I245" s="192" t="str">
        <f aca="false">IF(AND('MARZO 2026'!D39&lt;&gt;"",'MARZO 2026'!Z39="POR RECOGER"),'MARZO 2026'!P39,"")</f>
        <v>VILCARROMERO TORREJON HERMERSON</v>
      </c>
      <c r="J245" s="192" t="str">
        <f aca="false">IF(AND('MARZO 2026'!D39&lt;&gt;"",'MARZO 2026'!Z39="POR RECOGER"),'MARZO 2026'!Q39,"")</f>
        <v>EUD-917</v>
      </c>
      <c r="K245" s="192" t="n">
        <f aca="false">IF(AND('MARZO 2026'!D39&lt;&gt;"",'MARZO 2026'!Z39="POR RECOGER"),'MARZO 2026'!Y39,"")</f>
        <v>0</v>
      </c>
      <c r="L245" s="192" t="str">
        <f aca="false">IF(AND('MARZO 2026'!D39&lt;&gt;"",'MARZO 2026'!Z39="POR RECOGER"),'MARZO 2026'!I39,"")</f>
        <v>TINGO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" hidden="false" customHeight="true" outlineLevel="0" collapsed="false">
      <c r="A246" s="192" t="str">
        <f aca="false">IF(AND('MARZO 2026'!D40&lt;&gt;"",'MARZO 2026'!Z40="POR RECOGER"),"MAR","")</f>
        <v>MAR</v>
      </c>
      <c r="B246" s="192" t="str">
        <f aca="false">IF(AND('MARZO 2026'!D40&lt;&gt;"",'MARZO 2026'!Z40="POR RECOGER"),IF('MARZO 2026'!Y40&lt;&gt;"",'MARZO 2026'!Y40,'MARZO 2026'!I40),"")</f>
        <v>POMACOCHAS</v>
      </c>
      <c r="C246" s="192" t="str">
        <f aca="false">IF(AND('MARZO 2026'!D40&lt;&gt;"",'MARZO 2026'!Z40="POR RECOGER"),'MARZO 2026'!D40,"")</f>
        <v>OLANO YLATOLA BARBARITA</v>
      </c>
      <c r="D246" s="192" t="str">
        <f aca="false">IF(AND('MARZO 2026'!D40&lt;&gt;"",'MARZO 2026'!Z40="POR RECOGER"),'MARZO 2026'!F40,"")</f>
        <v>48983008</v>
      </c>
      <c r="E246" s="192" t="str">
        <f aca="false">IF(AND('MARZO 2026'!D40&lt;&gt;"",'MARZO 2026'!Z40="POR RECOGER"),TEXT('MARZO 2026'!G40,"DD/MM/YYYY"),"")</f>
        <v>12/03/2026</v>
      </c>
      <c r="F246" s="192" t="str">
        <f aca="false">IF(AND('MARZO 2026'!D40&lt;&gt;"",'MARZO 2026'!Z40="POR RECOGER"),'MARZO 2026'!K40,"")</f>
        <v>PETROLEO</v>
      </c>
      <c r="G246" s="193" t="n">
        <f aca="false">IF(AND('MARZO 2026'!D40&lt;&gt;"",'MARZO 2026'!Z40="POR RECOGER"),'MARZO 2026'!M40,"")</f>
        <v>6</v>
      </c>
      <c r="H246" s="193" t="n">
        <f aca="false">IF(AND('MARZO 2026'!D40&lt;&gt;"",'MARZO 2026'!Z40="POR RECOGER"),'MARZO 2026'!N40,"")</f>
        <v>109.08</v>
      </c>
      <c r="I246" s="192" t="str">
        <f aca="false">IF(AND('MARZO 2026'!D40&lt;&gt;"",'MARZO 2026'!Z40="POR RECOGER"),'MARZO 2026'!P40,"")</f>
        <v>CARRERA ARAUJO JEINER</v>
      </c>
      <c r="J246" s="192" t="str">
        <f aca="false">IF(AND('MARZO 2026'!D40&lt;&gt;"",'MARZO 2026'!Z40="POR RECOGER"),'MARZO 2026'!Q40,"")</f>
        <v>EUH747</v>
      </c>
      <c r="K246" s="192" t="n">
        <f aca="false">IF(AND('MARZO 2026'!D40&lt;&gt;"",'MARZO 2026'!Z40="POR RECOGER"),'MARZO 2026'!Y40,"")</f>
        <v>0</v>
      </c>
      <c r="L246" s="192" t="str">
        <f aca="false">IF(AND('MARZO 2026'!D40&lt;&gt;"",'MARZO 2026'!Z40="POR RECOGER"),'MARZO 2026'!I40,"")</f>
        <v>POMACOCHAS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" hidden="false" customHeight="true" outlineLevel="0" collapsed="false">
      <c r="A247" s="192" t="str">
        <f aca="false">IF(AND('MARZO 2026'!D41&lt;&gt;"",'MARZO 2026'!Z41="POR RECOGER"),"MAR","")</f>
        <v>MAR</v>
      </c>
      <c r="B247" s="192" t="str">
        <f aca="false">IF(AND('MARZO 2026'!D41&lt;&gt;"",'MARZO 2026'!Z41="POR RECOGER"),IF('MARZO 2026'!Y41&lt;&gt;"",'MARZO 2026'!Y41,'MARZO 2026'!I41),"")</f>
        <v>OMIA</v>
      </c>
      <c r="C247" s="192" t="str">
        <f aca="false">IF(AND('MARZO 2026'!D41&lt;&gt;"",'MARZO 2026'!Z41="POR RECOGER"),'MARZO 2026'!D41,"")</f>
        <v>VILLA HUAMAN VILMA</v>
      </c>
      <c r="D247" s="192" t="str">
        <f aca="false">IF(AND('MARZO 2026'!D41&lt;&gt;"",'MARZO 2026'!Z41="POR RECOGER"),'MARZO 2026'!F41,"")</f>
        <v>47363507</v>
      </c>
      <c r="E247" s="192" t="str">
        <f aca="false">IF(AND('MARZO 2026'!D41&lt;&gt;"",'MARZO 2026'!Z41="POR RECOGER"),TEXT('MARZO 2026'!G41,"DD/MM/YYYY"),"")</f>
        <v>12/03/2026</v>
      </c>
      <c r="F247" s="192" t="str">
        <f aca="false">IF(AND('MARZO 2026'!D41&lt;&gt;"",'MARZO 2026'!Z41="POR RECOGER"),'MARZO 2026'!K41,"")</f>
        <v>PETROLEO</v>
      </c>
      <c r="G247" s="193" t="n">
        <f aca="false">IF(AND('MARZO 2026'!D41&lt;&gt;"",'MARZO 2026'!Z41="POR RECOGER"),'MARZO 2026'!M41,"")</f>
        <v>10</v>
      </c>
      <c r="H247" s="193" t="n">
        <f aca="false">IF(AND('MARZO 2026'!D41&lt;&gt;"",'MARZO 2026'!Z41="POR RECOGER"),'MARZO 2026'!N41,"")</f>
        <v>202.5</v>
      </c>
      <c r="I247" s="192" t="str">
        <f aca="false">IF(AND('MARZO 2026'!D41&lt;&gt;"",'MARZO 2026'!Z41="POR RECOGER"),'MARZO 2026'!P41,"")</f>
        <v>LOPEZ VARGAS HUBER</v>
      </c>
      <c r="J247" s="192" t="str">
        <f aca="false">IF(AND('MARZO 2026'!D41&lt;&gt;"",'MARZO 2026'!Z41="POR RECOGER"),'MARZO 2026'!Q41,"")</f>
        <v>EUH 634</v>
      </c>
      <c r="K247" s="192" t="str">
        <f aca="false">IF(AND('MARZO 2026'!D41&lt;&gt;"",'MARZO 2026'!Z41="POR RECOGER"),'MARZO 2026'!Y41,"")</f>
        <v>OMIA</v>
      </c>
      <c r="L247" s="192" t="str">
        <f aca="false">IF(AND('MARZO 2026'!D41&lt;&gt;"",'MARZO 2026'!Z41="POR RECOGER"),'MARZO 2026'!I41,"")</f>
        <v>MARIA AUXILIADORA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" hidden="false" customHeight="true" outlineLevel="0" collapsed="false">
      <c r="A248" s="192" t="str">
        <f aca="false">IF(AND('MARZO 2026'!D42&lt;&gt;"",'MARZO 2026'!Z42="POR RECOGER"),"MAR","")</f>
        <v>MAR</v>
      </c>
      <c r="B248" s="192" t="str">
        <f aca="false">IF(AND('MARZO 2026'!D42&lt;&gt;"",'MARZO 2026'!Z42="POR RECOGER"),IF('MARZO 2026'!Y42&lt;&gt;"",'MARZO 2026'!Y42,'MARZO 2026'!I42),"")</f>
        <v>DURAZNOPAMPA</v>
      </c>
      <c r="C248" s="192" t="str">
        <f aca="false">IF(AND('MARZO 2026'!D42&lt;&gt;"",'MARZO 2026'!Z42="POR RECOGER"),'MARZO 2026'!D42,"")</f>
        <v>PUSCAN HUAMAN AGUSTINA</v>
      </c>
      <c r="D248" s="192" t="str">
        <f aca="false">IF(AND('MARZO 2026'!D42&lt;&gt;"",'MARZO 2026'!Z42="POR RECOGER"),'MARZO 2026'!F42,"")</f>
        <v>44706561</v>
      </c>
      <c r="E248" s="192" t="str">
        <f aca="false">IF(AND('MARZO 2026'!D42&lt;&gt;"",'MARZO 2026'!Z42="POR RECOGER"),TEXT('MARZO 2026'!G42,"DD/MM/YYYY"),"")</f>
        <v>13/03/2026</v>
      </c>
      <c r="F248" s="192" t="str">
        <f aca="false">IF(AND('MARZO 2026'!D42&lt;&gt;"",'MARZO 2026'!Z42="POR RECOGER"),'MARZO 2026'!K42,"")</f>
        <v>PETROLEO</v>
      </c>
      <c r="G248" s="193" t="n">
        <f aca="false">IF(AND('MARZO 2026'!D42&lt;&gt;"",'MARZO 2026'!Z42="POR RECOGER"),'MARZO 2026'!M42,"")</f>
        <v>7</v>
      </c>
      <c r="H248" s="193" t="n">
        <f aca="false">IF(AND('MARZO 2026'!D42&lt;&gt;"",'MARZO 2026'!Z42="POR RECOGER"),'MARZO 2026'!N42,"")</f>
        <v>127.26</v>
      </c>
      <c r="I248" s="192" t="str">
        <f aca="false">IF(AND('MARZO 2026'!D42&lt;&gt;"",'MARZO 2026'!Z42="POR RECOGER"),'MARZO 2026'!P42,"")</f>
        <v>SANCHEZ CAJO VICENTE</v>
      </c>
      <c r="J248" s="192" t="str">
        <f aca="false">IF(AND('MARZO 2026'!D42&lt;&gt;"",'MARZO 2026'!Z42="POR RECOGER"),'MARZO 2026'!Q42,"")</f>
        <v>EGL-296</v>
      </c>
      <c r="K248" s="192" t="n">
        <f aca="false">IF(AND('MARZO 2026'!D42&lt;&gt;"",'MARZO 2026'!Z42="POR RECOGER"),'MARZO 2026'!Y42,"")</f>
        <v>0</v>
      </c>
      <c r="L248" s="192" t="str">
        <f aca="false">IF(AND('MARZO 2026'!D42&lt;&gt;"",'MARZO 2026'!Z42="POR RECOGER"),'MARZO 2026'!I42,"")</f>
        <v>DURAZNOPAMPA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" hidden="false" customHeight="true" outlineLevel="0" collapsed="false">
      <c r="A249" s="192" t="str">
        <f aca="false">IF(AND('MARZO 2026'!D43&lt;&gt;"",'MARZO 2026'!Z43="POR RECOGER"),"MAR","")</f>
        <v>MAR</v>
      </c>
      <c r="B249" s="192" t="str">
        <f aca="false">IF(AND('MARZO 2026'!D43&lt;&gt;"",'MARZO 2026'!Z43="POR RECOGER"),IF('MARZO 2026'!Y43&lt;&gt;"",'MARZO 2026'!Y43,'MARZO 2026'!I43),"")</f>
        <v>POMACOCHAS</v>
      </c>
      <c r="C249" s="192" t="str">
        <f aca="false">IF(AND('MARZO 2026'!D43&lt;&gt;"",'MARZO 2026'!Z43="POR RECOGER"),'MARZO 2026'!D43,"")</f>
        <v>GUEVARA ALTAMIRANO JHOANA</v>
      </c>
      <c r="D249" s="192" t="str">
        <f aca="false">IF(AND('MARZO 2026'!D43&lt;&gt;"",'MARZO 2026'!Z43="POR RECOGER"),'MARZO 2026'!F43,"")</f>
        <v>10819</v>
      </c>
      <c r="E249" s="192" t="str">
        <f aca="false">IF(AND('MARZO 2026'!D43&lt;&gt;"",'MARZO 2026'!Z43="POR RECOGER"),TEXT('MARZO 2026'!G43,"DD/MM/YYYY"),"")</f>
        <v>13/03/2026</v>
      </c>
      <c r="F249" s="192" t="str">
        <f aca="false">IF(AND('MARZO 2026'!D43&lt;&gt;"",'MARZO 2026'!Z43="POR RECOGER"),'MARZO 2026'!K43,"")</f>
        <v>PETROLEO</v>
      </c>
      <c r="G249" s="193" t="n">
        <f aca="false">IF(AND('MARZO 2026'!D43&lt;&gt;"",'MARZO 2026'!Z43="POR RECOGER"),'MARZO 2026'!M43,"")</f>
        <v>6</v>
      </c>
      <c r="H249" s="193" t="n">
        <f aca="false">IF(AND('MARZO 2026'!D43&lt;&gt;"",'MARZO 2026'!Z43="POR RECOGER"),'MARZO 2026'!N43,"")</f>
        <v>109.08</v>
      </c>
      <c r="I249" s="192" t="str">
        <f aca="false">IF(AND('MARZO 2026'!D43&lt;&gt;"",'MARZO 2026'!Z43="POR RECOGER"),'MARZO 2026'!P43,"")</f>
        <v>CARRERA ARAUJO JEINER</v>
      </c>
      <c r="J249" s="192" t="str">
        <f aca="false">IF(AND('MARZO 2026'!D43&lt;&gt;"",'MARZO 2026'!Z43="POR RECOGER"),'MARZO 2026'!Q43,"")</f>
        <v>EUH747</v>
      </c>
      <c r="K249" s="192" t="n">
        <f aca="false">IF(AND('MARZO 2026'!D43&lt;&gt;"",'MARZO 2026'!Z43="POR RECOGER"),'MARZO 2026'!Y43,"")</f>
        <v>0</v>
      </c>
      <c r="L249" s="192" t="str">
        <f aca="false">IF(AND('MARZO 2026'!D43&lt;&gt;"",'MARZO 2026'!Z43="POR RECOGER"),'MARZO 2026'!I43,"")</f>
        <v>POMACOCHAS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" hidden="false" customHeight="true" outlineLevel="0" collapsed="false">
      <c r="A250" s="192" t="str">
        <f aca="false">IF(AND('MARZO 2026'!D44&lt;&gt;"",'MARZO 2026'!Z44="POR RECOGER"),"MAR","")</f>
        <v>MAR</v>
      </c>
      <c r="B250" s="192" t="str">
        <f aca="false">IF(AND('MARZO 2026'!D44&lt;&gt;"",'MARZO 2026'!Z44="POR RECOGER"),IF('MARZO 2026'!Y44&lt;&gt;"",'MARZO 2026'!Y44,'MARZO 2026'!I44),"")</f>
        <v>MARIA AUXILIADORA</v>
      </c>
      <c r="C250" s="192" t="str">
        <f aca="false">IF(AND('MARZO 2026'!D44&lt;&gt;"",'MARZO 2026'!Z44="POR RECOGER"),'MARZO 2026'!D44,"")</f>
        <v>RABANAL MELENDEZ LENYN EDUARDO</v>
      </c>
      <c r="D250" s="192" t="str">
        <f aca="false">IF(AND('MARZO 2026'!D44&lt;&gt;"",'MARZO 2026'!Z44="POR RECOGER"),'MARZO 2026'!F44,"")</f>
        <v>63245633</v>
      </c>
      <c r="E250" s="192" t="str">
        <f aca="false">IF(AND('MARZO 2026'!D44&lt;&gt;"",'MARZO 2026'!Z44="POR RECOGER"),TEXT('MARZO 2026'!G44,"DD/MM/YYYY"),"")</f>
        <v>13/03/2026</v>
      </c>
      <c r="F250" s="192" t="str">
        <f aca="false">IF(AND('MARZO 2026'!D44&lt;&gt;"",'MARZO 2026'!Z44="POR RECOGER"),'MARZO 2026'!K44,"")</f>
        <v>PETROLEO</v>
      </c>
      <c r="G250" s="193" t="n">
        <f aca="false">IF(AND('MARZO 2026'!D44&lt;&gt;"",'MARZO 2026'!Z44="POR RECOGER"),'MARZO 2026'!M44,"")</f>
        <v>7</v>
      </c>
      <c r="H250" s="193" t="n">
        <f aca="false">IF(AND('MARZO 2026'!D44&lt;&gt;"",'MARZO 2026'!Z44="POR RECOGER"),'MARZO 2026'!N44,"")</f>
        <v>141.75</v>
      </c>
      <c r="I250" s="192" t="str">
        <f aca="false">IF(AND('MARZO 2026'!D44&lt;&gt;"",'MARZO 2026'!Z44="POR RECOGER"),'MARZO 2026'!P44,"")</f>
        <v>SERNAQUE PELAEZ WILMER</v>
      </c>
      <c r="J250" s="192" t="str">
        <f aca="false">IF(AND('MARZO 2026'!D44&lt;&gt;"",'MARZO 2026'!Z44="POR RECOGER"),'MARZO 2026'!Q44,"")</f>
        <v>EUH-421</v>
      </c>
      <c r="K250" s="192" t="n">
        <f aca="false">IF(AND('MARZO 2026'!D44&lt;&gt;"",'MARZO 2026'!Z44="POR RECOGER"),'MARZO 2026'!Y44,"")</f>
        <v>0</v>
      </c>
      <c r="L250" s="192" t="str">
        <f aca="false">IF(AND('MARZO 2026'!D44&lt;&gt;"",'MARZO 2026'!Z44="POR RECOGER"),'MARZO 2026'!I44,"")</f>
        <v>MARIA AUXILIADORA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" hidden="false" customHeight="true" outlineLevel="0" collapsed="false">
      <c r="A251" s="192" t="str">
        <f aca="false">IF(AND('MARZO 2026'!D45&lt;&gt;"",'MARZO 2026'!Z45="POR RECOGER"),"MAR","")</f>
        <v>MAR</v>
      </c>
      <c r="B251" s="192" t="str">
        <f aca="false">IF(AND('MARZO 2026'!D45&lt;&gt;"",'MARZO 2026'!Z45="POR RECOGER"),IF('MARZO 2026'!Y45&lt;&gt;"",'MARZO 2026'!Y45,'MARZO 2026'!I45),"")</f>
        <v>PEDRO RUIZ GALLO</v>
      </c>
      <c r="C251" s="192" t="str">
        <f aca="false">IF(AND('MARZO 2026'!D45&lt;&gt;"",'MARZO 2026'!Z45="POR RECOGER"),'MARZO 2026'!D45,"")</f>
        <v>MASLUCAN GUALAMBO NATIVIDAD</v>
      </c>
      <c r="D251" s="192" t="str">
        <f aca="false">IF(AND('MARZO 2026'!D45&lt;&gt;"",'MARZO 2026'!Z45="POR RECOGER"),'MARZO 2026'!F45,"")</f>
        <v>33732915</v>
      </c>
      <c r="E251" s="192" t="str">
        <f aca="false">IF(AND('MARZO 2026'!D45&lt;&gt;"",'MARZO 2026'!Z45="POR RECOGER"),TEXT('MARZO 2026'!G45,"DD/MM/YYYY"),"")</f>
        <v>13/03/2026</v>
      </c>
      <c r="F251" s="192" t="str">
        <f aca="false">IF(AND('MARZO 2026'!D45&lt;&gt;"",'MARZO 2026'!Z45="POR RECOGER"),'MARZO 2026'!K45,"")</f>
        <v>PETROLEO</v>
      </c>
      <c r="G251" s="193" t="n">
        <f aca="false">IF(AND('MARZO 2026'!D45&lt;&gt;"",'MARZO 2026'!Z45="POR RECOGER"),'MARZO 2026'!M45,"")</f>
        <v>5</v>
      </c>
      <c r="H251" s="193" t="n">
        <f aca="false">IF(AND('MARZO 2026'!D45&lt;&gt;"",'MARZO 2026'!Z45="POR RECOGER"),'MARZO 2026'!N45,"")</f>
        <v>90.9</v>
      </c>
      <c r="I251" s="192" t="str">
        <f aca="false">IF(AND('MARZO 2026'!D45&lt;&gt;"",'MARZO 2026'!Z45="POR RECOGER"),'MARZO 2026'!P45,"")</f>
        <v>MUNOZ VERGARAY JORGE ENRRIQUE</v>
      </c>
      <c r="J251" s="192" t="str">
        <f aca="false">IF(AND('MARZO 2026'!D45&lt;&gt;"",'MARZO 2026'!Z45="POR RECOGER"),'MARZO 2026'!Q45,"")</f>
        <v>EUH 427</v>
      </c>
      <c r="K251" s="192" t="n">
        <f aca="false">IF(AND('MARZO 2026'!D45&lt;&gt;"",'MARZO 2026'!Z45="POR RECOGER"),'MARZO 2026'!Y45,"")</f>
        <v>0</v>
      </c>
      <c r="L251" s="192" t="str">
        <f aca="false">IF(AND('MARZO 2026'!D45&lt;&gt;"",'MARZO 2026'!Z45="POR RECOGER"),'MARZO 2026'!I45,"")</f>
        <v>PEDRO RUIZ GALLO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" hidden="false" customHeight="true" outlineLevel="0" collapsed="false">
      <c r="A252" s="192" t="str">
        <f aca="false">IF(AND('MARZO 2026'!D46&lt;&gt;"",'MARZO 2026'!Z46="POR RECOGER"),"MAR","")</f>
        <v>MAR</v>
      </c>
      <c r="B252" s="192" t="str">
        <f aca="false">IF(AND('MARZO 2026'!D46&lt;&gt;"",'MARZO 2026'!Z46="POR RECOGER"),IF('MARZO 2026'!Y46&lt;&gt;"",'MARZO 2026'!Y46,'MARZO 2026'!I46),"")</f>
        <v>YERBABUENA</v>
      </c>
      <c r="C252" s="192" t="str">
        <f aca="false">IF(AND('MARZO 2026'!D46&lt;&gt;"",'MARZO 2026'!Z46="POR RECOGER"),'MARZO 2026'!D46,"")</f>
        <v>CULQUI SOROE IRMA JESUS</v>
      </c>
      <c r="D252" s="192" t="str">
        <f aca="false">IF(AND('MARZO 2026'!D46&lt;&gt;"",'MARZO 2026'!Z46="POR RECOGER"),'MARZO 2026'!F46,"")</f>
        <v>77230784</v>
      </c>
      <c r="E252" s="192" t="str">
        <f aca="false">IF(AND('MARZO 2026'!D46&lt;&gt;"",'MARZO 2026'!Z46="POR RECOGER"),TEXT('MARZO 2026'!G46,"DD/MM/YYYY"),"")</f>
        <v>14/03/2026</v>
      </c>
      <c r="F252" s="192" t="str">
        <f aca="false">IF(AND('MARZO 2026'!D46&lt;&gt;"",'MARZO 2026'!Z46="POR RECOGER"),'MARZO 2026'!K46,"")</f>
        <v>PETROLEO</v>
      </c>
      <c r="G252" s="193" t="n">
        <f aca="false">IF(AND('MARZO 2026'!D46&lt;&gt;"",'MARZO 2026'!Z46="POR RECOGER"),'MARZO 2026'!M46,"")</f>
        <v>6</v>
      </c>
      <c r="H252" s="193" t="n">
        <f aca="false">IF(AND('MARZO 2026'!D46&lt;&gt;"",'MARZO 2026'!Z46="POR RECOGER"),'MARZO 2026'!N46,"")</f>
        <v>109.08</v>
      </c>
      <c r="I252" s="192" t="str">
        <f aca="false">IF(AND('MARZO 2026'!D46&lt;&gt;"",'MARZO 2026'!Z46="POR RECOGER"),'MARZO 2026'!P46,"")</f>
        <v>SANCHEZ CAJO VICENTE</v>
      </c>
      <c r="J252" s="192" t="str">
        <f aca="false">IF(AND('MARZO 2026'!D46&lt;&gt;"",'MARZO 2026'!Z46="POR RECOGER"),'MARZO 2026'!Q46,"")</f>
        <v>EGL-296</v>
      </c>
      <c r="K252" s="192" t="n">
        <f aca="false">IF(AND('MARZO 2026'!D46&lt;&gt;"",'MARZO 2026'!Z46="POR RECOGER"),'MARZO 2026'!Y46,"")</f>
        <v>0</v>
      </c>
      <c r="L252" s="192" t="str">
        <f aca="false">IF(AND('MARZO 2026'!D46&lt;&gt;"",'MARZO 2026'!Z46="POR RECOGER"),'MARZO 2026'!I46,"")</f>
        <v>YERBABUENA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" hidden="false" customHeight="true" outlineLevel="0" collapsed="false">
      <c r="A253" s="192" t="str">
        <f aca="false">IF(AND('MARZO 2026'!D47&lt;&gt;"",'MARZO 2026'!Z47="POR RECOGER"),"MAR","")</f>
        <v>MAR</v>
      </c>
      <c r="B253" s="192" t="str">
        <f aca="false">IF(AND('MARZO 2026'!D47&lt;&gt;"",'MARZO 2026'!Z47="POR RECOGER"),IF('MARZO 2026'!Y47&lt;&gt;"",'MARZO 2026'!Y47,'MARZO 2026'!I47),"")</f>
        <v>POMACOCHAS</v>
      </c>
      <c r="C253" s="192" t="str">
        <f aca="false">IF(AND('MARZO 2026'!D47&lt;&gt;"",'MARZO 2026'!Z47="POR RECOGER"),'MARZO 2026'!D47,"")</f>
        <v>VASQUEZ MEGO MAGNO</v>
      </c>
      <c r="D253" s="192" t="str">
        <f aca="false">IF(AND('MARZO 2026'!D47&lt;&gt;"",'MARZO 2026'!Z47="POR RECOGER"),'MARZO 2026'!F47,"")</f>
        <v>27433717</v>
      </c>
      <c r="E253" s="192" t="str">
        <f aca="false">IF(AND('MARZO 2026'!D47&lt;&gt;"",'MARZO 2026'!Z47="POR RECOGER"),TEXT('MARZO 2026'!G47,"DD/MM/YYYY"),"")</f>
        <v>14/03/2026</v>
      </c>
      <c r="F253" s="192" t="str">
        <f aca="false">IF(AND('MARZO 2026'!D47&lt;&gt;"",'MARZO 2026'!Z47="POR RECOGER"),'MARZO 2026'!K47,"")</f>
        <v>PETROLEO</v>
      </c>
      <c r="G253" s="193" t="n">
        <f aca="false">IF(AND('MARZO 2026'!D47&lt;&gt;"",'MARZO 2026'!Z47="POR RECOGER"),'MARZO 2026'!M47,"")</f>
        <v>6</v>
      </c>
      <c r="H253" s="193" t="n">
        <f aca="false">IF(AND('MARZO 2026'!D47&lt;&gt;"",'MARZO 2026'!Z47="POR RECOGER"),'MARZO 2026'!N47,"")</f>
        <v>109.08</v>
      </c>
      <c r="I253" s="192" t="str">
        <f aca="false">IF(AND('MARZO 2026'!D47&lt;&gt;"",'MARZO 2026'!Z47="POR RECOGER"),'MARZO 2026'!P47,"")</f>
        <v>CARRERA ARAUJO JEINER</v>
      </c>
      <c r="J253" s="192" t="str">
        <f aca="false">IF(AND('MARZO 2026'!D47&lt;&gt;"",'MARZO 2026'!Z47="POR RECOGER"),'MARZO 2026'!Q47,"")</f>
        <v>EUH747</v>
      </c>
      <c r="K253" s="192" t="n">
        <f aca="false">IF(AND('MARZO 2026'!D47&lt;&gt;"",'MARZO 2026'!Z47="POR RECOGER"),'MARZO 2026'!Y47,"")</f>
        <v>0</v>
      </c>
      <c r="L253" s="192" t="str">
        <f aca="false">IF(AND('MARZO 2026'!D47&lt;&gt;"",'MARZO 2026'!Z47="POR RECOGER"),'MARZO 2026'!I47,"")</f>
        <v>POMACOCHAS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" hidden="false" customHeight="true" outlineLevel="0" collapsed="false">
      <c r="A254" s="192" t="str">
        <f aca="false">IF(AND('MARZO 2026'!D48&lt;&gt;"",'MARZO 2026'!Z48="POR RECOGER"),"MAR","")</f>
        <v>MAR</v>
      </c>
      <c r="B254" s="192" t="str">
        <f aca="false">IF(AND('MARZO 2026'!D48&lt;&gt;"",'MARZO 2026'!Z48="POR RECOGER"),IF('MARZO 2026'!Y48&lt;&gt;"",'MARZO 2026'!Y48,'MARZO 2026'!I48),"")</f>
        <v>MARIA AUXILIADORA</v>
      </c>
      <c r="C254" s="192" t="str">
        <f aca="false">IF(AND('MARZO 2026'!D48&lt;&gt;"",'MARZO 2026'!Z48="POR RECOGER"),'MARZO 2026'!D48,"")</f>
        <v>PORTOCARRERO PORTOCARRERO ANGEL RICARDO</v>
      </c>
      <c r="D254" s="192" t="str">
        <f aca="false">IF(AND('MARZO 2026'!D48&lt;&gt;"",'MARZO 2026'!Z48="POR RECOGER"),'MARZO 2026'!F48,"")</f>
        <v>63391882</v>
      </c>
      <c r="E254" s="192" t="str">
        <f aca="false">IF(AND('MARZO 2026'!D48&lt;&gt;"",'MARZO 2026'!Z48="POR RECOGER"),TEXT('MARZO 2026'!G48,"DD/MM/YYYY"),"")</f>
        <v>15/03/2026</v>
      </c>
      <c r="F254" s="192" t="str">
        <f aca="false">IF(AND('MARZO 2026'!D48&lt;&gt;"",'MARZO 2026'!Z48="POR RECOGER"),'MARZO 2026'!K48,"")</f>
        <v>PETROLEO</v>
      </c>
      <c r="G254" s="193" t="n">
        <f aca="false">IF(AND('MARZO 2026'!D48&lt;&gt;"",'MARZO 2026'!Z48="POR RECOGER"),'MARZO 2026'!M48,"")</f>
        <v>8.06</v>
      </c>
      <c r="H254" s="193" t="n">
        <f aca="false">IF(AND('MARZO 2026'!D48&lt;&gt;"",'MARZO 2026'!Z48="POR RECOGER"),'MARZO 2026'!N48,"")</f>
        <v>163.215</v>
      </c>
      <c r="I254" s="192" t="str">
        <f aca="false">IF(AND('MARZO 2026'!D48&lt;&gt;"",'MARZO 2026'!Z48="POR RECOGER"),'MARZO 2026'!P48,"")</f>
        <v>SERNAQUE PELAEZ WILMER</v>
      </c>
      <c r="J254" s="192" t="str">
        <f aca="false">IF(AND('MARZO 2026'!D48&lt;&gt;"",'MARZO 2026'!Z48="POR RECOGER"),'MARZO 2026'!Q48,"")</f>
        <v>EUH-421</v>
      </c>
      <c r="K254" s="192" t="n">
        <f aca="false">IF(AND('MARZO 2026'!D48&lt;&gt;"",'MARZO 2026'!Z48="POR RECOGER"),'MARZO 2026'!Y48,"")</f>
        <v>0</v>
      </c>
      <c r="L254" s="192" t="str">
        <f aca="false">IF(AND('MARZO 2026'!D48&lt;&gt;"",'MARZO 2026'!Z48="POR RECOGER"),'MARZO 2026'!I48,"")</f>
        <v>MARIA AUXILIADORA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" hidden="false" customHeight="true" outlineLevel="0" collapsed="false">
      <c r="A255" s="192" t="str">
        <f aca="false">IF(AND('MARZO 2026'!D49&lt;&gt;"",'MARZO 2026'!Z49="POR RECOGER"),"MAR","")</f>
        <v>MAR</v>
      </c>
      <c r="B255" s="192" t="str">
        <f aca="false">IF(AND('MARZO 2026'!D49&lt;&gt;"",'MARZO 2026'!Z49="POR RECOGER"),IF('MARZO 2026'!Y49&lt;&gt;"",'MARZO 2026'!Y49,'MARZO 2026'!I49),"")</f>
        <v>PEDRO RUIZ GALLO</v>
      </c>
      <c r="C255" s="192" t="str">
        <f aca="false">IF(AND('MARZO 2026'!D49&lt;&gt;"",'MARZO 2026'!Z49="POR RECOGER"),'MARZO 2026'!D49,"")</f>
        <v>TORREJON ARCE VICTOR GERARDO</v>
      </c>
      <c r="D255" s="192" t="str">
        <f aca="false">IF(AND('MARZO 2026'!D49&lt;&gt;"",'MARZO 2026'!Z49="POR RECOGER"),'MARZO 2026'!F49,"")</f>
        <v>33739096</v>
      </c>
      <c r="E255" s="192" t="str">
        <f aca="false">IF(AND('MARZO 2026'!D49&lt;&gt;"",'MARZO 2026'!Z49="POR RECOGER"),TEXT('MARZO 2026'!G49,"DD/MM/YYYY"),"")</f>
        <v>15/03/2026</v>
      </c>
      <c r="F255" s="192" t="str">
        <f aca="false">IF(AND('MARZO 2026'!D49&lt;&gt;"",'MARZO 2026'!Z49="POR RECOGER"),'MARZO 2026'!K49,"")</f>
        <v>GASOLINA</v>
      </c>
      <c r="G255" s="193" t="n">
        <f aca="false">IF(AND('MARZO 2026'!D49&lt;&gt;"",'MARZO 2026'!Z49="POR RECOGER"),'MARZO 2026'!M49,"")</f>
        <v>6</v>
      </c>
      <c r="H255" s="193" t="n">
        <f aca="false">IF(AND('MARZO 2026'!D49&lt;&gt;"",'MARZO 2026'!Z49="POR RECOGER"),'MARZO 2026'!N49,"")</f>
        <v>107.7</v>
      </c>
      <c r="I255" s="192" t="str">
        <f aca="false">IF(AND('MARZO 2026'!D49&lt;&gt;"",'MARZO 2026'!Z49="POR RECOGER"),'MARZO 2026'!P49,"")</f>
        <v>MUNOZ VERGARAY JORGE ENRRIQUE</v>
      </c>
      <c r="J255" s="192" t="str">
        <f aca="false">IF(AND('MARZO 2026'!D49&lt;&gt;"",'MARZO 2026'!Z49="POR RECOGER"),'MARZO 2026'!Q49,"")</f>
        <v>EUH 427</v>
      </c>
      <c r="K255" s="192" t="n">
        <f aca="false">IF(AND('MARZO 2026'!D49&lt;&gt;"",'MARZO 2026'!Z49="POR RECOGER"),'MARZO 2026'!Y49,"")</f>
        <v>0</v>
      </c>
      <c r="L255" s="192" t="str">
        <f aca="false">IF(AND('MARZO 2026'!D49&lt;&gt;"",'MARZO 2026'!Z49="POR RECOGER"),'MARZO 2026'!I49,"")</f>
        <v>PEDRO RUIZ GALLO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" hidden="false" customHeight="true" outlineLevel="0" collapsed="false">
      <c r="A256" s="192" t="str">
        <f aca="false">IF(AND('MARZO 2026'!D50&lt;&gt;"",'MARZO 2026'!Z50="POR RECOGER"),"MAR","")</f>
        <v>MAR</v>
      </c>
      <c r="B256" s="192" t="str">
        <f aca="false">IF(AND('MARZO 2026'!D50&lt;&gt;"",'MARZO 2026'!Z50="POR RECOGER"),IF('MARZO 2026'!Y50&lt;&gt;"",'MARZO 2026'!Y50,'MARZO 2026'!I50),"")</f>
        <v>TINGO</v>
      </c>
      <c r="C256" s="192" t="str">
        <f aca="false">IF(AND('MARZO 2026'!D50&lt;&gt;"",'MARZO 2026'!Z50="POR RECOGER"),'MARZO 2026'!D50,"")</f>
        <v>INGA PEREZ ELMER</v>
      </c>
      <c r="D256" s="192" t="str">
        <f aca="false">IF(AND('MARZO 2026'!D50&lt;&gt;"",'MARZO 2026'!Z50="POR RECOGER"),'MARZO 2026'!F50,"")</f>
        <v>46744861</v>
      </c>
      <c r="E256" s="192" t="str">
        <f aca="false">IF(AND('MARZO 2026'!D50&lt;&gt;"",'MARZO 2026'!Z50="POR RECOGER"),TEXT('MARZO 2026'!G50,"DD/MM/YYYY"),"")</f>
        <v>16/03/2026</v>
      </c>
      <c r="F256" s="192" t="str">
        <f aca="false">IF(AND('MARZO 2026'!D50&lt;&gt;"",'MARZO 2026'!Z50="POR RECOGER"),'MARZO 2026'!K50,"")</f>
        <v>PETROLEO</v>
      </c>
      <c r="G256" s="193" t="n">
        <f aca="false">IF(AND('MARZO 2026'!D50&lt;&gt;"",'MARZO 2026'!Z50="POR RECOGER"),'MARZO 2026'!M50,"")</f>
        <v>5</v>
      </c>
      <c r="H256" s="193" t="n">
        <f aca="false">IF(AND('MARZO 2026'!D50&lt;&gt;"",'MARZO 2026'!Z50="POR RECOGER"),'MARZO 2026'!N50,"")</f>
        <v>90.9</v>
      </c>
      <c r="I256" s="192" t="str">
        <f aca="false">IF(AND('MARZO 2026'!D50&lt;&gt;"",'MARZO 2026'!Z50="POR RECOGER"),'MARZO 2026'!P50,"")</f>
        <v>VILCARROMERO TORREJON HERMERSON</v>
      </c>
      <c r="J256" s="192" t="str">
        <f aca="false">IF(AND('MARZO 2026'!D50&lt;&gt;"",'MARZO 2026'!Z50="POR RECOGER"),'MARZO 2026'!Q50,"")</f>
        <v>EUD-917</v>
      </c>
      <c r="K256" s="192" t="n">
        <f aca="false">IF(AND('MARZO 2026'!D50&lt;&gt;"",'MARZO 2026'!Z50="POR RECOGER"),'MARZO 2026'!Y50,"")</f>
        <v>0</v>
      </c>
      <c r="L256" s="192" t="str">
        <f aca="false">IF(AND('MARZO 2026'!D50&lt;&gt;"",'MARZO 2026'!Z50="POR RECOGER"),'MARZO 2026'!I50,"")</f>
        <v>TINGO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" hidden="false" customHeight="true" outlineLevel="0" collapsed="false">
      <c r="A257" s="192" t="str">
        <f aca="false">IF(AND('MARZO 2026'!D51&lt;&gt;"",'MARZO 2026'!Z51="POR RECOGER"),"MAR","")</f>
        <v>MAR</v>
      </c>
      <c r="B257" s="192" t="str">
        <f aca="false">IF(AND('MARZO 2026'!D51&lt;&gt;"",'MARZO 2026'!Z51="POR RECOGER"),IF('MARZO 2026'!Y51&lt;&gt;"",'MARZO 2026'!Y51,'MARZO 2026'!I51),"")</f>
        <v>BUENOS AIRES</v>
      </c>
      <c r="C257" s="192" t="str">
        <f aca="false">IF(AND('MARZO 2026'!D51&lt;&gt;"",'MARZO 2026'!Z51="POR RECOGER"),'MARZO 2026'!D51,"")</f>
        <v>TARRILLO SANCHEZ MARIA CELIDA</v>
      </c>
      <c r="D257" s="192" t="str">
        <f aca="false">IF(AND('MARZO 2026'!D51&lt;&gt;"",'MARZO 2026'!Z51="POR RECOGER"),'MARZO 2026'!F51,"")</f>
        <v>44198440</v>
      </c>
      <c r="E257" s="192" t="str">
        <f aca="false">IF(AND('MARZO 2026'!D51&lt;&gt;"",'MARZO 2026'!Z51="POR RECOGER"),TEXT('MARZO 2026'!G51,"DD/MM/YYYY"),"")</f>
        <v>17/03/2026</v>
      </c>
      <c r="F257" s="192" t="str">
        <f aca="false">IF(AND('MARZO 2026'!D51&lt;&gt;"",'MARZO 2026'!Z51="POR RECOGER"),'MARZO 2026'!K51,"")</f>
        <v>GASOLINA</v>
      </c>
      <c r="G257" s="193" t="n">
        <f aca="false">IF(AND('MARZO 2026'!D51&lt;&gt;"",'MARZO 2026'!Z51="POR RECOGER"),'MARZO 2026'!M51,"")</f>
        <v>5</v>
      </c>
      <c r="H257" s="193" t="n">
        <f aca="false">IF(AND('MARZO 2026'!D51&lt;&gt;"",'MARZO 2026'!Z51="POR RECOGER"),'MARZO 2026'!N51,"")</f>
        <v>89.75</v>
      </c>
      <c r="I257" s="192" t="str">
        <f aca="false">IF(AND('MARZO 2026'!D51&lt;&gt;"",'MARZO 2026'!Z51="POR RECOGER"),'MARZO 2026'!P51,"")</f>
        <v>RONAL SAUCEDO GUEVARA</v>
      </c>
      <c r="J257" s="192" t="str">
        <f aca="false">IF(AND('MARZO 2026'!D51&lt;&gt;"",'MARZO 2026'!Z51="POR RECOGER"),'MARZO 2026'!Q51,"")</f>
        <v>EUB-067</v>
      </c>
      <c r="K257" s="192" t="n">
        <f aca="false">IF(AND('MARZO 2026'!D51&lt;&gt;"",'MARZO 2026'!Z51="POR RECOGER"),'MARZO 2026'!Y51,"")</f>
        <v>0</v>
      </c>
      <c r="L257" s="192" t="str">
        <f aca="false">IF(AND('MARZO 2026'!D51&lt;&gt;"",'MARZO 2026'!Z51="POR RECOGER"),'MARZO 2026'!I51,"")</f>
        <v>BUENOS AIRES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" hidden="false" customHeight="true" outlineLevel="0" collapsed="false">
      <c r="A258" s="192" t="str">
        <f aca="false">IF(AND('MARZO 2026'!D52&lt;&gt;"",'MARZO 2026'!Z52="POR RECOGER"),"MAR","")</f>
        <v>MAR</v>
      </c>
      <c r="B258" s="192" t="str">
        <f aca="false">IF(AND('MARZO 2026'!D52&lt;&gt;"",'MARZO 2026'!Z52="POR RECOGER"),IF('MARZO 2026'!Y52&lt;&gt;"",'MARZO 2026'!Y52,'MARZO 2026'!I52),"")</f>
        <v>TINGO</v>
      </c>
      <c r="C258" s="192" t="str">
        <f aca="false">IF(AND('MARZO 2026'!D52&lt;&gt;"",'MARZO 2026'!Z52="POR RECOGER"),'MARZO 2026'!D52,"")</f>
        <v>DIAZ CHAVEZ WILSON ANTONIO</v>
      </c>
      <c r="D258" s="192" t="str">
        <f aca="false">IF(AND('MARZO 2026'!D52&lt;&gt;"",'MARZO 2026'!Z52="POR RECOGER"),'MARZO 2026'!F52,"")</f>
        <v>33800223</v>
      </c>
      <c r="E258" s="192" t="str">
        <f aca="false">IF(AND('MARZO 2026'!D52&lt;&gt;"",'MARZO 2026'!Z52="POR RECOGER"),TEXT('MARZO 2026'!G52,"DD/MM/YYYY"),"")</f>
        <v>17/03/2026</v>
      </c>
      <c r="F258" s="192" t="str">
        <f aca="false">IF(AND('MARZO 2026'!D52&lt;&gt;"",'MARZO 2026'!Z52="POR RECOGER"),'MARZO 2026'!K52,"")</f>
        <v>PETROLEO</v>
      </c>
      <c r="G258" s="193" t="n">
        <f aca="false">IF(AND('MARZO 2026'!D52&lt;&gt;"",'MARZO 2026'!Z52="POR RECOGER"),'MARZO 2026'!M52,"")</f>
        <v>5</v>
      </c>
      <c r="H258" s="193" t="n">
        <f aca="false">IF(AND('MARZO 2026'!D52&lt;&gt;"",'MARZO 2026'!Z52="POR RECOGER"),'MARZO 2026'!N52,"")</f>
        <v>90.9</v>
      </c>
      <c r="I258" s="192" t="str">
        <f aca="false">IF(AND('MARZO 2026'!D52&lt;&gt;"",'MARZO 2026'!Z52="POR RECOGER"),'MARZO 2026'!P52,"")</f>
        <v>VILCARROMERO TORREJON HERMERSON</v>
      </c>
      <c r="J258" s="192" t="str">
        <f aca="false">IF(AND('MARZO 2026'!D52&lt;&gt;"",'MARZO 2026'!Z52="POR RECOGER"),'MARZO 2026'!Q52,"")</f>
        <v>EUD-917</v>
      </c>
      <c r="K258" s="192" t="n">
        <f aca="false">IF(AND('MARZO 2026'!D52&lt;&gt;"",'MARZO 2026'!Z52="POR RECOGER"),'MARZO 2026'!Y52,"")</f>
        <v>0</v>
      </c>
      <c r="L258" s="192" t="str">
        <f aca="false">IF(AND('MARZO 2026'!D52&lt;&gt;"",'MARZO 2026'!Z52="POR RECOGER"),'MARZO 2026'!I52,"")</f>
        <v>TINGO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" hidden="false" customHeight="true" outlineLevel="0" collapsed="false">
      <c r="A259" s="192" t="str">
        <f aca="false">IF(AND('MARZO 2026'!D53&lt;&gt;"",'MARZO 2026'!Z53="POR RECOGER"),"MAR","")</f>
        <v>MAR</v>
      </c>
      <c r="B259" s="192" t="str">
        <f aca="false">IF(AND('MARZO 2026'!D53&lt;&gt;"",'MARZO 2026'!Z53="POR RECOGER"),IF('MARZO 2026'!Y53&lt;&gt;"",'MARZO 2026'!Y53,'MARZO 2026'!I53),"")</f>
        <v>TINGO</v>
      </c>
      <c r="C259" s="192" t="str">
        <f aca="false">IF(AND('MARZO 2026'!D53&lt;&gt;"",'MARZO 2026'!Z53="POR RECOGER"),'MARZO 2026'!D53,"")</f>
        <v>HUAMAN VELAYSOSA DAYRON YAMIL</v>
      </c>
      <c r="D259" s="192" t="str">
        <f aca="false">IF(AND('MARZO 2026'!D53&lt;&gt;"",'MARZO 2026'!Z53="POR RECOGER"),'MARZO 2026'!F53,"")</f>
        <v>91555177</v>
      </c>
      <c r="E259" s="192" t="str">
        <f aca="false">IF(AND('MARZO 2026'!D53&lt;&gt;"",'MARZO 2026'!Z53="POR RECOGER"),TEXT('MARZO 2026'!G53,"DD/MM/YYYY"),"")</f>
        <v>18/03/2026</v>
      </c>
      <c r="F259" s="192" t="str">
        <f aca="false">IF(AND('MARZO 2026'!D53&lt;&gt;"",'MARZO 2026'!Z53="POR RECOGER"),'MARZO 2026'!K53,"")</f>
        <v>PETROLEO</v>
      </c>
      <c r="G259" s="193" t="n">
        <f aca="false">IF(AND('MARZO 2026'!D53&lt;&gt;"",'MARZO 2026'!Z53="POR RECOGER"),'MARZO 2026'!M53,"")</f>
        <v>5</v>
      </c>
      <c r="H259" s="193" t="n">
        <f aca="false">IF(AND('MARZO 2026'!D53&lt;&gt;"",'MARZO 2026'!Z53="POR RECOGER"),'MARZO 2026'!N53,"")</f>
        <v>90.9</v>
      </c>
      <c r="I259" s="192" t="str">
        <f aca="false">IF(AND('MARZO 2026'!D53&lt;&gt;"",'MARZO 2026'!Z53="POR RECOGER"),'MARZO 2026'!P53,"")</f>
        <v>VILCARROMERO TORREJON HERMERSON</v>
      </c>
      <c r="J259" s="192" t="str">
        <f aca="false">IF(AND('MARZO 2026'!D53&lt;&gt;"",'MARZO 2026'!Z53="POR RECOGER"),'MARZO 2026'!Q53,"")</f>
        <v>EUD-917</v>
      </c>
      <c r="K259" s="192" t="n">
        <f aca="false">IF(AND('MARZO 2026'!D53&lt;&gt;"",'MARZO 2026'!Z53="POR RECOGER"),'MARZO 2026'!Y53,"")</f>
        <v>0</v>
      </c>
      <c r="L259" s="192" t="str">
        <f aca="false">IF(AND('MARZO 2026'!D53&lt;&gt;"",'MARZO 2026'!Z53="POR RECOGER"),'MARZO 2026'!I53,"")</f>
        <v>TINGO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" hidden="false" customHeight="true" outlineLevel="0" collapsed="false">
      <c r="A260" s="192" t="str">
        <f aca="false">IF(AND('MARZO 2026'!D54&lt;&gt;"",'MARZO 2026'!Z54="POR RECOGER"),"MAR","")</f>
        <v>MAR</v>
      </c>
      <c r="B260" s="192" t="str">
        <f aca="false">IF(AND('MARZO 2026'!D54&lt;&gt;"",'MARZO 2026'!Z54="POR RECOGER"),IF('MARZO 2026'!Y54&lt;&gt;"",'MARZO 2026'!Y54,'MARZO 2026'!I54),"")</f>
        <v>MARIA AUXILIADORA</v>
      </c>
      <c r="C260" s="192" t="str">
        <f aca="false">IF(AND('MARZO 2026'!D54&lt;&gt;"",'MARZO 2026'!Z54="POR RECOGER"),'MARZO 2026'!D54,"")</f>
        <v>PORTOCARRERO OLIVA DAYRON ZAGUIR</v>
      </c>
      <c r="D260" s="192" t="str">
        <f aca="false">IF(AND('MARZO 2026'!D54&lt;&gt;"",'MARZO 2026'!Z54="POR RECOGER"),'MARZO 2026'!F54,"")</f>
        <v>78862771</v>
      </c>
      <c r="E260" s="192" t="str">
        <f aca="false">IF(AND('MARZO 2026'!D54&lt;&gt;"",'MARZO 2026'!Z54="POR RECOGER"),TEXT('MARZO 2026'!G54,"DD/MM/YYYY"),"")</f>
        <v>19/03/2026</v>
      </c>
      <c r="F260" s="192" t="str">
        <f aca="false">IF(AND('MARZO 2026'!D54&lt;&gt;"",'MARZO 2026'!Z54="POR RECOGER"),'MARZO 2026'!K54,"")</f>
        <v>PETROLEO</v>
      </c>
      <c r="G260" s="193" t="n">
        <f aca="false">IF(AND('MARZO 2026'!D54&lt;&gt;"",'MARZO 2026'!Z54="POR RECOGER"),'MARZO 2026'!M54,"")</f>
        <v>7</v>
      </c>
      <c r="H260" s="193" t="n">
        <f aca="false">IF(AND('MARZO 2026'!D54&lt;&gt;"",'MARZO 2026'!Z54="POR RECOGER"),'MARZO 2026'!N54,"")</f>
        <v>141.75</v>
      </c>
      <c r="I260" s="192" t="str">
        <f aca="false">IF(AND('MARZO 2026'!D54&lt;&gt;"",'MARZO 2026'!Z54="POR RECOGER"),'MARZO 2026'!P54,"")</f>
        <v>PORTOCARRERO PELAEZ MIGUEL ANTONIO</v>
      </c>
      <c r="J260" s="192" t="str">
        <f aca="false">IF(AND('MARZO 2026'!D54&lt;&gt;"",'MARZO 2026'!Z54="POR RECOGER"),'MARZO 2026'!Q54,"")</f>
        <v>EUH-421</v>
      </c>
      <c r="K260" s="192" t="n">
        <f aca="false">IF(AND('MARZO 2026'!D54&lt;&gt;"",'MARZO 2026'!Z54="POR RECOGER"),'MARZO 2026'!Y54,"")</f>
        <v>0</v>
      </c>
      <c r="L260" s="192" t="str">
        <f aca="false">IF(AND('MARZO 2026'!D54&lt;&gt;"",'MARZO 2026'!Z54="POR RECOGER"),'MARZO 2026'!I54,"")</f>
        <v>MARIA AUXILIADORA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" hidden="false" customHeight="true" outlineLevel="0" collapsed="false">
      <c r="A261" s="192" t="str">
        <f aca="false">IF(AND('MARZO 2026'!D55&lt;&gt;"",'MARZO 2026'!Z55="POR RECOGER"),"MAR","")</f>
        <v>MAR</v>
      </c>
      <c r="B261" s="192" t="str">
        <f aca="false">IF(AND('MARZO 2026'!D55&lt;&gt;"",'MARZO 2026'!Z55="POR RECOGER"),IF('MARZO 2026'!Y55&lt;&gt;"",'MARZO 2026'!Y55,'MARZO 2026'!I55),"")</f>
        <v>MARIA AUXILIADORA</v>
      </c>
      <c r="C261" s="192" t="str">
        <f aca="false">IF(AND('MARZO 2026'!D55&lt;&gt;"",'MARZO 2026'!Z55="POR RECOGER"),'MARZO 2026'!D55,"")</f>
        <v>ARISTA DE ARISTA MARIA OTLIA</v>
      </c>
      <c r="D261" s="192" t="str">
        <f aca="false">IF(AND('MARZO 2026'!D55&lt;&gt;"",'MARZO 2026'!Z55="POR RECOGER"),'MARZO 2026'!F55,"")</f>
        <v>33944792</v>
      </c>
      <c r="E261" s="192" t="str">
        <f aca="false">IF(AND('MARZO 2026'!D55&lt;&gt;"",'MARZO 2026'!Z55="POR RECOGER"),TEXT('MARZO 2026'!G55,"DD/MM/YYYY"),"")</f>
        <v>19/03/2026</v>
      </c>
      <c r="F261" s="192" t="str">
        <f aca="false">IF(AND('MARZO 2026'!D55&lt;&gt;"",'MARZO 2026'!Z55="POR RECOGER"),'MARZO 2026'!K55,"")</f>
        <v>PETROLEO</v>
      </c>
      <c r="G261" s="193" t="n">
        <f aca="false">IF(AND('MARZO 2026'!D55&lt;&gt;"",'MARZO 2026'!Z55="POR RECOGER"),'MARZO 2026'!M55,"")</f>
        <v>7</v>
      </c>
      <c r="H261" s="193" t="n">
        <f aca="false">IF(AND('MARZO 2026'!D55&lt;&gt;"",'MARZO 2026'!Z55="POR RECOGER"),'MARZO 2026'!N55,"")</f>
        <v>141.75</v>
      </c>
      <c r="I261" s="192" t="str">
        <f aca="false">IF(AND('MARZO 2026'!D55&lt;&gt;"",'MARZO 2026'!Z55="POR RECOGER"),'MARZO 2026'!P55,"")</f>
        <v>ROJAS ALVARADO BENJAMIN</v>
      </c>
      <c r="J261" s="192" t="str">
        <f aca="false">IF(AND('MARZO 2026'!D55&lt;&gt;"",'MARZO 2026'!Z55="POR RECOGER"),'MARZO 2026'!Q55,"")</f>
        <v>421 EUH</v>
      </c>
      <c r="K261" s="192" t="n">
        <f aca="false">IF(AND('MARZO 2026'!D55&lt;&gt;"",'MARZO 2026'!Z55="POR RECOGER"),'MARZO 2026'!Y55,"")</f>
        <v>0</v>
      </c>
      <c r="L261" s="192" t="str">
        <f aca="false">IF(AND('MARZO 2026'!D55&lt;&gt;"",'MARZO 2026'!Z55="POR RECOGER"),'MARZO 2026'!I55,"")</f>
        <v>MARIA AUXILIADORA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" hidden="false" customHeight="true" outlineLevel="0" collapsed="false">
      <c r="A262" s="192" t="str">
        <f aca="false">IF(AND('MARZO 2026'!D56&lt;&gt;"",'MARZO 2026'!Z56="POR RECOGER"),"MAR","")</f>
        <v/>
      </c>
      <c r="B262" s="192" t="str">
        <f aca="false">IF(AND('MARZO 2026'!D56&lt;&gt;"",'MARZO 2026'!Z56="POR RECOGER"),IF('MARZO 2026'!Y56&lt;&gt;"",'MARZO 2026'!Y56,'MARZO 2026'!I56),"")</f>
        <v/>
      </c>
      <c r="C262" s="192" t="str">
        <f aca="false">IF(AND('MARZO 2026'!D56&lt;&gt;"",'MARZO 2026'!Z56="POR RECOGER"),'MARZO 2026'!D56,"")</f>
        <v/>
      </c>
      <c r="D262" s="192" t="str">
        <f aca="false">IF(AND('MARZO 2026'!D56&lt;&gt;"",'MARZO 2026'!Z56="POR RECOGER"),'MARZO 2026'!F56,"")</f>
        <v/>
      </c>
      <c r="E262" s="192" t="str">
        <f aca="false">IF(AND('MARZO 2026'!D56&lt;&gt;"",'MARZO 2026'!Z56="POR RECOGER"),TEXT('MARZO 2026'!G56,"DD/MM/YYYY"),"")</f>
        <v/>
      </c>
      <c r="F262" s="192" t="str">
        <f aca="false">IF(AND('MARZO 2026'!D56&lt;&gt;"",'MARZO 2026'!Z56="POR RECOGER"),'MARZO 2026'!K56,"")</f>
        <v/>
      </c>
      <c r="G262" s="193" t="str">
        <f aca="false">IF(AND('MARZO 2026'!D56&lt;&gt;"",'MARZO 2026'!Z56="POR RECOGER"),'MARZO 2026'!M56,"")</f>
        <v/>
      </c>
      <c r="H262" s="193" t="str">
        <f aca="false">IF(AND('MARZO 2026'!D56&lt;&gt;"",'MARZO 2026'!Z56="POR RECOGER"),'MARZO 2026'!N56,"")</f>
        <v/>
      </c>
      <c r="I262" s="192" t="str">
        <f aca="false">IF(AND('MARZO 2026'!D56&lt;&gt;"",'MARZO 2026'!Z56="POR RECOGER"),'MARZO 2026'!P56,"")</f>
        <v/>
      </c>
      <c r="J262" s="192" t="str">
        <f aca="false">IF(AND('MARZO 2026'!D56&lt;&gt;"",'MARZO 2026'!Z56="POR RECOGER"),'MARZO 2026'!Q56,"")</f>
        <v/>
      </c>
      <c r="K262" s="192" t="str">
        <f aca="false">IF(AND('MARZO 2026'!D56&lt;&gt;"",'MARZO 2026'!Z56="POR RECOGER"),'MARZO 2026'!Y56,"")</f>
        <v/>
      </c>
      <c r="L262" s="192" t="str">
        <f aca="false">IF(AND('MARZO 2026'!D56&lt;&gt;"",'MARZO 2026'!Z56="POR RECOGER"),'MARZO 2026'!I56,"")</f>
        <v/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" hidden="false" customHeight="true" outlineLevel="0" collapsed="false">
      <c r="A263" s="192" t="str">
        <f aca="false">IF(AND('MARZO 2026'!D57&lt;&gt;"",'MARZO 2026'!Z57="POR RECOGER"),"MAR","")</f>
        <v/>
      </c>
      <c r="B263" s="192" t="str">
        <f aca="false">IF(AND('MARZO 2026'!D57&lt;&gt;"",'MARZO 2026'!Z57="POR RECOGER"),IF('MARZO 2026'!Y57&lt;&gt;"",'MARZO 2026'!Y57,'MARZO 2026'!I57),"")</f>
        <v/>
      </c>
      <c r="C263" s="192" t="str">
        <f aca="false">IF(AND('MARZO 2026'!D57&lt;&gt;"",'MARZO 2026'!Z57="POR RECOGER"),'MARZO 2026'!D57,"")</f>
        <v/>
      </c>
      <c r="D263" s="192" t="str">
        <f aca="false">IF(AND('MARZO 2026'!D57&lt;&gt;"",'MARZO 2026'!Z57="POR RECOGER"),'MARZO 2026'!F57,"")</f>
        <v/>
      </c>
      <c r="E263" s="192" t="str">
        <f aca="false">IF(AND('MARZO 2026'!D57&lt;&gt;"",'MARZO 2026'!Z57="POR RECOGER"),TEXT('MARZO 2026'!G57,"DD/MM/YYYY"),"")</f>
        <v/>
      </c>
      <c r="F263" s="192" t="str">
        <f aca="false">IF(AND('MARZO 2026'!D57&lt;&gt;"",'MARZO 2026'!Z57="POR RECOGER"),'MARZO 2026'!K57,"")</f>
        <v/>
      </c>
      <c r="G263" s="193" t="str">
        <f aca="false">IF(AND('MARZO 2026'!D57&lt;&gt;"",'MARZO 2026'!Z57="POR RECOGER"),'MARZO 2026'!M57,"")</f>
        <v/>
      </c>
      <c r="H263" s="193" t="str">
        <f aca="false">IF(AND('MARZO 2026'!D57&lt;&gt;"",'MARZO 2026'!Z57="POR RECOGER"),'MARZO 2026'!N57,"")</f>
        <v/>
      </c>
      <c r="I263" s="192" t="str">
        <f aca="false">IF(AND('MARZO 2026'!D57&lt;&gt;"",'MARZO 2026'!Z57="POR RECOGER"),'MARZO 2026'!P57,"")</f>
        <v/>
      </c>
      <c r="J263" s="192" t="str">
        <f aca="false">IF(AND('MARZO 2026'!D57&lt;&gt;"",'MARZO 2026'!Z57="POR RECOGER"),'MARZO 2026'!Q57,"")</f>
        <v/>
      </c>
      <c r="K263" s="192" t="str">
        <f aca="false">IF(AND('MARZO 2026'!D57&lt;&gt;"",'MARZO 2026'!Z57="POR RECOGER"),'MARZO 2026'!Y57,"")</f>
        <v/>
      </c>
      <c r="L263" s="192" t="str">
        <f aca="false">IF(AND('MARZO 2026'!D57&lt;&gt;"",'MARZO 2026'!Z57="POR RECOGER"),'MARZO 2026'!I57,"")</f>
        <v/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" hidden="false" customHeight="true" outlineLevel="0" collapsed="false">
      <c r="A264" s="192" t="str">
        <f aca="false">IF(AND('MARZO 2026'!D58&lt;&gt;"",'MARZO 2026'!Z58="POR RECOGER"),"MAR","")</f>
        <v/>
      </c>
      <c r="B264" s="192" t="str">
        <f aca="false">IF(AND('MARZO 2026'!D58&lt;&gt;"",'MARZO 2026'!Z58="POR RECOGER"),IF('MARZO 2026'!Y58&lt;&gt;"",'MARZO 2026'!Y58,'MARZO 2026'!I58),"")</f>
        <v/>
      </c>
      <c r="C264" s="192" t="str">
        <f aca="false">IF(AND('MARZO 2026'!D58&lt;&gt;"",'MARZO 2026'!Z58="POR RECOGER"),'MARZO 2026'!D58,"")</f>
        <v/>
      </c>
      <c r="D264" s="192" t="str">
        <f aca="false">IF(AND('MARZO 2026'!D58&lt;&gt;"",'MARZO 2026'!Z58="POR RECOGER"),'MARZO 2026'!F58,"")</f>
        <v/>
      </c>
      <c r="E264" s="192" t="str">
        <f aca="false">IF(AND('MARZO 2026'!D58&lt;&gt;"",'MARZO 2026'!Z58="POR RECOGER"),TEXT('MARZO 2026'!G58,"DD/MM/YYYY"),"")</f>
        <v/>
      </c>
      <c r="F264" s="192" t="str">
        <f aca="false">IF(AND('MARZO 2026'!D58&lt;&gt;"",'MARZO 2026'!Z58="POR RECOGER"),'MARZO 2026'!K58,"")</f>
        <v/>
      </c>
      <c r="G264" s="193" t="str">
        <f aca="false">IF(AND('MARZO 2026'!D58&lt;&gt;"",'MARZO 2026'!Z58="POR RECOGER"),'MARZO 2026'!M58,"")</f>
        <v/>
      </c>
      <c r="H264" s="193" t="str">
        <f aca="false">IF(AND('MARZO 2026'!D58&lt;&gt;"",'MARZO 2026'!Z58="POR RECOGER"),'MARZO 2026'!N58,"")</f>
        <v/>
      </c>
      <c r="I264" s="192" t="str">
        <f aca="false">IF(AND('MARZO 2026'!D58&lt;&gt;"",'MARZO 2026'!Z58="POR RECOGER"),'MARZO 2026'!P58,"")</f>
        <v/>
      </c>
      <c r="J264" s="192" t="str">
        <f aca="false">IF(AND('MARZO 2026'!D58&lt;&gt;"",'MARZO 2026'!Z58="POR RECOGER"),'MARZO 2026'!Q58,"")</f>
        <v/>
      </c>
      <c r="K264" s="192" t="str">
        <f aca="false">IF(AND('MARZO 2026'!D58&lt;&gt;"",'MARZO 2026'!Z58="POR RECOGER"),'MARZO 2026'!Y58,"")</f>
        <v/>
      </c>
      <c r="L264" s="192" t="str">
        <f aca="false">IF(AND('MARZO 2026'!D58&lt;&gt;"",'MARZO 2026'!Z58="POR RECOGER"),'MARZO 2026'!I58,"")</f>
        <v/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" hidden="false" customHeight="true" outlineLevel="0" collapsed="false">
      <c r="A265" s="192" t="str">
        <f aca="false">IF(AND('MARZO 2026'!D59&lt;&gt;"",'MARZO 2026'!Z59="POR RECOGER"),"MAR","")</f>
        <v/>
      </c>
      <c r="B265" s="192" t="str">
        <f aca="false">IF(AND('MARZO 2026'!D59&lt;&gt;"",'MARZO 2026'!Z59="POR RECOGER"),IF('MARZO 2026'!Y59&lt;&gt;"",'MARZO 2026'!Y59,'MARZO 2026'!I59),"")</f>
        <v/>
      </c>
      <c r="C265" s="192" t="str">
        <f aca="false">IF(AND('MARZO 2026'!D59&lt;&gt;"",'MARZO 2026'!Z59="POR RECOGER"),'MARZO 2026'!D59,"")</f>
        <v/>
      </c>
      <c r="D265" s="192" t="str">
        <f aca="false">IF(AND('MARZO 2026'!D59&lt;&gt;"",'MARZO 2026'!Z59="POR RECOGER"),'MARZO 2026'!F59,"")</f>
        <v/>
      </c>
      <c r="E265" s="192" t="str">
        <f aca="false">IF(AND('MARZO 2026'!D59&lt;&gt;"",'MARZO 2026'!Z59="POR RECOGER"),TEXT('MARZO 2026'!G59,"DD/MM/YYYY"),"")</f>
        <v/>
      </c>
      <c r="F265" s="192" t="str">
        <f aca="false">IF(AND('MARZO 2026'!D59&lt;&gt;"",'MARZO 2026'!Z59="POR RECOGER"),'MARZO 2026'!K59,"")</f>
        <v/>
      </c>
      <c r="G265" s="193" t="str">
        <f aca="false">IF(AND('MARZO 2026'!D59&lt;&gt;"",'MARZO 2026'!Z59="POR RECOGER"),'MARZO 2026'!M59,"")</f>
        <v/>
      </c>
      <c r="H265" s="193" t="str">
        <f aca="false">IF(AND('MARZO 2026'!D59&lt;&gt;"",'MARZO 2026'!Z59="POR RECOGER"),'MARZO 2026'!N59,"")</f>
        <v/>
      </c>
      <c r="I265" s="192" t="str">
        <f aca="false">IF(AND('MARZO 2026'!D59&lt;&gt;"",'MARZO 2026'!Z59="POR RECOGER"),'MARZO 2026'!P59,"")</f>
        <v/>
      </c>
      <c r="J265" s="192" t="str">
        <f aca="false">IF(AND('MARZO 2026'!D59&lt;&gt;"",'MARZO 2026'!Z59="POR RECOGER"),'MARZO 2026'!Q59,"")</f>
        <v/>
      </c>
      <c r="K265" s="192" t="str">
        <f aca="false">IF(AND('MARZO 2026'!D59&lt;&gt;"",'MARZO 2026'!Z59="POR RECOGER"),'MARZO 2026'!Y59,"")</f>
        <v/>
      </c>
      <c r="L265" s="192" t="str">
        <f aca="false">IF(AND('MARZO 2026'!D59&lt;&gt;"",'MARZO 2026'!Z59="POR RECOGER"),'MARZO 2026'!I59,"")</f>
        <v/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" hidden="false" customHeight="true" outlineLevel="0" collapsed="false">
      <c r="A266" s="192" t="str">
        <f aca="false">IF(AND('MARZO 2026'!D60&lt;&gt;"",'MARZO 2026'!Z60="POR RECOGER"),"MAR","")</f>
        <v/>
      </c>
      <c r="B266" s="192" t="str">
        <f aca="false">IF(AND('MARZO 2026'!D60&lt;&gt;"",'MARZO 2026'!Z60="POR RECOGER"),IF('MARZO 2026'!Y60&lt;&gt;"",'MARZO 2026'!Y60,'MARZO 2026'!I60),"")</f>
        <v/>
      </c>
      <c r="C266" s="192" t="str">
        <f aca="false">IF(AND('MARZO 2026'!D60&lt;&gt;"",'MARZO 2026'!Z60="POR RECOGER"),'MARZO 2026'!D60,"")</f>
        <v/>
      </c>
      <c r="D266" s="192" t="str">
        <f aca="false">IF(AND('MARZO 2026'!D60&lt;&gt;"",'MARZO 2026'!Z60="POR RECOGER"),'MARZO 2026'!F60,"")</f>
        <v/>
      </c>
      <c r="E266" s="192" t="str">
        <f aca="false">IF(AND('MARZO 2026'!D60&lt;&gt;"",'MARZO 2026'!Z60="POR RECOGER"),TEXT('MARZO 2026'!G60,"DD/MM/YYYY"),"")</f>
        <v/>
      </c>
      <c r="F266" s="192" t="str">
        <f aca="false">IF(AND('MARZO 2026'!D60&lt;&gt;"",'MARZO 2026'!Z60="POR RECOGER"),'MARZO 2026'!K60,"")</f>
        <v/>
      </c>
      <c r="G266" s="193" t="str">
        <f aca="false">IF(AND('MARZO 2026'!D60&lt;&gt;"",'MARZO 2026'!Z60="POR RECOGER"),'MARZO 2026'!M60,"")</f>
        <v/>
      </c>
      <c r="H266" s="193" t="str">
        <f aca="false">IF(AND('MARZO 2026'!D60&lt;&gt;"",'MARZO 2026'!Z60="POR RECOGER"),'MARZO 2026'!N60,"")</f>
        <v/>
      </c>
      <c r="I266" s="192" t="str">
        <f aca="false">IF(AND('MARZO 2026'!D60&lt;&gt;"",'MARZO 2026'!Z60="POR RECOGER"),'MARZO 2026'!P60,"")</f>
        <v/>
      </c>
      <c r="J266" s="192" t="str">
        <f aca="false">IF(AND('MARZO 2026'!D60&lt;&gt;"",'MARZO 2026'!Z60="POR RECOGER"),'MARZO 2026'!Q60,"")</f>
        <v/>
      </c>
      <c r="K266" s="192" t="str">
        <f aca="false">IF(AND('MARZO 2026'!D60&lt;&gt;"",'MARZO 2026'!Z60="POR RECOGER"),'MARZO 2026'!Y60,"")</f>
        <v/>
      </c>
      <c r="L266" s="192" t="str">
        <f aca="false">IF(AND('MARZO 2026'!D60&lt;&gt;"",'MARZO 2026'!Z60="POR RECOGER"),'MARZO 2026'!I60,"")</f>
        <v/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" hidden="false" customHeight="true" outlineLevel="0" collapsed="false">
      <c r="A267" s="192" t="str">
        <f aca="false">IF(AND('MARZO 2026'!D61&lt;&gt;"",'MARZO 2026'!Z61="POR RECOGER"),"MAR","")</f>
        <v/>
      </c>
      <c r="B267" s="192" t="str">
        <f aca="false">IF(AND('MARZO 2026'!D61&lt;&gt;"",'MARZO 2026'!Z61="POR RECOGER"),IF('MARZO 2026'!Y61&lt;&gt;"",'MARZO 2026'!Y61,'MARZO 2026'!I61),"")</f>
        <v/>
      </c>
      <c r="C267" s="192" t="str">
        <f aca="false">IF(AND('MARZO 2026'!D61&lt;&gt;"",'MARZO 2026'!Z61="POR RECOGER"),'MARZO 2026'!D61,"")</f>
        <v/>
      </c>
      <c r="D267" s="192" t="str">
        <f aca="false">IF(AND('MARZO 2026'!D61&lt;&gt;"",'MARZO 2026'!Z61="POR RECOGER"),'MARZO 2026'!F61,"")</f>
        <v/>
      </c>
      <c r="E267" s="192" t="str">
        <f aca="false">IF(AND('MARZO 2026'!D61&lt;&gt;"",'MARZO 2026'!Z61="POR RECOGER"),TEXT('MARZO 2026'!G61,"DD/MM/YYYY"),"")</f>
        <v/>
      </c>
      <c r="F267" s="192" t="str">
        <f aca="false">IF(AND('MARZO 2026'!D61&lt;&gt;"",'MARZO 2026'!Z61="POR RECOGER"),'MARZO 2026'!K61,"")</f>
        <v/>
      </c>
      <c r="G267" s="193" t="str">
        <f aca="false">IF(AND('MARZO 2026'!D61&lt;&gt;"",'MARZO 2026'!Z61="POR RECOGER"),'MARZO 2026'!M61,"")</f>
        <v/>
      </c>
      <c r="H267" s="193" t="str">
        <f aca="false">IF(AND('MARZO 2026'!D61&lt;&gt;"",'MARZO 2026'!Z61="POR RECOGER"),'MARZO 2026'!N61,"")</f>
        <v/>
      </c>
      <c r="I267" s="192" t="str">
        <f aca="false">IF(AND('MARZO 2026'!D61&lt;&gt;"",'MARZO 2026'!Z61="POR RECOGER"),'MARZO 2026'!P61,"")</f>
        <v/>
      </c>
      <c r="J267" s="192" t="str">
        <f aca="false">IF(AND('MARZO 2026'!D61&lt;&gt;"",'MARZO 2026'!Z61="POR RECOGER"),'MARZO 2026'!Q61,"")</f>
        <v/>
      </c>
      <c r="K267" s="192" t="str">
        <f aca="false">IF(AND('MARZO 2026'!D61&lt;&gt;"",'MARZO 2026'!Z61="POR RECOGER"),'MARZO 2026'!Y61,"")</f>
        <v/>
      </c>
      <c r="L267" s="192" t="str">
        <f aca="false">IF(AND('MARZO 2026'!D61&lt;&gt;"",'MARZO 2026'!Z61="POR RECOGER"),'MARZO 2026'!I61,"")</f>
        <v/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" hidden="false" customHeight="true" outlineLevel="0" collapsed="false">
      <c r="A268" s="192" t="str">
        <f aca="false">IF(AND('MARZO 2026'!D62&lt;&gt;"",'MARZO 2026'!Z62="POR RECOGER"),"MAR","")</f>
        <v/>
      </c>
      <c r="B268" s="192" t="str">
        <f aca="false">IF(AND('MARZO 2026'!D62&lt;&gt;"",'MARZO 2026'!Z62="POR RECOGER"),IF('MARZO 2026'!Y62&lt;&gt;"",'MARZO 2026'!Y62,'MARZO 2026'!I62),"")</f>
        <v/>
      </c>
      <c r="C268" s="192" t="str">
        <f aca="false">IF(AND('MARZO 2026'!D62&lt;&gt;"",'MARZO 2026'!Z62="POR RECOGER"),'MARZO 2026'!D62,"")</f>
        <v/>
      </c>
      <c r="D268" s="192" t="str">
        <f aca="false">IF(AND('MARZO 2026'!D62&lt;&gt;"",'MARZO 2026'!Z62="POR RECOGER"),'MARZO 2026'!F62,"")</f>
        <v/>
      </c>
      <c r="E268" s="192" t="str">
        <f aca="false">IF(AND('MARZO 2026'!D62&lt;&gt;"",'MARZO 2026'!Z62="POR RECOGER"),TEXT('MARZO 2026'!G62,"DD/MM/YYYY"),"")</f>
        <v/>
      </c>
      <c r="F268" s="192" t="str">
        <f aca="false">IF(AND('MARZO 2026'!D62&lt;&gt;"",'MARZO 2026'!Z62="POR RECOGER"),'MARZO 2026'!K62,"")</f>
        <v/>
      </c>
      <c r="G268" s="193" t="str">
        <f aca="false">IF(AND('MARZO 2026'!D62&lt;&gt;"",'MARZO 2026'!Z62="POR RECOGER"),'MARZO 2026'!M62,"")</f>
        <v/>
      </c>
      <c r="H268" s="193" t="str">
        <f aca="false">IF(AND('MARZO 2026'!D62&lt;&gt;"",'MARZO 2026'!Z62="POR RECOGER"),'MARZO 2026'!N62,"")</f>
        <v/>
      </c>
      <c r="I268" s="192" t="str">
        <f aca="false">IF(AND('MARZO 2026'!D62&lt;&gt;"",'MARZO 2026'!Z62="POR RECOGER"),'MARZO 2026'!P62,"")</f>
        <v/>
      </c>
      <c r="J268" s="192" t="str">
        <f aca="false">IF(AND('MARZO 2026'!D62&lt;&gt;"",'MARZO 2026'!Z62="POR RECOGER"),'MARZO 2026'!Q62,"")</f>
        <v/>
      </c>
      <c r="K268" s="192" t="str">
        <f aca="false">IF(AND('MARZO 2026'!D62&lt;&gt;"",'MARZO 2026'!Z62="POR RECOGER"),'MARZO 2026'!Y62,"")</f>
        <v/>
      </c>
      <c r="L268" s="192" t="str">
        <f aca="false">IF(AND('MARZO 2026'!D62&lt;&gt;"",'MARZO 2026'!Z62="POR RECOGER"),'MARZO 2026'!I62,"")</f>
        <v/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" hidden="false" customHeight="true" outlineLevel="0" collapsed="false">
      <c r="A269" s="192" t="str">
        <f aca="false">IF(AND('MARZO 2026'!D63&lt;&gt;"",'MARZO 2026'!Z63="POR RECOGER"),"MAR","")</f>
        <v/>
      </c>
      <c r="B269" s="192" t="str">
        <f aca="false">IF(AND('MARZO 2026'!D63&lt;&gt;"",'MARZO 2026'!Z63="POR RECOGER"),IF('MARZO 2026'!Y63&lt;&gt;"",'MARZO 2026'!Y63,'MARZO 2026'!I63),"")</f>
        <v/>
      </c>
      <c r="C269" s="192" t="str">
        <f aca="false">IF(AND('MARZO 2026'!D63&lt;&gt;"",'MARZO 2026'!Z63="POR RECOGER"),'MARZO 2026'!D63,"")</f>
        <v/>
      </c>
      <c r="D269" s="192" t="str">
        <f aca="false">IF(AND('MARZO 2026'!D63&lt;&gt;"",'MARZO 2026'!Z63="POR RECOGER"),'MARZO 2026'!F63,"")</f>
        <v/>
      </c>
      <c r="E269" s="192" t="str">
        <f aca="false">IF(AND('MARZO 2026'!D63&lt;&gt;"",'MARZO 2026'!Z63="POR RECOGER"),TEXT('MARZO 2026'!G63,"DD/MM/YYYY"),"")</f>
        <v/>
      </c>
      <c r="F269" s="192" t="str">
        <f aca="false">IF(AND('MARZO 2026'!D63&lt;&gt;"",'MARZO 2026'!Z63="POR RECOGER"),'MARZO 2026'!K63,"")</f>
        <v/>
      </c>
      <c r="G269" s="193" t="str">
        <f aca="false">IF(AND('MARZO 2026'!D63&lt;&gt;"",'MARZO 2026'!Z63="POR RECOGER"),'MARZO 2026'!M63,"")</f>
        <v/>
      </c>
      <c r="H269" s="193" t="str">
        <f aca="false">IF(AND('MARZO 2026'!D63&lt;&gt;"",'MARZO 2026'!Z63="POR RECOGER"),'MARZO 2026'!N63,"")</f>
        <v/>
      </c>
      <c r="I269" s="192" t="str">
        <f aca="false">IF(AND('MARZO 2026'!D63&lt;&gt;"",'MARZO 2026'!Z63="POR RECOGER"),'MARZO 2026'!P63,"")</f>
        <v/>
      </c>
      <c r="J269" s="192" t="str">
        <f aca="false">IF(AND('MARZO 2026'!D63&lt;&gt;"",'MARZO 2026'!Z63="POR RECOGER"),'MARZO 2026'!Q63,"")</f>
        <v/>
      </c>
      <c r="K269" s="192" t="str">
        <f aca="false">IF(AND('MARZO 2026'!D63&lt;&gt;"",'MARZO 2026'!Z63="POR RECOGER"),'MARZO 2026'!Y63,"")</f>
        <v/>
      </c>
      <c r="L269" s="192" t="str">
        <f aca="false">IF(AND('MARZO 2026'!D63&lt;&gt;"",'MARZO 2026'!Z63="POR RECOGER"),'MARZO 2026'!I63,"")</f>
        <v/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" hidden="false" customHeight="true" outlineLevel="0" collapsed="false">
      <c r="A270" s="192" t="str">
        <f aca="false">IF(AND('MARZO 2026'!D64&lt;&gt;"",'MARZO 2026'!Z64="POR RECOGER"),"MAR","")</f>
        <v/>
      </c>
      <c r="B270" s="192" t="str">
        <f aca="false">IF(AND('MARZO 2026'!D64&lt;&gt;"",'MARZO 2026'!Z64="POR RECOGER"),IF('MARZO 2026'!Y64&lt;&gt;"",'MARZO 2026'!Y64,'MARZO 2026'!I64),"")</f>
        <v/>
      </c>
      <c r="C270" s="192" t="str">
        <f aca="false">IF(AND('MARZO 2026'!D64&lt;&gt;"",'MARZO 2026'!Z64="POR RECOGER"),'MARZO 2026'!D64,"")</f>
        <v/>
      </c>
      <c r="D270" s="192" t="str">
        <f aca="false">IF(AND('MARZO 2026'!D64&lt;&gt;"",'MARZO 2026'!Z64="POR RECOGER"),'MARZO 2026'!F64,"")</f>
        <v/>
      </c>
      <c r="E270" s="192" t="str">
        <f aca="false">IF(AND('MARZO 2026'!D64&lt;&gt;"",'MARZO 2026'!Z64="POR RECOGER"),TEXT('MARZO 2026'!G64,"DD/MM/YYYY"),"")</f>
        <v/>
      </c>
      <c r="F270" s="192" t="str">
        <f aca="false">IF(AND('MARZO 2026'!D64&lt;&gt;"",'MARZO 2026'!Z64="POR RECOGER"),'MARZO 2026'!K64,"")</f>
        <v/>
      </c>
      <c r="G270" s="193" t="str">
        <f aca="false">IF(AND('MARZO 2026'!D64&lt;&gt;"",'MARZO 2026'!Z64="POR RECOGER"),'MARZO 2026'!M64,"")</f>
        <v/>
      </c>
      <c r="H270" s="193" t="str">
        <f aca="false">IF(AND('MARZO 2026'!D64&lt;&gt;"",'MARZO 2026'!Z64="POR RECOGER"),'MARZO 2026'!N64,"")</f>
        <v/>
      </c>
      <c r="I270" s="192" t="str">
        <f aca="false">IF(AND('MARZO 2026'!D64&lt;&gt;"",'MARZO 2026'!Z64="POR RECOGER"),'MARZO 2026'!P64,"")</f>
        <v/>
      </c>
      <c r="J270" s="192" t="str">
        <f aca="false">IF(AND('MARZO 2026'!D64&lt;&gt;"",'MARZO 2026'!Z64="POR RECOGER"),'MARZO 2026'!Q64,"")</f>
        <v/>
      </c>
      <c r="K270" s="192" t="str">
        <f aca="false">IF(AND('MARZO 2026'!D64&lt;&gt;"",'MARZO 2026'!Z64="POR RECOGER"),'MARZO 2026'!Y64,"")</f>
        <v/>
      </c>
      <c r="L270" s="192" t="str">
        <f aca="false">IF(AND('MARZO 2026'!D64&lt;&gt;"",'MARZO 2026'!Z64="POR RECOGER"),'MARZO 2026'!I64,"")</f>
        <v/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" hidden="false" customHeight="true" outlineLevel="0" collapsed="false">
      <c r="A271" s="192" t="str">
        <f aca="false">IF(AND('MARZO 2026'!D65&lt;&gt;"",'MARZO 2026'!Z65="POR RECOGER"),"MAR","")</f>
        <v/>
      </c>
      <c r="B271" s="192" t="str">
        <f aca="false">IF(AND('MARZO 2026'!D65&lt;&gt;"",'MARZO 2026'!Z65="POR RECOGER"),IF('MARZO 2026'!Y65&lt;&gt;"",'MARZO 2026'!Y65,'MARZO 2026'!I65),"")</f>
        <v/>
      </c>
      <c r="C271" s="192" t="str">
        <f aca="false">IF(AND('MARZO 2026'!D65&lt;&gt;"",'MARZO 2026'!Z65="POR RECOGER"),'MARZO 2026'!D65,"")</f>
        <v/>
      </c>
      <c r="D271" s="192" t="str">
        <f aca="false">IF(AND('MARZO 2026'!D65&lt;&gt;"",'MARZO 2026'!Z65="POR RECOGER"),'MARZO 2026'!F65,"")</f>
        <v/>
      </c>
      <c r="E271" s="192" t="str">
        <f aca="false">IF(AND('MARZO 2026'!D65&lt;&gt;"",'MARZO 2026'!Z65="POR RECOGER"),TEXT('MARZO 2026'!G65,"DD/MM/YYYY"),"")</f>
        <v/>
      </c>
      <c r="F271" s="192" t="str">
        <f aca="false">IF(AND('MARZO 2026'!D65&lt;&gt;"",'MARZO 2026'!Z65="POR RECOGER"),'MARZO 2026'!K65,"")</f>
        <v/>
      </c>
      <c r="G271" s="193" t="str">
        <f aca="false">IF(AND('MARZO 2026'!D65&lt;&gt;"",'MARZO 2026'!Z65="POR RECOGER"),'MARZO 2026'!M65,"")</f>
        <v/>
      </c>
      <c r="H271" s="193" t="str">
        <f aca="false">IF(AND('MARZO 2026'!D65&lt;&gt;"",'MARZO 2026'!Z65="POR RECOGER"),'MARZO 2026'!N65,"")</f>
        <v/>
      </c>
      <c r="I271" s="192" t="str">
        <f aca="false">IF(AND('MARZO 2026'!D65&lt;&gt;"",'MARZO 2026'!Z65="POR RECOGER"),'MARZO 2026'!P65,"")</f>
        <v/>
      </c>
      <c r="J271" s="192" t="str">
        <f aca="false">IF(AND('MARZO 2026'!D65&lt;&gt;"",'MARZO 2026'!Z65="POR RECOGER"),'MARZO 2026'!Q65,"")</f>
        <v/>
      </c>
      <c r="K271" s="192" t="str">
        <f aca="false">IF(AND('MARZO 2026'!D65&lt;&gt;"",'MARZO 2026'!Z65="POR RECOGER"),'MARZO 2026'!Y65,"")</f>
        <v/>
      </c>
      <c r="L271" s="192" t="str">
        <f aca="false">IF(AND('MARZO 2026'!D65&lt;&gt;"",'MARZO 2026'!Z65="POR RECOGER"),'MARZO 2026'!I65,"")</f>
        <v/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" hidden="false" customHeight="true" outlineLevel="0" collapsed="false">
      <c r="A272" s="192" t="str">
        <f aca="false">IF(AND('MARZO 2026'!D66&lt;&gt;"",'MARZO 2026'!Z66="POR RECOGER"),"MAR","")</f>
        <v/>
      </c>
      <c r="B272" s="192" t="str">
        <f aca="false">IF(AND('MARZO 2026'!D66&lt;&gt;"",'MARZO 2026'!Z66="POR RECOGER"),IF('MARZO 2026'!Y66&lt;&gt;"",'MARZO 2026'!Y66,'MARZO 2026'!I66),"")</f>
        <v/>
      </c>
      <c r="C272" s="192" t="str">
        <f aca="false">IF(AND('MARZO 2026'!D66&lt;&gt;"",'MARZO 2026'!Z66="POR RECOGER"),'MARZO 2026'!D66,"")</f>
        <v/>
      </c>
      <c r="D272" s="192" t="str">
        <f aca="false">IF(AND('MARZO 2026'!D66&lt;&gt;"",'MARZO 2026'!Z66="POR RECOGER"),'MARZO 2026'!F66,"")</f>
        <v/>
      </c>
      <c r="E272" s="192" t="str">
        <f aca="false">IF(AND('MARZO 2026'!D66&lt;&gt;"",'MARZO 2026'!Z66="POR RECOGER"),TEXT('MARZO 2026'!G66,"DD/MM/YYYY"),"")</f>
        <v/>
      </c>
      <c r="F272" s="192" t="str">
        <f aca="false">IF(AND('MARZO 2026'!D66&lt;&gt;"",'MARZO 2026'!Z66="POR RECOGER"),'MARZO 2026'!K66,"")</f>
        <v/>
      </c>
      <c r="G272" s="193" t="str">
        <f aca="false">IF(AND('MARZO 2026'!D66&lt;&gt;"",'MARZO 2026'!Z66="POR RECOGER"),'MARZO 2026'!M66,"")</f>
        <v/>
      </c>
      <c r="H272" s="193" t="str">
        <f aca="false">IF(AND('MARZO 2026'!D66&lt;&gt;"",'MARZO 2026'!Z66="POR RECOGER"),'MARZO 2026'!N66,"")</f>
        <v/>
      </c>
      <c r="I272" s="192" t="str">
        <f aca="false">IF(AND('MARZO 2026'!D66&lt;&gt;"",'MARZO 2026'!Z66="POR RECOGER"),'MARZO 2026'!P66,"")</f>
        <v/>
      </c>
      <c r="J272" s="192" t="str">
        <f aca="false">IF(AND('MARZO 2026'!D66&lt;&gt;"",'MARZO 2026'!Z66="POR RECOGER"),'MARZO 2026'!Q66,"")</f>
        <v/>
      </c>
      <c r="K272" s="192" t="str">
        <f aca="false">IF(AND('MARZO 2026'!D66&lt;&gt;"",'MARZO 2026'!Z66="POR RECOGER"),'MARZO 2026'!Y66,"")</f>
        <v/>
      </c>
      <c r="L272" s="192" t="str">
        <f aca="false">IF(AND('MARZO 2026'!D66&lt;&gt;"",'MARZO 2026'!Z66="POR RECOGER"),'MARZO 2026'!I66,"")</f>
        <v/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" hidden="false" customHeight="true" outlineLevel="0" collapsed="false">
      <c r="A273" s="192" t="str">
        <f aca="false">IF(AND('MARZO 2026'!D67&lt;&gt;"",'MARZO 2026'!Z67="POR RECOGER"),"MAR","")</f>
        <v/>
      </c>
      <c r="B273" s="192" t="str">
        <f aca="false">IF(AND('MARZO 2026'!D67&lt;&gt;"",'MARZO 2026'!Z67="POR RECOGER"),IF('MARZO 2026'!Y67&lt;&gt;"",'MARZO 2026'!Y67,'MARZO 2026'!I67),"")</f>
        <v/>
      </c>
      <c r="C273" s="192" t="str">
        <f aca="false">IF(AND('MARZO 2026'!D67&lt;&gt;"",'MARZO 2026'!Z67="POR RECOGER"),'MARZO 2026'!D67,"")</f>
        <v/>
      </c>
      <c r="D273" s="192" t="str">
        <f aca="false">IF(AND('MARZO 2026'!D67&lt;&gt;"",'MARZO 2026'!Z67="POR RECOGER"),'MARZO 2026'!F67,"")</f>
        <v/>
      </c>
      <c r="E273" s="192" t="str">
        <f aca="false">IF(AND('MARZO 2026'!D67&lt;&gt;"",'MARZO 2026'!Z67="POR RECOGER"),TEXT('MARZO 2026'!G67,"DD/MM/YYYY"),"")</f>
        <v/>
      </c>
      <c r="F273" s="192" t="str">
        <f aca="false">IF(AND('MARZO 2026'!D67&lt;&gt;"",'MARZO 2026'!Z67="POR RECOGER"),'MARZO 2026'!K67,"")</f>
        <v/>
      </c>
      <c r="G273" s="193" t="str">
        <f aca="false">IF(AND('MARZO 2026'!D67&lt;&gt;"",'MARZO 2026'!Z67="POR RECOGER"),'MARZO 2026'!M67,"")</f>
        <v/>
      </c>
      <c r="H273" s="193" t="str">
        <f aca="false">IF(AND('MARZO 2026'!D67&lt;&gt;"",'MARZO 2026'!Z67="POR RECOGER"),'MARZO 2026'!N67,"")</f>
        <v/>
      </c>
      <c r="I273" s="192" t="str">
        <f aca="false">IF(AND('MARZO 2026'!D67&lt;&gt;"",'MARZO 2026'!Z67="POR RECOGER"),'MARZO 2026'!P67,"")</f>
        <v/>
      </c>
      <c r="J273" s="192" t="str">
        <f aca="false">IF(AND('MARZO 2026'!D67&lt;&gt;"",'MARZO 2026'!Z67="POR RECOGER"),'MARZO 2026'!Q67,"")</f>
        <v/>
      </c>
      <c r="K273" s="192" t="str">
        <f aca="false">IF(AND('MARZO 2026'!D67&lt;&gt;"",'MARZO 2026'!Z67="POR RECOGER"),'MARZO 2026'!Y67,"")</f>
        <v/>
      </c>
      <c r="L273" s="192" t="str">
        <f aca="false">IF(AND('MARZO 2026'!D67&lt;&gt;"",'MARZO 2026'!Z67="POR RECOGER"),'MARZO 2026'!I67,"")</f>
        <v/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" hidden="false" customHeight="true" outlineLevel="0" collapsed="false">
      <c r="A274" s="192" t="str">
        <f aca="false">IF(AND('MARZO 2026'!D68&lt;&gt;"",'MARZO 2026'!Z68="POR RECOGER"),"MAR","")</f>
        <v/>
      </c>
      <c r="B274" s="192" t="str">
        <f aca="false">IF(AND('MARZO 2026'!D68&lt;&gt;"",'MARZO 2026'!Z68="POR RECOGER"),IF('MARZO 2026'!Y68&lt;&gt;"",'MARZO 2026'!Y68,'MARZO 2026'!I68),"")</f>
        <v/>
      </c>
      <c r="C274" s="192" t="str">
        <f aca="false">IF(AND('MARZO 2026'!D68&lt;&gt;"",'MARZO 2026'!Z68="POR RECOGER"),'MARZO 2026'!D68,"")</f>
        <v/>
      </c>
      <c r="D274" s="192" t="str">
        <f aca="false">IF(AND('MARZO 2026'!D68&lt;&gt;"",'MARZO 2026'!Z68="POR RECOGER"),'MARZO 2026'!F68,"")</f>
        <v/>
      </c>
      <c r="E274" s="192" t="str">
        <f aca="false">IF(AND('MARZO 2026'!D68&lt;&gt;"",'MARZO 2026'!Z68="POR RECOGER"),TEXT('MARZO 2026'!G68,"DD/MM/YYYY"),"")</f>
        <v/>
      </c>
      <c r="F274" s="192" t="str">
        <f aca="false">IF(AND('MARZO 2026'!D68&lt;&gt;"",'MARZO 2026'!Z68="POR RECOGER"),'MARZO 2026'!K68,"")</f>
        <v/>
      </c>
      <c r="G274" s="193" t="str">
        <f aca="false">IF(AND('MARZO 2026'!D68&lt;&gt;"",'MARZO 2026'!Z68="POR RECOGER"),'MARZO 2026'!M68,"")</f>
        <v/>
      </c>
      <c r="H274" s="193" t="str">
        <f aca="false">IF(AND('MARZO 2026'!D68&lt;&gt;"",'MARZO 2026'!Z68="POR RECOGER"),'MARZO 2026'!N68,"")</f>
        <v/>
      </c>
      <c r="I274" s="192" t="str">
        <f aca="false">IF(AND('MARZO 2026'!D68&lt;&gt;"",'MARZO 2026'!Z68="POR RECOGER"),'MARZO 2026'!P68,"")</f>
        <v/>
      </c>
      <c r="J274" s="192" t="str">
        <f aca="false">IF(AND('MARZO 2026'!D68&lt;&gt;"",'MARZO 2026'!Z68="POR RECOGER"),'MARZO 2026'!Q68,"")</f>
        <v/>
      </c>
      <c r="K274" s="192" t="str">
        <f aca="false">IF(AND('MARZO 2026'!D68&lt;&gt;"",'MARZO 2026'!Z68="POR RECOGER"),'MARZO 2026'!Y68,"")</f>
        <v/>
      </c>
      <c r="L274" s="192" t="str">
        <f aca="false">IF(AND('MARZO 2026'!D68&lt;&gt;"",'MARZO 2026'!Z68="POR RECOGER"),'MARZO 2026'!I68,"")</f>
        <v/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" hidden="false" customHeight="true" outlineLevel="0" collapsed="false">
      <c r="A275" s="192" t="str">
        <f aca="false">IF(AND('MARZO 2026'!D69&lt;&gt;"",'MARZO 2026'!Z69="POR RECOGER"),"MAR","")</f>
        <v/>
      </c>
      <c r="B275" s="192" t="str">
        <f aca="false">IF(AND('MARZO 2026'!D69&lt;&gt;"",'MARZO 2026'!Z69="POR RECOGER"),IF('MARZO 2026'!Y69&lt;&gt;"",'MARZO 2026'!Y69,'MARZO 2026'!I69),"")</f>
        <v/>
      </c>
      <c r="C275" s="192" t="str">
        <f aca="false">IF(AND('MARZO 2026'!D69&lt;&gt;"",'MARZO 2026'!Z69="POR RECOGER"),'MARZO 2026'!D69,"")</f>
        <v/>
      </c>
      <c r="D275" s="192" t="str">
        <f aca="false">IF(AND('MARZO 2026'!D69&lt;&gt;"",'MARZO 2026'!Z69="POR RECOGER"),'MARZO 2026'!F69,"")</f>
        <v/>
      </c>
      <c r="E275" s="192" t="str">
        <f aca="false">IF(AND('MARZO 2026'!D69&lt;&gt;"",'MARZO 2026'!Z69="POR RECOGER"),TEXT('MARZO 2026'!G69,"DD/MM/YYYY"),"")</f>
        <v/>
      </c>
      <c r="F275" s="192" t="str">
        <f aca="false">IF(AND('MARZO 2026'!D69&lt;&gt;"",'MARZO 2026'!Z69="POR RECOGER"),'MARZO 2026'!K69,"")</f>
        <v/>
      </c>
      <c r="G275" s="193" t="str">
        <f aca="false">IF(AND('MARZO 2026'!D69&lt;&gt;"",'MARZO 2026'!Z69="POR RECOGER"),'MARZO 2026'!M69,"")</f>
        <v/>
      </c>
      <c r="H275" s="193" t="str">
        <f aca="false">IF(AND('MARZO 2026'!D69&lt;&gt;"",'MARZO 2026'!Z69="POR RECOGER"),'MARZO 2026'!N69,"")</f>
        <v/>
      </c>
      <c r="I275" s="192" t="str">
        <f aca="false">IF(AND('MARZO 2026'!D69&lt;&gt;"",'MARZO 2026'!Z69="POR RECOGER"),'MARZO 2026'!P69,"")</f>
        <v/>
      </c>
      <c r="J275" s="192" t="str">
        <f aca="false">IF(AND('MARZO 2026'!D69&lt;&gt;"",'MARZO 2026'!Z69="POR RECOGER"),'MARZO 2026'!Q69,"")</f>
        <v/>
      </c>
      <c r="K275" s="192" t="str">
        <f aca="false">IF(AND('MARZO 2026'!D69&lt;&gt;"",'MARZO 2026'!Z69="POR RECOGER"),'MARZO 2026'!Y69,"")</f>
        <v/>
      </c>
      <c r="L275" s="192" t="str">
        <f aca="false">IF(AND('MARZO 2026'!D69&lt;&gt;"",'MARZO 2026'!Z69="POR RECOGER"),'MARZO 2026'!I69,"")</f>
        <v/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" hidden="false" customHeight="true" outlineLevel="0" collapsed="false">
      <c r="A276" s="192" t="str">
        <f aca="false">IF(AND('MARZO 2026'!D70&lt;&gt;"",'MARZO 2026'!Z70="POR RECOGER"),"MAR","")</f>
        <v/>
      </c>
      <c r="B276" s="192" t="str">
        <f aca="false">IF(AND('MARZO 2026'!D70&lt;&gt;"",'MARZO 2026'!Z70="POR RECOGER"),IF('MARZO 2026'!Y70&lt;&gt;"",'MARZO 2026'!Y70,'MARZO 2026'!I70),"")</f>
        <v/>
      </c>
      <c r="C276" s="192" t="str">
        <f aca="false">IF(AND('MARZO 2026'!D70&lt;&gt;"",'MARZO 2026'!Z70="POR RECOGER"),'MARZO 2026'!D70,"")</f>
        <v/>
      </c>
      <c r="D276" s="192" t="str">
        <f aca="false">IF(AND('MARZO 2026'!D70&lt;&gt;"",'MARZO 2026'!Z70="POR RECOGER"),'MARZO 2026'!F70,"")</f>
        <v/>
      </c>
      <c r="E276" s="192" t="str">
        <f aca="false">IF(AND('MARZO 2026'!D70&lt;&gt;"",'MARZO 2026'!Z70="POR RECOGER"),TEXT('MARZO 2026'!G70,"DD/MM/YYYY"),"")</f>
        <v/>
      </c>
      <c r="F276" s="192" t="str">
        <f aca="false">IF(AND('MARZO 2026'!D70&lt;&gt;"",'MARZO 2026'!Z70="POR RECOGER"),'MARZO 2026'!K70,"")</f>
        <v/>
      </c>
      <c r="G276" s="193" t="str">
        <f aca="false">IF(AND('MARZO 2026'!D70&lt;&gt;"",'MARZO 2026'!Z70="POR RECOGER"),'MARZO 2026'!M70,"")</f>
        <v/>
      </c>
      <c r="H276" s="193" t="str">
        <f aca="false">IF(AND('MARZO 2026'!D70&lt;&gt;"",'MARZO 2026'!Z70="POR RECOGER"),'MARZO 2026'!N70,"")</f>
        <v/>
      </c>
      <c r="I276" s="192" t="str">
        <f aca="false">IF(AND('MARZO 2026'!D70&lt;&gt;"",'MARZO 2026'!Z70="POR RECOGER"),'MARZO 2026'!P70,"")</f>
        <v/>
      </c>
      <c r="J276" s="192" t="str">
        <f aca="false">IF(AND('MARZO 2026'!D70&lt;&gt;"",'MARZO 2026'!Z70="POR RECOGER"),'MARZO 2026'!Q70,"")</f>
        <v/>
      </c>
      <c r="K276" s="192" t="str">
        <f aca="false">IF(AND('MARZO 2026'!D70&lt;&gt;"",'MARZO 2026'!Z70="POR RECOGER"),'MARZO 2026'!Y70,"")</f>
        <v/>
      </c>
      <c r="L276" s="192" t="str">
        <f aca="false">IF(AND('MARZO 2026'!D70&lt;&gt;"",'MARZO 2026'!Z70="POR RECOGER"),'MARZO 2026'!I70,"")</f>
        <v/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" hidden="false" customHeight="true" outlineLevel="0" collapsed="false">
      <c r="A277" s="192" t="str">
        <f aca="false">IF(AND('MARZO 2026'!D71&lt;&gt;"",'MARZO 2026'!Z71="POR RECOGER"),"MAR","")</f>
        <v/>
      </c>
      <c r="B277" s="192" t="str">
        <f aca="false">IF(AND('MARZO 2026'!D71&lt;&gt;"",'MARZO 2026'!Z71="POR RECOGER"),IF('MARZO 2026'!Y71&lt;&gt;"",'MARZO 2026'!Y71,'MARZO 2026'!I71),"")</f>
        <v/>
      </c>
      <c r="C277" s="192" t="str">
        <f aca="false">IF(AND('MARZO 2026'!D71&lt;&gt;"",'MARZO 2026'!Z71="POR RECOGER"),'MARZO 2026'!D71,"")</f>
        <v/>
      </c>
      <c r="D277" s="192" t="str">
        <f aca="false">IF(AND('MARZO 2026'!D71&lt;&gt;"",'MARZO 2026'!Z71="POR RECOGER"),'MARZO 2026'!F71,"")</f>
        <v/>
      </c>
      <c r="E277" s="192" t="str">
        <f aca="false">IF(AND('MARZO 2026'!D71&lt;&gt;"",'MARZO 2026'!Z71="POR RECOGER"),TEXT('MARZO 2026'!G71,"DD/MM/YYYY"),"")</f>
        <v/>
      </c>
      <c r="F277" s="192" t="str">
        <f aca="false">IF(AND('MARZO 2026'!D71&lt;&gt;"",'MARZO 2026'!Z71="POR RECOGER"),'MARZO 2026'!K71,"")</f>
        <v/>
      </c>
      <c r="G277" s="193" t="str">
        <f aca="false">IF(AND('MARZO 2026'!D71&lt;&gt;"",'MARZO 2026'!Z71="POR RECOGER"),'MARZO 2026'!M71,"")</f>
        <v/>
      </c>
      <c r="H277" s="193" t="str">
        <f aca="false">IF(AND('MARZO 2026'!D71&lt;&gt;"",'MARZO 2026'!Z71="POR RECOGER"),'MARZO 2026'!N71,"")</f>
        <v/>
      </c>
      <c r="I277" s="192" t="str">
        <f aca="false">IF(AND('MARZO 2026'!D71&lt;&gt;"",'MARZO 2026'!Z71="POR RECOGER"),'MARZO 2026'!P71,"")</f>
        <v/>
      </c>
      <c r="J277" s="192" t="str">
        <f aca="false">IF(AND('MARZO 2026'!D71&lt;&gt;"",'MARZO 2026'!Z71="POR RECOGER"),'MARZO 2026'!Q71,"")</f>
        <v/>
      </c>
      <c r="K277" s="192" t="str">
        <f aca="false">IF(AND('MARZO 2026'!D71&lt;&gt;"",'MARZO 2026'!Z71="POR RECOGER"),'MARZO 2026'!Y71,"")</f>
        <v/>
      </c>
      <c r="L277" s="192" t="str">
        <f aca="false">IF(AND('MARZO 2026'!D71&lt;&gt;"",'MARZO 2026'!Z71="POR RECOGER"),'MARZO 2026'!I71,"")</f>
        <v/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" hidden="false" customHeight="true" outlineLevel="0" collapsed="false">
      <c r="A278" s="192" t="str">
        <f aca="false">IF(AND('MARZO 2026'!D72&lt;&gt;"",'MARZO 2026'!Z72="POR RECOGER"),"MAR","")</f>
        <v/>
      </c>
      <c r="B278" s="192" t="str">
        <f aca="false">IF(AND('MARZO 2026'!D72&lt;&gt;"",'MARZO 2026'!Z72="POR RECOGER"),IF('MARZO 2026'!Y72&lt;&gt;"",'MARZO 2026'!Y72,'MARZO 2026'!I72),"")</f>
        <v/>
      </c>
      <c r="C278" s="192" t="str">
        <f aca="false">IF(AND('MARZO 2026'!D72&lt;&gt;"",'MARZO 2026'!Z72="POR RECOGER"),'MARZO 2026'!D72,"")</f>
        <v/>
      </c>
      <c r="D278" s="192" t="str">
        <f aca="false">IF(AND('MARZO 2026'!D72&lt;&gt;"",'MARZO 2026'!Z72="POR RECOGER"),'MARZO 2026'!F72,"")</f>
        <v/>
      </c>
      <c r="E278" s="192" t="str">
        <f aca="false">IF(AND('MARZO 2026'!D72&lt;&gt;"",'MARZO 2026'!Z72="POR RECOGER"),TEXT('MARZO 2026'!G72,"DD/MM/YYYY"),"")</f>
        <v/>
      </c>
      <c r="F278" s="192" t="str">
        <f aca="false">IF(AND('MARZO 2026'!D72&lt;&gt;"",'MARZO 2026'!Z72="POR RECOGER"),'MARZO 2026'!K72,"")</f>
        <v/>
      </c>
      <c r="G278" s="193" t="str">
        <f aca="false">IF(AND('MARZO 2026'!D72&lt;&gt;"",'MARZO 2026'!Z72="POR RECOGER"),'MARZO 2026'!M72,"")</f>
        <v/>
      </c>
      <c r="H278" s="193" t="str">
        <f aca="false">IF(AND('MARZO 2026'!D72&lt;&gt;"",'MARZO 2026'!Z72="POR RECOGER"),'MARZO 2026'!N72,"")</f>
        <v/>
      </c>
      <c r="I278" s="192" t="str">
        <f aca="false">IF(AND('MARZO 2026'!D72&lt;&gt;"",'MARZO 2026'!Z72="POR RECOGER"),'MARZO 2026'!P72,"")</f>
        <v/>
      </c>
      <c r="J278" s="192" t="str">
        <f aca="false">IF(AND('MARZO 2026'!D72&lt;&gt;"",'MARZO 2026'!Z72="POR RECOGER"),'MARZO 2026'!Q72,"")</f>
        <v/>
      </c>
      <c r="K278" s="192" t="str">
        <f aca="false">IF(AND('MARZO 2026'!D72&lt;&gt;"",'MARZO 2026'!Z72="POR RECOGER"),'MARZO 2026'!Y72,"")</f>
        <v/>
      </c>
      <c r="L278" s="192" t="str">
        <f aca="false">IF(AND('MARZO 2026'!D72&lt;&gt;"",'MARZO 2026'!Z72="POR RECOGER"),'MARZO 2026'!I72,"")</f>
        <v/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" hidden="false" customHeight="true" outlineLevel="0" collapsed="false">
      <c r="A279" s="192" t="str">
        <f aca="false">IF(AND('MARZO 2026'!D73&lt;&gt;"",'MARZO 2026'!Z73="POR RECOGER"),"MAR","")</f>
        <v/>
      </c>
      <c r="B279" s="192" t="str">
        <f aca="false">IF(AND('MARZO 2026'!D73&lt;&gt;"",'MARZO 2026'!Z73="POR RECOGER"),IF('MARZO 2026'!Y73&lt;&gt;"",'MARZO 2026'!Y73,'MARZO 2026'!I73),"")</f>
        <v/>
      </c>
      <c r="C279" s="192" t="str">
        <f aca="false">IF(AND('MARZO 2026'!D73&lt;&gt;"",'MARZO 2026'!Z73="POR RECOGER"),'MARZO 2026'!D73,"")</f>
        <v/>
      </c>
      <c r="D279" s="192" t="str">
        <f aca="false">IF(AND('MARZO 2026'!D73&lt;&gt;"",'MARZO 2026'!Z73="POR RECOGER"),'MARZO 2026'!F73,"")</f>
        <v/>
      </c>
      <c r="E279" s="192" t="str">
        <f aca="false">IF(AND('MARZO 2026'!D73&lt;&gt;"",'MARZO 2026'!Z73="POR RECOGER"),TEXT('MARZO 2026'!G73,"DD/MM/YYYY"),"")</f>
        <v/>
      </c>
      <c r="F279" s="192" t="str">
        <f aca="false">IF(AND('MARZO 2026'!D73&lt;&gt;"",'MARZO 2026'!Z73="POR RECOGER"),'MARZO 2026'!K73,"")</f>
        <v/>
      </c>
      <c r="G279" s="193" t="str">
        <f aca="false">IF(AND('MARZO 2026'!D73&lt;&gt;"",'MARZO 2026'!Z73="POR RECOGER"),'MARZO 2026'!M73,"")</f>
        <v/>
      </c>
      <c r="H279" s="193" t="str">
        <f aca="false">IF(AND('MARZO 2026'!D73&lt;&gt;"",'MARZO 2026'!Z73="POR RECOGER"),'MARZO 2026'!N73,"")</f>
        <v/>
      </c>
      <c r="I279" s="192" t="str">
        <f aca="false">IF(AND('MARZO 2026'!D73&lt;&gt;"",'MARZO 2026'!Z73="POR RECOGER"),'MARZO 2026'!P73,"")</f>
        <v/>
      </c>
      <c r="J279" s="192" t="str">
        <f aca="false">IF(AND('MARZO 2026'!D73&lt;&gt;"",'MARZO 2026'!Z73="POR RECOGER"),'MARZO 2026'!Q73,"")</f>
        <v/>
      </c>
      <c r="K279" s="192" t="str">
        <f aca="false">IF(AND('MARZO 2026'!D73&lt;&gt;"",'MARZO 2026'!Z73="POR RECOGER"),'MARZO 2026'!Y73,"")</f>
        <v/>
      </c>
      <c r="L279" s="192" t="str">
        <f aca="false">IF(AND('MARZO 2026'!D73&lt;&gt;"",'MARZO 2026'!Z73="POR RECOGER"),'MARZO 2026'!I73,"")</f>
        <v/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" hidden="false" customHeight="true" outlineLevel="0" collapsed="false">
      <c r="A280" s="192" t="str">
        <f aca="false">IF(AND('MARZO 2026'!D74&lt;&gt;"",'MARZO 2026'!Z74="POR RECOGER"),"MAR","")</f>
        <v/>
      </c>
      <c r="B280" s="192" t="str">
        <f aca="false">IF(AND('MARZO 2026'!D74&lt;&gt;"",'MARZO 2026'!Z74="POR RECOGER"),IF('MARZO 2026'!Y74&lt;&gt;"",'MARZO 2026'!Y74,'MARZO 2026'!I74),"")</f>
        <v/>
      </c>
      <c r="C280" s="192" t="str">
        <f aca="false">IF(AND('MARZO 2026'!D74&lt;&gt;"",'MARZO 2026'!Z74="POR RECOGER"),'MARZO 2026'!D74,"")</f>
        <v/>
      </c>
      <c r="D280" s="192" t="str">
        <f aca="false">IF(AND('MARZO 2026'!D74&lt;&gt;"",'MARZO 2026'!Z74="POR RECOGER"),'MARZO 2026'!F74,"")</f>
        <v/>
      </c>
      <c r="E280" s="192" t="str">
        <f aca="false">IF(AND('MARZO 2026'!D74&lt;&gt;"",'MARZO 2026'!Z74="POR RECOGER"),TEXT('MARZO 2026'!G74,"DD/MM/YYYY"),"")</f>
        <v/>
      </c>
      <c r="F280" s="192" t="str">
        <f aca="false">IF(AND('MARZO 2026'!D74&lt;&gt;"",'MARZO 2026'!Z74="POR RECOGER"),'MARZO 2026'!K74,"")</f>
        <v/>
      </c>
      <c r="G280" s="193" t="str">
        <f aca="false">IF(AND('MARZO 2026'!D74&lt;&gt;"",'MARZO 2026'!Z74="POR RECOGER"),'MARZO 2026'!M74,"")</f>
        <v/>
      </c>
      <c r="H280" s="193" t="str">
        <f aca="false">IF(AND('MARZO 2026'!D74&lt;&gt;"",'MARZO 2026'!Z74="POR RECOGER"),'MARZO 2026'!N74,"")</f>
        <v/>
      </c>
      <c r="I280" s="192" t="str">
        <f aca="false">IF(AND('MARZO 2026'!D74&lt;&gt;"",'MARZO 2026'!Z74="POR RECOGER"),'MARZO 2026'!P74,"")</f>
        <v/>
      </c>
      <c r="J280" s="192" t="str">
        <f aca="false">IF(AND('MARZO 2026'!D74&lt;&gt;"",'MARZO 2026'!Z74="POR RECOGER"),'MARZO 2026'!Q74,"")</f>
        <v/>
      </c>
      <c r="K280" s="192" t="str">
        <f aca="false">IF(AND('MARZO 2026'!D74&lt;&gt;"",'MARZO 2026'!Z74="POR RECOGER"),'MARZO 2026'!Y74,"")</f>
        <v/>
      </c>
      <c r="L280" s="192" t="str">
        <f aca="false">IF(AND('MARZO 2026'!D74&lt;&gt;"",'MARZO 2026'!Z74="POR RECOGER"),'MARZO 2026'!I74,"")</f>
        <v/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" hidden="false" customHeight="true" outlineLevel="0" collapsed="false">
      <c r="A281" s="192" t="str">
        <f aca="false">IF(AND('MARZO 2026'!D75&lt;&gt;"",'MARZO 2026'!Z75="POR RECOGER"),"MAR","")</f>
        <v/>
      </c>
      <c r="B281" s="192" t="str">
        <f aca="false">IF(AND('MARZO 2026'!D75&lt;&gt;"",'MARZO 2026'!Z75="POR RECOGER"),IF('MARZO 2026'!Y75&lt;&gt;"",'MARZO 2026'!Y75,'MARZO 2026'!I75),"")</f>
        <v/>
      </c>
      <c r="C281" s="192" t="str">
        <f aca="false">IF(AND('MARZO 2026'!D75&lt;&gt;"",'MARZO 2026'!Z75="POR RECOGER"),'MARZO 2026'!D75,"")</f>
        <v/>
      </c>
      <c r="D281" s="192" t="str">
        <f aca="false">IF(AND('MARZO 2026'!D75&lt;&gt;"",'MARZO 2026'!Z75="POR RECOGER"),'MARZO 2026'!F75,"")</f>
        <v/>
      </c>
      <c r="E281" s="192" t="str">
        <f aca="false">IF(AND('MARZO 2026'!D75&lt;&gt;"",'MARZO 2026'!Z75="POR RECOGER"),TEXT('MARZO 2026'!G75,"DD/MM/YYYY"),"")</f>
        <v/>
      </c>
      <c r="F281" s="192" t="str">
        <f aca="false">IF(AND('MARZO 2026'!D75&lt;&gt;"",'MARZO 2026'!Z75="POR RECOGER"),'MARZO 2026'!K75,"")</f>
        <v/>
      </c>
      <c r="G281" s="193" t="str">
        <f aca="false">IF(AND('MARZO 2026'!D75&lt;&gt;"",'MARZO 2026'!Z75="POR RECOGER"),'MARZO 2026'!M75,"")</f>
        <v/>
      </c>
      <c r="H281" s="193" t="str">
        <f aca="false">IF(AND('MARZO 2026'!D75&lt;&gt;"",'MARZO 2026'!Z75="POR RECOGER"),'MARZO 2026'!N75,"")</f>
        <v/>
      </c>
      <c r="I281" s="192" t="str">
        <f aca="false">IF(AND('MARZO 2026'!D75&lt;&gt;"",'MARZO 2026'!Z75="POR RECOGER"),'MARZO 2026'!P75,"")</f>
        <v/>
      </c>
      <c r="J281" s="192" t="str">
        <f aca="false">IF(AND('MARZO 2026'!D75&lt;&gt;"",'MARZO 2026'!Z75="POR RECOGER"),'MARZO 2026'!Q75,"")</f>
        <v/>
      </c>
      <c r="K281" s="192" t="str">
        <f aca="false">IF(AND('MARZO 2026'!D75&lt;&gt;"",'MARZO 2026'!Z75="POR RECOGER"),'MARZO 2026'!Y75,"")</f>
        <v/>
      </c>
      <c r="L281" s="192" t="str">
        <f aca="false">IF(AND('MARZO 2026'!D75&lt;&gt;"",'MARZO 2026'!Z75="POR RECOGER"),'MARZO 2026'!I75,"")</f>
        <v/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" hidden="false" customHeight="true" outlineLevel="0" collapsed="false">
      <c r="A282" s="192" t="str">
        <f aca="false">IF(AND('MARZO 2026'!D76&lt;&gt;"",'MARZO 2026'!Z76="POR RECOGER"),"MAR","")</f>
        <v/>
      </c>
      <c r="B282" s="192" t="str">
        <f aca="false">IF(AND('MARZO 2026'!D76&lt;&gt;"",'MARZO 2026'!Z76="POR RECOGER"),IF('MARZO 2026'!Y76&lt;&gt;"",'MARZO 2026'!Y76,'MARZO 2026'!I76),"")</f>
        <v/>
      </c>
      <c r="C282" s="192" t="str">
        <f aca="false">IF(AND('MARZO 2026'!D76&lt;&gt;"",'MARZO 2026'!Z76="POR RECOGER"),'MARZO 2026'!D76,"")</f>
        <v/>
      </c>
      <c r="D282" s="192" t="str">
        <f aca="false">IF(AND('MARZO 2026'!D76&lt;&gt;"",'MARZO 2026'!Z76="POR RECOGER"),'MARZO 2026'!F76,"")</f>
        <v/>
      </c>
      <c r="E282" s="192" t="str">
        <f aca="false">IF(AND('MARZO 2026'!D76&lt;&gt;"",'MARZO 2026'!Z76="POR RECOGER"),TEXT('MARZO 2026'!G76,"DD/MM/YYYY"),"")</f>
        <v/>
      </c>
      <c r="F282" s="192" t="str">
        <f aca="false">IF(AND('MARZO 2026'!D76&lt;&gt;"",'MARZO 2026'!Z76="POR RECOGER"),'MARZO 2026'!K76,"")</f>
        <v/>
      </c>
      <c r="G282" s="193" t="str">
        <f aca="false">IF(AND('MARZO 2026'!D76&lt;&gt;"",'MARZO 2026'!Z76="POR RECOGER"),'MARZO 2026'!M76,"")</f>
        <v/>
      </c>
      <c r="H282" s="193" t="str">
        <f aca="false">IF(AND('MARZO 2026'!D76&lt;&gt;"",'MARZO 2026'!Z76="POR RECOGER"),'MARZO 2026'!N76,"")</f>
        <v/>
      </c>
      <c r="I282" s="192" t="str">
        <f aca="false">IF(AND('MARZO 2026'!D76&lt;&gt;"",'MARZO 2026'!Z76="POR RECOGER"),'MARZO 2026'!P76,"")</f>
        <v/>
      </c>
      <c r="J282" s="192" t="str">
        <f aca="false">IF(AND('MARZO 2026'!D76&lt;&gt;"",'MARZO 2026'!Z76="POR RECOGER"),'MARZO 2026'!Q76,"")</f>
        <v/>
      </c>
      <c r="K282" s="192" t="str">
        <f aca="false">IF(AND('MARZO 2026'!D76&lt;&gt;"",'MARZO 2026'!Z76="POR RECOGER"),'MARZO 2026'!Y76,"")</f>
        <v/>
      </c>
      <c r="L282" s="192" t="str">
        <f aca="false">IF(AND('MARZO 2026'!D76&lt;&gt;"",'MARZO 2026'!Z76="POR RECOGER"),'MARZO 2026'!I76,"")</f>
        <v/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" hidden="false" customHeight="true" outlineLevel="0" collapsed="false">
      <c r="A283" s="192" t="str">
        <f aca="false">IF(AND('MARZO 2026'!D77&lt;&gt;"",'MARZO 2026'!Z77="POR RECOGER"),"MAR","")</f>
        <v/>
      </c>
      <c r="B283" s="192" t="str">
        <f aca="false">IF(AND('MARZO 2026'!D77&lt;&gt;"",'MARZO 2026'!Z77="POR RECOGER"),IF('MARZO 2026'!Y77&lt;&gt;"",'MARZO 2026'!Y77,'MARZO 2026'!I77),"")</f>
        <v/>
      </c>
      <c r="C283" s="192" t="str">
        <f aca="false">IF(AND('MARZO 2026'!D77&lt;&gt;"",'MARZO 2026'!Z77="POR RECOGER"),'MARZO 2026'!D77,"")</f>
        <v/>
      </c>
      <c r="D283" s="192" t="str">
        <f aca="false">IF(AND('MARZO 2026'!D77&lt;&gt;"",'MARZO 2026'!Z77="POR RECOGER"),'MARZO 2026'!F77,"")</f>
        <v/>
      </c>
      <c r="E283" s="192" t="str">
        <f aca="false">IF(AND('MARZO 2026'!D77&lt;&gt;"",'MARZO 2026'!Z77="POR RECOGER"),TEXT('MARZO 2026'!G77,"DD/MM/YYYY"),"")</f>
        <v/>
      </c>
      <c r="F283" s="192" t="str">
        <f aca="false">IF(AND('MARZO 2026'!D77&lt;&gt;"",'MARZO 2026'!Z77="POR RECOGER"),'MARZO 2026'!K77,"")</f>
        <v/>
      </c>
      <c r="G283" s="193" t="str">
        <f aca="false">IF(AND('MARZO 2026'!D77&lt;&gt;"",'MARZO 2026'!Z77="POR RECOGER"),'MARZO 2026'!M77,"")</f>
        <v/>
      </c>
      <c r="H283" s="193" t="str">
        <f aca="false">IF(AND('MARZO 2026'!D77&lt;&gt;"",'MARZO 2026'!Z77="POR RECOGER"),'MARZO 2026'!N77,"")</f>
        <v/>
      </c>
      <c r="I283" s="192" t="str">
        <f aca="false">IF(AND('MARZO 2026'!D77&lt;&gt;"",'MARZO 2026'!Z77="POR RECOGER"),'MARZO 2026'!P77,"")</f>
        <v/>
      </c>
      <c r="J283" s="192" t="str">
        <f aca="false">IF(AND('MARZO 2026'!D77&lt;&gt;"",'MARZO 2026'!Z77="POR RECOGER"),'MARZO 2026'!Q77,"")</f>
        <v/>
      </c>
      <c r="K283" s="192" t="str">
        <f aca="false">IF(AND('MARZO 2026'!D77&lt;&gt;"",'MARZO 2026'!Z77="POR RECOGER"),'MARZO 2026'!Y77,"")</f>
        <v/>
      </c>
      <c r="L283" s="192" t="str">
        <f aca="false">IF(AND('MARZO 2026'!D77&lt;&gt;"",'MARZO 2026'!Z77="POR RECOGER"),'MARZO 2026'!I77,"")</f>
        <v/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" hidden="false" customHeight="true" outlineLevel="0" collapsed="false">
      <c r="A284" s="192" t="str">
        <f aca="false">IF(AND('MARZO 2026'!D78&lt;&gt;"",'MARZO 2026'!Z78="POR RECOGER"),"MAR","")</f>
        <v/>
      </c>
      <c r="B284" s="192" t="str">
        <f aca="false">IF(AND('MARZO 2026'!D78&lt;&gt;"",'MARZO 2026'!Z78="POR RECOGER"),IF('MARZO 2026'!Y78&lt;&gt;"",'MARZO 2026'!Y78,'MARZO 2026'!I78),"")</f>
        <v/>
      </c>
      <c r="C284" s="192" t="str">
        <f aca="false">IF(AND('MARZO 2026'!D78&lt;&gt;"",'MARZO 2026'!Z78="POR RECOGER"),'MARZO 2026'!D78,"")</f>
        <v/>
      </c>
      <c r="D284" s="192" t="str">
        <f aca="false">IF(AND('MARZO 2026'!D78&lt;&gt;"",'MARZO 2026'!Z78="POR RECOGER"),'MARZO 2026'!F78,"")</f>
        <v/>
      </c>
      <c r="E284" s="192" t="str">
        <f aca="false">IF(AND('MARZO 2026'!D78&lt;&gt;"",'MARZO 2026'!Z78="POR RECOGER"),TEXT('MARZO 2026'!G78,"DD/MM/YYYY"),"")</f>
        <v/>
      </c>
      <c r="F284" s="192" t="str">
        <f aca="false">IF(AND('MARZO 2026'!D78&lt;&gt;"",'MARZO 2026'!Z78="POR RECOGER"),'MARZO 2026'!K78,"")</f>
        <v/>
      </c>
      <c r="G284" s="193" t="str">
        <f aca="false">IF(AND('MARZO 2026'!D78&lt;&gt;"",'MARZO 2026'!Z78="POR RECOGER"),'MARZO 2026'!M78,"")</f>
        <v/>
      </c>
      <c r="H284" s="193" t="str">
        <f aca="false">IF(AND('MARZO 2026'!D78&lt;&gt;"",'MARZO 2026'!Z78="POR RECOGER"),'MARZO 2026'!N78,"")</f>
        <v/>
      </c>
      <c r="I284" s="192" t="str">
        <f aca="false">IF(AND('MARZO 2026'!D78&lt;&gt;"",'MARZO 2026'!Z78="POR RECOGER"),'MARZO 2026'!P78,"")</f>
        <v/>
      </c>
      <c r="J284" s="192" t="str">
        <f aca="false">IF(AND('MARZO 2026'!D78&lt;&gt;"",'MARZO 2026'!Z78="POR RECOGER"),'MARZO 2026'!Q78,"")</f>
        <v/>
      </c>
      <c r="K284" s="192" t="str">
        <f aca="false">IF(AND('MARZO 2026'!D78&lt;&gt;"",'MARZO 2026'!Z78="POR RECOGER"),'MARZO 2026'!Y78,"")</f>
        <v/>
      </c>
      <c r="L284" s="192" t="str">
        <f aca="false">IF(AND('MARZO 2026'!D78&lt;&gt;"",'MARZO 2026'!Z78="POR RECOGER"),'MARZO 2026'!I78,"")</f>
        <v/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" hidden="false" customHeight="true" outlineLevel="0" collapsed="false">
      <c r="A285" s="192" t="str">
        <f aca="false">IF(AND('MARZO 2026'!D79&lt;&gt;"",'MARZO 2026'!Z79="POR RECOGER"),"MAR","")</f>
        <v/>
      </c>
      <c r="B285" s="192" t="str">
        <f aca="false">IF(AND('MARZO 2026'!D79&lt;&gt;"",'MARZO 2026'!Z79="POR RECOGER"),IF('MARZO 2026'!Y79&lt;&gt;"",'MARZO 2026'!Y79,'MARZO 2026'!I79),"")</f>
        <v/>
      </c>
      <c r="C285" s="192" t="str">
        <f aca="false">IF(AND('MARZO 2026'!D79&lt;&gt;"",'MARZO 2026'!Z79="POR RECOGER"),'MARZO 2026'!D79,"")</f>
        <v/>
      </c>
      <c r="D285" s="192" t="str">
        <f aca="false">IF(AND('MARZO 2026'!D79&lt;&gt;"",'MARZO 2026'!Z79="POR RECOGER"),'MARZO 2026'!F79,"")</f>
        <v/>
      </c>
      <c r="E285" s="192" t="str">
        <f aca="false">IF(AND('MARZO 2026'!D79&lt;&gt;"",'MARZO 2026'!Z79="POR RECOGER"),TEXT('MARZO 2026'!G79,"DD/MM/YYYY"),"")</f>
        <v/>
      </c>
      <c r="F285" s="192" t="str">
        <f aca="false">IF(AND('MARZO 2026'!D79&lt;&gt;"",'MARZO 2026'!Z79="POR RECOGER"),'MARZO 2026'!K79,"")</f>
        <v/>
      </c>
      <c r="G285" s="193" t="str">
        <f aca="false">IF(AND('MARZO 2026'!D79&lt;&gt;"",'MARZO 2026'!Z79="POR RECOGER"),'MARZO 2026'!M79,"")</f>
        <v/>
      </c>
      <c r="H285" s="193" t="str">
        <f aca="false">IF(AND('MARZO 2026'!D79&lt;&gt;"",'MARZO 2026'!Z79="POR RECOGER"),'MARZO 2026'!N79,"")</f>
        <v/>
      </c>
      <c r="I285" s="192" t="str">
        <f aca="false">IF(AND('MARZO 2026'!D79&lt;&gt;"",'MARZO 2026'!Z79="POR RECOGER"),'MARZO 2026'!P79,"")</f>
        <v/>
      </c>
      <c r="J285" s="192" t="str">
        <f aca="false">IF(AND('MARZO 2026'!D79&lt;&gt;"",'MARZO 2026'!Z79="POR RECOGER"),'MARZO 2026'!Q79,"")</f>
        <v/>
      </c>
      <c r="K285" s="192" t="str">
        <f aca="false">IF(AND('MARZO 2026'!D79&lt;&gt;"",'MARZO 2026'!Z79="POR RECOGER"),'MARZO 2026'!Y79,"")</f>
        <v/>
      </c>
      <c r="L285" s="192" t="str">
        <f aca="false">IF(AND('MARZO 2026'!D79&lt;&gt;"",'MARZO 2026'!Z79="POR RECOGER"),'MARZO 2026'!I79,"")</f>
        <v/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" hidden="false" customHeight="true" outlineLevel="0" collapsed="false">
      <c r="A286" s="192" t="str">
        <f aca="false">IF(AND('MARZO 2026'!D80&lt;&gt;"",'MARZO 2026'!Z80="POR RECOGER"),"MAR","")</f>
        <v/>
      </c>
      <c r="B286" s="192" t="str">
        <f aca="false">IF(AND('MARZO 2026'!D80&lt;&gt;"",'MARZO 2026'!Z80="POR RECOGER"),IF('MARZO 2026'!Y80&lt;&gt;"",'MARZO 2026'!Y80,'MARZO 2026'!I80),"")</f>
        <v/>
      </c>
      <c r="C286" s="192" t="str">
        <f aca="false">IF(AND('MARZO 2026'!D80&lt;&gt;"",'MARZO 2026'!Z80="POR RECOGER"),'MARZO 2026'!D80,"")</f>
        <v/>
      </c>
      <c r="D286" s="192" t="str">
        <f aca="false">IF(AND('MARZO 2026'!D80&lt;&gt;"",'MARZO 2026'!Z80="POR RECOGER"),'MARZO 2026'!F80,"")</f>
        <v/>
      </c>
      <c r="E286" s="192" t="str">
        <f aca="false">IF(AND('MARZO 2026'!D80&lt;&gt;"",'MARZO 2026'!Z80="POR RECOGER"),TEXT('MARZO 2026'!G80,"DD/MM/YYYY"),"")</f>
        <v/>
      </c>
      <c r="F286" s="192" t="str">
        <f aca="false">IF(AND('MARZO 2026'!D80&lt;&gt;"",'MARZO 2026'!Z80="POR RECOGER"),'MARZO 2026'!K80,"")</f>
        <v/>
      </c>
      <c r="G286" s="193" t="str">
        <f aca="false">IF(AND('MARZO 2026'!D80&lt;&gt;"",'MARZO 2026'!Z80="POR RECOGER"),'MARZO 2026'!M80,"")</f>
        <v/>
      </c>
      <c r="H286" s="193" t="str">
        <f aca="false">IF(AND('MARZO 2026'!D80&lt;&gt;"",'MARZO 2026'!Z80="POR RECOGER"),'MARZO 2026'!N80,"")</f>
        <v/>
      </c>
      <c r="I286" s="192" t="str">
        <f aca="false">IF(AND('MARZO 2026'!D80&lt;&gt;"",'MARZO 2026'!Z80="POR RECOGER"),'MARZO 2026'!P80,"")</f>
        <v/>
      </c>
      <c r="J286" s="192" t="str">
        <f aca="false">IF(AND('MARZO 2026'!D80&lt;&gt;"",'MARZO 2026'!Z80="POR RECOGER"),'MARZO 2026'!Q80,"")</f>
        <v/>
      </c>
      <c r="K286" s="192" t="str">
        <f aca="false">IF(AND('MARZO 2026'!D80&lt;&gt;"",'MARZO 2026'!Z80="POR RECOGER"),'MARZO 2026'!Y80,"")</f>
        <v/>
      </c>
      <c r="L286" s="192" t="str">
        <f aca="false">IF(AND('MARZO 2026'!D80&lt;&gt;"",'MARZO 2026'!Z80="POR RECOGER"),'MARZO 2026'!I80,"")</f>
        <v/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" hidden="false" customHeight="true" outlineLevel="0" collapsed="false">
      <c r="A287" s="192" t="str">
        <f aca="false">IF(AND('MARZO 2026'!D81&lt;&gt;"",'MARZO 2026'!Z81="POR RECOGER"),"MAR","")</f>
        <v/>
      </c>
      <c r="B287" s="192" t="str">
        <f aca="false">IF(AND('MARZO 2026'!D81&lt;&gt;"",'MARZO 2026'!Z81="POR RECOGER"),IF('MARZO 2026'!Y81&lt;&gt;"",'MARZO 2026'!Y81,'MARZO 2026'!I81),"")</f>
        <v/>
      </c>
      <c r="C287" s="192" t="str">
        <f aca="false">IF(AND('MARZO 2026'!D81&lt;&gt;"",'MARZO 2026'!Z81="POR RECOGER"),'MARZO 2026'!D81,"")</f>
        <v/>
      </c>
      <c r="D287" s="192" t="str">
        <f aca="false">IF(AND('MARZO 2026'!D81&lt;&gt;"",'MARZO 2026'!Z81="POR RECOGER"),'MARZO 2026'!F81,"")</f>
        <v/>
      </c>
      <c r="E287" s="192" t="str">
        <f aca="false">IF(AND('MARZO 2026'!D81&lt;&gt;"",'MARZO 2026'!Z81="POR RECOGER"),TEXT('MARZO 2026'!G81,"DD/MM/YYYY"),"")</f>
        <v/>
      </c>
      <c r="F287" s="192" t="str">
        <f aca="false">IF(AND('MARZO 2026'!D81&lt;&gt;"",'MARZO 2026'!Z81="POR RECOGER"),'MARZO 2026'!K81,"")</f>
        <v/>
      </c>
      <c r="G287" s="193" t="str">
        <f aca="false">IF(AND('MARZO 2026'!D81&lt;&gt;"",'MARZO 2026'!Z81="POR RECOGER"),'MARZO 2026'!M81,"")</f>
        <v/>
      </c>
      <c r="H287" s="193" t="str">
        <f aca="false">IF(AND('MARZO 2026'!D81&lt;&gt;"",'MARZO 2026'!Z81="POR RECOGER"),'MARZO 2026'!N81,"")</f>
        <v/>
      </c>
      <c r="I287" s="192" t="str">
        <f aca="false">IF(AND('MARZO 2026'!D81&lt;&gt;"",'MARZO 2026'!Z81="POR RECOGER"),'MARZO 2026'!P81,"")</f>
        <v/>
      </c>
      <c r="J287" s="192" t="str">
        <f aca="false">IF(AND('MARZO 2026'!D81&lt;&gt;"",'MARZO 2026'!Z81="POR RECOGER"),'MARZO 2026'!Q81,"")</f>
        <v/>
      </c>
      <c r="K287" s="192" t="str">
        <f aca="false">IF(AND('MARZO 2026'!D81&lt;&gt;"",'MARZO 2026'!Z81="POR RECOGER"),'MARZO 2026'!Y81,"")</f>
        <v/>
      </c>
      <c r="L287" s="192" t="str">
        <f aca="false">IF(AND('MARZO 2026'!D81&lt;&gt;"",'MARZO 2026'!Z81="POR RECOGER"),'MARZO 2026'!I81,"")</f>
        <v/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" hidden="false" customHeight="true" outlineLevel="0" collapsed="false">
      <c r="A288" s="192" t="str">
        <f aca="false">IF(AND('MARZO 2026'!D82&lt;&gt;"",'MARZO 2026'!Z82="POR RECOGER"),"MAR","")</f>
        <v/>
      </c>
      <c r="B288" s="192" t="str">
        <f aca="false">IF(AND('MARZO 2026'!D82&lt;&gt;"",'MARZO 2026'!Z82="POR RECOGER"),IF('MARZO 2026'!Y82&lt;&gt;"",'MARZO 2026'!Y82,'MARZO 2026'!I82),"")</f>
        <v/>
      </c>
      <c r="C288" s="192" t="str">
        <f aca="false">IF(AND('MARZO 2026'!D82&lt;&gt;"",'MARZO 2026'!Z82="POR RECOGER"),'MARZO 2026'!D82,"")</f>
        <v/>
      </c>
      <c r="D288" s="192" t="str">
        <f aca="false">IF(AND('MARZO 2026'!D82&lt;&gt;"",'MARZO 2026'!Z82="POR RECOGER"),'MARZO 2026'!F82,"")</f>
        <v/>
      </c>
      <c r="E288" s="192" t="str">
        <f aca="false">IF(AND('MARZO 2026'!D82&lt;&gt;"",'MARZO 2026'!Z82="POR RECOGER"),TEXT('MARZO 2026'!G82,"DD/MM/YYYY"),"")</f>
        <v/>
      </c>
      <c r="F288" s="192" t="str">
        <f aca="false">IF(AND('MARZO 2026'!D82&lt;&gt;"",'MARZO 2026'!Z82="POR RECOGER"),'MARZO 2026'!K82,"")</f>
        <v/>
      </c>
      <c r="G288" s="193" t="str">
        <f aca="false">IF(AND('MARZO 2026'!D82&lt;&gt;"",'MARZO 2026'!Z82="POR RECOGER"),'MARZO 2026'!M82,"")</f>
        <v/>
      </c>
      <c r="H288" s="193" t="str">
        <f aca="false">IF(AND('MARZO 2026'!D82&lt;&gt;"",'MARZO 2026'!Z82="POR RECOGER"),'MARZO 2026'!N82,"")</f>
        <v/>
      </c>
      <c r="I288" s="192" t="str">
        <f aca="false">IF(AND('MARZO 2026'!D82&lt;&gt;"",'MARZO 2026'!Z82="POR RECOGER"),'MARZO 2026'!P82,"")</f>
        <v/>
      </c>
      <c r="J288" s="192" t="str">
        <f aca="false">IF(AND('MARZO 2026'!D82&lt;&gt;"",'MARZO 2026'!Z82="POR RECOGER"),'MARZO 2026'!Q82,"")</f>
        <v/>
      </c>
      <c r="K288" s="192" t="str">
        <f aca="false">IF(AND('MARZO 2026'!D82&lt;&gt;"",'MARZO 2026'!Z82="POR RECOGER"),'MARZO 2026'!Y82,"")</f>
        <v/>
      </c>
      <c r="L288" s="192" t="str">
        <f aca="false">IF(AND('MARZO 2026'!D82&lt;&gt;"",'MARZO 2026'!Z82="POR RECOGER"),'MARZO 2026'!I82,"")</f>
        <v/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" hidden="false" customHeight="true" outlineLevel="0" collapsed="false">
      <c r="A289" s="192" t="str">
        <f aca="false">IF(AND('MARZO 2026'!D83&lt;&gt;"",'MARZO 2026'!Z83="POR RECOGER"),"MAR","")</f>
        <v/>
      </c>
      <c r="B289" s="192" t="str">
        <f aca="false">IF(AND('MARZO 2026'!D83&lt;&gt;"",'MARZO 2026'!Z83="POR RECOGER"),IF('MARZO 2026'!Y83&lt;&gt;"",'MARZO 2026'!Y83,'MARZO 2026'!I83),"")</f>
        <v/>
      </c>
      <c r="C289" s="192" t="str">
        <f aca="false">IF(AND('MARZO 2026'!D83&lt;&gt;"",'MARZO 2026'!Z83="POR RECOGER"),'MARZO 2026'!D83,"")</f>
        <v/>
      </c>
      <c r="D289" s="192" t="str">
        <f aca="false">IF(AND('MARZO 2026'!D83&lt;&gt;"",'MARZO 2026'!Z83="POR RECOGER"),'MARZO 2026'!F83,"")</f>
        <v/>
      </c>
      <c r="E289" s="192" t="str">
        <f aca="false">IF(AND('MARZO 2026'!D83&lt;&gt;"",'MARZO 2026'!Z83="POR RECOGER"),TEXT('MARZO 2026'!G83,"DD/MM/YYYY"),"")</f>
        <v/>
      </c>
      <c r="F289" s="192" t="str">
        <f aca="false">IF(AND('MARZO 2026'!D83&lt;&gt;"",'MARZO 2026'!Z83="POR RECOGER"),'MARZO 2026'!K83,"")</f>
        <v/>
      </c>
      <c r="G289" s="193" t="str">
        <f aca="false">IF(AND('MARZO 2026'!D83&lt;&gt;"",'MARZO 2026'!Z83="POR RECOGER"),'MARZO 2026'!M83,"")</f>
        <v/>
      </c>
      <c r="H289" s="193" t="str">
        <f aca="false">IF(AND('MARZO 2026'!D83&lt;&gt;"",'MARZO 2026'!Z83="POR RECOGER"),'MARZO 2026'!N83,"")</f>
        <v/>
      </c>
      <c r="I289" s="192" t="str">
        <f aca="false">IF(AND('MARZO 2026'!D83&lt;&gt;"",'MARZO 2026'!Z83="POR RECOGER"),'MARZO 2026'!P83,"")</f>
        <v/>
      </c>
      <c r="J289" s="192" t="str">
        <f aca="false">IF(AND('MARZO 2026'!D83&lt;&gt;"",'MARZO 2026'!Z83="POR RECOGER"),'MARZO 2026'!Q83,"")</f>
        <v/>
      </c>
      <c r="K289" s="192" t="str">
        <f aca="false">IF(AND('MARZO 2026'!D83&lt;&gt;"",'MARZO 2026'!Z83="POR RECOGER"),'MARZO 2026'!Y83,"")</f>
        <v/>
      </c>
      <c r="L289" s="192" t="str">
        <f aca="false">IF(AND('MARZO 2026'!D83&lt;&gt;"",'MARZO 2026'!Z83="POR RECOGER"),'MARZO 2026'!I83,"")</f>
        <v/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" hidden="false" customHeight="true" outlineLevel="0" collapsed="false">
      <c r="A290" s="192" t="str">
        <f aca="false">IF(AND('MARZO 2026'!D84&lt;&gt;"",'MARZO 2026'!Z84="POR RECOGER"),"MAR","")</f>
        <v/>
      </c>
      <c r="B290" s="192" t="str">
        <f aca="false">IF(AND('MARZO 2026'!D84&lt;&gt;"",'MARZO 2026'!Z84="POR RECOGER"),IF('MARZO 2026'!Y84&lt;&gt;"",'MARZO 2026'!Y84,'MARZO 2026'!I84),"")</f>
        <v/>
      </c>
      <c r="C290" s="192" t="str">
        <f aca="false">IF(AND('MARZO 2026'!D84&lt;&gt;"",'MARZO 2026'!Z84="POR RECOGER"),'MARZO 2026'!D84,"")</f>
        <v/>
      </c>
      <c r="D290" s="192" t="str">
        <f aca="false">IF(AND('MARZO 2026'!D84&lt;&gt;"",'MARZO 2026'!Z84="POR RECOGER"),'MARZO 2026'!F84,"")</f>
        <v/>
      </c>
      <c r="E290" s="192" t="str">
        <f aca="false">IF(AND('MARZO 2026'!D84&lt;&gt;"",'MARZO 2026'!Z84="POR RECOGER"),TEXT('MARZO 2026'!G84,"DD/MM/YYYY"),"")</f>
        <v/>
      </c>
      <c r="F290" s="192" t="str">
        <f aca="false">IF(AND('MARZO 2026'!D84&lt;&gt;"",'MARZO 2026'!Z84="POR RECOGER"),'MARZO 2026'!K84,"")</f>
        <v/>
      </c>
      <c r="G290" s="193" t="str">
        <f aca="false">IF(AND('MARZO 2026'!D84&lt;&gt;"",'MARZO 2026'!Z84="POR RECOGER"),'MARZO 2026'!M84,"")</f>
        <v/>
      </c>
      <c r="H290" s="193" t="str">
        <f aca="false">IF(AND('MARZO 2026'!D84&lt;&gt;"",'MARZO 2026'!Z84="POR RECOGER"),'MARZO 2026'!N84,"")</f>
        <v/>
      </c>
      <c r="I290" s="192" t="str">
        <f aca="false">IF(AND('MARZO 2026'!D84&lt;&gt;"",'MARZO 2026'!Z84="POR RECOGER"),'MARZO 2026'!P84,"")</f>
        <v/>
      </c>
      <c r="J290" s="192" t="str">
        <f aca="false">IF(AND('MARZO 2026'!D84&lt;&gt;"",'MARZO 2026'!Z84="POR RECOGER"),'MARZO 2026'!Q84,"")</f>
        <v/>
      </c>
      <c r="K290" s="192" t="str">
        <f aca="false">IF(AND('MARZO 2026'!D84&lt;&gt;"",'MARZO 2026'!Z84="POR RECOGER"),'MARZO 2026'!Y84,"")</f>
        <v/>
      </c>
      <c r="L290" s="192" t="str">
        <f aca="false">IF(AND('MARZO 2026'!D84&lt;&gt;"",'MARZO 2026'!Z84="POR RECOGER"),'MARZO 2026'!I84,"")</f>
        <v/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" hidden="false" customHeight="true" outlineLevel="0" collapsed="false">
      <c r="A291" s="192" t="str">
        <f aca="false">IF(AND('MARZO 2026'!D85&lt;&gt;"",'MARZO 2026'!Z85="POR RECOGER"),"MAR","")</f>
        <v/>
      </c>
      <c r="B291" s="192" t="str">
        <f aca="false">IF(AND('MARZO 2026'!D85&lt;&gt;"",'MARZO 2026'!Z85="POR RECOGER"),IF('MARZO 2026'!Y85&lt;&gt;"",'MARZO 2026'!Y85,'MARZO 2026'!I85),"")</f>
        <v/>
      </c>
      <c r="C291" s="192" t="str">
        <f aca="false">IF(AND('MARZO 2026'!D85&lt;&gt;"",'MARZO 2026'!Z85="POR RECOGER"),'MARZO 2026'!D85,"")</f>
        <v/>
      </c>
      <c r="D291" s="192" t="str">
        <f aca="false">IF(AND('MARZO 2026'!D85&lt;&gt;"",'MARZO 2026'!Z85="POR RECOGER"),'MARZO 2026'!F85,"")</f>
        <v/>
      </c>
      <c r="E291" s="192" t="str">
        <f aca="false">IF(AND('MARZO 2026'!D85&lt;&gt;"",'MARZO 2026'!Z85="POR RECOGER"),TEXT('MARZO 2026'!G85,"DD/MM/YYYY"),"")</f>
        <v/>
      </c>
      <c r="F291" s="192" t="str">
        <f aca="false">IF(AND('MARZO 2026'!D85&lt;&gt;"",'MARZO 2026'!Z85="POR RECOGER"),'MARZO 2026'!K85,"")</f>
        <v/>
      </c>
      <c r="G291" s="193" t="str">
        <f aca="false">IF(AND('MARZO 2026'!D85&lt;&gt;"",'MARZO 2026'!Z85="POR RECOGER"),'MARZO 2026'!M85,"")</f>
        <v/>
      </c>
      <c r="H291" s="193" t="str">
        <f aca="false">IF(AND('MARZO 2026'!D85&lt;&gt;"",'MARZO 2026'!Z85="POR RECOGER"),'MARZO 2026'!N85,"")</f>
        <v/>
      </c>
      <c r="I291" s="192" t="str">
        <f aca="false">IF(AND('MARZO 2026'!D85&lt;&gt;"",'MARZO 2026'!Z85="POR RECOGER"),'MARZO 2026'!P85,"")</f>
        <v/>
      </c>
      <c r="J291" s="192" t="str">
        <f aca="false">IF(AND('MARZO 2026'!D85&lt;&gt;"",'MARZO 2026'!Z85="POR RECOGER"),'MARZO 2026'!Q85,"")</f>
        <v/>
      </c>
      <c r="K291" s="192" t="str">
        <f aca="false">IF(AND('MARZO 2026'!D85&lt;&gt;"",'MARZO 2026'!Z85="POR RECOGER"),'MARZO 2026'!Y85,"")</f>
        <v/>
      </c>
      <c r="L291" s="192" t="str">
        <f aca="false">IF(AND('MARZO 2026'!D85&lt;&gt;"",'MARZO 2026'!Z85="POR RECOGER"),'MARZO 2026'!I85,"")</f>
        <v/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" hidden="false" customHeight="true" outlineLevel="0" collapsed="false">
      <c r="A292" s="192" t="str">
        <f aca="false">IF(AND('MARZO 2026'!D86&lt;&gt;"",'MARZO 2026'!Z86="POR RECOGER"),"MAR","")</f>
        <v/>
      </c>
      <c r="B292" s="192" t="str">
        <f aca="false">IF(AND('MARZO 2026'!D86&lt;&gt;"",'MARZO 2026'!Z86="POR RECOGER"),IF('MARZO 2026'!Y86&lt;&gt;"",'MARZO 2026'!Y86,'MARZO 2026'!I86),"")</f>
        <v/>
      </c>
      <c r="C292" s="192" t="str">
        <f aca="false">IF(AND('MARZO 2026'!D86&lt;&gt;"",'MARZO 2026'!Z86="POR RECOGER"),'MARZO 2026'!D86,"")</f>
        <v/>
      </c>
      <c r="D292" s="192" t="str">
        <f aca="false">IF(AND('MARZO 2026'!D86&lt;&gt;"",'MARZO 2026'!Z86="POR RECOGER"),'MARZO 2026'!F86,"")</f>
        <v/>
      </c>
      <c r="E292" s="192" t="str">
        <f aca="false">IF(AND('MARZO 2026'!D86&lt;&gt;"",'MARZO 2026'!Z86="POR RECOGER"),TEXT('MARZO 2026'!G86,"DD/MM/YYYY"),"")</f>
        <v/>
      </c>
      <c r="F292" s="192" t="str">
        <f aca="false">IF(AND('MARZO 2026'!D86&lt;&gt;"",'MARZO 2026'!Z86="POR RECOGER"),'MARZO 2026'!K86,"")</f>
        <v/>
      </c>
      <c r="G292" s="193" t="str">
        <f aca="false">IF(AND('MARZO 2026'!D86&lt;&gt;"",'MARZO 2026'!Z86="POR RECOGER"),'MARZO 2026'!M86,"")</f>
        <v/>
      </c>
      <c r="H292" s="193" t="str">
        <f aca="false">IF(AND('MARZO 2026'!D86&lt;&gt;"",'MARZO 2026'!Z86="POR RECOGER"),'MARZO 2026'!N86,"")</f>
        <v/>
      </c>
      <c r="I292" s="192" t="str">
        <f aca="false">IF(AND('MARZO 2026'!D86&lt;&gt;"",'MARZO 2026'!Z86="POR RECOGER"),'MARZO 2026'!P86,"")</f>
        <v/>
      </c>
      <c r="J292" s="192" t="str">
        <f aca="false">IF(AND('MARZO 2026'!D86&lt;&gt;"",'MARZO 2026'!Z86="POR RECOGER"),'MARZO 2026'!Q86,"")</f>
        <v/>
      </c>
      <c r="K292" s="192" t="str">
        <f aca="false">IF(AND('MARZO 2026'!D86&lt;&gt;"",'MARZO 2026'!Z86="POR RECOGER"),'MARZO 2026'!Y86,"")</f>
        <v/>
      </c>
      <c r="L292" s="192" t="str">
        <f aca="false">IF(AND('MARZO 2026'!D86&lt;&gt;"",'MARZO 2026'!Z86="POR RECOGER"),'MARZO 2026'!I86,"")</f>
        <v/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" hidden="false" customHeight="true" outlineLevel="0" collapsed="false">
      <c r="A293" s="192" t="str">
        <f aca="false">IF(AND('MARZO 2026'!D87&lt;&gt;"",'MARZO 2026'!Z87="POR RECOGER"),"MAR","")</f>
        <v/>
      </c>
      <c r="B293" s="192" t="str">
        <f aca="false">IF(AND('MARZO 2026'!D87&lt;&gt;"",'MARZO 2026'!Z87="POR RECOGER"),IF('MARZO 2026'!Y87&lt;&gt;"",'MARZO 2026'!Y87,'MARZO 2026'!I87),"")</f>
        <v/>
      </c>
      <c r="C293" s="192" t="str">
        <f aca="false">IF(AND('MARZO 2026'!D87&lt;&gt;"",'MARZO 2026'!Z87="POR RECOGER"),'MARZO 2026'!D87,"")</f>
        <v/>
      </c>
      <c r="D293" s="192" t="str">
        <f aca="false">IF(AND('MARZO 2026'!D87&lt;&gt;"",'MARZO 2026'!Z87="POR RECOGER"),'MARZO 2026'!F87,"")</f>
        <v/>
      </c>
      <c r="E293" s="192" t="str">
        <f aca="false">IF(AND('MARZO 2026'!D87&lt;&gt;"",'MARZO 2026'!Z87="POR RECOGER"),TEXT('MARZO 2026'!G87,"DD/MM/YYYY"),"")</f>
        <v/>
      </c>
      <c r="F293" s="192" t="str">
        <f aca="false">IF(AND('MARZO 2026'!D87&lt;&gt;"",'MARZO 2026'!Z87="POR RECOGER"),'MARZO 2026'!K87,"")</f>
        <v/>
      </c>
      <c r="G293" s="193" t="str">
        <f aca="false">IF(AND('MARZO 2026'!D87&lt;&gt;"",'MARZO 2026'!Z87="POR RECOGER"),'MARZO 2026'!M87,"")</f>
        <v/>
      </c>
      <c r="H293" s="193" t="str">
        <f aca="false">IF(AND('MARZO 2026'!D87&lt;&gt;"",'MARZO 2026'!Z87="POR RECOGER"),'MARZO 2026'!N87,"")</f>
        <v/>
      </c>
      <c r="I293" s="192" t="str">
        <f aca="false">IF(AND('MARZO 2026'!D87&lt;&gt;"",'MARZO 2026'!Z87="POR RECOGER"),'MARZO 2026'!P87,"")</f>
        <v/>
      </c>
      <c r="J293" s="192" t="str">
        <f aca="false">IF(AND('MARZO 2026'!D87&lt;&gt;"",'MARZO 2026'!Z87="POR RECOGER"),'MARZO 2026'!Q87,"")</f>
        <v/>
      </c>
      <c r="K293" s="192" t="str">
        <f aca="false">IF(AND('MARZO 2026'!D87&lt;&gt;"",'MARZO 2026'!Z87="POR RECOGER"),'MARZO 2026'!Y87,"")</f>
        <v/>
      </c>
      <c r="L293" s="192" t="str">
        <f aca="false">IF(AND('MARZO 2026'!D87&lt;&gt;"",'MARZO 2026'!Z87="POR RECOGER"),'MARZO 2026'!I87,"")</f>
        <v/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" hidden="false" customHeight="true" outlineLevel="0" collapsed="false">
      <c r="A294" s="192" t="str">
        <f aca="false">IF(AND('MARZO 2026'!D88&lt;&gt;"",'MARZO 2026'!Z88="POR RECOGER"),"MAR","")</f>
        <v/>
      </c>
      <c r="B294" s="192" t="str">
        <f aca="false">IF(AND('MARZO 2026'!D88&lt;&gt;"",'MARZO 2026'!Z88="POR RECOGER"),IF('MARZO 2026'!Y88&lt;&gt;"",'MARZO 2026'!Y88,'MARZO 2026'!I88),"")</f>
        <v/>
      </c>
      <c r="C294" s="192" t="str">
        <f aca="false">IF(AND('MARZO 2026'!D88&lt;&gt;"",'MARZO 2026'!Z88="POR RECOGER"),'MARZO 2026'!D88,"")</f>
        <v/>
      </c>
      <c r="D294" s="192" t="str">
        <f aca="false">IF(AND('MARZO 2026'!D88&lt;&gt;"",'MARZO 2026'!Z88="POR RECOGER"),'MARZO 2026'!F88,"")</f>
        <v/>
      </c>
      <c r="E294" s="192" t="str">
        <f aca="false">IF(AND('MARZO 2026'!D88&lt;&gt;"",'MARZO 2026'!Z88="POR RECOGER"),TEXT('MARZO 2026'!G88,"DD/MM/YYYY"),"")</f>
        <v/>
      </c>
      <c r="F294" s="192" t="str">
        <f aca="false">IF(AND('MARZO 2026'!D88&lt;&gt;"",'MARZO 2026'!Z88="POR RECOGER"),'MARZO 2026'!K88,"")</f>
        <v/>
      </c>
      <c r="G294" s="193" t="str">
        <f aca="false">IF(AND('MARZO 2026'!D88&lt;&gt;"",'MARZO 2026'!Z88="POR RECOGER"),'MARZO 2026'!M88,"")</f>
        <v/>
      </c>
      <c r="H294" s="193" t="str">
        <f aca="false">IF(AND('MARZO 2026'!D88&lt;&gt;"",'MARZO 2026'!Z88="POR RECOGER"),'MARZO 2026'!N88,"")</f>
        <v/>
      </c>
      <c r="I294" s="192" t="str">
        <f aca="false">IF(AND('MARZO 2026'!D88&lt;&gt;"",'MARZO 2026'!Z88="POR RECOGER"),'MARZO 2026'!P88,"")</f>
        <v/>
      </c>
      <c r="J294" s="192" t="str">
        <f aca="false">IF(AND('MARZO 2026'!D88&lt;&gt;"",'MARZO 2026'!Z88="POR RECOGER"),'MARZO 2026'!Q88,"")</f>
        <v/>
      </c>
      <c r="K294" s="192" t="str">
        <f aca="false">IF(AND('MARZO 2026'!D88&lt;&gt;"",'MARZO 2026'!Z88="POR RECOGER"),'MARZO 2026'!Y88,"")</f>
        <v/>
      </c>
      <c r="L294" s="192" t="str">
        <f aca="false">IF(AND('MARZO 2026'!D88&lt;&gt;"",'MARZO 2026'!Z88="POR RECOGER"),'MARZO 2026'!I88,"")</f>
        <v/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" hidden="false" customHeight="true" outlineLevel="0" collapsed="false">
      <c r="A295" s="192" t="str">
        <f aca="false">IF(AND('MARZO 2026'!D89&lt;&gt;"",'MARZO 2026'!Z89="POR RECOGER"),"MAR","")</f>
        <v/>
      </c>
      <c r="B295" s="192" t="str">
        <f aca="false">IF(AND('MARZO 2026'!D89&lt;&gt;"",'MARZO 2026'!Z89="POR RECOGER"),IF('MARZO 2026'!Y89&lt;&gt;"",'MARZO 2026'!Y89,'MARZO 2026'!I89),"")</f>
        <v/>
      </c>
      <c r="C295" s="192" t="str">
        <f aca="false">IF(AND('MARZO 2026'!D89&lt;&gt;"",'MARZO 2026'!Z89="POR RECOGER"),'MARZO 2026'!D89,"")</f>
        <v/>
      </c>
      <c r="D295" s="192" t="str">
        <f aca="false">IF(AND('MARZO 2026'!D89&lt;&gt;"",'MARZO 2026'!Z89="POR RECOGER"),'MARZO 2026'!F89,"")</f>
        <v/>
      </c>
      <c r="E295" s="192" t="str">
        <f aca="false">IF(AND('MARZO 2026'!D89&lt;&gt;"",'MARZO 2026'!Z89="POR RECOGER"),TEXT('MARZO 2026'!G89,"DD/MM/YYYY"),"")</f>
        <v/>
      </c>
      <c r="F295" s="192" t="str">
        <f aca="false">IF(AND('MARZO 2026'!D89&lt;&gt;"",'MARZO 2026'!Z89="POR RECOGER"),'MARZO 2026'!K89,"")</f>
        <v/>
      </c>
      <c r="G295" s="193" t="str">
        <f aca="false">IF(AND('MARZO 2026'!D89&lt;&gt;"",'MARZO 2026'!Z89="POR RECOGER"),'MARZO 2026'!M89,"")</f>
        <v/>
      </c>
      <c r="H295" s="193" t="str">
        <f aca="false">IF(AND('MARZO 2026'!D89&lt;&gt;"",'MARZO 2026'!Z89="POR RECOGER"),'MARZO 2026'!N89,"")</f>
        <v/>
      </c>
      <c r="I295" s="192" t="str">
        <f aca="false">IF(AND('MARZO 2026'!D89&lt;&gt;"",'MARZO 2026'!Z89="POR RECOGER"),'MARZO 2026'!P89,"")</f>
        <v/>
      </c>
      <c r="J295" s="192" t="str">
        <f aca="false">IF(AND('MARZO 2026'!D89&lt;&gt;"",'MARZO 2026'!Z89="POR RECOGER"),'MARZO 2026'!Q89,"")</f>
        <v/>
      </c>
      <c r="K295" s="192" t="str">
        <f aca="false">IF(AND('MARZO 2026'!D89&lt;&gt;"",'MARZO 2026'!Z89="POR RECOGER"),'MARZO 2026'!Y89,"")</f>
        <v/>
      </c>
      <c r="L295" s="192" t="str">
        <f aca="false">IF(AND('MARZO 2026'!D89&lt;&gt;"",'MARZO 2026'!Z89="POR RECOGER"),'MARZO 2026'!I89,"")</f>
        <v/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" hidden="false" customHeight="true" outlineLevel="0" collapsed="false">
      <c r="A296" s="192" t="str">
        <f aca="false">IF(AND('MARZO 2026'!D90&lt;&gt;"",'MARZO 2026'!Z90="POR RECOGER"),"MAR","")</f>
        <v/>
      </c>
      <c r="B296" s="192" t="str">
        <f aca="false">IF(AND('MARZO 2026'!D90&lt;&gt;"",'MARZO 2026'!Z90="POR RECOGER"),IF('MARZO 2026'!Y90&lt;&gt;"",'MARZO 2026'!Y90,'MARZO 2026'!I90),"")</f>
        <v/>
      </c>
      <c r="C296" s="192" t="str">
        <f aca="false">IF(AND('MARZO 2026'!D90&lt;&gt;"",'MARZO 2026'!Z90="POR RECOGER"),'MARZO 2026'!D90,"")</f>
        <v/>
      </c>
      <c r="D296" s="192" t="str">
        <f aca="false">IF(AND('MARZO 2026'!D90&lt;&gt;"",'MARZO 2026'!Z90="POR RECOGER"),'MARZO 2026'!F90,"")</f>
        <v/>
      </c>
      <c r="E296" s="192" t="str">
        <f aca="false">IF(AND('MARZO 2026'!D90&lt;&gt;"",'MARZO 2026'!Z90="POR RECOGER"),TEXT('MARZO 2026'!G90,"DD/MM/YYYY"),"")</f>
        <v/>
      </c>
      <c r="F296" s="192" t="str">
        <f aca="false">IF(AND('MARZO 2026'!D90&lt;&gt;"",'MARZO 2026'!Z90="POR RECOGER"),'MARZO 2026'!K90,"")</f>
        <v/>
      </c>
      <c r="G296" s="193" t="str">
        <f aca="false">IF(AND('MARZO 2026'!D90&lt;&gt;"",'MARZO 2026'!Z90="POR RECOGER"),'MARZO 2026'!M90,"")</f>
        <v/>
      </c>
      <c r="H296" s="193" t="str">
        <f aca="false">IF(AND('MARZO 2026'!D90&lt;&gt;"",'MARZO 2026'!Z90="POR RECOGER"),'MARZO 2026'!N90,"")</f>
        <v/>
      </c>
      <c r="I296" s="192" t="str">
        <f aca="false">IF(AND('MARZO 2026'!D90&lt;&gt;"",'MARZO 2026'!Z90="POR RECOGER"),'MARZO 2026'!P90,"")</f>
        <v/>
      </c>
      <c r="J296" s="192" t="str">
        <f aca="false">IF(AND('MARZO 2026'!D90&lt;&gt;"",'MARZO 2026'!Z90="POR RECOGER"),'MARZO 2026'!Q90,"")</f>
        <v/>
      </c>
      <c r="K296" s="192" t="str">
        <f aca="false">IF(AND('MARZO 2026'!D90&lt;&gt;"",'MARZO 2026'!Z90="POR RECOGER"),'MARZO 2026'!Y90,"")</f>
        <v/>
      </c>
      <c r="L296" s="192" t="str">
        <f aca="false">IF(AND('MARZO 2026'!D90&lt;&gt;"",'MARZO 2026'!Z90="POR RECOGER"),'MARZO 2026'!I90,"")</f>
        <v/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" hidden="false" customHeight="true" outlineLevel="0" collapsed="false">
      <c r="A297" s="192" t="str">
        <f aca="false">IF(AND('MARZO 2026'!D91&lt;&gt;"",'MARZO 2026'!Z91="POR RECOGER"),"MAR","")</f>
        <v/>
      </c>
      <c r="B297" s="192" t="str">
        <f aca="false">IF(AND('MARZO 2026'!D91&lt;&gt;"",'MARZO 2026'!Z91="POR RECOGER"),IF('MARZO 2026'!Y91&lt;&gt;"",'MARZO 2026'!Y91,'MARZO 2026'!I91),"")</f>
        <v/>
      </c>
      <c r="C297" s="192" t="str">
        <f aca="false">IF(AND('MARZO 2026'!D91&lt;&gt;"",'MARZO 2026'!Z91="POR RECOGER"),'MARZO 2026'!D91,"")</f>
        <v/>
      </c>
      <c r="D297" s="192" t="str">
        <f aca="false">IF(AND('MARZO 2026'!D91&lt;&gt;"",'MARZO 2026'!Z91="POR RECOGER"),'MARZO 2026'!F91,"")</f>
        <v/>
      </c>
      <c r="E297" s="192" t="str">
        <f aca="false">IF(AND('MARZO 2026'!D91&lt;&gt;"",'MARZO 2026'!Z91="POR RECOGER"),TEXT('MARZO 2026'!G91,"DD/MM/YYYY"),"")</f>
        <v/>
      </c>
      <c r="F297" s="192" t="str">
        <f aca="false">IF(AND('MARZO 2026'!D91&lt;&gt;"",'MARZO 2026'!Z91="POR RECOGER"),'MARZO 2026'!K91,"")</f>
        <v/>
      </c>
      <c r="G297" s="193" t="str">
        <f aca="false">IF(AND('MARZO 2026'!D91&lt;&gt;"",'MARZO 2026'!Z91="POR RECOGER"),'MARZO 2026'!M91,"")</f>
        <v/>
      </c>
      <c r="H297" s="193" t="str">
        <f aca="false">IF(AND('MARZO 2026'!D91&lt;&gt;"",'MARZO 2026'!Z91="POR RECOGER"),'MARZO 2026'!N91,"")</f>
        <v/>
      </c>
      <c r="I297" s="192" t="str">
        <f aca="false">IF(AND('MARZO 2026'!D91&lt;&gt;"",'MARZO 2026'!Z91="POR RECOGER"),'MARZO 2026'!P91,"")</f>
        <v/>
      </c>
      <c r="J297" s="192" t="str">
        <f aca="false">IF(AND('MARZO 2026'!D91&lt;&gt;"",'MARZO 2026'!Z91="POR RECOGER"),'MARZO 2026'!Q91,"")</f>
        <v/>
      </c>
      <c r="K297" s="192" t="str">
        <f aca="false">IF(AND('MARZO 2026'!D91&lt;&gt;"",'MARZO 2026'!Z91="POR RECOGER"),'MARZO 2026'!Y91,"")</f>
        <v/>
      </c>
      <c r="L297" s="192" t="str">
        <f aca="false">IF(AND('MARZO 2026'!D91&lt;&gt;"",'MARZO 2026'!Z91="POR RECOGER"),'MARZO 2026'!I91,"")</f>
        <v/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" hidden="false" customHeight="true" outlineLevel="0" collapsed="false">
      <c r="A298" s="192" t="str">
        <f aca="false">IF(AND('MARZO 2026'!D92&lt;&gt;"",'MARZO 2026'!Z92="POR RECOGER"),"MAR","")</f>
        <v/>
      </c>
      <c r="B298" s="192" t="str">
        <f aca="false">IF(AND('MARZO 2026'!D92&lt;&gt;"",'MARZO 2026'!Z92="POR RECOGER"),IF('MARZO 2026'!Y92&lt;&gt;"",'MARZO 2026'!Y92,'MARZO 2026'!I92),"")</f>
        <v/>
      </c>
      <c r="C298" s="192" t="str">
        <f aca="false">IF(AND('MARZO 2026'!D92&lt;&gt;"",'MARZO 2026'!Z92="POR RECOGER"),'MARZO 2026'!D92,"")</f>
        <v/>
      </c>
      <c r="D298" s="192" t="str">
        <f aca="false">IF(AND('MARZO 2026'!D92&lt;&gt;"",'MARZO 2026'!Z92="POR RECOGER"),'MARZO 2026'!F92,"")</f>
        <v/>
      </c>
      <c r="E298" s="192" t="str">
        <f aca="false">IF(AND('MARZO 2026'!D92&lt;&gt;"",'MARZO 2026'!Z92="POR RECOGER"),TEXT('MARZO 2026'!G92,"DD/MM/YYYY"),"")</f>
        <v/>
      </c>
      <c r="F298" s="192" t="str">
        <f aca="false">IF(AND('MARZO 2026'!D92&lt;&gt;"",'MARZO 2026'!Z92="POR RECOGER"),'MARZO 2026'!K92,"")</f>
        <v/>
      </c>
      <c r="G298" s="193" t="str">
        <f aca="false">IF(AND('MARZO 2026'!D92&lt;&gt;"",'MARZO 2026'!Z92="POR RECOGER"),'MARZO 2026'!M92,"")</f>
        <v/>
      </c>
      <c r="H298" s="193" t="str">
        <f aca="false">IF(AND('MARZO 2026'!D92&lt;&gt;"",'MARZO 2026'!Z92="POR RECOGER"),'MARZO 2026'!N92,"")</f>
        <v/>
      </c>
      <c r="I298" s="192" t="str">
        <f aca="false">IF(AND('MARZO 2026'!D92&lt;&gt;"",'MARZO 2026'!Z92="POR RECOGER"),'MARZO 2026'!P92,"")</f>
        <v/>
      </c>
      <c r="J298" s="192" t="str">
        <f aca="false">IF(AND('MARZO 2026'!D92&lt;&gt;"",'MARZO 2026'!Z92="POR RECOGER"),'MARZO 2026'!Q92,"")</f>
        <v/>
      </c>
      <c r="K298" s="192" t="str">
        <f aca="false">IF(AND('MARZO 2026'!D92&lt;&gt;"",'MARZO 2026'!Z92="POR RECOGER"),'MARZO 2026'!Y92,"")</f>
        <v/>
      </c>
      <c r="L298" s="192" t="str">
        <f aca="false">IF(AND('MARZO 2026'!D92&lt;&gt;"",'MARZO 2026'!Z92="POR RECOGER"),'MARZO 2026'!I92,"")</f>
        <v/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" hidden="false" customHeight="true" outlineLevel="0" collapsed="false">
      <c r="A299" s="192" t="str">
        <f aca="false">IF(AND('MARZO 2026'!D93&lt;&gt;"",'MARZO 2026'!Z93="POR RECOGER"),"MAR","")</f>
        <v/>
      </c>
      <c r="B299" s="192" t="str">
        <f aca="false">IF(AND('MARZO 2026'!D93&lt;&gt;"",'MARZO 2026'!Z93="POR RECOGER"),IF('MARZO 2026'!Y93&lt;&gt;"",'MARZO 2026'!Y93,'MARZO 2026'!I93),"")</f>
        <v/>
      </c>
      <c r="C299" s="192" t="str">
        <f aca="false">IF(AND('MARZO 2026'!D93&lt;&gt;"",'MARZO 2026'!Z93="POR RECOGER"),'MARZO 2026'!D93,"")</f>
        <v/>
      </c>
      <c r="D299" s="192" t="str">
        <f aca="false">IF(AND('MARZO 2026'!D93&lt;&gt;"",'MARZO 2026'!Z93="POR RECOGER"),'MARZO 2026'!F93,"")</f>
        <v/>
      </c>
      <c r="E299" s="192" t="str">
        <f aca="false">IF(AND('MARZO 2026'!D93&lt;&gt;"",'MARZO 2026'!Z93="POR RECOGER"),TEXT('MARZO 2026'!G93,"DD/MM/YYYY"),"")</f>
        <v/>
      </c>
      <c r="F299" s="192" t="str">
        <f aca="false">IF(AND('MARZO 2026'!D93&lt;&gt;"",'MARZO 2026'!Z93="POR RECOGER"),'MARZO 2026'!K93,"")</f>
        <v/>
      </c>
      <c r="G299" s="193" t="str">
        <f aca="false">IF(AND('MARZO 2026'!D93&lt;&gt;"",'MARZO 2026'!Z93="POR RECOGER"),'MARZO 2026'!M93,"")</f>
        <v/>
      </c>
      <c r="H299" s="193" t="str">
        <f aca="false">IF(AND('MARZO 2026'!D93&lt;&gt;"",'MARZO 2026'!Z93="POR RECOGER"),'MARZO 2026'!N93,"")</f>
        <v/>
      </c>
      <c r="I299" s="192" t="str">
        <f aca="false">IF(AND('MARZO 2026'!D93&lt;&gt;"",'MARZO 2026'!Z93="POR RECOGER"),'MARZO 2026'!P93,"")</f>
        <v/>
      </c>
      <c r="J299" s="192" t="str">
        <f aca="false">IF(AND('MARZO 2026'!D93&lt;&gt;"",'MARZO 2026'!Z93="POR RECOGER"),'MARZO 2026'!Q93,"")</f>
        <v/>
      </c>
      <c r="K299" s="192" t="str">
        <f aca="false">IF(AND('MARZO 2026'!D93&lt;&gt;"",'MARZO 2026'!Z93="POR RECOGER"),'MARZO 2026'!Y93,"")</f>
        <v/>
      </c>
      <c r="L299" s="192" t="str">
        <f aca="false">IF(AND('MARZO 2026'!D93&lt;&gt;"",'MARZO 2026'!Z93="POR RECOGER"),'MARZO 2026'!I93,"")</f>
        <v/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" hidden="false" customHeight="true" outlineLevel="0" collapsed="false">
      <c r="A300" s="192" t="str">
        <f aca="false">IF(AND('MARZO 2026'!D94&lt;&gt;"",'MARZO 2026'!Z94="POR RECOGER"),"MAR","")</f>
        <v/>
      </c>
      <c r="B300" s="192" t="str">
        <f aca="false">IF(AND('MARZO 2026'!D94&lt;&gt;"",'MARZO 2026'!Z94="POR RECOGER"),IF('MARZO 2026'!Y94&lt;&gt;"",'MARZO 2026'!Y94,'MARZO 2026'!I94),"")</f>
        <v/>
      </c>
      <c r="C300" s="192" t="str">
        <f aca="false">IF(AND('MARZO 2026'!D94&lt;&gt;"",'MARZO 2026'!Z94="POR RECOGER"),'MARZO 2026'!D94,"")</f>
        <v/>
      </c>
      <c r="D300" s="192" t="str">
        <f aca="false">IF(AND('MARZO 2026'!D94&lt;&gt;"",'MARZO 2026'!Z94="POR RECOGER"),'MARZO 2026'!F94,"")</f>
        <v/>
      </c>
      <c r="E300" s="192" t="str">
        <f aca="false">IF(AND('MARZO 2026'!D94&lt;&gt;"",'MARZO 2026'!Z94="POR RECOGER"),TEXT('MARZO 2026'!G94,"DD/MM/YYYY"),"")</f>
        <v/>
      </c>
      <c r="F300" s="192" t="str">
        <f aca="false">IF(AND('MARZO 2026'!D94&lt;&gt;"",'MARZO 2026'!Z94="POR RECOGER"),'MARZO 2026'!K94,"")</f>
        <v/>
      </c>
      <c r="G300" s="193" t="str">
        <f aca="false">IF(AND('MARZO 2026'!D94&lt;&gt;"",'MARZO 2026'!Z94="POR RECOGER"),'MARZO 2026'!M94,"")</f>
        <v/>
      </c>
      <c r="H300" s="193" t="str">
        <f aca="false">IF(AND('MARZO 2026'!D94&lt;&gt;"",'MARZO 2026'!Z94="POR RECOGER"),'MARZO 2026'!N94,"")</f>
        <v/>
      </c>
      <c r="I300" s="192" t="str">
        <f aca="false">IF(AND('MARZO 2026'!D94&lt;&gt;"",'MARZO 2026'!Z94="POR RECOGER"),'MARZO 2026'!P94,"")</f>
        <v/>
      </c>
      <c r="J300" s="192" t="str">
        <f aca="false">IF(AND('MARZO 2026'!D94&lt;&gt;"",'MARZO 2026'!Z94="POR RECOGER"),'MARZO 2026'!Q94,"")</f>
        <v/>
      </c>
      <c r="K300" s="192" t="str">
        <f aca="false">IF(AND('MARZO 2026'!D94&lt;&gt;"",'MARZO 2026'!Z94="POR RECOGER"),'MARZO 2026'!Y94,"")</f>
        <v/>
      </c>
      <c r="L300" s="192" t="str">
        <f aca="false">IF(AND('MARZO 2026'!D94&lt;&gt;"",'MARZO 2026'!Z94="POR RECOGER"),'MARZO 2026'!I94,"")</f>
        <v/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" hidden="false" customHeight="true" outlineLevel="0" collapsed="false">
      <c r="A301" s="192" t="str">
        <f aca="false">IF(AND('MARZO 2026'!D95&lt;&gt;"",'MARZO 2026'!Z95="POR RECOGER"),"MAR","")</f>
        <v/>
      </c>
      <c r="B301" s="192" t="str">
        <f aca="false">IF(AND('MARZO 2026'!D95&lt;&gt;"",'MARZO 2026'!Z95="POR RECOGER"),IF('MARZO 2026'!Y95&lt;&gt;"",'MARZO 2026'!Y95,'MARZO 2026'!I95),"")</f>
        <v/>
      </c>
      <c r="C301" s="192" t="str">
        <f aca="false">IF(AND('MARZO 2026'!D95&lt;&gt;"",'MARZO 2026'!Z95="POR RECOGER"),'MARZO 2026'!D95,"")</f>
        <v/>
      </c>
      <c r="D301" s="192" t="str">
        <f aca="false">IF(AND('MARZO 2026'!D95&lt;&gt;"",'MARZO 2026'!Z95="POR RECOGER"),'MARZO 2026'!F95,"")</f>
        <v/>
      </c>
      <c r="E301" s="192" t="str">
        <f aca="false">IF(AND('MARZO 2026'!D95&lt;&gt;"",'MARZO 2026'!Z95="POR RECOGER"),TEXT('MARZO 2026'!G95,"DD/MM/YYYY"),"")</f>
        <v/>
      </c>
      <c r="F301" s="192" t="str">
        <f aca="false">IF(AND('MARZO 2026'!D95&lt;&gt;"",'MARZO 2026'!Z95="POR RECOGER"),'MARZO 2026'!K95,"")</f>
        <v/>
      </c>
      <c r="G301" s="193" t="str">
        <f aca="false">IF(AND('MARZO 2026'!D95&lt;&gt;"",'MARZO 2026'!Z95="POR RECOGER"),'MARZO 2026'!M95,"")</f>
        <v/>
      </c>
      <c r="H301" s="193" t="str">
        <f aca="false">IF(AND('MARZO 2026'!D95&lt;&gt;"",'MARZO 2026'!Z95="POR RECOGER"),'MARZO 2026'!N95,"")</f>
        <v/>
      </c>
      <c r="I301" s="192" t="str">
        <f aca="false">IF(AND('MARZO 2026'!D95&lt;&gt;"",'MARZO 2026'!Z95="POR RECOGER"),'MARZO 2026'!P95,"")</f>
        <v/>
      </c>
      <c r="J301" s="192" t="str">
        <f aca="false">IF(AND('MARZO 2026'!D95&lt;&gt;"",'MARZO 2026'!Z95="POR RECOGER"),'MARZO 2026'!Q95,"")</f>
        <v/>
      </c>
      <c r="K301" s="192" t="str">
        <f aca="false">IF(AND('MARZO 2026'!D95&lt;&gt;"",'MARZO 2026'!Z95="POR RECOGER"),'MARZO 2026'!Y95,"")</f>
        <v/>
      </c>
      <c r="L301" s="192" t="str">
        <f aca="false">IF(AND('MARZO 2026'!D95&lt;&gt;"",'MARZO 2026'!Z95="POR RECOGER"),'MARZO 2026'!I95,"")</f>
        <v/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" hidden="false" customHeight="true" outlineLevel="0" collapsed="false">
      <c r="A302" s="192" t="str">
        <f aca="false">IF(AND('MARZO 2026'!D96&lt;&gt;"",'MARZO 2026'!Z96="POR RECOGER"),"MAR","")</f>
        <v/>
      </c>
      <c r="B302" s="192" t="str">
        <f aca="false">IF(AND('MARZO 2026'!D96&lt;&gt;"",'MARZO 2026'!Z96="POR RECOGER"),IF('MARZO 2026'!Y96&lt;&gt;"",'MARZO 2026'!Y96,'MARZO 2026'!I96),"")</f>
        <v/>
      </c>
      <c r="C302" s="192" t="str">
        <f aca="false">IF(AND('MARZO 2026'!D96&lt;&gt;"",'MARZO 2026'!Z96="POR RECOGER"),'MARZO 2026'!D96,"")</f>
        <v/>
      </c>
      <c r="D302" s="192" t="str">
        <f aca="false">IF(AND('MARZO 2026'!D96&lt;&gt;"",'MARZO 2026'!Z96="POR RECOGER"),'MARZO 2026'!F96,"")</f>
        <v/>
      </c>
      <c r="E302" s="192" t="str">
        <f aca="false">IF(AND('MARZO 2026'!D96&lt;&gt;"",'MARZO 2026'!Z96="POR RECOGER"),TEXT('MARZO 2026'!G96,"DD/MM/YYYY"),"")</f>
        <v/>
      </c>
      <c r="F302" s="192" t="str">
        <f aca="false">IF(AND('MARZO 2026'!D96&lt;&gt;"",'MARZO 2026'!Z96="POR RECOGER"),'MARZO 2026'!K96,"")</f>
        <v/>
      </c>
      <c r="G302" s="193" t="str">
        <f aca="false">IF(AND('MARZO 2026'!D96&lt;&gt;"",'MARZO 2026'!Z96="POR RECOGER"),'MARZO 2026'!M96,"")</f>
        <v/>
      </c>
      <c r="H302" s="193" t="str">
        <f aca="false">IF(AND('MARZO 2026'!D96&lt;&gt;"",'MARZO 2026'!Z96="POR RECOGER"),'MARZO 2026'!N96,"")</f>
        <v/>
      </c>
      <c r="I302" s="192" t="str">
        <f aca="false">IF(AND('MARZO 2026'!D96&lt;&gt;"",'MARZO 2026'!Z96="POR RECOGER"),'MARZO 2026'!P96,"")</f>
        <v/>
      </c>
      <c r="J302" s="192" t="str">
        <f aca="false">IF(AND('MARZO 2026'!D96&lt;&gt;"",'MARZO 2026'!Z96="POR RECOGER"),'MARZO 2026'!Q96,"")</f>
        <v/>
      </c>
      <c r="K302" s="192" t="str">
        <f aca="false">IF(AND('MARZO 2026'!D96&lt;&gt;"",'MARZO 2026'!Z96="POR RECOGER"),'MARZO 2026'!Y96,"")</f>
        <v/>
      </c>
      <c r="L302" s="192" t="str">
        <f aca="false">IF(AND('MARZO 2026'!D96&lt;&gt;"",'MARZO 2026'!Z96="POR RECOGER"),'MARZO 2026'!I96,"")</f>
        <v/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" hidden="false" customHeight="true" outlineLevel="0" collapsed="false">
      <c r="A303" s="192" t="str">
        <f aca="false">IF(AND('MARZO 2026'!D97&lt;&gt;"",'MARZO 2026'!Z97="POR RECOGER"),"MAR","")</f>
        <v/>
      </c>
      <c r="B303" s="192" t="str">
        <f aca="false">IF(AND('MARZO 2026'!D97&lt;&gt;"",'MARZO 2026'!Z97="POR RECOGER"),IF('MARZO 2026'!Y97&lt;&gt;"",'MARZO 2026'!Y97,'MARZO 2026'!I97),"")</f>
        <v/>
      </c>
      <c r="C303" s="192" t="str">
        <f aca="false">IF(AND('MARZO 2026'!D97&lt;&gt;"",'MARZO 2026'!Z97="POR RECOGER"),'MARZO 2026'!D97,"")</f>
        <v/>
      </c>
      <c r="D303" s="192" t="str">
        <f aca="false">IF(AND('MARZO 2026'!D97&lt;&gt;"",'MARZO 2026'!Z97="POR RECOGER"),'MARZO 2026'!F97,"")</f>
        <v/>
      </c>
      <c r="E303" s="192" t="str">
        <f aca="false">IF(AND('MARZO 2026'!D97&lt;&gt;"",'MARZO 2026'!Z97="POR RECOGER"),TEXT('MARZO 2026'!G97,"DD/MM/YYYY"),"")</f>
        <v/>
      </c>
      <c r="F303" s="192" t="str">
        <f aca="false">IF(AND('MARZO 2026'!D97&lt;&gt;"",'MARZO 2026'!Z97="POR RECOGER"),'MARZO 2026'!K97,"")</f>
        <v/>
      </c>
      <c r="G303" s="193" t="str">
        <f aca="false">IF(AND('MARZO 2026'!D97&lt;&gt;"",'MARZO 2026'!Z97="POR RECOGER"),'MARZO 2026'!M97,"")</f>
        <v/>
      </c>
      <c r="H303" s="193" t="str">
        <f aca="false">IF(AND('MARZO 2026'!D97&lt;&gt;"",'MARZO 2026'!Z97="POR RECOGER"),'MARZO 2026'!N97,"")</f>
        <v/>
      </c>
      <c r="I303" s="192" t="str">
        <f aca="false">IF(AND('MARZO 2026'!D97&lt;&gt;"",'MARZO 2026'!Z97="POR RECOGER"),'MARZO 2026'!P97,"")</f>
        <v/>
      </c>
      <c r="J303" s="192" t="str">
        <f aca="false">IF(AND('MARZO 2026'!D97&lt;&gt;"",'MARZO 2026'!Z97="POR RECOGER"),'MARZO 2026'!Q97,"")</f>
        <v/>
      </c>
      <c r="K303" s="192" t="str">
        <f aca="false">IF(AND('MARZO 2026'!D97&lt;&gt;"",'MARZO 2026'!Z97="POR RECOGER"),'MARZO 2026'!Y97,"")</f>
        <v/>
      </c>
      <c r="L303" s="192" t="str">
        <f aca="false">IF(AND('MARZO 2026'!D97&lt;&gt;"",'MARZO 2026'!Z97="POR RECOGER"),'MARZO 2026'!I97,"")</f>
        <v/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" hidden="false" customHeight="true" outlineLevel="0" collapsed="false">
      <c r="A304" s="192" t="str">
        <f aca="false">IF(AND('MARZO 2026'!D98&lt;&gt;"",'MARZO 2026'!Z98="POR RECOGER"),"MAR","")</f>
        <v/>
      </c>
      <c r="B304" s="192" t="str">
        <f aca="false">IF(AND('MARZO 2026'!D98&lt;&gt;"",'MARZO 2026'!Z98="POR RECOGER"),IF('MARZO 2026'!Y98&lt;&gt;"",'MARZO 2026'!Y98,'MARZO 2026'!I98),"")</f>
        <v/>
      </c>
      <c r="C304" s="192" t="str">
        <f aca="false">IF(AND('MARZO 2026'!D98&lt;&gt;"",'MARZO 2026'!Z98="POR RECOGER"),'MARZO 2026'!D98,"")</f>
        <v/>
      </c>
      <c r="D304" s="192" t="str">
        <f aca="false">IF(AND('MARZO 2026'!D98&lt;&gt;"",'MARZO 2026'!Z98="POR RECOGER"),'MARZO 2026'!F98,"")</f>
        <v/>
      </c>
      <c r="E304" s="192" t="str">
        <f aca="false">IF(AND('MARZO 2026'!D98&lt;&gt;"",'MARZO 2026'!Z98="POR RECOGER"),TEXT('MARZO 2026'!G98,"DD/MM/YYYY"),"")</f>
        <v/>
      </c>
      <c r="F304" s="192" t="str">
        <f aca="false">IF(AND('MARZO 2026'!D98&lt;&gt;"",'MARZO 2026'!Z98="POR RECOGER"),'MARZO 2026'!K98,"")</f>
        <v/>
      </c>
      <c r="G304" s="193" t="str">
        <f aca="false">IF(AND('MARZO 2026'!D98&lt;&gt;"",'MARZO 2026'!Z98="POR RECOGER"),'MARZO 2026'!M98,"")</f>
        <v/>
      </c>
      <c r="H304" s="193" t="str">
        <f aca="false">IF(AND('MARZO 2026'!D98&lt;&gt;"",'MARZO 2026'!Z98="POR RECOGER"),'MARZO 2026'!N98,"")</f>
        <v/>
      </c>
      <c r="I304" s="192" t="str">
        <f aca="false">IF(AND('MARZO 2026'!D98&lt;&gt;"",'MARZO 2026'!Z98="POR RECOGER"),'MARZO 2026'!P98,"")</f>
        <v/>
      </c>
      <c r="J304" s="192" t="str">
        <f aca="false">IF(AND('MARZO 2026'!D98&lt;&gt;"",'MARZO 2026'!Z98="POR RECOGER"),'MARZO 2026'!Q98,"")</f>
        <v/>
      </c>
      <c r="K304" s="192" t="str">
        <f aca="false">IF(AND('MARZO 2026'!D98&lt;&gt;"",'MARZO 2026'!Z98="POR RECOGER"),'MARZO 2026'!Y98,"")</f>
        <v/>
      </c>
      <c r="L304" s="192" t="str">
        <f aca="false">IF(AND('MARZO 2026'!D98&lt;&gt;"",'MARZO 2026'!Z98="POR RECOGER"),'MARZO 2026'!I98,"")</f>
        <v/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" hidden="false" customHeight="true" outlineLevel="0" collapsed="false">
      <c r="A305" s="192" t="str">
        <f aca="false">IF(AND('MARZO 2026'!D99&lt;&gt;"",'MARZO 2026'!Z99="POR RECOGER"),"MAR","")</f>
        <v/>
      </c>
      <c r="B305" s="192" t="str">
        <f aca="false">IF(AND('MARZO 2026'!D99&lt;&gt;"",'MARZO 2026'!Z99="POR RECOGER"),IF('MARZO 2026'!Y99&lt;&gt;"",'MARZO 2026'!Y99,'MARZO 2026'!I99),"")</f>
        <v/>
      </c>
      <c r="C305" s="192" t="str">
        <f aca="false">IF(AND('MARZO 2026'!D99&lt;&gt;"",'MARZO 2026'!Z99="POR RECOGER"),'MARZO 2026'!D99,"")</f>
        <v/>
      </c>
      <c r="D305" s="192" t="str">
        <f aca="false">IF(AND('MARZO 2026'!D99&lt;&gt;"",'MARZO 2026'!Z99="POR RECOGER"),'MARZO 2026'!F99,"")</f>
        <v/>
      </c>
      <c r="E305" s="192" t="str">
        <f aca="false">IF(AND('MARZO 2026'!D99&lt;&gt;"",'MARZO 2026'!Z99="POR RECOGER"),TEXT('MARZO 2026'!G99,"DD/MM/YYYY"),"")</f>
        <v/>
      </c>
      <c r="F305" s="192" t="str">
        <f aca="false">IF(AND('MARZO 2026'!D99&lt;&gt;"",'MARZO 2026'!Z99="POR RECOGER"),'MARZO 2026'!K99,"")</f>
        <v/>
      </c>
      <c r="G305" s="193" t="str">
        <f aca="false">IF(AND('MARZO 2026'!D99&lt;&gt;"",'MARZO 2026'!Z99="POR RECOGER"),'MARZO 2026'!M99,"")</f>
        <v/>
      </c>
      <c r="H305" s="193" t="str">
        <f aca="false">IF(AND('MARZO 2026'!D99&lt;&gt;"",'MARZO 2026'!Z99="POR RECOGER"),'MARZO 2026'!N99,"")</f>
        <v/>
      </c>
      <c r="I305" s="192" t="str">
        <f aca="false">IF(AND('MARZO 2026'!D99&lt;&gt;"",'MARZO 2026'!Z99="POR RECOGER"),'MARZO 2026'!P99,"")</f>
        <v/>
      </c>
      <c r="J305" s="192" t="str">
        <f aca="false">IF(AND('MARZO 2026'!D99&lt;&gt;"",'MARZO 2026'!Z99="POR RECOGER"),'MARZO 2026'!Q99,"")</f>
        <v/>
      </c>
      <c r="K305" s="192" t="str">
        <f aca="false">IF(AND('MARZO 2026'!D99&lt;&gt;"",'MARZO 2026'!Z99="POR RECOGER"),'MARZO 2026'!Y99,"")</f>
        <v/>
      </c>
      <c r="L305" s="192" t="str">
        <f aca="false">IF(AND('MARZO 2026'!D99&lt;&gt;"",'MARZO 2026'!Z99="POR RECOGER"),'MARZO 2026'!I99,"")</f>
        <v/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" hidden="false" customHeight="true" outlineLevel="0" collapsed="false">
      <c r="A306" s="192" t="str">
        <f aca="false">IF(AND('MARZO 2026'!D100&lt;&gt;"",'MARZO 2026'!Z100="POR RECOGER"),"MAR","")</f>
        <v/>
      </c>
      <c r="B306" s="192" t="str">
        <f aca="false">IF(AND('MARZO 2026'!D100&lt;&gt;"",'MARZO 2026'!Z100="POR RECOGER"),IF('MARZO 2026'!Y100&lt;&gt;"",'MARZO 2026'!Y100,'MARZO 2026'!I100),"")</f>
        <v/>
      </c>
      <c r="C306" s="192" t="str">
        <f aca="false">IF(AND('MARZO 2026'!D100&lt;&gt;"",'MARZO 2026'!Z100="POR RECOGER"),'MARZO 2026'!D100,"")</f>
        <v/>
      </c>
      <c r="D306" s="192" t="str">
        <f aca="false">IF(AND('MARZO 2026'!D100&lt;&gt;"",'MARZO 2026'!Z100="POR RECOGER"),'MARZO 2026'!F100,"")</f>
        <v/>
      </c>
      <c r="E306" s="192" t="str">
        <f aca="false">IF(AND('MARZO 2026'!D100&lt;&gt;"",'MARZO 2026'!Z100="POR RECOGER"),TEXT('MARZO 2026'!G100,"DD/MM/YYYY"),"")</f>
        <v/>
      </c>
      <c r="F306" s="192" t="str">
        <f aca="false">IF(AND('MARZO 2026'!D100&lt;&gt;"",'MARZO 2026'!Z100="POR RECOGER"),'MARZO 2026'!K100,"")</f>
        <v/>
      </c>
      <c r="G306" s="193" t="str">
        <f aca="false">IF(AND('MARZO 2026'!D100&lt;&gt;"",'MARZO 2026'!Z100="POR RECOGER"),'MARZO 2026'!M100,"")</f>
        <v/>
      </c>
      <c r="H306" s="193" t="str">
        <f aca="false">IF(AND('MARZO 2026'!D100&lt;&gt;"",'MARZO 2026'!Z100="POR RECOGER"),'MARZO 2026'!N100,"")</f>
        <v/>
      </c>
      <c r="I306" s="192" t="str">
        <f aca="false">IF(AND('MARZO 2026'!D100&lt;&gt;"",'MARZO 2026'!Z100="POR RECOGER"),'MARZO 2026'!P100,"")</f>
        <v/>
      </c>
      <c r="J306" s="192" t="str">
        <f aca="false">IF(AND('MARZO 2026'!D100&lt;&gt;"",'MARZO 2026'!Z100="POR RECOGER"),'MARZO 2026'!Q100,"")</f>
        <v/>
      </c>
      <c r="K306" s="192" t="str">
        <f aca="false">IF(AND('MARZO 2026'!D100&lt;&gt;"",'MARZO 2026'!Z100="POR RECOGER"),'MARZO 2026'!Y100,"")</f>
        <v/>
      </c>
      <c r="L306" s="192" t="str">
        <f aca="false">IF(AND('MARZO 2026'!D100&lt;&gt;"",'MARZO 2026'!Z100="POR RECOGER"),'MARZO 2026'!I100,"")</f>
        <v/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" hidden="false" customHeight="true" outlineLevel="0" collapsed="false">
      <c r="A307" s="192" t="str">
        <f aca="false">IF(AND('MARZO 2026'!D101&lt;&gt;"",'MARZO 2026'!Z101="POR RECOGER"),"MAR","")</f>
        <v/>
      </c>
      <c r="B307" s="192" t="str">
        <f aca="false">IF(AND('MARZO 2026'!D101&lt;&gt;"",'MARZO 2026'!Z101="POR RECOGER"),IF('MARZO 2026'!Y101&lt;&gt;"",'MARZO 2026'!Y101,'MARZO 2026'!I101),"")</f>
        <v/>
      </c>
      <c r="C307" s="192" t="str">
        <f aca="false">IF(AND('MARZO 2026'!D101&lt;&gt;"",'MARZO 2026'!Z101="POR RECOGER"),'MARZO 2026'!D101,"")</f>
        <v/>
      </c>
      <c r="D307" s="192" t="str">
        <f aca="false">IF(AND('MARZO 2026'!D101&lt;&gt;"",'MARZO 2026'!Z101="POR RECOGER"),'MARZO 2026'!F101,"")</f>
        <v/>
      </c>
      <c r="E307" s="192" t="str">
        <f aca="false">IF(AND('MARZO 2026'!D101&lt;&gt;"",'MARZO 2026'!Z101="POR RECOGER"),TEXT('MARZO 2026'!G101,"DD/MM/YYYY"),"")</f>
        <v/>
      </c>
      <c r="F307" s="192" t="str">
        <f aca="false">IF(AND('MARZO 2026'!D101&lt;&gt;"",'MARZO 2026'!Z101="POR RECOGER"),'MARZO 2026'!K101,"")</f>
        <v/>
      </c>
      <c r="G307" s="193" t="str">
        <f aca="false">IF(AND('MARZO 2026'!D101&lt;&gt;"",'MARZO 2026'!Z101="POR RECOGER"),'MARZO 2026'!M101,"")</f>
        <v/>
      </c>
      <c r="H307" s="193" t="str">
        <f aca="false">IF(AND('MARZO 2026'!D101&lt;&gt;"",'MARZO 2026'!Z101="POR RECOGER"),'MARZO 2026'!N101,"")</f>
        <v/>
      </c>
      <c r="I307" s="192" t="str">
        <f aca="false">IF(AND('MARZO 2026'!D101&lt;&gt;"",'MARZO 2026'!Z101="POR RECOGER"),'MARZO 2026'!P101,"")</f>
        <v/>
      </c>
      <c r="J307" s="192" t="str">
        <f aca="false">IF(AND('MARZO 2026'!D101&lt;&gt;"",'MARZO 2026'!Z101="POR RECOGER"),'MARZO 2026'!Q101,"")</f>
        <v/>
      </c>
      <c r="K307" s="192" t="str">
        <f aca="false">IF(AND('MARZO 2026'!D101&lt;&gt;"",'MARZO 2026'!Z101="POR RECOGER"),'MARZO 2026'!Y101,"")</f>
        <v/>
      </c>
      <c r="L307" s="192" t="str">
        <f aca="false">IF(AND('MARZO 2026'!D101&lt;&gt;"",'MARZO 2026'!Z101="POR RECOGER"),'MARZO 2026'!I101,"")</f>
        <v/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" hidden="false" customHeight="true" outlineLevel="0" collapsed="false">
      <c r="A308" s="192" t="str">
        <f aca="false">IF(AND('MARZO 2026'!D102&lt;&gt;"",'MARZO 2026'!Z102="POR RECOGER"),"MAR","")</f>
        <v/>
      </c>
      <c r="B308" s="192" t="str">
        <f aca="false">IF(AND('MARZO 2026'!D102&lt;&gt;"",'MARZO 2026'!Z102="POR RECOGER"),IF('MARZO 2026'!Y102&lt;&gt;"",'MARZO 2026'!Y102,'MARZO 2026'!I102),"")</f>
        <v/>
      </c>
      <c r="C308" s="192" t="str">
        <f aca="false">IF(AND('MARZO 2026'!D102&lt;&gt;"",'MARZO 2026'!Z102="POR RECOGER"),'MARZO 2026'!D102,"")</f>
        <v/>
      </c>
      <c r="D308" s="192" t="str">
        <f aca="false">IF(AND('MARZO 2026'!D102&lt;&gt;"",'MARZO 2026'!Z102="POR RECOGER"),'MARZO 2026'!F102,"")</f>
        <v/>
      </c>
      <c r="E308" s="192" t="str">
        <f aca="false">IF(AND('MARZO 2026'!D102&lt;&gt;"",'MARZO 2026'!Z102="POR RECOGER"),TEXT('MARZO 2026'!G102,"DD/MM/YYYY"),"")</f>
        <v/>
      </c>
      <c r="F308" s="192" t="str">
        <f aca="false">IF(AND('MARZO 2026'!D102&lt;&gt;"",'MARZO 2026'!Z102="POR RECOGER"),'MARZO 2026'!K102,"")</f>
        <v/>
      </c>
      <c r="G308" s="193" t="str">
        <f aca="false">IF(AND('MARZO 2026'!D102&lt;&gt;"",'MARZO 2026'!Z102="POR RECOGER"),'MARZO 2026'!M102,"")</f>
        <v/>
      </c>
      <c r="H308" s="193" t="str">
        <f aca="false">IF(AND('MARZO 2026'!D102&lt;&gt;"",'MARZO 2026'!Z102="POR RECOGER"),'MARZO 2026'!N102,"")</f>
        <v/>
      </c>
      <c r="I308" s="192" t="str">
        <f aca="false">IF(AND('MARZO 2026'!D102&lt;&gt;"",'MARZO 2026'!Z102="POR RECOGER"),'MARZO 2026'!P102,"")</f>
        <v/>
      </c>
      <c r="J308" s="192" t="str">
        <f aca="false">IF(AND('MARZO 2026'!D102&lt;&gt;"",'MARZO 2026'!Z102="POR RECOGER"),'MARZO 2026'!Q102,"")</f>
        <v/>
      </c>
      <c r="K308" s="192" t="str">
        <f aca="false">IF(AND('MARZO 2026'!D102&lt;&gt;"",'MARZO 2026'!Z102="POR RECOGER"),'MARZO 2026'!Y102,"")</f>
        <v/>
      </c>
      <c r="L308" s="192" t="str">
        <f aca="false">IF(AND('MARZO 2026'!D102&lt;&gt;"",'MARZO 2026'!Z102="POR RECOGER"),'MARZO 2026'!I102,"")</f>
        <v/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" hidden="false" customHeight="true" outlineLevel="0" collapsed="false">
      <c r="A309" s="192" t="str">
        <f aca="false">IF(AND('MARZO 2026'!D103&lt;&gt;"",'MARZO 2026'!Z103="POR RECOGER"),"MAR","")</f>
        <v/>
      </c>
      <c r="B309" s="192" t="str">
        <f aca="false">IF(AND('MARZO 2026'!D103&lt;&gt;"",'MARZO 2026'!Z103="POR RECOGER"),IF('MARZO 2026'!Y103&lt;&gt;"",'MARZO 2026'!Y103,'MARZO 2026'!I103),"")</f>
        <v/>
      </c>
      <c r="C309" s="192" t="str">
        <f aca="false">IF(AND('MARZO 2026'!D103&lt;&gt;"",'MARZO 2026'!Z103="POR RECOGER"),'MARZO 2026'!D103,"")</f>
        <v/>
      </c>
      <c r="D309" s="192" t="str">
        <f aca="false">IF(AND('MARZO 2026'!D103&lt;&gt;"",'MARZO 2026'!Z103="POR RECOGER"),'MARZO 2026'!F103,"")</f>
        <v/>
      </c>
      <c r="E309" s="192" t="str">
        <f aca="false">IF(AND('MARZO 2026'!D103&lt;&gt;"",'MARZO 2026'!Z103="POR RECOGER"),TEXT('MARZO 2026'!G103,"DD/MM/YYYY"),"")</f>
        <v/>
      </c>
      <c r="F309" s="192" t="str">
        <f aca="false">IF(AND('MARZO 2026'!D103&lt;&gt;"",'MARZO 2026'!Z103="POR RECOGER"),'MARZO 2026'!K103,"")</f>
        <v/>
      </c>
      <c r="G309" s="193" t="str">
        <f aca="false">IF(AND('MARZO 2026'!D103&lt;&gt;"",'MARZO 2026'!Z103="POR RECOGER"),'MARZO 2026'!M103,"")</f>
        <v/>
      </c>
      <c r="H309" s="193" t="str">
        <f aca="false">IF(AND('MARZO 2026'!D103&lt;&gt;"",'MARZO 2026'!Z103="POR RECOGER"),'MARZO 2026'!N103,"")</f>
        <v/>
      </c>
      <c r="I309" s="192" t="str">
        <f aca="false">IF(AND('MARZO 2026'!D103&lt;&gt;"",'MARZO 2026'!Z103="POR RECOGER"),'MARZO 2026'!P103,"")</f>
        <v/>
      </c>
      <c r="J309" s="192" t="str">
        <f aca="false">IF(AND('MARZO 2026'!D103&lt;&gt;"",'MARZO 2026'!Z103="POR RECOGER"),'MARZO 2026'!Q103,"")</f>
        <v/>
      </c>
      <c r="K309" s="192" t="str">
        <f aca="false">IF(AND('MARZO 2026'!D103&lt;&gt;"",'MARZO 2026'!Z103="POR RECOGER"),'MARZO 2026'!Y103,"")</f>
        <v/>
      </c>
      <c r="L309" s="192" t="str">
        <f aca="false">IF(AND('MARZO 2026'!D103&lt;&gt;"",'MARZO 2026'!Z103="POR RECOGER"),'MARZO 2026'!I103,"")</f>
        <v/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" hidden="false" customHeight="true" outlineLevel="0" collapsed="false">
      <c r="A310" s="192" t="str">
        <f aca="false">IF(AND('MARZO 2026'!D104&lt;&gt;"",'MARZO 2026'!Z104="POR RECOGER"),"MAR","")</f>
        <v/>
      </c>
      <c r="B310" s="192" t="str">
        <f aca="false">IF(AND('MARZO 2026'!D104&lt;&gt;"",'MARZO 2026'!Z104="POR RECOGER"),IF('MARZO 2026'!Y104&lt;&gt;"",'MARZO 2026'!Y104,'MARZO 2026'!I104),"")</f>
        <v/>
      </c>
      <c r="C310" s="192" t="str">
        <f aca="false">IF(AND('MARZO 2026'!D104&lt;&gt;"",'MARZO 2026'!Z104="POR RECOGER"),'MARZO 2026'!D104,"")</f>
        <v/>
      </c>
      <c r="D310" s="192" t="str">
        <f aca="false">IF(AND('MARZO 2026'!D104&lt;&gt;"",'MARZO 2026'!Z104="POR RECOGER"),'MARZO 2026'!F104,"")</f>
        <v/>
      </c>
      <c r="E310" s="192" t="str">
        <f aca="false">IF(AND('MARZO 2026'!D104&lt;&gt;"",'MARZO 2026'!Z104="POR RECOGER"),TEXT('MARZO 2026'!G104,"DD/MM/YYYY"),"")</f>
        <v/>
      </c>
      <c r="F310" s="192" t="str">
        <f aca="false">IF(AND('MARZO 2026'!D104&lt;&gt;"",'MARZO 2026'!Z104="POR RECOGER"),'MARZO 2026'!K104,"")</f>
        <v/>
      </c>
      <c r="G310" s="193" t="str">
        <f aca="false">IF(AND('MARZO 2026'!D104&lt;&gt;"",'MARZO 2026'!Z104="POR RECOGER"),'MARZO 2026'!M104,"")</f>
        <v/>
      </c>
      <c r="H310" s="193" t="str">
        <f aca="false">IF(AND('MARZO 2026'!D104&lt;&gt;"",'MARZO 2026'!Z104="POR RECOGER"),'MARZO 2026'!N104,"")</f>
        <v/>
      </c>
      <c r="I310" s="192" t="str">
        <f aca="false">IF(AND('MARZO 2026'!D104&lt;&gt;"",'MARZO 2026'!Z104="POR RECOGER"),'MARZO 2026'!P104,"")</f>
        <v/>
      </c>
      <c r="J310" s="192" t="str">
        <f aca="false">IF(AND('MARZO 2026'!D104&lt;&gt;"",'MARZO 2026'!Z104="POR RECOGER"),'MARZO 2026'!Q104,"")</f>
        <v/>
      </c>
      <c r="K310" s="192" t="str">
        <f aca="false">IF(AND('MARZO 2026'!D104&lt;&gt;"",'MARZO 2026'!Z104="POR RECOGER"),'MARZO 2026'!Y104,"")</f>
        <v/>
      </c>
      <c r="L310" s="192" t="str">
        <f aca="false">IF(AND('MARZO 2026'!D104&lt;&gt;"",'MARZO 2026'!Z104="POR RECOGER"),'MARZO 2026'!I104,"")</f>
        <v/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" hidden="false" customHeight="true" outlineLevel="0" collapsed="false">
      <c r="A311" s="192" t="str">
        <f aca="false">IF(AND('MARZO 2026'!D105&lt;&gt;"",'MARZO 2026'!Z105="POR RECOGER"),"MAR","")</f>
        <v/>
      </c>
      <c r="B311" s="192" t="str">
        <f aca="false">IF(AND('MARZO 2026'!D105&lt;&gt;"",'MARZO 2026'!Z105="POR RECOGER"),IF('MARZO 2026'!Y105&lt;&gt;"",'MARZO 2026'!Y105,'MARZO 2026'!I105),"")</f>
        <v/>
      </c>
      <c r="C311" s="192" t="str">
        <f aca="false">IF(AND('MARZO 2026'!D105&lt;&gt;"",'MARZO 2026'!Z105="POR RECOGER"),'MARZO 2026'!D105,"")</f>
        <v/>
      </c>
      <c r="D311" s="192" t="str">
        <f aca="false">IF(AND('MARZO 2026'!D105&lt;&gt;"",'MARZO 2026'!Z105="POR RECOGER"),'MARZO 2026'!F105,"")</f>
        <v/>
      </c>
      <c r="E311" s="192" t="str">
        <f aca="false">IF(AND('MARZO 2026'!D105&lt;&gt;"",'MARZO 2026'!Z105="POR RECOGER"),TEXT('MARZO 2026'!G105,"DD/MM/YYYY"),"")</f>
        <v/>
      </c>
      <c r="F311" s="192" t="str">
        <f aca="false">IF(AND('MARZO 2026'!D105&lt;&gt;"",'MARZO 2026'!Z105="POR RECOGER"),'MARZO 2026'!K105,"")</f>
        <v/>
      </c>
      <c r="G311" s="193" t="str">
        <f aca="false">IF(AND('MARZO 2026'!D105&lt;&gt;"",'MARZO 2026'!Z105="POR RECOGER"),'MARZO 2026'!M105,"")</f>
        <v/>
      </c>
      <c r="H311" s="193" t="str">
        <f aca="false">IF(AND('MARZO 2026'!D105&lt;&gt;"",'MARZO 2026'!Z105="POR RECOGER"),'MARZO 2026'!N105,"")</f>
        <v/>
      </c>
      <c r="I311" s="192" t="str">
        <f aca="false">IF(AND('MARZO 2026'!D105&lt;&gt;"",'MARZO 2026'!Z105="POR RECOGER"),'MARZO 2026'!P105,"")</f>
        <v/>
      </c>
      <c r="J311" s="192" t="str">
        <f aca="false">IF(AND('MARZO 2026'!D105&lt;&gt;"",'MARZO 2026'!Z105="POR RECOGER"),'MARZO 2026'!Q105,"")</f>
        <v/>
      </c>
      <c r="K311" s="192" t="str">
        <f aca="false">IF(AND('MARZO 2026'!D105&lt;&gt;"",'MARZO 2026'!Z105="POR RECOGER"),'MARZO 2026'!Y105,"")</f>
        <v/>
      </c>
      <c r="L311" s="192" t="str">
        <f aca="false">IF(AND('MARZO 2026'!D105&lt;&gt;"",'MARZO 2026'!Z105="POR RECOGER"),'MARZO 2026'!I105,"")</f>
        <v/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" hidden="false" customHeight="true" outlineLevel="0" collapsed="false">
      <c r="A312" s="192" t="str">
        <f aca="false">IF(AND('MARZO 2026'!D106&lt;&gt;"",'MARZO 2026'!Z106="POR RECOGER"),"MAR","")</f>
        <v/>
      </c>
      <c r="B312" s="192" t="str">
        <f aca="false">IF(AND('MARZO 2026'!D106&lt;&gt;"",'MARZO 2026'!Z106="POR RECOGER"),IF('MARZO 2026'!Y106&lt;&gt;"",'MARZO 2026'!Y106,'MARZO 2026'!I106),"")</f>
        <v/>
      </c>
      <c r="C312" s="192" t="str">
        <f aca="false">IF(AND('MARZO 2026'!D106&lt;&gt;"",'MARZO 2026'!Z106="POR RECOGER"),'MARZO 2026'!D106,"")</f>
        <v/>
      </c>
      <c r="D312" s="192" t="str">
        <f aca="false">IF(AND('MARZO 2026'!D106&lt;&gt;"",'MARZO 2026'!Z106="POR RECOGER"),'MARZO 2026'!F106,"")</f>
        <v/>
      </c>
      <c r="E312" s="192" t="str">
        <f aca="false">IF(AND('MARZO 2026'!D106&lt;&gt;"",'MARZO 2026'!Z106="POR RECOGER"),TEXT('MARZO 2026'!G106,"DD/MM/YYYY"),"")</f>
        <v/>
      </c>
      <c r="F312" s="192" t="str">
        <f aca="false">IF(AND('MARZO 2026'!D106&lt;&gt;"",'MARZO 2026'!Z106="POR RECOGER"),'MARZO 2026'!K106,"")</f>
        <v/>
      </c>
      <c r="G312" s="193" t="str">
        <f aca="false">IF(AND('MARZO 2026'!D106&lt;&gt;"",'MARZO 2026'!Z106="POR RECOGER"),'MARZO 2026'!M106,"")</f>
        <v/>
      </c>
      <c r="H312" s="193" t="str">
        <f aca="false">IF(AND('MARZO 2026'!D106&lt;&gt;"",'MARZO 2026'!Z106="POR RECOGER"),'MARZO 2026'!N106,"")</f>
        <v/>
      </c>
      <c r="I312" s="192" t="str">
        <f aca="false">IF(AND('MARZO 2026'!D106&lt;&gt;"",'MARZO 2026'!Z106="POR RECOGER"),'MARZO 2026'!P106,"")</f>
        <v/>
      </c>
      <c r="J312" s="192" t="str">
        <f aca="false">IF(AND('MARZO 2026'!D106&lt;&gt;"",'MARZO 2026'!Z106="POR RECOGER"),'MARZO 2026'!Q106,"")</f>
        <v/>
      </c>
      <c r="K312" s="192" t="str">
        <f aca="false">IF(AND('MARZO 2026'!D106&lt;&gt;"",'MARZO 2026'!Z106="POR RECOGER"),'MARZO 2026'!Y106,"")</f>
        <v/>
      </c>
      <c r="L312" s="192" t="str">
        <f aca="false">IF(AND('MARZO 2026'!D106&lt;&gt;"",'MARZO 2026'!Z106="POR RECOGER"),'MARZO 2026'!I106,"")</f>
        <v/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" hidden="false" customHeight="true" outlineLevel="0" collapsed="false">
      <c r="A313" s="192" t="str">
        <f aca="false">IF(AND('MARZO 2026'!D107&lt;&gt;"",'MARZO 2026'!Z107="POR RECOGER"),"MAR","")</f>
        <v/>
      </c>
      <c r="B313" s="192" t="str">
        <f aca="false">IF(AND('MARZO 2026'!D107&lt;&gt;"",'MARZO 2026'!Z107="POR RECOGER"),IF('MARZO 2026'!Y107&lt;&gt;"",'MARZO 2026'!Y107,'MARZO 2026'!I107),"")</f>
        <v/>
      </c>
      <c r="C313" s="192" t="str">
        <f aca="false">IF(AND('MARZO 2026'!D107&lt;&gt;"",'MARZO 2026'!Z107="POR RECOGER"),'MARZO 2026'!D107,"")</f>
        <v/>
      </c>
      <c r="D313" s="192" t="str">
        <f aca="false">IF(AND('MARZO 2026'!D107&lt;&gt;"",'MARZO 2026'!Z107="POR RECOGER"),'MARZO 2026'!F107,"")</f>
        <v/>
      </c>
      <c r="E313" s="192" t="str">
        <f aca="false">IF(AND('MARZO 2026'!D107&lt;&gt;"",'MARZO 2026'!Z107="POR RECOGER"),TEXT('MARZO 2026'!G107,"DD/MM/YYYY"),"")</f>
        <v/>
      </c>
      <c r="F313" s="192" t="str">
        <f aca="false">IF(AND('MARZO 2026'!D107&lt;&gt;"",'MARZO 2026'!Z107="POR RECOGER"),'MARZO 2026'!K107,"")</f>
        <v/>
      </c>
      <c r="G313" s="193" t="str">
        <f aca="false">IF(AND('MARZO 2026'!D107&lt;&gt;"",'MARZO 2026'!Z107="POR RECOGER"),'MARZO 2026'!M107,"")</f>
        <v/>
      </c>
      <c r="H313" s="193" t="str">
        <f aca="false">IF(AND('MARZO 2026'!D107&lt;&gt;"",'MARZO 2026'!Z107="POR RECOGER"),'MARZO 2026'!N107,"")</f>
        <v/>
      </c>
      <c r="I313" s="192" t="str">
        <f aca="false">IF(AND('MARZO 2026'!D107&lt;&gt;"",'MARZO 2026'!Z107="POR RECOGER"),'MARZO 2026'!P107,"")</f>
        <v/>
      </c>
      <c r="J313" s="192" t="str">
        <f aca="false">IF(AND('MARZO 2026'!D107&lt;&gt;"",'MARZO 2026'!Z107="POR RECOGER"),'MARZO 2026'!Q107,"")</f>
        <v/>
      </c>
      <c r="K313" s="192" t="str">
        <f aca="false">IF(AND('MARZO 2026'!D107&lt;&gt;"",'MARZO 2026'!Z107="POR RECOGER"),'MARZO 2026'!Y107,"")</f>
        <v/>
      </c>
      <c r="L313" s="192" t="str">
        <f aca="false">IF(AND('MARZO 2026'!D107&lt;&gt;"",'MARZO 2026'!Z107="POR RECOGER"),'MARZO 2026'!I107,"")</f>
        <v/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" hidden="false" customHeight="true" outlineLevel="0" collapsed="false">
      <c r="A314" s="192" t="str">
        <f aca="false">IF(AND('MARZO 2026'!D108&lt;&gt;"",'MARZO 2026'!Z108="POR RECOGER"),"MAR","")</f>
        <v/>
      </c>
      <c r="B314" s="192" t="str">
        <f aca="false">IF(AND('MARZO 2026'!D108&lt;&gt;"",'MARZO 2026'!Z108="POR RECOGER"),IF('MARZO 2026'!Y108&lt;&gt;"",'MARZO 2026'!Y108,'MARZO 2026'!I108),"")</f>
        <v/>
      </c>
      <c r="C314" s="192" t="str">
        <f aca="false">IF(AND('MARZO 2026'!D108&lt;&gt;"",'MARZO 2026'!Z108="POR RECOGER"),'MARZO 2026'!D108,"")</f>
        <v/>
      </c>
      <c r="D314" s="192" t="str">
        <f aca="false">IF(AND('MARZO 2026'!D108&lt;&gt;"",'MARZO 2026'!Z108="POR RECOGER"),'MARZO 2026'!F108,"")</f>
        <v/>
      </c>
      <c r="E314" s="192" t="str">
        <f aca="false">IF(AND('MARZO 2026'!D108&lt;&gt;"",'MARZO 2026'!Z108="POR RECOGER"),TEXT('MARZO 2026'!G108,"DD/MM/YYYY"),"")</f>
        <v/>
      </c>
      <c r="F314" s="192" t="str">
        <f aca="false">IF(AND('MARZO 2026'!D108&lt;&gt;"",'MARZO 2026'!Z108="POR RECOGER"),'MARZO 2026'!K108,"")</f>
        <v/>
      </c>
      <c r="G314" s="193" t="str">
        <f aca="false">IF(AND('MARZO 2026'!D108&lt;&gt;"",'MARZO 2026'!Z108="POR RECOGER"),'MARZO 2026'!M108,"")</f>
        <v/>
      </c>
      <c r="H314" s="193" t="str">
        <f aca="false">IF(AND('MARZO 2026'!D108&lt;&gt;"",'MARZO 2026'!Z108="POR RECOGER"),'MARZO 2026'!N108,"")</f>
        <v/>
      </c>
      <c r="I314" s="192" t="str">
        <f aca="false">IF(AND('MARZO 2026'!D108&lt;&gt;"",'MARZO 2026'!Z108="POR RECOGER"),'MARZO 2026'!P108,"")</f>
        <v/>
      </c>
      <c r="J314" s="192" t="str">
        <f aca="false">IF(AND('MARZO 2026'!D108&lt;&gt;"",'MARZO 2026'!Z108="POR RECOGER"),'MARZO 2026'!Q108,"")</f>
        <v/>
      </c>
      <c r="K314" s="192" t="str">
        <f aca="false">IF(AND('MARZO 2026'!D108&lt;&gt;"",'MARZO 2026'!Z108="POR RECOGER"),'MARZO 2026'!Y108,"")</f>
        <v/>
      </c>
      <c r="L314" s="192" t="str">
        <f aca="false">IF(AND('MARZO 2026'!D108&lt;&gt;"",'MARZO 2026'!Z108="POR RECOGER"),'MARZO 2026'!I108,"")</f>
        <v/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" hidden="false" customHeight="true" outlineLevel="0" collapsed="false">
      <c r="A315" s="192" t="str">
        <f aca="false">IF(AND('MARZO 2026'!D109&lt;&gt;"",'MARZO 2026'!Z109="POR RECOGER"),"MAR","")</f>
        <v/>
      </c>
      <c r="B315" s="192" t="str">
        <f aca="false">IF(AND('MARZO 2026'!D109&lt;&gt;"",'MARZO 2026'!Z109="POR RECOGER"),IF('MARZO 2026'!Y109&lt;&gt;"",'MARZO 2026'!Y109,'MARZO 2026'!I109),"")</f>
        <v/>
      </c>
      <c r="C315" s="192" t="str">
        <f aca="false">IF(AND('MARZO 2026'!D109&lt;&gt;"",'MARZO 2026'!Z109="POR RECOGER"),'MARZO 2026'!D109,"")</f>
        <v/>
      </c>
      <c r="D315" s="192" t="str">
        <f aca="false">IF(AND('MARZO 2026'!D109&lt;&gt;"",'MARZO 2026'!Z109="POR RECOGER"),'MARZO 2026'!F109,"")</f>
        <v/>
      </c>
      <c r="E315" s="192" t="str">
        <f aca="false">IF(AND('MARZO 2026'!D109&lt;&gt;"",'MARZO 2026'!Z109="POR RECOGER"),TEXT('MARZO 2026'!G109,"DD/MM/YYYY"),"")</f>
        <v/>
      </c>
      <c r="F315" s="192" t="str">
        <f aca="false">IF(AND('MARZO 2026'!D109&lt;&gt;"",'MARZO 2026'!Z109="POR RECOGER"),'MARZO 2026'!K109,"")</f>
        <v/>
      </c>
      <c r="G315" s="193" t="str">
        <f aca="false">IF(AND('MARZO 2026'!D109&lt;&gt;"",'MARZO 2026'!Z109="POR RECOGER"),'MARZO 2026'!M109,"")</f>
        <v/>
      </c>
      <c r="H315" s="193" t="str">
        <f aca="false">IF(AND('MARZO 2026'!D109&lt;&gt;"",'MARZO 2026'!Z109="POR RECOGER"),'MARZO 2026'!N109,"")</f>
        <v/>
      </c>
      <c r="I315" s="192" t="str">
        <f aca="false">IF(AND('MARZO 2026'!D109&lt;&gt;"",'MARZO 2026'!Z109="POR RECOGER"),'MARZO 2026'!P109,"")</f>
        <v/>
      </c>
      <c r="J315" s="192" t="str">
        <f aca="false">IF(AND('MARZO 2026'!D109&lt;&gt;"",'MARZO 2026'!Z109="POR RECOGER"),'MARZO 2026'!Q109,"")</f>
        <v/>
      </c>
      <c r="K315" s="192" t="str">
        <f aca="false">IF(AND('MARZO 2026'!D109&lt;&gt;"",'MARZO 2026'!Z109="POR RECOGER"),'MARZO 2026'!Y109,"")</f>
        <v/>
      </c>
      <c r="L315" s="192" t="str">
        <f aca="false">IF(AND('MARZO 2026'!D109&lt;&gt;"",'MARZO 2026'!Z109="POR RECOGER"),'MARZO 2026'!I109,"")</f>
        <v/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" hidden="false" customHeight="true" outlineLevel="0" collapsed="false">
      <c r="A316" s="192" t="str">
        <f aca="false">IF(AND('MARZO 2026'!D110&lt;&gt;"",'MARZO 2026'!Z110="POR RECOGER"),"MAR","")</f>
        <v/>
      </c>
      <c r="B316" s="192" t="str">
        <f aca="false">IF(AND('MARZO 2026'!D110&lt;&gt;"",'MARZO 2026'!Z110="POR RECOGER"),IF('MARZO 2026'!Y110&lt;&gt;"",'MARZO 2026'!Y110,'MARZO 2026'!I110),"")</f>
        <v/>
      </c>
      <c r="C316" s="192" t="str">
        <f aca="false">IF(AND('MARZO 2026'!D110&lt;&gt;"",'MARZO 2026'!Z110="POR RECOGER"),'MARZO 2026'!D110,"")</f>
        <v/>
      </c>
      <c r="D316" s="192" t="str">
        <f aca="false">IF(AND('MARZO 2026'!D110&lt;&gt;"",'MARZO 2026'!Z110="POR RECOGER"),'MARZO 2026'!F110,"")</f>
        <v/>
      </c>
      <c r="E316" s="192" t="str">
        <f aca="false">IF(AND('MARZO 2026'!D110&lt;&gt;"",'MARZO 2026'!Z110="POR RECOGER"),TEXT('MARZO 2026'!G110,"DD/MM/YYYY"),"")</f>
        <v/>
      </c>
      <c r="F316" s="192" t="str">
        <f aca="false">IF(AND('MARZO 2026'!D110&lt;&gt;"",'MARZO 2026'!Z110="POR RECOGER"),'MARZO 2026'!K110,"")</f>
        <v/>
      </c>
      <c r="G316" s="193" t="str">
        <f aca="false">IF(AND('MARZO 2026'!D110&lt;&gt;"",'MARZO 2026'!Z110="POR RECOGER"),'MARZO 2026'!M110,"")</f>
        <v/>
      </c>
      <c r="H316" s="193" t="str">
        <f aca="false">IF(AND('MARZO 2026'!D110&lt;&gt;"",'MARZO 2026'!Z110="POR RECOGER"),'MARZO 2026'!N110,"")</f>
        <v/>
      </c>
      <c r="I316" s="192" t="str">
        <f aca="false">IF(AND('MARZO 2026'!D110&lt;&gt;"",'MARZO 2026'!Z110="POR RECOGER"),'MARZO 2026'!P110,"")</f>
        <v/>
      </c>
      <c r="J316" s="192" t="str">
        <f aca="false">IF(AND('MARZO 2026'!D110&lt;&gt;"",'MARZO 2026'!Z110="POR RECOGER"),'MARZO 2026'!Q110,"")</f>
        <v/>
      </c>
      <c r="K316" s="192" t="str">
        <f aca="false">IF(AND('MARZO 2026'!D110&lt;&gt;"",'MARZO 2026'!Z110="POR RECOGER"),'MARZO 2026'!Y110,"")</f>
        <v/>
      </c>
      <c r="L316" s="192" t="str">
        <f aca="false">IF(AND('MARZO 2026'!D110&lt;&gt;"",'MARZO 2026'!Z110="POR RECOGER"),'MARZO 2026'!I110,"")</f>
        <v/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" hidden="false" customHeight="true" outlineLevel="0" collapsed="false">
      <c r="A317" s="192" t="str">
        <f aca="false">IF(AND('ABRIL 2026'!D6&lt;&gt;"",'ABRIL 2026'!Z6="POR RECOGER"),"ABR","")</f>
        <v/>
      </c>
      <c r="B317" s="192" t="str">
        <f aca="false">IF(AND('ABRIL 2026'!D6&lt;&gt;"",'ABRIL 2026'!Z6="POR RECOGER"),IF('ABRIL 2026'!Y6&lt;&gt;"",'ABRIL 2026'!Y6,'ABRIL 2026'!I6),"")</f>
        <v/>
      </c>
      <c r="C317" s="192" t="str">
        <f aca="false">IF(AND('ABRIL 2026'!D6&lt;&gt;"",'ABRIL 2026'!Z6="POR RECOGER"),'ABRIL 2026'!D6,"")</f>
        <v/>
      </c>
      <c r="D317" s="192" t="str">
        <f aca="false">IF(AND('ABRIL 2026'!D6&lt;&gt;"",'ABRIL 2026'!Z6="POR RECOGER"),'ABRIL 2026'!F6,"")</f>
        <v/>
      </c>
      <c r="E317" s="192" t="str">
        <f aca="false">IF(AND('ABRIL 2026'!D6&lt;&gt;"",'ABRIL 2026'!Z6="POR RECOGER"),TEXT('ABRIL 2026'!G6,"DD/MM/YYYY"),"")</f>
        <v/>
      </c>
      <c r="F317" s="192" t="str">
        <f aca="false">IF(AND('ABRIL 2026'!D6&lt;&gt;"",'ABRIL 2026'!Z6="POR RECOGER"),'ABRIL 2026'!K6,"")</f>
        <v/>
      </c>
      <c r="G317" s="193" t="str">
        <f aca="false">IF(AND('ABRIL 2026'!D6&lt;&gt;"",'ABRIL 2026'!Z6="POR RECOGER"),'ABRIL 2026'!M6,"")</f>
        <v/>
      </c>
      <c r="H317" s="193" t="str">
        <f aca="false">IF(AND('ABRIL 2026'!D6&lt;&gt;"",'ABRIL 2026'!Z6="POR RECOGER"),'ABRIL 2026'!N6,"")</f>
        <v/>
      </c>
      <c r="I317" s="192" t="str">
        <f aca="false">IF(AND('ABRIL 2026'!D6&lt;&gt;"",'ABRIL 2026'!Z6="POR RECOGER"),'ABRIL 2026'!P6,"")</f>
        <v/>
      </c>
      <c r="J317" s="192" t="str">
        <f aca="false">IF(AND('ABRIL 2026'!D6&lt;&gt;"",'ABRIL 2026'!Z6="POR RECOGER"),'ABRIL 2026'!Q6,"")</f>
        <v/>
      </c>
      <c r="K317" s="192" t="str">
        <f aca="false">IF(AND('ABRIL 2026'!D6&lt;&gt;"",'ABRIL 2026'!Z6="POR RECOGER"),'ABRIL 2026'!Y6,"")</f>
        <v/>
      </c>
      <c r="L317" s="192" t="str">
        <f aca="false">IF(AND('ABRIL 2026'!D6&lt;&gt;"",'ABRIL 2026'!Z6="POR RECOGER"),'ABRIL 2026'!I6,"")</f>
        <v/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" hidden="false" customHeight="true" outlineLevel="0" collapsed="false">
      <c r="A318" s="192" t="str">
        <f aca="false">IF(AND('ABRIL 2026'!D7&lt;&gt;"",'ABRIL 2026'!Z7="POR RECOGER"),"ABR","")</f>
        <v/>
      </c>
      <c r="B318" s="192" t="str">
        <f aca="false">IF(AND('ABRIL 2026'!D7&lt;&gt;"",'ABRIL 2026'!Z7="POR RECOGER"),IF('ABRIL 2026'!Y7&lt;&gt;"",'ABRIL 2026'!Y7,'ABRIL 2026'!I7),"")</f>
        <v/>
      </c>
      <c r="C318" s="192" t="str">
        <f aca="false">IF(AND('ABRIL 2026'!D7&lt;&gt;"",'ABRIL 2026'!Z7="POR RECOGER"),'ABRIL 2026'!D7,"")</f>
        <v/>
      </c>
      <c r="D318" s="192" t="str">
        <f aca="false">IF(AND('ABRIL 2026'!D7&lt;&gt;"",'ABRIL 2026'!Z7="POR RECOGER"),'ABRIL 2026'!F7,"")</f>
        <v/>
      </c>
      <c r="E318" s="192" t="str">
        <f aca="false">IF(AND('ABRIL 2026'!D7&lt;&gt;"",'ABRIL 2026'!Z7="POR RECOGER"),TEXT('ABRIL 2026'!G7,"DD/MM/YYYY"),"")</f>
        <v/>
      </c>
      <c r="F318" s="192" t="str">
        <f aca="false">IF(AND('ABRIL 2026'!D7&lt;&gt;"",'ABRIL 2026'!Z7="POR RECOGER"),'ABRIL 2026'!K7,"")</f>
        <v/>
      </c>
      <c r="G318" s="193" t="str">
        <f aca="false">IF(AND('ABRIL 2026'!D7&lt;&gt;"",'ABRIL 2026'!Z7="POR RECOGER"),'ABRIL 2026'!M7,"")</f>
        <v/>
      </c>
      <c r="H318" s="193" t="str">
        <f aca="false">IF(AND('ABRIL 2026'!D7&lt;&gt;"",'ABRIL 2026'!Z7="POR RECOGER"),'ABRIL 2026'!N7,"")</f>
        <v/>
      </c>
      <c r="I318" s="192" t="str">
        <f aca="false">IF(AND('ABRIL 2026'!D7&lt;&gt;"",'ABRIL 2026'!Z7="POR RECOGER"),'ABRIL 2026'!P7,"")</f>
        <v/>
      </c>
      <c r="J318" s="192" t="str">
        <f aca="false">IF(AND('ABRIL 2026'!D7&lt;&gt;"",'ABRIL 2026'!Z7="POR RECOGER"),'ABRIL 2026'!Q7,"")</f>
        <v/>
      </c>
      <c r="K318" s="192" t="str">
        <f aca="false">IF(AND('ABRIL 2026'!D7&lt;&gt;"",'ABRIL 2026'!Z7="POR RECOGER"),'ABRIL 2026'!Y7,"")</f>
        <v/>
      </c>
      <c r="L318" s="192" t="str">
        <f aca="false">IF(AND('ABRIL 2026'!D7&lt;&gt;"",'ABRIL 2026'!Z7="POR RECOGER"),'ABRIL 2026'!I7,"")</f>
        <v/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" hidden="false" customHeight="true" outlineLevel="0" collapsed="false">
      <c r="A319" s="192" t="str">
        <f aca="false">IF(AND('ABRIL 2026'!D8&lt;&gt;"",'ABRIL 2026'!Z8="POR RECOGER"),"ABR","")</f>
        <v/>
      </c>
      <c r="B319" s="192" t="str">
        <f aca="false">IF(AND('ABRIL 2026'!D8&lt;&gt;"",'ABRIL 2026'!Z8="POR RECOGER"),IF('ABRIL 2026'!Y8&lt;&gt;"",'ABRIL 2026'!Y8,'ABRIL 2026'!I8),"")</f>
        <v/>
      </c>
      <c r="C319" s="192" t="str">
        <f aca="false">IF(AND('ABRIL 2026'!D8&lt;&gt;"",'ABRIL 2026'!Z8="POR RECOGER"),'ABRIL 2026'!D8,"")</f>
        <v/>
      </c>
      <c r="D319" s="192" t="str">
        <f aca="false">IF(AND('ABRIL 2026'!D8&lt;&gt;"",'ABRIL 2026'!Z8="POR RECOGER"),'ABRIL 2026'!F8,"")</f>
        <v/>
      </c>
      <c r="E319" s="192" t="str">
        <f aca="false">IF(AND('ABRIL 2026'!D8&lt;&gt;"",'ABRIL 2026'!Z8="POR RECOGER"),TEXT('ABRIL 2026'!G8,"DD/MM/YYYY"),"")</f>
        <v/>
      </c>
      <c r="F319" s="192" t="str">
        <f aca="false">IF(AND('ABRIL 2026'!D8&lt;&gt;"",'ABRIL 2026'!Z8="POR RECOGER"),'ABRIL 2026'!K8,"")</f>
        <v/>
      </c>
      <c r="G319" s="193" t="str">
        <f aca="false">IF(AND('ABRIL 2026'!D8&lt;&gt;"",'ABRIL 2026'!Z8="POR RECOGER"),'ABRIL 2026'!M8,"")</f>
        <v/>
      </c>
      <c r="H319" s="193" t="str">
        <f aca="false">IF(AND('ABRIL 2026'!D8&lt;&gt;"",'ABRIL 2026'!Z8="POR RECOGER"),'ABRIL 2026'!N8,"")</f>
        <v/>
      </c>
      <c r="I319" s="192" t="str">
        <f aca="false">IF(AND('ABRIL 2026'!D8&lt;&gt;"",'ABRIL 2026'!Z8="POR RECOGER"),'ABRIL 2026'!P8,"")</f>
        <v/>
      </c>
      <c r="J319" s="192" t="str">
        <f aca="false">IF(AND('ABRIL 2026'!D8&lt;&gt;"",'ABRIL 2026'!Z8="POR RECOGER"),'ABRIL 2026'!Q8,"")</f>
        <v/>
      </c>
      <c r="K319" s="192" t="str">
        <f aca="false">IF(AND('ABRIL 2026'!D8&lt;&gt;"",'ABRIL 2026'!Z8="POR RECOGER"),'ABRIL 2026'!Y8,"")</f>
        <v/>
      </c>
      <c r="L319" s="192" t="str">
        <f aca="false">IF(AND('ABRIL 2026'!D8&lt;&gt;"",'ABRIL 2026'!Z8="POR RECOGER"),'ABRIL 2026'!I8,"")</f>
        <v/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" hidden="false" customHeight="true" outlineLevel="0" collapsed="false">
      <c r="A320" s="192" t="str">
        <f aca="false">IF(AND('ABRIL 2026'!D9&lt;&gt;"",'ABRIL 2026'!Z9="POR RECOGER"),"ABR","")</f>
        <v/>
      </c>
      <c r="B320" s="192" t="str">
        <f aca="false">IF(AND('ABRIL 2026'!D9&lt;&gt;"",'ABRIL 2026'!Z9="POR RECOGER"),IF('ABRIL 2026'!Y9&lt;&gt;"",'ABRIL 2026'!Y9,'ABRIL 2026'!I9),"")</f>
        <v/>
      </c>
      <c r="C320" s="192" t="str">
        <f aca="false">IF(AND('ABRIL 2026'!D9&lt;&gt;"",'ABRIL 2026'!Z9="POR RECOGER"),'ABRIL 2026'!D9,"")</f>
        <v/>
      </c>
      <c r="D320" s="192" t="str">
        <f aca="false">IF(AND('ABRIL 2026'!D9&lt;&gt;"",'ABRIL 2026'!Z9="POR RECOGER"),'ABRIL 2026'!F9,"")</f>
        <v/>
      </c>
      <c r="E320" s="192" t="str">
        <f aca="false">IF(AND('ABRIL 2026'!D9&lt;&gt;"",'ABRIL 2026'!Z9="POR RECOGER"),TEXT('ABRIL 2026'!G9,"DD/MM/YYYY"),"")</f>
        <v/>
      </c>
      <c r="F320" s="192" t="str">
        <f aca="false">IF(AND('ABRIL 2026'!D9&lt;&gt;"",'ABRIL 2026'!Z9="POR RECOGER"),'ABRIL 2026'!K9,"")</f>
        <v/>
      </c>
      <c r="G320" s="193" t="str">
        <f aca="false">IF(AND('ABRIL 2026'!D9&lt;&gt;"",'ABRIL 2026'!Z9="POR RECOGER"),'ABRIL 2026'!M9,"")</f>
        <v/>
      </c>
      <c r="H320" s="193" t="str">
        <f aca="false">IF(AND('ABRIL 2026'!D9&lt;&gt;"",'ABRIL 2026'!Z9="POR RECOGER"),'ABRIL 2026'!N9,"")</f>
        <v/>
      </c>
      <c r="I320" s="192" t="str">
        <f aca="false">IF(AND('ABRIL 2026'!D9&lt;&gt;"",'ABRIL 2026'!Z9="POR RECOGER"),'ABRIL 2026'!P9,"")</f>
        <v/>
      </c>
      <c r="J320" s="192" t="str">
        <f aca="false">IF(AND('ABRIL 2026'!D9&lt;&gt;"",'ABRIL 2026'!Z9="POR RECOGER"),'ABRIL 2026'!Q9,"")</f>
        <v/>
      </c>
      <c r="K320" s="192" t="str">
        <f aca="false">IF(AND('ABRIL 2026'!D9&lt;&gt;"",'ABRIL 2026'!Z9="POR RECOGER"),'ABRIL 2026'!Y9,"")</f>
        <v/>
      </c>
      <c r="L320" s="192" t="str">
        <f aca="false">IF(AND('ABRIL 2026'!D9&lt;&gt;"",'ABRIL 2026'!Z9="POR RECOGER"),'ABRIL 2026'!I9,"")</f>
        <v/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" hidden="false" customHeight="true" outlineLevel="0" collapsed="false">
      <c r="A321" s="192" t="str">
        <f aca="false">IF(AND('ABRIL 2026'!D10&lt;&gt;"",'ABRIL 2026'!Z10="POR RECOGER"),"ABR","")</f>
        <v/>
      </c>
      <c r="B321" s="192" t="str">
        <f aca="false">IF(AND('ABRIL 2026'!D10&lt;&gt;"",'ABRIL 2026'!Z10="POR RECOGER"),IF('ABRIL 2026'!Y10&lt;&gt;"",'ABRIL 2026'!Y10,'ABRIL 2026'!I10),"")</f>
        <v/>
      </c>
      <c r="C321" s="192" t="str">
        <f aca="false">IF(AND('ABRIL 2026'!D10&lt;&gt;"",'ABRIL 2026'!Z10="POR RECOGER"),'ABRIL 2026'!D10,"")</f>
        <v/>
      </c>
      <c r="D321" s="192" t="str">
        <f aca="false">IF(AND('ABRIL 2026'!D10&lt;&gt;"",'ABRIL 2026'!Z10="POR RECOGER"),'ABRIL 2026'!F10,"")</f>
        <v/>
      </c>
      <c r="E321" s="192" t="str">
        <f aca="false">IF(AND('ABRIL 2026'!D10&lt;&gt;"",'ABRIL 2026'!Z10="POR RECOGER"),TEXT('ABRIL 2026'!G10,"DD/MM/YYYY"),"")</f>
        <v/>
      </c>
      <c r="F321" s="192" t="str">
        <f aca="false">IF(AND('ABRIL 2026'!D10&lt;&gt;"",'ABRIL 2026'!Z10="POR RECOGER"),'ABRIL 2026'!K10,"")</f>
        <v/>
      </c>
      <c r="G321" s="193" t="str">
        <f aca="false">IF(AND('ABRIL 2026'!D10&lt;&gt;"",'ABRIL 2026'!Z10="POR RECOGER"),'ABRIL 2026'!M10,"")</f>
        <v/>
      </c>
      <c r="H321" s="193" t="str">
        <f aca="false">IF(AND('ABRIL 2026'!D10&lt;&gt;"",'ABRIL 2026'!Z10="POR RECOGER"),'ABRIL 2026'!N10,"")</f>
        <v/>
      </c>
      <c r="I321" s="192" t="str">
        <f aca="false">IF(AND('ABRIL 2026'!D10&lt;&gt;"",'ABRIL 2026'!Z10="POR RECOGER"),'ABRIL 2026'!P10,"")</f>
        <v/>
      </c>
      <c r="J321" s="192" t="str">
        <f aca="false">IF(AND('ABRIL 2026'!D10&lt;&gt;"",'ABRIL 2026'!Z10="POR RECOGER"),'ABRIL 2026'!Q10,"")</f>
        <v/>
      </c>
      <c r="K321" s="192" t="str">
        <f aca="false">IF(AND('ABRIL 2026'!D10&lt;&gt;"",'ABRIL 2026'!Z10="POR RECOGER"),'ABRIL 2026'!Y10,"")</f>
        <v/>
      </c>
      <c r="L321" s="192" t="str">
        <f aca="false">IF(AND('ABRIL 2026'!D10&lt;&gt;"",'ABRIL 2026'!Z10="POR RECOGER"),'ABRIL 2026'!I10,"")</f>
        <v/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" hidden="false" customHeight="true" outlineLevel="0" collapsed="false">
      <c r="A322" s="192" t="str">
        <f aca="false">IF(AND('ABRIL 2026'!D11&lt;&gt;"",'ABRIL 2026'!Z11="POR RECOGER"),"ABR","")</f>
        <v/>
      </c>
      <c r="B322" s="192" t="str">
        <f aca="false">IF(AND('ABRIL 2026'!D11&lt;&gt;"",'ABRIL 2026'!Z11="POR RECOGER"),IF('ABRIL 2026'!Y11&lt;&gt;"",'ABRIL 2026'!Y11,'ABRIL 2026'!I11),"")</f>
        <v/>
      </c>
      <c r="C322" s="192" t="str">
        <f aca="false">IF(AND('ABRIL 2026'!D11&lt;&gt;"",'ABRIL 2026'!Z11="POR RECOGER"),'ABRIL 2026'!D11,"")</f>
        <v/>
      </c>
      <c r="D322" s="192" t="str">
        <f aca="false">IF(AND('ABRIL 2026'!D11&lt;&gt;"",'ABRIL 2026'!Z11="POR RECOGER"),'ABRIL 2026'!F11,"")</f>
        <v/>
      </c>
      <c r="E322" s="192" t="str">
        <f aca="false">IF(AND('ABRIL 2026'!D11&lt;&gt;"",'ABRIL 2026'!Z11="POR RECOGER"),TEXT('ABRIL 2026'!G11,"DD/MM/YYYY"),"")</f>
        <v/>
      </c>
      <c r="F322" s="192" t="str">
        <f aca="false">IF(AND('ABRIL 2026'!D11&lt;&gt;"",'ABRIL 2026'!Z11="POR RECOGER"),'ABRIL 2026'!K11,"")</f>
        <v/>
      </c>
      <c r="G322" s="193" t="str">
        <f aca="false">IF(AND('ABRIL 2026'!D11&lt;&gt;"",'ABRIL 2026'!Z11="POR RECOGER"),'ABRIL 2026'!M11,"")</f>
        <v/>
      </c>
      <c r="H322" s="193" t="str">
        <f aca="false">IF(AND('ABRIL 2026'!D11&lt;&gt;"",'ABRIL 2026'!Z11="POR RECOGER"),'ABRIL 2026'!N11,"")</f>
        <v/>
      </c>
      <c r="I322" s="192" t="str">
        <f aca="false">IF(AND('ABRIL 2026'!D11&lt;&gt;"",'ABRIL 2026'!Z11="POR RECOGER"),'ABRIL 2026'!P11,"")</f>
        <v/>
      </c>
      <c r="J322" s="192" t="str">
        <f aca="false">IF(AND('ABRIL 2026'!D11&lt;&gt;"",'ABRIL 2026'!Z11="POR RECOGER"),'ABRIL 2026'!Q11,"")</f>
        <v/>
      </c>
      <c r="K322" s="192" t="str">
        <f aca="false">IF(AND('ABRIL 2026'!D11&lt;&gt;"",'ABRIL 2026'!Z11="POR RECOGER"),'ABRIL 2026'!Y11,"")</f>
        <v/>
      </c>
      <c r="L322" s="192" t="str">
        <f aca="false">IF(AND('ABRIL 2026'!D11&lt;&gt;"",'ABRIL 2026'!Z11="POR RECOGER"),'ABRIL 2026'!I11,"")</f>
        <v/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" hidden="false" customHeight="true" outlineLevel="0" collapsed="false">
      <c r="A323" s="192" t="str">
        <f aca="false">IF(AND('ABRIL 2026'!D12&lt;&gt;"",'ABRIL 2026'!Z12="POR RECOGER"),"ABR","")</f>
        <v/>
      </c>
      <c r="B323" s="192" t="str">
        <f aca="false">IF(AND('ABRIL 2026'!D12&lt;&gt;"",'ABRIL 2026'!Z12="POR RECOGER"),IF('ABRIL 2026'!Y12&lt;&gt;"",'ABRIL 2026'!Y12,'ABRIL 2026'!I12),"")</f>
        <v/>
      </c>
      <c r="C323" s="192" t="str">
        <f aca="false">IF(AND('ABRIL 2026'!D12&lt;&gt;"",'ABRIL 2026'!Z12="POR RECOGER"),'ABRIL 2026'!D12,"")</f>
        <v/>
      </c>
      <c r="D323" s="192" t="str">
        <f aca="false">IF(AND('ABRIL 2026'!D12&lt;&gt;"",'ABRIL 2026'!Z12="POR RECOGER"),'ABRIL 2026'!F12,"")</f>
        <v/>
      </c>
      <c r="E323" s="192" t="str">
        <f aca="false">IF(AND('ABRIL 2026'!D12&lt;&gt;"",'ABRIL 2026'!Z12="POR RECOGER"),TEXT('ABRIL 2026'!G12,"DD/MM/YYYY"),"")</f>
        <v/>
      </c>
      <c r="F323" s="192" t="str">
        <f aca="false">IF(AND('ABRIL 2026'!D12&lt;&gt;"",'ABRIL 2026'!Z12="POR RECOGER"),'ABRIL 2026'!K12,"")</f>
        <v/>
      </c>
      <c r="G323" s="193" t="str">
        <f aca="false">IF(AND('ABRIL 2026'!D12&lt;&gt;"",'ABRIL 2026'!Z12="POR RECOGER"),'ABRIL 2026'!M12,"")</f>
        <v/>
      </c>
      <c r="H323" s="193" t="str">
        <f aca="false">IF(AND('ABRIL 2026'!D12&lt;&gt;"",'ABRIL 2026'!Z12="POR RECOGER"),'ABRIL 2026'!N12,"")</f>
        <v/>
      </c>
      <c r="I323" s="192" t="str">
        <f aca="false">IF(AND('ABRIL 2026'!D12&lt;&gt;"",'ABRIL 2026'!Z12="POR RECOGER"),'ABRIL 2026'!P12,"")</f>
        <v/>
      </c>
      <c r="J323" s="192" t="str">
        <f aca="false">IF(AND('ABRIL 2026'!D12&lt;&gt;"",'ABRIL 2026'!Z12="POR RECOGER"),'ABRIL 2026'!Q12,"")</f>
        <v/>
      </c>
      <c r="K323" s="192" t="str">
        <f aca="false">IF(AND('ABRIL 2026'!D12&lt;&gt;"",'ABRIL 2026'!Z12="POR RECOGER"),'ABRIL 2026'!Y12,"")</f>
        <v/>
      </c>
      <c r="L323" s="192" t="str">
        <f aca="false">IF(AND('ABRIL 2026'!D12&lt;&gt;"",'ABRIL 2026'!Z12="POR RECOGER"),'ABRIL 2026'!I12,"")</f>
        <v/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" hidden="false" customHeight="true" outlineLevel="0" collapsed="false">
      <c r="A324" s="192" t="str">
        <f aca="false">IF(AND('ABRIL 2026'!D13&lt;&gt;"",'ABRIL 2026'!Z13="POR RECOGER"),"ABR","")</f>
        <v/>
      </c>
      <c r="B324" s="192" t="str">
        <f aca="false">IF(AND('ABRIL 2026'!D13&lt;&gt;"",'ABRIL 2026'!Z13="POR RECOGER"),IF('ABRIL 2026'!Y13&lt;&gt;"",'ABRIL 2026'!Y13,'ABRIL 2026'!I13),"")</f>
        <v/>
      </c>
      <c r="C324" s="192" t="str">
        <f aca="false">IF(AND('ABRIL 2026'!D13&lt;&gt;"",'ABRIL 2026'!Z13="POR RECOGER"),'ABRIL 2026'!D13,"")</f>
        <v/>
      </c>
      <c r="D324" s="192" t="str">
        <f aca="false">IF(AND('ABRIL 2026'!D13&lt;&gt;"",'ABRIL 2026'!Z13="POR RECOGER"),'ABRIL 2026'!F13,"")</f>
        <v/>
      </c>
      <c r="E324" s="192" t="str">
        <f aca="false">IF(AND('ABRIL 2026'!D13&lt;&gt;"",'ABRIL 2026'!Z13="POR RECOGER"),TEXT('ABRIL 2026'!G13,"DD/MM/YYYY"),"")</f>
        <v/>
      </c>
      <c r="F324" s="192" t="str">
        <f aca="false">IF(AND('ABRIL 2026'!D13&lt;&gt;"",'ABRIL 2026'!Z13="POR RECOGER"),'ABRIL 2026'!K13,"")</f>
        <v/>
      </c>
      <c r="G324" s="193" t="str">
        <f aca="false">IF(AND('ABRIL 2026'!D13&lt;&gt;"",'ABRIL 2026'!Z13="POR RECOGER"),'ABRIL 2026'!M13,"")</f>
        <v/>
      </c>
      <c r="H324" s="193" t="str">
        <f aca="false">IF(AND('ABRIL 2026'!D13&lt;&gt;"",'ABRIL 2026'!Z13="POR RECOGER"),'ABRIL 2026'!N13,"")</f>
        <v/>
      </c>
      <c r="I324" s="192" t="str">
        <f aca="false">IF(AND('ABRIL 2026'!D13&lt;&gt;"",'ABRIL 2026'!Z13="POR RECOGER"),'ABRIL 2026'!P13,"")</f>
        <v/>
      </c>
      <c r="J324" s="192" t="str">
        <f aca="false">IF(AND('ABRIL 2026'!D13&lt;&gt;"",'ABRIL 2026'!Z13="POR RECOGER"),'ABRIL 2026'!Q13,"")</f>
        <v/>
      </c>
      <c r="K324" s="192" t="str">
        <f aca="false">IF(AND('ABRIL 2026'!D13&lt;&gt;"",'ABRIL 2026'!Z13="POR RECOGER"),'ABRIL 2026'!Y13,"")</f>
        <v/>
      </c>
      <c r="L324" s="192" t="str">
        <f aca="false">IF(AND('ABRIL 2026'!D13&lt;&gt;"",'ABRIL 2026'!Z13="POR RECOGER"),'ABRIL 2026'!I13,"")</f>
        <v/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" hidden="false" customHeight="true" outlineLevel="0" collapsed="false">
      <c r="A325" s="192" t="str">
        <f aca="false">IF(AND('ABRIL 2026'!D14&lt;&gt;"",'ABRIL 2026'!Z14="POR RECOGER"),"ABR","")</f>
        <v/>
      </c>
      <c r="B325" s="192" t="str">
        <f aca="false">IF(AND('ABRIL 2026'!D14&lt;&gt;"",'ABRIL 2026'!Z14="POR RECOGER"),IF('ABRIL 2026'!Y14&lt;&gt;"",'ABRIL 2026'!Y14,'ABRIL 2026'!I14),"")</f>
        <v/>
      </c>
      <c r="C325" s="192" t="str">
        <f aca="false">IF(AND('ABRIL 2026'!D14&lt;&gt;"",'ABRIL 2026'!Z14="POR RECOGER"),'ABRIL 2026'!D14,"")</f>
        <v/>
      </c>
      <c r="D325" s="192" t="str">
        <f aca="false">IF(AND('ABRIL 2026'!D14&lt;&gt;"",'ABRIL 2026'!Z14="POR RECOGER"),'ABRIL 2026'!F14,"")</f>
        <v/>
      </c>
      <c r="E325" s="192" t="str">
        <f aca="false">IF(AND('ABRIL 2026'!D14&lt;&gt;"",'ABRIL 2026'!Z14="POR RECOGER"),TEXT('ABRIL 2026'!G14,"DD/MM/YYYY"),"")</f>
        <v/>
      </c>
      <c r="F325" s="192" t="str">
        <f aca="false">IF(AND('ABRIL 2026'!D14&lt;&gt;"",'ABRIL 2026'!Z14="POR RECOGER"),'ABRIL 2026'!K14,"")</f>
        <v/>
      </c>
      <c r="G325" s="193" t="str">
        <f aca="false">IF(AND('ABRIL 2026'!D14&lt;&gt;"",'ABRIL 2026'!Z14="POR RECOGER"),'ABRIL 2026'!M14,"")</f>
        <v/>
      </c>
      <c r="H325" s="193" t="str">
        <f aca="false">IF(AND('ABRIL 2026'!D14&lt;&gt;"",'ABRIL 2026'!Z14="POR RECOGER"),'ABRIL 2026'!N14,"")</f>
        <v/>
      </c>
      <c r="I325" s="192" t="str">
        <f aca="false">IF(AND('ABRIL 2026'!D14&lt;&gt;"",'ABRIL 2026'!Z14="POR RECOGER"),'ABRIL 2026'!P14,"")</f>
        <v/>
      </c>
      <c r="J325" s="192" t="str">
        <f aca="false">IF(AND('ABRIL 2026'!D14&lt;&gt;"",'ABRIL 2026'!Z14="POR RECOGER"),'ABRIL 2026'!Q14,"")</f>
        <v/>
      </c>
      <c r="K325" s="192" t="str">
        <f aca="false">IF(AND('ABRIL 2026'!D14&lt;&gt;"",'ABRIL 2026'!Z14="POR RECOGER"),'ABRIL 2026'!Y14,"")</f>
        <v/>
      </c>
      <c r="L325" s="192" t="str">
        <f aca="false">IF(AND('ABRIL 2026'!D14&lt;&gt;"",'ABRIL 2026'!Z14="POR RECOGER"),'ABRIL 2026'!I14,"")</f>
        <v/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" hidden="false" customHeight="true" outlineLevel="0" collapsed="false">
      <c r="A326" s="192" t="str">
        <f aca="false">IF(AND('ABRIL 2026'!D15&lt;&gt;"",'ABRIL 2026'!Z15="POR RECOGER"),"ABR","")</f>
        <v/>
      </c>
      <c r="B326" s="192" t="str">
        <f aca="false">IF(AND('ABRIL 2026'!D15&lt;&gt;"",'ABRIL 2026'!Z15="POR RECOGER"),IF('ABRIL 2026'!Y15&lt;&gt;"",'ABRIL 2026'!Y15,'ABRIL 2026'!I15),"")</f>
        <v/>
      </c>
      <c r="C326" s="192" t="str">
        <f aca="false">IF(AND('ABRIL 2026'!D15&lt;&gt;"",'ABRIL 2026'!Z15="POR RECOGER"),'ABRIL 2026'!D15,"")</f>
        <v/>
      </c>
      <c r="D326" s="192" t="str">
        <f aca="false">IF(AND('ABRIL 2026'!D15&lt;&gt;"",'ABRIL 2026'!Z15="POR RECOGER"),'ABRIL 2026'!F15,"")</f>
        <v/>
      </c>
      <c r="E326" s="192" t="str">
        <f aca="false">IF(AND('ABRIL 2026'!D15&lt;&gt;"",'ABRIL 2026'!Z15="POR RECOGER"),TEXT('ABRIL 2026'!G15,"DD/MM/YYYY"),"")</f>
        <v/>
      </c>
      <c r="F326" s="192" t="str">
        <f aca="false">IF(AND('ABRIL 2026'!D15&lt;&gt;"",'ABRIL 2026'!Z15="POR RECOGER"),'ABRIL 2026'!K15,"")</f>
        <v/>
      </c>
      <c r="G326" s="193" t="str">
        <f aca="false">IF(AND('ABRIL 2026'!D15&lt;&gt;"",'ABRIL 2026'!Z15="POR RECOGER"),'ABRIL 2026'!M15,"")</f>
        <v/>
      </c>
      <c r="H326" s="193" t="str">
        <f aca="false">IF(AND('ABRIL 2026'!D15&lt;&gt;"",'ABRIL 2026'!Z15="POR RECOGER"),'ABRIL 2026'!N15,"")</f>
        <v/>
      </c>
      <c r="I326" s="192" t="str">
        <f aca="false">IF(AND('ABRIL 2026'!D15&lt;&gt;"",'ABRIL 2026'!Z15="POR RECOGER"),'ABRIL 2026'!P15,"")</f>
        <v/>
      </c>
      <c r="J326" s="192" t="str">
        <f aca="false">IF(AND('ABRIL 2026'!D15&lt;&gt;"",'ABRIL 2026'!Z15="POR RECOGER"),'ABRIL 2026'!Q15,"")</f>
        <v/>
      </c>
      <c r="K326" s="192" t="str">
        <f aca="false">IF(AND('ABRIL 2026'!D15&lt;&gt;"",'ABRIL 2026'!Z15="POR RECOGER"),'ABRIL 2026'!Y15,"")</f>
        <v/>
      </c>
      <c r="L326" s="192" t="str">
        <f aca="false">IF(AND('ABRIL 2026'!D15&lt;&gt;"",'ABRIL 2026'!Z15="POR RECOGER"),'ABRIL 2026'!I15,"")</f>
        <v/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" hidden="false" customHeight="true" outlineLevel="0" collapsed="false">
      <c r="A327" s="192" t="str">
        <f aca="false">IF(AND('ABRIL 2026'!D16&lt;&gt;"",'ABRIL 2026'!Z16="POR RECOGER"),"ABR","")</f>
        <v/>
      </c>
      <c r="B327" s="192" t="str">
        <f aca="false">IF(AND('ABRIL 2026'!D16&lt;&gt;"",'ABRIL 2026'!Z16="POR RECOGER"),IF('ABRIL 2026'!Y16&lt;&gt;"",'ABRIL 2026'!Y16,'ABRIL 2026'!I16),"")</f>
        <v/>
      </c>
      <c r="C327" s="192" t="str">
        <f aca="false">IF(AND('ABRIL 2026'!D16&lt;&gt;"",'ABRIL 2026'!Z16="POR RECOGER"),'ABRIL 2026'!D16,"")</f>
        <v/>
      </c>
      <c r="D327" s="192" t="str">
        <f aca="false">IF(AND('ABRIL 2026'!D16&lt;&gt;"",'ABRIL 2026'!Z16="POR RECOGER"),'ABRIL 2026'!F16,"")</f>
        <v/>
      </c>
      <c r="E327" s="192" t="str">
        <f aca="false">IF(AND('ABRIL 2026'!D16&lt;&gt;"",'ABRIL 2026'!Z16="POR RECOGER"),TEXT('ABRIL 2026'!G16,"DD/MM/YYYY"),"")</f>
        <v/>
      </c>
      <c r="F327" s="192" t="str">
        <f aca="false">IF(AND('ABRIL 2026'!D16&lt;&gt;"",'ABRIL 2026'!Z16="POR RECOGER"),'ABRIL 2026'!K16,"")</f>
        <v/>
      </c>
      <c r="G327" s="193" t="str">
        <f aca="false">IF(AND('ABRIL 2026'!D16&lt;&gt;"",'ABRIL 2026'!Z16="POR RECOGER"),'ABRIL 2026'!M16,"")</f>
        <v/>
      </c>
      <c r="H327" s="193" t="str">
        <f aca="false">IF(AND('ABRIL 2026'!D16&lt;&gt;"",'ABRIL 2026'!Z16="POR RECOGER"),'ABRIL 2026'!N16,"")</f>
        <v/>
      </c>
      <c r="I327" s="192" t="str">
        <f aca="false">IF(AND('ABRIL 2026'!D16&lt;&gt;"",'ABRIL 2026'!Z16="POR RECOGER"),'ABRIL 2026'!P16,"")</f>
        <v/>
      </c>
      <c r="J327" s="192" t="str">
        <f aca="false">IF(AND('ABRIL 2026'!D16&lt;&gt;"",'ABRIL 2026'!Z16="POR RECOGER"),'ABRIL 2026'!Q16,"")</f>
        <v/>
      </c>
      <c r="K327" s="192" t="str">
        <f aca="false">IF(AND('ABRIL 2026'!D16&lt;&gt;"",'ABRIL 2026'!Z16="POR RECOGER"),'ABRIL 2026'!Y16,"")</f>
        <v/>
      </c>
      <c r="L327" s="192" t="str">
        <f aca="false">IF(AND('ABRIL 2026'!D16&lt;&gt;"",'ABRIL 2026'!Z16="POR RECOGER"),'ABRIL 2026'!I16,"")</f>
        <v/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" hidden="false" customHeight="true" outlineLevel="0" collapsed="false">
      <c r="A328" s="192" t="str">
        <f aca="false">IF(AND('ABRIL 2026'!D17&lt;&gt;"",'ABRIL 2026'!Z17="POR RECOGER"),"ABR","")</f>
        <v/>
      </c>
      <c r="B328" s="192" t="str">
        <f aca="false">IF(AND('ABRIL 2026'!D17&lt;&gt;"",'ABRIL 2026'!Z17="POR RECOGER"),IF('ABRIL 2026'!Y17&lt;&gt;"",'ABRIL 2026'!Y17,'ABRIL 2026'!I17),"")</f>
        <v/>
      </c>
      <c r="C328" s="192" t="str">
        <f aca="false">IF(AND('ABRIL 2026'!D17&lt;&gt;"",'ABRIL 2026'!Z17="POR RECOGER"),'ABRIL 2026'!D17,"")</f>
        <v/>
      </c>
      <c r="D328" s="192" t="str">
        <f aca="false">IF(AND('ABRIL 2026'!D17&lt;&gt;"",'ABRIL 2026'!Z17="POR RECOGER"),'ABRIL 2026'!F17,"")</f>
        <v/>
      </c>
      <c r="E328" s="192" t="str">
        <f aca="false">IF(AND('ABRIL 2026'!D17&lt;&gt;"",'ABRIL 2026'!Z17="POR RECOGER"),TEXT('ABRIL 2026'!G17,"DD/MM/YYYY"),"")</f>
        <v/>
      </c>
      <c r="F328" s="192" t="str">
        <f aca="false">IF(AND('ABRIL 2026'!D17&lt;&gt;"",'ABRIL 2026'!Z17="POR RECOGER"),'ABRIL 2026'!K17,"")</f>
        <v/>
      </c>
      <c r="G328" s="193" t="str">
        <f aca="false">IF(AND('ABRIL 2026'!D17&lt;&gt;"",'ABRIL 2026'!Z17="POR RECOGER"),'ABRIL 2026'!M17,"")</f>
        <v/>
      </c>
      <c r="H328" s="193" t="str">
        <f aca="false">IF(AND('ABRIL 2026'!D17&lt;&gt;"",'ABRIL 2026'!Z17="POR RECOGER"),'ABRIL 2026'!N17,"")</f>
        <v/>
      </c>
      <c r="I328" s="192" t="str">
        <f aca="false">IF(AND('ABRIL 2026'!D17&lt;&gt;"",'ABRIL 2026'!Z17="POR RECOGER"),'ABRIL 2026'!P17,"")</f>
        <v/>
      </c>
      <c r="J328" s="192" t="str">
        <f aca="false">IF(AND('ABRIL 2026'!D17&lt;&gt;"",'ABRIL 2026'!Z17="POR RECOGER"),'ABRIL 2026'!Q17,"")</f>
        <v/>
      </c>
      <c r="K328" s="192" t="str">
        <f aca="false">IF(AND('ABRIL 2026'!D17&lt;&gt;"",'ABRIL 2026'!Z17="POR RECOGER"),'ABRIL 2026'!Y17,"")</f>
        <v/>
      </c>
      <c r="L328" s="192" t="str">
        <f aca="false">IF(AND('ABRIL 2026'!D17&lt;&gt;"",'ABRIL 2026'!Z17="POR RECOGER"),'ABRIL 2026'!I17,"")</f>
        <v/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" hidden="false" customHeight="true" outlineLevel="0" collapsed="false">
      <c r="A329" s="192" t="str">
        <f aca="false">IF(AND('ABRIL 2026'!D18&lt;&gt;"",'ABRIL 2026'!Z18="POR RECOGER"),"ABR","")</f>
        <v/>
      </c>
      <c r="B329" s="192" t="str">
        <f aca="false">IF(AND('ABRIL 2026'!D18&lt;&gt;"",'ABRIL 2026'!Z18="POR RECOGER"),IF('ABRIL 2026'!Y18&lt;&gt;"",'ABRIL 2026'!Y18,'ABRIL 2026'!I18),"")</f>
        <v/>
      </c>
      <c r="C329" s="192" t="str">
        <f aca="false">IF(AND('ABRIL 2026'!D18&lt;&gt;"",'ABRIL 2026'!Z18="POR RECOGER"),'ABRIL 2026'!D18,"")</f>
        <v/>
      </c>
      <c r="D329" s="192" t="str">
        <f aca="false">IF(AND('ABRIL 2026'!D18&lt;&gt;"",'ABRIL 2026'!Z18="POR RECOGER"),'ABRIL 2026'!F18,"")</f>
        <v/>
      </c>
      <c r="E329" s="192" t="str">
        <f aca="false">IF(AND('ABRIL 2026'!D18&lt;&gt;"",'ABRIL 2026'!Z18="POR RECOGER"),TEXT('ABRIL 2026'!G18,"DD/MM/YYYY"),"")</f>
        <v/>
      </c>
      <c r="F329" s="192" t="str">
        <f aca="false">IF(AND('ABRIL 2026'!D18&lt;&gt;"",'ABRIL 2026'!Z18="POR RECOGER"),'ABRIL 2026'!K18,"")</f>
        <v/>
      </c>
      <c r="G329" s="193" t="str">
        <f aca="false">IF(AND('ABRIL 2026'!D18&lt;&gt;"",'ABRIL 2026'!Z18="POR RECOGER"),'ABRIL 2026'!M18,"")</f>
        <v/>
      </c>
      <c r="H329" s="193" t="str">
        <f aca="false">IF(AND('ABRIL 2026'!D18&lt;&gt;"",'ABRIL 2026'!Z18="POR RECOGER"),'ABRIL 2026'!N18,"")</f>
        <v/>
      </c>
      <c r="I329" s="192" t="str">
        <f aca="false">IF(AND('ABRIL 2026'!D18&lt;&gt;"",'ABRIL 2026'!Z18="POR RECOGER"),'ABRIL 2026'!P18,"")</f>
        <v/>
      </c>
      <c r="J329" s="192" t="str">
        <f aca="false">IF(AND('ABRIL 2026'!D18&lt;&gt;"",'ABRIL 2026'!Z18="POR RECOGER"),'ABRIL 2026'!Q18,"")</f>
        <v/>
      </c>
      <c r="K329" s="192" t="str">
        <f aca="false">IF(AND('ABRIL 2026'!D18&lt;&gt;"",'ABRIL 2026'!Z18="POR RECOGER"),'ABRIL 2026'!Y18,"")</f>
        <v/>
      </c>
      <c r="L329" s="192" t="str">
        <f aca="false">IF(AND('ABRIL 2026'!D18&lt;&gt;"",'ABRIL 2026'!Z18="POR RECOGER"),'ABRIL 2026'!I18,"")</f>
        <v/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" hidden="false" customHeight="true" outlineLevel="0" collapsed="false">
      <c r="A330" s="192" t="str">
        <f aca="false">IF(AND('ABRIL 2026'!D19&lt;&gt;"",'ABRIL 2026'!Z19="POR RECOGER"),"ABR","")</f>
        <v/>
      </c>
      <c r="B330" s="192" t="str">
        <f aca="false">IF(AND('ABRIL 2026'!D19&lt;&gt;"",'ABRIL 2026'!Z19="POR RECOGER"),IF('ABRIL 2026'!Y19&lt;&gt;"",'ABRIL 2026'!Y19,'ABRIL 2026'!I19),"")</f>
        <v/>
      </c>
      <c r="C330" s="192" t="str">
        <f aca="false">IF(AND('ABRIL 2026'!D19&lt;&gt;"",'ABRIL 2026'!Z19="POR RECOGER"),'ABRIL 2026'!D19,"")</f>
        <v/>
      </c>
      <c r="D330" s="192" t="str">
        <f aca="false">IF(AND('ABRIL 2026'!D19&lt;&gt;"",'ABRIL 2026'!Z19="POR RECOGER"),'ABRIL 2026'!F19,"")</f>
        <v/>
      </c>
      <c r="E330" s="192" t="str">
        <f aca="false">IF(AND('ABRIL 2026'!D19&lt;&gt;"",'ABRIL 2026'!Z19="POR RECOGER"),TEXT('ABRIL 2026'!G19,"DD/MM/YYYY"),"")</f>
        <v/>
      </c>
      <c r="F330" s="192" t="str">
        <f aca="false">IF(AND('ABRIL 2026'!D19&lt;&gt;"",'ABRIL 2026'!Z19="POR RECOGER"),'ABRIL 2026'!K19,"")</f>
        <v/>
      </c>
      <c r="G330" s="193" t="str">
        <f aca="false">IF(AND('ABRIL 2026'!D19&lt;&gt;"",'ABRIL 2026'!Z19="POR RECOGER"),'ABRIL 2026'!M19,"")</f>
        <v/>
      </c>
      <c r="H330" s="193" t="str">
        <f aca="false">IF(AND('ABRIL 2026'!D19&lt;&gt;"",'ABRIL 2026'!Z19="POR RECOGER"),'ABRIL 2026'!N19,"")</f>
        <v/>
      </c>
      <c r="I330" s="192" t="str">
        <f aca="false">IF(AND('ABRIL 2026'!D19&lt;&gt;"",'ABRIL 2026'!Z19="POR RECOGER"),'ABRIL 2026'!P19,"")</f>
        <v/>
      </c>
      <c r="J330" s="192" t="str">
        <f aca="false">IF(AND('ABRIL 2026'!D19&lt;&gt;"",'ABRIL 2026'!Z19="POR RECOGER"),'ABRIL 2026'!Q19,"")</f>
        <v/>
      </c>
      <c r="K330" s="192" t="str">
        <f aca="false">IF(AND('ABRIL 2026'!D19&lt;&gt;"",'ABRIL 2026'!Z19="POR RECOGER"),'ABRIL 2026'!Y19,"")</f>
        <v/>
      </c>
      <c r="L330" s="192" t="str">
        <f aca="false">IF(AND('ABRIL 2026'!D19&lt;&gt;"",'ABRIL 2026'!Z19="POR RECOGER"),'ABRIL 2026'!I19,"")</f>
        <v/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" hidden="false" customHeight="true" outlineLevel="0" collapsed="false">
      <c r="A331" s="192" t="str">
        <f aca="false">IF(AND('ABRIL 2026'!D20&lt;&gt;"",'ABRIL 2026'!Z20="POR RECOGER"),"ABR","")</f>
        <v/>
      </c>
      <c r="B331" s="192" t="str">
        <f aca="false">IF(AND('ABRIL 2026'!D20&lt;&gt;"",'ABRIL 2026'!Z20="POR RECOGER"),IF('ABRIL 2026'!Y20&lt;&gt;"",'ABRIL 2026'!Y20,'ABRIL 2026'!I20),"")</f>
        <v/>
      </c>
      <c r="C331" s="192" t="str">
        <f aca="false">IF(AND('ABRIL 2026'!D20&lt;&gt;"",'ABRIL 2026'!Z20="POR RECOGER"),'ABRIL 2026'!D20,"")</f>
        <v/>
      </c>
      <c r="D331" s="192" t="str">
        <f aca="false">IF(AND('ABRIL 2026'!D20&lt;&gt;"",'ABRIL 2026'!Z20="POR RECOGER"),'ABRIL 2026'!F20,"")</f>
        <v/>
      </c>
      <c r="E331" s="192" t="str">
        <f aca="false">IF(AND('ABRIL 2026'!D20&lt;&gt;"",'ABRIL 2026'!Z20="POR RECOGER"),TEXT('ABRIL 2026'!G20,"DD/MM/YYYY"),"")</f>
        <v/>
      </c>
      <c r="F331" s="192" t="str">
        <f aca="false">IF(AND('ABRIL 2026'!D20&lt;&gt;"",'ABRIL 2026'!Z20="POR RECOGER"),'ABRIL 2026'!K20,"")</f>
        <v/>
      </c>
      <c r="G331" s="193" t="str">
        <f aca="false">IF(AND('ABRIL 2026'!D20&lt;&gt;"",'ABRIL 2026'!Z20="POR RECOGER"),'ABRIL 2026'!M20,"")</f>
        <v/>
      </c>
      <c r="H331" s="193" t="str">
        <f aca="false">IF(AND('ABRIL 2026'!D20&lt;&gt;"",'ABRIL 2026'!Z20="POR RECOGER"),'ABRIL 2026'!N20,"")</f>
        <v/>
      </c>
      <c r="I331" s="192" t="str">
        <f aca="false">IF(AND('ABRIL 2026'!D20&lt;&gt;"",'ABRIL 2026'!Z20="POR RECOGER"),'ABRIL 2026'!P20,"")</f>
        <v/>
      </c>
      <c r="J331" s="192" t="str">
        <f aca="false">IF(AND('ABRIL 2026'!D20&lt;&gt;"",'ABRIL 2026'!Z20="POR RECOGER"),'ABRIL 2026'!Q20,"")</f>
        <v/>
      </c>
      <c r="K331" s="192" t="str">
        <f aca="false">IF(AND('ABRIL 2026'!D20&lt;&gt;"",'ABRIL 2026'!Z20="POR RECOGER"),'ABRIL 2026'!Y20,"")</f>
        <v/>
      </c>
      <c r="L331" s="192" t="str">
        <f aca="false">IF(AND('ABRIL 2026'!D20&lt;&gt;"",'ABRIL 2026'!Z20="POR RECOGER"),'ABRIL 2026'!I20,"")</f>
        <v/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" hidden="false" customHeight="true" outlineLevel="0" collapsed="false">
      <c r="A332" s="192" t="str">
        <f aca="false">IF(AND('ABRIL 2026'!D21&lt;&gt;"",'ABRIL 2026'!Z21="POR RECOGER"),"ABR","")</f>
        <v/>
      </c>
      <c r="B332" s="192" t="str">
        <f aca="false">IF(AND('ABRIL 2026'!D21&lt;&gt;"",'ABRIL 2026'!Z21="POR RECOGER"),IF('ABRIL 2026'!Y21&lt;&gt;"",'ABRIL 2026'!Y21,'ABRIL 2026'!I21),"")</f>
        <v/>
      </c>
      <c r="C332" s="192" t="str">
        <f aca="false">IF(AND('ABRIL 2026'!D21&lt;&gt;"",'ABRIL 2026'!Z21="POR RECOGER"),'ABRIL 2026'!D21,"")</f>
        <v/>
      </c>
      <c r="D332" s="192" t="str">
        <f aca="false">IF(AND('ABRIL 2026'!D21&lt;&gt;"",'ABRIL 2026'!Z21="POR RECOGER"),'ABRIL 2026'!F21,"")</f>
        <v/>
      </c>
      <c r="E332" s="192" t="str">
        <f aca="false">IF(AND('ABRIL 2026'!D21&lt;&gt;"",'ABRIL 2026'!Z21="POR RECOGER"),TEXT('ABRIL 2026'!G21,"DD/MM/YYYY"),"")</f>
        <v/>
      </c>
      <c r="F332" s="192" t="str">
        <f aca="false">IF(AND('ABRIL 2026'!D21&lt;&gt;"",'ABRIL 2026'!Z21="POR RECOGER"),'ABRIL 2026'!K21,"")</f>
        <v/>
      </c>
      <c r="G332" s="193" t="str">
        <f aca="false">IF(AND('ABRIL 2026'!D21&lt;&gt;"",'ABRIL 2026'!Z21="POR RECOGER"),'ABRIL 2026'!M21,"")</f>
        <v/>
      </c>
      <c r="H332" s="193" t="str">
        <f aca="false">IF(AND('ABRIL 2026'!D21&lt;&gt;"",'ABRIL 2026'!Z21="POR RECOGER"),'ABRIL 2026'!N21,"")</f>
        <v/>
      </c>
      <c r="I332" s="192" t="str">
        <f aca="false">IF(AND('ABRIL 2026'!D21&lt;&gt;"",'ABRIL 2026'!Z21="POR RECOGER"),'ABRIL 2026'!P21,"")</f>
        <v/>
      </c>
      <c r="J332" s="192" t="str">
        <f aca="false">IF(AND('ABRIL 2026'!D21&lt;&gt;"",'ABRIL 2026'!Z21="POR RECOGER"),'ABRIL 2026'!Q21,"")</f>
        <v/>
      </c>
      <c r="K332" s="192" t="str">
        <f aca="false">IF(AND('ABRIL 2026'!D21&lt;&gt;"",'ABRIL 2026'!Z21="POR RECOGER"),'ABRIL 2026'!Y21,"")</f>
        <v/>
      </c>
      <c r="L332" s="192" t="str">
        <f aca="false">IF(AND('ABRIL 2026'!D21&lt;&gt;"",'ABRIL 2026'!Z21="POR RECOGER"),'ABRIL 2026'!I21,"")</f>
        <v/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" hidden="false" customHeight="true" outlineLevel="0" collapsed="false">
      <c r="A333" s="192" t="str">
        <f aca="false">IF(AND('ABRIL 2026'!D22&lt;&gt;"",'ABRIL 2026'!Z22="POR RECOGER"),"ABR","")</f>
        <v/>
      </c>
      <c r="B333" s="192" t="str">
        <f aca="false">IF(AND('ABRIL 2026'!D22&lt;&gt;"",'ABRIL 2026'!Z22="POR RECOGER"),IF('ABRIL 2026'!Y22&lt;&gt;"",'ABRIL 2026'!Y22,'ABRIL 2026'!I22),"")</f>
        <v/>
      </c>
      <c r="C333" s="192" t="str">
        <f aca="false">IF(AND('ABRIL 2026'!D22&lt;&gt;"",'ABRIL 2026'!Z22="POR RECOGER"),'ABRIL 2026'!D22,"")</f>
        <v/>
      </c>
      <c r="D333" s="192" t="str">
        <f aca="false">IF(AND('ABRIL 2026'!D22&lt;&gt;"",'ABRIL 2026'!Z22="POR RECOGER"),'ABRIL 2026'!F22,"")</f>
        <v/>
      </c>
      <c r="E333" s="192" t="str">
        <f aca="false">IF(AND('ABRIL 2026'!D22&lt;&gt;"",'ABRIL 2026'!Z22="POR RECOGER"),TEXT('ABRIL 2026'!G22,"DD/MM/YYYY"),"")</f>
        <v/>
      </c>
      <c r="F333" s="192" t="str">
        <f aca="false">IF(AND('ABRIL 2026'!D22&lt;&gt;"",'ABRIL 2026'!Z22="POR RECOGER"),'ABRIL 2026'!K22,"")</f>
        <v/>
      </c>
      <c r="G333" s="193" t="str">
        <f aca="false">IF(AND('ABRIL 2026'!D22&lt;&gt;"",'ABRIL 2026'!Z22="POR RECOGER"),'ABRIL 2026'!M22,"")</f>
        <v/>
      </c>
      <c r="H333" s="193" t="str">
        <f aca="false">IF(AND('ABRIL 2026'!D22&lt;&gt;"",'ABRIL 2026'!Z22="POR RECOGER"),'ABRIL 2026'!N22,"")</f>
        <v/>
      </c>
      <c r="I333" s="192" t="str">
        <f aca="false">IF(AND('ABRIL 2026'!D22&lt;&gt;"",'ABRIL 2026'!Z22="POR RECOGER"),'ABRIL 2026'!P22,"")</f>
        <v/>
      </c>
      <c r="J333" s="192" t="str">
        <f aca="false">IF(AND('ABRIL 2026'!D22&lt;&gt;"",'ABRIL 2026'!Z22="POR RECOGER"),'ABRIL 2026'!Q22,"")</f>
        <v/>
      </c>
      <c r="K333" s="192" t="str">
        <f aca="false">IF(AND('ABRIL 2026'!D22&lt;&gt;"",'ABRIL 2026'!Z22="POR RECOGER"),'ABRIL 2026'!Y22,"")</f>
        <v/>
      </c>
      <c r="L333" s="192" t="str">
        <f aca="false">IF(AND('ABRIL 2026'!D22&lt;&gt;"",'ABRIL 2026'!Z22="POR RECOGER"),'ABRIL 2026'!I22,"")</f>
        <v/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" hidden="false" customHeight="true" outlineLevel="0" collapsed="false">
      <c r="A334" s="192" t="str">
        <f aca="false">IF(AND('ABRIL 2026'!D23&lt;&gt;"",'ABRIL 2026'!Z23="POR RECOGER"),"ABR","")</f>
        <v/>
      </c>
      <c r="B334" s="192" t="str">
        <f aca="false">IF(AND('ABRIL 2026'!D23&lt;&gt;"",'ABRIL 2026'!Z23="POR RECOGER"),IF('ABRIL 2026'!Y23&lt;&gt;"",'ABRIL 2026'!Y23,'ABRIL 2026'!I23),"")</f>
        <v/>
      </c>
      <c r="C334" s="192" t="str">
        <f aca="false">IF(AND('ABRIL 2026'!D23&lt;&gt;"",'ABRIL 2026'!Z23="POR RECOGER"),'ABRIL 2026'!D23,"")</f>
        <v/>
      </c>
      <c r="D334" s="192" t="str">
        <f aca="false">IF(AND('ABRIL 2026'!D23&lt;&gt;"",'ABRIL 2026'!Z23="POR RECOGER"),'ABRIL 2026'!F23,"")</f>
        <v/>
      </c>
      <c r="E334" s="192" t="str">
        <f aca="false">IF(AND('ABRIL 2026'!D23&lt;&gt;"",'ABRIL 2026'!Z23="POR RECOGER"),TEXT('ABRIL 2026'!G23,"DD/MM/YYYY"),"")</f>
        <v/>
      </c>
      <c r="F334" s="192" t="str">
        <f aca="false">IF(AND('ABRIL 2026'!D23&lt;&gt;"",'ABRIL 2026'!Z23="POR RECOGER"),'ABRIL 2026'!K23,"")</f>
        <v/>
      </c>
      <c r="G334" s="193" t="str">
        <f aca="false">IF(AND('ABRIL 2026'!D23&lt;&gt;"",'ABRIL 2026'!Z23="POR RECOGER"),'ABRIL 2026'!M23,"")</f>
        <v/>
      </c>
      <c r="H334" s="193" t="str">
        <f aca="false">IF(AND('ABRIL 2026'!D23&lt;&gt;"",'ABRIL 2026'!Z23="POR RECOGER"),'ABRIL 2026'!N23,"")</f>
        <v/>
      </c>
      <c r="I334" s="192" t="str">
        <f aca="false">IF(AND('ABRIL 2026'!D23&lt;&gt;"",'ABRIL 2026'!Z23="POR RECOGER"),'ABRIL 2026'!P23,"")</f>
        <v/>
      </c>
      <c r="J334" s="192" t="str">
        <f aca="false">IF(AND('ABRIL 2026'!D23&lt;&gt;"",'ABRIL 2026'!Z23="POR RECOGER"),'ABRIL 2026'!Q23,"")</f>
        <v/>
      </c>
      <c r="K334" s="192" t="str">
        <f aca="false">IF(AND('ABRIL 2026'!D23&lt;&gt;"",'ABRIL 2026'!Z23="POR RECOGER"),'ABRIL 2026'!Y23,"")</f>
        <v/>
      </c>
      <c r="L334" s="192" t="str">
        <f aca="false">IF(AND('ABRIL 2026'!D23&lt;&gt;"",'ABRIL 2026'!Z23="POR RECOGER"),'ABRIL 2026'!I23,"")</f>
        <v/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" hidden="false" customHeight="true" outlineLevel="0" collapsed="false">
      <c r="A335" s="192" t="str">
        <f aca="false">IF(AND('ABRIL 2026'!D24&lt;&gt;"",'ABRIL 2026'!Z24="POR RECOGER"),"ABR","")</f>
        <v/>
      </c>
      <c r="B335" s="192" t="str">
        <f aca="false">IF(AND('ABRIL 2026'!D24&lt;&gt;"",'ABRIL 2026'!Z24="POR RECOGER"),IF('ABRIL 2026'!Y24&lt;&gt;"",'ABRIL 2026'!Y24,'ABRIL 2026'!I24),"")</f>
        <v/>
      </c>
      <c r="C335" s="192" t="str">
        <f aca="false">IF(AND('ABRIL 2026'!D24&lt;&gt;"",'ABRIL 2026'!Z24="POR RECOGER"),'ABRIL 2026'!D24,"")</f>
        <v/>
      </c>
      <c r="D335" s="192" t="str">
        <f aca="false">IF(AND('ABRIL 2026'!D24&lt;&gt;"",'ABRIL 2026'!Z24="POR RECOGER"),'ABRIL 2026'!F24,"")</f>
        <v/>
      </c>
      <c r="E335" s="192" t="str">
        <f aca="false">IF(AND('ABRIL 2026'!D24&lt;&gt;"",'ABRIL 2026'!Z24="POR RECOGER"),TEXT('ABRIL 2026'!G24,"DD/MM/YYYY"),"")</f>
        <v/>
      </c>
      <c r="F335" s="192" t="str">
        <f aca="false">IF(AND('ABRIL 2026'!D24&lt;&gt;"",'ABRIL 2026'!Z24="POR RECOGER"),'ABRIL 2026'!K24,"")</f>
        <v/>
      </c>
      <c r="G335" s="193" t="str">
        <f aca="false">IF(AND('ABRIL 2026'!D24&lt;&gt;"",'ABRIL 2026'!Z24="POR RECOGER"),'ABRIL 2026'!M24,"")</f>
        <v/>
      </c>
      <c r="H335" s="193" t="str">
        <f aca="false">IF(AND('ABRIL 2026'!D24&lt;&gt;"",'ABRIL 2026'!Z24="POR RECOGER"),'ABRIL 2026'!N24,"")</f>
        <v/>
      </c>
      <c r="I335" s="192" t="str">
        <f aca="false">IF(AND('ABRIL 2026'!D24&lt;&gt;"",'ABRIL 2026'!Z24="POR RECOGER"),'ABRIL 2026'!P24,"")</f>
        <v/>
      </c>
      <c r="J335" s="192" t="str">
        <f aca="false">IF(AND('ABRIL 2026'!D24&lt;&gt;"",'ABRIL 2026'!Z24="POR RECOGER"),'ABRIL 2026'!Q24,"")</f>
        <v/>
      </c>
      <c r="K335" s="192" t="str">
        <f aca="false">IF(AND('ABRIL 2026'!D24&lt;&gt;"",'ABRIL 2026'!Z24="POR RECOGER"),'ABRIL 2026'!Y24,"")</f>
        <v/>
      </c>
      <c r="L335" s="192" t="str">
        <f aca="false">IF(AND('ABRIL 2026'!D24&lt;&gt;"",'ABRIL 2026'!Z24="POR RECOGER"),'ABRIL 2026'!I24,"")</f>
        <v/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" hidden="false" customHeight="true" outlineLevel="0" collapsed="false">
      <c r="A336" s="192" t="str">
        <f aca="false">IF(AND('ABRIL 2026'!D25&lt;&gt;"",'ABRIL 2026'!Z25="POR RECOGER"),"ABR","")</f>
        <v/>
      </c>
      <c r="B336" s="192" t="str">
        <f aca="false">IF(AND('ABRIL 2026'!D25&lt;&gt;"",'ABRIL 2026'!Z25="POR RECOGER"),IF('ABRIL 2026'!Y25&lt;&gt;"",'ABRIL 2026'!Y25,'ABRIL 2026'!I25),"")</f>
        <v/>
      </c>
      <c r="C336" s="192" t="str">
        <f aca="false">IF(AND('ABRIL 2026'!D25&lt;&gt;"",'ABRIL 2026'!Z25="POR RECOGER"),'ABRIL 2026'!D25,"")</f>
        <v/>
      </c>
      <c r="D336" s="192" t="str">
        <f aca="false">IF(AND('ABRIL 2026'!D25&lt;&gt;"",'ABRIL 2026'!Z25="POR RECOGER"),'ABRIL 2026'!F25,"")</f>
        <v/>
      </c>
      <c r="E336" s="192" t="str">
        <f aca="false">IF(AND('ABRIL 2026'!D25&lt;&gt;"",'ABRIL 2026'!Z25="POR RECOGER"),TEXT('ABRIL 2026'!G25,"DD/MM/YYYY"),"")</f>
        <v/>
      </c>
      <c r="F336" s="192" t="str">
        <f aca="false">IF(AND('ABRIL 2026'!D25&lt;&gt;"",'ABRIL 2026'!Z25="POR RECOGER"),'ABRIL 2026'!K25,"")</f>
        <v/>
      </c>
      <c r="G336" s="193" t="str">
        <f aca="false">IF(AND('ABRIL 2026'!D25&lt;&gt;"",'ABRIL 2026'!Z25="POR RECOGER"),'ABRIL 2026'!M25,"")</f>
        <v/>
      </c>
      <c r="H336" s="193" t="str">
        <f aca="false">IF(AND('ABRIL 2026'!D25&lt;&gt;"",'ABRIL 2026'!Z25="POR RECOGER"),'ABRIL 2026'!N25,"")</f>
        <v/>
      </c>
      <c r="I336" s="192" t="str">
        <f aca="false">IF(AND('ABRIL 2026'!D25&lt;&gt;"",'ABRIL 2026'!Z25="POR RECOGER"),'ABRIL 2026'!P25,"")</f>
        <v/>
      </c>
      <c r="J336" s="192" t="str">
        <f aca="false">IF(AND('ABRIL 2026'!D25&lt;&gt;"",'ABRIL 2026'!Z25="POR RECOGER"),'ABRIL 2026'!Q25,"")</f>
        <v/>
      </c>
      <c r="K336" s="192" t="str">
        <f aca="false">IF(AND('ABRIL 2026'!D25&lt;&gt;"",'ABRIL 2026'!Z25="POR RECOGER"),'ABRIL 2026'!Y25,"")</f>
        <v/>
      </c>
      <c r="L336" s="192" t="str">
        <f aca="false">IF(AND('ABRIL 2026'!D25&lt;&gt;"",'ABRIL 2026'!Z25="POR RECOGER"),'ABRIL 2026'!I25,"")</f>
        <v/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" hidden="false" customHeight="true" outlineLevel="0" collapsed="false">
      <c r="A337" s="192" t="str">
        <f aca="false">IF(AND('ABRIL 2026'!D26&lt;&gt;"",'ABRIL 2026'!Z26="POR RECOGER"),"ABR","")</f>
        <v/>
      </c>
      <c r="B337" s="192" t="str">
        <f aca="false">IF(AND('ABRIL 2026'!D26&lt;&gt;"",'ABRIL 2026'!Z26="POR RECOGER"),IF('ABRIL 2026'!Y26&lt;&gt;"",'ABRIL 2026'!Y26,'ABRIL 2026'!I26),"")</f>
        <v/>
      </c>
      <c r="C337" s="192" t="str">
        <f aca="false">IF(AND('ABRIL 2026'!D26&lt;&gt;"",'ABRIL 2026'!Z26="POR RECOGER"),'ABRIL 2026'!D26,"")</f>
        <v/>
      </c>
      <c r="D337" s="192" t="str">
        <f aca="false">IF(AND('ABRIL 2026'!D26&lt;&gt;"",'ABRIL 2026'!Z26="POR RECOGER"),'ABRIL 2026'!F26,"")</f>
        <v/>
      </c>
      <c r="E337" s="192" t="str">
        <f aca="false">IF(AND('ABRIL 2026'!D26&lt;&gt;"",'ABRIL 2026'!Z26="POR RECOGER"),TEXT('ABRIL 2026'!G26,"DD/MM/YYYY"),"")</f>
        <v/>
      </c>
      <c r="F337" s="192" t="str">
        <f aca="false">IF(AND('ABRIL 2026'!D26&lt;&gt;"",'ABRIL 2026'!Z26="POR RECOGER"),'ABRIL 2026'!K26,"")</f>
        <v/>
      </c>
      <c r="G337" s="193" t="str">
        <f aca="false">IF(AND('ABRIL 2026'!D26&lt;&gt;"",'ABRIL 2026'!Z26="POR RECOGER"),'ABRIL 2026'!M26,"")</f>
        <v/>
      </c>
      <c r="H337" s="193" t="str">
        <f aca="false">IF(AND('ABRIL 2026'!D26&lt;&gt;"",'ABRIL 2026'!Z26="POR RECOGER"),'ABRIL 2026'!N26,"")</f>
        <v/>
      </c>
      <c r="I337" s="192" t="str">
        <f aca="false">IF(AND('ABRIL 2026'!D26&lt;&gt;"",'ABRIL 2026'!Z26="POR RECOGER"),'ABRIL 2026'!P26,"")</f>
        <v/>
      </c>
      <c r="J337" s="192" t="str">
        <f aca="false">IF(AND('ABRIL 2026'!D26&lt;&gt;"",'ABRIL 2026'!Z26="POR RECOGER"),'ABRIL 2026'!Q26,"")</f>
        <v/>
      </c>
      <c r="K337" s="192" t="str">
        <f aca="false">IF(AND('ABRIL 2026'!D26&lt;&gt;"",'ABRIL 2026'!Z26="POR RECOGER"),'ABRIL 2026'!Y26,"")</f>
        <v/>
      </c>
      <c r="L337" s="192" t="str">
        <f aca="false">IF(AND('ABRIL 2026'!D26&lt;&gt;"",'ABRIL 2026'!Z26="POR RECOGER"),'ABRIL 2026'!I26,"")</f>
        <v/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" hidden="false" customHeight="true" outlineLevel="0" collapsed="false">
      <c r="A338" s="192" t="str">
        <f aca="false">IF(AND('ABRIL 2026'!D27&lt;&gt;"",'ABRIL 2026'!Z27="POR RECOGER"),"ABR","")</f>
        <v/>
      </c>
      <c r="B338" s="192" t="str">
        <f aca="false">IF(AND('ABRIL 2026'!D27&lt;&gt;"",'ABRIL 2026'!Z27="POR RECOGER"),IF('ABRIL 2026'!Y27&lt;&gt;"",'ABRIL 2026'!Y27,'ABRIL 2026'!I27),"")</f>
        <v/>
      </c>
      <c r="C338" s="192" t="str">
        <f aca="false">IF(AND('ABRIL 2026'!D27&lt;&gt;"",'ABRIL 2026'!Z27="POR RECOGER"),'ABRIL 2026'!D27,"")</f>
        <v/>
      </c>
      <c r="D338" s="192" t="str">
        <f aca="false">IF(AND('ABRIL 2026'!D27&lt;&gt;"",'ABRIL 2026'!Z27="POR RECOGER"),'ABRIL 2026'!F27,"")</f>
        <v/>
      </c>
      <c r="E338" s="192" t="str">
        <f aca="false">IF(AND('ABRIL 2026'!D27&lt;&gt;"",'ABRIL 2026'!Z27="POR RECOGER"),TEXT('ABRIL 2026'!G27,"DD/MM/YYYY"),"")</f>
        <v/>
      </c>
      <c r="F338" s="192" t="str">
        <f aca="false">IF(AND('ABRIL 2026'!D27&lt;&gt;"",'ABRIL 2026'!Z27="POR RECOGER"),'ABRIL 2026'!K27,"")</f>
        <v/>
      </c>
      <c r="G338" s="193" t="str">
        <f aca="false">IF(AND('ABRIL 2026'!D27&lt;&gt;"",'ABRIL 2026'!Z27="POR RECOGER"),'ABRIL 2026'!M27,"")</f>
        <v/>
      </c>
      <c r="H338" s="193" t="str">
        <f aca="false">IF(AND('ABRIL 2026'!D27&lt;&gt;"",'ABRIL 2026'!Z27="POR RECOGER"),'ABRIL 2026'!N27,"")</f>
        <v/>
      </c>
      <c r="I338" s="192" t="str">
        <f aca="false">IF(AND('ABRIL 2026'!D27&lt;&gt;"",'ABRIL 2026'!Z27="POR RECOGER"),'ABRIL 2026'!P27,"")</f>
        <v/>
      </c>
      <c r="J338" s="192" t="str">
        <f aca="false">IF(AND('ABRIL 2026'!D27&lt;&gt;"",'ABRIL 2026'!Z27="POR RECOGER"),'ABRIL 2026'!Q27,"")</f>
        <v/>
      </c>
      <c r="K338" s="192" t="str">
        <f aca="false">IF(AND('ABRIL 2026'!D27&lt;&gt;"",'ABRIL 2026'!Z27="POR RECOGER"),'ABRIL 2026'!Y27,"")</f>
        <v/>
      </c>
      <c r="L338" s="192" t="str">
        <f aca="false">IF(AND('ABRIL 2026'!D27&lt;&gt;"",'ABRIL 2026'!Z27="POR RECOGER"),'ABRIL 2026'!I27,"")</f>
        <v/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" hidden="false" customHeight="true" outlineLevel="0" collapsed="false">
      <c r="A339" s="192" t="str">
        <f aca="false">IF(AND('ABRIL 2026'!D28&lt;&gt;"",'ABRIL 2026'!Z28="POR RECOGER"),"ABR","")</f>
        <v/>
      </c>
      <c r="B339" s="192" t="str">
        <f aca="false">IF(AND('ABRIL 2026'!D28&lt;&gt;"",'ABRIL 2026'!Z28="POR RECOGER"),IF('ABRIL 2026'!Y28&lt;&gt;"",'ABRIL 2026'!Y28,'ABRIL 2026'!I28),"")</f>
        <v/>
      </c>
      <c r="C339" s="192" t="str">
        <f aca="false">IF(AND('ABRIL 2026'!D28&lt;&gt;"",'ABRIL 2026'!Z28="POR RECOGER"),'ABRIL 2026'!D28,"")</f>
        <v/>
      </c>
      <c r="D339" s="192" t="str">
        <f aca="false">IF(AND('ABRIL 2026'!D28&lt;&gt;"",'ABRIL 2026'!Z28="POR RECOGER"),'ABRIL 2026'!F28,"")</f>
        <v/>
      </c>
      <c r="E339" s="192" t="str">
        <f aca="false">IF(AND('ABRIL 2026'!D28&lt;&gt;"",'ABRIL 2026'!Z28="POR RECOGER"),TEXT('ABRIL 2026'!G28,"DD/MM/YYYY"),"")</f>
        <v/>
      </c>
      <c r="F339" s="192" t="str">
        <f aca="false">IF(AND('ABRIL 2026'!D28&lt;&gt;"",'ABRIL 2026'!Z28="POR RECOGER"),'ABRIL 2026'!K28,"")</f>
        <v/>
      </c>
      <c r="G339" s="193" t="str">
        <f aca="false">IF(AND('ABRIL 2026'!D28&lt;&gt;"",'ABRIL 2026'!Z28="POR RECOGER"),'ABRIL 2026'!M28,"")</f>
        <v/>
      </c>
      <c r="H339" s="193" t="str">
        <f aca="false">IF(AND('ABRIL 2026'!D28&lt;&gt;"",'ABRIL 2026'!Z28="POR RECOGER"),'ABRIL 2026'!N28,"")</f>
        <v/>
      </c>
      <c r="I339" s="192" t="str">
        <f aca="false">IF(AND('ABRIL 2026'!D28&lt;&gt;"",'ABRIL 2026'!Z28="POR RECOGER"),'ABRIL 2026'!P28,"")</f>
        <v/>
      </c>
      <c r="J339" s="192" t="str">
        <f aca="false">IF(AND('ABRIL 2026'!D28&lt;&gt;"",'ABRIL 2026'!Z28="POR RECOGER"),'ABRIL 2026'!Q28,"")</f>
        <v/>
      </c>
      <c r="K339" s="192" t="str">
        <f aca="false">IF(AND('ABRIL 2026'!D28&lt;&gt;"",'ABRIL 2026'!Z28="POR RECOGER"),'ABRIL 2026'!Y28,"")</f>
        <v/>
      </c>
      <c r="L339" s="192" t="str">
        <f aca="false">IF(AND('ABRIL 2026'!D28&lt;&gt;"",'ABRIL 2026'!Z28="POR RECOGER"),'ABRIL 2026'!I28,"")</f>
        <v/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" hidden="false" customHeight="true" outlineLevel="0" collapsed="false">
      <c r="A340" s="192" t="str">
        <f aca="false">IF(AND('ABRIL 2026'!D29&lt;&gt;"",'ABRIL 2026'!Z29="POR RECOGER"),"ABR","")</f>
        <v/>
      </c>
      <c r="B340" s="192" t="str">
        <f aca="false">IF(AND('ABRIL 2026'!D29&lt;&gt;"",'ABRIL 2026'!Z29="POR RECOGER"),IF('ABRIL 2026'!Y29&lt;&gt;"",'ABRIL 2026'!Y29,'ABRIL 2026'!I29),"")</f>
        <v/>
      </c>
      <c r="C340" s="192" t="str">
        <f aca="false">IF(AND('ABRIL 2026'!D29&lt;&gt;"",'ABRIL 2026'!Z29="POR RECOGER"),'ABRIL 2026'!D29,"")</f>
        <v/>
      </c>
      <c r="D340" s="192" t="str">
        <f aca="false">IF(AND('ABRIL 2026'!D29&lt;&gt;"",'ABRIL 2026'!Z29="POR RECOGER"),'ABRIL 2026'!F29,"")</f>
        <v/>
      </c>
      <c r="E340" s="192" t="str">
        <f aca="false">IF(AND('ABRIL 2026'!D29&lt;&gt;"",'ABRIL 2026'!Z29="POR RECOGER"),TEXT('ABRIL 2026'!G29,"DD/MM/YYYY"),"")</f>
        <v/>
      </c>
      <c r="F340" s="192" t="str">
        <f aca="false">IF(AND('ABRIL 2026'!D29&lt;&gt;"",'ABRIL 2026'!Z29="POR RECOGER"),'ABRIL 2026'!K29,"")</f>
        <v/>
      </c>
      <c r="G340" s="193" t="str">
        <f aca="false">IF(AND('ABRIL 2026'!D29&lt;&gt;"",'ABRIL 2026'!Z29="POR RECOGER"),'ABRIL 2026'!M29,"")</f>
        <v/>
      </c>
      <c r="H340" s="193" t="str">
        <f aca="false">IF(AND('ABRIL 2026'!D29&lt;&gt;"",'ABRIL 2026'!Z29="POR RECOGER"),'ABRIL 2026'!N29,"")</f>
        <v/>
      </c>
      <c r="I340" s="192" t="str">
        <f aca="false">IF(AND('ABRIL 2026'!D29&lt;&gt;"",'ABRIL 2026'!Z29="POR RECOGER"),'ABRIL 2026'!P29,"")</f>
        <v/>
      </c>
      <c r="J340" s="192" t="str">
        <f aca="false">IF(AND('ABRIL 2026'!D29&lt;&gt;"",'ABRIL 2026'!Z29="POR RECOGER"),'ABRIL 2026'!Q29,"")</f>
        <v/>
      </c>
      <c r="K340" s="192" t="str">
        <f aca="false">IF(AND('ABRIL 2026'!D29&lt;&gt;"",'ABRIL 2026'!Z29="POR RECOGER"),'ABRIL 2026'!Y29,"")</f>
        <v/>
      </c>
      <c r="L340" s="192" t="str">
        <f aca="false">IF(AND('ABRIL 2026'!D29&lt;&gt;"",'ABRIL 2026'!Z29="POR RECOGER"),'ABRIL 2026'!I29,"")</f>
        <v/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" hidden="false" customHeight="true" outlineLevel="0" collapsed="false">
      <c r="A341" s="192" t="str">
        <f aca="false">IF(AND('ABRIL 2026'!D30&lt;&gt;"",'ABRIL 2026'!Z30="POR RECOGER"),"ABR","")</f>
        <v/>
      </c>
      <c r="B341" s="192" t="str">
        <f aca="false">IF(AND('ABRIL 2026'!D30&lt;&gt;"",'ABRIL 2026'!Z30="POR RECOGER"),IF('ABRIL 2026'!Y30&lt;&gt;"",'ABRIL 2026'!Y30,'ABRIL 2026'!I30),"")</f>
        <v/>
      </c>
      <c r="C341" s="192" t="str">
        <f aca="false">IF(AND('ABRIL 2026'!D30&lt;&gt;"",'ABRIL 2026'!Z30="POR RECOGER"),'ABRIL 2026'!D30,"")</f>
        <v/>
      </c>
      <c r="D341" s="192" t="str">
        <f aca="false">IF(AND('ABRIL 2026'!D30&lt;&gt;"",'ABRIL 2026'!Z30="POR RECOGER"),'ABRIL 2026'!F30,"")</f>
        <v/>
      </c>
      <c r="E341" s="192" t="str">
        <f aca="false">IF(AND('ABRIL 2026'!D30&lt;&gt;"",'ABRIL 2026'!Z30="POR RECOGER"),TEXT('ABRIL 2026'!G30,"DD/MM/YYYY"),"")</f>
        <v/>
      </c>
      <c r="F341" s="192" t="str">
        <f aca="false">IF(AND('ABRIL 2026'!D30&lt;&gt;"",'ABRIL 2026'!Z30="POR RECOGER"),'ABRIL 2026'!K30,"")</f>
        <v/>
      </c>
      <c r="G341" s="193" t="str">
        <f aca="false">IF(AND('ABRIL 2026'!D30&lt;&gt;"",'ABRIL 2026'!Z30="POR RECOGER"),'ABRIL 2026'!M30,"")</f>
        <v/>
      </c>
      <c r="H341" s="193" t="str">
        <f aca="false">IF(AND('ABRIL 2026'!D30&lt;&gt;"",'ABRIL 2026'!Z30="POR RECOGER"),'ABRIL 2026'!N30,"")</f>
        <v/>
      </c>
      <c r="I341" s="192" t="str">
        <f aca="false">IF(AND('ABRIL 2026'!D30&lt;&gt;"",'ABRIL 2026'!Z30="POR RECOGER"),'ABRIL 2026'!P30,"")</f>
        <v/>
      </c>
      <c r="J341" s="192" t="str">
        <f aca="false">IF(AND('ABRIL 2026'!D30&lt;&gt;"",'ABRIL 2026'!Z30="POR RECOGER"),'ABRIL 2026'!Q30,"")</f>
        <v/>
      </c>
      <c r="K341" s="192" t="str">
        <f aca="false">IF(AND('ABRIL 2026'!D30&lt;&gt;"",'ABRIL 2026'!Z30="POR RECOGER"),'ABRIL 2026'!Y30,"")</f>
        <v/>
      </c>
      <c r="L341" s="192" t="str">
        <f aca="false">IF(AND('ABRIL 2026'!D30&lt;&gt;"",'ABRIL 2026'!Z30="POR RECOGER"),'ABRIL 2026'!I30,"")</f>
        <v/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" hidden="false" customHeight="true" outlineLevel="0" collapsed="false">
      <c r="A342" s="192" t="str">
        <f aca="false">IF(AND('ABRIL 2026'!D31&lt;&gt;"",'ABRIL 2026'!Z31="POR RECOGER"),"ABR","")</f>
        <v/>
      </c>
      <c r="B342" s="192" t="str">
        <f aca="false">IF(AND('ABRIL 2026'!D31&lt;&gt;"",'ABRIL 2026'!Z31="POR RECOGER"),IF('ABRIL 2026'!Y31&lt;&gt;"",'ABRIL 2026'!Y31,'ABRIL 2026'!I31),"")</f>
        <v/>
      </c>
      <c r="C342" s="192" t="str">
        <f aca="false">IF(AND('ABRIL 2026'!D31&lt;&gt;"",'ABRIL 2026'!Z31="POR RECOGER"),'ABRIL 2026'!D31,"")</f>
        <v/>
      </c>
      <c r="D342" s="192" t="str">
        <f aca="false">IF(AND('ABRIL 2026'!D31&lt;&gt;"",'ABRIL 2026'!Z31="POR RECOGER"),'ABRIL 2026'!F31,"")</f>
        <v/>
      </c>
      <c r="E342" s="192" t="str">
        <f aca="false">IF(AND('ABRIL 2026'!D31&lt;&gt;"",'ABRIL 2026'!Z31="POR RECOGER"),TEXT('ABRIL 2026'!G31,"DD/MM/YYYY"),"")</f>
        <v/>
      </c>
      <c r="F342" s="192" t="str">
        <f aca="false">IF(AND('ABRIL 2026'!D31&lt;&gt;"",'ABRIL 2026'!Z31="POR RECOGER"),'ABRIL 2026'!K31,"")</f>
        <v/>
      </c>
      <c r="G342" s="193" t="str">
        <f aca="false">IF(AND('ABRIL 2026'!D31&lt;&gt;"",'ABRIL 2026'!Z31="POR RECOGER"),'ABRIL 2026'!M31,"")</f>
        <v/>
      </c>
      <c r="H342" s="193" t="str">
        <f aca="false">IF(AND('ABRIL 2026'!D31&lt;&gt;"",'ABRIL 2026'!Z31="POR RECOGER"),'ABRIL 2026'!N31,"")</f>
        <v/>
      </c>
      <c r="I342" s="192" t="str">
        <f aca="false">IF(AND('ABRIL 2026'!D31&lt;&gt;"",'ABRIL 2026'!Z31="POR RECOGER"),'ABRIL 2026'!P31,"")</f>
        <v/>
      </c>
      <c r="J342" s="192" t="str">
        <f aca="false">IF(AND('ABRIL 2026'!D31&lt;&gt;"",'ABRIL 2026'!Z31="POR RECOGER"),'ABRIL 2026'!Q31,"")</f>
        <v/>
      </c>
      <c r="K342" s="192" t="str">
        <f aca="false">IF(AND('ABRIL 2026'!D31&lt;&gt;"",'ABRIL 2026'!Z31="POR RECOGER"),'ABRIL 2026'!Y31,"")</f>
        <v/>
      </c>
      <c r="L342" s="192" t="str">
        <f aca="false">IF(AND('ABRIL 2026'!D31&lt;&gt;"",'ABRIL 2026'!Z31="POR RECOGER"),'ABRIL 2026'!I31,"")</f>
        <v/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" hidden="false" customHeight="true" outlineLevel="0" collapsed="false">
      <c r="A343" s="192" t="str">
        <f aca="false">IF(AND('ABRIL 2026'!D32&lt;&gt;"",'ABRIL 2026'!Z32="POR RECOGER"),"ABR","")</f>
        <v/>
      </c>
      <c r="B343" s="192" t="str">
        <f aca="false">IF(AND('ABRIL 2026'!D32&lt;&gt;"",'ABRIL 2026'!Z32="POR RECOGER"),IF('ABRIL 2026'!Y32&lt;&gt;"",'ABRIL 2026'!Y32,'ABRIL 2026'!I32),"")</f>
        <v/>
      </c>
      <c r="C343" s="192" t="str">
        <f aca="false">IF(AND('ABRIL 2026'!D32&lt;&gt;"",'ABRIL 2026'!Z32="POR RECOGER"),'ABRIL 2026'!D32,"")</f>
        <v/>
      </c>
      <c r="D343" s="192" t="str">
        <f aca="false">IF(AND('ABRIL 2026'!D32&lt;&gt;"",'ABRIL 2026'!Z32="POR RECOGER"),'ABRIL 2026'!F32,"")</f>
        <v/>
      </c>
      <c r="E343" s="192" t="str">
        <f aca="false">IF(AND('ABRIL 2026'!D32&lt;&gt;"",'ABRIL 2026'!Z32="POR RECOGER"),TEXT('ABRIL 2026'!G32,"DD/MM/YYYY"),"")</f>
        <v/>
      </c>
      <c r="F343" s="192" t="str">
        <f aca="false">IF(AND('ABRIL 2026'!D32&lt;&gt;"",'ABRIL 2026'!Z32="POR RECOGER"),'ABRIL 2026'!K32,"")</f>
        <v/>
      </c>
      <c r="G343" s="193" t="str">
        <f aca="false">IF(AND('ABRIL 2026'!D32&lt;&gt;"",'ABRIL 2026'!Z32="POR RECOGER"),'ABRIL 2026'!M32,"")</f>
        <v/>
      </c>
      <c r="H343" s="193" t="str">
        <f aca="false">IF(AND('ABRIL 2026'!D32&lt;&gt;"",'ABRIL 2026'!Z32="POR RECOGER"),'ABRIL 2026'!N32,"")</f>
        <v/>
      </c>
      <c r="I343" s="192" t="str">
        <f aca="false">IF(AND('ABRIL 2026'!D32&lt;&gt;"",'ABRIL 2026'!Z32="POR RECOGER"),'ABRIL 2026'!P32,"")</f>
        <v/>
      </c>
      <c r="J343" s="192" t="str">
        <f aca="false">IF(AND('ABRIL 2026'!D32&lt;&gt;"",'ABRIL 2026'!Z32="POR RECOGER"),'ABRIL 2026'!Q32,"")</f>
        <v/>
      </c>
      <c r="K343" s="192" t="str">
        <f aca="false">IF(AND('ABRIL 2026'!D32&lt;&gt;"",'ABRIL 2026'!Z32="POR RECOGER"),'ABRIL 2026'!Y32,"")</f>
        <v/>
      </c>
      <c r="L343" s="192" t="str">
        <f aca="false">IF(AND('ABRIL 2026'!D32&lt;&gt;"",'ABRIL 2026'!Z32="POR RECOGER"),'ABRIL 2026'!I32,"")</f>
        <v/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" hidden="false" customHeight="true" outlineLevel="0" collapsed="false">
      <c r="A344" s="192" t="str">
        <f aca="false">IF(AND('ABRIL 2026'!D33&lt;&gt;"",'ABRIL 2026'!Z33="POR RECOGER"),"ABR","")</f>
        <v/>
      </c>
      <c r="B344" s="192" t="str">
        <f aca="false">IF(AND('ABRIL 2026'!D33&lt;&gt;"",'ABRIL 2026'!Z33="POR RECOGER"),IF('ABRIL 2026'!Y33&lt;&gt;"",'ABRIL 2026'!Y33,'ABRIL 2026'!I33),"")</f>
        <v/>
      </c>
      <c r="C344" s="192" t="str">
        <f aca="false">IF(AND('ABRIL 2026'!D33&lt;&gt;"",'ABRIL 2026'!Z33="POR RECOGER"),'ABRIL 2026'!D33,"")</f>
        <v/>
      </c>
      <c r="D344" s="192" t="str">
        <f aca="false">IF(AND('ABRIL 2026'!D33&lt;&gt;"",'ABRIL 2026'!Z33="POR RECOGER"),'ABRIL 2026'!F33,"")</f>
        <v/>
      </c>
      <c r="E344" s="192" t="str">
        <f aca="false">IF(AND('ABRIL 2026'!D33&lt;&gt;"",'ABRIL 2026'!Z33="POR RECOGER"),TEXT('ABRIL 2026'!G33,"DD/MM/YYYY"),"")</f>
        <v/>
      </c>
      <c r="F344" s="192" t="str">
        <f aca="false">IF(AND('ABRIL 2026'!D33&lt;&gt;"",'ABRIL 2026'!Z33="POR RECOGER"),'ABRIL 2026'!K33,"")</f>
        <v/>
      </c>
      <c r="G344" s="193" t="str">
        <f aca="false">IF(AND('ABRIL 2026'!D33&lt;&gt;"",'ABRIL 2026'!Z33="POR RECOGER"),'ABRIL 2026'!M33,"")</f>
        <v/>
      </c>
      <c r="H344" s="193" t="str">
        <f aca="false">IF(AND('ABRIL 2026'!D33&lt;&gt;"",'ABRIL 2026'!Z33="POR RECOGER"),'ABRIL 2026'!N33,"")</f>
        <v/>
      </c>
      <c r="I344" s="192" t="str">
        <f aca="false">IF(AND('ABRIL 2026'!D33&lt;&gt;"",'ABRIL 2026'!Z33="POR RECOGER"),'ABRIL 2026'!P33,"")</f>
        <v/>
      </c>
      <c r="J344" s="192" t="str">
        <f aca="false">IF(AND('ABRIL 2026'!D33&lt;&gt;"",'ABRIL 2026'!Z33="POR RECOGER"),'ABRIL 2026'!Q33,"")</f>
        <v/>
      </c>
      <c r="K344" s="192" t="str">
        <f aca="false">IF(AND('ABRIL 2026'!D33&lt;&gt;"",'ABRIL 2026'!Z33="POR RECOGER"),'ABRIL 2026'!Y33,"")</f>
        <v/>
      </c>
      <c r="L344" s="192" t="str">
        <f aca="false">IF(AND('ABRIL 2026'!D33&lt;&gt;"",'ABRIL 2026'!Z33="POR RECOGER"),'ABRIL 2026'!I33,"")</f>
        <v/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" hidden="false" customHeight="true" outlineLevel="0" collapsed="false">
      <c r="A345" s="192" t="str">
        <f aca="false">IF(AND('ABRIL 2026'!D34&lt;&gt;"",'ABRIL 2026'!Z34="POR RECOGER"),"ABR","")</f>
        <v/>
      </c>
      <c r="B345" s="192" t="str">
        <f aca="false">IF(AND('ABRIL 2026'!D34&lt;&gt;"",'ABRIL 2026'!Z34="POR RECOGER"),IF('ABRIL 2026'!Y34&lt;&gt;"",'ABRIL 2026'!Y34,'ABRIL 2026'!I34),"")</f>
        <v/>
      </c>
      <c r="C345" s="192" t="str">
        <f aca="false">IF(AND('ABRIL 2026'!D34&lt;&gt;"",'ABRIL 2026'!Z34="POR RECOGER"),'ABRIL 2026'!D34,"")</f>
        <v/>
      </c>
      <c r="D345" s="192" t="str">
        <f aca="false">IF(AND('ABRIL 2026'!D34&lt;&gt;"",'ABRIL 2026'!Z34="POR RECOGER"),'ABRIL 2026'!F34,"")</f>
        <v/>
      </c>
      <c r="E345" s="192" t="str">
        <f aca="false">IF(AND('ABRIL 2026'!D34&lt;&gt;"",'ABRIL 2026'!Z34="POR RECOGER"),TEXT('ABRIL 2026'!G34,"DD/MM/YYYY"),"")</f>
        <v/>
      </c>
      <c r="F345" s="192" t="str">
        <f aca="false">IF(AND('ABRIL 2026'!D34&lt;&gt;"",'ABRIL 2026'!Z34="POR RECOGER"),'ABRIL 2026'!K34,"")</f>
        <v/>
      </c>
      <c r="G345" s="193" t="str">
        <f aca="false">IF(AND('ABRIL 2026'!D34&lt;&gt;"",'ABRIL 2026'!Z34="POR RECOGER"),'ABRIL 2026'!M34,"")</f>
        <v/>
      </c>
      <c r="H345" s="193" t="str">
        <f aca="false">IF(AND('ABRIL 2026'!D34&lt;&gt;"",'ABRIL 2026'!Z34="POR RECOGER"),'ABRIL 2026'!N34,"")</f>
        <v/>
      </c>
      <c r="I345" s="192" t="str">
        <f aca="false">IF(AND('ABRIL 2026'!D34&lt;&gt;"",'ABRIL 2026'!Z34="POR RECOGER"),'ABRIL 2026'!P34,"")</f>
        <v/>
      </c>
      <c r="J345" s="192" t="str">
        <f aca="false">IF(AND('ABRIL 2026'!D34&lt;&gt;"",'ABRIL 2026'!Z34="POR RECOGER"),'ABRIL 2026'!Q34,"")</f>
        <v/>
      </c>
      <c r="K345" s="192" t="str">
        <f aca="false">IF(AND('ABRIL 2026'!D34&lt;&gt;"",'ABRIL 2026'!Z34="POR RECOGER"),'ABRIL 2026'!Y34,"")</f>
        <v/>
      </c>
      <c r="L345" s="192" t="str">
        <f aca="false">IF(AND('ABRIL 2026'!D34&lt;&gt;"",'ABRIL 2026'!Z34="POR RECOGER"),'ABRIL 2026'!I34,"")</f>
        <v/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" hidden="false" customHeight="true" outlineLevel="0" collapsed="false">
      <c r="A346" s="192" t="str">
        <f aca="false">IF(AND('ABRIL 2026'!D35&lt;&gt;"",'ABRIL 2026'!Z35="POR RECOGER"),"ABR","")</f>
        <v/>
      </c>
      <c r="B346" s="192" t="str">
        <f aca="false">IF(AND('ABRIL 2026'!D35&lt;&gt;"",'ABRIL 2026'!Z35="POR RECOGER"),IF('ABRIL 2026'!Y35&lt;&gt;"",'ABRIL 2026'!Y35,'ABRIL 2026'!I35),"")</f>
        <v/>
      </c>
      <c r="C346" s="192" t="str">
        <f aca="false">IF(AND('ABRIL 2026'!D35&lt;&gt;"",'ABRIL 2026'!Z35="POR RECOGER"),'ABRIL 2026'!D35,"")</f>
        <v/>
      </c>
      <c r="D346" s="192" t="str">
        <f aca="false">IF(AND('ABRIL 2026'!D35&lt;&gt;"",'ABRIL 2026'!Z35="POR RECOGER"),'ABRIL 2026'!F35,"")</f>
        <v/>
      </c>
      <c r="E346" s="192" t="str">
        <f aca="false">IF(AND('ABRIL 2026'!D35&lt;&gt;"",'ABRIL 2026'!Z35="POR RECOGER"),TEXT('ABRIL 2026'!G35,"DD/MM/YYYY"),"")</f>
        <v/>
      </c>
      <c r="F346" s="192" t="str">
        <f aca="false">IF(AND('ABRIL 2026'!D35&lt;&gt;"",'ABRIL 2026'!Z35="POR RECOGER"),'ABRIL 2026'!K35,"")</f>
        <v/>
      </c>
      <c r="G346" s="193" t="str">
        <f aca="false">IF(AND('ABRIL 2026'!D35&lt;&gt;"",'ABRIL 2026'!Z35="POR RECOGER"),'ABRIL 2026'!M35,"")</f>
        <v/>
      </c>
      <c r="H346" s="193" t="str">
        <f aca="false">IF(AND('ABRIL 2026'!D35&lt;&gt;"",'ABRIL 2026'!Z35="POR RECOGER"),'ABRIL 2026'!N35,"")</f>
        <v/>
      </c>
      <c r="I346" s="192" t="str">
        <f aca="false">IF(AND('ABRIL 2026'!D35&lt;&gt;"",'ABRIL 2026'!Z35="POR RECOGER"),'ABRIL 2026'!P35,"")</f>
        <v/>
      </c>
      <c r="J346" s="192" t="str">
        <f aca="false">IF(AND('ABRIL 2026'!D35&lt;&gt;"",'ABRIL 2026'!Z35="POR RECOGER"),'ABRIL 2026'!Q35,"")</f>
        <v/>
      </c>
      <c r="K346" s="192" t="str">
        <f aca="false">IF(AND('ABRIL 2026'!D35&lt;&gt;"",'ABRIL 2026'!Z35="POR RECOGER"),'ABRIL 2026'!Y35,"")</f>
        <v/>
      </c>
      <c r="L346" s="192" t="str">
        <f aca="false">IF(AND('ABRIL 2026'!D35&lt;&gt;"",'ABRIL 2026'!Z35="POR RECOGER"),'ABRIL 2026'!I35,"")</f>
        <v/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" hidden="false" customHeight="true" outlineLevel="0" collapsed="false">
      <c r="A347" s="192" t="str">
        <f aca="false">IF(AND('ABRIL 2026'!D36&lt;&gt;"",'ABRIL 2026'!Z36="POR RECOGER"),"ABR","")</f>
        <v/>
      </c>
      <c r="B347" s="192" t="str">
        <f aca="false">IF(AND('ABRIL 2026'!D36&lt;&gt;"",'ABRIL 2026'!Z36="POR RECOGER"),IF('ABRIL 2026'!Y36&lt;&gt;"",'ABRIL 2026'!Y36,'ABRIL 2026'!I36),"")</f>
        <v/>
      </c>
      <c r="C347" s="192" t="str">
        <f aca="false">IF(AND('ABRIL 2026'!D36&lt;&gt;"",'ABRIL 2026'!Z36="POR RECOGER"),'ABRIL 2026'!D36,"")</f>
        <v/>
      </c>
      <c r="D347" s="192" t="str">
        <f aca="false">IF(AND('ABRIL 2026'!D36&lt;&gt;"",'ABRIL 2026'!Z36="POR RECOGER"),'ABRIL 2026'!F36,"")</f>
        <v/>
      </c>
      <c r="E347" s="192" t="str">
        <f aca="false">IF(AND('ABRIL 2026'!D36&lt;&gt;"",'ABRIL 2026'!Z36="POR RECOGER"),TEXT('ABRIL 2026'!G36,"DD/MM/YYYY"),"")</f>
        <v/>
      </c>
      <c r="F347" s="192" t="str">
        <f aca="false">IF(AND('ABRIL 2026'!D36&lt;&gt;"",'ABRIL 2026'!Z36="POR RECOGER"),'ABRIL 2026'!K36,"")</f>
        <v/>
      </c>
      <c r="G347" s="193" t="str">
        <f aca="false">IF(AND('ABRIL 2026'!D36&lt;&gt;"",'ABRIL 2026'!Z36="POR RECOGER"),'ABRIL 2026'!M36,"")</f>
        <v/>
      </c>
      <c r="H347" s="193" t="str">
        <f aca="false">IF(AND('ABRIL 2026'!D36&lt;&gt;"",'ABRIL 2026'!Z36="POR RECOGER"),'ABRIL 2026'!N36,"")</f>
        <v/>
      </c>
      <c r="I347" s="192" t="str">
        <f aca="false">IF(AND('ABRIL 2026'!D36&lt;&gt;"",'ABRIL 2026'!Z36="POR RECOGER"),'ABRIL 2026'!P36,"")</f>
        <v/>
      </c>
      <c r="J347" s="192" t="str">
        <f aca="false">IF(AND('ABRIL 2026'!D36&lt;&gt;"",'ABRIL 2026'!Z36="POR RECOGER"),'ABRIL 2026'!Q36,"")</f>
        <v/>
      </c>
      <c r="K347" s="192" t="str">
        <f aca="false">IF(AND('ABRIL 2026'!D36&lt;&gt;"",'ABRIL 2026'!Z36="POR RECOGER"),'ABRIL 2026'!Y36,"")</f>
        <v/>
      </c>
      <c r="L347" s="192" t="str">
        <f aca="false">IF(AND('ABRIL 2026'!D36&lt;&gt;"",'ABRIL 2026'!Z36="POR RECOGER"),'ABRIL 2026'!I36,"")</f>
        <v/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" hidden="false" customHeight="true" outlineLevel="0" collapsed="false">
      <c r="A348" s="192" t="str">
        <f aca="false">IF(AND('ABRIL 2026'!D37&lt;&gt;"",'ABRIL 2026'!Z37="POR RECOGER"),"ABR","")</f>
        <v/>
      </c>
      <c r="B348" s="192" t="str">
        <f aca="false">IF(AND('ABRIL 2026'!D37&lt;&gt;"",'ABRIL 2026'!Z37="POR RECOGER"),IF('ABRIL 2026'!Y37&lt;&gt;"",'ABRIL 2026'!Y37,'ABRIL 2026'!I37),"")</f>
        <v/>
      </c>
      <c r="C348" s="192" t="str">
        <f aca="false">IF(AND('ABRIL 2026'!D37&lt;&gt;"",'ABRIL 2026'!Z37="POR RECOGER"),'ABRIL 2026'!D37,"")</f>
        <v/>
      </c>
      <c r="D348" s="192" t="str">
        <f aca="false">IF(AND('ABRIL 2026'!D37&lt;&gt;"",'ABRIL 2026'!Z37="POR RECOGER"),'ABRIL 2026'!F37,"")</f>
        <v/>
      </c>
      <c r="E348" s="192" t="str">
        <f aca="false">IF(AND('ABRIL 2026'!D37&lt;&gt;"",'ABRIL 2026'!Z37="POR RECOGER"),TEXT('ABRIL 2026'!G37,"DD/MM/YYYY"),"")</f>
        <v/>
      </c>
      <c r="F348" s="192" t="str">
        <f aca="false">IF(AND('ABRIL 2026'!D37&lt;&gt;"",'ABRIL 2026'!Z37="POR RECOGER"),'ABRIL 2026'!K37,"")</f>
        <v/>
      </c>
      <c r="G348" s="193" t="str">
        <f aca="false">IF(AND('ABRIL 2026'!D37&lt;&gt;"",'ABRIL 2026'!Z37="POR RECOGER"),'ABRIL 2026'!M37,"")</f>
        <v/>
      </c>
      <c r="H348" s="193" t="str">
        <f aca="false">IF(AND('ABRIL 2026'!D37&lt;&gt;"",'ABRIL 2026'!Z37="POR RECOGER"),'ABRIL 2026'!N37,"")</f>
        <v/>
      </c>
      <c r="I348" s="192" t="str">
        <f aca="false">IF(AND('ABRIL 2026'!D37&lt;&gt;"",'ABRIL 2026'!Z37="POR RECOGER"),'ABRIL 2026'!P37,"")</f>
        <v/>
      </c>
      <c r="J348" s="192" t="str">
        <f aca="false">IF(AND('ABRIL 2026'!D37&lt;&gt;"",'ABRIL 2026'!Z37="POR RECOGER"),'ABRIL 2026'!Q37,"")</f>
        <v/>
      </c>
      <c r="K348" s="192" t="str">
        <f aca="false">IF(AND('ABRIL 2026'!D37&lt;&gt;"",'ABRIL 2026'!Z37="POR RECOGER"),'ABRIL 2026'!Y37,"")</f>
        <v/>
      </c>
      <c r="L348" s="192" t="str">
        <f aca="false">IF(AND('ABRIL 2026'!D37&lt;&gt;"",'ABRIL 2026'!Z37="POR RECOGER"),'ABRIL 2026'!I37,"")</f>
        <v/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" hidden="false" customHeight="true" outlineLevel="0" collapsed="false">
      <c r="A349" s="192" t="str">
        <f aca="false">IF(AND('ABRIL 2026'!D38&lt;&gt;"",'ABRIL 2026'!Z38="POR RECOGER"),"ABR","")</f>
        <v/>
      </c>
      <c r="B349" s="192" t="str">
        <f aca="false">IF(AND('ABRIL 2026'!D38&lt;&gt;"",'ABRIL 2026'!Z38="POR RECOGER"),IF('ABRIL 2026'!Y38&lt;&gt;"",'ABRIL 2026'!Y38,'ABRIL 2026'!I38),"")</f>
        <v/>
      </c>
      <c r="C349" s="192" t="str">
        <f aca="false">IF(AND('ABRIL 2026'!D38&lt;&gt;"",'ABRIL 2026'!Z38="POR RECOGER"),'ABRIL 2026'!D38,"")</f>
        <v/>
      </c>
      <c r="D349" s="192" t="str">
        <f aca="false">IF(AND('ABRIL 2026'!D38&lt;&gt;"",'ABRIL 2026'!Z38="POR RECOGER"),'ABRIL 2026'!F38,"")</f>
        <v/>
      </c>
      <c r="E349" s="192" t="str">
        <f aca="false">IF(AND('ABRIL 2026'!D38&lt;&gt;"",'ABRIL 2026'!Z38="POR RECOGER"),TEXT('ABRIL 2026'!G38,"DD/MM/YYYY"),"")</f>
        <v/>
      </c>
      <c r="F349" s="192" t="str">
        <f aca="false">IF(AND('ABRIL 2026'!D38&lt;&gt;"",'ABRIL 2026'!Z38="POR RECOGER"),'ABRIL 2026'!K38,"")</f>
        <v/>
      </c>
      <c r="G349" s="193" t="str">
        <f aca="false">IF(AND('ABRIL 2026'!D38&lt;&gt;"",'ABRIL 2026'!Z38="POR RECOGER"),'ABRIL 2026'!M38,"")</f>
        <v/>
      </c>
      <c r="H349" s="193" t="str">
        <f aca="false">IF(AND('ABRIL 2026'!D38&lt;&gt;"",'ABRIL 2026'!Z38="POR RECOGER"),'ABRIL 2026'!N38,"")</f>
        <v/>
      </c>
      <c r="I349" s="192" t="str">
        <f aca="false">IF(AND('ABRIL 2026'!D38&lt;&gt;"",'ABRIL 2026'!Z38="POR RECOGER"),'ABRIL 2026'!P38,"")</f>
        <v/>
      </c>
      <c r="J349" s="192" t="str">
        <f aca="false">IF(AND('ABRIL 2026'!D38&lt;&gt;"",'ABRIL 2026'!Z38="POR RECOGER"),'ABRIL 2026'!Q38,"")</f>
        <v/>
      </c>
      <c r="K349" s="192" t="str">
        <f aca="false">IF(AND('ABRIL 2026'!D38&lt;&gt;"",'ABRIL 2026'!Z38="POR RECOGER"),'ABRIL 2026'!Y38,"")</f>
        <v/>
      </c>
      <c r="L349" s="192" t="str">
        <f aca="false">IF(AND('ABRIL 2026'!D38&lt;&gt;"",'ABRIL 2026'!Z38="POR RECOGER"),'ABRIL 2026'!I38,"")</f>
        <v/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" hidden="false" customHeight="true" outlineLevel="0" collapsed="false">
      <c r="A350" s="192" t="str">
        <f aca="false">IF(AND('ABRIL 2026'!D39&lt;&gt;"",'ABRIL 2026'!Z39="POR RECOGER"),"ABR","")</f>
        <v/>
      </c>
      <c r="B350" s="192" t="str">
        <f aca="false">IF(AND('ABRIL 2026'!D39&lt;&gt;"",'ABRIL 2026'!Z39="POR RECOGER"),IF('ABRIL 2026'!Y39&lt;&gt;"",'ABRIL 2026'!Y39,'ABRIL 2026'!I39),"")</f>
        <v/>
      </c>
      <c r="C350" s="192" t="str">
        <f aca="false">IF(AND('ABRIL 2026'!D39&lt;&gt;"",'ABRIL 2026'!Z39="POR RECOGER"),'ABRIL 2026'!D39,"")</f>
        <v/>
      </c>
      <c r="D350" s="192" t="str">
        <f aca="false">IF(AND('ABRIL 2026'!D39&lt;&gt;"",'ABRIL 2026'!Z39="POR RECOGER"),'ABRIL 2026'!F39,"")</f>
        <v/>
      </c>
      <c r="E350" s="192" t="str">
        <f aca="false">IF(AND('ABRIL 2026'!D39&lt;&gt;"",'ABRIL 2026'!Z39="POR RECOGER"),TEXT('ABRIL 2026'!G39,"DD/MM/YYYY"),"")</f>
        <v/>
      </c>
      <c r="F350" s="192" t="str">
        <f aca="false">IF(AND('ABRIL 2026'!D39&lt;&gt;"",'ABRIL 2026'!Z39="POR RECOGER"),'ABRIL 2026'!K39,"")</f>
        <v/>
      </c>
      <c r="G350" s="193" t="str">
        <f aca="false">IF(AND('ABRIL 2026'!D39&lt;&gt;"",'ABRIL 2026'!Z39="POR RECOGER"),'ABRIL 2026'!M39,"")</f>
        <v/>
      </c>
      <c r="H350" s="193" t="str">
        <f aca="false">IF(AND('ABRIL 2026'!D39&lt;&gt;"",'ABRIL 2026'!Z39="POR RECOGER"),'ABRIL 2026'!N39,"")</f>
        <v/>
      </c>
      <c r="I350" s="192" t="str">
        <f aca="false">IF(AND('ABRIL 2026'!D39&lt;&gt;"",'ABRIL 2026'!Z39="POR RECOGER"),'ABRIL 2026'!P39,"")</f>
        <v/>
      </c>
      <c r="J350" s="192" t="str">
        <f aca="false">IF(AND('ABRIL 2026'!D39&lt;&gt;"",'ABRIL 2026'!Z39="POR RECOGER"),'ABRIL 2026'!Q39,"")</f>
        <v/>
      </c>
      <c r="K350" s="192" t="str">
        <f aca="false">IF(AND('ABRIL 2026'!D39&lt;&gt;"",'ABRIL 2026'!Z39="POR RECOGER"),'ABRIL 2026'!Y39,"")</f>
        <v/>
      </c>
      <c r="L350" s="192" t="str">
        <f aca="false">IF(AND('ABRIL 2026'!D39&lt;&gt;"",'ABRIL 2026'!Z39="POR RECOGER"),'ABRIL 2026'!I39,"")</f>
        <v/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" hidden="false" customHeight="true" outlineLevel="0" collapsed="false">
      <c r="A351" s="192" t="str">
        <f aca="false">IF(AND('ABRIL 2026'!D40&lt;&gt;"",'ABRIL 2026'!Z40="POR RECOGER"),"ABR","")</f>
        <v/>
      </c>
      <c r="B351" s="192" t="str">
        <f aca="false">IF(AND('ABRIL 2026'!D40&lt;&gt;"",'ABRIL 2026'!Z40="POR RECOGER"),IF('ABRIL 2026'!Y40&lt;&gt;"",'ABRIL 2026'!Y40,'ABRIL 2026'!I40),"")</f>
        <v/>
      </c>
      <c r="C351" s="192" t="str">
        <f aca="false">IF(AND('ABRIL 2026'!D40&lt;&gt;"",'ABRIL 2026'!Z40="POR RECOGER"),'ABRIL 2026'!D40,"")</f>
        <v/>
      </c>
      <c r="D351" s="192" t="str">
        <f aca="false">IF(AND('ABRIL 2026'!D40&lt;&gt;"",'ABRIL 2026'!Z40="POR RECOGER"),'ABRIL 2026'!F40,"")</f>
        <v/>
      </c>
      <c r="E351" s="192" t="str">
        <f aca="false">IF(AND('ABRIL 2026'!D40&lt;&gt;"",'ABRIL 2026'!Z40="POR RECOGER"),TEXT('ABRIL 2026'!G40,"DD/MM/YYYY"),"")</f>
        <v/>
      </c>
      <c r="F351" s="192" t="str">
        <f aca="false">IF(AND('ABRIL 2026'!D40&lt;&gt;"",'ABRIL 2026'!Z40="POR RECOGER"),'ABRIL 2026'!K40,"")</f>
        <v/>
      </c>
      <c r="G351" s="193" t="str">
        <f aca="false">IF(AND('ABRIL 2026'!D40&lt;&gt;"",'ABRIL 2026'!Z40="POR RECOGER"),'ABRIL 2026'!M40,"")</f>
        <v/>
      </c>
      <c r="H351" s="193" t="str">
        <f aca="false">IF(AND('ABRIL 2026'!D40&lt;&gt;"",'ABRIL 2026'!Z40="POR RECOGER"),'ABRIL 2026'!N40,"")</f>
        <v/>
      </c>
      <c r="I351" s="192" t="str">
        <f aca="false">IF(AND('ABRIL 2026'!D40&lt;&gt;"",'ABRIL 2026'!Z40="POR RECOGER"),'ABRIL 2026'!P40,"")</f>
        <v/>
      </c>
      <c r="J351" s="192" t="str">
        <f aca="false">IF(AND('ABRIL 2026'!D40&lt;&gt;"",'ABRIL 2026'!Z40="POR RECOGER"),'ABRIL 2026'!Q40,"")</f>
        <v/>
      </c>
      <c r="K351" s="192" t="str">
        <f aca="false">IF(AND('ABRIL 2026'!D40&lt;&gt;"",'ABRIL 2026'!Z40="POR RECOGER"),'ABRIL 2026'!Y40,"")</f>
        <v/>
      </c>
      <c r="L351" s="192" t="str">
        <f aca="false">IF(AND('ABRIL 2026'!D40&lt;&gt;"",'ABRIL 2026'!Z40="POR RECOGER"),'ABRIL 2026'!I40,"")</f>
        <v/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" hidden="false" customHeight="true" outlineLevel="0" collapsed="false">
      <c r="A352" s="192" t="str">
        <f aca="false">IF(AND('ABRIL 2026'!D41&lt;&gt;"",'ABRIL 2026'!Z41="POR RECOGER"),"ABR","")</f>
        <v/>
      </c>
      <c r="B352" s="192" t="str">
        <f aca="false">IF(AND('ABRIL 2026'!D41&lt;&gt;"",'ABRIL 2026'!Z41="POR RECOGER"),IF('ABRIL 2026'!Y41&lt;&gt;"",'ABRIL 2026'!Y41,'ABRIL 2026'!I41),"")</f>
        <v/>
      </c>
      <c r="C352" s="192" t="str">
        <f aca="false">IF(AND('ABRIL 2026'!D41&lt;&gt;"",'ABRIL 2026'!Z41="POR RECOGER"),'ABRIL 2026'!D41,"")</f>
        <v/>
      </c>
      <c r="D352" s="192" t="str">
        <f aca="false">IF(AND('ABRIL 2026'!D41&lt;&gt;"",'ABRIL 2026'!Z41="POR RECOGER"),'ABRIL 2026'!F41,"")</f>
        <v/>
      </c>
      <c r="E352" s="192" t="str">
        <f aca="false">IF(AND('ABRIL 2026'!D41&lt;&gt;"",'ABRIL 2026'!Z41="POR RECOGER"),TEXT('ABRIL 2026'!G41,"DD/MM/YYYY"),"")</f>
        <v/>
      </c>
      <c r="F352" s="192" t="str">
        <f aca="false">IF(AND('ABRIL 2026'!D41&lt;&gt;"",'ABRIL 2026'!Z41="POR RECOGER"),'ABRIL 2026'!K41,"")</f>
        <v/>
      </c>
      <c r="G352" s="193" t="str">
        <f aca="false">IF(AND('ABRIL 2026'!D41&lt;&gt;"",'ABRIL 2026'!Z41="POR RECOGER"),'ABRIL 2026'!M41,"")</f>
        <v/>
      </c>
      <c r="H352" s="193" t="str">
        <f aca="false">IF(AND('ABRIL 2026'!D41&lt;&gt;"",'ABRIL 2026'!Z41="POR RECOGER"),'ABRIL 2026'!N41,"")</f>
        <v/>
      </c>
      <c r="I352" s="192" t="str">
        <f aca="false">IF(AND('ABRIL 2026'!D41&lt;&gt;"",'ABRIL 2026'!Z41="POR RECOGER"),'ABRIL 2026'!P41,"")</f>
        <v/>
      </c>
      <c r="J352" s="192" t="str">
        <f aca="false">IF(AND('ABRIL 2026'!D41&lt;&gt;"",'ABRIL 2026'!Z41="POR RECOGER"),'ABRIL 2026'!Q41,"")</f>
        <v/>
      </c>
      <c r="K352" s="192" t="str">
        <f aca="false">IF(AND('ABRIL 2026'!D41&lt;&gt;"",'ABRIL 2026'!Z41="POR RECOGER"),'ABRIL 2026'!Y41,"")</f>
        <v/>
      </c>
      <c r="L352" s="192" t="str">
        <f aca="false">IF(AND('ABRIL 2026'!D41&lt;&gt;"",'ABRIL 2026'!Z41="POR RECOGER"),'ABRIL 2026'!I41,"")</f>
        <v/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" hidden="false" customHeight="true" outlineLevel="0" collapsed="false">
      <c r="A353" s="192" t="str">
        <f aca="false">IF(AND('ABRIL 2026'!D42&lt;&gt;"",'ABRIL 2026'!Z42="POR RECOGER"),"ABR","")</f>
        <v/>
      </c>
      <c r="B353" s="192" t="str">
        <f aca="false">IF(AND('ABRIL 2026'!D42&lt;&gt;"",'ABRIL 2026'!Z42="POR RECOGER"),IF('ABRIL 2026'!Y42&lt;&gt;"",'ABRIL 2026'!Y42,'ABRIL 2026'!I42),"")</f>
        <v/>
      </c>
      <c r="C353" s="192" t="str">
        <f aca="false">IF(AND('ABRIL 2026'!D42&lt;&gt;"",'ABRIL 2026'!Z42="POR RECOGER"),'ABRIL 2026'!D42,"")</f>
        <v/>
      </c>
      <c r="D353" s="192" t="str">
        <f aca="false">IF(AND('ABRIL 2026'!D42&lt;&gt;"",'ABRIL 2026'!Z42="POR RECOGER"),'ABRIL 2026'!F42,"")</f>
        <v/>
      </c>
      <c r="E353" s="192" t="str">
        <f aca="false">IF(AND('ABRIL 2026'!D42&lt;&gt;"",'ABRIL 2026'!Z42="POR RECOGER"),TEXT('ABRIL 2026'!G42,"DD/MM/YYYY"),"")</f>
        <v/>
      </c>
      <c r="F353" s="192" t="str">
        <f aca="false">IF(AND('ABRIL 2026'!D42&lt;&gt;"",'ABRIL 2026'!Z42="POR RECOGER"),'ABRIL 2026'!K42,"")</f>
        <v/>
      </c>
      <c r="G353" s="193" t="str">
        <f aca="false">IF(AND('ABRIL 2026'!D42&lt;&gt;"",'ABRIL 2026'!Z42="POR RECOGER"),'ABRIL 2026'!M42,"")</f>
        <v/>
      </c>
      <c r="H353" s="193" t="str">
        <f aca="false">IF(AND('ABRIL 2026'!D42&lt;&gt;"",'ABRIL 2026'!Z42="POR RECOGER"),'ABRIL 2026'!N42,"")</f>
        <v/>
      </c>
      <c r="I353" s="192" t="str">
        <f aca="false">IF(AND('ABRIL 2026'!D42&lt;&gt;"",'ABRIL 2026'!Z42="POR RECOGER"),'ABRIL 2026'!P42,"")</f>
        <v/>
      </c>
      <c r="J353" s="192" t="str">
        <f aca="false">IF(AND('ABRIL 2026'!D42&lt;&gt;"",'ABRIL 2026'!Z42="POR RECOGER"),'ABRIL 2026'!Q42,"")</f>
        <v/>
      </c>
      <c r="K353" s="192" t="str">
        <f aca="false">IF(AND('ABRIL 2026'!D42&lt;&gt;"",'ABRIL 2026'!Z42="POR RECOGER"),'ABRIL 2026'!Y42,"")</f>
        <v/>
      </c>
      <c r="L353" s="192" t="str">
        <f aca="false">IF(AND('ABRIL 2026'!D42&lt;&gt;"",'ABRIL 2026'!Z42="POR RECOGER"),'ABRIL 2026'!I42,"")</f>
        <v/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" hidden="false" customHeight="true" outlineLevel="0" collapsed="false">
      <c r="A354" s="192" t="str">
        <f aca="false">IF(AND('ABRIL 2026'!D43&lt;&gt;"",'ABRIL 2026'!Z43="POR RECOGER"),"ABR","")</f>
        <v/>
      </c>
      <c r="B354" s="192" t="str">
        <f aca="false">IF(AND('ABRIL 2026'!D43&lt;&gt;"",'ABRIL 2026'!Z43="POR RECOGER"),IF('ABRIL 2026'!Y43&lt;&gt;"",'ABRIL 2026'!Y43,'ABRIL 2026'!I43),"")</f>
        <v/>
      </c>
      <c r="C354" s="192" t="str">
        <f aca="false">IF(AND('ABRIL 2026'!D43&lt;&gt;"",'ABRIL 2026'!Z43="POR RECOGER"),'ABRIL 2026'!D43,"")</f>
        <v/>
      </c>
      <c r="D354" s="192" t="str">
        <f aca="false">IF(AND('ABRIL 2026'!D43&lt;&gt;"",'ABRIL 2026'!Z43="POR RECOGER"),'ABRIL 2026'!F43,"")</f>
        <v/>
      </c>
      <c r="E354" s="192" t="str">
        <f aca="false">IF(AND('ABRIL 2026'!D43&lt;&gt;"",'ABRIL 2026'!Z43="POR RECOGER"),TEXT('ABRIL 2026'!G43,"DD/MM/YYYY"),"")</f>
        <v/>
      </c>
      <c r="F354" s="192" t="str">
        <f aca="false">IF(AND('ABRIL 2026'!D43&lt;&gt;"",'ABRIL 2026'!Z43="POR RECOGER"),'ABRIL 2026'!K43,"")</f>
        <v/>
      </c>
      <c r="G354" s="193" t="str">
        <f aca="false">IF(AND('ABRIL 2026'!D43&lt;&gt;"",'ABRIL 2026'!Z43="POR RECOGER"),'ABRIL 2026'!M43,"")</f>
        <v/>
      </c>
      <c r="H354" s="193" t="str">
        <f aca="false">IF(AND('ABRIL 2026'!D43&lt;&gt;"",'ABRIL 2026'!Z43="POR RECOGER"),'ABRIL 2026'!N43,"")</f>
        <v/>
      </c>
      <c r="I354" s="192" t="str">
        <f aca="false">IF(AND('ABRIL 2026'!D43&lt;&gt;"",'ABRIL 2026'!Z43="POR RECOGER"),'ABRIL 2026'!P43,"")</f>
        <v/>
      </c>
      <c r="J354" s="192" t="str">
        <f aca="false">IF(AND('ABRIL 2026'!D43&lt;&gt;"",'ABRIL 2026'!Z43="POR RECOGER"),'ABRIL 2026'!Q43,"")</f>
        <v/>
      </c>
      <c r="K354" s="192" t="str">
        <f aca="false">IF(AND('ABRIL 2026'!D43&lt;&gt;"",'ABRIL 2026'!Z43="POR RECOGER"),'ABRIL 2026'!Y43,"")</f>
        <v/>
      </c>
      <c r="L354" s="192" t="str">
        <f aca="false">IF(AND('ABRIL 2026'!D43&lt;&gt;"",'ABRIL 2026'!Z43="POR RECOGER"),'ABRIL 2026'!I43,"")</f>
        <v/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" hidden="false" customHeight="true" outlineLevel="0" collapsed="false">
      <c r="A355" s="192" t="str">
        <f aca="false">IF(AND('ABRIL 2026'!D44&lt;&gt;"",'ABRIL 2026'!Z44="POR RECOGER"),"ABR","")</f>
        <v/>
      </c>
      <c r="B355" s="192" t="str">
        <f aca="false">IF(AND('ABRIL 2026'!D44&lt;&gt;"",'ABRIL 2026'!Z44="POR RECOGER"),IF('ABRIL 2026'!Y44&lt;&gt;"",'ABRIL 2026'!Y44,'ABRIL 2026'!I44),"")</f>
        <v/>
      </c>
      <c r="C355" s="192" t="str">
        <f aca="false">IF(AND('ABRIL 2026'!D44&lt;&gt;"",'ABRIL 2026'!Z44="POR RECOGER"),'ABRIL 2026'!D44,"")</f>
        <v/>
      </c>
      <c r="D355" s="192" t="str">
        <f aca="false">IF(AND('ABRIL 2026'!D44&lt;&gt;"",'ABRIL 2026'!Z44="POR RECOGER"),'ABRIL 2026'!F44,"")</f>
        <v/>
      </c>
      <c r="E355" s="192" t="str">
        <f aca="false">IF(AND('ABRIL 2026'!D44&lt;&gt;"",'ABRIL 2026'!Z44="POR RECOGER"),TEXT('ABRIL 2026'!G44,"DD/MM/YYYY"),"")</f>
        <v/>
      </c>
      <c r="F355" s="192" t="str">
        <f aca="false">IF(AND('ABRIL 2026'!D44&lt;&gt;"",'ABRIL 2026'!Z44="POR RECOGER"),'ABRIL 2026'!K44,"")</f>
        <v/>
      </c>
      <c r="G355" s="193" t="str">
        <f aca="false">IF(AND('ABRIL 2026'!D44&lt;&gt;"",'ABRIL 2026'!Z44="POR RECOGER"),'ABRIL 2026'!M44,"")</f>
        <v/>
      </c>
      <c r="H355" s="193" t="str">
        <f aca="false">IF(AND('ABRIL 2026'!D44&lt;&gt;"",'ABRIL 2026'!Z44="POR RECOGER"),'ABRIL 2026'!N44,"")</f>
        <v/>
      </c>
      <c r="I355" s="192" t="str">
        <f aca="false">IF(AND('ABRIL 2026'!D44&lt;&gt;"",'ABRIL 2026'!Z44="POR RECOGER"),'ABRIL 2026'!P44,"")</f>
        <v/>
      </c>
      <c r="J355" s="192" t="str">
        <f aca="false">IF(AND('ABRIL 2026'!D44&lt;&gt;"",'ABRIL 2026'!Z44="POR RECOGER"),'ABRIL 2026'!Q44,"")</f>
        <v/>
      </c>
      <c r="K355" s="192" t="str">
        <f aca="false">IF(AND('ABRIL 2026'!D44&lt;&gt;"",'ABRIL 2026'!Z44="POR RECOGER"),'ABRIL 2026'!Y44,"")</f>
        <v/>
      </c>
      <c r="L355" s="192" t="str">
        <f aca="false">IF(AND('ABRIL 2026'!D44&lt;&gt;"",'ABRIL 2026'!Z44="POR RECOGER"),'ABRIL 2026'!I44,"")</f>
        <v/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" hidden="false" customHeight="true" outlineLevel="0" collapsed="false">
      <c r="A356" s="192" t="str">
        <f aca="false">IF(AND('ABRIL 2026'!D45&lt;&gt;"",'ABRIL 2026'!Z45="POR RECOGER"),"ABR","")</f>
        <v/>
      </c>
      <c r="B356" s="192" t="str">
        <f aca="false">IF(AND('ABRIL 2026'!D45&lt;&gt;"",'ABRIL 2026'!Z45="POR RECOGER"),IF('ABRIL 2026'!Y45&lt;&gt;"",'ABRIL 2026'!Y45,'ABRIL 2026'!I45),"")</f>
        <v/>
      </c>
      <c r="C356" s="192" t="str">
        <f aca="false">IF(AND('ABRIL 2026'!D45&lt;&gt;"",'ABRIL 2026'!Z45="POR RECOGER"),'ABRIL 2026'!D45,"")</f>
        <v/>
      </c>
      <c r="D356" s="192" t="str">
        <f aca="false">IF(AND('ABRIL 2026'!D45&lt;&gt;"",'ABRIL 2026'!Z45="POR RECOGER"),'ABRIL 2026'!F45,"")</f>
        <v/>
      </c>
      <c r="E356" s="192" t="str">
        <f aca="false">IF(AND('ABRIL 2026'!D45&lt;&gt;"",'ABRIL 2026'!Z45="POR RECOGER"),TEXT('ABRIL 2026'!G45,"DD/MM/YYYY"),"")</f>
        <v/>
      </c>
      <c r="F356" s="192" t="str">
        <f aca="false">IF(AND('ABRIL 2026'!D45&lt;&gt;"",'ABRIL 2026'!Z45="POR RECOGER"),'ABRIL 2026'!K45,"")</f>
        <v/>
      </c>
      <c r="G356" s="193" t="str">
        <f aca="false">IF(AND('ABRIL 2026'!D45&lt;&gt;"",'ABRIL 2026'!Z45="POR RECOGER"),'ABRIL 2026'!M45,"")</f>
        <v/>
      </c>
      <c r="H356" s="193" t="str">
        <f aca="false">IF(AND('ABRIL 2026'!D45&lt;&gt;"",'ABRIL 2026'!Z45="POR RECOGER"),'ABRIL 2026'!N45,"")</f>
        <v/>
      </c>
      <c r="I356" s="192" t="str">
        <f aca="false">IF(AND('ABRIL 2026'!D45&lt;&gt;"",'ABRIL 2026'!Z45="POR RECOGER"),'ABRIL 2026'!P45,"")</f>
        <v/>
      </c>
      <c r="J356" s="192" t="str">
        <f aca="false">IF(AND('ABRIL 2026'!D45&lt;&gt;"",'ABRIL 2026'!Z45="POR RECOGER"),'ABRIL 2026'!Q45,"")</f>
        <v/>
      </c>
      <c r="K356" s="192" t="str">
        <f aca="false">IF(AND('ABRIL 2026'!D45&lt;&gt;"",'ABRIL 2026'!Z45="POR RECOGER"),'ABRIL 2026'!Y45,"")</f>
        <v/>
      </c>
      <c r="L356" s="192" t="str">
        <f aca="false">IF(AND('ABRIL 2026'!D45&lt;&gt;"",'ABRIL 2026'!Z45="POR RECOGER"),'ABRIL 2026'!I45,"")</f>
        <v/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" hidden="false" customHeight="true" outlineLevel="0" collapsed="false">
      <c r="A357" s="192" t="str">
        <f aca="false">IF(AND('ABRIL 2026'!D46&lt;&gt;"",'ABRIL 2026'!Z46="POR RECOGER"),"ABR","")</f>
        <v/>
      </c>
      <c r="B357" s="192" t="str">
        <f aca="false">IF(AND('ABRIL 2026'!D46&lt;&gt;"",'ABRIL 2026'!Z46="POR RECOGER"),IF('ABRIL 2026'!Y46&lt;&gt;"",'ABRIL 2026'!Y46,'ABRIL 2026'!I46),"")</f>
        <v/>
      </c>
      <c r="C357" s="192" t="str">
        <f aca="false">IF(AND('ABRIL 2026'!D46&lt;&gt;"",'ABRIL 2026'!Z46="POR RECOGER"),'ABRIL 2026'!D46,"")</f>
        <v/>
      </c>
      <c r="D357" s="192" t="str">
        <f aca="false">IF(AND('ABRIL 2026'!D46&lt;&gt;"",'ABRIL 2026'!Z46="POR RECOGER"),'ABRIL 2026'!F46,"")</f>
        <v/>
      </c>
      <c r="E357" s="192" t="str">
        <f aca="false">IF(AND('ABRIL 2026'!D46&lt;&gt;"",'ABRIL 2026'!Z46="POR RECOGER"),TEXT('ABRIL 2026'!G46,"DD/MM/YYYY"),"")</f>
        <v/>
      </c>
      <c r="F357" s="192" t="str">
        <f aca="false">IF(AND('ABRIL 2026'!D46&lt;&gt;"",'ABRIL 2026'!Z46="POR RECOGER"),'ABRIL 2026'!K46,"")</f>
        <v/>
      </c>
      <c r="G357" s="193" t="str">
        <f aca="false">IF(AND('ABRIL 2026'!D46&lt;&gt;"",'ABRIL 2026'!Z46="POR RECOGER"),'ABRIL 2026'!M46,"")</f>
        <v/>
      </c>
      <c r="H357" s="193" t="str">
        <f aca="false">IF(AND('ABRIL 2026'!D46&lt;&gt;"",'ABRIL 2026'!Z46="POR RECOGER"),'ABRIL 2026'!N46,"")</f>
        <v/>
      </c>
      <c r="I357" s="192" t="str">
        <f aca="false">IF(AND('ABRIL 2026'!D46&lt;&gt;"",'ABRIL 2026'!Z46="POR RECOGER"),'ABRIL 2026'!P46,"")</f>
        <v/>
      </c>
      <c r="J357" s="192" t="str">
        <f aca="false">IF(AND('ABRIL 2026'!D46&lt;&gt;"",'ABRIL 2026'!Z46="POR RECOGER"),'ABRIL 2026'!Q46,"")</f>
        <v/>
      </c>
      <c r="K357" s="192" t="str">
        <f aca="false">IF(AND('ABRIL 2026'!D46&lt;&gt;"",'ABRIL 2026'!Z46="POR RECOGER"),'ABRIL 2026'!Y46,"")</f>
        <v/>
      </c>
      <c r="L357" s="192" t="str">
        <f aca="false">IF(AND('ABRIL 2026'!D46&lt;&gt;"",'ABRIL 2026'!Z46="POR RECOGER"),'ABRIL 2026'!I46,"")</f>
        <v/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" hidden="false" customHeight="true" outlineLevel="0" collapsed="false">
      <c r="A358" s="192" t="str">
        <f aca="false">IF(AND('ABRIL 2026'!D47&lt;&gt;"",'ABRIL 2026'!Z47="POR RECOGER"),"ABR","")</f>
        <v/>
      </c>
      <c r="B358" s="192" t="str">
        <f aca="false">IF(AND('ABRIL 2026'!D47&lt;&gt;"",'ABRIL 2026'!Z47="POR RECOGER"),IF('ABRIL 2026'!Y47&lt;&gt;"",'ABRIL 2026'!Y47,'ABRIL 2026'!I47),"")</f>
        <v/>
      </c>
      <c r="C358" s="192" t="str">
        <f aca="false">IF(AND('ABRIL 2026'!D47&lt;&gt;"",'ABRIL 2026'!Z47="POR RECOGER"),'ABRIL 2026'!D47,"")</f>
        <v/>
      </c>
      <c r="D358" s="192" t="str">
        <f aca="false">IF(AND('ABRIL 2026'!D47&lt;&gt;"",'ABRIL 2026'!Z47="POR RECOGER"),'ABRIL 2026'!F47,"")</f>
        <v/>
      </c>
      <c r="E358" s="192" t="str">
        <f aca="false">IF(AND('ABRIL 2026'!D47&lt;&gt;"",'ABRIL 2026'!Z47="POR RECOGER"),TEXT('ABRIL 2026'!G47,"DD/MM/YYYY"),"")</f>
        <v/>
      </c>
      <c r="F358" s="192" t="str">
        <f aca="false">IF(AND('ABRIL 2026'!D47&lt;&gt;"",'ABRIL 2026'!Z47="POR RECOGER"),'ABRIL 2026'!K47,"")</f>
        <v/>
      </c>
      <c r="G358" s="193" t="str">
        <f aca="false">IF(AND('ABRIL 2026'!D47&lt;&gt;"",'ABRIL 2026'!Z47="POR RECOGER"),'ABRIL 2026'!M47,"")</f>
        <v/>
      </c>
      <c r="H358" s="193" t="str">
        <f aca="false">IF(AND('ABRIL 2026'!D47&lt;&gt;"",'ABRIL 2026'!Z47="POR RECOGER"),'ABRIL 2026'!N47,"")</f>
        <v/>
      </c>
      <c r="I358" s="192" t="str">
        <f aca="false">IF(AND('ABRIL 2026'!D47&lt;&gt;"",'ABRIL 2026'!Z47="POR RECOGER"),'ABRIL 2026'!P47,"")</f>
        <v/>
      </c>
      <c r="J358" s="192" t="str">
        <f aca="false">IF(AND('ABRIL 2026'!D47&lt;&gt;"",'ABRIL 2026'!Z47="POR RECOGER"),'ABRIL 2026'!Q47,"")</f>
        <v/>
      </c>
      <c r="K358" s="192" t="str">
        <f aca="false">IF(AND('ABRIL 2026'!D47&lt;&gt;"",'ABRIL 2026'!Z47="POR RECOGER"),'ABRIL 2026'!Y47,"")</f>
        <v/>
      </c>
      <c r="L358" s="192" t="str">
        <f aca="false">IF(AND('ABRIL 2026'!D47&lt;&gt;"",'ABRIL 2026'!Z47="POR RECOGER"),'ABRIL 2026'!I47,"")</f>
        <v/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" hidden="false" customHeight="true" outlineLevel="0" collapsed="false">
      <c r="A359" s="192" t="str">
        <f aca="false">IF(AND('ABRIL 2026'!D48&lt;&gt;"",'ABRIL 2026'!Z48="POR RECOGER"),"ABR","")</f>
        <v/>
      </c>
      <c r="B359" s="192" t="str">
        <f aca="false">IF(AND('ABRIL 2026'!D48&lt;&gt;"",'ABRIL 2026'!Z48="POR RECOGER"),IF('ABRIL 2026'!Y48&lt;&gt;"",'ABRIL 2026'!Y48,'ABRIL 2026'!I48),"")</f>
        <v/>
      </c>
      <c r="C359" s="192" t="str">
        <f aca="false">IF(AND('ABRIL 2026'!D48&lt;&gt;"",'ABRIL 2026'!Z48="POR RECOGER"),'ABRIL 2026'!D48,"")</f>
        <v/>
      </c>
      <c r="D359" s="192" t="str">
        <f aca="false">IF(AND('ABRIL 2026'!D48&lt;&gt;"",'ABRIL 2026'!Z48="POR RECOGER"),'ABRIL 2026'!F48,"")</f>
        <v/>
      </c>
      <c r="E359" s="192" t="str">
        <f aca="false">IF(AND('ABRIL 2026'!D48&lt;&gt;"",'ABRIL 2026'!Z48="POR RECOGER"),TEXT('ABRIL 2026'!G48,"DD/MM/YYYY"),"")</f>
        <v/>
      </c>
      <c r="F359" s="192" t="str">
        <f aca="false">IF(AND('ABRIL 2026'!D48&lt;&gt;"",'ABRIL 2026'!Z48="POR RECOGER"),'ABRIL 2026'!K48,"")</f>
        <v/>
      </c>
      <c r="G359" s="193" t="str">
        <f aca="false">IF(AND('ABRIL 2026'!D48&lt;&gt;"",'ABRIL 2026'!Z48="POR RECOGER"),'ABRIL 2026'!M48,"")</f>
        <v/>
      </c>
      <c r="H359" s="193" t="str">
        <f aca="false">IF(AND('ABRIL 2026'!D48&lt;&gt;"",'ABRIL 2026'!Z48="POR RECOGER"),'ABRIL 2026'!N48,"")</f>
        <v/>
      </c>
      <c r="I359" s="192" t="str">
        <f aca="false">IF(AND('ABRIL 2026'!D48&lt;&gt;"",'ABRIL 2026'!Z48="POR RECOGER"),'ABRIL 2026'!P48,"")</f>
        <v/>
      </c>
      <c r="J359" s="192" t="str">
        <f aca="false">IF(AND('ABRIL 2026'!D48&lt;&gt;"",'ABRIL 2026'!Z48="POR RECOGER"),'ABRIL 2026'!Q48,"")</f>
        <v/>
      </c>
      <c r="K359" s="192" t="str">
        <f aca="false">IF(AND('ABRIL 2026'!D48&lt;&gt;"",'ABRIL 2026'!Z48="POR RECOGER"),'ABRIL 2026'!Y48,"")</f>
        <v/>
      </c>
      <c r="L359" s="192" t="str">
        <f aca="false">IF(AND('ABRIL 2026'!D48&lt;&gt;"",'ABRIL 2026'!Z48="POR RECOGER"),'ABRIL 2026'!I48,"")</f>
        <v/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" hidden="false" customHeight="true" outlineLevel="0" collapsed="false">
      <c r="A360" s="192" t="str">
        <f aca="false">IF(AND('ABRIL 2026'!D49&lt;&gt;"",'ABRIL 2026'!Z49="POR RECOGER"),"ABR","")</f>
        <v/>
      </c>
      <c r="B360" s="192" t="str">
        <f aca="false">IF(AND('ABRIL 2026'!D49&lt;&gt;"",'ABRIL 2026'!Z49="POR RECOGER"),IF('ABRIL 2026'!Y49&lt;&gt;"",'ABRIL 2026'!Y49,'ABRIL 2026'!I49),"")</f>
        <v/>
      </c>
      <c r="C360" s="192" t="str">
        <f aca="false">IF(AND('ABRIL 2026'!D49&lt;&gt;"",'ABRIL 2026'!Z49="POR RECOGER"),'ABRIL 2026'!D49,"")</f>
        <v/>
      </c>
      <c r="D360" s="192" t="str">
        <f aca="false">IF(AND('ABRIL 2026'!D49&lt;&gt;"",'ABRIL 2026'!Z49="POR RECOGER"),'ABRIL 2026'!F49,"")</f>
        <v/>
      </c>
      <c r="E360" s="192" t="str">
        <f aca="false">IF(AND('ABRIL 2026'!D49&lt;&gt;"",'ABRIL 2026'!Z49="POR RECOGER"),TEXT('ABRIL 2026'!G49,"DD/MM/YYYY"),"")</f>
        <v/>
      </c>
      <c r="F360" s="192" t="str">
        <f aca="false">IF(AND('ABRIL 2026'!D49&lt;&gt;"",'ABRIL 2026'!Z49="POR RECOGER"),'ABRIL 2026'!K49,"")</f>
        <v/>
      </c>
      <c r="G360" s="193" t="str">
        <f aca="false">IF(AND('ABRIL 2026'!D49&lt;&gt;"",'ABRIL 2026'!Z49="POR RECOGER"),'ABRIL 2026'!M49,"")</f>
        <v/>
      </c>
      <c r="H360" s="193" t="str">
        <f aca="false">IF(AND('ABRIL 2026'!D49&lt;&gt;"",'ABRIL 2026'!Z49="POR RECOGER"),'ABRIL 2026'!N49,"")</f>
        <v/>
      </c>
      <c r="I360" s="192" t="str">
        <f aca="false">IF(AND('ABRIL 2026'!D49&lt;&gt;"",'ABRIL 2026'!Z49="POR RECOGER"),'ABRIL 2026'!P49,"")</f>
        <v/>
      </c>
      <c r="J360" s="192" t="str">
        <f aca="false">IF(AND('ABRIL 2026'!D49&lt;&gt;"",'ABRIL 2026'!Z49="POR RECOGER"),'ABRIL 2026'!Q49,"")</f>
        <v/>
      </c>
      <c r="K360" s="192" t="str">
        <f aca="false">IF(AND('ABRIL 2026'!D49&lt;&gt;"",'ABRIL 2026'!Z49="POR RECOGER"),'ABRIL 2026'!Y49,"")</f>
        <v/>
      </c>
      <c r="L360" s="192" t="str">
        <f aca="false">IF(AND('ABRIL 2026'!D49&lt;&gt;"",'ABRIL 2026'!Z49="POR RECOGER"),'ABRIL 2026'!I49,"")</f>
        <v/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" hidden="false" customHeight="true" outlineLevel="0" collapsed="false">
      <c r="A361" s="192" t="str">
        <f aca="false">IF(AND('ABRIL 2026'!D50&lt;&gt;"",'ABRIL 2026'!Z50="POR RECOGER"),"ABR","")</f>
        <v/>
      </c>
      <c r="B361" s="192" t="str">
        <f aca="false">IF(AND('ABRIL 2026'!D50&lt;&gt;"",'ABRIL 2026'!Z50="POR RECOGER"),IF('ABRIL 2026'!Y50&lt;&gt;"",'ABRIL 2026'!Y50,'ABRIL 2026'!I50),"")</f>
        <v/>
      </c>
      <c r="C361" s="192" t="str">
        <f aca="false">IF(AND('ABRIL 2026'!D50&lt;&gt;"",'ABRIL 2026'!Z50="POR RECOGER"),'ABRIL 2026'!D50,"")</f>
        <v/>
      </c>
      <c r="D361" s="192" t="str">
        <f aca="false">IF(AND('ABRIL 2026'!D50&lt;&gt;"",'ABRIL 2026'!Z50="POR RECOGER"),'ABRIL 2026'!F50,"")</f>
        <v/>
      </c>
      <c r="E361" s="192" t="str">
        <f aca="false">IF(AND('ABRIL 2026'!D50&lt;&gt;"",'ABRIL 2026'!Z50="POR RECOGER"),TEXT('ABRIL 2026'!G50,"DD/MM/YYYY"),"")</f>
        <v/>
      </c>
      <c r="F361" s="192" t="str">
        <f aca="false">IF(AND('ABRIL 2026'!D50&lt;&gt;"",'ABRIL 2026'!Z50="POR RECOGER"),'ABRIL 2026'!K50,"")</f>
        <v/>
      </c>
      <c r="G361" s="193" t="str">
        <f aca="false">IF(AND('ABRIL 2026'!D50&lt;&gt;"",'ABRIL 2026'!Z50="POR RECOGER"),'ABRIL 2026'!M50,"")</f>
        <v/>
      </c>
      <c r="H361" s="193" t="str">
        <f aca="false">IF(AND('ABRIL 2026'!D50&lt;&gt;"",'ABRIL 2026'!Z50="POR RECOGER"),'ABRIL 2026'!N50,"")</f>
        <v/>
      </c>
      <c r="I361" s="192" t="str">
        <f aca="false">IF(AND('ABRIL 2026'!D50&lt;&gt;"",'ABRIL 2026'!Z50="POR RECOGER"),'ABRIL 2026'!P50,"")</f>
        <v/>
      </c>
      <c r="J361" s="192" t="str">
        <f aca="false">IF(AND('ABRIL 2026'!D50&lt;&gt;"",'ABRIL 2026'!Z50="POR RECOGER"),'ABRIL 2026'!Q50,"")</f>
        <v/>
      </c>
      <c r="K361" s="192" t="str">
        <f aca="false">IF(AND('ABRIL 2026'!D50&lt;&gt;"",'ABRIL 2026'!Z50="POR RECOGER"),'ABRIL 2026'!Y50,"")</f>
        <v/>
      </c>
      <c r="L361" s="192" t="str">
        <f aca="false">IF(AND('ABRIL 2026'!D50&lt;&gt;"",'ABRIL 2026'!Z50="POR RECOGER"),'ABRIL 2026'!I50,"")</f>
        <v/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" hidden="false" customHeight="true" outlineLevel="0" collapsed="false">
      <c r="A362" s="192" t="str">
        <f aca="false">IF(AND('ABRIL 2026'!D51&lt;&gt;"",'ABRIL 2026'!Z51="POR RECOGER"),"ABR","")</f>
        <v/>
      </c>
      <c r="B362" s="192" t="str">
        <f aca="false">IF(AND('ABRIL 2026'!D51&lt;&gt;"",'ABRIL 2026'!Z51="POR RECOGER"),IF('ABRIL 2026'!Y51&lt;&gt;"",'ABRIL 2026'!Y51,'ABRIL 2026'!I51),"")</f>
        <v/>
      </c>
      <c r="C362" s="192" t="str">
        <f aca="false">IF(AND('ABRIL 2026'!D51&lt;&gt;"",'ABRIL 2026'!Z51="POR RECOGER"),'ABRIL 2026'!D51,"")</f>
        <v/>
      </c>
      <c r="D362" s="192" t="str">
        <f aca="false">IF(AND('ABRIL 2026'!D51&lt;&gt;"",'ABRIL 2026'!Z51="POR RECOGER"),'ABRIL 2026'!F51,"")</f>
        <v/>
      </c>
      <c r="E362" s="192" t="str">
        <f aca="false">IF(AND('ABRIL 2026'!D51&lt;&gt;"",'ABRIL 2026'!Z51="POR RECOGER"),TEXT('ABRIL 2026'!G51,"DD/MM/YYYY"),"")</f>
        <v/>
      </c>
      <c r="F362" s="192" t="str">
        <f aca="false">IF(AND('ABRIL 2026'!D51&lt;&gt;"",'ABRIL 2026'!Z51="POR RECOGER"),'ABRIL 2026'!K51,"")</f>
        <v/>
      </c>
      <c r="G362" s="193" t="str">
        <f aca="false">IF(AND('ABRIL 2026'!D51&lt;&gt;"",'ABRIL 2026'!Z51="POR RECOGER"),'ABRIL 2026'!M51,"")</f>
        <v/>
      </c>
      <c r="H362" s="193" t="str">
        <f aca="false">IF(AND('ABRIL 2026'!D51&lt;&gt;"",'ABRIL 2026'!Z51="POR RECOGER"),'ABRIL 2026'!N51,"")</f>
        <v/>
      </c>
      <c r="I362" s="192" t="str">
        <f aca="false">IF(AND('ABRIL 2026'!D51&lt;&gt;"",'ABRIL 2026'!Z51="POR RECOGER"),'ABRIL 2026'!P51,"")</f>
        <v/>
      </c>
      <c r="J362" s="192" t="str">
        <f aca="false">IF(AND('ABRIL 2026'!D51&lt;&gt;"",'ABRIL 2026'!Z51="POR RECOGER"),'ABRIL 2026'!Q51,"")</f>
        <v/>
      </c>
      <c r="K362" s="192" t="str">
        <f aca="false">IF(AND('ABRIL 2026'!D51&lt;&gt;"",'ABRIL 2026'!Z51="POR RECOGER"),'ABRIL 2026'!Y51,"")</f>
        <v/>
      </c>
      <c r="L362" s="192" t="str">
        <f aca="false">IF(AND('ABRIL 2026'!D51&lt;&gt;"",'ABRIL 2026'!Z51="POR RECOGER"),'ABRIL 2026'!I51,"")</f>
        <v/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" hidden="false" customHeight="true" outlineLevel="0" collapsed="false">
      <c r="A363" s="192" t="str">
        <f aca="false">IF(AND('ABRIL 2026'!D52&lt;&gt;"",'ABRIL 2026'!Z52="POR RECOGER"),"ABR","")</f>
        <v/>
      </c>
      <c r="B363" s="192" t="str">
        <f aca="false">IF(AND('ABRIL 2026'!D52&lt;&gt;"",'ABRIL 2026'!Z52="POR RECOGER"),IF('ABRIL 2026'!Y52&lt;&gt;"",'ABRIL 2026'!Y52,'ABRIL 2026'!I52),"")</f>
        <v/>
      </c>
      <c r="C363" s="192" t="str">
        <f aca="false">IF(AND('ABRIL 2026'!D52&lt;&gt;"",'ABRIL 2026'!Z52="POR RECOGER"),'ABRIL 2026'!D52,"")</f>
        <v/>
      </c>
      <c r="D363" s="192" t="str">
        <f aca="false">IF(AND('ABRIL 2026'!D52&lt;&gt;"",'ABRIL 2026'!Z52="POR RECOGER"),'ABRIL 2026'!F52,"")</f>
        <v/>
      </c>
      <c r="E363" s="192" t="str">
        <f aca="false">IF(AND('ABRIL 2026'!D52&lt;&gt;"",'ABRIL 2026'!Z52="POR RECOGER"),TEXT('ABRIL 2026'!G52,"DD/MM/YYYY"),"")</f>
        <v/>
      </c>
      <c r="F363" s="192" t="str">
        <f aca="false">IF(AND('ABRIL 2026'!D52&lt;&gt;"",'ABRIL 2026'!Z52="POR RECOGER"),'ABRIL 2026'!K52,"")</f>
        <v/>
      </c>
      <c r="G363" s="193" t="str">
        <f aca="false">IF(AND('ABRIL 2026'!D52&lt;&gt;"",'ABRIL 2026'!Z52="POR RECOGER"),'ABRIL 2026'!M52,"")</f>
        <v/>
      </c>
      <c r="H363" s="193" t="str">
        <f aca="false">IF(AND('ABRIL 2026'!D52&lt;&gt;"",'ABRIL 2026'!Z52="POR RECOGER"),'ABRIL 2026'!N52,"")</f>
        <v/>
      </c>
      <c r="I363" s="192" t="str">
        <f aca="false">IF(AND('ABRIL 2026'!D52&lt;&gt;"",'ABRIL 2026'!Z52="POR RECOGER"),'ABRIL 2026'!P52,"")</f>
        <v/>
      </c>
      <c r="J363" s="192" t="str">
        <f aca="false">IF(AND('ABRIL 2026'!D52&lt;&gt;"",'ABRIL 2026'!Z52="POR RECOGER"),'ABRIL 2026'!Q52,"")</f>
        <v/>
      </c>
      <c r="K363" s="192" t="str">
        <f aca="false">IF(AND('ABRIL 2026'!D52&lt;&gt;"",'ABRIL 2026'!Z52="POR RECOGER"),'ABRIL 2026'!Y52,"")</f>
        <v/>
      </c>
      <c r="L363" s="192" t="str">
        <f aca="false">IF(AND('ABRIL 2026'!D52&lt;&gt;"",'ABRIL 2026'!Z52="POR RECOGER"),'ABRIL 2026'!I52,"")</f>
        <v/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" hidden="false" customHeight="true" outlineLevel="0" collapsed="false">
      <c r="A364" s="192" t="str">
        <f aca="false">IF(AND('ABRIL 2026'!D53&lt;&gt;"",'ABRIL 2026'!Z53="POR RECOGER"),"ABR","")</f>
        <v/>
      </c>
      <c r="B364" s="192" t="str">
        <f aca="false">IF(AND('ABRIL 2026'!D53&lt;&gt;"",'ABRIL 2026'!Z53="POR RECOGER"),IF('ABRIL 2026'!Y53&lt;&gt;"",'ABRIL 2026'!Y53,'ABRIL 2026'!I53),"")</f>
        <v/>
      </c>
      <c r="C364" s="192" t="str">
        <f aca="false">IF(AND('ABRIL 2026'!D53&lt;&gt;"",'ABRIL 2026'!Z53="POR RECOGER"),'ABRIL 2026'!D53,"")</f>
        <v/>
      </c>
      <c r="D364" s="192" t="str">
        <f aca="false">IF(AND('ABRIL 2026'!D53&lt;&gt;"",'ABRIL 2026'!Z53="POR RECOGER"),'ABRIL 2026'!F53,"")</f>
        <v/>
      </c>
      <c r="E364" s="192" t="str">
        <f aca="false">IF(AND('ABRIL 2026'!D53&lt;&gt;"",'ABRIL 2026'!Z53="POR RECOGER"),TEXT('ABRIL 2026'!G53,"DD/MM/YYYY"),"")</f>
        <v/>
      </c>
      <c r="F364" s="192" t="str">
        <f aca="false">IF(AND('ABRIL 2026'!D53&lt;&gt;"",'ABRIL 2026'!Z53="POR RECOGER"),'ABRIL 2026'!K53,"")</f>
        <v/>
      </c>
      <c r="G364" s="193" t="str">
        <f aca="false">IF(AND('ABRIL 2026'!D53&lt;&gt;"",'ABRIL 2026'!Z53="POR RECOGER"),'ABRIL 2026'!M53,"")</f>
        <v/>
      </c>
      <c r="H364" s="193" t="str">
        <f aca="false">IF(AND('ABRIL 2026'!D53&lt;&gt;"",'ABRIL 2026'!Z53="POR RECOGER"),'ABRIL 2026'!N53,"")</f>
        <v/>
      </c>
      <c r="I364" s="192" t="str">
        <f aca="false">IF(AND('ABRIL 2026'!D53&lt;&gt;"",'ABRIL 2026'!Z53="POR RECOGER"),'ABRIL 2026'!P53,"")</f>
        <v/>
      </c>
      <c r="J364" s="192" t="str">
        <f aca="false">IF(AND('ABRIL 2026'!D53&lt;&gt;"",'ABRIL 2026'!Z53="POR RECOGER"),'ABRIL 2026'!Q53,"")</f>
        <v/>
      </c>
      <c r="K364" s="192" t="str">
        <f aca="false">IF(AND('ABRIL 2026'!D53&lt;&gt;"",'ABRIL 2026'!Z53="POR RECOGER"),'ABRIL 2026'!Y53,"")</f>
        <v/>
      </c>
      <c r="L364" s="192" t="str">
        <f aca="false">IF(AND('ABRIL 2026'!D53&lt;&gt;"",'ABRIL 2026'!Z53="POR RECOGER"),'ABRIL 2026'!I53,"")</f>
        <v/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" hidden="false" customHeight="true" outlineLevel="0" collapsed="false">
      <c r="A365" s="192" t="str">
        <f aca="false">IF(AND('ABRIL 2026'!D54&lt;&gt;"",'ABRIL 2026'!Z54="POR RECOGER"),"ABR","")</f>
        <v/>
      </c>
      <c r="B365" s="192" t="str">
        <f aca="false">IF(AND('ABRIL 2026'!D54&lt;&gt;"",'ABRIL 2026'!Z54="POR RECOGER"),IF('ABRIL 2026'!Y54&lt;&gt;"",'ABRIL 2026'!Y54,'ABRIL 2026'!I54),"")</f>
        <v/>
      </c>
      <c r="C365" s="192" t="str">
        <f aca="false">IF(AND('ABRIL 2026'!D54&lt;&gt;"",'ABRIL 2026'!Z54="POR RECOGER"),'ABRIL 2026'!D54,"")</f>
        <v/>
      </c>
      <c r="D365" s="192" t="str">
        <f aca="false">IF(AND('ABRIL 2026'!D54&lt;&gt;"",'ABRIL 2026'!Z54="POR RECOGER"),'ABRIL 2026'!F54,"")</f>
        <v/>
      </c>
      <c r="E365" s="192" t="str">
        <f aca="false">IF(AND('ABRIL 2026'!D54&lt;&gt;"",'ABRIL 2026'!Z54="POR RECOGER"),TEXT('ABRIL 2026'!G54,"DD/MM/YYYY"),"")</f>
        <v/>
      </c>
      <c r="F365" s="192" t="str">
        <f aca="false">IF(AND('ABRIL 2026'!D54&lt;&gt;"",'ABRIL 2026'!Z54="POR RECOGER"),'ABRIL 2026'!K54,"")</f>
        <v/>
      </c>
      <c r="G365" s="193" t="str">
        <f aca="false">IF(AND('ABRIL 2026'!D54&lt;&gt;"",'ABRIL 2026'!Z54="POR RECOGER"),'ABRIL 2026'!M54,"")</f>
        <v/>
      </c>
      <c r="H365" s="193" t="str">
        <f aca="false">IF(AND('ABRIL 2026'!D54&lt;&gt;"",'ABRIL 2026'!Z54="POR RECOGER"),'ABRIL 2026'!N54,"")</f>
        <v/>
      </c>
      <c r="I365" s="192" t="str">
        <f aca="false">IF(AND('ABRIL 2026'!D54&lt;&gt;"",'ABRIL 2026'!Z54="POR RECOGER"),'ABRIL 2026'!P54,"")</f>
        <v/>
      </c>
      <c r="J365" s="192" t="str">
        <f aca="false">IF(AND('ABRIL 2026'!D54&lt;&gt;"",'ABRIL 2026'!Z54="POR RECOGER"),'ABRIL 2026'!Q54,"")</f>
        <v/>
      </c>
      <c r="K365" s="192" t="str">
        <f aca="false">IF(AND('ABRIL 2026'!D54&lt;&gt;"",'ABRIL 2026'!Z54="POR RECOGER"),'ABRIL 2026'!Y54,"")</f>
        <v/>
      </c>
      <c r="L365" s="192" t="str">
        <f aca="false">IF(AND('ABRIL 2026'!D54&lt;&gt;"",'ABRIL 2026'!Z54="POR RECOGER"),'ABRIL 2026'!I54,"")</f>
        <v/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" hidden="false" customHeight="true" outlineLevel="0" collapsed="false">
      <c r="A366" s="192" t="str">
        <f aca="false">IF(AND('ABRIL 2026'!D55&lt;&gt;"",'ABRIL 2026'!Z55="POR RECOGER"),"ABR","")</f>
        <v/>
      </c>
      <c r="B366" s="192" t="str">
        <f aca="false">IF(AND('ABRIL 2026'!D55&lt;&gt;"",'ABRIL 2026'!Z55="POR RECOGER"),IF('ABRIL 2026'!Y55&lt;&gt;"",'ABRIL 2026'!Y55,'ABRIL 2026'!I55),"")</f>
        <v/>
      </c>
      <c r="C366" s="192" t="str">
        <f aca="false">IF(AND('ABRIL 2026'!D55&lt;&gt;"",'ABRIL 2026'!Z55="POR RECOGER"),'ABRIL 2026'!D55,"")</f>
        <v/>
      </c>
      <c r="D366" s="192" t="str">
        <f aca="false">IF(AND('ABRIL 2026'!D55&lt;&gt;"",'ABRIL 2026'!Z55="POR RECOGER"),'ABRIL 2026'!F55,"")</f>
        <v/>
      </c>
      <c r="E366" s="192" t="str">
        <f aca="false">IF(AND('ABRIL 2026'!D55&lt;&gt;"",'ABRIL 2026'!Z55="POR RECOGER"),TEXT('ABRIL 2026'!G55,"DD/MM/YYYY"),"")</f>
        <v/>
      </c>
      <c r="F366" s="192" t="str">
        <f aca="false">IF(AND('ABRIL 2026'!D55&lt;&gt;"",'ABRIL 2026'!Z55="POR RECOGER"),'ABRIL 2026'!K55,"")</f>
        <v/>
      </c>
      <c r="G366" s="193" t="str">
        <f aca="false">IF(AND('ABRIL 2026'!D55&lt;&gt;"",'ABRIL 2026'!Z55="POR RECOGER"),'ABRIL 2026'!M55,"")</f>
        <v/>
      </c>
      <c r="H366" s="193" t="str">
        <f aca="false">IF(AND('ABRIL 2026'!D55&lt;&gt;"",'ABRIL 2026'!Z55="POR RECOGER"),'ABRIL 2026'!N55,"")</f>
        <v/>
      </c>
      <c r="I366" s="192" t="str">
        <f aca="false">IF(AND('ABRIL 2026'!D55&lt;&gt;"",'ABRIL 2026'!Z55="POR RECOGER"),'ABRIL 2026'!P55,"")</f>
        <v/>
      </c>
      <c r="J366" s="192" t="str">
        <f aca="false">IF(AND('ABRIL 2026'!D55&lt;&gt;"",'ABRIL 2026'!Z55="POR RECOGER"),'ABRIL 2026'!Q55,"")</f>
        <v/>
      </c>
      <c r="K366" s="192" t="str">
        <f aca="false">IF(AND('ABRIL 2026'!D55&lt;&gt;"",'ABRIL 2026'!Z55="POR RECOGER"),'ABRIL 2026'!Y55,"")</f>
        <v/>
      </c>
      <c r="L366" s="192" t="str">
        <f aca="false">IF(AND('ABRIL 2026'!D55&lt;&gt;"",'ABRIL 2026'!Z55="POR RECOGER"),'ABRIL 2026'!I55,"")</f>
        <v/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" hidden="false" customHeight="true" outlineLevel="0" collapsed="false">
      <c r="A367" s="192" t="str">
        <f aca="false">IF(AND('ABRIL 2026'!D56&lt;&gt;"",'ABRIL 2026'!Z56="POR RECOGER"),"ABR","")</f>
        <v/>
      </c>
      <c r="B367" s="192" t="str">
        <f aca="false">IF(AND('ABRIL 2026'!D56&lt;&gt;"",'ABRIL 2026'!Z56="POR RECOGER"),IF('ABRIL 2026'!Y56&lt;&gt;"",'ABRIL 2026'!Y56,'ABRIL 2026'!I56),"")</f>
        <v/>
      </c>
      <c r="C367" s="192" t="str">
        <f aca="false">IF(AND('ABRIL 2026'!D56&lt;&gt;"",'ABRIL 2026'!Z56="POR RECOGER"),'ABRIL 2026'!D56,"")</f>
        <v/>
      </c>
      <c r="D367" s="192" t="str">
        <f aca="false">IF(AND('ABRIL 2026'!D56&lt;&gt;"",'ABRIL 2026'!Z56="POR RECOGER"),'ABRIL 2026'!F56,"")</f>
        <v/>
      </c>
      <c r="E367" s="192" t="str">
        <f aca="false">IF(AND('ABRIL 2026'!D56&lt;&gt;"",'ABRIL 2026'!Z56="POR RECOGER"),TEXT('ABRIL 2026'!G56,"DD/MM/YYYY"),"")</f>
        <v/>
      </c>
      <c r="F367" s="192" t="str">
        <f aca="false">IF(AND('ABRIL 2026'!D56&lt;&gt;"",'ABRIL 2026'!Z56="POR RECOGER"),'ABRIL 2026'!K56,"")</f>
        <v/>
      </c>
      <c r="G367" s="193" t="str">
        <f aca="false">IF(AND('ABRIL 2026'!D56&lt;&gt;"",'ABRIL 2026'!Z56="POR RECOGER"),'ABRIL 2026'!M56,"")</f>
        <v/>
      </c>
      <c r="H367" s="193" t="str">
        <f aca="false">IF(AND('ABRIL 2026'!D56&lt;&gt;"",'ABRIL 2026'!Z56="POR RECOGER"),'ABRIL 2026'!N56,"")</f>
        <v/>
      </c>
      <c r="I367" s="192" t="str">
        <f aca="false">IF(AND('ABRIL 2026'!D56&lt;&gt;"",'ABRIL 2026'!Z56="POR RECOGER"),'ABRIL 2026'!P56,"")</f>
        <v/>
      </c>
      <c r="J367" s="192" t="str">
        <f aca="false">IF(AND('ABRIL 2026'!D56&lt;&gt;"",'ABRIL 2026'!Z56="POR RECOGER"),'ABRIL 2026'!Q56,"")</f>
        <v/>
      </c>
      <c r="K367" s="192" t="str">
        <f aca="false">IF(AND('ABRIL 2026'!D56&lt;&gt;"",'ABRIL 2026'!Z56="POR RECOGER"),'ABRIL 2026'!Y56,"")</f>
        <v/>
      </c>
      <c r="L367" s="192" t="str">
        <f aca="false">IF(AND('ABRIL 2026'!D56&lt;&gt;"",'ABRIL 2026'!Z56="POR RECOGER"),'ABRIL 2026'!I56,"")</f>
        <v/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" hidden="false" customHeight="true" outlineLevel="0" collapsed="false">
      <c r="A368" s="192" t="str">
        <f aca="false">IF(AND('ABRIL 2026'!D57&lt;&gt;"",'ABRIL 2026'!Z57="POR RECOGER"),"ABR","")</f>
        <v/>
      </c>
      <c r="B368" s="192" t="str">
        <f aca="false">IF(AND('ABRIL 2026'!D57&lt;&gt;"",'ABRIL 2026'!Z57="POR RECOGER"),IF('ABRIL 2026'!Y57&lt;&gt;"",'ABRIL 2026'!Y57,'ABRIL 2026'!I57),"")</f>
        <v/>
      </c>
      <c r="C368" s="192" t="str">
        <f aca="false">IF(AND('ABRIL 2026'!D57&lt;&gt;"",'ABRIL 2026'!Z57="POR RECOGER"),'ABRIL 2026'!D57,"")</f>
        <v/>
      </c>
      <c r="D368" s="192" t="str">
        <f aca="false">IF(AND('ABRIL 2026'!D57&lt;&gt;"",'ABRIL 2026'!Z57="POR RECOGER"),'ABRIL 2026'!F57,"")</f>
        <v/>
      </c>
      <c r="E368" s="192" t="str">
        <f aca="false">IF(AND('ABRIL 2026'!D57&lt;&gt;"",'ABRIL 2026'!Z57="POR RECOGER"),TEXT('ABRIL 2026'!G57,"DD/MM/YYYY"),"")</f>
        <v/>
      </c>
      <c r="F368" s="192" t="str">
        <f aca="false">IF(AND('ABRIL 2026'!D57&lt;&gt;"",'ABRIL 2026'!Z57="POR RECOGER"),'ABRIL 2026'!K57,"")</f>
        <v/>
      </c>
      <c r="G368" s="193" t="str">
        <f aca="false">IF(AND('ABRIL 2026'!D57&lt;&gt;"",'ABRIL 2026'!Z57="POR RECOGER"),'ABRIL 2026'!M57,"")</f>
        <v/>
      </c>
      <c r="H368" s="193" t="str">
        <f aca="false">IF(AND('ABRIL 2026'!D57&lt;&gt;"",'ABRIL 2026'!Z57="POR RECOGER"),'ABRIL 2026'!N57,"")</f>
        <v/>
      </c>
      <c r="I368" s="192" t="str">
        <f aca="false">IF(AND('ABRIL 2026'!D57&lt;&gt;"",'ABRIL 2026'!Z57="POR RECOGER"),'ABRIL 2026'!P57,"")</f>
        <v/>
      </c>
      <c r="J368" s="192" t="str">
        <f aca="false">IF(AND('ABRIL 2026'!D57&lt;&gt;"",'ABRIL 2026'!Z57="POR RECOGER"),'ABRIL 2026'!Q57,"")</f>
        <v/>
      </c>
      <c r="K368" s="192" t="str">
        <f aca="false">IF(AND('ABRIL 2026'!D57&lt;&gt;"",'ABRIL 2026'!Z57="POR RECOGER"),'ABRIL 2026'!Y57,"")</f>
        <v/>
      </c>
      <c r="L368" s="192" t="str">
        <f aca="false">IF(AND('ABRIL 2026'!D57&lt;&gt;"",'ABRIL 2026'!Z57="POR RECOGER"),'ABRIL 2026'!I57,"")</f>
        <v/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" hidden="false" customHeight="true" outlineLevel="0" collapsed="false">
      <c r="A369" s="192" t="str">
        <f aca="false">IF(AND('ABRIL 2026'!D58&lt;&gt;"",'ABRIL 2026'!Z58="POR RECOGER"),"ABR","")</f>
        <v/>
      </c>
      <c r="B369" s="192" t="str">
        <f aca="false">IF(AND('ABRIL 2026'!D58&lt;&gt;"",'ABRIL 2026'!Z58="POR RECOGER"),IF('ABRIL 2026'!Y58&lt;&gt;"",'ABRIL 2026'!Y58,'ABRIL 2026'!I58),"")</f>
        <v/>
      </c>
      <c r="C369" s="192" t="str">
        <f aca="false">IF(AND('ABRIL 2026'!D58&lt;&gt;"",'ABRIL 2026'!Z58="POR RECOGER"),'ABRIL 2026'!D58,"")</f>
        <v/>
      </c>
      <c r="D369" s="192" t="str">
        <f aca="false">IF(AND('ABRIL 2026'!D58&lt;&gt;"",'ABRIL 2026'!Z58="POR RECOGER"),'ABRIL 2026'!F58,"")</f>
        <v/>
      </c>
      <c r="E369" s="192" t="str">
        <f aca="false">IF(AND('ABRIL 2026'!D58&lt;&gt;"",'ABRIL 2026'!Z58="POR RECOGER"),TEXT('ABRIL 2026'!G58,"DD/MM/YYYY"),"")</f>
        <v/>
      </c>
      <c r="F369" s="192" t="str">
        <f aca="false">IF(AND('ABRIL 2026'!D58&lt;&gt;"",'ABRIL 2026'!Z58="POR RECOGER"),'ABRIL 2026'!K58,"")</f>
        <v/>
      </c>
      <c r="G369" s="193" t="str">
        <f aca="false">IF(AND('ABRIL 2026'!D58&lt;&gt;"",'ABRIL 2026'!Z58="POR RECOGER"),'ABRIL 2026'!M58,"")</f>
        <v/>
      </c>
      <c r="H369" s="193" t="str">
        <f aca="false">IF(AND('ABRIL 2026'!D58&lt;&gt;"",'ABRIL 2026'!Z58="POR RECOGER"),'ABRIL 2026'!N58,"")</f>
        <v/>
      </c>
      <c r="I369" s="192" t="str">
        <f aca="false">IF(AND('ABRIL 2026'!D58&lt;&gt;"",'ABRIL 2026'!Z58="POR RECOGER"),'ABRIL 2026'!P58,"")</f>
        <v/>
      </c>
      <c r="J369" s="192" t="str">
        <f aca="false">IF(AND('ABRIL 2026'!D58&lt;&gt;"",'ABRIL 2026'!Z58="POR RECOGER"),'ABRIL 2026'!Q58,"")</f>
        <v/>
      </c>
      <c r="K369" s="192" t="str">
        <f aca="false">IF(AND('ABRIL 2026'!D58&lt;&gt;"",'ABRIL 2026'!Z58="POR RECOGER"),'ABRIL 2026'!Y58,"")</f>
        <v/>
      </c>
      <c r="L369" s="192" t="str">
        <f aca="false">IF(AND('ABRIL 2026'!D58&lt;&gt;"",'ABRIL 2026'!Z58="POR RECOGER"),'ABRIL 2026'!I58,"")</f>
        <v/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" hidden="false" customHeight="true" outlineLevel="0" collapsed="false">
      <c r="A370" s="192" t="str">
        <f aca="false">IF(AND('ABRIL 2026'!D59&lt;&gt;"",'ABRIL 2026'!Z59="POR RECOGER"),"ABR","")</f>
        <v/>
      </c>
      <c r="B370" s="192" t="str">
        <f aca="false">IF(AND('ABRIL 2026'!D59&lt;&gt;"",'ABRIL 2026'!Z59="POR RECOGER"),IF('ABRIL 2026'!Y59&lt;&gt;"",'ABRIL 2026'!Y59,'ABRIL 2026'!I59),"")</f>
        <v/>
      </c>
      <c r="C370" s="192" t="str">
        <f aca="false">IF(AND('ABRIL 2026'!D59&lt;&gt;"",'ABRIL 2026'!Z59="POR RECOGER"),'ABRIL 2026'!D59,"")</f>
        <v/>
      </c>
      <c r="D370" s="192" t="str">
        <f aca="false">IF(AND('ABRIL 2026'!D59&lt;&gt;"",'ABRIL 2026'!Z59="POR RECOGER"),'ABRIL 2026'!F59,"")</f>
        <v/>
      </c>
      <c r="E370" s="192" t="str">
        <f aca="false">IF(AND('ABRIL 2026'!D59&lt;&gt;"",'ABRIL 2026'!Z59="POR RECOGER"),TEXT('ABRIL 2026'!G59,"DD/MM/YYYY"),"")</f>
        <v/>
      </c>
      <c r="F370" s="192" t="str">
        <f aca="false">IF(AND('ABRIL 2026'!D59&lt;&gt;"",'ABRIL 2026'!Z59="POR RECOGER"),'ABRIL 2026'!K59,"")</f>
        <v/>
      </c>
      <c r="G370" s="193" t="str">
        <f aca="false">IF(AND('ABRIL 2026'!D59&lt;&gt;"",'ABRIL 2026'!Z59="POR RECOGER"),'ABRIL 2026'!M59,"")</f>
        <v/>
      </c>
      <c r="H370" s="193" t="str">
        <f aca="false">IF(AND('ABRIL 2026'!D59&lt;&gt;"",'ABRIL 2026'!Z59="POR RECOGER"),'ABRIL 2026'!N59,"")</f>
        <v/>
      </c>
      <c r="I370" s="192" t="str">
        <f aca="false">IF(AND('ABRIL 2026'!D59&lt;&gt;"",'ABRIL 2026'!Z59="POR RECOGER"),'ABRIL 2026'!P59,"")</f>
        <v/>
      </c>
      <c r="J370" s="192" t="str">
        <f aca="false">IF(AND('ABRIL 2026'!D59&lt;&gt;"",'ABRIL 2026'!Z59="POR RECOGER"),'ABRIL 2026'!Q59,"")</f>
        <v/>
      </c>
      <c r="K370" s="192" t="str">
        <f aca="false">IF(AND('ABRIL 2026'!D59&lt;&gt;"",'ABRIL 2026'!Z59="POR RECOGER"),'ABRIL 2026'!Y59,"")</f>
        <v/>
      </c>
      <c r="L370" s="192" t="str">
        <f aca="false">IF(AND('ABRIL 2026'!D59&lt;&gt;"",'ABRIL 2026'!Z59="POR RECOGER"),'ABRIL 2026'!I59,"")</f>
        <v/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" hidden="false" customHeight="true" outlineLevel="0" collapsed="false">
      <c r="A371" s="192" t="str">
        <f aca="false">IF(AND('ABRIL 2026'!D60&lt;&gt;"",'ABRIL 2026'!Z60="POR RECOGER"),"ABR","")</f>
        <v/>
      </c>
      <c r="B371" s="192" t="str">
        <f aca="false">IF(AND('ABRIL 2026'!D60&lt;&gt;"",'ABRIL 2026'!Z60="POR RECOGER"),IF('ABRIL 2026'!Y60&lt;&gt;"",'ABRIL 2026'!Y60,'ABRIL 2026'!I60),"")</f>
        <v/>
      </c>
      <c r="C371" s="192" t="str">
        <f aca="false">IF(AND('ABRIL 2026'!D60&lt;&gt;"",'ABRIL 2026'!Z60="POR RECOGER"),'ABRIL 2026'!D60,"")</f>
        <v/>
      </c>
      <c r="D371" s="192" t="str">
        <f aca="false">IF(AND('ABRIL 2026'!D60&lt;&gt;"",'ABRIL 2026'!Z60="POR RECOGER"),'ABRIL 2026'!F60,"")</f>
        <v/>
      </c>
      <c r="E371" s="192" t="str">
        <f aca="false">IF(AND('ABRIL 2026'!D60&lt;&gt;"",'ABRIL 2026'!Z60="POR RECOGER"),TEXT('ABRIL 2026'!G60,"DD/MM/YYYY"),"")</f>
        <v/>
      </c>
      <c r="F371" s="192" t="str">
        <f aca="false">IF(AND('ABRIL 2026'!D60&lt;&gt;"",'ABRIL 2026'!Z60="POR RECOGER"),'ABRIL 2026'!K60,"")</f>
        <v/>
      </c>
      <c r="G371" s="193" t="str">
        <f aca="false">IF(AND('ABRIL 2026'!D60&lt;&gt;"",'ABRIL 2026'!Z60="POR RECOGER"),'ABRIL 2026'!M60,"")</f>
        <v/>
      </c>
      <c r="H371" s="193" t="str">
        <f aca="false">IF(AND('ABRIL 2026'!D60&lt;&gt;"",'ABRIL 2026'!Z60="POR RECOGER"),'ABRIL 2026'!N60,"")</f>
        <v/>
      </c>
      <c r="I371" s="192" t="str">
        <f aca="false">IF(AND('ABRIL 2026'!D60&lt;&gt;"",'ABRIL 2026'!Z60="POR RECOGER"),'ABRIL 2026'!P60,"")</f>
        <v/>
      </c>
      <c r="J371" s="192" t="str">
        <f aca="false">IF(AND('ABRIL 2026'!D60&lt;&gt;"",'ABRIL 2026'!Z60="POR RECOGER"),'ABRIL 2026'!Q60,"")</f>
        <v/>
      </c>
      <c r="K371" s="192" t="str">
        <f aca="false">IF(AND('ABRIL 2026'!D60&lt;&gt;"",'ABRIL 2026'!Z60="POR RECOGER"),'ABRIL 2026'!Y60,"")</f>
        <v/>
      </c>
      <c r="L371" s="192" t="str">
        <f aca="false">IF(AND('ABRIL 2026'!D60&lt;&gt;"",'ABRIL 2026'!Z60="POR RECOGER"),'ABRIL 2026'!I60,"")</f>
        <v/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" hidden="false" customHeight="true" outlineLevel="0" collapsed="false">
      <c r="A372" s="192" t="str">
        <f aca="false">IF(AND('ABRIL 2026'!D61&lt;&gt;"",'ABRIL 2026'!Z61="POR RECOGER"),"ABR","")</f>
        <v/>
      </c>
      <c r="B372" s="192" t="str">
        <f aca="false">IF(AND('ABRIL 2026'!D61&lt;&gt;"",'ABRIL 2026'!Z61="POR RECOGER"),IF('ABRIL 2026'!Y61&lt;&gt;"",'ABRIL 2026'!Y61,'ABRIL 2026'!I61),"")</f>
        <v/>
      </c>
      <c r="C372" s="192" t="str">
        <f aca="false">IF(AND('ABRIL 2026'!D61&lt;&gt;"",'ABRIL 2026'!Z61="POR RECOGER"),'ABRIL 2026'!D61,"")</f>
        <v/>
      </c>
      <c r="D372" s="192" t="str">
        <f aca="false">IF(AND('ABRIL 2026'!D61&lt;&gt;"",'ABRIL 2026'!Z61="POR RECOGER"),'ABRIL 2026'!F61,"")</f>
        <v/>
      </c>
      <c r="E372" s="192" t="str">
        <f aca="false">IF(AND('ABRIL 2026'!D61&lt;&gt;"",'ABRIL 2026'!Z61="POR RECOGER"),TEXT('ABRIL 2026'!G61,"DD/MM/YYYY"),"")</f>
        <v/>
      </c>
      <c r="F372" s="192" t="str">
        <f aca="false">IF(AND('ABRIL 2026'!D61&lt;&gt;"",'ABRIL 2026'!Z61="POR RECOGER"),'ABRIL 2026'!K61,"")</f>
        <v/>
      </c>
      <c r="G372" s="193" t="str">
        <f aca="false">IF(AND('ABRIL 2026'!D61&lt;&gt;"",'ABRIL 2026'!Z61="POR RECOGER"),'ABRIL 2026'!M61,"")</f>
        <v/>
      </c>
      <c r="H372" s="193" t="str">
        <f aca="false">IF(AND('ABRIL 2026'!D61&lt;&gt;"",'ABRIL 2026'!Z61="POR RECOGER"),'ABRIL 2026'!N61,"")</f>
        <v/>
      </c>
      <c r="I372" s="192" t="str">
        <f aca="false">IF(AND('ABRIL 2026'!D61&lt;&gt;"",'ABRIL 2026'!Z61="POR RECOGER"),'ABRIL 2026'!P61,"")</f>
        <v/>
      </c>
      <c r="J372" s="192" t="str">
        <f aca="false">IF(AND('ABRIL 2026'!D61&lt;&gt;"",'ABRIL 2026'!Z61="POR RECOGER"),'ABRIL 2026'!Q61,"")</f>
        <v/>
      </c>
      <c r="K372" s="192" t="str">
        <f aca="false">IF(AND('ABRIL 2026'!D61&lt;&gt;"",'ABRIL 2026'!Z61="POR RECOGER"),'ABRIL 2026'!Y61,"")</f>
        <v/>
      </c>
      <c r="L372" s="192" t="str">
        <f aca="false">IF(AND('ABRIL 2026'!D61&lt;&gt;"",'ABRIL 2026'!Z61="POR RECOGER"),'ABRIL 2026'!I61,"")</f>
        <v/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" hidden="false" customHeight="true" outlineLevel="0" collapsed="false">
      <c r="A373" s="192" t="str">
        <f aca="false">IF(AND('ABRIL 2026'!D62&lt;&gt;"",'ABRIL 2026'!Z62="POR RECOGER"),"ABR","")</f>
        <v/>
      </c>
      <c r="B373" s="192" t="str">
        <f aca="false">IF(AND('ABRIL 2026'!D62&lt;&gt;"",'ABRIL 2026'!Z62="POR RECOGER"),IF('ABRIL 2026'!Y62&lt;&gt;"",'ABRIL 2026'!Y62,'ABRIL 2026'!I62),"")</f>
        <v/>
      </c>
      <c r="C373" s="192" t="str">
        <f aca="false">IF(AND('ABRIL 2026'!D62&lt;&gt;"",'ABRIL 2026'!Z62="POR RECOGER"),'ABRIL 2026'!D62,"")</f>
        <v/>
      </c>
      <c r="D373" s="192" t="str">
        <f aca="false">IF(AND('ABRIL 2026'!D62&lt;&gt;"",'ABRIL 2026'!Z62="POR RECOGER"),'ABRIL 2026'!F62,"")</f>
        <v/>
      </c>
      <c r="E373" s="192" t="str">
        <f aca="false">IF(AND('ABRIL 2026'!D62&lt;&gt;"",'ABRIL 2026'!Z62="POR RECOGER"),TEXT('ABRIL 2026'!G62,"DD/MM/YYYY"),"")</f>
        <v/>
      </c>
      <c r="F373" s="192" t="str">
        <f aca="false">IF(AND('ABRIL 2026'!D62&lt;&gt;"",'ABRIL 2026'!Z62="POR RECOGER"),'ABRIL 2026'!K62,"")</f>
        <v/>
      </c>
      <c r="G373" s="193" t="str">
        <f aca="false">IF(AND('ABRIL 2026'!D62&lt;&gt;"",'ABRIL 2026'!Z62="POR RECOGER"),'ABRIL 2026'!M62,"")</f>
        <v/>
      </c>
      <c r="H373" s="193" t="str">
        <f aca="false">IF(AND('ABRIL 2026'!D62&lt;&gt;"",'ABRIL 2026'!Z62="POR RECOGER"),'ABRIL 2026'!N62,"")</f>
        <v/>
      </c>
      <c r="I373" s="192" t="str">
        <f aca="false">IF(AND('ABRIL 2026'!D62&lt;&gt;"",'ABRIL 2026'!Z62="POR RECOGER"),'ABRIL 2026'!P62,"")</f>
        <v/>
      </c>
      <c r="J373" s="192" t="str">
        <f aca="false">IF(AND('ABRIL 2026'!D62&lt;&gt;"",'ABRIL 2026'!Z62="POR RECOGER"),'ABRIL 2026'!Q62,"")</f>
        <v/>
      </c>
      <c r="K373" s="192" t="str">
        <f aca="false">IF(AND('ABRIL 2026'!D62&lt;&gt;"",'ABRIL 2026'!Z62="POR RECOGER"),'ABRIL 2026'!Y62,"")</f>
        <v/>
      </c>
      <c r="L373" s="192" t="str">
        <f aca="false">IF(AND('ABRIL 2026'!D62&lt;&gt;"",'ABRIL 2026'!Z62="POR RECOGER"),'ABRIL 2026'!I62,"")</f>
        <v/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" hidden="false" customHeight="true" outlineLevel="0" collapsed="false">
      <c r="A374" s="192" t="str">
        <f aca="false">IF(AND('ABRIL 2026'!D63&lt;&gt;"",'ABRIL 2026'!Z63="POR RECOGER"),"ABR","")</f>
        <v/>
      </c>
      <c r="B374" s="192" t="str">
        <f aca="false">IF(AND('ABRIL 2026'!D63&lt;&gt;"",'ABRIL 2026'!Z63="POR RECOGER"),IF('ABRIL 2026'!Y63&lt;&gt;"",'ABRIL 2026'!Y63,'ABRIL 2026'!I63),"")</f>
        <v/>
      </c>
      <c r="C374" s="192" t="str">
        <f aca="false">IF(AND('ABRIL 2026'!D63&lt;&gt;"",'ABRIL 2026'!Z63="POR RECOGER"),'ABRIL 2026'!D63,"")</f>
        <v/>
      </c>
      <c r="D374" s="192" t="str">
        <f aca="false">IF(AND('ABRIL 2026'!D63&lt;&gt;"",'ABRIL 2026'!Z63="POR RECOGER"),'ABRIL 2026'!F63,"")</f>
        <v/>
      </c>
      <c r="E374" s="192" t="str">
        <f aca="false">IF(AND('ABRIL 2026'!D63&lt;&gt;"",'ABRIL 2026'!Z63="POR RECOGER"),TEXT('ABRIL 2026'!G63,"DD/MM/YYYY"),"")</f>
        <v/>
      </c>
      <c r="F374" s="192" t="str">
        <f aca="false">IF(AND('ABRIL 2026'!D63&lt;&gt;"",'ABRIL 2026'!Z63="POR RECOGER"),'ABRIL 2026'!K63,"")</f>
        <v/>
      </c>
      <c r="G374" s="193" t="str">
        <f aca="false">IF(AND('ABRIL 2026'!D63&lt;&gt;"",'ABRIL 2026'!Z63="POR RECOGER"),'ABRIL 2026'!M63,"")</f>
        <v/>
      </c>
      <c r="H374" s="193" t="str">
        <f aca="false">IF(AND('ABRIL 2026'!D63&lt;&gt;"",'ABRIL 2026'!Z63="POR RECOGER"),'ABRIL 2026'!N63,"")</f>
        <v/>
      </c>
      <c r="I374" s="192" t="str">
        <f aca="false">IF(AND('ABRIL 2026'!D63&lt;&gt;"",'ABRIL 2026'!Z63="POR RECOGER"),'ABRIL 2026'!P63,"")</f>
        <v/>
      </c>
      <c r="J374" s="192" t="str">
        <f aca="false">IF(AND('ABRIL 2026'!D63&lt;&gt;"",'ABRIL 2026'!Z63="POR RECOGER"),'ABRIL 2026'!Q63,"")</f>
        <v/>
      </c>
      <c r="K374" s="192" t="str">
        <f aca="false">IF(AND('ABRIL 2026'!D63&lt;&gt;"",'ABRIL 2026'!Z63="POR RECOGER"),'ABRIL 2026'!Y63,"")</f>
        <v/>
      </c>
      <c r="L374" s="192" t="str">
        <f aca="false">IF(AND('ABRIL 2026'!D63&lt;&gt;"",'ABRIL 2026'!Z63="POR RECOGER"),'ABRIL 2026'!I63,"")</f>
        <v/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" hidden="false" customHeight="true" outlineLevel="0" collapsed="false">
      <c r="A375" s="192" t="str">
        <f aca="false">IF(AND('ABRIL 2026'!D64&lt;&gt;"",'ABRIL 2026'!Z64="POR RECOGER"),"ABR","")</f>
        <v/>
      </c>
      <c r="B375" s="192" t="str">
        <f aca="false">IF(AND('ABRIL 2026'!D64&lt;&gt;"",'ABRIL 2026'!Z64="POR RECOGER"),IF('ABRIL 2026'!Y64&lt;&gt;"",'ABRIL 2026'!Y64,'ABRIL 2026'!I64),"")</f>
        <v/>
      </c>
      <c r="C375" s="192" t="str">
        <f aca="false">IF(AND('ABRIL 2026'!D64&lt;&gt;"",'ABRIL 2026'!Z64="POR RECOGER"),'ABRIL 2026'!D64,"")</f>
        <v/>
      </c>
      <c r="D375" s="192" t="str">
        <f aca="false">IF(AND('ABRIL 2026'!D64&lt;&gt;"",'ABRIL 2026'!Z64="POR RECOGER"),'ABRIL 2026'!F64,"")</f>
        <v/>
      </c>
      <c r="E375" s="192" t="str">
        <f aca="false">IF(AND('ABRIL 2026'!D64&lt;&gt;"",'ABRIL 2026'!Z64="POR RECOGER"),TEXT('ABRIL 2026'!G64,"DD/MM/YYYY"),"")</f>
        <v/>
      </c>
      <c r="F375" s="192" t="str">
        <f aca="false">IF(AND('ABRIL 2026'!D64&lt;&gt;"",'ABRIL 2026'!Z64="POR RECOGER"),'ABRIL 2026'!K64,"")</f>
        <v/>
      </c>
      <c r="G375" s="193" t="str">
        <f aca="false">IF(AND('ABRIL 2026'!D64&lt;&gt;"",'ABRIL 2026'!Z64="POR RECOGER"),'ABRIL 2026'!M64,"")</f>
        <v/>
      </c>
      <c r="H375" s="193" t="str">
        <f aca="false">IF(AND('ABRIL 2026'!D64&lt;&gt;"",'ABRIL 2026'!Z64="POR RECOGER"),'ABRIL 2026'!N64,"")</f>
        <v/>
      </c>
      <c r="I375" s="192" t="str">
        <f aca="false">IF(AND('ABRIL 2026'!D64&lt;&gt;"",'ABRIL 2026'!Z64="POR RECOGER"),'ABRIL 2026'!P64,"")</f>
        <v/>
      </c>
      <c r="J375" s="192" t="str">
        <f aca="false">IF(AND('ABRIL 2026'!D64&lt;&gt;"",'ABRIL 2026'!Z64="POR RECOGER"),'ABRIL 2026'!Q64,"")</f>
        <v/>
      </c>
      <c r="K375" s="192" t="str">
        <f aca="false">IF(AND('ABRIL 2026'!D64&lt;&gt;"",'ABRIL 2026'!Z64="POR RECOGER"),'ABRIL 2026'!Y64,"")</f>
        <v/>
      </c>
      <c r="L375" s="192" t="str">
        <f aca="false">IF(AND('ABRIL 2026'!D64&lt;&gt;"",'ABRIL 2026'!Z64="POR RECOGER"),'ABRIL 2026'!I64,"")</f>
        <v/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" hidden="false" customHeight="true" outlineLevel="0" collapsed="false">
      <c r="A376" s="192" t="str">
        <f aca="false">IF(AND('ABRIL 2026'!D65&lt;&gt;"",'ABRIL 2026'!Z65="POR RECOGER"),"ABR","")</f>
        <v/>
      </c>
      <c r="B376" s="192" t="str">
        <f aca="false">IF(AND('ABRIL 2026'!D65&lt;&gt;"",'ABRIL 2026'!Z65="POR RECOGER"),IF('ABRIL 2026'!Y65&lt;&gt;"",'ABRIL 2026'!Y65,'ABRIL 2026'!I65),"")</f>
        <v/>
      </c>
      <c r="C376" s="192" t="str">
        <f aca="false">IF(AND('ABRIL 2026'!D65&lt;&gt;"",'ABRIL 2026'!Z65="POR RECOGER"),'ABRIL 2026'!D65,"")</f>
        <v/>
      </c>
      <c r="D376" s="192" t="str">
        <f aca="false">IF(AND('ABRIL 2026'!D65&lt;&gt;"",'ABRIL 2026'!Z65="POR RECOGER"),'ABRIL 2026'!F65,"")</f>
        <v/>
      </c>
      <c r="E376" s="192" t="str">
        <f aca="false">IF(AND('ABRIL 2026'!D65&lt;&gt;"",'ABRIL 2026'!Z65="POR RECOGER"),TEXT('ABRIL 2026'!G65,"DD/MM/YYYY"),"")</f>
        <v/>
      </c>
      <c r="F376" s="192" t="str">
        <f aca="false">IF(AND('ABRIL 2026'!D65&lt;&gt;"",'ABRIL 2026'!Z65="POR RECOGER"),'ABRIL 2026'!K65,"")</f>
        <v/>
      </c>
      <c r="G376" s="193" t="str">
        <f aca="false">IF(AND('ABRIL 2026'!D65&lt;&gt;"",'ABRIL 2026'!Z65="POR RECOGER"),'ABRIL 2026'!M65,"")</f>
        <v/>
      </c>
      <c r="H376" s="193" t="str">
        <f aca="false">IF(AND('ABRIL 2026'!D65&lt;&gt;"",'ABRIL 2026'!Z65="POR RECOGER"),'ABRIL 2026'!N65,"")</f>
        <v/>
      </c>
      <c r="I376" s="192" t="str">
        <f aca="false">IF(AND('ABRIL 2026'!D65&lt;&gt;"",'ABRIL 2026'!Z65="POR RECOGER"),'ABRIL 2026'!P65,"")</f>
        <v/>
      </c>
      <c r="J376" s="192" t="str">
        <f aca="false">IF(AND('ABRIL 2026'!D65&lt;&gt;"",'ABRIL 2026'!Z65="POR RECOGER"),'ABRIL 2026'!Q65,"")</f>
        <v/>
      </c>
      <c r="K376" s="192" t="str">
        <f aca="false">IF(AND('ABRIL 2026'!D65&lt;&gt;"",'ABRIL 2026'!Z65="POR RECOGER"),'ABRIL 2026'!Y65,"")</f>
        <v/>
      </c>
      <c r="L376" s="192" t="str">
        <f aca="false">IF(AND('ABRIL 2026'!D65&lt;&gt;"",'ABRIL 2026'!Z65="POR RECOGER"),'ABRIL 2026'!I65,"")</f>
        <v/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" hidden="false" customHeight="true" outlineLevel="0" collapsed="false">
      <c r="A377" s="192" t="str">
        <f aca="false">IF(AND('ABRIL 2026'!D66&lt;&gt;"",'ABRIL 2026'!Z66="POR RECOGER"),"ABR","")</f>
        <v/>
      </c>
      <c r="B377" s="192" t="str">
        <f aca="false">IF(AND('ABRIL 2026'!D66&lt;&gt;"",'ABRIL 2026'!Z66="POR RECOGER"),IF('ABRIL 2026'!Y66&lt;&gt;"",'ABRIL 2026'!Y66,'ABRIL 2026'!I66),"")</f>
        <v/>
      </c>
      <c r="C377" s="192" t="str">
        <f aca="false">IF(AND('ABRIL 2026'!D66&lt;&gt;"",'ABRIL 2026'!Z66="POR RECOGER"),'ABRIL 2026'!D66,"")</f>
        <v/>
      </c>
      <c r="D377" s="192" t="str">
        <f aca="false">IF(AND('ABRIL 2026'!D66&lt;&gt;"",'ABRIL 2026'!Z66="POR RECOGER"),'ABRIL 2026'!F66,"")</f>
        <v/>
      </c>
      <c r="E377" s="192" t="str">
        <f aca="false">IF(AND('ABRIL 2026'!D66&lt;&gt;"",'ABRIL 2026'!Z66="POR RECOGER"),TEXT('ABRIL 2026'!G66,"DD/MM/YYYY"),"")</f>
        <v/>
      </c>
      <c r="F377" s="192" t="str">
        <f aca="false">IF(AND('ABRIL 2026'!D66&lt;&gt;"",'ABRIL 2026'!Z66="POR RECOGER"),'ABRIL 2026'!K66,"")</f>
        <v/>
      </c>
      <c r="G377" s="193" t="str">
        <f aca="false">IF(AND('ABRIL 2026'!D66&lt;&gt;"",'ABRIL 2026'!Z66="POR RECOGER"),'ABRIL 2026'!M66,"")</f>
        <v/>
      </c>
      <c r="H377" s="193" t="str">
        <f aca="false">IF(AND('ABRIL 2026'!D66&lt;&gt;"",'ABRIL 2026'!Z66="POR RECOGER"),'ABRIL 2026'!N66,"")</f>
        <v/>
      </c>
      <c r="I377" s="192" t="str">
        <f aca="false">IF(AND('ABRIL 2026'!D66&lt;&gt;"",'ABRIL 2026'!Z66="POR RECOGER"),'ABRIL 2026'!P66,"")</f>
        <v/>
      </c>
      <c r="J377" s="192" t="str">
        <f aca="false">IF(AND('ABRIL 2026'!D66&lt;&gt;"",'ABRIL 2026'!Z66="POR RECOGER"),'ABRIL 2026'!Q66,"")</f>
        <v/>
      </c>
      <c r="K377" s="192" t="str">
        <f aca="false">IF(AND('ABRIL 2026'!D66&lt;&gt;"",'ABRIL 2026'!Z66="POR RECOGER"),'ABRIL 2026'!Y66,"")</f>
        <v/>
      </c>
      <c r="L377" s="192" t="str">
        <f aca="false">IF(AND('ABRIL 2026'!D66&lt;&gt;"",'ABRIL 2026'!Z66="POR RECOGER"),'ABRIL 2026'!I66,"")</f>
        <v/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" hidden="false" customHeight="true" outlineLevel="0" collapsed="false">
      <c r="A378" s="192" t="str">
        <f aca="false">IF(AND('ABRIL 2026'!D67&lt;&gt;"",'ABRIL 2026'!Z67="POR RECOGER"),"ABR","")</f>
        <v/>
      </c>
      <c r="B378" s="192" t="str">
        <f aca="false">IF(AND('ABRIL 2026'!D67&lt;&gt;"",'ABRIL 2026'!Z67="POR RECOGER"),IF('ABRIL 2026'!Y67&lt;&gt;"",'ABRIL 2026'!Y67,'ABRIL 2026'!I67),"")</f>
        <v/>
      </c>
      <c r="C378" s="192" t="str">
        <f aca="false">IF(AND('ABRIL 2026'!D67&lt;&gt;"",'ABRIL 2026'!Z67="POR RECOGER"),'ABRIL 2026'!D67,"")</f>
        <v/>
      </c>
      <c r="D378" s="192" t="str">
        <f aca="false">IF(AND('ABRIL 2026'!D67&lt;&gt;"",'ABRIL 2026'!Z67="POR RECOGER"),'ABRIL 2026'!F67,"")</f>
        <v/>
      </c>
      <c r="E378" s="192" t="str">
        <f aca="false">IF(AND('ABRIL 2026'!D67&lt;&gt;"",'ABRIL 2026'!Z67="POR RECOGER"),TEXT('ABRIL 2026'!G67,"DD/MM/YYYY"),"")</f>
        <v/>
      </c>
      <c r="F378" s="192" t="str">
        <f aca="false">IF(AND('ABRIL 2026'!D67&lt;&gt;"",'ABRIL 2026'!Z67="POR RECOGER"),'ABRIL 2026'!K67,"")</f>
        <v/>
      </c>
      <c r="G378" s="193" t="str">
        <f aca="false">IF(AND('ABRIL 2026'!D67&lt;&gt;"",'ABRIL 2026'!Z67="POR RECOGER"),'ABRIL 2026'!M67,"")</f>
        <v/>
      </c>
      <c r="H378" s="193" t="str">
        <f aca="false">IF(AND('ABRIL 2026'!D67&lt;&gt;"",'ABRIL 2026'!Z67="POR RECOGER"),'ABRIL 2026'!N67,"")</f>
        <v/>
      </c>
      <c r="I378" s="192" t="str">
        <f aca="false">IF(AND('ABRIL 2026'!D67&lt;&gt;"",'ABRIL 2026'!Z67="POR RECOGER"),'ABRIL 2026'!P67,"")</f>
        <v/>
      </c>
      <c r="J378" s="192" t="str">
        <f aca="false">IF(AND('ABRIL 2026'!D67&lt;&gt;"",'ABRIL 2026'!Z67="POR RECOGER"),'ABRIL 2026'!Q67,"")</f>
        <v/>
      </c>
      <c r="K378" s="192" t="str">
        <f aca="false">IF(AND('ABRIL 2026'!D67&lt;&gt;"",'ABRIL 2026'!Z67="POR RECOGER"),'ABRIL 2026'!Y67,"")</f>
        <v/>
      </c>
      <c r="L378" s="192" t="str">
        <f aca="false">IF(AND('ABRIL 2026'!D67&lt;&gt;"",'ABRIL 2026'!Z67="POR RECOGER"),'ABRIL 2026'!I67,"")</f>
        <v/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" hidden="false" customHeight="true" outlineLevel="0" collapsed="false">
      <c r="A379" s="192" t="str">
        <f aca="false">IF(AND('ABRIL 2026'!D68&lt;&gt;"",'ABRIL 2026'!Z68="POR RECOGER"),"ABR","")</f>
        <v/>
      </c>
      <c r="B379" s="192" t="str">
        <f aca="false">IF(AND('ABRIL 2026'!D68&lt;&gt;"",'ABRIL 2026'!Z68="POR RECOGER"),IF('ABRIL 2026'!Y68&lt;&gt;"",'ABRIL 2026'!Y68,'ABRIL 2026'!I68),"")</f>
        <v/>
      </c>
      <c r="C379" s="192" t="str">
        <f aca="false">IF(AND('ABRIL 2026'!D68&lt;&gt;"",'ABRIL 2026'!Z68="POR RECOGER"),'ABRIL 2026'!D68,"")</f>
        <v/>
      </c>
      <c r="D379" s="192" t="str">
        <f aca="false">IF(AND('ABRIL 2026'!D68&lt;&gt;"",'ABRIL 2026'!Z68="POR RECOGER"),'ABRIL 2026'!F68,"")</f>
        <v/>
      </c>
      <c r="E379" s="192" t="str">
        <f aca="false">IF(AND('ABRIL 2026'!D68&lt;&gt;"",'ABRIL 2026'!Z68="POR RECOGER"),TEXT('ABRIL 2026'!G68,"DD/MM/YYYY"),"")</f>
        <v/>
      </c>
      <c r="F379" s="192" t="str">
        <f aca="false">IF(AND('ABRIL 2026'!D68&lt;&gt;"",'ABRIL 2026'!Z68="POR RECOGER"),'ABRIL 2026'!K68,"")</f>
        <v/>
      </c>
      <c r="G379" s="193" t="str">
        <f aca="false">IF(AND('ABRIL 2026'!D68&lt;&gt;"",'ABRIL 2026'!Z68="POR RECOGER"),'ABRIL 2026'!M68,"")</f>
        <v/>
      </c>
      <c r="H379" s="193" t="str">
        <f aca="false">IF(AND('ABRIL 2026'!D68&lt;&gt;"",'ABRIL 2026'!Z68="POR RECOGER"),'ABRIL 2026'!N68,"")</f>
        <v/>
      </c>
      <c r="I379" s="192" t="str">
        <f aca="false">IF(AND('ABRIL 2026'!D68&lt;&gt;"",'ABRIL 2026'!Z68="POR RECOGER"),'ABRIL 2026'!P68,"")</f>
        <v/>
      </c>
      <c r="J379" s="192" t="str">
        <f aca="false">IF(AND('ABRIL 2026'!D68&lt;&gt;"",'ABRIL 2026'!Z68="POR RECOGER"),'ABRIL 2026'!Q68,"")</f>
        <v/>
      </c>
      <c r="K379" s="192" t="str">
        <f aca="false">IF(AND('ABRIL 2026'!D68&lt;&gt;"",'ABRIL 2026'!Z68="POR RECOGER"),'ABRIL 2026'!Y68,"")</f>
        <v/>
      </c>
      <c r="L379" s="192" t="str">
        <f aca="false">IF(AND('ABRIL 2026'!D68&lt;&gt;"",'ABRIL 2026'!Z68="POR RECOGER"),'ABRIL 2026'!I68,"")</f>
        <v/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" hidden="false" customHeight="true" outlineLevel="0" collapsed="false">
      <c r="A380" s="192" t="str">
        <f aca="false">IF(AND('ABRIL 2026'!D69&lt;&gt;"",'ABRIL 2026'!Z69="POR RECOGER"),"ABR","")</f>
        <v/>
      </c>
      <c r="B380" s="192" t="str">
        <f aca="false">IF(AND('ABRIL 2026'!D69&lt;&gt;"",'ABRIL 2026'!Z69="POR RECOGER"),IF('ABRIL 2026'!Y69&lt;&gt;"",'ABRIL 2026'!Y69,'ABRIL 2026'!I69),"")</f>
        <v/>
      </c>
      <c r="C380" s="192" t="str">
        <f aca="false">IF(AND('ABRIL 2026'!D69&lt;&gt;"",'ABRIL 2026'!Z69="POR RECOGER"),'ABRIL 2026'!D69,"")</f>
        <v/>
      </c>
      <c r="D380" s="192" t="str">
        <f aca="false">IF(AND('ABRIL 2026'!D69&lt;&gt;"",'ABRIL 2026'!Z69="POR RECOGER"),'ABRIL 2026'!F69,"")</f>
        <v/>
      </c>
      <c r="E380" s="192" t="str">
        <f aca="false">IF(AND('ABRIL 2026'!D69&lt;&gt;"",'ABRIL 2026'!Z69="POR RECOGER"),TEXT('ABRIL 2026'!G69,"DD/MM/YYYY"),"")</f>
        <v/>
      </c>
      <c r="F380" s="192" t="str">
        <f aca="false">IF(AND('ABRIL 2026'!D69&lt;&gt;"",'ABRIL 2026'!Z69="POR RECOGER"),'ABRIL 2026'!K69,"")</f>
        <v/>
      </c>
      <c r="G380" s="193" t="str">
        <f aca="false">IF(AND('ABRIL 2026'!D69&lt;&gt;"",'ABRIL 2026'!Z69="POR RECOGER"),'ABRIL 2026'!M69,"")</f>
        <v/>
      </c>
      <c r="H380" s="193" t="str">
        <f aca="false">IF(AND('ABRIL 2026'!D69&lt;&gt;"",'ABRIL 2026'!Z69="POR RECOGER"),'ABRIL 2026'!N69,"")</f>
        <v/>
      </c>
      <c r="I380" s="192" t="str">
        <f aca="false">IF(AND('ABRIL 2026'!D69&lt;&gt;"",'ABRIL 2026'!Z69="POR RECOGER"),'ABRIL 2026'!P69,"")</f>
        <v/>
      </c>
      <c r="J380" s="192" t="str">
        <f aca="false">IF(AND('ABRIL 2026'!D69&lt;&gt;"",'ABRIL 2026'!Z69="POR RECOGER"),'ABRIL 2026'!Q69,"")</f>
        <v/>
      </c>
      <c r="K380" s="192" t="str">
        <f aca="false">IF(AND('ABRIL 2026'!D69&lt;&gt;"",'ABRIL 2026'!Z69="POR RECOGER"),'ABRIL 2026'!Y69,"")</f>
        <v/>
      </c>
      <c r="L380" s="192" t="str">
        <f aca="false">IF(AND('ABRIL 2026'!D69&lt;&gt;"",'ABRIL 2026'!Z69="POR RECOGER"),'ABRIL 2026'!I69,"")</f>
        <v/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" hidden="false" customHeight="true" outlineLevel="0" collapsed="false">
      <c r="A381" s="192" t="str">
        <f aca="false">IF(AND('ABRIL 2026'!D70&lt;&gt;"",'ABRIL 2026'!Z70="POR RECOGER"),"ABR","")</f>
        <v/>
      </c>
      <c r="B381" s="192" t="str">
        <f aca="false">IF(AND('ABRIL 2026'!D70&lt;&gt;"",'ABRIL 2026'!Z70="POR RECOGER"),IF('ABRIL 2026'!Y70&lt;&gt;"",'ABRIL 2026'!Y70,'ABRIL 2026'!I70),"")</f>
        <v/>
      </c>
      <c r="C381" s="192" t="str">
        <f aca="false">IF(AND('ABRIL 2026'!D70&lt;&gt;"",'ABRIL 2026'!Z70="POR RECOGER"),'ABRIL 2026'!D70,"")</f>
        <v/>
      </c>
      <c r="D381" s="192" t="str">
        <f aca="false">IF(AND('ABRIL 2026'!D70&lt;&gt;"",'ABRIL 2026'!Z70="POR RECOGER"),'ABRIL 2026'!F70,"")</f>
        <v/>
      </c>
      <c r="E381" s="192" t="str">
        <f aca="false">IF(AND('ABRIL 2026'!D70&lt;&gt;"",'ABRIL 2026'!Z70="POR RECOGER"),TEXT('ABRIL 2026'!G70,"DD/MM/YYYY"),"")</f>
        <v/>
      </c>
      <c r="F381" s="192" t="str">
        <f aca="false">IF(AND('ABRIL 2026'!D70&lt;&gt;"",'ABRIL 2026'!Z70="POR RECOGER"),'ABRIL 2026'!K70,"")</f>
        <v/>
      </c>
      <c r="G381" s="193" t="str">
        <f aca="false">IF(AND('ABRIL 2026'!D70&lt;&gt;"",'ABRIL 2026'!Z70="POR RECOGER"),'ABRIL 2026'!M70,"")</f>
        <v/>
      </c>
      <c r="H381" s="193" t="str">
        <f aca="false">IF(AND('ABRIL 2026'!D70&lt;&gt;"",'ABRIL 2026'!Z70="POR RECOGER"),'ABRIL 2026'!N70,"")</f>
        <v/>
      </c>
      <c r="I381" s="192" t="str">
        <f aca="false">IF(AND('ABRIL 2026'!D70&lt;&gt;"",'ABRIL 2026'!Z70="POR RECOGER"),'ABRIL 2026'!P70,"")</f>
        <v/>
      </c>
      <c r="J381" s="192" t="str">
        <f aca="false">IF(AND('ABRIL 2026'!D70&lt;&gt;"",'ABRIL 2026'!Z70="POR RECOGER"),'ABRIL 2026'!Q70,"")</f>
        <v/>
      </c>
      <c r="K381" s="192" t="str">
        <f aca="false">IF(AND('ABRIL 2026'!D70&lt;&gt;"",'ABRIL 2026'!Z70="POR RECOGER"),'ABRIL 2026'!Y70,"")</f>
        <v/>
      </c>
      <c r="L381" s="192" t="str">
        <f aca="false">IF(AND('ABRIL 2026'!D70&lt;&gt;"",'ABRIL 2026'!Z70="POR RECOGER"),'ABRIL 2026'!I70,"")</f>
        <v/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" hidden="false" customHeight="true" outlineLevel="0" collapsed="false">
      <c r="A382" s="192" t="str">
        <f aca="false">IF(AND('ABRIL 2026'!D71&lt;&gt;"",'ABRIL 2026'!Z71="POR RECOGER"),"ABR","")</f>
        <v/>
      </c>
      <c r="B382" s="192" t="str">
        <f aca="false">IF(AND('ABRIL 2026'!D71&lt;&gt;"",'ABRIL 2026'!Z71="POR RECOGER"),IF('ABRIL 2026'!Y71&lt;&gt;"",'ABRIL 2026'!Y71,'ABRIL 2026'!I71),"")</f>
        <v/>
      </c>
      <c r="C382" s="192" t="str">
        <f aca="false">IF(AND('ABRIL 2026'!D71&lt;&gt;"",'ABRIL 2026'!Z71="POR RECOGER"),'ABRIL 2026'!D71,"")</f>
        <v/>
      </c>
      <c r="D382" s="192" t="str">
        <f aca="false">IF(AND('ABRIL 2026'!D71&lt;&gt;"",'ABRIL 2026'!Z71="POR RECOGER"),'ABRIL 2026'!F71,"")</f>
        <v/>
      </c>
      <c r="E382" s="192" t="str">
        <f aca="false">IF(AND('ABRIL 2026'!D71&lt;&gt;"",'ABRIL 2026'!Z71="POR RECOGER"),TEXT('ABRIL 2026'!G71,"DD/MM/YYYY"),"")</f>
        <v/>
      </c>
      <c r="F382" s="192" t="str">
        <f aca="false">IF(AND('ABRIL 2026'!D71&lt;&gt;"",'ABRIL 2026'!Z71="POR RECOGER"),'ABRIL 2026'!K71,"")</f>
        <v/>
      </c>
      <c r="G382" s="193" t="str">
        <f aca="false">IF(AND('ABRIL 2026'!D71&lt;&gt;"",'ABRIL 2026'!Z71="POR RECOGER"),'ABRIL 2026'!M71,"")</f>
        <v/>
      </c>
      <c r="H382" s="193" t="str">
        <f aca="false">IF(AND('ABRIL 2026'!D71&lt;&gt;"",'ABRIL 2026'!Z71="POR RECOGER"),'ABRIL 2026'!N71,"")</f>
        <v/>
      </c>
      <c r="I382" s="192" t="str">
        <f aca="false">IF(AND('ABRIL 2026'!D71&lt;&gt;"",'ABRIL 2026'!Z71="POR RECOGER"),'ABRIL 2026'!P71,"")</f>
        <v/>
      </c>
      <c r="J382" s="192" t="str">
        <f aca="false">IF(AND('ABRIL 2026'!D71&lt;&gt;"",'ABRIL 2026'!Z71="POR RECOGER"),'ABRIL 2026'!Q71,"")</f>
        <v/>
      </c>
      <c r="K382" s="192" t="str">
        <f aca="false">IF(AND('ABRIL 2026'!D71&lt;&gt;"",'ABRIL 2026'!Z71="POR RECOGER"),'ABRIL 2026'!Y71,"")</f>
        <v/>
      </c>
      <c r="L382" s="192" t="str">
        <f aca="false">IF(AND('ABRIL 2026'!D71&lt;&gt;"",'ABRIL 2026'!Z71="POR RECOGER"),'ABRIL 2026'!I71,"")</f>
        <v/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" hidden="false" customHeight="true" outlineLevel="0" collapsed="false">
      <c r="A383" s="192" t="str">
        <f aca="false">IF(AND('ABRIL 2026'!D72&lt;&gt;"",'ABRIL 2026'!Z72="POR RECOGER"),"ABR","")</f>
        <v/>
      </c>
      <c r="B383" s="192" t="str">
        <f aca="false">IF(AND('ABRIL 2026'!D72&lt;&gt;"",'ABRIL 2026'!Z72="POR RECOGER"),IF('ABRIL 2026'!Y72&lt;&gt;"",'ABRIL 2026'!Y72,'ABRIL 2026'!I72),"")</f>
        <v/>
      </c>
      <c r="C383" s="192" t="str">
        <f aca="false">IF(AND('ABRIL 2026'!D72&lt;&gt;"",'ABRIL 2026'!Z72="POR RECOGER"),'ABRIL 2026'!D72,"")</f>
        <v/>
      </c>
      <c r="D383" s="192" t="str">
        <f aca="false">IF(AND('ABRIL 2026'!D72&lt;&gt;"",'ABRIL 2026'!Z72="POR RECOGER"),'ABRIL 2026'!F72,"")</f>
        <v/>
      </c>
      <c r="E383" s="192" t="str">
        <f aca="false">IF(AND('ABRIL 2026'!D72&lt;&gt;"",'ABRIL 2026'!Z72="POR RECOGER"),TEXT('ABRIL 2026'!G72,"DD/MM/YYYY"),"")</f>
        <v/>
      </c>
      <c r="F383" s="192" t="str">
        <f aca="false">IF(AND('ABRIL 2026'!D72&lt;&gt;"",'ABRIL 2026'!Z72="POR RECOGER"),'ABRIL 2026'!K72,"")</f>
        <v/>
      </c>
      <c r="G383" s="193" t="str">
        <f aca="false">IF(AND('ABRIL 2026'!D72&lt;&gt;"",'ABRIL 2026'!Z72="POR RECOGER"),'ABRIL 2026'!M72,"")</f>
        <v/>
      </c>
      <c r="H383" s="193" t="str">
        <f aca="false">IF(AND('ABRIL 2026'!D72&lt;&gt;"",'ABRIL 2026'!Z72="POR RECOGER"),'ABRIL 2026'!N72,"")</f>
        <v/>
      </c>
      <c r="I383" s="192" t="str">
        <f aca="false">IF(AND('ABRIL 2026'!D72&lt;&gt;"",'ABRIL 2026'!Z72="POR RECOGER"),'ABRIL 2026'!P72,"")</f>
        <v/>
      </c>
      <c r="J383" s="192" t="str">
        <f aca="false">IF(AND('ABRIL 2026'!D72&lt;&gt;"",'ABRIL 2026'!Z72="POR RECOGER"),'ABRIL 2026'!Q72,"")</f>
        <v/>
      </c>
      <c r="K383" s="192" t="str">
        <f aca="false">IF(AND('ABRIL 2026'!D72&lt;&gt;"",'ABRIL 2026'!Z72="POR RECOGER"),'ABRIL 2026'!Y72,"")</f>
        <v/>
      </c>
      <c r="L383" s="192" t="str">
        <f aca="false">IF(AND('ABRIL 2026'!D72&lt;&gt;"",'ABRIL 2026'!Z72="POR RECOGER"),'ABRIL 2026'!I72,"")</f>
        <v/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" hidden="false" customHeight="true" outlineLevel="0" collapsed="false">
      <c r="A384" s="192" t="str">
        <f aca="false">IF(AND('ABRIL 2026'!D73&lt;&gt;"",'ABRIL 2026'!Z73="POR RECOGER"),"ABR","")</f>
        <v/>
      </c>
      <c r="B384" s="192" t="str">
        <f aca="false">IF(AND('ABRIL 2026'!D73&lt;&gt;"",'ABRIL 2026'!Z73="POR RECOGER"),IF('ABRIL 2026'!Y73&lt;&gt;"",'ABRIL 2026'!Y73,'ABRIL 2026'!I73),"")</f>
        <v/>
      </c>
      <c r="C384" s="192" t="str">
        <f aca="false">IF(AND('ABRIL 2026'!D73&lt;&gt;"",'ABRIL 2026'!Z73="POR RECOGER"),'ABRIL 2026'!D73,"")</f>
        <v/>
      </c>
      <c r="D384" s="192" t="str">
        <f aca="false">IF(AND('ABRIL 2026'!D73&lt;&gt;"",'ABRIL 2026'!Z73="POR RECOGER"),'ABRIL 2026'!F73,"")</f>
        <v/>
      </c>
      <c r="E384" s="192" t="str">
        <f aca="false">IF(AND('ABRIL 2026'!D73&lt;&gt;"",'ABRIL 2026'!Z73="POR RECOGER"),TEXT('ABRIL 2026'!G73,"DD/MM/YYYY"),"")</f>
        <v/>
      </c>
      <c r="F384" s="192" t="str">
        <f aca="false">IF(AND('ABRIL 2026'!D73&lt;&gt;"",'ABRIL 2026'!Z73="POR RECOGER"),'ABRIL 2026'!K73,"")</f>
        <v/>
      </c>
      <c r="G384" s="193" t="str">
        <f aca="false">IF(AND('ABRIL 2026'!D73&lt;&gt;"",'ABRIL 2026'!Z73="POR RECOGER"),'ABRIL 2026'!M73,"")</f>
        <v/>
      </c>
      <c r="H384" s="193" t="str">
        <f aca="false">IF(AND('ABRIL 2026'!D73&lt;&gt;"",'ABRIL 2026'!Z73="POR RECOGER"),'ABRIL 2026'!N73,"")</f>
        <v/>
      </c>
      <c r="I384" s="192" t="str">
        <f aca="false">IF(AND('ABRIL 2026'!D73&lt;&gt;"",'ABRIL 2026'!Z73="POR RECOGER"),'ABRIL 2026'!P73,"")</f>
        <v/>
      </c>
      <c r="J384" s="192" t="str">
        <f aca="false">IF(AND('ABRIL 2026'!D73&lt;&gt;"",'ABRIL 2026'!Z73="POR RECOGER"),'ABRIL 2026'!Q73,"")</f>
        <v/>
      </c>
      <c r="K384" s="192" t="str">
        <f aca="false">IF(AND('ABRIL 2026'!D73&lt;&gt;"",'ABRIL 2026'!Z73="POR RECOGER"),'ABRIL 2026'!Y73,"")</f>
        <v/>
      </c>
      <c r="L384" s="192" t="str">
        <f aca="false">IF(AND('ABRIL 2026'!D73&lt;&gt;"",'ABRIL 2026'!Z73="POR RECOGER"),'ABRIL 2026'!I73,"")</f>
        <v/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" hidden="false" customHeight="true" outlineLevel="0" collapsed="false">
      <c r="A385" s="192" t="str">
        <f aca="false">IF(AND('ABRIL 2026'!D74&lt;&gt;"",'ABRIL 2026'!Z74="POR RECOGER"),"ABR","")</f>
        <v/>
      </c>
      <c r="B385" s="192" t="str">
        <f aca="false">IF(AND('ABRIL 2026'!D74&lt;&gt;"",'ABRIL 2026'!Z74="POR RECOGER"),IF('ABRIL 2026'!Y74&lt;&gt;"",'ABRIL 2026'!Y74,'ABRIL 2026'!I74),"")</f>
        <v/>
      </c>
      <c r="C385" s="192" t="str">
        <f aca="false">IF(AND('ABRIL 2026'!D74&lt;&gt;"",'ABRIL 2026'!Z74="POR RECOGER"),'ABRIL 2026'!D74,"")</f>
        <v/>
      </c>
      <c r="D385" s="192" t="str">
        <f aca="false">IF(AND('ABRIL 2026'!D74&lt;&gt;"",'ABRIL 2026'!Z74="POR RECOGER"),'ABRIL 2026'!F74,"")</f>
        <v/>
      </c>
      <c r="E385" s="192" t="str">
        <f aca="false">IF(AND('ABRIL 2026'!D74&lt;&gt;"",'ABRIL 2026'!Z74="POR RECOGER"),TEXT('ABRIL 2026'!G74,"DD/MM/YYYY"),"")</f>
        <v/>
      </c>
      <c r="F385" s="192" t="str">
        <f aca="false">IF(AND('ABRIL 2026'!D74&lt;&gt;"",'ABRIL 2026'!Z74="POR RECOGER"),'ABRIL 2026'!K74,"")</f>
        <v/>
      </c>
      <c r="G385" s="193" t="str">
        <f aca="false">IF(AND('ABRIL 2026'!D74&lt;&gt;"",'ABRIL 2026'!Z74="POR RECOGER"),'ABRIL 2026'!M74,"")</f>
        <v/>
      </c>
      <c r="H385" s="193" t="str">
        <f aca="false">IF(AND('ABRIL 2026'!D74&lt;&gt;"",'ABRIL 2026'!Z74="POR RECOGER"),'ABRIL 2026'!N74,"")</f>
        <v/>
      </c>
      <c r="I385" s="192" t="str">
        <f aca="false">IF(AND('ABRIL 2026'!D74&lt;&gt;"",'ABRIL 2026'!Z74="POR RECOGER"),'ABRIL 2026'!P74,"")</f>
        <v/>
      </c>
      <c r="J385" s="192" t="str">
        <f aca="false">IF(AND('ABRIL 2026'!D74&lt;&gt;"",'ABRIL 2026'!Z74="POR RECOGER"),'ABRIL 2026'!Q74,"")</f>
        <v/>
      </c>
      <c r="K385" s="192" t="str">
        <f aca="false">IF(AND('ABRIL 2026'!D74&lt;&gt;"",'ABRIL 2026'!Z74="POR RECOGER"),'ABRIL 2026'!Y74,"")</f>
        <v/>
      </c>
      <c r="L385" s="192" t="str">
        <f aca="false">IF(AND('ABRIL 2026'!D74&lt;&gt;"",'ABRIL 2026'!Z74="POR RECOGER"),'ABRIL 2026'!I74,"")</f>
        <v/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" hidden="false" customHeight="true" outlineLevel="0" collapsed="false">
      <c r="A386" s="192" t="str">
        <f aca="false">IF(AND('ABRIL 2026'!D75&lt;&gt;"",'ABRIL 2026'!Z75="POR RECOGER"),"ABR","")</f>
        <v/>
      </c>
      <c r="B386" s="192" t="str">
        <f aca="false">IF(AND('ABRIL 2026'!D75&lt;&gt;"",'ABRIL 2026'!Z75="POR RECOGER"),IF('ABRIL 2026'!Y75&lt;&gt;"",'ABRIL 2026'!Y75,'ABRIL 2026'!I75),"")</f>
        <v/>
      </c>
      <c r="C386" s="192" t="str">
        <f aca="false">IF(AND('ABRIL 2026'!D75&lt;&gt;"",'ABRIL 2026'!Z75="POR RECOGER"),'ABRIL 2026'!D75,"")</f>
        <v/>
      </c>
      <c r="D386" s="192" t="str">
        <f aca="false">IF(AND('ABRIL 2026'!D75&lt;&gt;"",'ABRIL 2026'!Z75="POR RECOGER"),'ABRIL 2026'!F75,"")</f>
        <v/>
      </c>
      <c r="E386" s="192" t="str">
        <f aca="false">IF(AND('ABRIL 2026'!D75&lt;&gt;"",'ABRIL 2026'!Z75="POR RECOGER"),TEXT('ABRIL 2026'!G75,"DD/MM/YYYY"),"")</f>
        <v/>
      </c>
      <c r="F386" s="192" t="str">
        <f aca="false">IF(AND('ABRIL 2026'!D75&lt;&gt;"",'ABRIL 2026'!Z75="POR RECOGER"),'ABRIL 2026'!K75,"")</f>
        <v/>
      </c>
      <c r="G386" s="193" t="str">
        <f aca="false">IF(AND('ABRIL 2026'!D75&lt;&gt;"",'ABRIL 2026'!Z75="POR RECOGER"),'ABRIL 2026'!M75,"")</f>
        <v/>
      </c>
      <c r="H386" s="193" t="str">
        <f aca="false">IF(AND('ABRIL 2026'!D75&lt;&gt;"",'ABRIL 2026'!Z75="POR RECOGER"),'ABRIL 2026'!N75,"")</f>
        <v/>
      </c>
      <c r="I386" s="192" t="str">
        <f aca="false">IF(AND('ABRIL 2026'!D75&lt;&gt;"",'ABRIL 2026'!Z75="POR RECOGER"),'ABRIL 2026'!P75,"")</f>
        <v/>
      </c>
      <c r="J386" s="192" t="str">
        <f aca="false">IF(AND('ABRIL 2026'!D75&lt;&gt;"",'ABRIL 2026'!Z75="POR RECOGER"),'ABRIL 2026'!Q75,"")</f>
        <v/>
      </c>
      <c r="K386" s="192" t="str">
        <f aca="false">IF(AND('ABRIL 2026'!D75&lt;&gt;"",'ABRIL 2026'!Z75="POR RECOGER"),'ABRIL 2026'!Y75,"")</f>
        <v/>
      </c>
      <c r="L386" s="192" t="str">
        <f aca="false">IF(AND('ABRIL 2026'!D75&lt;&gt;"",'ABRIL 2026'!Z75="POR RECOGER"),'ABRIL 2026'!I75,"")</f>
        <v/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" hidden="false" customHeight="true" outlineLevel="0" collapsed="false">
      <c r="A387" s="192" t="str">
        <f aca="false">IF(AND('ABRIL 2026'!D76&lt;&gt;"",'ABRIL 2026'!Z76="POR RECOGER"),"ABR","")</f>
        <v/>
      </c>
      <c r="B387" s="192" t="str">
        <f aca="false">IF(AND('ABRIL 2026'!D76&lt;&gt;"",'ABRIL 2026'!Z76="POR RECOGER"),IF('ABRIL 2026'!Y76&lt;&gt;"",'ABRIL 2026'!Y76,'ABRIL 2026'!I76),"")</f>
        <v/>
      </c>
      <c r="C387" s="192" t="str">
        <f aca="false">IF(AND('ABRIL 2026'!D76&lt;&gt;"",'ABRIL 2026'!Z76="POR RECOGER"),'ABRIL 2026'!D76,"")</f>
        <v/>
      </c>
      <c r="D387" s="192" t="str">
        <f aca="false">IF(AND('ABRIL 2026'!D76&lt;&gt;"",'ABRIL 2026'!Z76="POR RECOGER"),'ABRIL 2026'!F76,"")</f>
        <v/>
      </c>
      <c r="E387" s="192" t="str">
        <f aca="false">IF(AND('ABRIL 2026'!D76&lt;&gt;"",'ABRIL 2026'!Z76="POR RECOGER"),TEXT('ABRIL 2026'!G76,"DD/MM/YYYY"),"")</f>
        <v/>
      </c>
      <c r="F387" s="192" t="str">
        <f aca="false">IF(AND('ABRIL 2026'!D76&lt;&gt;"",'ABRIL 2026'!Z76="POR RECOGER"),'ABRIL 2026'!K76,"")</f>
        <v/>
      </c>
      <c r="G387" s="193" t="str">
        <f aca="false">IF(AND('ABRIL 2026'!D76&lt;&gt;"",'ABRIL 2026'!Z76="POR RECOGER"),'ABRIL 2026'!M76,"")</f>
        <v/>
      </c>
      <c r="H387" s="193" t="str">
        <f aca="false">IF(AND('ABRIL 2026'!D76&lt;&gt;"",'ABRIL 2026'!Z76="POR RECOGER"),'ABRIL 2026'!N76,"")</f>
        <v/>
      </c>
      <c r="I387" s="192" t="str">
        <f aca="false">IF(AND('ABRIL 2026'!D76&lt;&gt;"",'ABRIL 2026'!Z76="POR RECOGER"),'ABRIL 2026'!P76,"")</f>
        <v/>
      </c>
      <c r="J387" s="192" t="str">
        <f aca="false">IF(AND('ABRIL 2026'!D76&lt;&gt;"",'ABRIL 2026'!Z76="POR RECOGER"),'ABRIL 2026'!Q76,"")</f>
        <v/>
      </c>
      <c r="K387" s="192" t="str">
        <f aca="false">IF(AND('ABRIL 2026'!D76&lt;&gt;"",'ABRIL 2026'!Z76="POR RECOGER"),'ABRIL 2026'!Y76,"")</f>
        <v/>
      </c>
      <c r="L387" s="192" t="str">
        <f aca="false">IF(AND('ABRIL 2026'!D76&lt;&gt;"",'ABRIL 2026'!Z76="POR RECOGER"),'ABRIL 2026'!I76,"")</f>
        <v/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" hidden="false" customHeight="true" outlineLevel="0" collapsed="false">
      <c r="A388" s="192" t="str">
        <f aca="false">IF(AND('ABRIL 2026'!D77&lt;&gt;"",'ABRIL 2026'!Z77="POR RECOGER"),"ABR","")</f>
        <v/>
      </c>
      <c r="B388" s="192" t="str">
        <f aca="false">IF(AND('ABRIL 2026'!D77&lt;&gt;"",'ABRIL 2026'!Z77="POR RECOGER"),IF('ABRIL 2026'!Y77&lt;&gt;"",'ABRIL 2026'!Y77,'ABRIL 2026'!I77),"")</f>
        <v/>
      </c>
      <c r="C388" s="192" t="str">
        <f aca="false">IF(AND('ABRIL 2026'!D77&lt;&gt;"",'ABRIL 2026'!Z77="POR RECOGER"),'ABRIL 2026'!D77,"")</f>
        <v/>
      </c>
      <c r="D388" s="192" t="str">
        <f aca="false">IF(AND('ABRIL 2026'!D77&lt;&gt;"",'ABRIL 2026'!Z77="POR RECOGER"),'ABRIL 2026'!F77,"")</f>
        <v/>
      </c>
      <c r="E388" s="192" t="str">
        <f aca="false">IF(AND('ABRIL 2026'!D77&lt;&gt;"",'ABRIL 2026'!Z77="POR RECOGER"),TEXT('ABRIL 2026'!G77,"DD/MM/YYYY"),"")</f>
        <v/>
      </c>
      <c r="F388" s="192" t="str">
        <f aca="false">IF(AND('ABRIL 2026'!D77&lt;&gt;"",'ABRIL 2026'!Z77="POR RECOGER"),'ABRIL 2026'!K77,"")</f>
        <v/>
      </c>
      <c r="G388" s="193" t="str">
        <f aca="false">IF(AND('ABRIL 2026'!D77&lt;&gt;"",'ABRIL 2026'!Z77="POR RECOGER"),'ABRIL 2026'!M77,"")</f>
        <v/>
      </c>
      <c r="H388" s="193" t="str">
        <f aca="false">IF(AND('ABRIL 2026'!D77&lt;&gt;"",'ABRIL 2026'!Z77="POR RECOGER"),'ABRIL 2026'!N77,"")</f>
        <v/>
      </c>
      <c r="I388" s="192" t="str">
        <f aca="false">IF(AND('ABRIL 2026'!D77&lt;&gt;"",'ABRIL 2026'!Z77="POR RECOGER"),'ABRIL 2026'!P77,"")</f>
        <v/>
      </c>
      <c r="J388" s="192" t="str">
        <f aca="false">IF(AND('ABRIL 2026'!D77&lt;&gt;"",'ABRIL 2026'!Z77="POR RECOGER"),'ABRIL 2026'!Q77,"")</f>
        <v/>
      </c>
      <c r="K388" s="192" t="str">
        <f aca="false">IF(AND('ABRIL 2026'!D77&lt;&gt;"",'ABRIL 2026'!Z77="POR RECOGER"),'ABRIL 2026'!Y77,"")</f>
        <v/>
      </c>
      <c r="L388" s="192" t="str">
        <f aca="false">IF(AND('ABRIL 2026'!D77&lt;&gt;"",'ABRIL 2026'!Z77="POR RECOGER"),'ABRIL 2026'!I77,"")</f>
        <v/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" hidden="false" customHeight="true" outlineLevel="0" collapsed="false">
      <c r="A389" s="192" t="str">
        <f aca="false">IF(AND('ABRIL 2026'!D78&lt;&gt;"",'ABRIL 2026'!Z78="POR RECOGER"),"ABR","")</f>
        <v/>
      </c>
      <c r="B389" s="192" t="str">
        <f aca="false">IF(AND('ABRIL 2026'!D78&lt;&gt;"",'ABRIL 2026'!Z78="POR RECOGER"),IF('ABRIL 2026'!Y78&lt;&gt;"",'ABRIL 2026'!Y78,'ABRIL 2026'!I78),"")</f>
        <v/>
      </c>
      <c r="C389" s="192" t="str">
        <f aca="false">IF(AND('ABRIL 2026'!D78&lt;&gt;"",'ABRIL 2026'!Z78="POR RECOGER"),'ABRIL 2026'!D78,"")</f>
        <v/>
      </c>
      <c r="D389" s="192" t="str">
        <f aca="false">IF(AND('ABRIL 2026'!D78&lt;&gt;"",'ABRIL 2026'!Z78="POR RECOGER"),'ABRIL 2026'!F78,"")</f>
        <v/>
      </c>
      <c r="E389" s="192" t="str">
        <f aca="false">IF(AND('ABRIL 2026'!D78&lt;&gt;"",'ABRIL 2026'!Z78="POR RECOGER"),TEXT('ABRIL 2026'!G78,"DD/MM/YYYY"),"")</f>
        <v/>
      </c>
      <c r="F389" s="192" t="str">
        <f aca="false">IF(AND('ABRIL 2026'!D78&lt;&gt;"",'ABRIL 2026'!Z78="POR RECOGER"),'ABRIL 2026'!K78,"")</f>
        <v/>
      </c>
      <c r="G389" s="193" t="str">
        <f aca="false">IF(AND('ABRIL 2026'!D78&lt;&gt;"",'ABRIL 2026'!Z78="POR RECOGER"),'ABRIL 2026'!M78,"")</f>
        <v/>
      </c>
      <c r="H389" s="193" t="str">
        <f aca="false">IF(AND('ABRIL 2026'!D78&lt;&gt;"",'ABRIL 2026'!Z78="POR RECOGER"),'ABRIL 2026'!N78,"")</f>
        <v/>
      </c>
      <c r="I389" s="192" t="str">
        <f aca="false">IF(AND('ABRIL 2026'!D78&lt;&gt;"",'ABRIL 2026'!Z78="POR RECOGER"),'ABRIL 2026'!P78,"")</f>
        <v/>
      </c>
      <c r="J389" s="192" t="str">
        <f aca="false">IF(AND('ABRIL 2026'!D78&lt;&gt;"",'ABRIL 2026'!Z78="POR RECOGER"),'ABRIL 2026'!Q78,"")</f>
        <v/>
      </c>
      <c r="K389" s="192" t="str">
        <f aca="false">IF(AND('ABRIL 2026'!D78&lt;&gt;"",'ABRIL 2026'!Z78="POR RECOGER"),'ABRIL 2026'!Y78,"")</f>
        <v/>
      </c>
      <c r="L389" s="192" t="str">
        <f aca="false">IF(AND('ABRIL 2026'!D78&lt;&gt;"",'ABRIL 2026'!Z78="POR RECOGER"),'ABRIL 2026'!I78,"")</f>
        <v/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" hidden="false" customHeight="true" outlineLevel="0" collapsed="false">
      <c r="A390" s="192" t="str">
        <f aca="false">IF(AND('ABRIL 2026'!D79&lt;&gt;"",'ABRIL 2026'!Z79="POR RECOGER"),"ABR","")</f>
        <v/>
      </c>
      <c r="B390" s="192" t="str">
        <f aca="false">IF(AND('ABRIL 2026'!D79&lt;&gt;"",'ABRIL 2026'!Z79="POR RECOGER"),IF('ABRIL 2026'!Y79&lt;&gt;"",'ABRIL 2026'!Y79,'ABRIL 2026'!I79),"")</f>
        <v/>
      </c>
      <c r="C390" s="192" t="str">
        <f aca="false">IF(AND('ABRIL 2026'!D79&lt;&gt;"",'ABRIL 2026'!Z79="POR RECOGER"),'ABRIL 2026'!D79,"")</f>
        <v/>
      </c>
      <c r="D390" s="192" t="str">
        <f aca="false">IF(AND('ABRIL 2026'!D79&lt;&gt;"",'ABRIL 2026'!Z79="POR RECOGER"),'ABRIL 2026'!F79,"")</f>
        <v/>
      </c>
      <c r="E390" s="192" t="str">
        <f aca="false">IF(AND('ABRIL 2026'!D79&lt;&gt;"",'ABRIL 2026'!Z79="POR RECOGER"),TEXT('ABRIL 2026'!G79,"DD/MM/YYYY"),"")</f>
        <v/>
      </c>
      <c r="F390" s="192" t="str">
        <f aca="false">IF(AND('ABRIL 2026'!D79&lt;&gt;"",'ABRIL 2026'!Z79="POR RECOGER"),'ABRIL 2026'!K79,"")</f>
        <v/>
      </c>
      <c r="G390" s="193" t="str">
        <f aca="false">IF(AND('ABRIL 2026'!D79&lt;&gt;"",'ABRIL 2026'!Z79="POR RECOGER"),'ABRIL 2026'!M79,"")</f>
        <v/>
      </c>
      <c r="H390" s="193" t="str">
        <f aca="false">IF(AND('ABRIL 2026'!D79&lt;&gt;"",'ABRIL 2026'!Z79="POR RECOGER"),'ABRIL 2026'!N79,"")</f>
        <v/>
      </c>
      <c r="I390" s="192" t="str">
        <f aca="false">IF(AND('ABRIL 2026'!D79&lt;&gt;"",'ABRIL 2026'!Z79="POR RECOGER"),'ABRIL 2026'!P79,"")</f>
        <v/>
      </c>
      <c r="J390" s="192" t="str">
        <f aca="false">IF(AND('ABRIL 2026'!D79&lt;&gt;"",'ABRIL 2026'!Z79="POR RECOGER"),'ABRIL 2026'!Q79,"")</f>
        <v/>
      </c>
      <c r="K390" s="192" t="str">
        <f aca="false">IF(AND('ABRIL 2026'!D79&lt;&gt;"",'ABRIL 2026'!Z79="POR RECOGER"),'ABRIL 2026'!Y79,"")</f>
        <v/>
      </c>
      <c r="L390" s="192" t="str">
        <f aca="false">IF(AND('ABRIL 2026'!D79&lt;&gt;"",'ABRIL 2026'!Z79="POR RECOGER"),'ABRIL 2026'!I79,"")</f>
        <v/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" hidden="false" customHeight="true" outlineLevel="0" collapsed="false">
      <c r="A391" s="192" t="str">
        <f aca="false">IF(AND('ABRIL 2026'!D80&lt;&gt;"",'ABRIL 2026'!Z80="POR RECOGER"),"ABR","")</f>
        <v/>
      </c>
      <c r="B391" s="192" t="str">
        <f aca="false">IF(AND('ABRIL 2026'!D80&lt;&gt;"",'ABRIL 2026'!Z80="POR RECOGER"),IF('ABRIL 2026'!Y80&lt;&gt;"",'ABRIL 2026'!Y80,'ABRIL 2026'!I80),"")</f>
        <v/>
      </c>
      <c r="C391" s="192" t="str">
        <f aca="false">IF(AND('ABRIL 2026'!D80&lt;&gt;"",'ABRIL 2026'!Z80="POR RECOGER"),'ABRIL 2026'!D80,"")</f>
        <v/>
      </c>
      <c r="D391" s="192" t="str">
        <f aca="false">IF(AND('ABRIL 2026'!D80&lt;&gt;"",'ABRIL 2026'!Z80="POR RECOGER"),'ABRIL 2026'!F80,"")</f>
        <v/>
      </c>
      <c r="E391" s="192" t="str">
        <f aca="false">IF(AND('ABRIL 2026'!D80&lt;&gt;"",'ABRIL 2026'!Z80="POR RECOGER"),TEXT('ABRIL 2026'!G80,"DD/MM/YYYY"),"")</f>
        <v/>
      </c>
      <c r="F391" s="192" t="str">
        <f aca="false">IF(AND('ABRIL 2026'!D80&lt;&gt;"",'ABRIL 2026'!Z80="POR RECOGER"),'ABRIL 2026'!K80,"")</f>
        <v/>
      </c>
      <c r="G391" s="193" t="str">
        <f aca="false">IF(AND('ABRIL 2026'!D80&lt;&gt;"",'ABRIL 2026'!Z80="POR RECOGER"),'ABRIL 2026'!M80,"")</f>
        <v/>
      </c>
      <c r="H391" s="193" t="str">
        <f aca="false">IF(AND('ABRIL 2026'!D80&lt;&gt;"",'ABRIL 2026'!Z80="POR RECOGER"),'ABRIL 2026'!N80,"")</f>
        <v/>
      </c>
      <c r="I391" s="192" t="str">
        <f aca="false">IF(AND('ABRIL 2026'!D80&lt;&gt;"",'ABRIL 2026'!Z80="POR RECOGER"),'ABRIL 2026'!P80,"")</f>
        <v/>
      </c>
      <c r="J391" s="192" t="str">
        <f aca="false">IF(AND('ABRIL 2026'!D80&lt;&gt;"",'ABRIL 2026'!Z80="POR RECOGER"),'ABRIL 2026'!Q80,"")</f>
        <v/>
      </c>
      <c r="K391" s="192" t="str">
        <f aca="false">IF(AND('ABRIL 2026'!D80&lt;&gt;"",'ABRIL 2026'!Z80="POR RECOGER"),'ABRIL 2026'!Y80,"")</f>
        <v/>
      </c>
      <c r="L391" s="192" t="str">
        <f aca="false">IF(AND('ABRIL 2026'!D80&lt;&gt;"",'ABRIL 2026'!Z80="POR RECOGER"),'ABRIL 2026'!I80,"")</f>
        <v/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" hidden="false" customHeight="true" outlineLevel="0" collapsed="false">
      <c r="A392" s="192" t="str">
        <f aca="false">IF(AND('ABRIL 2026'!D81&lt;&gt;"",'ABRIL 2026'!Z81="POR RECOGER"),"ABR","")</f>
        <v/>
      </c>
      <c r="B392" s="192" t="str">
        <f aca="false">IF(AND('ABRIL 2026'!D81&lt;&gt;"",'ABRIL 2026'!Z81="POR RECOGER"),IF('ABRIL 2026'!Y81&lt;&gt;"",'ABRIL 2026'!Y81,'ABRIL 2026'!I81),"")</f>
        <v/>
      </c>
      <c r="C392" s="192" t="str">
        <f aca="false">IF(AND('ABRIL 2026'!D81&lt;&gt;"",'ABRIL 2026'!Z81="POR RECOGER"),'ABRIL 2026'!D81,"")</f>
        <v/>
      </c>
      <c r="D392" s="192" t="str">
        <f aca="false">IF(AND('ABRIL 2026'!D81&lt;&gt;"",'ABRIL 2026'!Z81="POR RECOGER"),'ABRIL 2026'!F81,"")</f>
        <v/>
      </c>
      <c r="E392" s="192" t="str">
        <f aca="false">IF(AND('ABRIL 2026'!D81&lt;&gt;"",'ABRIL 2026'!Z81="POR RECOGER"),TEXT('ABRIL 2026'!G81,"DD/MM/YYYY"),"")</f>
        <v/>
      </c>
      <c r="F392" s="192" t="str">
        <f aca="false">IF(AND('ABRIL 2026'!D81&lt;&gt;"",'ABRIL 2026'!Z81="POR RECOGER"),'ABRIL 2026'!K81,"")</f>
        <v/>
      </c>
      <c r="G392" s="193" t="str">
        <f aca="false">IF(AND('ABRIL 2026'!D81&lt;&gt;"",'ABRIL 2026'!Z81="POR RECOGER"),'ABRIL 2026'!M81,"")</f>
        <v/>
      </c>
      <c r="H392" s="193" t="str">
        <f aca="false">IF(AND('ABRIL 2026'!D81&lt;&gt;"",'ABRIL 2026'!Z81="POR RECOGER"),'ABRIL 2026'!N81,"")</f>
        <v/>
      </c>
      <c r="I392" s="192" t="str">
        <f aca="false">IF(AND('ABRIL 2026'!D81&lt;&gt;"",'ABRIL 2026'!Z81="POR RECOGER"),'ABRIL 2026'!P81,"")</f>
        <v/>
      </c>
      <c r="J392" s="192" t="str">
        <f aca="false">IF(AND('ABRIL 2026'!D81&lt;&gt;"",'ABRIL 2026'!Z81="POR RECOGER"),'ABRIL 2026'!Q81,"")</f>
        <v/>
      </c>
      <c r="K392" s="192" t="str">
        <f aca="false">IF(AND('ABRIL 2026'!D81&lt;&gt;"",'ABRIL 2026'!Z81="POR RECOGER"),'ABRIL 2026'!Y81,"")</f>
        <v/>
      </c>
      <c r="L392" s="192" t="str">
        <f aca="false">IF(AND('ABRIL 2026'!D81&lt;&gt;"",'ABRIL 2026'!Z81="POR RECOGER"),'ABRIL 2026'!I81,"")</f>
        <v/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" hidden="false" customHeight="true" outlineLevel="0" collapsed="false">
      <c r="A393" s="192" t="str">
        <f aca="false">IF(AND('ABRIL 2026'!D82&lt;&gt;"",'ABRIL 2026'!Z82="POR RECOGER"),"ABR","")</f>
        <v/>
      </c>
      <c r="B393" s="192" t="str">
        <f aca="false">IF(AND('ABRIL 2026'!D82&lt;&gt;"",'ABRIL 2026'!Z82="POR RECOGER"),IF('ABRIL 2026'!Y82&lt;&gt;"",'ABRIL 2026'!Y82,'ABRIL 2026'!I82),"")</f>
        <v/>
      </c>
      <c r="C393" s="192" t="str">
        <f aca="false">IF(AND('ABRIL 2026'!D82&lt;&gt;"",'ABRIL 2026'!Z82="POR RECOGER"),'ABRIL 2026'!D82,"")</f>
        <v/>
      </c>
      <c r="D393" s="192" t="str">
        <f aca="false">IF(AND('ABRIL 2026'!D82&lt;&gt;"",'ABRIL 2026'!Z82="POR RECOGER"),'ABRIL 2026'!F82,"")</f>
        <v/>
      </c>
      <c r="E393" s="192" t="str">
        <f aca="false">IF(AND('ABRIL 2026'!D82&lt;&gt;"",'ABRIL 2026'!Z82="POR RECOGER"),TEXT('ABRIL 2026'!G82,"DD/MM/YYYY"),"")</f>
        <v/>
      </c>
      <c r="F393" s="192" t="str">
        <f aca="false">IF(AND('ABRIL 2026'!D82&lt;&gt;"",'ABRIL 2026'!Z82="POR RECOGER"),'ABRIL 2026'!K82,"")</f>
        <v/>
      </c>
      <c r="G393" s="193" t="str">
        <f aca="false">IF(AND('ABRIL 2026'!D82&lt;&gt;"",'ABRIL 2026'!Z82="POR RECOGER"),'ABRIL 2026'!M82,"")</f>
        <v/>
      </c>
      <c r="H393" s="193" t="str">
        <f aca="false">IF(AND('ABRIL 2026'!D82&lt;&gt;"",'ABRIL 2026'!Z82="POR RECOGER"),'ABRIL 2026'!N82,"")</f>
        <v/>
      </c>
      <c r="I393" s="192" t="str">
        <f aca="false">IF(AND('ABRIL 2026'!D82&lt;&gt;"",'ABRIL 2026'!Z82="POR RECOGER"),'ABRIL 2026'!P82,"")</f>
        <v/>
      </c>
      <c r="J393" s="192" t="str">
        <f aca="false">IF(AND('ABRIL 2026'!D82&lt;&gt;"",'ABRIL 2026'!Z82="POR RECOGER"),'ABRIL 2026'!Q82,"")</f>
        <v/>
      </c>
      <c r="K393" s="192" t="str">
        <f aca="false">IF(AND('ABRIL 2026'!D82&lt;&gt;"",'ABRIL 2026'!Z82="POR RECOGER"),'ABRIL 2026'!Y82,"")</f>
        <v/>
      </c>
      <c r="L393" s="192" t="str">
        <f aca="false">IF(AND('ABRIL 2026'!D82&lt;&gt;"",'ABRIL 2026'!Z82="POR RECOGER"),'ABRIL 2026'!I82,"")</f>
        <v/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" hidden="false" customHeight="true" outlineLevel="0" collapsed="false">
      <c r="A394" s="192" t="str">
        <f aca="false">IF(AND('ABRIL 2026'!D83&lt;&gt;"",'ABRIL 2026'!Z83="POR RECOGER"),"ABR","")</f>
        <v/>
      </c>
      <c r="B394" s="192" t="str">
        <f aca="false">IF(AND('ABRIL 2026'!D83&lt;&gt;"",'ABRIL 2026'!Z83="POR RECOGER"),IF('ABRIL 2026'!Y83&lt;&gt;"",'ABRIL 2026'!Y83,'ABRIL 2026'!I83),"")</f>
        <v/>
      </c>
      <c r="C394" s="192" t="str">
        <f aca="false">IF(AND('ABRIL 2026'!D83&lt;&gt;"",'ABRIL 2026'!Z83="POR RECOGER"),'ABRIL 2026'!D83,"")</f>
        <v/>
      </c>
      <c r="D394" s="192" t="str">
        <f aca="false">IF(AND('ABRIL 2026'!D83&lt;&gt;"",'ABRIL 2026'!Z83="POR RECOGER"),'ABRIL 2026'!F83,"")</f>
        <v/>
      </c>
      <c r="E394" s="192" t="str">
        <f aca="false">IF(AND('ABRIL 2026'!D83&lt;&gt;"",'ABRIL 2026'!Z83="POR RECOGER"),TEXT('ABRIL 2026'!G83,"DD/MM/YYYY"),"")</f>
        <v/>
      </c>
      <c r="F394" s="192" t="str">
        <f aca="false">IF(AND('ABRIL 2026'!D83&lt;&gt;"",'ABRIL 2026'!Z83="POR RECOGER"),'ABRIL 2026'!K83,"")</f>
        <v/>
      </c>
      <c r="G394" s="193" t="str">
        <f aca="false">IF(AND('ABRIL 2026'!D83&lt;&gt;"",'ABRIL 2026'!Z83="POR RECOGER"),'ABRIL 2026'!M83,"")</f>
        <v/>
      </c>
      <c r="H394" s="193" t="str">
        <f aca="false">IF(AND('ABRIL 2026'!D83&lt;&gt;"",'ABRIL 2026'!Z83="POR RECOGER"),'ABRIL 2026'!N83,"")</f>
        <v/>
      </c>
      <c r="I394" s="192" t="str">
        <f aca="false">IF(AND('ABRIL 2026'!D83&lt;&gt;"",'ABRIL 2026'!Z83="POR RECOGER"),'ABRIL 2026'!P83,"")</f>
        <v/>
      </c>
      <c r="J394" s="192" t="str">
        <f aca="false">IF(AND('ABRIL 2026'!D83&lt;&gt;"",'ABRIL 2026'!Z83="POR RECOGER"),'ABRIL 2026'!Q83,"")</f>
        <v/>
      </c>
      <c r="K394" s="192" t="str">
        <f aca="false">IF(AND('ABRIL 2026'!D83&lt;&gt;"",'ABRIL 2026'!Z83="POR RECOGER"),'ABRIL 2026'!Y83,"")</f>
        <v/>
      </c>
      <c r="L394" s="192" t="str">
        <f aca="false">IF(AND('ABRIL 2026'!D83&lt;&gt;"",'ABRIL 2026'!Z83="POR RECOGER"),'ABRIL 2026'!I83,"")</f>
        <v/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" hidden="false" customHeight="true" outlineLevel="0" collapsed="false">
      <c r="A395" s="192" t="str">
        <f aca="false">IF(AND('ABRIL 2026'!D84&lt;&gt;"",'ABRIL 2026'!Z84="POR RECOGER"),"ABR","")</f>
        <v/>
      </c>
      <c r="B395" s="192" t="str">
        <f aca="false">IF(AND('ABRIL 2026'!D84&lt;&gt;"",'ABRIL 2026'!Z84="POR RECOGER"),IF('ABRIL 2026'!Y84&lt;&gt;"",'ABRIL 2026'!Y84,'ABRIL 2026'!I84),"")</f>
        <v/>
      </c>
      <c r="C395" s="192" t="str">
        <f aca="false">IF(AND('ABRIL 2026'!D84&lt;&gt;"",'ABRIL 2026'!Z84="POR RECOGER"),'ABRIL 2026'!D84,"")</f>
        <v/>
      </c>
      <c r="D395" s="192" t="str">
        <f aca="false">IF(AND('ABRIL 2026'!D84&lt;&gt;"",'ABRIL 2026'!Z84="POR RECOGER"),'ABRIL 2026'!F84,"")</f>
        <v/>
      </c>
      <c r="E395" s="192" t="str">
        <f aca="false">IF(AND('ABRIL 2026'!D84&lt;&gt;"",'ABRIL 2026'!Z84="POR RECOGER"),TEXT('ABRIL 2026'!G84,"DD/MM/YYYY"),"")</f>
        <v/>
      </c>
      <c r="F395" s="192" t="str">
        <f aca="false">IF(AND('ABRIL 2026'!D84&lt;&gt;"",'ABRIL 2026'!Z84="POR RECOGER"),'ABRIL 2026'!K84,"")</f>
        <v/>
      </c>
      <c r="G395" s="193" t="str">
        <f aca="false">IF(AND('ABRIL 2026'!D84&lt;&gt;"",'ABRIL 2026'!Z84="POR RECOGER"),'ABRIL 2026'!M84,"")</f>
        <v/>
      </c>
      <c r="H395" s="193" t="str">
        <f aca="false">IF(AND('ABRIL 2026'!D84&lt;&gt;"",'ABRIL 2026'!Z84="POR RECOGER"),'ABRIL 2026'!N84,"")</f>
        <v/>
      </c>
      <c r="I395" s="192" t="str">
        <f aca="false">IF(AND('ABRIL 2026'!D84&lt;&gt;"",'ABRIL 2026'!Z84="POR RECOGER"),'ABRIL 2026'!P84,"")</f>
        <v/>
      </c>
      <c r="J395" s="192" t="str">
        <f aca="false">IF(AND('ABRIL 2026'!D84&lt;&gt;"",'ABRIL 2026'!Z84="POR RECOGER"),'ABRIL 2026'!Q84,"")</f>
        <v/>
      </c>
      <c r="K395" s="192" t="str">
        <f aca="false">IF(AND('ABRIL 2026'!D84&lt;&gt;"",'ABRIL 2026'!Z84="POR RECOGER"),'ABRIL 2026'!Y84,"")</f>
        <v/>
      </c>
      <c r="L395" s="192" t="str">
        <f aca="false">IF(AND('ABRIL 2026'!D84&lt;&gt;"",'ABRIL 2026'!Z84="POR RECOGER"),'ABRIL 2026'!I84,"")</f>
        <v/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" hidden="false" customHeight="true" outlineLevel="0" collapsed="false">
      <c r="A396" s="192" t="str">
        <f aca="false">IF(AND('ABRIL 2026'!D85&lt;&gt;"",'ABRIL 2026'!Z85="POR RECOGER"),"ABR","")</f>
        <v/>
      </c>
      <c r="B396" s="192" t="str">
        <f aca="false">IF(AND('ABRIL 2026'!D85&lt;&gt;"",'ABRIL 2026'!Z85="POR RECOGER"),IF('ABRIL 2026'!Y85&lt;&gt;"",'ABRIL 2026'!Y85,'ABRIL 2026'!I85),"")</f>
        <v/>
      </c>
      <c r="C396" s="192" t="str">
        <f aca="false">IF(AND('ABRIL 2026'!D85&lt;&gt;"",'ABRIL 2026'!Z85="POR RECOGER"),'ABRIL 2026'!D85,"")</f>
        <v/>
      </c>
      <c r="D396" s="192" t="str">
        <f aca="false">IF(AND('ABRIL 2026'!D85&lt;&gt;"",'ABRIL 2026'!Z85="POR RECOGER"),'ABRIL 2026'!F85,"")</f>
        <v/>
      </c>
      <c r="E396" s="192" t="str">
        <f aca="false">IF(AND('ABRIL 2026'!D85&lt;&gt;"",'ABRIL 2026'!Z85="POR RECOGER"),TEXT('ABRIL 2026'!G85,"DD/MM/YYYY"),"")</f>
        <v/>
      </c>
      <c r="F396" s="192" t="str">
        <f aca="false">IF(AND('ABRIL 2026'!D85&lt;&gt;"",'ABRIL 2026'!Z85="POR RECOGER"),'ABRIL 2026'!K85,"")</f>
        <v/>
      </c>
      <c r="G396" s="193" t="str">
        <f aca="false">IF(AND('ABRIL 2026'!D85&lt;&gt;"",'ABRIL 2026'!Z85="POR RECOGER"),'ABRIL 2026'!M85,"")</f>
        <v/>
      </c>
      <c r="H396" s="193" t="str">
        <f aca="false">IF(AND('ABRIL 2026'!D85&lt;&gt;"",'ABRIL 2026'!Z85="POR RECOGER"),'ABRIL 2026'!N85,"")</f>
        <v/>
      </c>
      <c r="I396" s="192" t="str">
        <f aca="false">IF(AND('ABRIL 2026'!D85&lt;&gt;"",'ABRIL 2026'!Z85="POR RECOGER"),'ABRIL 2026'!P85,"")</f>
        <v/>
      </c>
      <c r="J396" s="192" t="str">
        <f aca="false">IF(AND('ABRIL 2026'!D85&lt;&gt;"",'ABRIL 2026'!Z85="POR RECOGER"),'ABRIL 2026'!Q85,"")</f>
        <v/>
      </c>
      <c r="K396" s="192" t="str">
        <f aca="false">IF(AND('ABRIL 2026'!D85&lt;&gt;"",'ABRIL 2026'!Z85="POR RECOGER"),'ABRIL 2026'!Y85,"")</f>
        <v/>
      </c>
      <c r="L396" s="192" t="str">
        <f aca="false">IF(AND('ABRIL 2026'!D85&lt;&gt;"",'ABRIL 2026'!Z85="POR RECOGER"),'ABRIL 2026'!I85,"")</f>
        <v/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" hidden="false" customHeight="true" outlineLevel="0" collapsed="false">
      <c r="A397" s="192" t="str">
        <f aca="false">IF(AND('ABRIL 2026'!D86&lt;&gt;"",'ABRIL 2026'!Z86="POR RECOGER"),"ABR","")</f>
        <v/>
      </c>
      <c r="B397" s="192" t="str">
        <f aca="false">IF(AND('ABRIL 2026'!D86&lt;&gt;"",'ABRIL 2026'!Z86="POR RECOGER"),IF('ABRIL 2026'!Y86&lt;&gt;"",'ABRIL 2026'!Y86,'ABRIL 2026'!I86),"")</f>
        <v/>
      </c>
      <c r="C397" s="192" t="str">
        <f aca="false">IF(AND('ABRIL 2026'!D86&lt;&gt;"",'ABRIL 2026'!Z86="POR RECOGER"),'ABRIL 2026'!D86,"")</f>
        <v/>
      </c>
      <c r="D397" s="192" t="str">
        <f aca="false">IF(AND('ABRIL 2026'!D86&lt;&gt;"",'ABRIL 2026'!Z86="POR RECOGER"),'ABRIL 2026'!F86,"")</f>
        <v/>
      </c>
      <c r="E397" s="192" t="str">
        <f aca="false">IF(AND('ABRIL 2026'!D86&lt;&gt;"",'ABRIL 2026'!Z86="POR RECOGER"),TEXT('ABRIL 2026'!G86,"DD/MM/YYYY"),"")</f>
        <v/>
      </c>
      <c r="F397" s="192" t="str">
        <f aca="false">IF(AND('ABRIL 2026'!D86&lt;&gt;"",'ABRIL 2026'!Z86="POR RECOGER"),'ABRIL 2026'!K86,"")</f>
        <v/>
      </c>
      <c r="G397" s="193" t="str">
        <f aca="false">IF(AND('ABRIL 2026'!D86&lt;&gt;"",'ABRIL 2026'!Z86="POR RECOGER"),'ABRIL 2026'!M86,"")</f>
        <v/>
      </c>
      <c r="H397" s="193" t="str">
        <f aca="false">IF(AND('ABRIL 2026'!D86&lt;&gt;"",'ABRIL 2026'!Z86="POR RECOGER"),'ABRIL 2026'!N86,"")</f>
        <v/>
      </c>
      <c r="I397" s="192" t="str">
        <f aca="false">IF(AND('ABRIL 2026'!D86&lt;&gt;"",'ABRIL 2026'!Z86="POR RECOGER"),'ABRIL 2026'!P86,"")</f>
        <v/>
      </c>
      <c r="J397" s="192" t="str">
        <f aca="false">IF(AND('ABRIL 2026'!D86&lt;&gt;"",'ABRIL 2026'!Z86="POR RECOGER"),'ABRIL 2026'!Q86,"")</f>
        <v/>
      </c>
      <c r="K397" s="192" t="str">
        <f aca="false">IF(AND('ABRIL 2026'!D86&lt;&gt;"",'ABRIL 2026'!Z86="POR RECOGER"),'ABRIL 2026'!Y86,"")</f>
        <v/>
      </c>
      <c r="L397" s="192" t="str">
        <f aca="false">IF(AND('ABRIL 2026'!D86&lt;&gt;"",'ABRIL 2026'!Z86="POR RECOGER"),'ABRIL 2026'!I86,"")</f>
        <v/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" hidden="false" customHeight="true" outlineLevel="0" collapsed="false">
      <c r="A398" s="192" t="str">
        <f aca="false">IF(AND('ABRIL 2026'!D87&lt;&gt;"",'ABRIL 2026'!Z87="POR RECOGER"),"ABR","")</f>
        <v/>
      </c>
      <c r="B398" s="192" t="str">
        <f aca="false">IF(AND('ABRIL 2026'!D87&lt;&gt;"",'ABRIL 2026'!Z87="POR RECOGER"),IF('ABRIL 2026'!Y87&lt;&gt;"",'ABRIL 2026'!Y87,'ABRIL 2026'!I87),"")</f>
        <v/>
      </c>
      <c r="C398" s="192" t="str">
        <f aca="false">IF(AND('ABRIL 2026'!D87&lt;&gt;"",'ABRIL 2026'!Z87="POR RECOGER"),'ABRIL 2026'!D87,"")</f>
        <v/>
      </c>
      <c r="D398" s="192" t="str">
        <f aca="false">IF(AND('ABRIL 2026'!D87&lt;&gt;"",'ABRIL 2026'!Z87="POR RECOGER"),'ABRIL 2026'!F87,"")</f>
        <v/>
      </c>
      <c r="E398" s="192" t="str">
        <f aca="false">IF(AND('ABRIL 2026'!D87&lt;&gt;"",'ABRIL 2026'!Z87="POR RECOGER"),TEXT('ABRIL 2026'!G87,"DD/MM/YYYY"),"")</f>
        <v/>
      </c>
      <c r="F398" s="192" t="str">
        <f aca="false">IF(AND('ABRIL 2026'!D87&lt;&gt;"",'ABRIL 2026'!Z87="POR RECOGER"),'ABRIL 2026'!K87,"")</f>
        <v/>
      </c>
      <c r="G398" s="193" t="str">
        <f aca="false">IF(AND('ABRIL 2026'!D87&lt;&gt;"",'ABRIL 2026'!Z87="POR RECOGER"),'ABRIL 2026'!M87,"")</f>
        <v/>
      </c>
      <c r="H398" s="193" t="str">
        <f aca="false">IF(AND('ABRIL 2026'!D87&lt;&gt;"",'ABRIL 2026'!Z87="POR RECOGER"),'ABRIL 2026'!N87,"")</f>
        <v/>
      </c>
      <c r="I398" s="192" t="str">
        <f aca="false">IF(AND('ABRIL 2026'!D87&lt;&gt;"",'ABRIL 2026'!Z87="POR RECOGER"),'ABRIL 2026'!P87,"")</f>
        <v/>
      </c>
      <c r="J398" s="192" t="str">
        <f aca="false">IF(AND('ABRIL 2026'!D87&lt;&gt;"",'ABRIL 2026'!Z87="POR RECOGER"),'ABRIL 2026'!Q87,"")</f>
        <v/>
      </c>
      <c r="K398" s="192" t="str">
        <f aca="false">IF(AND('ABRIL 2026'!D87&lt;&gt;"",'ABRIL 2026'!Z87="POR RECOGER"),'ABRIL 2026'!Y87,"")</f>
        <v/>
      </c>
      <c r="L398" s="192" t="str">
        <f aca="false">IF(AND('ABRIL 2026'!D87&lt;&gt;"",'ABRIL 2026'!Z87="POR RECOGER"),'ABRIL 2026'!I87,"")</f>
        <v/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" hidden="false" customHeight="true" outlineLevel="0" collapsed="false">
      <c r="A399" s="192" t="str">
        <f aca="false">IF(AND('ABRIL 2026'!D88&lt;&gt;"",'ABRIL 2026'!Z88="POR RECOGER"),"ABR","")</f>
        <v/>
      </c>
      <c r="B399" s="192" t="str">
        <f aca="false">IF(AND('ABRIL 2026'!D88&lt;&gt;"",'ABRIL 2026'!Z88="POR RECOGER"),IF('ABRIL 2026'!Y88&lt;&gt;"",'ABRIL 2026'!Y88,'ABRIL 2026'!I88),"")</f>
        <v/>
      </c>
      <c r="C399" s="192" t="str">
        <f aca="false">IF(AND('ABRIL 2026'!D88&lt;&gt;"",'ABRIL 2026'!Z88="POR RECOGER"),'ABRIL 2026'!D88,"")</f>
        <v/>
      </c>
      <c r="D399" s="192" t="str">
        <f aca="false">IF(AND('ABRIL 2026'!D88&lt;&gt;"",'ABRIL 2026'!Z88="POR RECOGER"),'ABRIL 2026'!F88,"")</f>
        <v/>
      </c>
      <c r="E399" s="192" t="str">
        <f aca="false">IF(AND('ABRIL 2026'!D88&lt;&gt;"",'ABRIL 2026'!Z88="POR RECOGER"),TEXT('ABRIL 2026'!G88,"DD/MM/YYYY"),"")</f>
        <v/>
      </c>
      <c r="F399" s="192" t="str">
        <f aca="false">IF(AND('ABRIL 2026'!D88&lt;&gt;"",'ABRIL 2026'!Z88="POR RECOGER"),'ABRIL 2026'!K88,"")</f>
        <v/>
      </c>
      <c r="G399" s="193" t="str">
        <f aca="false">IF(AND('ABRIL 2026'!D88&lt;&gt;"",'ABRIL 2026'!Z88="POR RECOGER"),'ABRIL 2026'!M88,"")</f>
        <v/>
      </c>
      <c r="H399" s="193" t="str">
        <f aca="false">IF(AND('ABRIL 2026'!D88&lt;&gt;"",'ABRIL 2026'!Z88="POR RECOGER"),'ABRIL 2026'!N88,"")</f>
        <v/>
      </c>
      <c r="I399" s="192" t="str">
        <f aca="false">IF(AND('ABRIL 2026'!D88&lt;&gt;"",'ABRIL 2026'!Z88="POR RECOGER"),'ABRIL 2026'!P88,"")</f>
        <v/>
      </c>
      <c r="J399" s="192" t="str">
        <f aca="false">IF(AND('ABRIL 2026'!D88&lt;&gt;"",'ABRIL 2026'!Z88="POR RECOGER"),'ABRIL 2026'!Q88,"")</f>
        <v/>
      </c>
      <c r="K399" s="192" t="str">
        <f aca="false">IF(AND('ABRIL 2026'!D88&lt;&gt;"",'ABRIL 2026'!Z88="POR RECOGER"),'ABRIL 2026'!Y88,"")</f>
        <v/>
      </c>
      <c r="L399" s="192" t="str">
        <f aca="false">IF(AND('ABRIL 2026'!D88&lt;&gt;"",'ABRIL 2026'!Z88="POR RECOGER"),'ABRIL 2026'!I88,"")</f>
        <v/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" hidden="false" customHeight="true" outlineLevel="0" collapsed="false">
      <c r="A400" s="192" t="str">
        <f aca="false">IF(AND('ABRIL 2026'!D89&lt;&gt;"",'ABRIL 2026'!Z89="POR RECOGER"),"ABR","")</f>
        <v/>
      </c>
      <c r="B400" s="192" t="str">
        <f aca="false">IF(AND('ABRIL 2026'!D89&lt;&gt;"",'ABRIL 2026'!Z89="POR RECOGER"),IF('ABRIL 2026'!Y89&lt;&gt;"",'ABRIL 2026'!Y89,'ABRIL 2026'!I89),"")</f>
        <v/>
      </c>
      <c r="C400" s="192" t="str">
        <f aca="false">IF(AND('ABRIL 2026'!D89&lt;&gt;"",'ABRIL 2026'!Z89="POR RECOGER"),'ABRIL 2026'!D89,"")</f>
        <v/>
      </c>
      <c r="D400" s="192" t="str">
        <f aca="false">IF(AND('ABRIL 2026'!D89&lt;&gt;"",'ABRIL 2026'!Z89="POR RECOGER"),'ABRIL 2026'!F89,"")</f>
        <v/>
      </c>
      <c r="E400" s="192" t="str">
        <f aca="false">IF(AND('ABRIL 2026'!D89&lt;&gt;"",'ABRIL 2026'!Z89="POR RECOGER"),TEXT('ABRIL 2026'!G89,"DD/MM/YYYY"),"")</f>
        <v/>
      </c>
      <c r="F400" s="192" t="str">
        <f aca="false">IF(AND('ABRIL 2026'!D89&lt;&gt;"",'ABRIL 2026'!Z89="POR RECOGER"),'ABRIL 2026'!K89,"")</f>
        <v/>
      </c>
      <c r="G400" s="193" t="str">
        <f aca="false">IF(AND('ABRIL 2026'!D89&lt;&gt;"",'ABRIL 2026'!Z89="POR RECOGER"),'ABRIL 2026'!M89,"")</f>
        <v/>
      </c>
      <c r="H400" s="193" t="str">
        <f aca="false">IF(AND('ABRIL 2026'!D89&lt;&gt;"",'ABRIL 2026'!Z89="POR RECOGER"),'ABRIL 2026'!N89,"")</f>
        <v/>
      </c>
      <c r="I400" s="192" t="str">
        <f aca="false">IF(AND('ABRIL 2026'!D89&lt;&gt;"",'ABRIL 2026'!Z89="POR RECOGER"),'ABRIL 2026'!P89,"")</f>
        <v/>
      </c>
      <c r="J400" s="192" t="str">
        <f aca="false">IF(AND('ABRIL 2026'!D89&lt;&gt;"",'ABRIL 2026'!Z89="POR RECOGER"),'ABRIL 2026'!Q89,"")</f>
        <v/>
      </c>
      <c r="K400" s="192" t="str">
        <f aca="false">IF(AND('ABRIL 2026'!D89&lt;&gt;"",'ABRIL 2026'!Z89="POR RECOGER"),'ABRIL 2026'!Y89,"")</f>
        <v/>
      </c>
      <c r="L400" s="192" t="str">
        <f aca="false">IF(AND('ABRIL 2026'!D89&lt;&gt;"",'ABRIL 2026'!Z89="POR RECOGER"),'ABRIL 2026'!I89,"")</f>
        <v/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" hidden="false" customHeight="true" outlineLevel="0" collapsed="false">
      <c r="A401" s="192" t="str">
        <f aca="false">IF(AND('ABRIL 2026'!D90&lt;&gt;"",'ABRIL 2026'!Z90="POR RECOGER"),"ABR","")</f>
        <v/>
      </c>
      <c r="B401" s="192" t="str">
        <f aca="false">IF(AND('ABRIL 2026'!D90&lt;&gt;"",'ABRIL 2026'!Z90="POR RECOGER"),IF('ABRIL 2026'!Y90&lt;&gt;"",'ABRIL 2026'!Y90,'ABRIL 2026'!I90),"")</f>
        <v/>
      </c>
      <c r="C401" s="192" t="str">
        <f aca="false">IF(AND('ABRIL 2026'!D90&lt;&gt;"",'ABRIL 2026'!Z90="POR RECOGER"),'ABRIL 2026'!D90,"")</f>
        <v/>
      </c>
      <c r="D401" s="192" t="str">
        <f aca="false">IF(AND('ABRIL 2026'!D90&lt;&gt;"",'ABRIL 2026'!Z90="POR RECOGER"),'ABRIL 2026'!F90,"")</f>
        <v/>
      </c>
      <c r="E401" s="192" t="str">
        <f aca="false">IF(AND('ABRIL 2026'!D90&lt;&gt;"",'ABRIL 2026'!Z90="POR RECOGER"),TEXT('ABRIL 2026'!G90,"DD/MM/YYYY"),"")</f>
        <v/>
      </c>
      <c r="F401" s="192" t="str">
        <f aca="false">IF(AND('ABRIL 2026'!D90&lt;&gt;"",'ABRIL 2026'!Z90="POR RECOGER"),'ABRIL 2026'!K90,"")</f>
        <v/>
      </c>
      <c r="G401" s="193" t="str">
        <f aca="false">IF(AND('ABRIL 2026'!D90&lt;&gt;"",'ABRIL 2026'!Z90="POR RECOGER"),'ABRIL 2026'!M90,"")</f>
        <v/>
      </c>
      <c r="H401" s="193" t="str">
        <f aca="false">IF(AND('ABRIL 2026'!D90&lt;&gt;"",'ABRIL 2026'!Z90="POR RECOGER"),'ABRIL 2026'!N90,"")</f>
        <v/>
      </c>
      <c r="I401" s="192" t="str">
        <f aca="false">IF(AND('ABRIL 2026'!D90&lt;&gt;"",'ABRIL 2026'!Z90="POR RECOGER"),'ABRIL 2026'!P90,"")</f>
        <v/>
      </c>
      <c r="J401" s="192" t="str">
        <f aca="false">IF(AND('ABRIL 2026'!D90&lt;&gt;"",'ABRIL 2026'!Z90="POR RECOGER"),'ABRIL 2026'!Q90,"")</f>
        <v/>
      </c>
      <c r="K401" s="192" t="str">
        <f aca="false">IF(AND('ABRIL 2026'!D90&lt;&gt;"",'ABRIL 2026'!Z90="POR RECOGER"),'ABRIL 2026'!Y90,"")</f>
        <v/>
      </c>
      <c r="L401" s="192" t="str">
        <f aca="false">IF(AND('ABRIL 2026'!D90&lt;&gt;"",'ABRIL 2026'!Z90="POR RECOGER"),'ABRIL 2026'!I90,"")</f>
        <v/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" hidden="false" customHeight="true" outlineLevel="0" collapsed="false">
      <c r="A402" s="192" t="str">
        <f aca="false">IF(AND('ABRIL 2026'!D91&lt;&gt;"",'ABRIL 2026'!Z91="POR RECOGER"),"ABR","")</f>
        <v/>
      </c>
      <c r="B402" s="192" t="str">
        <f aca="false">IF(AND('ABRIL 2026'!D91&lt;&gt;"",'ABRIL 2026'!Z91="POR RECOGER"),IF('ABRIL 2026'!Y91&lt;&gt;"",'ABRIL 2026'!Y91,'ABRIL 2026'!I91),"")</f>
        <v/>
      </c>
      <c r="C402" s="192" t="str">
        <f aca="false">IF(AND('ABRIL 2026'!D91&lt;&gt;"",'ABRIL 2026'!Z91="POR RECOGER"),'ABRIL 2026'!D91,"")</f>
        <v/>
      </c>
      <c r="D402" s="192" t="str">
        <f aca="false">IF(AND('ABRIL 2026'!D91&lt;&gt;"",'ABRIL 2026'!Z91="POR RECOGER"),'ABRIL 2026'!F91,"")</f>
        <v/>
      </c>
      <c r="E402" s="192" t="str">
        <f aca="false">IF(AND('ABRIL 2026'!D91&lt;&gt;"",'ABRIL 2026'!Z91="POR RECOGER"),TEXT('ABRIL 2026'!G91,"DD/MM/YYYY"),"")</f>
        <v/>
      </c>
      <c r="F402" s="192" t="str">
        <f aca="false">IF(AND('ABRIL 2026'!D91&lt;&gt;"",'ABRIL 2026'!Z91="POR RECOGER"),'ABRIL 2026'!K91,"")</f>
        <v/>
      </c>
      <c r="G402" s="193" t="str">
        <f aca="false">IF(AND('ABRIL 2026'!D91&lt;&gt;"",'ABRIL 2026'!Z91="POR RECOGER"),'ABRIL 2026'!M91,"")</f>
        <v/>
      </c>
      <c r="H402" s="193" t="str">
        <f aca="false">IF(AND('ABRIL 2026'!D91&lt;&gt;"",'ABRIL 2026'!Z91="POR RECOGER"),'ABRIL 2026'!N91,"")</f>
        <v/>
      </c>
      <c r="I402" s="192" t="str">
        <f aca="false">IF(AND('ABRIL 2026'!D91&lt;&gt;"",'ABRIL 2026'!Z91="POR RECOGER"),'ABRIL 2026'!P91,"")</f>
        <v/>
      </c>
      <c r="J402" s="192" t="str">
        <f aca="false">IF(AND('ABRIL 2026'!D91&lt;&gt;"",'ABRIL 2026'!Z91="POR RECOGER"),'ABRIL 2026'!Q91,"")</f>
        <v/>
      </c>
      <c r="K402" s="192" t="str">
        <f aca="false">IF(AND('ABRIL 2026'!D91&lt;&gt;"",'ABRIL 2026'!Z91="POR RECOGER"),'ABRIL 2026'!Y91,"")</f>
        <v/>
      </c>
      <c r="L402" s="192" t="str">
        <f aca="false">IF(AND('ABRIL 2026'!D91&lt;&gt;"",'ABRIL 2026'!Z91="POR RECOGER"),'ABRIL 2026'!I91,"")</f>
        <v/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" hidden="false" customHeight="true" outlineLevel="0" collapsed="false">
      <c r="A403" s="192" t="str">
        <f aca="false">IF(AND('ABRIL 2026'!D92&lt;&gt;"",'ABRIL 2026'!Z92="POR RECOGER"),"ABR","")</f>
        <v/>
      </c>
      <c r="B403" s="192" t="str">
        <f aca="false">IF(AND('ABRIL 2026'!D92&lt;&gt;"",'ABRIL 2026'!Z92="POR RECOGER"),IF('ABRIL 2026'!Y92&lt;&gt;"",'ABRIL 2026'!Y92,'ABRIL 2026'!I92),"")</f>
        <v/>
      </c>
      <c r="C403" s="192" t="str">
        <f aca="false">IF(AND('ABRIL 2026'!D92&lt;&gt;"",'ABRIL 2026'!Z92="POR RECOGER"),'ABRIL 2026'!D92,"")</f>
        <v/>
      </c>
      <c r="D403" s="192" t="str">
        <f aca="false">IF(AND('ABRIL 2026'!D92&lt;&gt;"",'ABRIL 2026'!Z92="POR RECOGER"),'ABRIL 2026'!F92,"")</f>
        <v/>
      </c>
      <c r="E403" s="192" t="str">
        <f aca="false">IF(AND('ABRIL 2026'!D92&lt;&gt;"",'ABRIL 2026'!Z92="POR RECOGER"),TEXT('ABRIL 2026'!G92,"DD/MM/YYYY"),"")</f>
        <v/>
      </c>
      <c r="F403" s="192" t="str">
        <f aca="false">IF(AND('ABRIL 2026'!D92&lt;&gt;"",'ABRIL 2026'!Z92="POR RECOGER"),'ABRIL 2026'!K92,"")</f>
        <v/>
      </c>
      <c r="G403" s="193" t="str">
        <f aca="false">IF(AND('ABRIL 2026'!D92&lt;&gt;"",'ABRIL 2026'!Z92="POR RECOGER"),'ABRIL 2026'!M92,"")</f>
        <v/>
      </c>
      <c r="H403" s="193" t="str">
        <f aca="false">IF(AND('ABRIL 2026'!D92&lt;&gt;"",'ABRIL 2026'!Z92="POR RECOGER"),'ABRIL 2026'!N92,"")</f>
        <v/>
      </c>
      <c r="I403" s="192" t="str">
        <f aca="false">IF(AND('ABRIL 2026'!D92&lt;&gt;"",'ABRIL 2026'!Z92="POR RECOGER"),'ABRIL 2026'!P92,"")</f>
        <v/>
      </c>
      <c r="J403" s="192" t="str">
        <f aca="false">IF(AND('ABRIL 2026'!D92&lt;&gt;"",'ABRIL 2026'!Z92="POR RECOGER"),'ABRIL 2026'!Q92,"")</f>
        <v/>
      </c>
      <c r="K403" s="192" t="str">
        <f aca="false">IF(AND('ABRIL 2026'!D92&lt;&gt;"",'ABRIL 2026'!Z92="POR RECOGER"),'ABRIL 2026'!Y92,"")</f>
        <v/>
      </c>
      <c r="L403" s="192" t="str">
        <f aca="false">IF(AND('ABRIL 2026'!D92&lt;&gt;"",'ABRIL 2026'!Z92="POR RECOGER"),'ABRIL 2026'!I92,"")</f>
        <v/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" hidden="false" customHeight="true" outlineLevel="0" collapsed="false">
      <c r="A404" s="192" t="str">
        <f aca="false">IF(AND('ABRIL 2026'!D93&lt;&gt;"",'ABRIL 2026'!Z93="POR RECOGER"),"ABR","")</f>
        <v/>
      </c>
      <c r="B404" s="192" t="str">
        <f aca="false">IF(AND('ABRIL 2026'!D93&lt;&gt;"",'ABRIL 2026'!Z93="POR RECOGER"),IF('ABRIL 2026'!Y93&lt;&gt;"",'ABRIL 2026'!Y93,'ABRIL 2026'!I93),"")</f>
        <v/>
      </c>
      <c r="C404" s="192" t="str">
        <f aca="false">IF(AND('ABRIL 2026'!D93&lt;&gt;"",'ABRIL 2026'!Z93="POR RECOGER"),'ABRIL 2026'!D93,"")</f>
        <v/>
      </c>
      <c r="D404" s="192" t="str">
        <f aca="false">IF(AND('ABRIL 2026'!D93&lt;&gt;"",'ABRIL 2026'!Z93="POR RECOGER"),'ABRIL 2026'!F93,"")</f>
        <v/>
      </c>
      <c r="E404" s="192" t="str">
        <f aca="false">IF(AND('ABRIL 2026'!D93&lt;&gt;"",'ABRIL 2026'!Z93="POR RECOGER"),TEXT('ABRIL 2026'!G93,"DD/MM/YYYY"),"")</f>
        <v/>
      </c>
      <c r="F404" s="192" t="str">
        <f aca="false">IF(AND('ABRIL 2026'!D93&lt;&gt;"",'ABRIL 2026'!Z93="POR RECOGER"),'ABRIL 2026'!K93,"")</f>
        <v/>
      </c>
      <c r="G404" s="193" t="str">
        <f aca="false">IF(AND('ABRIL 2026'!D93&lt;&gt;"",'ABRIL 2026'!Z93="POR RECOGER"),'ABRIL 2026'!M93,"")</f>
        <v/>
      </c>
      <c r="H404" s="193" t="str">
        <f aca="false">IF(AND('ABRIL 2026'!D93&lt;&gt;"",'ABRIL 2026'!Z93="POR RECOGER"),'ABRIL 2026'!N93,"")</f>
        <v/>
      </c>
      <c r="I404" s="192" t="str">
        <f aca="false">IF(AND('ABRIL 2026'!D93&lt;&gt;"",'ABRIL 2026'!Z93="POR RECOGER"),'ABRIL 2026'!P93,"")</f>
        <v/>
      </c>
      <c r="J404" s="192" t="str">
        <f aca="false">IF(AND('ABRIL 2026'!D93&lt;&gt;"",'ABRIL 2026'!Z93="POR RECOGER"),'ABRIL 2026'!Q93,"")</f>
        <v/>
      </c>
      <c r="K404" s="192" t="str">
        <f aca="false">IF(AND('ABRIL 2026'!D93&lt;&gt;"",'ABRIL 2026'!Z93="POR RECOGER"),'ABRIL 2026'!Y93,"")</f>
        <v/>
      </c>
      <c r="L404" s="192" t="str">
        <f aca="false">IF(AND('ABRIL 2026'!D93&lt;&gt;"",'ABRIL 2026'!Z93="POR RECOGER"),'ABRIL 2026'!I93,"")</f>
        <v/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" hidden="false" customHeight="true" outlineLevel="0" collapsed="false">
      <c r="A405" s="192" t="str">
        <f aca="false">IF(AND('ABRIL 2026'!D94&lt;&gt;"",'ABRIL 2026'!Z94="POR RECOGER"),"ABR","")</f>
        <v/>
      </c>
      <c r="B405" s="192" t="str">
        <f aca="false">IF(AND('ABRIL 2026'!D94&lt;&gt;"",'ABRIL 2026'!Z94="POR RECOGER"),IF('ABRIL 2026'!Y94&lt;&gt;"",'ABRIL 2026'!Y94,'ABRIL 2026'!I94),"")</f>
        <v/>
      </c>
      <c r="C405" s="192" t="str">
        <f aca="false">IF(AND('ABRIL 2026'!D94&lt;&gt;"",'ABRIL 2026'!Z94="POR RECOGER"),'ABRIL 2026'!D94,"")</f>
        <v/>
      </c>
      <c r="D405" s="192" t="str">
        <f aca="false">IF(AND('ABRIL 2026'!D94&lt;&gt;"",'ABRIL 2026'!Z94="POR RECOGER"),'ABRIL 2026'!F94,"")</f>
        <v/>
      </c>
      <c r="E405" s="192" t="str">
        <f aca="false">IF(AND('ABRIL 2026'!D94&lt;&gt;"",'ABRIL 2026'!Z94="POR RECOGER"),TEXT('ABRIL 2026'!G94,"DD/MM/YYYY"),"")</f>
        <v/>
      </c>
      <c r="F405" s="192" t="str">
        <f aca="false">IF(AND('ABRIL 2026'!D94&lt;&gt;"",'ABRIL 2026'!Z94="POR RECOGER"),'ABRIL 2026'!K94,"")</f>
        <v/>
      </c>
      <c r="G405" s="193" t="str">
        <f aca="false">IF(AND('ABRIL 2026'!D94&lt;&gt;"",'ABRIL 2026'!Z94="POR RECOGER"),'ABRIL 2026'!M94,"")</f>
        <v/>
      </c>
      <c r="H405" s="193" t="str">
        <f aca="false">IF(AND('ABRIL 2026'!D94&lt;&gt;"",'ABRIL 2026'!Z94="POR RECOGER"),'ABRIL 2026'!N94,"")</f>
        <v/>
      </c>
      <c r="I405" s="192" t="str">
        <f aca="false">IF(AND('ABRIL 2026'!D94&lt;&gt;"",'ABRIL 2026'!Z94="POR RECOGER"),'ABRIL 2026'!P94,"")</f>
        <v/>
      </c>
      <c r="J405" s="192" t="str">
        <f aca="false">IF(AND('ABRIL 2026'!D94&lt;&gt;"",'ABRIL 2026'!Z94="POR RECOGER"),'ABRIL 2026'!Q94,"")</f>
        <v/>
      </c>
      <c r="K405" s="192" t="str">
        <f aca="false">IF(AND('ABRIL 2026'!D94&lt;&gt;"",'ABRIL 2026'!Z94="POR RECOGER"),'ABRIL 2026'!Y94,"")</f>
        <v/>
      </c>
      <c r="L405" s="192" t="str">
        <f aca="false">IF(AND('ABRIL 2026'!D94&lt;&gt;"",'ABRIL 2026'!Z94="POR RECOGER"),'ABRIL 2026'!I94,"")</f>
        <v/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" hidden="false" customHeight="true" outlineLevel="0" collapsed="false">
      <c r="A406" s="192" t="str">
        <f aca="false">IF(AND('ABRIL 2026'!D95&lt;&gt;"",'ABRIL 2026'!Z95="POR RECOGER"),"ABR","")</f>
        <v/>
      </c>
      <c r="B406" s="192" t="str">
        <f aca="false">IF(AND('ABRIL 2026'!D95&lt;&gt;"",'ABRIL 2026'!Z95="POR RECOGER"),IF('ABRIL 2026'!Y95&lt;&gt;"",'ABRIL 2026'!Y95,'ABRIL 2026'!I95),"")</f>
        <v/>
      </c>
      <c r="C406" s="192" t="str">
        <f aca="false">IF(AND('ABRIL 2026'!D95&lt;&gt;"",'ABRIL 2026'!Z95="POR RECOGER"),'ABRIL 2026'!D95,"")</f>
        <v/>
      </c>
      <c r="D406" s="192" t="str">
        <f aca="false">IF(AND('ABRIL 2026'!D95&lt;&gt;"",'ABRIL 2026'!Z95="POR RECOGER"),'ABRIL 2026'!F95,"")</f>
        <v/>
      </c>
      <c r="E406" s="192" t="str">
        <f aca="false">IF(AND('ABRIL 2026'!D95&lt;&gt;"",'ABRIL 2026'!Z95="POR RECOGER"),TEXT('ABRIL 2026'!G95,"DD/MM/YYYY"),"")</f>
        <v/>
      </c>
      <c r="F406" s="192" t="str">
        <f aca="false">IF(AND('ABRIL 2026'!D95&lt;&gt;"",'ABRIL 2026'!Z95="POR RECOGER"),'ABRIL 2026'!K95,"")</f>
        <v/>
      </c>
      <c r="G406" s="193" t="str">
        <f aca="false">IF(AND('ABRIL 2026'!D95&lt;&gt;"",'ABRIL 2026'!Z95="POR RECOGER"),'ABRIL 2026'!M95,"")</f>
        <v/>
      </c>
      <c r="H406" s="193" t="str">
        <f aca="false">IF(AND('ABRIL 2026'!D95&lt;&gt;"",'ABRIL 2026'!Z95="POR RECOGER"),'ABRIL 2026'!N95,"")</f>
        <v/>
      </c>
      <c r="I406" s="192" t="str">
        <f aca="false">IF(AND('ABRIL 2026'!D95&lt;&gt;"",'ABRIL 2026'!Z95="POR RECOGER"),'ABRIL 2026'!P95,"")</f>
        <v/>
      </c>
      <c r="J406" s="192" t="str">
        <f aca="false">IF(AND('ABRIL 2026'!D95&lt;&gt;"",'ABRIL 2026'!Z95="POR RECOGER"),'ABRIL 2026'!Q95,"")</f>
        <v/>
      </c>
      <c r="K406" s="192" t="str">
        <f aca="false">IF(AND('ABRIL 2026'!D95&lt;&gt;"",'ABRIL 2026'!Z95="POR RECOGER"),'ABRIL 2026'!Y95,"")</f>
        <v/>
      </c>
      <c r="L406" s="192" t="str">
        <f aca="false">IF(AND('ABRIL 2026'!D95&lt;&gt;"",'ABRIL 2026'!Z95="POR RECOGER"),'ABRIL 2026'!I95,"")</f>
        <v/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" hidden="false" customHeight="true" outlineLevel="0" collapsed="false">
      <c r="A407" s="192" t="str">
        <f aca="false">IF(AND('ABRIL 2026'!D96&lt;&gt;"",'ABRIL 2026'!Z96="POR RECOGER"),"ABR","")</f>
        <v/>
      </c>
      <c r="B407" s="192" t="str">
        <f aca="false">IF(AND('ABRIL 2026'!D96&lt;&gt;"",'ABRIL 2026'!Z96="POR RECOGER"),IF('ABRIL 2026'!Y96&lt;&gt;"",'ABRIL 2026'!Y96,'ABRIL 2026'!I96),"")</f>
        <v/>
      </c>
      <c r="C407" s="192" t="str">
        <f aca="false">IF(AND('ABRIL 2026'!D96&lt;&gt;"",'ABRIL 2026'!Z96="POR RECOGER"),'ABRIL 2026'!D96,"")</f>
        <v/>
      </c>
      <c r="D407" s="192" t="str">
        <f aca="false">IF(AND('ABRIL 2026'!D96&lt;&gt;"",'ABRIL 2026'!Z96="POR RECOGER"),'ABRIL 2026'!F96,"")</f>
        <v/>
      </c>
      <c r="E407" s="192" t="str">
        <f aca="false">IF(AND('ABRIL 2026'!D96&lt;&gt;"",'ABRIL 2026'!Z96="POR RECOGER"),TEXT('ABRIL 2026'!G96,"DD/MM/YYYY"),"")</f>
        <v/>
      </c>
      <c r="F407" s="192" t="str">
        <f aca="false">IF(AND('ABRIL 2026'!D96&lt;&gt;"",'ABRIL 2026'!Z96="POR RECOGER"),'ABRIL 2026'!K96,"")</f>
        <v/>
      </c>
      <c r="G407" s="193" t="str">
        <f aca="false">IF(AND('ABRIL 2026'!D96&lt;&gt;"",'ABRIL 2026'!Z96="POR RECOGER"),'ABRIL 2026'!M96,"")</f>
        <v/>
      </c>
      <c r="H407" s="193" t="str">
        <f aca="false">IF(AND('ABRIL 2026'!D96&lt;&gt;"",'ABRIL 2026'!Z96="POR RECOGER"),'ABRIL 2026'!N96,"")</f>
        <v/>
      </c>
      <c r="I407" s="192" t="str">
        <f aca="false">IF(AND('ABRIL 2026'!D96&lt;&gt;"",'ABRIL 2026'!Z96="POR RECOGER"),'ABRIL 2026'!P96,"")</f>
        <v/>
      </c>
      <c r="J407" s="192" t="str">
        <f aca="false">IF(AND('ABRIL 2026'!D96&lt;&gt;"",'ABRIL 2026'!Z96="POR RECOGER"),'ABRIL 2026'!Q96,"")</f>
        <v/>
      </c>
      <c r="K407" s="192" t="str">
        <f aca="false">IF(AND('ABRIL 2026'!D96&lt;&gt;"",'ABRIL 2026'!Z96="POR RECOGER"),'ABRIL 2026'!Y96,"")</f>
        <v/>
      </c>
      <c r="L407" s="192" t="str">
        <f aca="false">IF(AND('ABRIL 2026'!D96&lt;&gt;"",'ABRIL 2026'!Z96="POR RECOGER"),'ABRIL 2026'!I96,"")</f>
        <v/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" hidden="false" customHeight="true" outlineLevel="0" collapsed="false">
      <c r="A408" s="192" t="str">
        <f aca="false">IF(AND('ABRIL 2026'!D97&lt;&gt;"",'ABRIL 2026'!Z97="POR RECOGER"),"ABR","")</f>
        <v/>
      </c>
      <c r="B408" s="192" t="str">
        <f aca="false">IF(AND('ABRIL 2026'!D97&lt;&gt;"",'ABRIL 2026'!Z97="POR RECOGER"),IF('ABRIL 2026'!Y97&lt;&gt;"",'ABRIL 2026'!Y97,'ABRIL 2026'!I97),"")</f>
        <v/>
      </c>
      <c r="C408" s="192" t="str">
        <f aca="false">IF(AND('ABRIL 2026'!D97&lt;&gt;"",'ABRIL 2026'!Z97="POR RECOGER"),'ABRIL 2026'!D97,"")</f>
        <v/>
      </c>
      <c r="D408" s="192" t="str">
        <f aca="false">IF(AND('ABRIL 2026'!D97&lt;&gt;"",'ABRIL 2026'!Z97="POR RECOGER"),'ABRIL 2026'!F97,"")</f>
        <v/>
      </c>
      <c r="E408" s="192" t="str">
        <f aca="false">IF(AND('ABRIL 2026'!D97&lt;&gt;"",'ABRIL 2026'!Z97="POR RECOGER"),TEXT('ABRIL 2026'!G97,"DD/MM/YYYY"),"")</f>
        <v/>
      </c>
      <c r="F408" s="192" t="str">
        <f aca="false">IF(AND('ABRIL 2026'!D97&lt;&gt;"",'ABRIL 2026'!Z97="POR RECOGER"),'ABRIL 2026'!K97,"")</f>
        <v/>
      </c>
      <c r="G408" s="193" t="str">
        <f aca="false">IF(AND('ABRIL 2026'!D97&lt;&gt;"",'ABRIL 2026'!Z97="POR RECOGER"),'ABRIL 2026'!M97,"")</f>
        <v/>
      </c>
      <c r="H408" s="193" t="str">
        <f aca="false">IF(AND('ABRIL 2026'!D97&lt;&gt;"",'ABRIL 2026'!Z97="POR RECOGER"),'ABRIL 2026'!N97,"")</f>
        <v/>
      </c>
      <c r="I408" s="192" t="str">
        <f aca="false">IF(AND('ABRIL 2026'!D97&lt;&gt;"",'ABRIL 2026'!Z97="POR RECOGER"),'ABRIL 2026'!P97,"")</f>
        <v/>
      </c>
      <c r="J408" s="192" t="str">
        <f aca="false">IF(AND('ABRIL 2026'!D97&lt;&gt;"",'ABRIL 2026'!Z97="POR RECOGER"),'ABRIL 2026'!Q97,"")</f>
        <v/>
      </c>
      <c r="K408" s="192" t="str">
        <f aca="false">IF(AND('ABRIL 2026'!D97&lt;&gt;"",'ABRIL 2026'!Z97="POR RECOGER"),'ABRIL 2026'!Y97,"")</f>
        <v/>
      </c>
      <c r="L408" s="192" t="str">
        <f aca="false">IF(AND('ABRIL 2026'!D97&lt;&gt;"",'ABRIL 2026'!Z97="POR RECOGER"),'ABRIL 2026'!I97,"")</f>
        <v/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" hidden="false" customHeight="true" outlineLevel="0" collapsed="false">
      <c r="A409" s="192" t="str">
        <f aca="false">IF(AND('ABRIL 2026'!D98&lt;&gt;"",'ABRIL 2026'!Z98="POR RECOGER"),"ABR","")</f>
        <v/>
      </c>
      <c r="B409" s="192" t="str">
        <f aca="false">IF(AND('ABRIL 2026'!D98&lt;&gt;"",'ABRIL 2026'!Z98="POR RECOGER"),IF('ABRIL 2026'!Y98&lt;&gt;"",'ABRIL 2026'!Y98,'ABRIL 2026'!I98),"")</f>
        <v/>
      </c>
      <c r="C409" s="192" t="str">
        <f aca="false">IF(AND('ABRIL 2026'!D98&lt;&gt;"",'ABRIL 2026'!Z98="POR RECOGER"),'ABRIL 2026'!D98,"")</f>
        <v/>
      </c>
      <c r="D409" s="192" t="str">
        <f aca="false">IF(AND('ABRIL 2026'!D98&lt;&gt;"",'ABRIL 2026'!Z98="POR RECOGER"),'ABRIL 2026'!F98,"")</f>
        <v/>
      </c>
      <c r="E409" s="192" t="str">
        <f aca="false">IF(AND('ABRIL 2026'!D98&lt;&gt;"",'ABRIL 2026'!Z98="POR RECOGER"),TEXT('ABRIL 2026'!G98,"DD/MM/YYYY"),"")</f>
        <v/>
      </c>
      <c r="F409" s="192" t="str">
        <f aca="false">IF(AND('ABRIL 2026'!D98&lt;&gt;"",'ABRIL 2026'!Z98="POR RECOGER"),'ABRIL 2026'!K98,"")</f>
        <v/>
      </c>
      <c r="G409" s="193" t="str">
        <f aca="false">IF(AND('ABRIL 2026'!D98&lt;&gt;"",'ABRIL 2026'!Z98="POR RECOGER"),'ABRIL 2026'!M98,"")</f>
        <v/>
      </c>
      <c r="H409" s="193" t="str">
        <f aca="false">IF(AND('ABRIL 2026'!D98&lt;&gt;"",'ABRIL 2026'!Z98="POR RECOGER"),'ABRIL 2026'!N98,"")</f>
        <v/>
      </c>
      <c r="I409" s="192" t="str">
        <f aca="false">IF(AND('ABRIL 2026'!D98&lt;&gt;"",'ABRIL 2026'!Z98="POR RECOGER"),'ABRIL 2026'!P98,"")</f>
        <v/>
      </c>
      <c r="J409" s="192" t="str">
        <f aca="false">IF(AND('ABRIL 2026'!D98&lt;&gt;"",'ABRIL 2026'!Z98="POR RECOGER"),'ABRIL 2026'!Q98,"")</f>
        <v/>
      </c>
      <c r="K409" s="192" t="str">
        <f aca="false">IF(AND('ABRIL 2026'!D98&lt;&gt;"",'ABRIL 2026'!Z98="POR RECOGER"),'ABRIL 2026'!Y98,"")</f>
        <v/>
      </c>
      <c r="L409" s="192" t="str">
        <f aca="false">IF(AND('ABRIL 2026'!D98&lt;&gt;"",'ABRIL 2026'!Z98="POR RECOGER"),'ABRIL 2026'!I98,"")</f>
        <v/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" hidden="false" customHeight="true" outlineLevel="0" collapsed="false">
      <c r="A410" s="192" t="str">
        <f aca="false">IF(AND('ABRIL 2026'!D99&lt;&gt;"",'ABRIL 2026'!Z99="POR RECOGER"),"ABR","")</f>
        <v/>
      </c>
      <c r="B410" s="192" t="str">
        <f aca="false">IF(AND('ABRIL 2026'!D99&lt;&gt;"",'ABRIL 2026'!Z99="POR RECOGER"),IF('ABRIL 2026'!Y99&lt;&gt;"",'ABRIL 2026'!Y99,'ABRIL 2026'!I99),"")</f>
        <v/>
      </c>
      <c r="C410" s="192" t="str">
        <f aca="false">IF(AND('ABRIL 2026'!D99&lt;&gt;"",'ABRIL 2026'!Z99="POR RECOGER"),'ABRIL 2026'!D99,"")</f>
        <v/>
      </c>
      <c r="D410" s="192" t="str">
        <f aca="false">IF(AND('ABRIL 2026'!D99&lt;&gt;"",'ABRIL 2026'!Z99="POR RECOGER"),'ABRIL 2026'!F99,"")</f>
        <v/>
      </c>
      <c r="E410" s="192" t="str">
        <f aca="false">IF(AND('ABRIL 2026'!D99&lt;&gt;"",'ABRIL 2026'!Z99="POR RECOGER"),TEXT('ABRIL 2026'!G99,"DD/MM/YYYY"),"")</f>
        <v/>
      </c>
      <c r="F410" s="192" t="str">
        <f aca="false">IF(AND('ABRIL 2026'!D99&lt;&gt;"",'ABRIL 2026'!Z99="POR RECOGER"),'ABRIL 2026'!K99,"")</f>
        <v/>
      </c>
      <c r="G410" s="193" t="str">
        <f aca="false">IF(AND('ABRIL 2026'!D99&lt;&gt;"",'ABRIL 2026'!Z99="POR RECOGER"),'ABRIL 2026'!M99,"")</f>
        <v/>
      </c>
      <c r="H410" s="193" t="str">
        <f aca="false">IF(AND('ABRIL 2026'!D99&lt;&gt;"",'ABRIL 2026'!Z99="POR RECOGER"),'ABRIL 2026'!N99,"")</f>
        <v/>
      </c>
      <c r="I410" s="192" t="str">
        <f aca="false">IF(AND('ABRIL 2026'!D99&lt;&gt;"",'ABRIL 2026'!Z99="POR RECOGER"),'ABRIL 2026'!P99,"")</f>
        <v/>
      </c>
      <c r="J410" s="192" t="str">
        <f aca="false">IF(AND('ABRIL 2026'!D99&lt;&gt;"",'ABRIL 2026'!Z99="POR RECOGER"),'ABRIL 2026'!Q99,"")</f>
        <v/>
      </c>
      <c r="K410" s="192" t="str">
        <f aca="false">IF(AND('ABRIL 2026'!D99&lt;&gt;"",'ABRIL 2026'!Z99="POR RECOGER"),'ABRIL 2026'!Y99,"")</f>
        <v/>
      </c>
      <c r="L410" s="192" t="str">
        <f aca="false">IF(AND('ABRIL 2026'!D99&lt;&gt;"",'ABRIL 2026'!Z99="POR RECOGER"),'ABRIL 2026'!I99,"")</f>
        <v/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" hidden="false" customHeight="true" outlineLevel="0" collapsed="false">
      <c r="A411" s="192" t="str">
        <f aca="false">IF(AND('ABRIL 2026'!D100&lt;&gt;"",'ABRIL 2026'!Z100="POR RECOGER"),"ABR","")</f>
        <v/>
      </c>
      <c r="B411" s="192" t="str">
        <f aca="false">IF(AND('ABRIL 2026'!D100&lt;&gt;"",'ABRIL 2026'!Z100="POR RECOGER"),IF('ABRIL 2026'!Y100&lt;&gt;"",'ABRIL 2026'!Y100,'ABRIL 2026'!I100),"")</f>
        <v/>
      </c>
      <c r="C411" s="192" t="str">
        <f aca="false">IF(AND('ABRIL 2026'!D100&lt;&gt;"",'ABRIL 2026'!Z100="POR RECOGER"),'ABRIL 2026'!D100,"")</f>
        <v/>
      </c>
      <c r="D411" s="192" t="str">
        <f aca="false">IF(AND('ABRIL 2026'!D100&lt;&gt;"",'ABRIL 2026'!Z100="POR RECOGER"),'ABRIL 2026'!F100,"")</f>
        <v/>
      </c>
      <c r="E411" s="192" t="str">
        <f aca="false">IF(AND('ABRIL 2026'!D100&lt;&gt;"",'ABRIL 2026'!Z100="POR RECOGER"),TEXT('ABRIL 2026'!G100,"DD/MM/YYYY"),"")</f>
        <v/>
      </c>
      <c r="F411" s="192" t="str">
        <f aca="false">IF(AND('ABRIL 2026'!D100&lt;&gt;"",'ABRIL 2026'!Z100="POR RECOGER"),'ABRIL 2026'!K100,"")</f>
        <v/>
      </c>
      <c r="G411" s="193" t="str">
        <f aca="false">IF(AND('ABRIL 2026'!D100&lt;&gt;"",'ABRIL 2026'!Z100="POR RECOGER"),'ABRIL 2026'!M100,"")</f>
        <v/>
      </c>
      <c r="H411" s="193" t="str">
        <f aca="false">IF(AND('ABRIL 2026'!D100&lt;&gt;"",'ABRIL 2026'!Z100="POR RECOGER"),'ABRIL 2026'!N100,"")</f>
        <v/>
      </c>
      <c r="I411" s="192" t="str">
        <f aca="false">IF(AND('ABRIL 2026'!D100&lt;&gt;"",'ABRIL 2026'!Z100="POR RECOGER"),'ABRIL 2026'!P100,"")</f>
        <v/>
      </c>
      <c r="J411" s="192" t="str">
        <f aca="false">IF(AND('ABRIL 2026'!D100&lt;&gt;"",'ABRIL 2026'!Z100="POR RECOGER"),'ABRIL 2026'!Q100,"")</f>
        <v/>
      </c>
      <c r="K411" s="192" t="str">
        <f aca="false">IF(AND('ABRIL 2026'!D100&lt;&gt;"",'ABRIL 2026'!Z100="POR RECOGER"),'ABRIL 2026'!Y100,"")</f>
        <v/>
      </c>
      <c r="L411" s="192" t="str">
        <f aca="false">IF(AND('ABRIL 2026'!D100&lt;&gt;"",'ABRIL 2026'!Z100="POR RECOGER"),'ABRIL 2026'!I100,"")</f>
        <v/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" hidden="false" customHeight="true" outlineLevel="0" collapsed="false">
      <c r="A412" s="192" t="str">
        <f aca="false">IF(AND('ABRIL 2026'!D101&lt;&gt;"",'ABRIL 2026'!Z101="POR RECOGER"),"ABR","")</f>
        <v/>
      </c>
      <c r="B412" s="192" t="str">
        <f aca="false">IF(AND('ABRIL 2026'!D101&lt;&gt;"",'ABRIL 2026'!Z101="POR RECOGER"),IF('ABRIL 2026'!Y101&lt;&gt;"",'ABRIL 2026'!Y101,'ABRIL 2026'!I101),"")</f>
        <v/>
      </c>
      <c r="C412" s="192" t="str">
        <f aca="false">IF(AND('ABRIL 2026'!D101&lt;&gt;"",'ABRIL 2026'!Z101="POR RECOGER"),'ABRIL 2026'!D101,"")</f>
        <v/>
      </c>
      <c r="D412" s="192" t="str">
        <f aca="false">IF(AND('ABRIL 2026'!D101&lt;&gt;"",'ABRIL 2026'!Z101="POR RECOGER"),'ABRIL 2026'!F101,"")</f>
        <v/>
      </c>
      <c r="E412" s="192" t="str">
        <f aca="false">IF(AND('ABRIL 2026'!D101&lt;&gt;"",'ABRIL 2026'!Z101="POR RECOGER"),TEXT('ABRIL 2026'!G101,"DD/MM/YYYY"),"")</f>
        <v/>
      </c>
      <c r="F412" s="192" t="str">
        <f aca="false">IF(AND('ABRIL 2026'!D101&lt;&gt;"",'ABRIL 2026'!Z101="POR RECOGER"),'ABRIL 2026'!K101,"")</f>
        <v/>
      </c>
      <c r="G412" s="193" t="str">
        <f aca="false">IF(AND('ABRIL 2026'!D101&lt;&gt;"",'ABRIL 2026'!Z101="POR RECOGER"),'ABRIL 2026'!M101,"")</f>
        <v/>
      </c>
      <c r="H412" s="193" t="str">
        <f aca="false">IF(AND('ABRIL 2026'!D101&lt;&gt;"",'ABRIL 2026'!Z101="POR RECOGER"),'ABRIL 2026'!N101,"")</f>
        <v/>
      </c>
      <c r="I412" s="192" t="str">
        <f aca="false">IF(AND('ABRIL 2026'!D101&lt;&gt;"",'ABRIL 2026'!Z101="POR RECOGER"),'ABRIL 2026'!P101,"")</f>
        <v/>
      </c>
      <c r="J412" s="192" t="str">
        <f aca="false">IF(AND('ABRIL 2026'!D101&lt;&gt;"",'ABRIL 2026'!Z101="POR RECOGER"),'ABRIL 2026'!Q101,"")</f>
        <v/>
      </c>
      <c r="K412" s="192" t="str">
        <f aca="false">IF(AND('ABRIL 2026'!D101&lt;&gt;"",'ABRIL 2026'!Z101="POR RECOGER"),'ABRIL 2026'!Y101,"")</f>
        <v/>
      </c>
      <c r="L412" s="192" t="str">
        <f aca="false">IF(AND('ABRIL 2026'!D101&lt;&gt;"",'ABRIL 2026'!Z101="POR RECOGER"),'ABRIL 2026'!I101,"")</f>
        <v/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" hidden="false" customHeight="true" outlineLevel="0" collapsed="false">
      <c r="A413" s="192" t="str">
        <f aca="false">IF(AND('ABRIL 2026'!D102&lt;&gt;"",'ABRIL 2026'!Z102="POR RECOGER"),"ABR","")</f>
        <v/>
      </c>
      <c r="B413" s="192" t="str">
        <f aca="false">IF(AND('ABRIL 2026'!D102&lt;&gt;"",'ABRIL 2026'!Z102="POR RECOGER"),IF('ABRIL 2026'!Y102&lt;&gt;"",'ABRIL 2026'!Y102,'ABRIL 2026'!I102),"")</f>
        <v/>
      </c>
      <c r="C413" s="192" t="str">
        <f aca="false">IF(AND('ABRIL 2026'!D102&lt;&gt;"",'ABRIL 2026'!Z102="POR RECOGER"),'ABRIL 2026'!D102,"")</f>
        <v/>
      </c>
      <c r="D413" s="192" t="str">
        <f aca="false">IF(AND('ABRIL 2026'!D102&lt;&gt;"",'ABRIL 2026'!Z102="POR RECOGER"),'ABRIL 2026'!F102,"")</f>
        <v/>
      </c>
      <c r="E413" s="192" t="str">
        <f aca="false">IF(AND('ABRIL 2026'!D102&lt;&gt;"",'ABRIL 2026'!Z102="POR RECOGER"),TEXT('ABRIL 2026'!G102,"DD/MM/YYYY"),"")</f>
        <v/>
      </c>
      <c r="F413" s="192" t="str">
        <f aca="false">IF(AND('ABRIL 2026'!D102&lt;&gt;"",'ABRIL 2026'!Z102="POR RECOGER"),'ABRIL 2026'!K102,"")</f>
        <v/>
      </c>
      <c r="G413" s="193" t="str">
        <f aca="false">IF(AND('ABRIL 2026'!D102&lt;&gt;"",'ABRIL 2026'!Z102="POR RECOGER"),'ABRIL 2026'!M102,"")</f>
        <v/>
      </c>
      <c r="H413" s="193" t="str">
        <f aca="false">IF(AND('ABRIL 2026'!D102&lt;&gt;"",'ABRIL 2026'!Z102="POR RECOGER"),'ABRIL 2026'!N102,"")</f>
        <v/>
      </c>
      <c r="I413" s="192" t="str">
        <f aca="false">IF(AND('ABRIL 2026'!D102&lt;&gt;"",'ABRIL 2026'!Z102="POR RECOGER"),'ABRIL 2026'!P102,"")</f>
        <v/>
      </c>
      <c r="J413" s="192" t="str">
        <f aca="false">IF(AND('ABRIL 2026'!D102&lt;&gt;"",'ABRIL 2026'!Z102="POR RECOGER"),'ABRIL 2026'!Q102,"")</f>
        <v/>
      </c>
      <c r="K413" s="192" t="str">
        <f aca="false">IF(AND('ABRIL 2026'!D102&lt;&gt;"",'ABRIL 2026'!Z102="POR RECOGER"),'ABRIL 2026'!Y102,"")</f>
        <v/>
      </c>
      <c r="L413" s="192" t="str">
        <f aca="false">IF(AND('ABRIL 2026'!D102&lt;&gt;"",'ABRIL 2026'!Z102="POR RECOGER"),'ABRIL 2026'!I102,"")</f>
        <v/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" hidden="false" customHeight="true" outlineLevel="0" collapsed="false">
      <c r="A414" s="192" t="str">
        <f aca="false">IF(AND('ABRIL 2026'!D103&lt;&gt;"",'ABRIL 2026'!Z103="POR RECOGER"),"ABR","")</f>
        <v/>
      </c>
      <c r="B414" s="192" t="str">
        <f aca="false">IF(AND('ABRIL 2026'!D103&lt;&gt;"",'ABRIL 2026'!Z103="POR RECOGER"),IF('ABRIL 2026'!Y103&lt;&gt;"",'ABRIL 2026'!Y103,'ABRIL 2026'!I103),"")</f>
        <v/>
      </c>
      <c r="C414" s="192" t="str">
        <f aca="false">IF(AND('ABRIL 2026'!D103&lt;&gt;"",'ABRIL 2026'!Z103="POR RECOGER"),'ABRIL 2026'!D103,"")</f>
        <v/>
      </c>
      <c r="D414" s="192" t="str">
        <f aca="false">IF(AND('ABRIL 2026'!D103&lt;&gt;"",'ABRIL 2026'!Z103="POR RECOGER"),'ABRIL 2026'!F103,"")</f>
        <v/>
      </c>
      <c r="E414" s="192" t="str">
        <f aca="false">IF(AND('ABRIL 2026'!D103&lt;&gt;"",'ABRIL 2026'!Z103="POR RECOGER"),TEXT('ABRIL 2026'!G103,"DD/MM/YYYY"),"")</f>
        <v/>
      </c>
      <c r="F414" s="192" t="str">
        <f aca="false">IF(AND('ABRIL 2026'!D103&lt;&gt;"",'ABRIL 2026'!Z103="POR RECOGER"),'ABRIL 2026'!K103,"")</f>
        <v/>
      </c>
      <c r="G414" s="193" t="str">
        <f aca="false">IF(AND('ABRIL 2026'!D103&lt;&gt;"",'ABRIL 2026'!Z103="POR RECOGER"),'ABRIL 2026'!M103,"")</f>
        <v/>
      </c>
      <c r="H414" s="193" t="str">
        <f aca="false">IF(AND('ABRIL 2026'!D103&lt;&gt;"",'ABRIL 2026'!Z103="POR RECOGER"),'ABRIL 2026'!N103,"")</f>
        <v/>
      </c>
      <c r="I414" s="192" t="str">
        <f aca="false">IF(AND('ABRIL 2026'!D103&lt;&gt;"",'ABRIL 2026'!Z103="POR RECOGER"),'ABRIL 2026'!P103,"")</f>
        <v/>
      </c>
      <c r="J414" s="192" t="str">
        <f aca="false">IF(AND('ABRIL 2026'!D103&lt;&gt;"",'ABRIL 2026'!Z103="POR RECOGER"),'ABRIL 2026'!Q103,"")</f>
        <v/>
      </c>
      <c r="K414" s="192" t="str">
        <f aca="false">IF(AND('ABRIL 2026'!D103&lt;&gt;"",'ABRIL 2026'!Z103="POR RECOGER"),'ABRIL 2026'!Y103,"")</f>
        <v/>
      </c>
      <c r="L414" s="192" t="str">
        <f aca="false">IF(AND('ABRIL 2026'!D103&lt;&gt;"",'ABRIL 2026'!Z103="POR RECOGER"),'ABRIL 2026'!I103,"")</f>
        <v/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" hidden="false" customHeight="true" outlineLevel="0" collapsed="false">
      <c r="A415" s="192" t="str">
        <f aca="false">IF(AND('ABRIL 2026'!D104&lt;&gt;"",'ABRIL 2026'!Z104="POR RECOGER"),"ABR","")</f>
        <v/>
      </c>
      <c r="B415" s="192" t="str">
        <f aca="false">IF(AND('ABRIL 2026'!D104&lt;&gt;"",'ABRIL 2026'!Z104="POR RECOGER"),IF('ABRIL 2026'!Y104&lt;&gt;"",'ABRIL 2026'!Y104,'ABRIL 2026'!I104),"")</f>
        <v/>
      </c>
      <c r="C415" s="192" t="str">
        <f aca="false">IF(AND('ABRIL 2026'!D104&lt;&gt;"",'ABRIL 2026'!Z104="POR RECOGER"),'ABRIL 2026'!D104,"")</f>
        <v/>
      </c>
      <c r="D415" s="192" t="str">
        <f aca="false">IF(AND('ABRIL 2026'!D104&lt;&gt;"",'ABRIL 2026'!Z104="POR RECOGER"),'ABRIL 2026'!F104,"")</f>
        <v/>
      </c>
      <c r="E415" s="192" t="str">
        <f aca="false">IF(AND('ABRIL 2026'!D104&lt;&gt;"",'ABRIL 2026'!Z104="POR RECOGER"),TEXT('ABRIL 2026'!G104,"DD/MM/YYYY"),"")</f>
        <v/>
      </c>
      <c r="F415" s="192" t="str">
        <f aca="false">IF(AND('ABRIL 2026'!D104&lt;&gt;"",'ABRIL 2026'!Z104="POR RECOGER"),'ABRIL 2026'!K104,"")</f>
        <v/>
      </c>
      <c r="G415" s="193" t="str">
        <f aca="false">IF(AND('ABRIL 2026'!D104&lt;&gt;"",'ABRIL 2026'!Z104="POR RECOGER"),'ABRIL 2026'!M104,"")</f>
        <v/>
      </c>
      <c r="H415" s="193" t="str">
        <f aca="false">IF(AND('ABRIL 2026'!D104&lt;&gt;"",'ABRIL 2026'!Z104="POR RECOGER"),'ABRIL 2026'!N104,"")</f>
        <v/>
      </c>
      <c r="I415" s="192" t="str">
        <f aca="false">IF(AND('ABRIL 2026'!D104&lt;&gt;"",'ABRIL 2026'!Z104="POR RECOGER"),'ABRIL 2026'!P104,"")</f>
        <v/>
      </c>
      <c r="J415" s="192" t="str">
        <f aca="false">IF(AND('ABRIL 2026'!D104&lt;&gt;"",'ABRIL 2026'!Z104="POR RECOGER"),'ABRIL 2026'!Q104,"")</f>
        <v/>
      </c>
      <c r="K415" s="192" t="str">
        <f aca="false">IF(AND('ABRIL 2026'!D104&lt;&gt;"",'ABRIL 2026'!Z104="POR RECOGER"),'ABRIL 2026'!Y104,"")</f>
        <v/>
      </c>
      <c r="L415" s="192" t="str">
        <f aca="false">IF(AND('ABRIL 2026'!D104&lt;&gt;"",'ABRIL 2026'!Z104="POR RECOGER"),'ABRIL 2026'!I104,"")</f>
        <v/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" hidden="false" customHeight="true" outlineLevel="0" collapsed="false">
      <c r="A416" s="192" t="str">
        <f aca="false">IF(AND('ABRIL 2026'!D105&lt;&gt;"",'ABRIL 2026'!Z105="POR RECOGER"),"ABR","")</f>
        <v/>
      </c>
      <c r="B416" s="192" t="str">
        <f aca="false">IF(AND('ABRIL 2026'!D105&lt;&gt;"",'ABRIL 2026'!Z105="POR RECOGER"),IF('ABRIL 2026'!Y105&lt;&gt;"",'ABRIL 2026'!Y105,'ABRIL 2026'!I105),"")</f>
        <v/>
      </c>
      <c r="C416" s="192" t="str">
        <f aca="false">IF(AND('ABRIL 2026'!D105&lt;&gt;"",'ABRIL 2026'!Z105="POR RECOGER"),'ABRIL 2026'!D105,"")</f>
        <v/>
      </c>
      <c r="D416" s="192" t="str">
        <f aca="false">IF(AND('ABRIL 2026'!D105&lt;&gt;"",'ABRIL 2026'!Z105="POR RECOGER"),'ABRIL 2026'!F105,"")</f>
        <v/>
      </c>
      <c r="E416" s="192" t="str">
        <f aca="false">IF(AND('ABRIL 2026'!D105&lt;&gt;"",'ABRIL 2026'!Z105="POR RECOGER"),TEXT('ABRIL 2026'!G105,"DD/MM/YYYY"),"")</f>
        <v/>
      </c>
      <c r="F416" s="192" t="str">
        <f aca="false">IF(AND('ABRIL 2026'!D105&lt;&gt;"",'ABRIL 2026'!Z105="POR RECOGER"),'ABRIL 2026'!K105,"")</f>
        <v/>
      </c>
      <c r="G416" s="193" t="str">
        <f aca="false">IF(AND('ABRIL 2026'!D105&lt;&gt;"",'ABRIL 2026'!Z105="POR RECOGER"),'ABRIL 2026'!M105,"")</f>
        <v/>
      </c>
      <c r="H416" s="193" t="str">
        <f aca="false">IF(AND('ABRIL 2026'!D105&lt;&gt;"",'ABRIL 2026'!Z105="POR RECOGER"),'ABRIL 2026'!N105,"")</f>
        <v/>
      </c>
      <c r="I416" s="192" t="str">
        <f aca="false">IF(AND('ABRIL 2026'!D105&lt;&gt;"",'ABRIL 2026'!Z105="POR RECOGER"),'ABRIL 2026'!P105,"")</f>
        <v/>
      </c>
      <c r="J416" s="192" t="str">
        <f aca="false">IF(AND('ABRIL 2026'!D105&lt;&gt;"",'ABRIL 2026'!Z105="POR RECOGER"),'ABRIL 2026'!Q105,"")</f>
        <v/>
      </c>
      <c r="K416" s="192" t="str">
        <f aca="false">IF(AND('ABRIL 2026'!D105&lt;&gt;"",'ABRIL 2026'!Z105="POR RECOGER"),'ABRIL 2026'!Y105,"")</f>
        <v/>
      </c>
      <c r="L416" s="192" t="str">
        <f aca="false">IF(AND('ABRIL 2026'!D105&lt;&gt;"",'ABRIL 2026'!Z105="POR RECOGER"),'ABRIL 2026'!I105,"")</f>
        <v/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" hidden="false" customHeight="true" outlineLevel="0" collapsed="false">
      <c r="A417" s="192" t="str">
        <f aca="false">IF(AND('ABRIL 2026'!D106&lt;&gt;"",'ABRIL 2026'!Z106="POR RECOGER"),"ABR","")</f>
        <v/>
      </c>
      <c r="B417" s="192" t="str">
        <f aca="false">IF(AND('ABRIL 2026'!D106&lt;&gt;"",'ABRIL 2026'!Z106="POR RECOGER"),IF('ABRIL 2026'!Y106&lt;&gt;"",'ABRIL 2026'!Y106,'ABRIL 2026'!I106),"")</f>
        <v/>
      </c>
      <c r="C417" s="192" t="str">
        <f aca="false">IF(AND('ABRIL 2026'!D106&lt;&gt;"",'ABRIL 2026'!Z106="POR RECOGER"),'ABRIL 2026'!D106,"")</f>
        <v/>
      </c>
      <c r="D417" s="192" t="str">
        <f aca="false">IF(AND('ABRIL 2026'!D106&lt;&gt;"",'ABRIL 2026'!Z106="POR RECOGER"),'ABRIL 2026'!F106,"")</f>
        <v/>
      </c>
      <c r="E417" s="192" t="str">
        <f aca="false">IF(AND('ABRIL 2026'!D106&lt;&gt;"",'ABRIL 2026'!Z106="POR RECOGER"),TEXT('ABRIL 2026'!G106,"DD/MM/YYYY"),"")</f>
        <v/>
      </c>
      <c r="F417" s="192" t="str">
        <f aca="false">IF(AND('ABRIL 2026'!D106&lt;&gt;"",'ABRIL 2026'!Z106="POR RECOGER"),'ABRIL 2026'!K106,"")</f>
        <v/>
      </c>
      <c r="G417" s="193" t="str">
        <f aca="false">IF(AND('ABRIL 2026'!D106&lt;&gt;"",'ABRIL 2026'!Z106="POR RECOGER"),'ABRIL 2026'!M106,"")</f>
        <v/>
      </c>
      <c r="H417" s="193" t="str">
        <f aca="false">IF(AND('ABRIL 2026'!D106&lt;&gt;"",'ABRIL 2026'!Z106="POR RECOGER"),'ABRIL 2026'!N106,"")</f>
        <v/>
      </c>
      <c r="I417" s="192" t="str">
        <f aca="false">IF(AND('ABRIL 2026'!D106&lt;&gt;"",'ABRIL 2026'!Z106="POR RECOGER"),'ABRIL 2026'!P106,"")</f>
        <v/>
      </c>
      <c r="J417" s="192" t="str">
        <f aca="false">IF(AND('ABRIL 2026'!D106&lt;&gt;"",'ABRIL 2026'!Z106="POR RECOGER"),'ABRIL 2026'!Q106,"")</f>
        <v/>
      </c>
      <c r="K417" s="192" t="str">
        <f aca="false">IF(AND('ABRIL 2026'!D106&lt;&gt;"",'ABRIL 2026'!Z106="POR RECOGER"),'ABRIL 2026'!Y106,"")</f>
        <v/>
      </c>
      <c r="L417" s="192" t="str">
        <f aca="false">IF(AND('ABRIL 2026'!D106&lt;&gt;"",'ABRIL 2026'!Z106="POR RECOGER"),'ABRIL 2026'!I106,"")</f>
        <v/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" hidden="false" customHeight="true" outlineLevel="0" collapsed="false">
      <c r="A418" s="192" t="str">
        <f aca="false">IF(AND('ABRIL 2026'!D107&lt;&gt;"",'ABRIL 2026'!Z107="POR RECOGER"),"ABR","")</f>
        <v/>
      </c>
      <c r="B418" s="192" t="str">
        <f aca="false">IF(AND('ABRIL 2026'!D107&lt;&gt;"",'ABRIL 2026'!Z107="POR RECOGER"),IF('ABRIL 2026'!Y107&lt;&gt;"",'ABRIL 2026'!Y107,'ABRIL 2026'!I107),"")</f>
        <v/>
      </c>
      <c r="C418" s="192" t="str">
        <f aca="false">IF(AND('ABRIL 2026'!D107&lt;&gt;"",'ABRIL 2026'!Z107="POR RECOGER"),'ABRIL 2026'!D107,"")</f>
        <v/>
      </c>
      <c r="D418" s="192" t="str">
        <f aca="false">IF(AND('ABRIL 2026'!D107&lt;&gt;"",'ABRIL 2026'!Z107="POR RECOGER"),'ABRIL 2026'!F107,"")</f>
        <v/>
      </c>
      <c r="E418" s="192" t="str">
        <f aca="false">IF(AND('ABRIL 2026'!D107&lt;&gt;"",'ABRIL 2026'!Z107="POR RECOGER"),TEXT('ABRIL 2026'!G107,"DD/MM/YYYY"),"")</f>
        <v/>
      </c>
      <c r="F418" s="192" t="str">
        <f aca="false">IF(AND('ABRIL 2026'!D107&lt;&gt;"",'ABRIL 2026'!Z107="POR RECOGER"),'ABRIL 2026'!K107,"")</f>
        <v/>
      </c>
      <c r="G418" s="193" t="str">
        <f aca="false">IF(AND('ABRIL 2026'!D107&lt;&gt;"",'ABRIL 2026'!Z107="POR RECOGER"),'ABRIL 2026'!M107,"")</f>
        <v/>
      </c>
      <c r="H418" s="193" t="str">
        <f aca="false">IF(AND('ABRIL 2026'!D107&lt;&gt;"",'ABRIL 2026'!Z107="POR RECOGER"),'ABRIL 2026'!N107,"")</f>
        <v/>
      </c>
      <c r="I418" s="192" t="str">
        <f aca="false">IF(AND('ABRIL 2026'!D107&lt;&gt;"",'ABRIL 2026'!Z107="POR RECOGER"),'ABRIL 2026'!P107,"")</f>
        <v/>
      </c>
      <c r="J418" s="192" t="str">
        <f aca="false">IF(AND('ABRIL 2026'!D107&lt;&gt;"",'ABRIL 2026'!Z107="POR RECOGER"),'ABRIL 2026'!Q107,"")</f>
        <v/>
      </c>
      <c r="K418" s="192" t="str">
        <f aca="false">IF(AND('ABRIL 2026'!D107&lt;&gt;"",'ABRIL 2026'!Z107="POR RECOGER"),'ABRIL 2026'!Y107,"")</f>
        <v/>
      </c>
      <c r="L418" s="192" t="str">
        <f aca="false">IF(AND('ABRIL 2026'!D107&lt;&gt;"",'ABRIL 2026'!Z107="POR RECOGER"),'ABRIL 2026'!I107,"")</f>
        <v/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" hidden="false" customHeight="true" outlineLevel="0" collapsed="false">
      <c r="A419" s="192" t="str">
        <f aca="false">IF(AND('ABRIL 2026'!D108&lt;&gt;"",'ABRIL 2026'!Z108="POR RECOGER"),"ABR","")</f>
        <v/>
      </c>
      <c r="B419" s="192" t="str">
        <f aca="false">IF(AND('ABRIL 2026'!D108&lt;&gt;"",'ABRIL 2026'!Z108="POR RECOGER"),IF('ABRIL 2026'!Y108&lt;&gt;"",'ABRIL 2026'!Y108,'ABRIL 2026'!I108),"")</f>
        <v/>
      </c>
      <c r="C419" s="192" t="str">
        <f aca="false">IF(AND('ABRIL 2026'!D108&lt;&gt;"",'ABRIL 2026'!Z108="POR RECOGER"),'ABRIL 2026'!D108,"")</f>
        <v/>
      </c>
      <c r="D419" s="192" t="str">
        <f aca="false">IF(AND('ABRIL 2026'!D108&lt;&gt;"",'ABRIL 2026'!Z108="POR RECOGER"),'ABRIL 2026'!F108,"")</f>
        <v/>
      </c>
      <c r="E419" s="192" t="str">
        <f aca="false">IF(AND('ABRIL 2026'!D108&lt;&gt;"",'ABRIL 2026'!Z108="POR RECOGER"),TEXT('ABRIL 2026'!G108,"DD/MM/YYYY"),"")</f>
        <v/>
      </c>
      <c r="F419" s="192" t="str">
        <f aca="false">IF(AND('ABRIL 2026'!D108&lt;&gt;"",'ABRIL 2026'!Z108="POR RECOGER"),'ABRIL 2026'!K108,"")</f>
        <v/>
      </c>
      <c r="G419" s="193" t="str">
        <f aca="false">IF(AND('ABRIL 2026'!D108&lt;&gt;"",'ABRIL 2026'!Z108="POR RECOGER"),'ABRIL 2026'!M108,"")</f>
        <v/>
      </c>
      <c r="H419" s="193" t="str">
        <f aca="false">IF(AND('ABRIL 2026'!D108&lt;&gt;"",'ABRIL 2026'!Z108="POR RECOGER"),'ABRIL 2026'!N108,"")</f>
        <v/>
      </c>
      <c r="I419" s="192" t="str">
        <f aca="false">IF(AND('ABRIL 2026'!D108&lt;&gt;"",'ABRIL 2026'!Z108="POR RECOGER"),'ABRIL 2026'!P108,"")</f>
        <v/>
      </c>
      <c r="J419" s="192" t="str">
        <f aca="false">IF(AND('ABRIL 2026'!D108&lt;&gt;"",'ABRIL 2026'!Z108="POR RECOGER"),'ABRIL 2026'!Q108,"")</f>
        <v/>
      </c>
      <c r="K419" s="192" t="str">
        <f aca="false">IF(AND('ABRIL 2026'!D108&lt;&gt;"",'ABRIL 2026'!Z108="POR RECOGER"),'ABRIL 2026'!Y108,"")</f>
        <v/>
      </c>
      <c r="L419" s="192" t="str">
        <f aca="false">IF(AND('ABRIL 2026'!D108&lt;&gt;"",'ABRIL 2026'!Z108="POR RECOGER"),'ABRIL 2026'!I108,"")</f>
        <v/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" hidden="false" customHeight="true" outlineLevel="0" collapsed="false">
      <c r="A420" s="192" t="str">
        <f aca="false">IF(AND('ABRIL 2026'!D109&lt;&gt;"",'ABRIL 2026'!Z109="POR RECOGER"),"ABR","")</f>
        <v/>
      </c>
      <c r="B420" s="192" t="str">
        <f aca="false">IF(AND('ABRIL 2026'!D109&lt;&gt;"",'ABRIL 2026'!Z109="POR RECOGER"),IF('ABRIL 2026'!Y109&lt;&gt;"",'ABRIL 2026'!Y109,'ABRIL 2026'!I109),"")</f>
        <v/>
      </c>
      <c r="C420" s="192" t="str">
        <f aca="false">IF(AND('ABRIL 2026'!D109&lt;&gt;"",'ABRIL 2026'!Z109="POR RECOGER"),'ABRIL 2026'!D109,"")</f>
        <v/>
      </c>
      <c r="D420" s="192" t="str">
        <f aca="false">IF(AND('ABRIL 2026'!D109&lt;&gt;"",'ABRIL 2026'!Z109="POR RECOGER"),'ABRIL 2026'!F109,"")</f>
        <v/>
      </c>
      <c r="E420" s="192" t="str">
        <f aca="false">IF(AND('ABRIL 2026'!D109&lt;&gt;"",'ABRIL 2026'!Z109="POR RECOGER"),TEXT('ABRIL 2026'!G109,"DD/MM/YYYY"),"")</f>
        <v/>
      </c>
      <c r="F420" s="192" t="str">
        <f aca="false">IF(AND('ABRIL 2026'!D109&lt;&gt;"",'ABRIL 2026'!Z109="POR RECOGER"),'ABRIL 2026'!K109,"")</f>
        <v/>
      </c>
      <c r="G420" s="193" t="str">
        <f aca="false">IF(AND('ABRIL 2026'!D109&lt;&gt;"",'ABRIL 2026'!Z109="POR RECOGER"),'ABRIL 2026'!M109,"")</f>
        <v/>
      </c>
      <c r="H420" s="193" t="str">
        <f aca="false">IF(AND('ABRIL 2026'!D109&lt;&gt;"",'ABRIL 2026'!Z109="POR RECOGER"),'ABRIL 2026'!N109,"")</f>
        <v/>
      </c>
      <c r="I420" s="192" t="str">
        <f aca="false">IF(AND('ABRIL 2026'!D109&lt;&gt;"",'ABRIL 2026'!Z109="POR RECOGER"),'ABRIL 2026'!P109,"")</f>
        <v/>
      </c>
      <c r="J420" s="192" t="str">
        <f aca="false">IF(AND('ABRIL 2026'!D109&lt;&gt;"",'ABRIL 2026'!Z109="POR RECOGER"),'ABRIL 2026'!Q109,"")</f>
        <v/>
      </c>
      <c r="K420" s="192" t="str">
        <f aca="false">IF(AND('ABRIL 2026'!D109&lt;&gt;"",'ABRIL 2026'!Z109="POR RECOGER"),'ABRIL 2026'!Y109,"")</f>
        <v/>
      </c>
      <c r="L420" s="192" t="str">
        <f aca="false">IF(AND('ABRIL 2026'!D109&lt;&gt;"",'ABRIL 2026'!Z109="POR RECOGER"),'ABRIL 2026'!I109,"")</f>
        <v/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" hidden="false" customHeight="true" outlineLevel="0" collapsed="false">
      <c r="A421" s="192" t="str">
        <f aca="false">IF(AND('ABRIL 2026'!D110&lt;&gt;"",'ABRIL 2026'!Z110="POR RECOGER"),"ABR","")</f>
        <v/>
      </c>
      <c r="B421" s="192" t="str">
        <f aca="false">IF(AND('ABRIL 2026'!D110&lt;&gt;"",'ABRIL 2026'!Z110="POR RECOGER"),IF('ABRIL 2026'!Y110&lt;&gt;"",'ABRIL 2026'!Y110,'ABRIL 2026'!I110),"")</f>
        <v/>
      </c>
      <c r="C421" s="192" t="str">
        <f aca="false">IF(AND('ABRIL 2026'!D110&lt;&gt;"",'ABRIL 2026'!Z110="POR RECOGER"),'ABRIL 2026'!D110,"")</f>
        <v/>
      </c>
      <c r="D421" s="192" t="str">
        <f aca="false">IF(AND('ABRIL 2026'!D110&lt;&gt;"",'ABRIL 2026'!Z110="POR RECOGER"),'ABRIL 2026'!F110,"")</f>
        <v/>
      </c>
      <c r="E421" s="192" t="str">
        <f aca="false">IF(AND('ABRIL 2026'!D110&lt;&gt;"",'ABRIL 2026'!Z110="POR RECOGER"),TEXT('ABRIL 2026'!G110,"DD/MM/YYYY"),"")</f>
        <v/>
      </c>
      <c r="F421" s="192" t="str">
        <f aca="false">IF(AND('ABRIL 2026'!D110&lt;&gt;"",'ABRIL 2026'!Z110="POR RECOGER"),'ABRIL 2026'!K110,"")</f>
        <v/>
      </c>
      <c r="G421" s="193" t="str">
        <f aca="false">IF(AND('ABRIL 2026'!D110&lt;&gt;"",'ABRIL 2026'!Z110="POR RECOGER"),'ABRIL 2026'!M110,"")</f>
        <v/>
      </c>
      <c r="H421" s="193" t="str">
        <f aca="false">IF(AND('ABRIL 2026'!D110&lt;&gt;"",'ABRIL 2026'!Z110="POR RECOGER"),'ABRIL 2026'!N110,"")</f>
        <v/>
      </c>
      <c r="I421" s="192" t="str">
        <f aca="false">IF(AND('ABRIL 2026'!D110&lt;&gt;"",'ABRIL 2026'!Z110="POR RECOGER"),'ABRIL 2026'!P110,"")</f>
        <v/>
      </c>
      <c r="J421" s="192" t="str">
        <f aca="false">IF(AND('ABRIL 2026'!D110&lt;&gt;"",'ABRIL 2026'!Z110="POR RECOGER"),'ABRIL 2026'!Q110,"")</f>
        <v/>
      </c>
      <c r="K421" s="192" t="str">
        <f aca="false">IF(AND('ABRIL 2026'!D110&lt;&gt;"",'ABRIL 2026'!Z110="POR RECOGER"),'ABRIL 2026'!Y110,"")</f>
        <v/>
      </c>
      <c r="L421" s="192" t="str">
        <f aca="false">IF(AND('ABRIL 2026'!D110&lt;&gt;"",'ABRIL 2026'!Z110="POR RECOGER"),'ABRIL 2026'!I110,"")</f>
        <v/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" hidden="false" customHeight="true" outlineLevel="0" collapsed="false">
      <c r="A422" s="192" t="str">
        <f aca="false">IF(AND('MAYO 2026'!D6&lt;&gt;"",'MAYO 2026'!Z6="POR RECOGER"),"MAY","")</f>
        <v/>
      </c>
      <c r="B422" s="192" t="str">
        <f aca="false">IF(AND('MAYO 2026'!D6&lt;&gt;"",'MAYO 2026'!Z6="POR RECOGER"),IF('MAYO 2026'!Y6&lt;&gt;"",'MAYO 2026'!Y6,'MAYO 2026'!I6),"")</f>
        <v/>
      </c>
      <c r="C422" s="192" t="str">
        <f aca="false">IF(AND('MAYO 2026'!D6&lt;&gt;"",'MAYO 2026'!Z6="POR RECOGER"),'MAYO 2026'!D6,"")</f>
        <v/>
      </c>
      <c r="D422" s="192" t="str">
        <f aca="false">IF(AND('MAYO 2026'!D6&lt;&gt;"",'MAYO 2026'!Z6="POR RECOGER"),'MAYO 2026'!F6,"")</f>
        <v/>
      </c>
      <c r="E422" s="192" t="str">
        <f aca="false">IF(AND('MAYO 2026'!D6&lt;&gt;"",'MAYO 2026'!Z6="POR RECOGER"),TEXT('MAYO 2026'!G6,"DD/MM/YYYY"),"")</f>
        <v/>
      </c>
      <c r="F422" s="192" t="str">
        <f aca="false">IF(AND('MAYO 2026'!D6&lt;&gt;"",'MAYO 2026'!Z6="POR RECOGER"),'MAYO 2026'!K6,"")</f>
        <v/>
      </c>
      <c r="G422" s="193" t="str">
        <f aca="false">IF(AND('MAYO 2026'!D6&lt;&gt;"",'MAYO 2026'!Z6="POR RECOGER"),'MAYO 2026'!M6,"")</f>
        <v/>
      </c>
      <c r="H422" s="193" t="str">
        <f aca="false">IF(AND('MAYO 2026'!D6&lt;&gt;"",'MAYO 2026'!Z6="POR RECOGER"),'MAYO 2026'!N6,"")</f>
        <v/>
      </c>
      <c r="I422" s="192" t="str">
        <f aca="false">IF(AND('MAYO 2026'!D6&lt;&gt;"",'MAYO 2026'!Z6="POR RECOGER"),'MAYO 2026'!P6,"")</f>
        <v/>
      </c>
      <c r="J422" s="192" t="str">
        <f aca="false">IF(AND('MAYO 2026'!D6&lt;&gt;"",'MAYO 2026'!Z6="POR RECOGER"),'MAYO 2026'!Q6,"")</f>
        <v/>
      </c>
      <c r="K422" s="192" t="str">
        <f aca="false">IF(AND('MAYO 2026'!D6&lt;&gt;"",'MAYO 2026'!Z6="POR RECOGER"),'MAYO 2026'!Y6,"")</f>
        <v/>
      </c>
      <c r="L422" s="192" t="str">
        <f aca="false">IF(AND('MAYO 2026'!D6&lt;&gt;"",'MAYO 2026'!Z6="POR RECOGER"),'MAYO 2026'!I6,"")</f>
        <v/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" hidden="false" customHeight="true" outlineLevel="0" collapsed="false">
      <c r="A423" s="192" t="str">
        <f aca="false">IF(AND('MAYO 2026'!D7&lt;&gt;"",'MAYO 2026'!Z7="POR RECOGER"),"MAY","")</f>
        <v/>
      </c>
      <c r="B423" s="192" t="str">
        <f aca="false">IF(AND('MAYO 2026'!D7&lt;&gt;"",'MAYO 2026'!Z7="POR RECOGER"),IF('MAYO 2026'!Y7&lt;&gt;"",'MAYO 2026'!Y7,'MAYO 2026'!I7),"")</f>
        <v/>
      </c>
      <c r="C423" s="192" t="str">
        <f aca="false">IF(AND('MAYO 2026'!D7&lt;&gt;"",'MAYO 2026'!Z7="POR RECOGER"),'MAYO 2026'!D7,"")</f>
        <v/>
      </c>
      <c r="D423" s="192" t="str">
        <f aca="false">IF(AND('MAYO 2026'!D7&lt;&gt;"",'MAYO 2026'!Z7="POR RECOGER"),'MAYO 2026'!F7,"")</f>
        <v/>
      </c>
      <c r="E423" s="192" t="str">
        <f aca="false">IF(AND('MAYO 2026'!D7&lt;&gt;"",'MAYO 2026'!Z7="POR RECOGER"),TEXT('MAYO 2026'!G7,"DD/MM/YYYY"),"")</f>
        <v/>
      </c>
      <c r="F423" s="192" t="str">
        <f aca="false">IF(AND('MAYO 2026'!D7&lt;&gt;"",'MAYO 2026'!Z7="POR RECOGER"),'MAYO 2026'!K7,"")</f>
        <v/>
      </c>
      <c r="G423" s="193" t="str">
        <f aca="false">IF(AND('MAYO 2026'!D7&lt;&gt;"",'MAYO 2026'!Z7="POR RECOGER"),'MAYO 2026'!M7,"")</f>
        <v/>
      </c>
      <c r="H423" s="193" t="str">
        <f aca="false">IF(AND('MAYO 2026'!D7&lt;&gt;"",'MAYO 2026'!Z7="POR RECOGER"),'MAYO 2026'!N7,"")</f>
        <v/>
      </c>
      <c r="I423" s="192" t="str">
        <f aca="false">IF(AND('MAYO 2026'!D7&lt;&gt;"",'MAYO 2026'!Z7="POR RECOGER"),'MAYO 2026'!P7,"")</f>
        <v/>
      </c>
      <c r="J423" s="192" t="str">
        <f aca="false">IF(AND('MAYO 2026'!D7&lt;&gt;"",'MAYO 2026'!Z7="POR RECOGER"),'MAYO 2026'!Q7,"")</f>
        <v/>
      </c>
      <c r="K423" s="192" t="str">
        <f aca="false">IF(AND('MAYO 2026'!D7&lt;&gt;"",'MAYO 2026'!Z7="POR RECOGER"),'MAYO 2026'!Y7,"")</f>
        <v/>
      </c>
      <c r="L423" s="192" t="str">
        <f aca="false">IF(AND('MAYO 2026'!D7&lt;&gt;"",'MAYO 2026'!Z7="POR RECOGER"),'MAYO 2026'!I7,"")</f>
        <v/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" hidden="false" customHeight="true" outlineLevel="0" collapsed="false">
      <c r="A424" s="192" t="str">
        <f aca="false">IF(AND('MAYO 2026'!D8&lt;&gt;"",'MAYO 2026'!Z8="POR RECOGER"),"MAY","")</f>
        <v/>
      </c>
      <c r="B424" s="192" t="str">
        <f aca="false">IF(AND('MAYO 2026'!D8&lt;&gt;"",'MAYO 2026'!Z8="POR RECOGER"),IF('MAYO 2026'!Y8&lt;&gt;"",'MAYO 2026'!Y8,'MAYO 2026'!I8),"")</f>
        <v/>
      </c>
      <c r="C424" s="192" t="str">
        <f aca="false">IF(AND('MAYO 2026'!D8&lt;&gt;"",'MAYO 2026'!Z8="POR RECOGER"),'MAYO 2026'!D8,"")</f>
        <v/>
      </c>
      <c r="D424" s="192" t="str">
        <f aca="false">IF(AND('MAYO 2026'!D8&lt;&gt;"",'MAYO 2026'!Z8="POR RECOGER"),'MAYO 2026'!F8,"")</f>
        <v/>
      </c>
      <c r="E424" s="192" t="str">
        <f aca="false">IF(AND('MAYO 2026'!D8&lt;&gt;"",'MAYO 2026'!Z8="POR RECOGER"),TEXT('MAYO 2026'!G8,"DD/MM/YYYY"),"")</f>
        <v/>
      </c>
      <c r="F424" s="192" t="str">
        <f aca="false">IF(AND('MAYO 2026'!D8&lt;&gt;"",'MAYO 2026'!Z8="POR RECOGER"),'MAYO 2026'!K8,"")</f>
        <v/>
      </c>
      <c r="G424" s="193" t="str">
        <f aca="false">IF(AND('MAYO 2026'!D8&lt;&gt;"",'MAYO 2026'!Z8="POR RECOGER"),'MAYO 2026'!M8,"")</f>
        <v/>
      </c>
      <c r="H424" s="193" t="str">
        <f aca="false">IF(AND('MAYO 2026'!D8&lt;&gt;"",'MAYO 2026'!Z8="POR RECOGER"),'MAYO 2026'!N8,"")</f>
        <v/>
      </c>
      <c r="I424" s="192" t="str">
        <f aca="false">IF(AND('MAYO 2026'!D8&lt;&gt;"",'MAYO 2026'!Z8="POR RECOGER"),'MAYO 2026'!P8,"")</f>
        <v/>
      </c>
      <c r="J424" s="192" t="str">
        <f aca="false">IF(AND('MAYO 2026'!D8&lt;&gt;"",'MAYO 2026'!Z8="POR RECOGER"),'MAYO 2026'!Q8,"")</f>
        <v/>
      </c>
      <c r="K424" s="192" t="str">
        <f aca="false">IF(AND('MAYO 2026'!D8&lt;&gt;"",'MAYO 2026'!Z8="POR RECOGER"),'MAYO 2026'!Y8,"")</f>
        <v/>
      </c>
      <c r="L424" s="192" t="str">
        <f aca="false">IF(AND('MAYO 2026'!D8&lt;&gt;"",'MAYO 2026'!Z8="POR RECOGER"),'MAYO 2026'!I8,"")</f>
        <v/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" hidden="false" customHeight="true" outlineLevel="0" collapsed="false">
      <c r="A425" s="192" t="str">
        <f aca="false">IF(AND('MAYO 2026'!D9&lt;&gt;"",'MAYO 2026'!Z9="POR RECOGER"),"MAY","")</f>
        <v/>
      </c>
      <c r="B425" s="192" t="str">
        <f aca="false">IF(AND('MAYO 2026'!D9&lt;&gt;"",'MAYO 2026'!Z9="POR RECOGER"),IF('MAYO 2026'!Y9&lt;&gt;"",'MAYO 2026'!Y9,'MAYO 2026'!I9),"")</f>
        <v/>
      </c>
      <c r="C425" s="192" t="str">
        <f aca="false">IF(AND('MAYO 2026'!D9&lt;&gt;"",'MAYO 2026'!Z9="POR RECOGER"),'MAYO 2026'!D9,"")</f>
        <v/>
      </c>
      <c r="D425" s="192" t="str">
        <f aca="false">IF(AND('MAYO 2026'!D9&lt;&gt;"",'MAYO 2026'!Z9="POR RECOGER"),'MAYO 2026'!F9,"")</f>
        <v/>
      </c>
      <c r="E425" s="192" t="str">
        <f aca="false">IF(AND('MAYO 2026'!D9&lt;&gt;"",'MAYO 2026'!Z9="POR RECOGER"),TEXT('MAYO 2026'!G9,"DD/MM/YYYY"),"")</f>
        <v/>
      </c>
      <c r="F425" s="192" t="str">
        <f aca="false">IF(AND('MAYO 2026'!D9&lt;&gt;"",'MAYO 2026'!Z9="POR RECOGER"),'MAYO 2026'!K9,"")</f>
        <v/>
      </c>
      <c r="G425" s="193" t="str">
        <f aca="false">IF(AND('MAYO 2026'!D9&lt;&gt;"",'MAYO 2026'!Z9="POR RECOGER"),'MAYO 2026'!M9,"")</f>
        <v/>
      </c>
      <c r="H425" s="193" t="str">
        <f aca="false">IF(AND('MAYO 2026'!D9&lt;&gt;"",'MAYO 2026'!Z9="POR RECOGER"),'MAYO 2026'!N9,"")</f>
        <v/>
      </c>
      <c r="I425" s="192" t="str">
        <f aca="false">IF(AND('MAYO 2026'!D9&lt;&gt;"",'MAYO 2026'!Z9="POR RECOGER"),'MAYO 2026'!P9,"")</f>
        <v/>
      </c>
      <c r="J425" s="192" t="str">
        <f aca="false">IF(AND('MAYO 2026'!D9&lt;&gt;"",'MAYO 2026'!Z9="POR RECOGER"),'MAYO 2026'!Q9,"")</f>
        <v/>
      </c>
      <c r="K425" s="192" t="str">
        <f aca="false">IF(AND('MAYO 2026'!D9&lt;&gt;"",'MAYO 2026'!Z9="POR RECOGER"),'MAYO 2026'!Y9,"")</f>
        <v/>
      </c>
      <c r="L425" s="192" t="str">
        <f aca="false">IF(AND('MAYO 2026'!D9&lt;&gt;"",'MAYO 2026'!Z9="POR RECOGER"),'MAYO 2026'!I9,"")</f>
        <v/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" hidden="false" customHeight="true" outlineLevel="0" collapsed="false">
      <c r="A426" s="192" t="str">
        <f aca="false">IF(AND('MAYO 2026'!D10&lt;&gt;"",'MAYO 2026'!Z10="POR RECOGER"),"MAY","")</f>
        <v/>
      </c>
      <c r="B426" s="192" t="str">
        <f aca="false">IF(AND('MAYO 2026'!D10&lt;&gt;"",'MAYO 2026'!Z10="POR RECOGER"),IF('MAYO 2026'!Y10&lt;&gt;"",'MAYO 2026'!Y10,'MAYO 2026'!I10),"")</f>
        <v/>
      </c>
      <c r="C426" s="192" t="str">
        <f aca="false">IF(AND('MAYO 2026'!D10&lt;&gt;"",'MAYO 2026'!Z10="POR RECOGER"),'MAYO 2026'!D10,"")</f>
        <v/>
      </c>
      <c r="D426" s="192" t="str">
        <f aca="false">IF(AND('MAYO 2026'!D10&lt;&gt;"",'MAYO 2026'!Z10="POR RECOGER"),'MAYO 2026'!F10,"")</f>
        <v/>
      </c>
      <c r="E426" s="192" t="str">
        <f aca="false">IF(AND('MAYO 2026'!D10&lt;&gt;"",'MAYO 2026'!Z10="POR RECOGER"),TEXT('MAYO 2026'!G10,"DD/MM/YYYY"),"")</f>
        <v/>
      </c>
      <c r="F426" s="192" t="str">
        <f aca="false">IF(AND('MAYO 2026'!D10&lt;&gt;"",'MAYO 2026'!Z10="POR RECOGER"),'MAYO 2026'!K10,"")</f>
        <v/>
      </c>
      <c r="G426" s="193" t="str">
        <f aca="false">IF(AND('MAYO 2026'!D10&lt;&gt;"",'MAYO 2026'!Z10="POR RECOGER"),'MAYO 2026'!M10,"")</f>
        <v/>
      </c>
      <c r="H426" s="193" t="str">
        <f aca="false">IF(AND('MAYO 2026'!D10&lt;&gt;"",'MAYO 2026'!Z10="POR RECOGER"),'MAYO 2026'!N10,"")</f>
        <v/>
      </c>
      <c r="I426" s="192" t="str">
        <f aca="false">IF(AND('MAYO 2026'!D10&lt;&gt;"",'MAYO 2026'!Z10="POR RECOGER"),'MAYO 2026'!P10,"")</f>
        <v/>
      </c>
      <c r="J426" s="192" t="str">
        <f aca="false">IF(AND('MAYO 2026'!D10&lt;&gt;"",'MAYO 2026'!Z10="POR RECOGER"),'MAYO 2026'!Q10,"")</f>
        <v/>
      </c>
      <c r="K426" s="192" t="str">
        <f aca="false">IF(AND('MAYO 2026'!D10&lt;&gt;"",'MAYO 2026'!Z10="POR RECOGER"),'MAYO 2026'!Y10,"")</f>
        <v/>
      </c>
      <c r="L426" s="192" t="str">
        <f aca="false">IF(AND('MAYO 2026'!D10&lt;&gt;"",'MAYO 2026'!Z10="POR RECOGER"),'MAYO 2026'!I10,"")</f>
        <v/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" hidden="false" customHeight="true" outlineLevel="0" collapsed="false">
      <c r="A427" s="192" t="str">
        <f aca="false">IF(AND('MAYO 2026'!D11&lt;&gt;"",'MAYO 2026'!Z11="POR RECOGER"),"MAY","")</f>
        <v/>
      </c>
      <c r="B427" s="192" t="str">
        <f aca="false">IF(AND('MAYO 2026'!D11&lt;&gt;"",'MAYO 2026'!Z11="POR RECOGER"),IF('MAYO 2026'!Y11&lt;&gt;"",'MAYO 2026'!Y11,'MAYO 2026'!I11),"")</f>
        <v/>
      </c>
      <c r="C427" s="192" t="str">
        <f aca="false">IF(AND('MAYO 2026'!D11&lt;&gt;"",'MAYO 2026'!Z11="POR RECOGER"),'MAYO 2026'!D11,"")</f>
        <v/>
      </c>
      <c r="D427" s="192" t="str">
        <f aca="false">IF(AND('MAYO 2026'!D11&lt;&gt;"",'MAYO 2026'!Z11="POR RECOGER"),'MAYO 2026'!F11,"")</f>
        <v/>
      </c>
      <c r="E427" s="192" t="str">
        <f aca="false">IF(AND('MAYO 2026'!D11&lt;&gt;"",'MAYO 2026'!Z11="POR RECOGER"),TEXT('MAYO 2026'!G11,"DD/MM/YYYY"),"")</f>
        <v/>
      </c>
      <c r="F427" s="192" t="str">
        <f aca="false">IF(AND('MAYO 2026'!D11&lt;&gt;"",'MAYO 2026'!Z11="POR RECOGER"),'MAYO 2026'!K11,"")</f>
        <v/>
      </c>
      <c r="G427" s="193" t="str">
        <f aca="false">IF(AND('MAYO 2026'!D11&lt;&gt;"",'MAYO 2026'!Z11="POR RECOGER"),'MAYO 2026'!M11,"")</f>
        <v/>
      </c>
      <c r="H427" s="193" t="str">
        <f aca="false">IF(AND('MAYO 2026'!D11&lt;&gt;"",'MAYO 2026'!Z11="POR RECOGER"),'MAYO 2026'!N11,"")</f>
        <v/>
      </c>
      <c r="I427" s="192" t="str">
        <f aca="false">IF(AND('MAYO 2026'!D11&lt;&gt;"",'MAYO 2026'!Z11="POR RECOGER"),'MAYO 2026'!P11,"")</f>
        <v/>
      </c>
      <c r="J427" s="192" t="str">
        <f aca="false">IF(AND('MAYO 2026'!D11&lt;&gt;"",'MAYO 2026'!Z11="POR RECOGER"),'MAYO 2026'!Q11,"")</f>
        <v/>
      </c>
      <c r="K427" s="192" t="str">
        <f aca="false">IF(AND('MAYO 2026'!D11&lt;&gt;"",'MAYO 2026'!Z11="POR RECOGER"),'MAYO 2026'!Y11,"")</f>
        <v/>
      </c>
      <c r="L427" s="192" t="str">
        <f aca="false">IF(AND('MAYO 2026'!D11&lt;&gt;"",'MAYO 2026'!Z11="POR RECOGER"),'MAYO 2026'!I11,"")</f>
        <v/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" hidden="false" customHeight="true" outlineLevel="0" collapsed="false">
      <c r="A428" s="192" t="str">
        <f aca="false">IF(AND('MAYO 2026'!D12&lt;&gt;"",'MAYO 2026'!Z12="POR RECOGER"),"MAY","")</f>
        <v/>
      </c>
      <c r="B428" s="192" t="str">
        <f aca="false">IF(AND('MAYO 2026'!D12&lt;&gt;"",'MAYO 2026'!Z12="POR RECOGER"),IF('MAYO 2026'!Y12&lt;&gt;"",'MAYO 2026'!Y12,'MAYO 2026'!I12),"")</f>
        <v/>
      </c>
      <c r="C428" s="192" t="str">
        <f aca="false">IF(AND('MAYO 2026'!D12&lt;&gt;"",'MAYO 2026'!Z12="POR RECOGER"),'MAYO 2026'!D12,"")</f>
        <v/>
      </c>
      <c r="D428" s="192" t="str">
        <f aca="false">IF(AND('MAYO 2026'!D12&lt;&gt;"",'MAYO 2026'!Z12="POR RECOGER"),'MAYO 2026'!F12,"")</f>
        <v/>
      </c>
      <c r="E428" s="192" t="str">
        <f aca="false">IF(AND('MAYO 2026'!D12&lt;&gt;"",'MAYO 2026'!Z12="POR RECOGER"),TEXT('MAYO 2026'!G12,"DD/MM/YYYY"),"")</f>
        <v/>
      </c>
      <c r="F428" s="192" t="str">
        <f aca="false">IF(AND('MAYO 2026'!D12&lt;&gt;"",'MAYO 2026'!Z12="POR RECOGER"),'MAYO 2026'!K12,"")</f>
        <v/>
      </c>
      <c r="G428" s="193" t="str">
        <f aca="false">IF(AND('MAYO 2026'!D12&lt;&gt;"",'MAYO 2026'!Z12="POR RECOGER"),'MAYO 2026'!M12,"")</f>
        <v/>
      </c>
      <c r="H428" s="193" t="str">
        <f aca="false">IF(AND('MAYO 2026'!D12&lt;&gt;"",'MAYO 2026'!Z12="POR RECOGER"),'MAYO 2026'!N12,"")</f>
        <v/>
      </c>
      <c r="I428" s="192" t="str">
        <f aca="false">IF(AND('MAYO 2026'!D12&lt;&gt;"",'MAYO 2026'!Z12="POR RECOGER"),'MAYO 2026'!P12,"")</f>
        <v/>
      </c>
      <c r="J428" s="192" t="str">
        <f aca="false">IF(AND('MAYO 2026'!D12&lt;&gt;"",'MAYO 2026'!Z12="POR RECOGER"),'MAYO 2026'!Q12,"")</f>
        <v/>
      </c>
      <c r="K428" s="192" t="str">
        <f aca="false">IF(AND('MAYO 2026'!D12&lt;&gt;"",'MAYO 2026'!Z12="POR RECOGER"),'MAYO 2026'!Y12,"")</f>
        <v/>
      </c>
      <c r="L428" s="192" t="str">
        <f aca="false">IF(AND('MAYO 2026'!D12&lt;&gt;"",'MAYO 2026'!Z12="POR RECOGER"),'MAYO 2026'!I12,"")</f>
        <v/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" hidden="false" customHeight="true" outlineLevel="0" collapsed="false">
      <c r="A429" s="192" t="str">
        <f aca="false">IF(AND('MAYO 2026'!D13&lt;&gt;"",'MAYO 2026'!Z13="POR RECOGER"),"MAY","")</f>
        <v/>
      </c>
      <c r="B429" s="192" t="str">
        <f aca="false">IF(AND('MAYO 2026'!D13&lt;&gt;"",'MAYO 2026'!Z13="POR RECOGER"),IF('MAYO 2026'!Y13&lt;&gt;"",'MAYO 2026'!Y13,'MAYO 2026'!I13),"")</f>
        <v/>
      </c>
      <c r="C429" s="192" t="str">
        <f aca="false">IF(AND('MAYO 2026'!D13&lt;&gt;"",'MAYO 2026'!Z13="POR RECOGER"),'MAYO 2026'!D13,"")</f>
        <v/>
      </c>
      <c r="D429" s="192" t="str">
        <f aca="false">IF(AND('MAYO 2026'!D13&lt;&gt;"",'MAYO 2026'!Z13="POR RECOGER"),'MAYO 2026'!F13,"")</f>
        <v/>
      </c>
      <c r="E429" s="192" t="str">
        <f aca="false">IF(AND('MAYO 2026'!D13&lt;&gt;"",'MAYO 2026'!Z13="POR RECOGER"),TEXT('MAYO 2026'!G13,"DD/MM/YYYY"),"")</f>
        <v/>
      </c>
      <c r="F429" s="192" t="str">
        <f aca="false">IF(AND('MAYO 2026'!D13&lt;&gt;"",'MAYO 2026'!Z13="POR RECOGER"),'MAYO 2026'!K13,"")</f>
        <v/>
      </c>
      <c r="G429" s="193" t="str">
        <f aca="false">IF(AND('MAYO 2026'!D13&lt;&gt;"",'MAYO 2026'!Z13="POR RECOGER"),'MAYO 2026'!M13,"")</f>
        <v/>
      </c>
      <c r="H429" s="193" t="str">
        <f aca="false">IF(AND('MAYO 2026'!D13&lt;&gt;"",'MAYO 2026'!Z13="POR RECOGER"),'MAYO 2026'!N13,"")</f>
        <v/>
      </c>
      <c r="I429" s="192" t="str">
        <f aca="false">IF(AND('MAYO 2026'!D13&lt;&gt;"",'MAYO 2026'!Z13="POR RECOGER"),'MAYO 2026'!P13,"")</f>
        <v/>
      </c>
      <c r="J429" s="192" t="str">
        <f aca="false">IF(AND('MAYO 2026'!D13&lt;&gt;"",'MAYO 2026'!Z13="POR RECOGER"),'MAYO 2026'!Q13,"")</f>
        <v/>
      </c>
      <c r="K429" s="192" t="str">
        <f aca="false">IF(AND('MAYO 2026'!D13&lt;&gt;"",'MAYO 2026'!Z13="POR RECOGER"),'MAYO 2026'!Y13,"")</f>
        <v/>
      </c>
      <c r="L429" s="192" t="str">
        <f aca="false">IF(AND('MAYO 2026'!D13&lt;&gt;"",'MAYO 2026'!Z13="POR RECOGER"),'MAYO 2026'!I13,"")</f>
        <v/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" hidden="false" customHeight="true" outlineLevel="0" collapsed="false">
      <c r="A430" s="192" t="str">
        <f aca="false">IF(AND('MAYO 2026'!D14&lt;&gt;"",'MAYO 2026'!Z14="POR RECOGER"),"MAY","")</f>
        <v/>
      </c>
      <c r="B430" s="192" t="str">
        <f aca="false">IF(AND('MAYO 2026'!D14&lt;&gt;"",'MAYO 2026'!Z14="POR RECOGER"),IF('MAYO 2026'!Y14&lt;&gt;"",'MAYO 2026'!Y14,'MAYO 2026'!I14),"")</f>
        <v/>
      </c>
      <c r="C430" s="192" t="str">
        <f aca="false">IF(AND('MAYO 2026'!D14&lt;&gt;"",'MAYO 2026'!Z14="POR RECOGER"),'MAYO 2026'!D14,"")</f>
        <v/>
      </c>
      <c r="D430" s="192" t="str">
        <f aca="false">IF(AND('MAYO 2026'!D14&lt;&gt;"",'MAYO 2026'!Z14="POR RECOGER"),'MAYO 2026'!F14,"")</f>
        <v/>
      </c>
      <c r="E430" s="192" t="str">
        <f aca="false">IF(AND('MAYO 2026'!D14&lt;&gt;"",'MAYO 2026'!Z14="POR RECOGER"),TEXT('MAYO 2026'!G14,"DD/MM/YYYY"),"")</f>
        <v/>
      </c>
      <c r="F430" s="192" t="str">
        <f aca="false">IF(AND('MAYO 2026'!D14&lt;&gt;"",'MAYO 2026'!Z14="POR RECOGER"),'MAYO 2026'!K14,"")</f>
        <v/>
      </c>
      <c r="G430" s="193" t="str">
        <f aca="false">IF(AND('MAYO 2026'!D14&lt;&gt;"",'MAYO 2026'!Z14="POR RECOGER"),'MAYO 2026'!M14,"")</f>
        <v/>
      </c>
      <c r="H430" s="193" t="str">
        <f aca="false">IF(AND('MAYO 2026'!D14&lt;&gt;"",'MAYO 2026'!Z14="POR RECOGER"),'MAYO 2026'!N14,"")</f>
        <v/>
      </c>
      <c r="I430" s="192" t="str">
        <f aca="false">IF(AND('MAYO 2026'!D14&lt;&gt;"",'MAYO 2026'!Z14="POR RECOGER"),'MAYO 2026'!P14,"")</f>
        <v/>
      </c>
      <c r="J430" s="192" t="str">
        <f aca="false">IF(AND('MAYO 2026'!D14&lt;&gt;"",'MAYO 2026'!Z14="POR RECOGER"),'MAYO 2026'!Q14,"")</f>
        <v/>
      </c>
      <c r="K430" s="192" t="str">
        <f aca="false">IF(AND('MAYO 2026'!D14&lt;&gt;"",'MAYO 2026'!Z14="POR RECOGER"),'MAYO 2026'!Y14,"")</f>
        <v/>
      </c>
      <c r="L430" s="192" t="str">
        <f aca="false">IF(AND('MAYO 2026'!D14&lt;&gt;"",'MAYO 2026'!Z14="POR RECOGER"),'MAYO 2026'!I14,"")</f>
        <v/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" hidden="false" customHeight="true" outlineLevel="0" collapsed="false">
      <c r="A431" s="192" t="str">
        <f aca="false">IF(AND('MAYO 2026'!D15&lt;&gt;"",'MAYO 2026'!Z15="POR RECOGER"),"MAY","")</f>
        <v/>
      </c>
      <c r="B431" s="192" t="str">
        <f aca="false">IF(AND('MAYO 2026'!D15&lt;&gt;"",'MAYO 2026'!Z15="POR RECOGER"),IF('MAYO 2026'!Y15&lt;&gt;"",'MAYO 2026'!Y15,'MAYO 2026'!I15),"")</f>
        <v/>
      </c>
      <c r="C431" s="192" t="str">
        <f aca="false">IF(AND('MAYO 2026'!D15&lt;&gt;"",'MAYO 2026'!Z15="POR RECOGER"),'MAYO 2026'!D15,"")</f>
        <v/>
      </c>
      <c r="D431" s="192" t="str">
        <f aca="false">IF(AND('MAYO 2026'!D15&lt;&gt;"",'MAYO 2026'!Z15="POR RECOGER"),'MAYO 2026'!F15,"")</f>
        <v/>
      </c>
      <c r="E431" s="192" t="str">
        <f aca="false">IF(AND('MAYO 2026'!D15&lt;&gt;"",'MAYO 2026'!Z15="POR RECOGER"),TEXT('MAYO 2026'!G15,"DD/MM/YYYY"),"")</f>
        <v/>
      </c>
      <c r="F431" s="192" t="str">
        <f aca="false">IF(AND('MAYO 2026'!D15&lt;&gt;"",'MAYO 2026'!Z15="POR RECOGER"),'MAYO 2026'!K15,"")</f>
        <v/>
      </c>
      <c r="G431" s="193" t="str">
        <f aca="false">IF(AND('MAYO 2026'!D15&lt;&gt;"",'MAYO 2026'!Z15="POR RECOGER"),'MAYO 2026'!M15,"")</f>
        <v/>
      </c>
      <c r="H431" s="193" t="str">
        <f aca="false">IF(AND('MAYO 2026'!D15&lt;&gt;"",'MAYO 2026'!Z15="POR RECOGER"),'MAYO 2026'!N15,"")</f>
        <v/>
      </c>
      <c r="I431" s="192" t="str">
        <f aca="false">IF(AND('MAYO 2026'!D15&lt;&gt;"",'MAYO 2026'!Z15="POR RECOGER"),'MAYO 2026'!P15,"")</f>
        <v/>
      </c>
      <c r="J431" s="192" t="str">
        <f aca="false">IF(AND('MAYO 2026'!D15&lt;&gt;"",'MAYO 2026'!Z15="POR RECOGER"),'MAYO 2026'!Q15,"")</f>
        <v/>
      </c>
      <c r="K431" s="192" t="str">
        <f aca="false">IF(AND('MAYO 2026'!D15&lt;&gt;"",'MAYO 2026'!Z15="POR RECOGER"),'MAYO 2026'!Y15,"")</f>
        <v/>
      </c>
      <c r="L431" s="192" t="str">
        <f aca="false">IF(AND('MAYO 2026'!D15&lt;&gt;"",'MAYO 2026'!Z15="POR RECOGER"),'MAYO 2026'!I15,"")</f>
        <v/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" hidden="false" customHeight="true" outlineLevel="0" collapsed="false">
      <c r="A432" s="192" t="str">
        <f aca="false">IF(AND('MAYO 2026'!D16&lt;&gt;"",'MAYO 2026'!Z16="POR RECOGER"),"MAY","")</f>
        <v/>
      </c>
      <c r="B432" s="192" t="str">
        <f aca="false">IF(AND('MAYO 2026'!D16&lt;&gt;"",'MAYO 2026'!Z16="POR RECOGER"),IF('MAYO 2026'!Y16&lt;&gt;"",'MAYO 2026'!Y16,'MAYO 2026'!I16),"")</f>
        <v/>
      </c>
      <c r="C432" s="192" t="str">
        <f aca="false">IF(AND('MAYO 2026'!D16&lt;&gt;"",'MAYO 2026'!Z16="POR RECOGER"),'MAYO 2026'!D16,"")</f>
        <v/>
      </c>
      <c r="D432" s="192" t="str">
        <f aca="false">IF(AND('MAYO 2026'!D16&lt;&gt;"",'MAYO 2026'!Z16="POR RECOGER"),'MAYO 2026'!F16,"")</f>
        <v/>
      </c>
      <c r="E432" s="192" t="str">
        <f aca="false">IF(AND('MAYO 2026'!D16&lt;&gt;"",'MAYO 2026'!Z16="POR RECOGER"),TEXT('MAYO 2026'!G16,"DD/MM/YYYY"),"")</f>
        <v/>
      </c>
      <c r="F432" s="192" t="str">
        <f aca="false">IF(AND('MAYO 2026'!D16&lt;&gt;"",'MAYO 2026'!Z16="POR RECOGER"),'MAYO 2026'!K16,"")</f>
        <v/>
      </c>
      <c r="G432" s="193" t="str">
        <f aca="false">IF(AND('MAYO 2026'!D16&lt;&gt;"",'MAYO 2026'!Z16="POR RECOGER"),'MAYO 2026'!M16,"")</f>
        <v/>
      </c>
      <c r="H432" s="193" t="str">
        <f aca="false">IF(AND('MAYO 2026'!D16&lt;&gt;"",'MAYO 2026'!Z16="POR RECOGER"),'MAYO 2026'!N16,"")</f>
        <v/>
      </c>
      <c r="I432" s="192" t="str">
        <f aca="false">IF(AND('MAYO 2026'!D16&lt;&gt;"",'MAYO 2026'!Z16="POR RECOGER"),'MAYO 2026'!P16,"")</f>
        <v/>
      </c>
      <c r="J432" s="192" t="str">
        <f aca="false">IF(AND('MAYO 2026'!D16&lt;&gt;"",'MAYO 2026'!Z16="POR RECOGER"),'MAYO 2026'!Q16,"")</f>
        <v/>
      </c>
      <c r="K432" s="192" t="str">
        <f aca="false">IF(AND('MAYO 2026'!D16&lt;&gt;"",'MAYO 2026'!Z16="POR RECOGER"),'MAYO 2026'!Y16,"")</f>
        <v/>
      </c>
      <c r="L432" s="192" t="str">
        <f aca="false">IF(AND('MAYO 2026'!D16&lt;&gt;"",'MAYO 2026'!Z16="POR RECOGER"),'MAYO 2026'!I16,"")</f>
        <v/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" hidden="false" customHeight="true" outlineLevel="0" collapsed="false">
      <c r="A433" s="192" t="str">
        <f aca="false">IF(AND('MAYO 2026'!D17&lt;&gt;"",'MAYO 2026'!Z17="POR RECOGER"),"MAY","")</f>
        <v/>
      </c>
      <c r="B433" s="192" t="str">
        <f aca="false">IF(AND('MAYO 2026'!D17&lt;&gt;"",'MAYO 2026'!Z17="POR RECOGER"),IF('MAYO 2026'!Y17&lt;&gt;"",'MAYO 2026'!Y17,'MAYO 2026'!I17),"")</f>
        <v/>
      </c>
      <c r="C433" s="192" t="str">
        <f aca="false">IF(AND('MAYO 2026'!D17&lt;&gt;"",'MAYO 2026'!Z17="POR RECOGER"),'MAYO 2026'!D17,"")</f>
        <v/>
      </c>
      <c r="D433" s="192" t="str">
        <f aca="false">IF(AND('MAYO 2026'!D17&lt;&gt;"",'MAYO 2026'!Z17="POR RECOGER"),'MAYO 2026'!F17,"")</f>
        <v/>
      </c>
      <c r="E433" s="192" t="str">
        <f aca="false">IF(AND('MAYO 2026'!D17&lt;&gt;"",'MAYO 2026'!Z17="POR RECOGER"),TEXT('MAYO 2026'!G17,"DD/MM/YYYY"),"")</f>
        <v/>
      </c>
      <c r="F433" s="192" t="str">
        <f aca="false">IF(AND('MAYO 2026'!D17&lt;&gt;"",'MAYO 2026'!Z17="POR RECOGER"),'MAYO 2026'!K17,"")</f>
        <v/>
      </c>
      <c r="G433" s="193" t="str">
        <f aca="false">IF(AND('MAYO 2026'!D17&lt;&gt;"",'MAYO 2026'!Z17="POR RECOGER"),'MAYO 2026'!M17,"")</f>
        <v/>
      </c>
      <c r="H433" s="193" t="str">
        <f aca="false">IF(AND('MAYO 2026'!D17&lt;&gt;"",'MAYO 2026'!Z17="POR RECOGER"),'MAYO 2026'!N17,"")</f>
        <v/>
      </c>
      <c r="I433" s="192" t="str">
        <f aca="false">IF(AND('MAYO 2026'!D17&lt;&gt;"",'MAYO 2026'!Z17="POR RECOGER"),'MAYO 2026'!P17,"")</f>
        <v/>
      </c>
      <c r="J433" s="192" t="str">
        <f aca="false">IF(AND('MAYO 2026'!D17&lt;&gt;"",'MAYO 2026'!Z17="POR RECOGER"),'MAYO 2026'!Q17,"")</f>
        <v/>
      </c>
      <c r="K433" s="192" t="str">
        <f aca="false">IF(AND('MAYO 2026'!D17&lt;&gt;"",'MAYO 2026'!Z17="POR RECOGER"),'MAYO 2026'!Y17,"")</f>
        <v/>
      </c>
      <c r="L433" s="192" t="str">
        <f aca="false">IF(AND('MAYO 2026'!D17&lt;&gt;"",'MAYO 2026'!Z17="POR RECOGER"),'MAYO 2026'!I17,"")</f>
        <v/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" hidden="false" customHeight="true" outlineLevel="0" collapsed="false">
      <c r="A434" s="192" t="str">
        <f aca="false">IF(AND('MAYO 2026'!D18&lt;&gt;"",'MAYO 2026'!Z18="POR RECOGER"),"MAY","")</f>
        <v/>
      </c>
      <c r="B434" s="192" t="str">
        <f aca="false">IF(AND('MAYO 2026'!D18&lt;&gt;"",'MAYO 2026'!Z18="POR RECOGER"),IF('MAYO 2026'!Y18&lt;&gt;"",'MAYO 2026'!Y18,'MAYO 2026'!I18),"")</f>
        <v/>
      </c>
      <c r="C434" s="192" t="str">
        <f aca="false">IF(AND('MAYO 2026'!D18&lt;&gt;"",'MAYO 2026'!Z18="POR RECOGER"),'MAYO 2026'!D18,"")</f>
        <v/>
      </c>
      <c r="D434" s="192" t="str">
        <f aca="false">IF(AND('MAYO 2026'!D18&lt;&gt;"",'MAYO 2026'!Z18="POR RECOGER"),'MAYO 2026'!F18,"")</f>
        <v/>
      </c>
      <c r="E434" s="192" t="str">
        <f aca="false">IF(AND('MAYO 2026'!D18&lt;&gt;"",'MAYO 2026'!Z18="POR RECOGER"),TEXT('MAYO 2026'!G18,"DD/MM/YYYY"),"")</f>
        <v/>
      </c>
      <c r="F434" s="192" t="str">
        <f aca="false">IF(AND('MAYO 2026'!D18&lt;&gt;"",'MAYO 2026'!Z18="POR RECOGER"),'MAYO 2026'!K18,"")</f>
        <v/>
      </c>
      <c r="G434" s="193" t="str">
        <f aca="false">IF(AND('MAYO 2026'!D18&lt;&gt;"",'MAYO 2026'!Z18="POR RECOGER"),'MAYO 2026'!M18,"")</f>
        <v/>
      </c>
      <c r="H434" s="193" t="str">
        <f aca="false">IF(AND('MAYO 2026'!D18&lt;&gt;"",'MAYO 2026'!Z18="POR RECOGER"),'MAYO 2026'!N18,"")</f>
        <v/>
      </c>
      <c r="I434" s="192" t="str">
        <f aca="false">IF(AND('MAYO 2026'!D18&lt;&gt;"",'MAYO 2026'!Z18="POR RECOGER"),'MAYO 2026'!P18,"")</f>
        <v/>
      </c>
      <c r="J434" s="192" t="str">
        <f aca="false">IF(AND('MAYO 2026'!D18&lt;&gt;"",'MAYO 2026'!Z18="POR RECOGER"),'MAYO 2026'!Q18,"")</f>
        <v/>
      </c>
      <c r="K434" s="192" t="str">
        <f aca="false">IF(AND('MAYO 2026'!D18&lt;&gt;"",'MAYO 2026'!Z18="POR RECOGER"),'MAYO 2026'!Y18,"")</f>
        <v/>
      </c>
      <c r="L434" s="192" t="str">
        <f aca="false">IF(AND('MAYO 2026'!D18&lt;&gt;"",'MAYO 2026'!Z18="POR RECOGER"),'MAYO 2026'!I18,"")</f>
        <v/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" hidden="false" customHeight="true" outlineLevel="0" collapsed="false">
      <c r="A435" s="192" t="str">
        <f aca="false">IF(AND('MAYO 2026'!D19&lt;&gt;"",'MAYO 2026'!Z19="POR RECOGER"),"MAY","")</f>
        <v/>
      </c>
      <c r="B435" s="192" t="str">
        <f aca="false">IF(AND('MAYO 2026'!D19&lt;&gt;"",'MAYO 2026'!Z19="POR RECOGER"),IF('MAYO 2026'!Y19&lt;&gt;"",'MAYO 2026'!Y19,'MAYO 2026'!I19),"")</f>
        <v/>
      </c>
      <c r="C435" s="192" t="str">
        <f aca="false">IF(AND('MAYO 2026'!D19&lt;&gt;"",'MAYO 2026'!Z19="POR RECOGER"),'MAYO 2026'!D19,"")</f>
        <v/>
      </c>
      <c r="D435" s="192" t="str">
        <f aca="false">IF(AND('MAYO 2026'!D19&lt;&gt;"",'MAYO 2026'!Z19="POR RECOGER"),'MAYO 2026'!F19,"")</f>
        <v/>
      </c>
      <c r="E435" s="192" t="str">
        <f aca="false">IF(AND('MAYO 2026'!D19&lt;&gt;"",'MAYO 2026'!Z19="POR RECOGER"),TEXT('MAYO 2026'!G19,"DD/MM/YYYY"),"")</f>
        <v/>
      </c>
      <c r="F435" s="192" t="str">
        <f aca="false">IF(AND('MAYO 2026'!D19&lt;&gt;"",'MAYO 2026'!Z19="POR RECOGER"),'MAYO 2026'!K19,"")</f>
        <v/>
      </c>
      <c r="G435" s="193" t="str">
        <f aca="false">IF(AND('MAYO 2026'!D19&lt;&gt;"",'MAYO 2026'!Z19="POR RECOGER"),'MAYO 2026'!M19,"")</f>
        <v/>
      </c>
      <c r="H435" s="193" t="str">
        <f aca="false">IF(AND('MAYO 2026'!D19&lt;&gt;"",'MAYO 2026'!Z19="POR RECOGER"),'MAYO 2026'!N19,"")</f>
        <v/>
      </c>
      <c r="I435" s="192" t="str">
        <f aca="false">IF(AND('MAYO 2026'!D19&lt;&gt;"",'MAYO 2026'!Z19="POR RECOGER"),'MAYO 2026'!P19,"")</f>
        <v/>
      </c>
      <c r="J435" s="192" t="str">
        <f aca="false">IF(AND('MAYO 2026'!D19&lt;&gt;"",'MAYO 2026'!Z19="POR RECOGER"),'MAYO 2026'!Q19,"")</f>
        <v/>
      </c>
      <c r="K435" s="192" t="str">
        <f aca="false">IF(AND('MAYO 2026'!D19&lt;&gt;"",'MAYO 2026'!Z19="POR RECOGER"),'MAYO 2026'!Y19,"")</f>
        <v/>
      </c>
      <c r="L435" s="192" t="str">
        <f aca="false">IF(AND('MAYO 2026'!D19&lt;&gt;"",'MAYO 2026'!Z19="POR RECOGER"),'MAYO 2026'!I19,"")</f>
        <v/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" hidden="false" customHeight="true" outlineLevel="0" collapsed="false">
      <c r="A436" s="192" t="str">
        <f aca="false">IF(AND('MAYO 2026'!D20&lt;&gt;"",'MAYO 2026'!Z20="POR RECOGER"),"MAY","")</f>
        <v/>
      </c>
      <c r="B436" s="192" t="str">
        <f aca="false">IF(AND('MAYO 2026'!D20&lt;&gt;"",'MAYO 2026'!Z20="POR RECOGER"),IF('MAYO 2026'!Y20&lt;&gt;"",'MAYO 2026'!Y20,'MAYO 2026'!I20),"")</f>
        <v/>
      </c>
      <c r="C436" s="192" t="str">
        <f aca="false">IF(AND('MAYO 2026'!D20&lt;&gt;"",'MAYO 2026'!Z20="POR RECOGER"),'MAYO 2026'!D20,"")</f>
        <v/>
      </c>
      <c r="D436" s="192" t="str">
        <f aca="false">IF(AND('MAYO 2026'!D20&lt;&gt;"",'MAYO 2026'!Z20="POR RECOGER"),'MAYO 2026'!F20,"")</f>
        <v/>
      </c>
      <c r="E436" s="192" t="str">
        <f aca="false">IF(AND('MAYO 2026'!D20&lt;&gt;"",'MAYO 2026'!Z20="POR RECOGER"),TEXT('MAYO 2026'!G20,"DD/MM/YYYY"),"")</f>
        <v/>
      </c>
      <c r="F436" s="192" t="str">
        <f aca="false">IF(AND('MAYO 2026'!D20&lt;&gt;"",'MAYO 2026'!Z20="POR RECOGER"),'MAYO 2026'!K20,"")</f>
        <v/>
      </c>
      <c r="G436" s="193" t="str">
        <f aca="false">IF(AND('MAYO 2026'!D20&lt;&gt;"",'MAYO 2026'!Z20="POR RECOGER"),'MAYO 2026'!M20,"")</f>
        <v/>
      </c>
      <c r="H436" s="193" t="str">
        <f aca="false">IF(AND('MAYO 2026'!D20&lt;&gt;"",'MAYO 2026'!Z20="POR RECOGER"),'MAYO 2026'!N20,"")</f>
        <v/>
      </c>
      <c r="I436" s="192" t="str">
        <f aca="false">IF(AND('MAYO 2026'!D20&lt;&gt;"",'MAYO 2026'!Z20="POR RECOGER"),'MAYO 2026'!P20,"")</f>
        <v/>
      </c>
      <c r="J436" s="192" t="str">
        <f aca="false">IF(AND('MAYO 2026'!D20&lt;&gt;"",'MAYO 2026'!Z20="POR RECOGER"),'MAYO 2026'!Q20,"")</f>
        <v/>
      </c>
      <c r="K436" s="192" t="str">
        <f aca="false">IF(AND('MAYO 2026'!D20&lt;&gt;"",'MAYO 2026'!Z20="POR RECOGER"),'MAYO 2026'!Y20,"")</f>
        <v/>
      </c>
      <c r="L436" s="192" t="str">
        <f aca="false">IF(AND('MAYO 2026'!D20&lt;&gt;"",'MAYO 2026'!Z20="POR RECOGER"),'MAYO 2026'!I20,"")</f>
        <v/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" hidden="false" customHeight="true" outlineLevel="0" collapsed="false">
      <c r="A437" s="192" t="str">
        <f aca="false">IF(AND('MAYO 2026'!D21&lt;&gt;"",'MAYO 2026'!Z21="POR RECOGER"),"MAY","")</f>
        <v/>
      </c>
      <c r="B437" s="192" t="str">
        <f aca="false">IF(AND('MAYO 2026'!D21&lt;&gt;"",'MAYO 2026'!Z21="POR RECOGER"),IF('MAYO 2026'!Y21&lt;&gt;"",'MAYO 2026'!Y21,'MAYO 2026'!I21),"")</f>
        <v/>
      </c>
      <c r="C437" s="192" t="str">
        <f aca="false">IF(AND('MAYO 2026'!D21&lt;&gt;"",'MAYO 2026'!Z21="POR RECOGER"),'MAYO 2026'!D21,"")</f>
        <v/>
      </c>
      <c r="D437" s="192" t="str">
        <f aca="false">IF(AND('MAYO 2026'!D21&lt;&gt;"",'MAYO 2026'!Z21="POR RECOGER"),'MAYO 2026'!F21,"")</f>
        <v/>
      </c>
      <c r="E437" s="192" t="str">
        <f aca="false">IF(AND('MAYO 2026'!D21&lt;&gt;"",'MAYO 2026'!Z21="POR RECOGER"),TEXT('MAYO 2026'!G21,"DD/MM/YYYY"),"")</f>
        <v/>
      </c>
      <c r="F437" s="192" t="str">
        <f aca="false">IF(AND('MAYO 2026'!D21&lt;&gt;"",'MAYO 2026'!Z21="POR RECOGER"),'MAYO 2026'!K21,"")</f>
        <v/>
      </c>
      <c r="G437" s="193" t="str">
        <f aca="false">IF(AND('MAYO 2026'!D21&lt;&gt;"",'MAYO 2026'!Z21="POR RECOGER"),'MAYO 2026'!M21,"")</f>
        <v/>
      </c>
      <c r="H437" s="193" t="str">
        <f aca="false">IF(AND('MAYO 2026'!D21&lt;&gt;"",'MAYO 2026'!Z21="POR RECOGER"),'MAYO 2026'!N21,"")</f>
        <v/>
      </c>
      <c r="I437" s="192" t="str">
        <f aca="false">IF(AND('MAYO 2026'!D21&lt;&gt;"",'MAYO 2026'!Z21="POR RECOGER"),'MAYO 2026'!P21,"")</f>
        <v/>
      </c>
      <c r="J437" s="192" t="str">
        <f aca="false">IF(AND('MAYO 2026'!D21&lt;&gt;"",'MAYO 2026'!Z21="POR RECOGER"),'MAYO 2026'!Q21,"")</f>
        <v/>
      </c>
      <c r="K437" s="192" t="str">
        <f aca="false">IF(AND('MAYO 2026'!D21&lt;&gt;"",'MAYO 2026'!Z21="POR RECOGER"),'MAYO 2026'!Y21,"")</f>
        <v/>
      </c>
      <c r="L437" s="192" t="str">
        <f aca="false">IF(AND('MAYO 2026'!D21&lt;&gt;"",'MAYO 2026'!Z21="POR RECOGER"),'MAYO 2026'!I21,"")</f>
        <v/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" hidden="false" customHeight="true" outlineLevel="0" collapsed="false">
      <c r="A438" s="192" t="str">
        <f aca="false">IF(AND('MAYO 2026'!D22&lt;&gt;"",'MAYO 2026'!Z22="POR RECOGER"),"MAY","")</f>
        <v/>
      </c>
      <c r="B438" s="192" t="str">
        <f aca="false">IF(AND('MAYO 2026'!D22&lt;&gt;"",'MAYO 2026'!Z22="POR RECOGER"),IF('MAYO 2026'!Y22&lt;&gt;"",'MAYO 2026'!Y22,'MAYO 2026'!I22),"")</f>
        <v/>
      </c>
      <c r="C438" s="192" t="str">
        <f aca="false">IF(AND('MAYO 2026'!D22&lt;&gt;"",'MAYO 2026'!Z22="POR RECOGER"),'MAYO 2026'!D22,"")</f>
        <v/>
      </c>
      <c r="D438" s="192" t="str">
        <f aca="false">IF(AND('MAYO 2026'!D22&lt;&gt;"",'MAYO 2026'!Z22="POR RECOGER"),'MAYO 2026'!F22,"")</f>
        <v/>
      </c>
      <c r="E438" s="192" t="str">
        <f aca="false">IF(AND('MAYO 2026'!D22&lt;&gt;"",'MAYO 2026'!Z22="POR RECOGER"),TEXT('MAYO 2026'!G22,"DD/MM/YYYY"),"")</f>
        <v/>
      </c>
      <c r="F438" s="192" t="str">
        <f aca="false">IF(AND('MAYO 2026'!D22&lt;&gt;"",'MAYO 2026'!Z22="POR RECOGER"),'MAYO 2026'!K22,"")</f>
        <v/>
      </c>
      <c r="G438" s="193" t="str">
        <f aca="false">IF(AND('MAYO 2026'!D22&lt;&gt;"",'MAYO 2026'!Z22="POR RECOGER"),'MAYO 2026'!M22,"")</f>
        <v/>
      </c>
      <c r="H438" s="193" t="str">
        <f aca="false">IF(AND('MAYO 2026'!D22&lt;&gt;"",'MAYO 2026'!Z22="POR RECOGER"),'MAYO 2026'!N22,"")</f>
        <v/>
      </c>
      <c r="I438" s="192" t="str">
        <f aca="false">IF(AND('MAYO 2026'!D22&lt;&gt;"",'MAYO 2026'!Z22="POR RECOGER"),'MAYO 2026'!P22,"")</f>
        <v/>
      </c>
      <c r="J438" s="192" t="str">
        <f aca="false">IF(AND('MAYO 2026'!D22&lt;&gt;"",'MAYO 2026'!Z22="POR RECOGER"),'MAYO 2026'!Q22,"")</f>
        <v/>
      </c>
      <c r="K438" s="192" t="str">
        <f aca="false">IF(AND('MAYO 2026'!D22&lt;&gt;"",'MAYO 2026'!Z22="POR RECOGER"),'MAYO 2026'!Y22,"")</f>
        <v/>
      </c>
      <c r="L438" s="192" t="str">
        <f aca="false">IF(AND('MAYO 2026'!D22&lt;&gt;"",'MAYO 2026'!Z22="POR RECOGER"),'MAYO 2026'!I22,"")</f>
        <v/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" hidden="false" customHeight="true" outlineLevel="0" collapsed="false">
      <c r="A439" s="192" t="str">
        <f aca="false">IF(AND('MAYO 2026'!D23&lt;&gt;"",'MAYO 2026'!Z23="POR RECOGER"),"MAY","")</f>
        <v/>
      </c>
      <c r="B439" s="192" t="str">
        <f aca="false">IF(AND('MAYO 2026'!D23&lt;&gt;"",'MAYO 2026'!Z23="POR RECOGER"),IF('MAYO 2026'!Y23&lt;&gt;"",'MAYO 2026'!Y23,'MAYO 2026'!I23),"")</f>
        <v/>
      </c>
      <c r="C439" s="192" t="str">
        <f aca="false">IF(AND('MAYO 2026'!D23&lt;&gt;"",'MAYO 2026'!Z23="POR RECOGER"),'MAYO 2026'!D23,"")</f>
        <v/>
      </c>
      <c r="D439" s="192" t="str">
        <f aca="false">IF(AND('MAYO 2026'!D23&lt;&gt;"",'MAYO 2026'!Z23="POR RECOGER"),'MAYO 2026'!F23,"")</f>
        <v/>
      </c>
      <c r="E439" s="192" t="str">
        <f aca="false">IF(AND('MAYO 2026'!D23&lt;&gt;"",'MAYO 2026'!Z23="POR RECOGER"),TEXT('MAYO 2026'!G23,"DD/MM/YYYY"),"")</f>
        <v/>
      </c>
      <c r="F439" s="192" t="str">
        <f aca="false">IF(AND('MAYO 2026'!D23&lt;&gt;"",'MAYO 2026'!Z23="POR RECOGER"),'MAYO 2026'!K23,"")</f>
        <v/>
      </c>
      <c r="G439" s="193" t="str">
        <f aca="false">IF(AND('MAYO 2026'!D23&lt;&gt;"",'MAYO 2026'!Z23="POR RECOGER"),'MAYO 2026'!M23,"")</f>
        <v/>
      </c>
      <c r="H439" s="193" t="str">
        <f aca="false">IF(AND('MAYO 2026'!D23&lt;&gt;"",'MAYO 2026'!Z23="POR RECOGER"),'MAYO 2026'!N23,"")</f>
        <v/>
      </c>
      <c r="I439" s="192" t="str">
        <f aca="false">IF(AND('MAYO 2026'!D23&lt;&gt;"",'MAYO 2026'!Z23="POR RECOGER"),'MAYO 2026'!P23,"")</f>
        <v/>
      </c>
      <c r="J439" s="192" t="str">
        <f aca="false">IF(AND('MAYO 2026'!D23&lt;&gt;"",'MAYO 2026'!Z23="POR RECOGER"),'MAYO 2026'!Q23,"")</f>
        <v/>
      </c>
      <c r="K439" s="192" t="str">
        <f aca="false">IF(AND('MAYO 2026'!D23&lt;&gt;"",'MAYO 2026'!Z23="POR RECOGER"),'MAYO 2026'!Y23,"")</f>
        <v/>
      </c>
      <c r="L439" s="192" t="str">
        <f aca="false">IF(AND('MAYO 2026'!D23&lt;&gt;"",'MAYO 2026'!Z23="POR RECOGER"),'MAYO 2026'!I23,"")</f>
        <v/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" hidden="false" customHeight="true" outlineLevel="0" collapsed="false">
      <c r="A440" s="192" t="str">
        <f aca="false">IF(AND('MAYO 2026'!D24&lt;&gt;"",'MAYO 2026'!Z24="POR RECOGER"),"MAY","")</f>
        <v/>
      </c>
      <c r="B440" s="192" t="str">
        <f aca="false">IF(AND('MAYO 2026'!D24&lt;&gt;"",'MAYO 2026'!Z24="POR RECOGER"),IF('MAYO 2026'!Y24&lt;&gt;"",'MAYO 2026'!Y24,'MAYO 2026'!I24),"")</f>
        <v/>
      </c>
      <c r="C440" s="192" t="str">
        <f aca="false">IF(AND('MAYO 2026'!D24&lt;&gt;"",'MAYO 2026'!Z24="POR RECOGER"),'MAYO 2026'!D24,"")</f>
        <v/>
      </c>
      <c r="D440" s="192" t="str">
        <f aca="false">IF(AND('MAYO 2026'!D24&lt;&gt;"",'MAYO 2026'!Z24="POR RECOGER"),'MAYO 2026'!F24,"")</f>
        <v/>
      </c>
      <c r="E440" s="192" t="str">
        <f aca="false">IF(AND('MAYO 2026'!D24&lt;&gt;"",'MAYO 2026'!Z24="POR RECOGER"),TEXT('MAYO 2026'!G24,"DD/MM/YYYY"),"")</f>
        <v/>
      </c>
      <c r="F440" s="192" t="str">
        <f aca="false">IF(AND('MAYO 2026'!D24&lt;&gt;"",'MAYO 2026'!Z24="POR RECOGER"),'MAYO 2026'!K24,"")</f>
        <v/>
      </c>
      <c r="G440" s="193" t="str">
        <f aca="false">IF(AND('MAYO 2026'!D24&lt;&gt;"",'MAYO 2026'!Z24="POR RECOGER"),'MAYO 2026'!M24,"")</f>
        <v/>
      </c>
      <c r="H440" s="193" t="str">
        <f aca="false">IF(AND('MAYO 2026'!D24&lt;&gt;"",'MAYO 2026'!Z24="POR RECOGER"),'MAYO 2026'!N24,"")</f>
        <v/>
      </c>
      <c r="I440" s="192" t="str">
        <f aca="false">IF(AND('MAYO 2026'!D24&lt;&gt;"",'MAYO 2026'!Z24="POR RECOGER"),'MAYO 2026'!P24,"")</f>
        <v/>
      </c>
      <c r="J440" s="192" t="str">
        <f aca="false">IF(AND('MAYO 2026'!D24&lt;&gt;"",'MAYO 2026'!Z24="POR RECOGER"),'MAYO 2026'!Q24,"")</f>
        <v/>
      </c>
      <c r="K440" s="192" t="str">
        <f aca="false">IF(AND('MAYO 2026'!D24&lt;&gt;"",'MAYO 2026'!Z24="POR RECOGER"),'MAYO 2026'!Y24,"")</f>
        <v/>
      </c>
      <c r="L440" s="192" t="str">
        <f aca="false">IF(AND('MAYO 2026'!D24&lt;&gt;"",'MAYO 2026'!Z24="POR RECOGER"),'MAYO 2026'!I24,"")</f>
        <v/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" hidden="false" customHeight="true" outlineLevel="0" collapsed="false">
      <c r="A441" s="192" t="str">
        <f aca="false">IF(AND('MAYO 2026'!D25&lt;&gt;"",'MAYO 2026'!Z25="POR RECOGER"),"MAY","")</f>
        <v/>
      </c>
      <c r="B441" s="192" t="str">
        <f aca="false">IF(AND('MAYO 2026'!D25&lt;&gt;"",'MAYO 2026'!Z25="POR RECOGER"),IF('MAYO 2026'!Y25&lt;&gt;"",'MAYO 2026'!Y25,'MAYO 2026'!I25),"")</f>
        <v/>
      </c>
      <c r="C441" s="192" t="str">
        <f aca="false">IF(AND('MAYO 2026'!D25&lt;&gt;"",'MAYO 2026'!Z25="POR RECOGER"),'MAYO 2026'!D25,"")</f>
        <v/>
      </c>
      <c r="D441" s="192" t="str">
        <f aca="false">IF(AND('MAYO 2026'!D25&lt;&gt;"",'MAYO 2026'!Z25="POR RECOGER"),'MAYO 2026'!F25,"")</f>
        <v/>
      </c>
      <c r="E441" s="192" t="str">
        <f aca="false">IF(AND('MAYO 2026'!D25&lt;&gt;"",'MAYO 2026'!Z25="POR RECOGER"),TEXT('MAYO 2026'!G25,"DD/MM/YYYY"),"")</f>
        <v/>
      </c>
      <c r="F441" s="192" t="str">
        <f aca="false">IF(AND('MAYO 2026'!D25&lt;&gt;"",'MAYO 2026'!Z25="POR RECOGER"),'MAYO 2026'!K25,"")</f>
        <v/>
      </c>
      <c r="G441" s="193" t="str">
        <f aca="false">IF(AND('MAYO 2026'!D25&lt;&gt;"",'MAYO 2026'!Z25="POR RECOGER"),'MAYO 2026'!M25,"")</f>
        <v/>
      </c>
      <c r="H441" s="193" t="str">
        <f aca="false">IF(AND('MAYO 2026'!D25&lt;&gt;"",'MAYO 2026'!Z25="POR RECOGER"),'MAYO 2026'!N25,"")</f>
        <v/>
      </c>
      <c r="I441" s="192" t="str">
        <f aca="false">IF(AND('MAYO 2026'!D25&lt;&gt;"",'MAYO 2026'!Z25="POR RECOGER"),'MAYO 2026'!P25,"")</f>
        <v/>
      </c>
      <c r="J441" s="192" t="str">
        <f aca="false">IF(AND('MAYO 2026'!D25&lt;&gt;"",'MAYO 2026'!Z25="POR RECOGER"),'MAYO 2026'!Q25,"")</f>
        <v/>
      </c>
      <c r="K441" s="192" t="str">
        <f aca="false">IF(AND('MAYO 2026'!D25&lt;&gt;"",'MAYO 2026'!Z25="POR RECOGER"),'MAYO 2026'!Y25,"")</f>
        <v/>
      </c>
      <c r="L441" s="192" t="str">
        <f aca="false">IF(AND('MAYO 2026'!D25&lt;&gt;"",'MAYO 2026'!Z25="POR RECOGER"),'MAYO 2026'!I25,"")</f>
        <v/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" hidden="false" customHeight="true" outlineLevel="0" collapsed="false">
      <c r="A442" s="192" t="str">
        <f aca="false">IF(AND('MAYO 2026'!D26&lt;&gt;"",'MAYO 2026'!Z26="POR RECOGER"),"MAY","")</f>
        <v/>
      </c>
      <c r="B442" s="192" t="str">
        <f aca="false">IF(AND('MAYO 2026'!D26&lt;&gt;"",'MAYO 2026'!Z26="POR RECOGER"),IF('MAYO 2026'!Y26&lt;&gt;"",'MAYO 2026'!Y26,'MAYO 2026'!I26),"")</f>
        <v/>
      </c>
      <c r="C442" s="192" t="str">
        <f aca="false">IF(AND('MAYO 2026'!D26&lt;&gt;"",'MAYO 2026'!Z26="POR RECOGER"),'MAYO 2026'!D26,"")</f>
        <v/>
      </c>
      <c r="D442" s="192" t="str">
        <f aca="false">IF(AND('MAYO 2026'!D26&lt;&gt;"",'MAYO 2026'!Z26="POR RECOGER"),'MAYO 2026'!F26,"")</f>
        <v/>
      </c>
      <c r="E442" s="192" t="str">
        <f aca="false">IF(AND('MAYO 2026'!D26&lt;&gt;"",'MAYO 2026'!Z26="POR RECOGER"),TEXT('MAYO 2026'!G26,"DD/MM/YYYY"),"")</f>
        <v/>
      </c>
      <c r="F442" s="192" t="str">
        <f aca="false">IF(AND('MAYO 2026'!D26&lt;&gt;"",'MAYO 2026'!Z26="POR RECOGER"),'MAYO 2026'!K26,"")</f>
        <v/>
      </c>
      <c r="G442" s="193" t="str">
        <f aca="false">IF(AND('MAYO 2026'!D26&lt;&gt;"",'MAYO 2026'!Z26="POR RECOGER"),'MAYO 2026'!M26,"")</f>
        <v/>
      </c>
      <c r="H442" s="193" t="str">
        <f aca="false">IF(AND('MAYO 2026'!D26&lt;&gt;"",'MAYO 2026'!Z26="POR RECOGER"),'MAYO 2026'!N26,"")</f>
        <v/>
      </c>
      <c r="I442" s="192" t="str">
        <f aca="false">IF(AND('MAYO 2026'!D26&lt;&gt;"",'MAYO 2026'!Z26="POR RECOGER"),'MAYO 2026'!P26,"")</f>
        <v/>
      </c>
      <c r="J442" s="192" t="str">
        <f aca="false">IF(AND('MAYO 2026'!D26&lt;&gt;"",'MAYO 2026'!Z26="POR RECOGER"),'MAYO 2026'!Q26,"")</f>
        <v/>
      </c>
      <c r="K442" s="192" t="str">
        <f aca="false">IF(AND('MAYO 2026'!D26&lt;&gt;"",'MAYO 2026'!Z26="POR RECOGER"),'MAYO 2026'!Y26,"")</f>
        <v/>
      </c>
      <c r="L442" s="192" t="str">
        <f aca="false">IF(AND('MAYO 2026'!D26&lt;&gt;"",'MAYO 2026'!Z26="POR RECOGER"),'MAYO 2026'!I26,"")</f>
        <v/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" hidden="false" customHeight="true" outlineLevel="0" collapsed="false">
      <c r="A443" s="192" t="str">
        <f aca="false">IF(AND('MAYO 2026'!D27&lt;&gt;"",'MAYO 2026'!Z27="POR RECOGER"),"MAY","")</f>
        <v/>
      </c>
      <c r="B443" s="192" t="str">
        <f aca="false">IF(AND('MAYO 2026'!D27&lt;&gt;"",'MAYO 2026'!Z27="POR RECOGER"),IF('MAYO 2026'!Y27&lt;&gt;"",'MAYO 2026'!Y27,'MAYO 2026'!I27),"")</f>
        <v/>
      </c>
      <c r="C443" s="192" t="str">
        <f aca="false">IF(AND('MAYO 2026'!D27&lt;&gt;"",'MAYO 2026'!Z27="POR RECOGER"),'MAYO 2026'!D27,"")</f>
        <v/>
      </c>
      <c r="D443" s="192" t="str">
        <f aca="false">IF(AND('MAYO 2026'!D27&lt;&gt;"",'MAYO 2026'!Z27="POR RECOGER"),'MAYO 2026'!F27,"")</f>
        <v/>
      </c>
      <c r="E443" s="192" t="str">
        <f aca="false">IF(AND('MAYO 2026'!D27&lt;&gt;"",'MAYO 2026'!Z27="POR RECOGER"),TEXT('MAYO 2026'!G27,"DD/MM/YYYY"),"")</f>
        <v/>
      </c>
      <c r="F443" s="192" t="str">
        <f aca="false">IF(AND('MAYO 2026'!D27&lt;&gt;"",'MAYO 2026'!Z27="POR RECOGER"),'MAYO 2026'!K27,"")</f>
        <v/>
      </c>
      <c r="G443" s="193" t="str">
        <f aca="false">IF(AND('MAYO 2026'!D27&lt;&gt;"",'MAYO 2026'!Z27="POR RECOGER"),'MAYO 2026'!M27,"")</f>
        <v/>
      </c>
      <c r="H443" s="193" t="str">
        <f aca="false">IF(AND('MAYO 2026'!D27&lt;&gt;"",'MAYO 2026'!Z27="POR RECOGER"),'MAYO 2026'!N27,"")</f>
        <v/>
      </c>
      <c r="I443" s="192" t="str">
        <f aca="false">IF(AND('MAYO 2026'!D27&lt;&gt;"",'MAYO 2026'!Z27="POR RECOGER"),'MAYO 2026'!P27,"")</f>
        <v/>
      </c>
      <c r="J443" s="192" t="str">
        <f aca="false">IF(AND('MAYO 2026'!D27&lt;&gt;"",'MAYO 2026'!Z27="POR RECOGER"),'MAYO 2026'!Q27,"")</f>
        <v/>
      </c>
      <c r="K443" s="192" t="str">
        <f aca="false">IF(AND('MAYO 2026'!D27&lt;&gt;"",'MAYO 2026'!Z27="POR RECOGER"),'MAYO 2026'!Y27,"")</f>
        <v/>
      </c>
      <c r="L443" s="192" t="str">
        <f aca="false">IF(AND('MAYO 2026'!D27&lt;&gt;"",'MAYO 2026'!Z27="POR RECOGER"),'MAYO 2026'!I27,"")</f>
        <v/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" hidden="false" customHeight="true" outlineLevel="0" collapsed="false">
      <c r="A444" s="192" t="str">
        <f aca="false">IF(AND('MAYO 2026'!D28&lt;&gt;"",'MAYO 2026'!Z28="POR RECOGER"),"MAY","")</f>
        <v/>
      </c>
      <c r="B444" s="192" t="str">
        <f aca="false">IF(AND('MAYO 2026'!D28&lt;&gt;"",'MAYO 2026'!Z28="POR RECOGER"),IF('MAYO 2026'!Y28&lt;&gt;"",'MAYO 2026'!Y28,'MAYO 2026'!I28),"")</f>
        <v/>
      </c>
      <c r="C444" s="192" t="str">
        <f aca="false">IF(AND('MAYO 2026'!D28&lt;&gt;"",'MAYO 2026'!Z28="POR RECOGER"),'MAYO 2026'!D28,"")</f>
        <v/>
      </c>
      <c r="D444" s="192" t="str">
        <f aca="false">IF(AND('MAYO 2026'!D28&lt;&gt;"",'MAYO 2026'!Z28="POR RECOGER"),'MAYO 2026'!F28,"")</f>
        <v/>
      </c>
      <c r="E444" s="192" t="str">
        <f aca="false">IF(AND('MAYO 2026'!D28&lt;&gt;"",'MAYO 2026'!Z28="POR RECOGER"),TEXT('MAYO 2026'!G28,"DD/MM/YYYY"),"")</f>
        <v/>
      </c>
      <c r="F444" s="192" t="str">
        <f aca="false">IF(AND('MAYO 2026'!D28&lt;&gt;"",'MAYO 2026'!Z28="POR RECOGER"),'MAYO 2026'!K28,"")</f>
        <v/>
      </c>
      <c r="G444" s="193" t="str">
        <f aca="false">IF(AND('MAYO 2026'!D28&lt;&gt;"",'MAYO 2026'!Z28="POR RECOGER"),'MAYO 2026'!M28,"")</f>
        <v/>
      </c>
      <c r="H444" s="193" t="str">
        <f aca="false">IF(AND('MAYO 2026'!D28&lt;&gt;"",'MAYO 2026'!Z28="POR RECOGER"),'MAYO 2026'!N28,"")</f>
        <v/>
      </c>
      <c r="I444" s="192" t="str">
        <f aca="false">IF(AND('MAYO 2026'!D28&lt;&gt;"",'MAYO 2026'!Z28="POR RECOGER"),'MAYO 2026'!P28,"")</f>
        <v/>
      </c>
      <c r="J444" s="192" t="str">
        <f aca="false">IF(AND('MAYO 2026'!D28&lt;&gt;"",'MAYO 2026'!Z28="POR RECOGER"),'MAYO 2026'!Q28,"")</f>
        <v/>
      </c>
      <c r="K444" s="192" t="str">
        <f aca="false">IF(AND('MAYO 2026'!D28&lt;&gt;"",'MAYO 2026'!Z28="POR RECOGER"),'MAYO 2026'!Y28,"")</f>
        <v/>
      </c>
      <c r="L444" s="192" t="str">
        <f aca="false">IF(AND('MAYO 2026'!D28&lt;&gt;"",'MAYO 2026'!Z28="POR RECOGER"),'MAYO 2026'!I28,"")</f>
        <v/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" hidden="false" customHeight="true" outlineLevel="0" collapsed="false">
      <c r="A445" s="192" t="str">
        <f aca="false">IF(AND('MAYO 2026'!D29&lt;&gt;"",'MAYO 2026'!Z29="POR RECOGER"),"MAY","")</f>
        <v/>
      </c>
      <c r="B445" s="192" t="str">
        <f aca="false">IF(AND('MAYO 2026'!D29&lt;&gt;"",'MAYO 2026'!Z29="POR RECOGER"),IF('MAYO 2026'!Y29&lt;&gt;"",'MAYO 2026'!Y29,'MAYO 2026'!I29),"")</f>
        <v/>
      </c>
      <c r="C445" s="192" t="str">
        <f aca="false">IF(AND('MAYO 2026'!D29&lt;&gt;"",'MAYO 2026'!Z29="POR RECOGER"),'MAYO 2026'!D29,"")</f>
        <v/>
      </c>
      <c r="D445" s="192" t="str">
        <f aca="false">IF(AND('MAYO 2026'!D29&lt;&gt;"",'MAYO 2026'!Z29="POR RECOGER"),'MAYO 2026'!F29,"")</f>
        <v/>
      </c>
      <c r="E445" s="192" t="str">
        <f aca="false">IF(AND('MAYO 2026'!D29&lt;&gt;"",'MAYO 2026'!Z29="POR RECOGER"),TEXT('MAYO 2026'!G29,"DD/MM/YYYY"),"")</f>
        <v/>
      </c>
      <c r="F445" s="192" t="str">
        <f aca="false">IF(AND('MAYO 2026'!D29&lt;&gt;"",'MAYO 2026'!Z29="POR RECOGER"),'MAYO 2026'!K29,"")</f>
        <v/>
      </c>
      <c r="G445" s="193" t="str">
        <f aca="false">IF(AND('MAYO 2026'!D29&lt;&gt;"",'MAYO 2026'!Z29="POR RECOGER"),'MAYO 2026'!M29,"")</f>
        <v/>
      </c>
      <c r="H445" s="193" t="str">
        <f aca="false">IF(AND('MAYO 2026'!D29&lt;&gt;"",'MAYO 2026'!Z29="POR RECOGER"),'MAYO 2026'!N29,"")</f>
        <v/>
      </c>
      <c r="I445" s="192" t="str">
        <f aca="false">IF(AND('MAYO 2026'!D29&lt;&gt;"",'MAYO 2026'!Z29="POR RECOGER"),'MAYO 2026'!P29,"")</f>
        <v/>
      </c>
      <c r="J445" s="192" t="str">
        <f aca="false">IF(AND('MAYO 2026'!D29&lt;&gt;"",'MAYO 2026'!Z29="POR RECOGER"),'MAYO 2026'!Q29,"")</f>
        <v/>
      </c>
      <c r="K445" s="192" t="str">
        <f aca="false">IF(AND('MAYO 2026'!D29&lt;&gt;"",'MAYO 2026'!Z29="POR RECOGER"),'MAYO 2026'!Y29,"")</f>
        <v/>
      </c>
      <c r="L445" s="192" t="str">
        <f aca="false">IF(AND('MAYO 2026'!D29&lt;&gt;"",'MAYO 2026'!Z29="POR RECOGER"),'MAYO 2026'!I29,"")</f>
        <v/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" hidden="false" customHeight="true" outlineLevel="0" collapsed="false">
      <c r="A446" s="192" t="str">
        <f aca="false">IF(AND('MAYO 2026'!D30&lt;&gt;"",'MAYO 2026'!Z30="POR RECOGER"),"MAY","")</f>
        <v/>
      </c>
      <c r="B446" s="192" t="str">
        <f aca="false">IF(AND('MAYO 2026'!D30&lt;&gt;"",'MAYO 2026'!Z30="POR RECOGER"),IF('MAYO 2026'!Y30&lt;&gt;"",'MAYO 2026'!Y30,'MAYO 2026'!I30),"")</f>
        <v/>
      </c>
      <c r="C446" s="192" t="str">
        <f aca="false">IF(AND('MAYO 2026'!D30&lt;&gt;"",'MAYO 2026'!Z30="POR RECOGER"),'MAYO 2026'!D30,"")</f>
        <v/>
      </c>
      <c r="D446" s="192" t="str">
        <f aca="false">IF(AND('MAYO 2026'!D30&lt;&gt;"",'MAYO 2026'!Z30="POR RECOGER"),'MAYO 2026'!F30,"")</f>
        <v/>
      </c>
      <c r="E446" s="192" t="str">
        <f aca="false">IF(AND('MAYO 2026'!D30&lt;&gt;"",'MAYO 2026'!Z30="POR RECOGER"),TEXT('MAYO 2026'!G30,"DD/MM/YYYY"),"")</f>
        <v/>
      </c>
      <c r="F446" s="192" t="str">
        <f aca="false">IF(AND('MAYO 2026'!D30&lt;&gt;"",'MAYO 2026'!Z30="POR RECOGER"),'MAYO 2026'!K30,"")</f>
        <v/>
      </c>
      <c r="G446" s="193" t="str">
        <f aca="false">IF(AND('MAYO 2026'!D30&lt;&gt;"",'MAYO 2026'!Z30="POR RECOGER"),'MAYO 2026'!M30,"")</f>
        <v/>
      </c>
      <c r="H446" s="193" t="str">
        <f aca="false">IF(AND('MAYO 2026'!D30&lt;&gt;"",'MAYO 2026'!Z30="POR RECOGER"),'MAYO 2026'!N30,"")</f>
        <v/>
      </c>
      <c r="I446" s="192" t="str">
        <f aca="false">IF(AND('MAYO 2026'!D30&lt;&gt;"",'MAYO 2026'!Z30="POR RECOGER"),'MAYO 2026'!P30,"")</f>
        <v/>
      </c>
      <c r="J446" s="192" t="str">
        <f aca="false">IF(AND('MAYO 2026'!D30&lt;&gt;"",'MAYO 2026'!Z30="POR RECOGER"),'MAYO 2026'!Q30,"")</f>
        <v/>
      </c>
      <c r="K446" s="192" t="str">
        <f aca="false">IF(AND('MAYO 2026'!D30&lt;&gt;"",'MAYO 2026'!Z30="POR RECOGER"),'MAYO 2026'!Y30,"")</f>
        <v/>
      </c>
      <c r="L446" s="192" t="str">
        <f aca="false">IF(AND('MAYO 2026'!D30&lt;&gt;"",'MAYO 2026'!Z30="POR RECOGER"),'MAYO 2026'!I30,"")</f>
        <v/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" hidden="false" customHeight="true" outlineLevel="0" collapsed="false">
      <c r="A447" s="192" t="str">
        <f aca="false">IF(AND('MAYO 2026'!D31&lt;&gt;"",'MAYO 2026'!Z31="POR RECOGER"),"MAY","")</f>
        <v/>
      </c>
      <c r="B447" s="192" t="str">
        <f aca="false">IF(AND('MAYO 2026'!D31&lt;&gt;"",'MAYO 2026'!Z31="POR RECOGER"),IF('MAYO 2026'!Y31&lt;&gt;"",'MAYO 2026'!Y31,'MAYO 2026'!I31),"")</f>
        <v/>
      </c>
      <c r="C447" s="192" t="str">
        <f aca="false">IF(AND('MAYO 2026'!D31&lt;&gt;"",'MAYO 2026'!Z31="POR RECOGER"),'MAYO 2026'!D31,"")</f>
        <v/>
      </c>
      <c r="D447" s="192" t="str">
        <f aca="false">IF(AND('MAYO 2026'!D31&lt;&gt;"",'MAYO 2026'!Z31="POR RECOGER"),'MAYO 2026'!F31,"")</f>
        <v/>
      </c>
      <c r="E447" s="192" t="str">
        <f aca="false">IF(AND('MAYO 2026'!D31&lt;&gt;"",'MAYO 2026'!Z31="POR RECOGER"),TEXT('MAYO 2026'!G31,"DD/MM/YYYY"),"")</f>
        <v/>
      </c>
      <c r="F447" s="192" t="str">
        <f aca="false">IF(AND('MAYO 2026'!D31&lt;&gt;"",'MAYO 2026'!Z31="POR RECOGER"),'MAYO 2026'!K31,"")</f>
        <v/>
      </c>
      <c r="G447" s="193" t="str">
        <f aca="false">IF(AND('MAYO 2026'!D31&lt;&gt;"",'MAYO 2026'!Z31="POR RECOGER"),'MAYO 2026'!M31,"")</f>
        <v/>
      </c>
      <c r="H447" s="193" t="str">
        <f aca="false">IF(AND('MAYO 2026'!D31&lt;&gt;"",'MAYO 2026'!Z31="POR RECOGER"),'MAYO 2026'!N31,"")</f>
        <v/>
      </c>
      <c r="I447" s="192" t="str">
        <f aca="false">IF(AND('MAYO 2026'!D31&lt;&gt;"",'MAYO 2026'!Z31="POR RECOGER"),'MAYO 2026'!P31,"")</f>
        <v/>
      </c>
      <c r="J447" s="192" t="str">
        <f aca="false">IF(AND('MAYO 2026'!D31&lt;&gt;"",'MAYO 2026'!Z31="POR RECOGER"),'MAYO 2026'!Q31,"")</f>
        <v/>
      </c>
      <c r="K447" s="192" t="str">
        <f aca="false">IF(AND('MAYO 2026'!D31&lt;&gt;"",'MAYO 2026'!Z31="POR RECOGER"),'MAYO 2026'!Y31,"")</f>
        <v/>
      </c>
      <c r="L447" s="192" t="str">
        <f aca="false">IF(AND('MAYO 2026'!D31&lt;&gt;"",'MAYO 2026'!Z31="POR RECOGER"),'MAYO 2026'!I31,"")</f>
        <v/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" hidden="false" customHeight="true" outlineLevel="0" collapsed="false">
      <c r="A448" s="192" t="str">
        <f aca="false">IF(AND('MAYO 2026'!D32&lt;&gt;"",'MAYO 2026'!Z32="POR RECOGER"),"MAY","")</f>
        <v/>
      </c>
      <c r="B448" s="192" t="str">
        <f aca="false">IF(AND('MAYO 2026'!D32&lt;&gt;"",'MAYO 2026'!Z32="POR RECOGER"),IF('MAYO 2026'!Y32&lt;&gt;"",'MAYO 2026'!Y32,'MAYO 2026'!I32),"")</f>
        <v/>
      </c>
      <c r="C448" s="192" t="str">
        <f aca="false">IF(AND('MAYO 2026'!D32&lt;&gt;"",'MAYO 2026'!Z32="POR RECOGER"),'MAYO 2026'!D32,"")</f>
        <v/>
      </c>
      <c r="D448" s="192" t="str">
        <f aca="false">IF(AND('MAYO 2026'!D32&lt;&gt;"",'MAYO 2026'!Z32="POR RECOGER"),'MAYO 2026'!F32,"")</f>
        <v/>
      </c>
      <c r="E448" s="192" t="str">
        <f aca="false">IF(AND('MAYO 2026'!D32&lt;&gt;"",'MAYO 2026'!Z32="POR RECOGER"),TEXT('MAYO 2026'!G32,"DD/MM/YYYY"),"")</f>
        <v/>
      </c>
      <c r="F448" s="192" t="str">
        <f aca="false">IF(AND('MAYO 2026'!D32&lt;&gt;"",'MAYO 2026'!Z32="POR RECOGER"),'MAYO 2026'!K32,"")</f>
        <v/>
      </c>
      <c r="G448" s="193" t="str">
        <f aca="false">IF(AND('MAYO 2026'!D32&lt;&gt;"",'MAYO 2026'!Z32="POR RECOGER"),'MAYO 2026'!M32,"")</f>
        <v/>
      </c>
      <c r="H448" s="193" t="str">
        <f aca="false">IF(AND('MAYO 2026'!D32&lt;&gt;"",'MAYO 2026'!Z32="POR RECOGER"),'MAYO 2026'!N32,"")</f>
        <v/>
      </c>
      <c r="I448" s="192" t="str">
        <f aca="false">IF(AND('MAYO 2026'!D32&lt;&gt;"",'MAYO 2026'!Z32="POR RECOGER"),'MAYO 2026'!P32,"")</f>
        <v/>
      </c>
      <c r="J448" s="192" t="str">
        <f aca="false">IF(AND('MAYO 2026'!D32&lt;&gt;"",'MAYO 2026'!Z32="POR RECOGER"),'MAYO 2026'!Q32,"")</f>
        <v/>
      </c>
      <c r="K448" s="192" t="str">
        <f aca="false">IF(AND('MAYO 2026'!D32&lt;&gt;"",'MAYO 2026'!Z32="POR RECOGER"),'MAYO 2026'!Y32,"")</f>
        <v/>
      </c>
      <c r="L448" s="192" t="str">
        <f aca="false">IF(AND('MAYO 2026'!D32&lt;&gt;"",'MAYO 2026'!Z32="POR RECOGER"),'MAYO 2026'!I32,"")</f>
        <v/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" hidden="false" customHeight="true" outlineLevel="0" collapsed="false">
      <c r="A449" s="192" t="str">
        <f aca="false">IF(AND('MAYO 2026'!D33&lt;&gt;"",'MAYO 2026'!Z33="POR RECOGER"),"MAY","")</f>
        <v/>
      </c>
      <c r="B449" s="192" t="str">
        <f aca="false">IF(AND('MAYO 2026'!D33&lt;&gt;"",'MAYO 2026'!Z33="POR RECOGER"),IF('MAYO 2026'!Y33&lt;&gt;"",'MAYO 2026'!Y33,'MAYO 2026'!I33),"")</f>
        <v/>
      </c>
      <c r="C449" s="192" t="str">
        <f aca="false">IF(AND('MAYO 2026'!D33&lt;&gt;"",'MAYO 2026'!Z33="POR RECOGER"),'MAYO 2026'!D33,"")</f>
        <v/>
      </c>
      <c r="D449" s="192" t="str">
        <f aca="false">IF(AND('MAYO 2026'!D33&lt;&gt;"",'MAYO 2026'!Z33="POR RECOGER"),'MAYO 2026'!F33,"")</f>
        <v/>
      </c>
      <c r="E449" s="192" t="str">
        <f aca="false">IF(AND('MAYO 2026'!D33&lt;&gt;"",'MAYO 2026'!Z33="POR RECOGER"),TEXT('MAYO 2026'!G33,"DD/MM/YYYY"),"")</f>
        <v/>
      </c>
      <c r="F449" s="192" t="str">
        <f aca="false">IF(AND('MAYO 2026'!D33&lt;&gt;"",'MAYO 2026'!Z33="POR RECOGER"),'MAYO 2026'!K33,"")</f>
        <v/>
      </c>
      <c r="G449" s="193" t="str">
        <f aca="false">IF(AND('MAYO 2026'!D33&lt;&gt;"",'MAYO 2026'!Z33="POR RECOGER"),'MAYO 2026'!M33,"")</f>
        <v/>
      </c>
      <c r="H449" s="193" t="str">
        <f aca="false">IF(AND('MAYO 2026'!D33&lt;&gt;"",'MAYO 2026'!Z33="POR RECOGER"),'MAYO 2026'!N33,"")</f>
        <v/>
      </c>
      <c r="I449" s="192" t="str">
        <f aca="false">IF(AND('MAYO 2026'!D33&lt;&gt;"",'MAYO 2026'!Z33="POR RECOGER"),'MAYO 2026'!P33,"")</f>
        <v/>
      </c>
      <c r="J449" s="192" t="str">
        <f aca="false">IF(AND('MAYO 2026'!D33&lt;&gt;"",'MAYO 2026'!Z33="POR RECOGER"),'MAYO 2026'!Q33,"")</f>
        <v/>
      </c>
      <c r="K449" s="192" t="str">
        <f aca="false">IF(AND('MAYO 2026'!D33&lt;&gt;"",'MAYO 2026'!Z33="POR RECOGER"),'MAYO 2026'!Y33,"")</f>
        <v/>
      </c>
      <c r="L449" s="192" t="str">
        <f aca="false">IF(AND('MAYO 2026'!D33&lt;&gt;"",'MAYO 2026'!Z33="POR RECOGER"),'MAYO 2026'!I33,"")</f>
        <v/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" hidden="false" customHeight="true" outlineLevel="0" collapsed="false">
      <c r="A450" s="192" t="str">
        <f aca="false">IF(AND('MAYO 2026'!D34&lt;&gt;"",'MAYO 2026'!Z34="POR RECOGER"),"MAY","")</f>
        <v/>
      </c>
      <c r="B450" s="192" t="str">
        <f aca="false">IF(AND('MAYO 2026'!D34&lt;&gt;"",'MAYO 2026'!Z34="POR RECOGER"),IF('MAYO 2026'!Y34&lt;&gt;"",'MAYO 2026'!Y34,'MAYO 2026'!I34),"")</f>
        <v/>
      </c>
      <c r="C450" s="192" t="str">
        <f aca="false">IF(AND('MAYO 2026'!D34&lt;&gt;"",'MAYO 2026'!Z34="POR RECOGER"),'MAYO 2026'!D34,"")</f>
        <v/>
      </c>
      <c r="D450" s="192" t="str">
        <f aca="false">IF(AND('MAYO 2026'!D34&lt;&gt;"",'MAYO 2026'!Z34="POR RECOGER"),'MAYO 2026'!F34,"")</f>
        <v/>
      </c>
      <c r="E450" s="192" t="str">
        <f aca="false">IF(AND('MAYO 2026'!D34&lt;&gt;"",'MAYO 2026'!Z34="POR RECOGER"),TEXT('MAYO 2026'!G34,"DD/MM/YYYY"),"")</f>
        <v/>
      </c>
      <c r="F450" s="192" t="str">
        <f aca="false">IF(AND('MAYO 2026'!D34&lt;&gt;"",'MAYO 2026'!Z34="POR RECOGER"),'MAYO 2026'!K34,"")</f>
        <v/>
      </c>
      <c r="G450" s="193" t="str">
        <f aca="false">IF(AND('MAYO 2026'!D34&lt;&gt;"",'MAYO 2026'!Z34="POR RECOGER"),'MAYO 2026'!M34,"")</f>
        <v/>
      </c>
      <c r="H450" s="193" t="str">
        <f aca="false">IF(AND('MAYO 2026'!D34&lt;&gt;"",'MAYO 2026'!Z34="POR RECOGER"),'MAYO 2026'!N34,"")</f>
        <v/>
      </c>
      <c r="I450" s="192" t="str">
        <f aca="false">IF(AND('MAYO 2026'!D34&lt;&gt;"",'MAYO 2026'!Z34="POR RECOGER"),'MAYO 2026'!P34,"")</f>
        <v/>
      </c>
      <c r="J450" s="192" t="str">
        <f aca="false">IF(AND('MAYO 2026'!D34&lt;&gt;"",'MAYO 2026'!Z34="POR RECOGER"),'MAYO 2026'!Q34,"")</f>
        <v/>
      </c>
      <c r="K450" s="192" t="str">
        <f aca="false">IF(AND('MAYO 2026'!D34&lt;&gt;"",'MAYO 2026'!Z34="POR RECOGER"),'MAYO 2026'!Y34,"")</f>
        <v/>
      </c>
      <c r="L450" s="192" t="str">
        <f aca="false">IF(AND('MAYO 2026'!D34&lt;&gt;"",'MAYO 2026'!Z34="POR RECOGER"),'MAYO 2026'!I34,"")</f>
        <v/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" hidden="false" customHeight="true" outlineLevel="0" collapsed="false">
      <c r="A451" s="192" t="str">
        <f aca="false">IF(AND('MAYO 2026'!D35&lt;&gt;"",'MAYO 2026'!Z35="POR RECOGER"),"MAY","")</f>
        <v/>
      </c>
      <c r="B451" s="192" t="str">
        <f aca="false">IF(AND('MAYO 2026'!D35&lt;&gt;"",'MAYO 2026'!Z35="POR RECOGER"),IF('MAYO 2026'!Y35&lt;&gt;"",'MAYO 2026'!Y35,'MAYO 2026'!I35),"")</f>
        <v/>
      </c>
      <c r="C451" s="192" t="str">
        <f aca="false">IF(AND('MAYO 2026'!D35&lt;&gt;"",'MAYO 2026'!Z35="POR RECOGER"),'MAYO 2026'!D35,"")</f>
        <v/>
      </c>
      <c r="D451" s="192" t="str">
        <f aca="false">IF(AND('MAYO 2026'!D35&lt;&gt;"",'MAYO 2026'!Z35="POR RECOGER"),'MAYO 2026'!F35,"")</f>
        <v/>
      </c>
      <c r="E451" s="192" t="str">
        <f aca="false">IF(AND('MAYO 2026'!D35&lt;&gt;"",'MAYO 2026'!Z35="POR RECOGER"),TEXT('MAYO 2026'!G35,"DD/MM/YYYY"),"")</f>
        <v/>
      </c>
      <c r="F451" s="192" t="str">
        <f aca="false">IF(AND('MAYO 2026'!D35&lt;&gt;"",'MAYO 2026'!Z35="POR RECOGER"),'MAYO 2026'!K35,"")</f>
        <v/>
      </c>
      <c r="G451" s="193" t="str">
        <f aca="false">IF(AND('MAYO 2026'!D35&lt;&gt;"",'MAYO 2026'!Z35="POR RECOGER"),'MAYO 2026'!M35,"")</f>
        <v/>
      </c>
      <c r="H451" s="193" t="str">
        <f aca="false">IF(AND('MAYO 2026'!D35&lt;&gt;"",'MAYO 2026'!Z35="POR RECOGER"),'MAYO 2026'!N35,"")</f>
        <v/>
      </c>
      <c r="I451" s="192" t="str">
        <f aca="false">IF(AND('MAYO 2026'!D35&lt;&gt;"",'MAYO 2026'!Z35="POR RECOGER"),'MAYO 2026'!P35,"")</f>
        <v/>
      </c>
      <c r="J451" s="192" t="str">
        <f aca="false">IF(AND('MAYO 2026'!D35&lt;&gt;"",'MAYO 2026'!Z35="POR RECOGER"),'MAYO 2026'!Q35,"")</f>
        <v/>
      </c>
      <c r="K451" s="192" t="str">
        <f aca="false">IF(AND('MAYO 2026'!D35&lt;&gt;"",'MAYO 2026'!Z35="POR RECOGER"),'MAYO 2026'!Y35,"")</f>
        <v/>
      </c>
      <c r="L451" s="192" t="str">
        <f aca="false">IF(AND('MAYO 2026'!D35&lt;&gt;"",'MAYO 2026'!Z35="POR RECOGER"),'MAYO 2026'!I35,"")</f>
        <v/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" hidden="false" customHeight="true" outlineLevel="0" collapsed="false">
      <c r="A452" s="192" t="str">
        <f aca="false">IF(AND('MAYO 2026'!D36&lt;&gt;"",'MAYO 2026'!Z36="POR RECOGER"),"MAY","")</f>
        <v/>
      </c>
      <c r="B452" s="192" t="str">
        <f aca="false">IF(AND('MAYO 2026'!D36&lt;&gt;"",'MAYO 2026'!Z36="POR RECOGER"),IF('MAYO 2026'!Y36&lt;&gt;"",'MAYO 2026'!Y36,'MAYO 2026'!I36),"")</f>
        <v/>
      </c>
      <c r="C452" s="192" t="str">
        <f aca="false">IF(AND('MAYO 2026'!D36&lt;&gt;"",'MAYO 2026'!Z36="POR RECOGER"),'MAYO 2026'!D36,"")</f>
        <v/>
      </c>
      <c r="D452" s="192" t="str">
        <f aca="false">IF(AND('MAYO 2026'!D36&lt;&gt;"",'MAYO 2026'!Z36="POR RECOGER"),'MAYO 2026'!F36,"")</f>
        <v/>
      </c>
      <c r="E452" s="192" t="str">
        <f aca="false">IF(AND('MAYO 2026'!D36&lt;&gt;"",'MAYO 2026'!Z36="POR RECOGER"),TEXT('MAYO 2026'!G36,"DD/MM/YYYY"),"")</f>
        <v/>
      </c>
      <c r="F452" s="192" t="str">
        <f aca="false">IF(AND('MAYO 2026'!D36&lt;&gt;"",'MAYO 2026'!Z36="POR RECOGER"),'MAYO 2026'!K36,"")</f>
        <v/>
      </c>
      <c r="G452" s="193" t="str">
        <f aca="false">IF(AND('MAYO 2026'!D36&lt;&gt;"",'MAYO 2026'!Z36="POR RECOGER"),'MAYO 2026'!M36,"")</f>
        <v/>
      </c>
      <c r="H452" s="193" t="str">
        <f aca="false">IF(AND('MAYO 2026'!D36&lt;&gt;"",'MAYO 2026'!Z36="POR RECOGER"),'MAYO 2026'!N36,"")</f>
        <v/>
      </c>
      <c r="I452" s="192" t="str">
        <f aca="false">IF(AND('MAYO 2026'!D36&lt;&gt;"",'MAYO 2026'!Z36="POR RECOGER"),'MAYO 2026'!P36,"")</f>
        <v/>
      </c>
      <c r="J452" s="192" t="str">
        <f aca="false">IF(AND('MAYO 2026'!D36&lt;&gt;"",'MAYO 2026'!Z36="POR RECOGER"),'MAYO 2026'!Q36,"")</f>
        <v/>
      </c>
      <c r="K452" s="192" t="str">
        <f aca="false">IF(AND('MAYO 2026'!D36&lt;&gt;"",'MAYO 2026'!Z36="POR RECOGER"),'MAYO 2026'!Y36,"")</f>
        <v/>
      </c>
      <c r="L452" s="192" t="str">
        <f aca="false">IF(AND('MAYO 2026'!D36&lt;&gt;"",'MAYO 2026'!Z36="POR RECOGER"),'MAYO 2026'!I36,"")</f>
        <v/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" hidden="false" customHeight="true" outlineLevel="0" collapsed="false">
      <c r="A453" s="192" t="str">
        <f aca="false">IF(AND('MAYO 2026'!D37&lt;&gt;"",'MAYO 2026'!Z37="POR RECOGER"),"MAY","")</f>
        <v/>
      </c>
      <c r="B453" s="192" t="str">
        <f aca="false">IF(AND('MAYO 2026'!D37&lt;&gt;"",'MAYO 2026'!Z37="POR RECOGER"),IF('MAYO 2026'!Y37&lt;&gt;"",'MAYO 2026'!Y37,'MAYO 2026'!I37),"")</f>
        <v/>
      </c>
      <c r="C453" s="192" t="str">
        <f aca="false">IF(AND('MAYO 2026'!D37&lt;&gt;"",'MAYO 2026'!Z37="POR RECOGER"),'MAYO 2026'!D37,"")</f>
        <v/>
      </c>
      <c r="D453" s="192" t="str">
        <f aca="false">IF(AND('MAYO 2026'!D37&lt;&gt;"",'MAYO 2026'!Z37="POR RECOGER"),'MAYO 2026'!F37,"")</f>
        <v/>
      </c>
      <c r="E453" s="192" t="str">
        <f aca="false">IF(AND('MAYO 2026'!D37&lt;&gt;"",'MAYO 2026'!Z37="POR RECOGER"),TEXT('MAYO 2026'!G37,"DD/MM/YYYY"),"")</f>
        <v/>
      </c>
      <c r="F453" s="192" t="str">
        <f aca="false">IF(AND('MAYO 2026'!D37&lt;&gt;"",'MAYO 2026'!Z37="POR RECOGER"),'MAYO 2026'!K37,"")</f>
        <v/>
      </c>
      <c r="G453" s="193" t="str">
        <f aca="false">IF(AND('MAYO 2026'!D37&lt;&gt;"",'MAYO 2026'!Z37="POR RECOGER"),'MAYO 2026'!M37,"")</f>
        <v/>
      </c>
      <c r="H453" s="193" t="str">
        <f aca="false">IF(AND('MAYO 2026'!D37&lt;&gt;"",'MAYO 2026'!Z37="POR RECOGER"),'MAYO 2026'!N37,"")</f>
        <v/>
      </c>
      <c r="I453" s="192" t="str">
        <f aca="false">IF(AND('MAYO 2026'!D37&lt;&gt;"",'MAYO 2026'!Z37="POR RECOGER"),'MAYO 2026'!P37,"")</f>
        <v/>
      </c>
      <c r="J453" s="192" t="str">
        <f aca="false">IF(AND('MAYO 2026'!D37&lt;&gt;"",'MAYO 2026'!Z37="POR RECOGER"),'MAYO 2026'!Q37,"")</f>
        <v/>
      </c>
      <c r="K453" s="192" t="str">
        <f aca="false">IF(AND('MAYO 2026'!D37&lt;&gt;"",'MAYO 2026'!Z37="POR RECOGER"),'MAYO 2026'!Y37,"")</f>
        <v/>
      </c>
      <c r="L453" s="192" t="str">
        <f aca="false">IF(AND('MAYO 2026'!D37&lt;&gt;"",'MAYO 2026'!Z37="POR RECOGER"),'MAYO 2026'!I37,"")</f>
        <v/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" hidden="false" customHeight="true" outlineLevel="0" collapsed="false">
      <c r="A454" s="192" t="str">
        <f aca="false">IF(AND('MAYO 2026'!D38&lt;&gt;"",'MAYO 2026'!Z38="POR RECOGER"),"MAY","")</f>
        <v/>
      </c>
      <c r="B454" s="192" t="str">
        <f aca="false">IF(AND('MAYO 2026'!D38&lt;&gt;"",'MAYO 2026'!Z38="POR RECOGER"),IF('MAYO 2026'!Y38&lt;&gt;"",'MAYO 2026'!Y38,'MAYO 2026'!I38),"")</f>
        <v/>
      </c>
      <c r="C454" s="192" t="str">
        <f aca="false">IF(AND('MAYO 2026'!D38&lt;&gt;"",'MAYO 2026'!Z38="POR RECOGER"),'MAYO 2026'!D38,"")</f>
        <v/>
      </c>
      <c r="D454" s="192" t="str">
        <f aca="false">IF(AND('MAYO 2026'!D38&lt;&gt;"",'MAYO 2026'!Z38="POR RECOGER"),'MAYO 2026'!F38,"")</f>
        <v/>
      </c>
      <c r="E454" s="192" t="str">
        <f aca="false">IF(AND('MAYO 2026'!D38&lt;&gt;"",'MAYO 2026'!Z38="POR RECOGER"),TEXT('MAYO 2026'!G38,"DD/MM/YYYY"),"")</f>
        <v/>
      </c>
      <c r="F454" s="192" t="str">
        <f aca="false">IF(AND('MAYO 2026'!D38&lt;&gt;"",'MAYO 2026'!Z38="POR RECOGER"),'MAYO 2026'!K38,"")</f>
        <v/>
      </c>
      <c r="G454" s="193" t="str">
        <f aca="false">IF(AND('MAYO 2026'!D38&lt;&gt;"",'MAYO 2026'!Z38="POR RECOGER"),'MAYO 2026'!M38,"")</f>
        <v/>
      </c>
      <c r="H454" s="193" t="str">
        <f aca="false">IF(AND('MAYO 2026'!D38&lt;&gt;"",'MAYO 2026'!Z38="POR RECOGER"),'MAYO 2026'!N38,"")</f>
        <v/>
      </c>
      <c r="I454" s="192" t="str">
        <f aca="false">IF(AND('MAYO 2026'!D38&lt;&gt;"",'MAYO 2026'!Z38="POR RECOGER"),'MAYO 2026'!P38,"")</f>
        <v/>
      </c>
      <c r="J454" s="192" t="str">
        <f aca="false">IF(AND('MAYO 2026'!D38&lt;&gt;"",'MAYO 2026'!Z38="POR RECOGER"),'MAYO 2026'!Q38,"")</f>
        <v/>
      </c>
      <c r="K454" s="192" t="str">
        <f aca="false">IF(AND('MAYO 2026'!D38&lt;&gt;"",'MAYO 2026'!Z38="POR RECOGER"),'MAYO 2026'!Y38,"")</f>
        <v/>
      </c>
      <c r="L454" s="192" t="str">
        <f aca="false">IF(AND('MAYO 2026'!D38&lt;&gt;"",'MAYO 2026'!Z38="POR RECOGER"),'MAYO 2026'!I38,"")</f>
        <v/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" hidden="false" customHeight="true" outlineLevel="0" collapsed="false">
      <c r="A455" s="192" t="str">
        <f aca="false">IF(AND('MAYO 2026'!D39&lt;&gt;"",'MAYO 2026'!Z39="POR RECOGER"),"MAY","")</f>
        <v/>
      </c>
      <c r="B455" s="192" t="str">
        <f aca="false">IF(AND('MAYO 2026'!D39&lt;&gt;"",'MAYO 2026'!Z39="POR RECOGER"),IF('MAYO 2026'!Y39&lt;&gt;"",'MAYO 2026'!Y39,'MAYO 2026'!I39),"")</f>
        <v/>
      </c>
      <c r="C455" s="192" t="str">
        <f aca="false">IF(AND('MAYO 2026'!D39&lt;&gt;"",'MAYO 2026'!Z39="POR RECOGER"),'MAYO 2026'!D39,"")</f>
        <v/>
      </c>
      <c r="D455" s="192" t="str">
        <f aca="false">IF(AND('MAYO 2026'!D39&lt;&gt;"",'MAYO 2026'!Z39="POR RECOGER"),'MAYO 2026'!F39,"")</f>
        <v/>
      </c>
      <c r="E455" s="192" t="str">
        <f aca="false">IF(AND('MAYO 2026'!D39&lt;&gt;"",'MAYO 2026'!Z39="POR RECOGER"),TEXT('MAYO 2026'!G39,"DD/MM/YYYY"),"")</f>
        <v/>
      </c>
      <c r="F455" s="192" t="str">
        <f aca="false">IF(AND('MAYO 2026'!D39&lt;&gt;"",'MAYO 2026'!Z39="POR RECOGER"),'MAYO 2026'!K39,"")</f>
        <v/>
      </c>
      <c r="G455" s="193" t="str">
        <f aca="false">IF(AND('MAYO 2026'!D39&lt;&gt;"",'MAYO 2026'!Z39="POR RECOGER"),'MAYO 2026'!M39,"")</f>
        <v/>
      </c>
      <c r="H455" s="193" t="str">
        <f aca="false">IF(AND('MAYO 2026'!D39&lt;&gt;"",'MAYO 2026'!Z39="POR RECOGER"),'MAYO 2026'!N39,"")</f>
        <v/>
      </c>
      <c r="I455" s="192" t="str">
        <f aca="false">IF(AND('MAYO 2026'!D39&lt;&gt;"",'MAYO 2026'!Z39="POR RECOGER"),'MAYO 2026'!P39,"")</f>
        <v/>
      </c>
      <c r="J455" s="192" t="str">
        <f aca="false">IF(AND('MAYO 2026'!D39&lt;&gt;"",'MAYO 2026'!Z39="POR RECOGER"),'MAYO 2026'!Q39,"")</f>
        <v/>
      </c>
      <c r="K455" s="192" t="str">
        <f aca="false">IF(AND('MAYO 2026'!D39&lt;&gt;"",'MAYO 2026'!Z39="POR RECOGER"),'MAYO 2026'!Y39,"")</f>
        <v/>
      </c>
      <c r="L455" s="192" t="str">
        <f aca="false">IF(AND('MAYO 2026'!D39&lt;&gt;"",'MAYO 2026'!Z39="POR RECOGER"),'MAYO 2026'!I39,"")</f>
        <v/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" hidden="false" customHeight="true" outlineLevel="0" collapsed="false">
      <c r="A456" s="192" t="str">
        <f aca="false">IF(AND('MAYO 2026'!D40&lt;&gt;"",'MAYO 2026'!Z40="POR RECOGER"),"MAY","")</f>
        <v/>
      </c>
      <c r="B456" s="192" t="str">
        <f aca="false">IF(AND('MAYO 2026'!D40&lt;&gt;"",'MAYO 2026'!Z40="POR RECOGER"),IF('MAYO 2026'!Y40&lt;&gt;"",'MAYO 2026'!Y40,'MAYO 2026'!I40),"")</f>
        <v/>
      </c>
      <c r="C456" s="192" t="str">
        <f aca="false">IF(AND('MAYO 2026'!D40&lt;&gt;"",'MAYO 2026'!Z40="POR RECOGER"),'MAYO 2026'!D40,"")</f>
        <v/>
      </c>
      <c r="D456" s="192" t="str">
        <f aca="false">IF(AND('MAYO 2026'!D40&lt;&gt;"",'MAYO 2026'!Z40="POR RECOGER"),'MAYO 2026'!F40,"")</f>
        <v/>
      </c>
      <c r="E456" s="192" t="str">
        <f aca="false">IF(AND('MAYO 2026'!D40&lt;&gt;"",'MAYO 2026'!Z40="POR RECOGER"),TEXT('MAYO 2026'!G40,"DD/MM/YYYY"),"")</f>
        <v/>
      </c>
      <c r="F456" s="192" t="str">
        <f aca="false">IF(AND('MAYO 2026'!D40&lt;&gt;"",'MAYO 2026'!Z40="POR RECOGER"),'MAYO 2026'!K40,"")</f>
        <v/>
      </c>
      <c r="G456" s="193" t="str">
        <f aca="false">IF(AND('MAYO 2026'!D40&lt;&gt;"",'MAYO 2026'!Z40="POR RECOGER"),'MAYO 2026'!M40,"")</f>
        <v/>
      </c>
      <c r="H456" s="193" t="str">
        <f aca="false">IF(AND('MAYO 2026'!D40&lt;&gt;"",'MAYO 2026'!Z40="POR RECOGER"),'MAYO 2026'!N40,"")</f>
        <v/>
      </c>
      <c r="I456" s="192" t="str">
        <f aca="false">IF(AND('MAYO 2026'!D40&lt;&gt;"",'MAYO 2026'!Z40="POR RECOGER"),'MAYO 2026'!P40,"")</f>
        <v/>
      </c>
      <c r="J456" s="192" t="str">
        <f aca="false">IF(AND('MAYO 2026'!D40&lt;&gt;"",'MAYO 2026'!Z40="POR RECOGER"),'MAYO 2026'!Q40,"")</f>
        <v/>
      </c>
      <c r="K456" s="192" t="str">
        <f aca="false">IF(AND('MAYO 2026'!D40&lt;&gt;"",'MAYO 2026'!Z40="POR RECOGER"),'MAYO 2026'!Y40,"")</f>
        <v/>
      </c>
      <c r="L456" s="192" t="str">
        <f aca="false">IF(AND('MAYO 2026'!D40&lt;&gt;"",'MAYO 2026'!Z40="POR RECOGER"),'MAYO 2026'!I40,"")</f>
        <v/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" hidden="false" customHeight="true" outlineLevel="0" collapsed="false">
      <c r="A457" s="192" t="str">
        <f aca="false">IF(AND('MAYO 2026'!D41&lt;&gt;"",'MAYO 2026'!Z41="POR RECOGER"),"MAY","")</f>
        <v/>
      </c>
      <c r="B457" s="192" t="str">
        <f aca="false">IF(AND('MAYO 2026'!D41&lt;&gt;"",'MAYO 2026'!Z41="POR RECOGER"),IF('MAYO 2026'!Y41&lt;&gt;"",'MAYO 2026'!Y41,'MAYO 2026'!I41),"")</f>
        <v/>
      </c>
      <c r="C457" s="192" t="str">
        <f aca="false">IF(AND('MAYO 2026'!D41&lt;&gt;"",'MAYO 2026'!Z41="POR RECOGER"),'MAYO 2026'!D41,"")</f>
        <v/>
      </c>
      <c r="D457" s="192" t="str">
        <f aca="false">IF(AND('MAYO 2026'!D41&lt;&gt;"",'MAYO 2026'!Z41="POR RECOGER"),'MAYO 2026'!F41,"")</f>
        <v/>
      </c>
      <c r="E457" s="192" t="str">
        <f aca="false">IF(AND('MAYO 2026'!D41&lt;&gt;"",'MAYO 2026'!Z41="POR RECOGER"),TEXT('MAYO 2026'!G41,"DD/MM/YYYY"),"")</f>
        <v/>
      </c>
      <c r="F457" s="192" t="str">
        <f aca="false">IF(AND('MAYO 2026'!D41&lt;&gt;"",'MAYO 2026'!Z41="POR RECOGER"),'MAYO 2026'!K41,"")</f>
        <v/>
      </c>
      <c r="G457" s="193" t="str">
        <f aca="false">IF(AND('MAYO 2026'!D41&lt;&gt;"",'MAYO 2026'!Z41="POR RECOGER"),'MAYO 2026'!M41,"")</f>
        <v/>
      </c>
      <c r="H457" s="193" t="str">
        <f aca="false">IF(AND('MAYO 2026'!D41&lt;&gt;"",'MAYO 2026'!Z41="POR RECOGER"),'MAYO 2026'!N41,"")</f>
        <v/>
      </c>
      <c r="I457" s="192" t="str">
        <f aca="false">IF(AND('MAYO 2026'!D41&lt;&gt;"",'MAYO 2026'!Z41="POR RECOGER"),'MAYO 2026'!P41,"")</f>
        <v/>
      </c>
      <c r="J457" s="192" t="str">
        <f aca="false">IF(AND('MAYO 2026'!D41&lt;&gt;"",'MAYO 2026'!Z41="POR RECOGER"),'MAYO 2026'!Q41,"")</f>
        <v/>
      </c>
      <c r="K457" s="192" t="str">
        <f aca="false">IF(AND('MAYO 2026'!D41&lt;&gt;"",'MAYO 2026'!Z41="POR RECOGER"),'MAYO 2026'!Y41,"")</f>
        <v/>
      </c>
      <c r="L457" s="192" t="str">
        <f aca="false">IF(AND('MAYO 2026'!D41&lt;&gt;"",'MAYO 2026'!Z41="POR RECOGER"),'MAYO 2026'!I41,"")</f>
        <v/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" hidden="false" customHeight="true" outlineLevel="0" collapsed="false">
      <c r="A458" s="192" t="str">
        <f aca="false">IF(AND('MAYO 2026'!D42&lt;&gt;"",'MAYO 2026'!Z42="POR RECOGER"),"MAY","")</f>
        <v/>
      </c>
      <c r="B458" s="192" t="str">
        <f aca="false">IF(AND('MAYO 2026'!D42&lt;&gt;"",'MAYO 2026'!Z42="POR RECOGER"),IF('MAYO 2026'!Y42&lt;&gt;"",'MAYO 2026'!Y42,'MAYO 2026'!I42),"")</f>
        <v/>
      </c>
      <c r="C458" s="192" t="str">
        <f aca="false">IF(AND('MAYO 2026'!D42&lt;&gt;"",'MAYO 2026'!Z42="POR RECOGER"),'MAYO 2026'!D42,"")</f>
        <v/>
      </c>
      <c r="D458" s="192" t="str">
        <f aca="false">IF(AND('MAYO 2026'!D42&lt;&gt;"",'MAYO 2026'!Z42="POR RECOGER"),'MAYO 2026'!F42,"")</f>
        <v/>
      </c>
      <c r="E458" s="192" t="str">
        <f aca="false">IF(AND('MAYO 2026'!D42&lt;&gt;"",'MAYO 2026'!Z42="POR RECOGER"),TEXT('MAYO 2026'!G42,"DD/MM/YYYY"),"")</f>
        <v/>
      </c>
      <c r="F458" s="192" t="str">
        <f aca="false">IF(AND('MAYO 2026'!D42&lt;&gt;"",'MAYO 2026'!Z42="POR RECOGER"),'MAYO 2026'!K42,"")</f>
        <v/>
      </c>
      <c r="G458" s="193" t="str">
        <f aca="false">IF(AND('MAYO 2026'!D42&lt;&gt;"",'MAYO 2026'!Z42="POR RECOGER"),'MAYO 2026'!M42,"")</f>
        <v/>
      </c>
      <c r="H458" s="193" t="str">
        <f aca="false">IF(AND('MAYO 2026'!D42&lt;&gt;"",'MAYO 2026'!Z42="POR RECOGER"),'MAYO 2026'!N42,"")</f>
        <v/>
      </c>
      <c r="I458" s="192" t="str">
        <f aca="false">IF(AND('MAYO 2026'!D42&lt;&gt;"",'MAYO 2026'!Z42="POR RECOGER"),'MAYO 2026'!P42,"")</f>
        <v/>
      </c>
      <c r="J458" s="192" t="str">
        <f aca="false">IF(AND('MAYO 2026'!D42&lt;&gt;"",'MAYO 2026'!Z42="POR RECOGER"),'MAYO 2026'!Q42,"")</f>
        <v/>
      </c>
      <c r="K458" s="192" t="str">
        <f aca="false">IF(AND('MAYO 2026'!D42&lt;&gt;"",'MAYO 2026'!Z42="POR RECOGER"),'MAYO 2026'!Y42,"")</f>
        <v/>
      </c>
      <c r="L458" s="192" t="str">
        <f aca="false">IF(AND('MAYO 2026'!D42&lt;&gt;"",'MAYO 2026'!Z42="POR RECOGER"),'MAYO 2026'!I42,"")</f>
        <v/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" hidden="false" customHeight="true" outlineLevel="0" collapsed="false">
      <c r="A459" s="192" t="str">
        <f aca="false">IF(AND('MAYO 2026'!D43&lt;&gt;"",'MAYO 2026'!Z43="POR RECOGER"),"MAY","")</f>
        <v/>
      </c>
      <c r="B459" s="192" t="str">
        <f aca="false">IF(AND('MAYO 2026'!D43&lt;&gt;"",'MAYO 2026'!Z43="POR RECOGER"),IF('MAYO 2026'!Y43&lt;&gt;"",'MAYO 2026'!Y43,'MAYO 2026'!I43),"")</f>
        <v/>
      </c>
      <c r="C459" s="192" t="str">
        <f aca="false">IF(AND('MAYO 2026'!D43&lt;&gt;"",'MAYO 2026'!Z43="POR RECOGER"),'MAYO 2026'!D43,"")</f>
        <v/>
      </c>
      <c r="D459" s="192" t="str">
        <f aca="false">IF(AND('MAYO 2026'!D43&lt;&gt;"",'MAYO 2026'!Z43="POR RECOGER"),'MAYO 2026'!F43,"")</f>
        <v/>
      </c>
      <c r="E459" s="192" t="str">
        <f aca="false">IF(AND('MAYO 2026'!D43&lt;&gt;"",'MAYO 2026'!Z43="POR RECOGER"),TEXT('MAYO 2026'!G43,"DD/MM/YYYY"),"")</f>
        <v/>
      </c>
      <c r="F459" s="192" t="str">
        <f aca="false">IF(AND('MAYO 2026'!D43&lt;&gt;"",'MAYO 2026'!Z43="POR RECOGER"),'MAYO 2026'!K43,"")</f>
        <v/>
      </c>
      <c r="G459" s="193" t="str">
        <f aca="false">IF(AND('MAYO 2026'!D43&lt;&gt;"",'MAYO 2026'!Z43="POR RECOGER"),'MAYO 2026'!M43,"")</f>
        <v/>
      </c>
      <c r="H459" s="193" t="str">
        <f aca="false">IF(AND('MAYO 2026'!D43&lt;&gt;"",'MAYO 2026'!Z43="POR RECOGER"),'MAYO 2026'!N43,"")</f>
        <v/>
      </c>
      <c r="I459" s="192" t="str">
        <f aca="false">IF(AND('MAYO 2026'!D43&lt;&gt;"",'MAYO 2026'!Z43="POR RECOGER"),'MAYO 2026'!P43,"")</f>
        <v/>
      </c>
      <c r="J459" s="192" t="str">
        <f aca="false">IF(AND('MAYO 2026'!D43&lt;&gt;"",'MAYO 2026'!Z43="POR RECOGER"),'MAYO 2026'!Q43,"")</f>
        <v/>
      </c>
      <c r="K459" s="192" t="str">
        <f aca="false">IF(AND('MAYO 2026'!D43&lt;&gt;"",'MAYO 2026'!Z43="POR RECOGER"),'MAYO 2026'!Y43,"")</f>
        <v/>
      </c>
      <c r="L459" s="192" t="str">
        <f aca="false">IF(AND('MAYO 2026'!D43&lt;&gt;"",'MAYO 2026'!Z43="POR RECOGER"),'MAYO 2026'!I43,"")</f>
        <v/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" hidden="false" customHeight="true" outlineLevel="0" collapsed="false">
      <c r="A460" s="192" t="str">
        <f aca="false">IF(AND('MAYO 2026'!D44&lt;&gt;"",'MAYO 2026'!Z44="POR RECOGER"),"MAY","")</f>
        <v/>
      </c>
      <c r="B460" s="192" t="str">
        <f aca="false">IF(AND('MAYO 2026'!D44&lt;&gt;"",'MAYO 2026'!Z44="POR RECOGER"),IF('MAYO 2026'!Y44&lt;&gt;"",'MAYO 2026'!Y44,'MAYO 2026'!I44),"")</f>
        <v/>
      </c>
      <c r="C460" s="192" t="str">
        <f aca="false">IF(AND('MAYO 2026'!D44&lt;&gt;"",'MAYO 2026'!Z44="POR RECOGER"),'MAYO 2026'!D44,"")</f>
        <v/>
      </c>
      <c r="D460" s="192" t="str">
        <f aca="false">IF(AND('MAYO 2026'!D44&lt;&gt;"",'MAYO 2026'!Z44="POR RECOGER"),'MAYO 2026'!F44,"")</f>
        <v/>
      </c>
      <c r="E460" s="192" t="str">
        <f aca="false">IF(AND('MAYO 2026'!D44&lt;&gt;"",'MAYO 2026'!Z44="POR RECOGER"),TEXT('MAYO 2026'!G44,"DD/MM/YYYY"),"")</f>
        <v/>
      </c>
      <c r="F460" s="192" t="str">
        <f aca="false">IF(AND('MAYO 2026'!D44&lt;&gt;"",'MAYO 2026'!Z44="POR RECOGER"),'MAYO 2026'!K44,"")</f>
        <v/>
      </c>
      <c r="G460" s="193" t="str">
        <f aca="false">IF(AND('MAYO 2026'!D44&lt;&gt;"",'MAYO 2026'!Z44="POR RECOGER"),'MAYO 2026'!M44,"")</f>
        <v/>
      </c>
      <c r="H460" s="193" t="str">
        <f aca="false">IF(AND('MAYO 2026'!D44&lt;&gt;"",'MAYO 2026'!Z44="POR RECOGER"),'MAYO 2026'!N44,"")</f>
        <v/>
      </c>
      <c r="I460" s="192" t="str">
        <f aca="false">IF(AND('MAYO 2026'!D44&lt;&gt;"",'MAYO 2026'!Z44="POR RECOGER"),'MAYO 2026'!P44,"")</f>
        <v/>
      </c>
      <c r="J460" s="192" t="str">
        <f aca="false">IF(AND('MAYO 2026'!D44&lt;&gt;"",'MAYO 2026'!Z44="POR RECOGER"),'MAYO 2026'!Q44,"")</f>
        <v/>
      </c>
      <c r="K460" s="192" t="str">
        <f aca="false">IF(AND('MAYO 2026'!D44&lt;&gt;"",'MAYO 2026'!Z44="POR RECOGER"),'MAYO 2026'!Y44,"")</f>
        <v/>
      </c>
      <c r="L460" s="192" t="str">
        <f aca="false">IF(AND('MAYO 2026'!D44&lt;&gt;"",'MAYO 2026'!Z44="POR RECOGER"),'MAYO 2026'!I44,"")</f>
        <v/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" hidden="false" customHeight="true" outlineLevel="0" collapsed="false">
      <c r="A461" s="192" t="str">
        <f aca="false">IF(AND('MAYO 2026'!D45&lt;&gt;"",'MAYO 2026'!Z45="POR RECOGER"),"MAY","")</f>
        <v/>
      </c>
      <c r="B461" s="192" t="str">
        <f aca="false">IF(AND('MAYO 2026'!D45&lt;&gt;"",'MAYO 2026'!Z45="POR RECOGER"),IF('MAYO 2026'!Y45&lt;&gt;"",'MAYO 2026'!Y45,'MAYO 2026'!I45),"")</f>
        <v/>
      </c>
      <c r="C461" s="192" t="str">
        <f aca="false">IF(AND('MAYO 2026'!D45&lt;&gt;"",'MAYO 2026'!Z45="POR RECOGER"),'MAYO 2026'!D45,"")</f>
        <v/>
      </c>
      <c r="D461" s="192" t="str">
        <f aca="false">IF(AND('MAYO 2026'!D45&lt;&gt;"",'MAYO 2026'!Z45="POR RECOGER"),'MAYO 2026'!F45,"")</f>
        <v/>
      </c>
      <c r="E461" s="192" t="str">
        <f aca="false">IF(AND('MAYO 2026'!D45&lt;&gt;"",'MAYO 2026'!Z45="POR RECOGER"),TEXT('MAYO 2026'!G45,"DD/MM/YYYY"),"")</f>
        <v/>
      </c>
      <c r="F461" s="192" t="str">
        <f aca="false">IF(AND('MAYO 2026'!D45&lt;&gt;"",'MAYO 2026'!Z45="POR RECOGER"),'MAYO 2026'!K45,"")</f>
        <v/>
      </c>
      <c r="G461" s="193" t="str">
        <f aca="false">IF(AND('MAYO 2026'!D45&lt;&gt;"",'MAYO 2026'!Z45="POR RECOGER"),'MAYO 2026'!M45,"")</f>
        <v/>
      </c>
      <c r="H461" s="193" t="str">
        <f aca="false">IF(AND('MAYO 2026'!D45&lt;&gt;"",'MAYO 2026'!Z45="POR RECOGER"),'MAYO 2026'!N45,"")</f>
        <v/>
      </c>
      <c r="I461" s="192" t="str">
        <f aca="false">IF(AND('MAYO 2026'!D45&lt;&gt;"",'MAYO 2026'!Z45="POR RECOGER"),'MAYO 2026'!P45,"")</f>
        <v/>
      </c>
      <c r="J461" s="192" t="str">
        <f aca="false">IF(AND('MAYO 2026'!D45&lt;&gt;"",'MAYO 2026'!Z45="POR RECOGER"),'MAYO 2026'!Q45,"")</f>
        <v/>
      </c>
      <c r="K461" s="192" t="str">
        <f aca="false">IF(AND('MAYO 2026'!D45&lt;&gt;"",'MAYO 2026'!Z45="POR RECOGER"),'MAYO 2026'!Y45,"")</f>
        <v/>
      </c>
      <c r="L461" s="192" t="str">
        <f aca="false">IF(AND('MAYO 2026'!D45&lt;&gt;"",'MAYO 2026'!Z45="POR RECOGER"),'MAYO 2026'!I45,"")</f>
        <v/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" hidden="false" customHeight="true" outlineLevel="0" collapsed="false">
      <c r="A462" s="192" t="str">
        <f aca="false">IF(AND('MAYO 2026'!D46&lt;&gt;"",'MAYO 2026'!Z46="POR RECOGER"),"MAY","")</f>
        <v/>
      </c>
      <c r="B462" s="192" t="str">
        <f aca="false">IF(AND('MAYO 2026'!D46&lt;&gt;"",'MAYO 2026'!Z46="POR RECOGER"),IF('MAYO 2026'!Y46&lt;&gt;"",'MAYO 2026'!Y46,'MAYO 2026'!I46),"")</f>
        <v/>
      </c>
      <c r="C462" s="192" t="str">
        <f aca="false">IF(AND('MAYO 2026'!D46&lt;&gt;"",'MAYO 2026'!Z46="POR RECOGER"),'MAYO 2026'!D46,"")</f>
        <v/>
      </c>
      <c r="D462" s="192" t="str">
        <f aca="false">IF(AND('MAYO 2026'!D46&lt;&gt;"",'MAYO 2026'!Z46="POR RECOGER"),'MAYO 2026'!F46,"")</f>
        <v/>
      </c>
      <c r="E462" s="192" t="str">
        <f aca="false">IF(AND('MAYO 2026'!D46&lt;&gt;"",'MAYO 2026'!Z46="POR RECOGER"),TEXT('MAYO 2026'!G46,"DD/MM/YYYY"),"")</f>
        <v/>
      </c>
      <c r="F462" s="192" t="str">
        <f aca="false">IF(AND('MAYO 2026'!D46&lt;&gt;"",'MAYO 2026'!Z46="POR RECOGER"),'MAYO 2026'!K46,"")</f>
        <v/>
      </c>
      <c r="G462" s="193" t="str">
        <f aca="false">IF(AND('MAYO 2026'!D46&lt;&gt;"",'MAYO 2026'!Z46="POR RECOGER"),'MAYO 2026'!M46,"")</f>
        <v/>
      </c>
      <c r="H462" s="193" t="str">
        <f aca="false">IF(AND('MAYO 2026'!D46&lt;&gt;"",'MAYO 2026'!Z46="POR RECOGER"),'MAYO 2026'!N46,"")</f>
        <v/>
      </c>
      <c r="I462" s="192" t="str">
        <f aca="false">IF(AND('MAYO 2026'!D46&lt;&gt;"",'MAYO 2026'!Z46="POR RECOGER"),'MAYO 2026'!P46,"")</f>
        <v/>
      </c>
      <c r="J462" s="192" t="str">
        <f aca="false">IF(AND('MAYO 2026'!D46&lt;&gt;"",'MAYO 2026'!Z46="POR RECOGER"),'MAYO 2026'!Q46,"")</f>
        <v/>
      </c>
      <c r="K462" s="192" t="str">
        <f aca="false">IF(AND('MAYO 2026'!D46&lt;&gt;"",'MAYO 2026'!Z46="POR RECOGER"),'MAYO 2026'!Y46,"")</f>
        <v/>
      </c>
      <c r="L462" s="192" t="str">
        <f aca="false">IF(AND('MAYO 2026'!D46&lt;&gt;"",'MAYO 2026'!Z46="POR RECOGER"),'MAYO 2026'!I46,"")</f>
        <v/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" hidden="false" customHeight="true" outlineLevel="0" collapsed="false">
      <c r="A463" s="192" t="str">
        <f aca="false">IF(AND('MAYO 2026'!D47&lt;&gt;"",'MAYO 2026'!Z47="POR RECOGER"),"MAY","")</f>
        <v/>
      </c>
      <c r="B463" s="192" t="str">
        <f aca="false">IF(AND('MAYO 2026'!D47&lt;&gt;"",'MAYO 2026'!Z47="POR RECOGER"),IF('MAYO 2026'!Y47&lt;&gt;"",'MAYO 2026'!Y47,'MAYO 2026'!I47),"")</f>
        <v/>
      </c>
      <c r="C463" s="192" t="str">
        <f aca="false">IF(AND('MAYO 2026'!D47&lt;&gt;"",'MAYO 2026'!Z47="POR RECOGER"),'MAYO 2026'!D47,"")</f>
        <v/>
      </c>
      <c r="D463" s="192" t="str">
        <f aca="false">IF(AND('MAYO 2026'!D47&lt;&gt;"",'MAYO 2026'!Z47="POR RECOGER"),'MAYO 2026'!F47,"")</f>
        <v/>
      </c>
      <c r="E463" s="192" t="str">
        <f aca="false">IF(AND('MAYO 2026'!D47&lt;&gt;"",'MAYO 2026'!Z47="POR RECOGER"),TEXT('MAYO 2026'!G47,"DD/MM/YYYY"),"")</f>
        <v/>
      </c>
      <c r="F463" s="192" t="str">
        <f aca="false">IF(AND('MAYO 2026'!D47&lt;&gt;"",'MAYO 2026'!Z47="POR RECOGER"),'MAYO 2026'!K47,"")</f>
        <v/>
      </c>
      <c r="G463" s="193" t="str">
        <f aca="false">IF(AND('MAYO 2026'!D47&lt;&gt;"",'MAYO 2026'!Z47="POR RECOGER"),'MAYO 2026'!M47,"")</f>
        <v/>
      </c>
      <c r="H463" s="193" t="str">
        <f aca="false">IF(AND('MAYO 2026'!D47&lt;&gt;"",'MAYO 2026'!Z47="POR RECOGER"),'MAYO 2026'!N47,"")</f>
        <v/>
      </c>
      <c r="I463" s="192" t="str">
        <f aca="false">IF(AND('MAYO 2026'!D47&lt;&gt;"",'MAYO 2026'!Z47="POR RECOGER"),'MAYO 2026'!P47,"")</f>
        <v/>
      </c>
      <c r="J463" s="192" t="str">
        <f aca="false">IF(AND('MAYO 2026'!D47&lt;&gt;"",'MAYO 2026'!Z47="POR RECOGER"),'MAYO 2026'!Q47,"")</f>
        <v/>
      </c>
      <c r="K463" s="192" t="str">
        <f aca="false">IF(AND('MAYO 2026'!D47&lt;&gt;"",'MAYO 2026'!Z47="POR RECOGER"),'MAYO 2026'!Y47,"")</f>
        <v/>
      </c>
      <c r="L463" s="192" t="str">
        <f aca="false">IF(AND('MAYO 2026'!D47&lt;&gt;"",'MAYO 2026'!Z47="POR RECOGER"),'MAYO 2026'!I47,"")</f>
        <v/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" hidden="false" customHeight="true" outlineLevel="0" collapsed="false">
      <c r="A464" s="192" t="str">
        <f aca="false">IF(AND('MAYO 2026'!D48&lt;&gt;"",'MAYO 2026'!Z48="POR RECOGER"),"MAY","")</f>
        <v/>
      </c>
      <c r="B464" s="192" t="str">
        <f aca="false">IF(AND('MAYO 2026'!D48&lt;&gt;"",'MAYO 2026'!Z48="POR RECOGER"),IF('MAYO 2026'!Y48&lt;&gt;"",'MAYO 2026'!Y48,'MAYO 2026'!I48),"")</f>
        <v/>
      </c>
      <c r="C464" s="192" t="str">
        <f aca="false">IF(AND('MAYO 2026'!D48&lt;&gt;"",'MAYO 2026'!Z48="POR RECOGER"),'MAYO 2026'!D48,"")</f>
        <v/>
      </c>
      <c r="D464" s="192" t="str">
        <f aca="false">IF(AND('MAYO 2026'!D48&lt;&gt;"",'MAYO 2026'!Z48="POR RECOGER"),'MAYO 2026'!F48,"")</f>
        <v/>
      </c>
      <c r="E464" s="192" t="str">
        <f aca="false">IF(AND('MAYO 2026'!D48&lt;&gt;"",'MAYO 2026'!Z48="POR RECOGER"),TEXT('MAYO 2026'!G48,"DD/MM/YYYY"),"")</f>
        <v/>
      </c>
      <c r="F464" s="192" t="str">
        <f aca="false">IF(AND('MAYO 2026'!D48&lt;&gt;"",'MAYO 2026'!Z48="POR RECOGER"),'MAYO 2026'!K48,"")</f>
        <v/>
      </c>
      <c r="G464" s="193" t="str">
        <f aca="false">IF(AND('MAYO 2026'!D48&lt;&gt;"",'MAYO 2026'!Z48="POR RECOGER"),'MAYO 2026'!M48,"")</f>
        <v/>
      </c>
      <c r="H464" s="193" t="str">
        <f aca="false">IF(AND('MAYO 2026'!D48&lt;&gt;"",'MAYO 2026'!Z48="POR RECOGER"),'MAYO 2026'!N48,"")</f>
        <v/>
      </c>
      <c r="I464" s="192" t="str">
        <f aca="false">IF(AND('MAYO 2026'!D48&lt;&gt;"",'MAYO 2026'!Z48="POR RECOGER"),'MAYO 2026'!P48,"")</f>
        <v/>
      </c>
      <c r="J464" s="192" t="str">
        <f aca="false">IF(AND('MAYO 2026'!D48&lt;&gt;"",'MAYO 2026'!Z48="POR RECOGER"),'MAYO 2026'!Q48,"")</f>
        <v/>
      </c>
      <c r="K464" s="192" t="str">
        <f aca="false">IF(AND('MAYO 2026'!D48&lt;&gt;"",'MAYO 2026'!Z48="POR RECOGER"),'MAYO 2026'!Y48,"")</f>
        <v/>
      </c>
      <c r="L464" s="192" t="str">
        <f aca="false">IF(AND('MAYO 2026'!D48&lt;&gt;"",'MAYO 2026'!Z48="POR RECOGER"),'MAYO 2026'!I48,"")</f>
        <v/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" hidden="false" customHeight="true" outlineLevel="0" collapsed="false">
      <c r="A465" s="192" t="str">
        <f aca="false">IF(AND('MAYO 2026'!D49&lt;&gt;"",'MAYO 2026'!Z49="POR RECOGER"),"MAY","")</f>
        <v/>
      </c>
      <c r="B465" s="192" t="str">
        <f aca="false">IF(AND('MAYO 2026'!D49&lt;&gt;"",'MAYO 2026'!Z49="POR RECOGER"),IF('MAYO 2026'!Y49&lt;&gt;"",'MAYO 2026'!Y49,'MAYO 2026'!I49),"")</f>
        <v/>
      </c>
      <c r="C465" s="192" t="str">
        <f aca="false">IF(AND('MAYO 2026'!D49&lt;&gt;"",'MAYO 2026'!Z49="POR RECOGER"),'MAYO 2026'!D49,"")</f>
        <v/>
      </c>
      <c r="D465" s="192" t="str">
        <f aca="false">IF(AND('MAYO 2026'!D49&lt;&gt;"",'MAYO 2026'!Z49="POR RECOGER"),'MAYO 2026'!F49,"")</f>
        <v/>
      </c>
      <c r="E465" s="192" t="str">
        <f aca="false">IF(AND('MAYO 2026'!D49&lt;&gt;"",'MAYO 2026'!Z49="POR RECOGER"),TEXT('MAYO 2026'!G49,"DD/MM/YYYY"),"")</f>
        <v/>
      </c>
      <c r="F465" s="192" t="str">
        <f aca="false">IF(AND('MAYO 2026'!D49&lt;&gt;"",'MAYO 2026'!Z49="POR RECOGER"),'MAYO 2026'!K49,"")</f>
        <v/>
      </c>
      <c r="G465" s="193" t="str">
        <f aca="false">IF(AND('MAYO 2026'!D49&lt;&gt;"",'MAYO 2026'!Z49="POR RECOGER"),'MAYO 2026'!M49,"")</f>
        <v/>
      </c>
      <c r="H465" s="193" t="str">
        <f aca="false">IF(AND('MAYO 2026'!D49&lt;&gt;"",'MAYO 2026'!Z49="POR RECOGER"),'MAYO 2026'!N49,"")</f>
        <v/>
      </c>
      <c r="I465" s="192" t="str">
        <f aca="false">IF(AND('MAYO 2026'!D49&lt;&gt;"",'MAYO 2026'!Z49="POR RECOGER"),'MAYO 2026'!P49,"")</f>
        <v/>
      </c>
      <c r="J465" s="192" t="str">
        <f aca="false">IF(AND('MAYO 2026'!D49&lt;&gt;"",'MAYO 2026'!Z49="POR RECOGER"),'MAYO 2026'!Q49,"")</f>
        <v/>
      </c>
      <c r="K465" s="192" t="str">
        <f aca="false">IF(AND('MAYO 2026'!D49&lt;&gt;"",'MAYO 2026'!Z49="POR RECOGER"),'MAYO 2026'!Y49,"")</f>
        <v/>
      </c>
      <c r="L465" s="192" t="str">
        <f aca="false">IF(AND('MAYO 2026'!D49&lt;&gt;"",'MAYO 2026'!Z49="POR RECOGER"),'MAYO 2026'!I49,"")</f>
        <v/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" hidden="false" customHeight="true" outlineLevel="0" collapsed="false">
      <c r="A466" s="192" t="str">
        <f aca="false">IF(AND('MAYO 2026'!D50&lt;&gt;"",'MAYO 2026'!Z50="POR RECOGER"),"MAY","")</f>
        <v/>
      </c>
      <c r="B466" s="192" t="str">
        <f aca="false">IF(AND('MAYO 2026'!D50&lt;&gt;"",'MAYO 2026'!Z50="POR RECOGER"),IF('MAYO 2026'!Y50&lt;&gt;"",'MAYO 2026'!Y50,'MAYO 2026'!I50),"")</f>
        <v/>
      </c>
      <c r="C466" s="192" t="str">
        <f aca="false">IF(AND('MAYO 2026'!D50&lt;&gt;"",'MAYO 2026'!Z50="POR RECOGER"),'MAYO 2026'!D50,"")</f>
        <v/>
      </c>
      <c r="D466" s="192" t="str">
        <f aca="false">IF(AND('MAYO 2026'!D50&lt;&gt;"",'MAYO 2026'!Z50="POR RECOGER"),'MAYO 2026'!F50,"")</f>
        <v/>
      </c>
      <c r="E466" s="192" t="str">
        <f aca="false">IF(AND('MAYO 2026'!D50&lt;&gt;"",'MAYO 2026'!Z50="POR RECOGER"),TEXT('MAYO 2026'!G50,"DD/MM/YYYY"),"")</f>
        <v/>
      </c>
      <c r="F466" s="192" t="str">
        <f aca="false">IF(AND('MAYO 2026'!D50&lt;&gt;"",'MAYO 2026'!Z50="POR RECOGER"),'MAYO 2026'!K50,"")</f>
        <v/>
      </c>
      <c r="G466" s="193" t="str">
        <f aca="false">IF(AND('MAYO 2026'!D50&lt;&gt;"",'MAYO 2026'!Z50="POR RECOGER"),'MAYO 2026'!M50,"")</f>
        <v/>
      </c>
      <c r="H466" s="193" t="str">
        <f aca="false">IF(AND('MAYO 2026'!D50&lt;&gt;"",'MAYO 2026'!Z50="POR RECOGER"),'MAYO 2026'!N50,"")</f>
        <v/>
      </c>
      <c r="I466" s="192" t="str">
        <f aca="false">IF(AND('MAYO 2026'!D50&lt;&gt;"",'MAYO 2026'!Z50="POR RECOGER"),'MAYO 2026'!P50,"")</f>
        <v/>
      </c>
      <c r="J466" s="192" t="str">
        <f aca="false">IF(AND('MAYO 2026'!D50&lt;&gt;"",'MAYO 2026'!Z50="POR RECOGER"),'MAYO 2026'!Q50,"")</f>
        <v/>
      </c>
      <c r="K466" s="192" t="str">
        <f aca="false">IF(AND('MAYO 2026'!D50&lt;&gt;"",'MAYO 2026'!Z50="POR RECOGER"),'MAYO 2026'!Y50,"")</f>
        <v/>
      </c>
      <c r="L466" s="192" t="str">
        <f aca="false">IF(AND('MAYO 2026'!D50&lt;&gt;"",'MAYO 2026'!Z50="POR RECOGER"),'MAYO 2026'!I50,"")</f>
        <v/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" hidden="false" customHeight="true" outlineLevel="0" collapsed="false">
      <c r="A467" s="192" t="str">
        <f aca="false">IF(AND('MAYO 2026'!D51&lt;&gt;"",'MAYO 2026'!Z51="POR RECOGER"),"MAY","")</f>
        <v/>
      </c>
      <c r="B467" s="192" t="str">
        <f aca="false">IF(AND('MAYO 2026'!D51&lt;&gt;"",'MAYO 2026'!Z51="POR RECOGER"),IF('MAYO 2026'!Y51&lt;&gt;"",'MAYO 2026'!Y51,'MAYO 2026'!I51),"")</f>
        <v/>
      </c>
      <c r="C467" s="192" t="str">
        <f aca="false">IF(AND('MAYO 2026'!D51&lt;&gt;"",'MAYO 2026'!Z51="POR RECOGER"),'MAYO 2026'!D51,"")</f>
        <v/>
      </c>
      <c r="D467" s="192" t="str">
        <f aca="false">IF(AND('MAYO 2026'!D51&lt;&gt;"",'MAYO 2026'!Z51="POR RECOGER"),'MAYO 2026'!F51,"")</f>
        <v/>
      </c>
      <c r="E467" s="192" t="str">
        <f aca="false">IF(AND('MAYO 2026'!D51&lt;&gt;"",'MAYO 2026'!Z51="POR RECOGER"),TEXT('MAYO 2026'!G51,"DD/MM/YYYY"),"")</f>
        <v/>
      </c>
      <c r="F467" s="192" t="str">
        <f aca="false">IF(AND('MAYO 2026'!D51&lt;&gt;"",'MAYO 2026'!Z51="POR RECOGER"),'MAYO 2026'!K51,"")</f>
        <v/>
      </c>
      <c r="G467" s="193" t="str">
        <f aca="false">IF(AND('MAYO 2026'!D51&lt;&gt;"",'MAYO 2026'!Z51="POR RECOGER"),'MAYO 2026'!M51,"")</f>
        <v/>
      </c>
      <c r="H467" s="193" t="str">
        <f aca="false">IF(AND('MAYO 2026'!D51&lt;&gt;"",'MAYO 2026'!Z51="POR RECOGER"),'MAYO 2026'!N51,"")</f>
        <v/>
      </c>
      <c r="I467" s="192" t="str">
        <f aca="false">IF(AND('MAYO 2026'!D51&lt;&gt;"",'MAYO 2026'!Z51="POR RECOGER"),'MAYO 2026'!P51,"")</f>
        <v/>
      </c>
      <c r="J467" s="192" t="str">
        <f aca="false">IF(AND('MAYO 2026'!D51&lt;&gt;"",'MAYO 2026'!Z51="POR RECOGER"),'MAYO 2026'!Q51,"")</f>
        <v/>
      </c>
      <c r="K467" s="192" t="str">
        <f aca="false">IF(AND('MAYO 2026'!D51&lt;&gt;"",'MAYO 2026'!Z51="POR RECOGER"),'MAYO 2026'!Y51,"")</f>
        <v/>
      </c>
      <c r="L467" s="192" t="str">
        <f aca="false">IF(AND('MAYO 2026'!D51&lt;&gt;"",'MAYO 2026'!Z51="POR RECOGER"),'MAYO 2026'!I51,"")</f>
        <v/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" hidden="false" customHeight="true" outlineLevel="0" collapsed="false">
      <c r="A468" s="192" t="str">
        <f aca="false">IF(AND('MAYO 2026'!D52&lt;&gt;"",'MAYO 2026'!Z52="POR RECOGER"),"MAY","")</f>
        <v/>
      </c>
      <c r="B468" s="192" t="str">
        <f aca="false">IF(AND('MAYO 2026'!D52&lt;&gt;"",'MAYO 2026'!Z52="POR RECOGER"),IF('MAYO 2026'!Y52&lt;&gt;"",'MAYO 2026'!Y52,'MAYO 2026'!I52),"")</f>
        <v/>
      </c>
      <c r="C468" s="192" t="str">
        <f aca="false">IF(AND('MAYO 2026'!D52&lt;&gt;"",'MAYO 2026'!Z52="POR RECOGER"),'MAYO 2026'!D52,"")</f>
        <v/>
      </c>
      <c r="D468" s="192" t="str">
        <f aca="false">IF(AND('MAYO 2026'!D52&lt;&gt;"",'MAYO 2026'!Z52="POR RECOGER"),'MAYO 2026'!F52,"")</f>
        <v/>
      </c>
      <c r="E468" s="192" t="str">
        <f aca="false">IF(AND('MAYO 2026'!D52&lt;&gt;"",'MAYO 2026'!Z52="POR RECOGER"),TEXT('MAYO 2026'!G52,"DD/MM/YYYY"),"")</f>
        <v/>
      </c>
      <c r="F468" s="192" t="str">
        <f aca="false">IF(AND('MAYO 2026'!D52&lt;&gt;"",'MAYO 2026'!Z52="POR RECOGER"),'MAYO 2026'!K52,"")</f>
        <v/>
      </c>
      <c r="G468" s="193" t="str">
        <f aca="false">IF(AND('MAYO 2026'!D52&lt;&gt;"",'MAYO 2026'!Z52="POR RECOGER"),'MAYO 2026'!M52,"")</f>
        <v/>
      </c>
      <c r="H468" s="193" t="str">
        <f aca="false">IF(AND('MAYO 2026'!D52&lt;&gt;"",'MAYO 2026'!Z52="POR RECOGER"),'MAYO 2026'!N52,"")</f>
        <v/>
      </c>
      <c r="I468" s="192" t="str">
        <f aca="false">IF(AND('MAYO 2026'!D52&lt;&gt;"",'MAYO 2026'!Z52="POR RECOGER"),'MAYO 2026'!P52,"")</f>
        <v/>
      </c>
      <c r="J468" s="192" t="str">
        <f aca="false">IF(AND('MAYO 2026'!D52&lt;&gt;"",'MAYO 2026'!Z52="POR RECOGER"),'MAYO 2026'!Q52,"")</f>
        <v/>
      </c>
      <c r="K468" s="192" t="str">
        <f aca="false">IF(AND('MAYO 2026'!D52&lt;&gt;"",'MAYO 2026'!Z52="POR RECOGER"),'MAYO 2026'!Y52,"")</f>
        <v/>
      </c>
      <c r="L468" s="192" t="str">
        <f aca="false">IF(AND('MAYO 2026'!D52&lt;&gt;"",'MAYO 2026'!Z52="POR RECOGER"),'MAYO 2026'!I52,"")</f>
        <v/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" hidden="false" customHeight="true" outlineLevel="0" collapsed="false">
      <c r="A469" s="192" t="str">
        <f aca="false">IF(AND('MAYO 2026'!D53&lt;&gt;"",'MAYO 2026'!Z53="POR RECOGER"),"MAY","")</f>
        <v/>
      </c>
      <c r="B469" s="192" t="str">
        <f aca="false">IF(AND('MAYO 2026'!D53&lt;&gt;"",'MAYO 2026'!Z53="POR RECOGER"),IF('MAYO 2026'!Y53&lt;&gt;"",'MAYO 2026'!Y53,'MAYO 2026'!I53),"")</f>
        <v/>
      </c>
      <c r="C469" s="192" t="str">
        <f aca="false">IF(AND('MAYO 2026'!D53&lt;&gt;"",'MAYO 2026'!Z53="POR RECOGER"),'MAYO 2026'!D53,"")</f>
        <v/>
      </c>
      <c r="D469" s="192" t="str">
        <f aca="false">IF(AND('MAYO 2026'!D53&lt;&gt;"",'MAYO 2026'!Z53="POR RECOGER"),'MAYO 2026'!F53,"")</f>
        <v/>
      </c>
      <c r="E469" s="192" t="str">
        <f aca="false">IF(AND('MAYO 2026'!D53&lt;&gt;"",'MAYO 2026'!Z53="POR RECOGER"),TEXT('MAYO 2026'!G53,"DD/MM/YYYY"),"")</f>
        <v/>
      </c>
      <c r="F469" s="192" t="str">
        <f aca="false">IF(AND('MAYO 2026'!D53&lt;&gt;"",'MAYO 2026'!Z53="POR RECOGER"),'MAYO 2026'!K53,"")</f>
        <v/>
      </c>
      <c r="G469" s="193" t="str">
        <f aca="false">IF(AND('MAYO 2026'!D53&lt;&gt;"",'MAYO 2026'!Z53="POR RECOGER"),'MAYO 2026'!M53,"")</f>
        <v/>
      </c>
      <c r="H469" s="193" t="str">
        <f aca="false">IF(AND('MAYO 2026'!D53&lt;&gt;"",'MAYO 2026'!Z53="POR RECOGER"),'MAYO 2026'!N53,"")</f>
        <v/>
      </c>
      <c r="I469" s="192" t="str">
        <f aca="false">IF(AND('MAYO 2026'!D53&lt;&gt;"",'MAYO 2026'!Z53="POR RECOGER"),'MAYO 2026'!P53,"")</f>
        <v/>
      </c>
      <c r="J469" s="192" t="str">
        <f aca="false">IF(AND('MAYO 2026'!D53&lt;&gt;"",'MAYO 2026'!Z53="POR RECOGER"),'MAYO 2026'!Q53,"")</f>
        <v/>
      </c>
      <c r="K469" s="192" t="str">
        <f aca="false">IF(AND('MAYO 2026'!D53&lt;&gt;"",'MAYO 2026'!Z53="POR RECOGER"),'MAYO 2026'!Y53,"")</f>
        <v/>
      </c>
      <c r="L469" s="192" t="str">
        <f aca="false">IF(AND('MAYO 2026'!D53&lt;&gt;"",'MAYO 2026'!Z53="POR RECOGER"),'MAYO 2026'!I53,"")</f>
        <v/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" hidden="false" customHeight="true" outlineLevel="0" collapsed="false">
      <c r="A470" s="192" t="str">
        <f aca="false">IF(AND('MAYO 2026'!D54&lt;&gt;"",'MAYO 2026'!Z54="POR RECOGER"),"MAY","")</f>
        <v/>
      </c>
      <c r="B470" s="192" t="str">
        <f aca="false">IF(AND('MAYO 2026'!D54&lt;&gt;"",'MAYO 2026'!Z54="POR RECOGER"),IF('MAYO 2026'!Y54&lt;&gt;"",'MAYO 2026'!Y54,'MAYO 2026'!I54),"")</f>
        <v/>
      </c>
      <c r="C470" s="192" t="str">
        <f aca="false">IF(AND('MAYO 2026'!D54&lt;&gt;"",'MAYO 2026'!Z54="POR RECOGER"),'MAYO 2026'!D54,"")</f>
        <v/>
      </c>
      <c r="D470" s="192" t="str">
        <f aca="false">IF(AND('MAYO 2026'!D54&lt;&gt;"",'MAYO 2026'!Z54="POR RECOGER"),'MAYO 2026'!F54,"")</f>
        <v/>
      </c>
      <c r="E470" s="192" t="str">
        <f aca="false">IF(AND('MAYO 2026'!D54&lt;&gt;"",'MAYO 2026'!Z54="POR RECOGER"),TEXT('MAYO 2026'!G54,"DD/MM/YYYY"),"")</f>
        <v/>
      </c>
      <c r="F470" s="192" t="str">
        <f aca="false">IF(AND('MAYO 2026'!D54&lt;&gt;"",'MAYO 2026'!Z54="POR RECOGER"),'MAYO 2026'!K54,"")</f>
        <v/>
      </c>
      <c r="G470" s="193" t="str">
        <f aca="false">IF(AND('MAYO 2026'!D54&lt;&gt;"",'MAYO 2026'!Z54="POR RECOGER"),'MAYO 2026'!M54,"")</f>
        <v/>
      </c>
      <c r="H470" s="193" t="str">
        <f aca="false">IF(AND('MAYO 2026'!D54&lt;&gt;"",'MAYO 2026'!Z54="POR RECOGER"),'MAYO 2026'!N54,"")</f>
        <v/>
      </c>
      <c r="I470" s="192" t="str">
        <f aca="false">IF(AND('MAYO 2026'!D54&lt;&gt;"",'MAYO 2026'!Z54="POR RECOGER"),'MAYO 2026'!P54,"")</f>
        <v/>
      </c>
      <c r="J470" s="192" t="str">
        <f aca="false">IF(AND('MAYO 2026'!D54&lt;&gt;"",'MAYO 2026'!Z54="POR RECOGER"),'MAYO 2026'!Q54,"")</f>
        <v/>
      </c>
      <c r="K470" s="192" t="str">
        <f aca="false">IF(AND('MAYO 2026'!D54&lt;&gt;"",'MAYO 2026'!Z54="POR RECOGER"),'MAYO 2026'!Y54,"")</f>
        <v/>
      </c>
      <c r="L470" s="192" t="str">
        <f aca="false">IF(AND('MAYO 2026'!D54&lt;&gt;"",'MAYO 2026'!Z54="POR RECOGER"),'MAYO 2026'!I54,"")</f>
        <v/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" hidden="false" customHeight="true" outlineLevel="0" collapsed="false">
      <c r="A471" s="192" t="str">
        <f aca="false">IF(AND('MAYO 2026'!D55&lt;&gt;"",'MAYO 2026'!Z55="POR RECOGER"),"MAY","")</f>
        <v/>
      </c>
      <c r="B471" s="192" t="str">
        <f aca="false">IF(AND('MAYO 2026'!D55&lt;&gt;"",'MAYO 2026'!Z55="POR RECOGER"),IF('MAYO 2026'!Y55&lt;&gt;"",'MAYO 2026'!Y55,'MAYO 2026'!I55),"")</f>
        <v/>
      </c>
      <c r="C471" s="192" t="str">
        <f aca="false">IF(AND('MAYO 2026'!D55&lt;&gt;"",'MAYO 2026'!Z55="POR RECOGER"),'MAYO 2026'!D55,"")</f>
        <v/>
      </c>
      <c r="D471" s="192" t="str">
        <f aca="false">IF(AND('MAYO 2026'!D55&lt;&gt;"",'MAYO 2026'!Z55="POR RECOGER"),'MAYO 2026'!F55,"")</f>
        <v/>
      </c>
      <c r="E471" s="192" t="str">
        <f aca="false">IF(AND('MAYO 2026'!D55&lt;&gt;"",'MAYO 2026'!Z55="POR RECOGER"),TEXT('MAYO 2026'!G55,"DD/MM/YYYY"),"")</f>
        <v/>
      </c>
      <c r="F471" s="192" t="str">
        <f aca="false">IF(AND('MAYO 2026'!D55&lt;&gt;"",'MAYO 2026'!Z55="POR RECOGER"),'MAYO 2026'!K55,"")</f>
        <v/>
      </c>
      <c r="G471" s="193" t="str">
        <f aca="false">IF(AND('MAYO 2026'!D55&lt;&gt;"",'MAYO 2026'!Z55="POR RECOGER"),'MAYO 2026'!M55,"")</f>
        <v/>
      </c>
      <c r="H471" s="193" t="str">
        <f aca="false">IF(AND('MAYO 2026'!D55&lt;&gt;"",'MAYO 2026'!Z55="POR RECOGER"),'MAYO 2026'!N55,"")</f>
        <v/>
      </c>
      <c r="I471" s="192" t="str">
        <f aca="false">IF(AND('MAYO 2026'!D55&lt;&gt;"",'MAYO 2026'!Z55="POR RECOGER"),'MAYO 2026'!P55,"")</f>
        <v/>
      </c>
      <c r="J471" s="192" t="str">
        <f aca="false">IF(AND('MAYO 2026'!D55&lt;&gt;"",'MAYO 2026'!Z55="POR RECOGER"),'MAYO 2026'!Q55,"")</f>
        <v/>
      </c>
      <c r="K471" s="192" t="str">
        <f aca="false">IF(AND('MAYO 2026'!D55&lt;&gt;"",'MAYO 2026'!Z55="POR RECOGER"),'MAYO 2026'!Y55,"")</f>
        <v/>
      </c>
      <c r="L471" s="192" t="str">
        <f aca="false">IF(AND('MAYO 2026'!D55&lt;&gt;"",'MAYO 2026'!Z55="POR RECOGER"),'MAYO 2026'!I55,"")</f>
        <v/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" hidden="false" customHeight="true" outlineLevel="0" collapsed="false">
      <c r="A472" s="192" t="str">
        <f aca="false">IF(AND('MAYO 2026'!D56&lt;&gt;"",'MAYO 2026'!Z56="POR RECOGER"),"MAY","")</f>
        <v/>
      </c>
      <c r="B472" s="192" t="str">
        <f aca="false">IF(AND('MAYO 2026'!D56&lt;&gt;"",'MAYO 2026'!Z56="POR RECOGER"),IF('MAYO 2026'!Y56&lt;&gt;"",'MAYO 2026'!Y56,'MAYO 2026'!I56),"")</f>
        <v/>
      </c>
      <c r="C472" s="192" t="str">
        <f aca="false">IF(AND('MAYO 2026'!D56&lt;&gt;"",'MAYO 2026'!Z56="POR RECOGER"),'MAYO 2026'!D56,"")</f>
        <v/>
      </c>
      <c r="D472" s="192" t="str">
        <f aca="false">IF(AND('MAYO 2026'!D56&lt;&gt;"",'MAYO 2026'!Z56="POR RECOGER"),'MAYO 2026'!F56,"")</f>
        <v/>
      </c>
      <c r="E472" s="192" t="str">
        <f aca="false">IF(AND('MAYO 2026'!D56&lt;&gt;"",'MAYO 2026'!Z56="POR RECOGER"),TEXT('MAYO 2026'!G56,"DD/MM/YYYY"),"")</f>
        <v/>
      </c>
      <c r="F472" s="192" t="str">
        <f aca="false">IF(AND('MAYO 2026'!D56&lt;&gt;"",'MAYO 2026'!Z56="POR RECOGER"),'MAYO 2026'!K56,"")</f>
        <v/>
      </c>
      <c r="G472" s="193" t="str">
        <f aca="false">IF(AND('MAYO 2026'!D56&lt;&gt;"",'MAYO 2026'!Z56="POR RECOGER"),'MAYO 2026'!M56,"")</f>
        <v/>
      </c>
      <c r="H472" s="193" t="str">
        <f aca="false">IF(AND('MAYO 2026'!D56&lt;&gt;"",'MAYO 2026'!Z56="POR RECOGER"),'MAYO 2026'!N56,"")</f>
        <v/>
      </c>
      <c r="I472" s="192" t="str">
        <f aca="false">IF(AND('MAYO 2026'!D56&lt;&gt;"",'MAYO 2026'!Z56="POR RECOGER"),'MAYO 2026'!P56,"")</f>
        <v/>
      </c>
      <c r="J472" s="192" t="str">
        <f aca="false">IF(AND('MAYO 2026'!D56&lt;&gt;"",'MAYO 2026'!Z56="POR RECOGER"),'MAYO 2026'!Q56,"")</f>
        <v/>
      </c>
      <c r="K472" s="192" t="str">
        <f aca="false">IF(AND('MAYO 2026'!D56&lt;&gt;"",'MAYO 2026'!Z56="POR RECOGER"),'MAYO 2026'!Y56,"")</f>
        <v/>
      </c>
      <c r="L472" s="192" t="str">
        <f aca="false">IF(AND('MAYO 2026'!D56&lt;&gt;"",'MAYO 2026'!Z56="POR RECOGER"),'MAYO 2026'!I56,"")</f>
        <v/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" hidden="false" customHeight="true" outlineLevel="0" collapsed="false">
      <c r="A473" s="192" t="str">
        <f aca="false">IF(AND('MAYO 2026'!D57&lt;&gt;"",'MAYO 2026'!Z57="POR RECOGER"),"MAY","")</f>
        <v/>
      </c>
      <c r="B473" s="192" t="str">
        <f aca="false">IF(AND('MAYO 2026'!D57&lt;&gt;"",'MAYO 2026'!Z57="POR RECOGER"),IF('MAYO 2026'!Y57&lt;&gt;"",'MAYO 2026'!Y57,'MAYO 2026'!I57),"")</f>
        <v/>
      </c>
      <c r="C473" s="192" t="str">
        <f aca="false">IF(AND('MAYO 2026'!D57&lt;&gt;"",'MAYO 2026'!Z57="POR RECOGER"),'MAYO 2026'!D57,"")</f>
        <v/>
      </c>
      <c r="D473" s="192" t="str">
        <f aca="false">IF(AND('MAYO 2026'!D57&lt;&gt;"",'MAYO 2026'!Z57="POR RECOGER"),'MAYO 2026'!F57,"")</f>
        <v/>
      </c>
      <c r="E473" s="192" t="str">
        <f aca="false">IF(AND('MAYO 2026'!D57&lt;&gt;"",'MAYO 2026'!Z57="POR RECOGER"),TEXT('MAYO 2026'!G57,"DD/MM/YYYY"),"")</f>
        <v/>
      </c>
      <c r="F473" s="192" t="str">
        <f aca="false">IF(AND('MAYO 2026'!D57&lt;&gt;"",'MAYO 2026'!Z57="POR RECOGER"),'MAYO 2026'!K57,"")</f>
        <v/>
      </c>
      <c r="G473" s="193" t="str">
        <f aca="false">IF(AND('MAYO 2026'!D57&lt;&gt;"",'MAYO 2026'!Z57="POR RECOGER"),'MAYO 2026'!M57,"")</f>
        <v/>
      </c>
      <c r="H473" s="193" t="str">
        <f aca="false">IF(AND('MAYO 2026'!D57&lt;&gt;"",'MAYO 2026'!Z57="POR RECOGER"),'MAYO 2026'!N57,"")</f>
        <v/>
      </c>
      <c r="I473" s="192" t="str">
        <f aca="false">IF(AND('MAYO 2026'!D57&lt;&gt;"",'MAYO 2026'!Z57="POR RECOGER"),'MAYO 2026'!P57,"")</f>
        <v/>
      </c>
      <c r="J473" s="192" t="str">
        <f aca="false">IF(AND('MAYO 2026'!D57&lt;&gt;"",'MAYO 2026'!Z57="POR RECOGER"),'MAYO 2026'!Q57,"")</f>
        <v/>
      </c>
      <c r="K473" s="192" t="str">
        <f aca="false">IF(AND('MAYO 2026'!D57&lt;&gt;"",'MAYO 2026'!Z57="POR RECOGER"),'MAYO 2026'!Y57,"")</f>
        <v/>
      </c>
      <c r="L473" s="192" t="str">
        <f aca="false">IF(AND('MAYO 2026'!D57&lt;&gt;"",'MAYO 2026'!Z57="POR RECOGER"),'MAYO 2026'!I57,"")</f>
        <v/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" hidden="false" customHeight="true" outlineLevel="0" collapsed="false">
      <c r="A474" s="192" t="str">
        <f aca="false">IF(AND('MAYO 2026'!D58&lt;&gt;"",'MAYO 2026'!Z58="POR RECOGER"),"MAY","")</f>
        <v/>
      </c>
      <c r="B474" s="192" t="str">
        <f aca="false">IF(AND('MAYO 2026'!D58&lt;&gt;"",'MAYO 2026'!Z58="POR RECOGER"),IF('MAYO 2026'!Y58&lt;&gt;"",'MAYO 2026'!Y58,'MAYO 2026'!I58),"")</f>
        <v/>
      </c>
      <c r="C474" s="192" t="str">
        <f aca="false">IF(AND('MAYO 2026'!D58&lt;&gt;"",'MAYO 2026'!Z58="POR RECOGER"),'MAYO 2026'!D58,"")</f>
        <v/>
      </c>
      <c r="D474" s="192" t="str">
        <f aca="false">IF(AND('MAYO 2026'!D58&lt;&gt;"",'MAYO 2026'!Z58="POR RECOGER"),'MAYO 2026'!F58,"")</f>
        <v/>
      </c>
      <c r="E474" s="192" t="str">
        <f aca="false">IF(AND('MAYO 2026'!D58&lt;&gt;"",'MAYO 2026'!Z58="POR RECOGER"),TEXT('MAYO 2026'!G58,"DD/MM/YYYY"),"")</f>
        <v/>
      </c>
      <c r="F474" s="192" t="str">
        <f aca="false">IF(AND('MAYO 2026'!D58&lt;&gt;"",'MAYO 2026'!Z58="POR RECOGER"),'MAYO 2026'!K58,"")</f>
        <v/>
      </c>
      <c r="G474" s="193" t="str">
        <f aca="false">IF(AND('MAYO 2026'!D58&lt;&gt;"",'MAYO 2026'!Z58="POR RECOGER"),'MAYO 2026'!M58,"")</f>
        <v/>
      </c>
      <c r="H474" s="193" t="str">
        <f aca="false">IF(AND('MAYO 2026'!D58&lt;&gt;"",'MAYO 2026'!Z58="POR RECOGER"),'MAYO 2026'!N58,"")</f>
        <v/>
      </c>
      <c r="I474" s="192" t="str">
        <f aca="false">IF(AND('MAYO 2026'!D58&lt;&gt;"",'MAYO 2026'!Z58="POR RECOGER"),'MAYO 2026'!P58,"")</f>
        <v/>
      </c>
      <c r="J474" s="192" t="str">
        <f aca="false">IF(AND('MAYO 2026'!D58&lt;&gt;"",'MAYO 2026'!Z58="POR RECOGER"),'MAYO 2026'!Q58,"")</f>
        <v/>
      </c>
      <c r="K474" s="192" t="str">
        <f aca="false">IF(AND('MAYO 2026'!D58&lt;&gt;"",'MAYO 2026'!Z58="POR RECOGER"),'MAYO 2026'!Y58,"")</f>
        <v/>
      </c>
      <c r="L474" s="192" t="str">
        <f aca="false">IF(AND('MAYO 2026'!D58&lt;&gt;"",'MAYO 2026'!Z58="POR RECOGER"),'MAYO 2026'!I58,"")</f>
        <v/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" hidden="false" customHeight="true" outlineLevel="0" collapsed="false">
      <c r="A475" s="192" t="str">
        <f aca="false">IF(AND('MAYO 2026'!D59&lt;&gt;"",'MAYO 2026'!Z59="POR RECOGER"),"MAY","")</f>
        <v/>
      </c>
      <c r="B475" s="192" t="str">
        <f aca="false">IF(AND('MAYO 2026'!D59&lt;&gt;"",'MAYO 2026'!Z59="POR RECOGER"),IF('MAYO 2026'!Y59&lt;&gt;"",'MAYO 2026'!Y59,'MAYO 2026'!I59),"")</f>
        <v/>
      </c>
      <c r="C475" s="192" t="str">
        <f aca="false">IF(AND('MAYO 2026'!D59&lt;&gt;"",'MAYO 2026'!Z59="POR RECOGER"),'MAYO 2026'!D59,"")</f>
        <v/>
      </c>
      <c r="D475" s="192" t="str">
        <f aca="false">IF(AND('MAYO 2026'!D59&lt;&gt;"",'MAYO 2026'!Z59="POR RECOGER"),'MAYO 2026'!F59,"")</f>
        <v/>
      </c>
      <c r="E475" s="192" t="str">
        <f aca="false">IF(AND('MAYO 2026'!D59&lt;&gt;"",'MAYO 2026'!Z59="POR RECOGER"),TEXT('MAYO 2026'!G59,"DD/MM/YYYY"),"")</f>
        <v/>
      </c>
      <c r="F475" s="192" t="str">
        <f aca="false">IF(AND('MAYO 2026'!D59&lt;&gt;"",'MAYO 2026'!Z59="POR RECOGER"),'MAYO 2026'!K59,"")</f>
        <v/>
      </c>
      <c r="G475" s="193" t="str">
        <f aca="false">IF(AND('MAYO 2026'!D59&lt;&gt;"",'MAYO 2026'!Z59="POR RECOGER"),'MAYO 2026'!M59,"")</f>
        <v/>
      </c>
      <c r="H475" s="193" t="str">
        <f aca="false">IF(AND('MAYO 2026'!D59&lt;&gt;"",'MAYO 2026'!Z59="POR RECOGER"),'MAYO 2026'!N59,"")</f>
        <v/>
      </c>
      <c r="I475" s="192" t="str">
        <f aca="false">IF(AND('MAYO 2026'!D59&lt;&gt;"",'MAYO 2026'!Z59="POR RECOGER"),'MAYO 2026'!P59,"")</f>
        <v/>
      </c>
      <c r="J475" s="192" t="str">
        <f aca="false">IF(AND('MAYO 2026'!D59&lt;&gt;"",'MAYO 2026'!Z59="POR RECOGER"),'MAYO 2026'!Q59,"")</f>
        <v/>
      </c>
      <c r="K475" s="192" t="str">
        <f aca="false">IF(AND('MAYO 2026'!D59&lt;&gt;"",'MAYO 2026'!Z59="POR RECOGER"),'MAYO 2026'!Y59,"")</f>
        <v/>
      </c>
      <c r="L475" s="192" t="str">
        <f aca="false">IF(AND('MAYO 2026'!D59&lt;&gt;"",'MAYO 2026'!Z59="POR RECOGER"),'MAYO 2026'!I59,"")</f>
        <v/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" hidden="false" customHeight="true" outlineLevel="0" collapsed="false">
      <c r="A476" s="192" t="str">
        <f aca="false">IF(AND('MAYO 2026'!D60&lt;&gt;"",'MAYO 2026'!Z60="POR RECOGER"),"MAY","")</f>
        <v/>
      </c>
      <c r="B476" s="192" t="str">
        <f aca="false">IF(AND('MAYO 2026'!D60&lt;&gt;"",'MAYO 2026'!Z60="POR RECOGER"),IF('MAYO 2026'!Y60&lt;&gt;"",'MAYO 2026'!Y60,'MAYO 2026'!I60),"")</f>
        <v/>
      </c>
      <c r="C476" s="192" t="str">
        <f aca="false">IF(AND('MAYO 2026'!D60&lt;&gt;"",'MAYO 2026'!Z60="POR RECOGER"),'MAYO 2026'!D60,"")</f>
        <v/>
      </c>
      <c r="D476" s="192" t="str">
        <f aca="false">IF(AND('MAYO 2026'!D60&lt;&gt;"",'MAYO 2026'!Z60="POR RECOGER"),'MAYO 2026'!F60,"")</f>
        <v/>
      </c>
      <c r="E476" s="192" t="str">
        <f aca="false">IF(AND('MAYO 2026'!D60&lt;&gt;"",'MAYO 2026'!Z60="POR RECOGER"),TEXT('MAYO 2026'!G60,"DD/MM/YYYY"),"")</f>
        <v/>
      </c>
      <c r="F476" s="192" t="str">
        <f aca="false">IF(AND('MAYO 2026'!D60&lt;&gt;"",'MAYO 2026'!Z60="POR RECOGER"),'MAYO 2026'!K60,"")</f>
        <v/>
      </c>
      <c r="G476" s="193" t="str">
        <f aca="false">IF(AND('MAYO 2026'!D60&lt;&gt;"",'MAYO 2026'!Z60="POR RECOGER"),'MAYO 2026'!M60,"")</f>
        <v/>
      </c>
      <c r="H476" s="193" t="str">
        <f aca="false">IF(AND('MAYO 2026'!D60&lt;&gt;"",'MAYO 2026'!Z60="POR RECOGER"),'MAYO 2026'!N60,"")</f>
        <v/>
      </c>
      <c r="I476" s="192" t="str">
        <f aca="false">IF(AND('MAYO 2026'!D60&lt;&gt;"",'MAYO 2026'!Z60="POR RECOGER"),'MAYO 2026'!P60,"")</f>
        <v/>
      </c>
      <c r="J476" s="192" t="str">
        <f aca="false">IF(AND('MAYO 2026'!D60&lt;&gt;"",'MAYO 2026'!Z60="POR RECOGER"),'MAYO 2026'!Q60,"")</f>
        <v/>
      </c>
      <c r="K476" s="192" t="str">
        <f aca="false">IF(AND('MAYO 2026'!D60&lt;&gt;"",'MAYO 2026'!Z60="POR RECOGER"),'MAYO 2026'!Y60,"")</f>
        <v/>
      </c>
      <c r="L476" s="192" t="str">
        <f aca="false">IF(AND('MAYO 2026'!D60&lt;&gt;"",'MAYO 2026'!Z60="POR RECOGER"),'MAYO 2026'!I60,"")</f>
        <v/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" hidden="false" customHeight="true" outlineLevel="0" collapsed="false">
      <c r="A477" s="192" t="str">
        <f aca="false">IF(AND('MAYO 2026'!D61&lt;&gt;"",'MAYO 2026'!Z61="POR RECOGER"),"MAY","")</f>
        <v/>
      </c>
      <c r="B477" s="192" t="str">
        <f aca="false">IF(AND('MAYO 2026'!D61&lt;&gt;"",'MAYO 2026'!Z61="POR RECOGER"),IF('MAYO 2026'!Y61&lt;&gt;"",'MAYO 2026'!Y61,'MAYO 2026'!I61),"")</f>
        <v/>
      </c>
      <c r="C477" s="192" t="str">
        <f aca="false">IF(AND('MAYO 2026'!D61&lt;&gt;"",'MAYO 2026'!Z61="POR RECOGER"),'MAYO 2026'!D61,"")</f>
        <v/>
      </c>
      <c r="D477" s="192" t="str">
        <f aca="false">IF(AND('MAYO 2026'!D61&lt;&gt;"",'MAYO 2026'!Z61="POR RECOGER"),'MAYO 2026'!F61,"")</f>
        <v/>
      </c>
      <c r="E477" s="192" t="str">
        <f aca="false">IF(AND('MAYO 2026'!D61&lt;&gt;"",'MAYO 2026'!Z61="POR RECOGER"),TEXT('MAYO 2026'!G61,"DD/MM/YYYY"),"")</f>
        <v/>
      </c>
      <c r="F477" s="192" t="str">
        <f aca="false">IF(AND('MAYO 2026'!D61&lt;&gt;"",'MAYO 2026'!Z61="POR RECOGER"),'MAYO 2026'!K61,"")</f>
        <v/>
      </c>
      <c r="G477" s="193" t="str">
        <f aca="false">IF(AND('MAYO 2026'!D61&lt;&gt;"",'MAYO 2026'!Z61="POR RECOGER"),'MAYO 2026'!M61,"")</f>
        <v/>
      </c>
      <c r="H477" s="193" t="str">
        <f aca="false">IF(AND('MAYO 2026'!D61&lt;&gt;"",'MAYO 2026'!Z61="POR RECOGER"),'MAYO 2026'!N61,"")</f>
        <v/>
      </c>
      <c r="I477" s="192" t="str">
        <f aca="false">IF(AND('MAYO 2026'!D61&lt;&gt;"",'MAYO 2026'!Z61="POR RECOGER"),'MAYO 2026'!P61,"")</f>
        <v/>
      </c>
      <c r="J477" s="192" t="str">
        <f aca="false">IF(AND('MAYO 2026'!D61&lt;&gt;"",'MAYO 2026'!Z61="POR RECOGER"),'MAYO 2026'!Q61,"")</f>
        <v/>
      </c>
      <c r="K477" s="192" t="str">
        <f aca="false">IF(AND('MAYO 2026'!D61&lt;&gt;"",'MAYO 2026'!Z61="POR RECOGER"),'MAYO 2026'!Y61,"")</f>
        <v/>
      </c>
      <c r="L477" s="192" t="str">
        <f aca="false">IF(AND('MAYO 2026'!D61&lt;&gt;"",'MAYO 2026'!Z61="POR RECOGER"),'MAYO 2026'!I61,"")</f>
        <v/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" hidden="false" customHeight="true" outlineLevel="0" collapsed="false">
      <c r="A478" s="192" t="str">
        <f aca="false">IF(AND('MAYO 2026'!D62&lt;&gt;"",'MAYO 2026'!Z62="POR RECOGER"),"MAY","")</f>
        <v/>
      </c>
      <c r="B478" s="192" t="str">
        <f aca="false">IF(AND('MAYO 2026'!D62&lt;&gt;"",'MAYO 2026'!Z62="POR RECOGER"),IF('MAYO 2026'!Y62&lt;&gt;"",'MAYO 2026'!Y62,'MAYO 2026'!I62),"")</f>
        <v/>
      </c>
      <c r="C478" s="192" t="str">
        <f aca="false">IF(AND('MAYO 2026'!D62&lt;&gt;"",'MAYO 2026'!Z62="POR RECOGER"),'MAYO 2026'!D62,"")</f>
        <v/>
      </c>
      <c r="D478" s="192" t="str">
        <f aca="false">IF(AND('MAYO 2026'!D62&lt;&gt;"",'MAYO 2026'!Z62="POR RECOGER"),'MAYO 2026'!F62,"")</f>
        <v/>
      </c>
      <c r="E478" s="192" t="str">
        <f aca="false">IF(AND('MAYO 2026'!D62&lt;&gt;"",'MAYO 2026'!Z62="POR RECOGER"),TEXT('MAYO 2026'!G62,"DD/MM/YYYY"),"")</f>
        <v/>
      </c>
      <c r="F478" s="192" t="str">
        <f aca="false">IF(AND('MAYO 2026'!D62&lt;&gt;"",'MAYO 2026'!Z62="POR RECOGER"),'MAYO 2026'!K62,"")</f>
        <v/>
      </c>
      <c r="G478" s="193" t="str">
        <f aca="false">IF(AND('MAYO 2026'!D62&lt;&gt;"",'MAYO 2026'!Z62="POR RECOGER"),'MAYO 2026'!M62,"")</f>
        <v/>
      </c>
      <c r="H478" s="193" t="str">
        <f aca="false">IF(AND('MAYO 2026'!D62&lt;&gt;"",'MAYO 2026'!Z62="POR RECOGER"),'MAYO 2026'!N62,"")</f>
        <v/>
      </c>
      <c r="I478" s="192" t="str">
        <f aca="false">IF(AND('MAYO 2026'!D62&lt;&gt;"",'MAYO 2026'!Z62="POR RECOGER"),'MAYO 2026'!P62,"")</f>
        <v/>
      </c>
      <c r="J478" s="192" t="str">
        <f aca="false">IF(AND('MAYO 2026'!D62&lt;&gt;"",'MAYO 2026'!Z62="POR RECOGER"),'MAYO 2026'!Q62,"")</f>
        <v/>
      </c>
      <c r="K478" s="192" t="str">
        <f aca="false">IF(AND('MAYO 2026'!D62&lt;&gt;"",'MAYO 2026'!Z62="POR RECOGER"),'MAYO 2026'!Y62,"")</f>
        <v/>
      </c>
      <c r="L478" s="192" t="str">
        <f aca="false">IF(AND('MAYO 2026'!D62&lt;&gt;"",'MAYO 2026'!Z62="POR RECOGER"),'MAYO 2026'!I62,"")</f>
        <v/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" hidden="false" customHeight="true" outlineLevel="0" collapsed="false">
      <c r="A479" s="192" t="str">
        <f aca="false">IF(AND('MAYO 2026'!D63&lt;&gt;"",'MAYO 2026'!Z63="POR RECOGER"),"MAY","")</f>
        <v/>
      </c>
      <c r="B479" s="192" t="str">
        <f aca="false">IF(AND('MAYO 2026'!D63&lt;&gt;"",'MAYO 2026'!Z63="POR RECOGER"),IF('MAYO 2026'!Y63&lt;&gt;"",'MAYO 2026'!Y63,'MAYO 2026'!I63),"")</f>
        <v/>
      </c>
      <c r="C479" s="192" t="str">
        <f aca="false">IF(AND('MAYO 2026'!D63&lt;&gt;"",'MAYO 2026'!Z63="POR RECOGER"),'MAYO 2026'!D63,"")</f>
        <v/>
      </c>
      <c r="D479" s="192" t="str">
        <f aca="false">IF(AND('MAYO 2026'!D63&lt;&gt;"",'MAYO 2026'!Z63="POR RECOGER"),'MAYO 2026'!F63,"")</f>
        <v/>
      </c>
      <c r="E479" s="192" t="str">
        <f aca="false">IF(AND('MAYO 2026'!D63&lt;&gt;"",'MAYO 2026'!Z63="POR RECOGER"),TEXT('MAYO 2026'!G63,"DD/MM/YYYY"),"")</f>
        <v/>
      </c>
      <c r="F479" s="192" t="str">
        <f aca="false">IF(AND('MAYO 2026'!D63&lt;&gt;"",'MAYO 2026'!Z63="POR RECOGER"),'MAYO 2026'!K63,"")</f>
        <v/>
      </c>
      <c r="G479" s="193" t="str">
        <f aca="false">IF(AND('MAYO 2026'!D63&lt;&gt;"",'MAYO 2026'!Z63="POR RECOGER"),'MAYO 2026'!M63,"")</f>
        <v/>
      </c>
      <c r="H479" s="193" t="str">
        <f aca="false">IF(AND('MAYO 2026'!D63&lt;&gt;"",'MAYO 2026'!Z63="POR RECOGER"),'MAYO 2026'!N63,"")</f>
        <v/>
      </c>
      <c r="I479" s="192" t="str">
        <f aca="false">IF(AND('MAYO 2026'!D63&lt;&gt;"",'MAYO 2026'!Z63="POR RECOGER"),'MAYO 2026'!P63,"")</f>
        <v/>
      </c>
      <c r="J479" s="192" t="str">
        <f aca="false">IF(AND('MAYO 2026'!D63&lt;&gt;"",'MAYO 2026'!Z63="POR RECOGER"),'MAYO 2026'!Q63,"")</f>
        <v/>
      </c>
      <c r="K479" s="192" t="str">
        <f aca="false">IF(AND('MAYO 2026'!D63&lt;&gt;"",'MAYO 2026'!Z63="POR RECOGER"),'MAYO 2026'!Y63,"")</f>
        <v/>
      </c>
      <c r="L479" s="192" t="str">
        <f aca="false">IF(AND('MAYO 2026'!D63&lt;&gt;"",'MAYO 2026'!Z63="POR RECOGER"),'MAYO 2026'!I63,"")</f>
        <v/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" hidden="false" customHeight="true" outlineLevel="0" collapsed="false">
      <c r="A480" s="192" t="str">
        <f aca="false">IF(AND('MAYO 2026'!D64&lt;&gt;"",'MAYO 2026'!Z64="POR RECOGER"),"MAY","")</f>
        <v/>
      </c>
      <c r="B480" s="192" t="str">
        <f aca="false">IF(AND('MAYO 2026'!D64&lt;&gt;"",'MAYO 2026'!Z64="POR RECOGER"),IF('MAYO 2026'!Y64&lt;&gt;"",'MAYO 2026'!Y64,'MAYO 2026'!I64),"")</f>
        <v/>
      </c>
      <c r="C480" s="192" t="str">
        <f aca="false">IF(AND('MAYO 2026'!D64&lt;&gt;"",'MAYO 2026'!Z64="POR RECOGER"),'MAYO 2026'!D64,"")</f>
        <v/>
      </c>
      <c r="D480" s="192" t="str">
        <f aca="false">IF(AND('MAYO 2026'!D64&lt;&gt;"",'MAYO 2026'!Z64="POR RECOGER"),'MAYO 2026'!F64,"")</f>
        <v/>
      </c>
      <c r="E480" s="192" t="str">
        <f aca="false">IF(AND('MAYO 2026'!D64&lt;&gt;"",'MAYO 2026'!Z64="POR RECOGER"),TEXT('MAYO 2026'!G64,"DD/MM/YYYY"),"")</f>
        <v/>
      </c>
      <c r="F480" s="192" t="str">
        <f aca="false">IF(AND('MAYO 2026'!D64&lt;&gt;"",'MAYO 2026'!Z64="POR RECOGER"),'MAYO 2026'!K64,"")</f>
        <v/>
      </c>
      <c r="G480" s="193" t="str">
        <f aca="false">IF(AND('MAYO 2026'!D64&lt;&gt;"",'MAYO 2026'!Z64="POR RECOGER"),'MAYO 2026'!M64,"")</f>
        <v/>
      </c>
      <c r="H480" s="193" t="str">
        <f aca="false">IF(AND('MAYO 2026'!D64&lt;&gt;"",'MAYO 2026'!Z64="POR RECOGER"),'MAYO 2026'!N64,"")</f>
        <v/>
      </c>
      <c r="I480" s="192" t="str">
        <f aca="false">IF(AND('MAYO 2026'!D64&lt;&gt;"",'MAYO 2026'!Z64="POR RECOGER"),'MAYO 2026'!P64,"")</f>
        <v/>
      </c>
      <c r="J480" s="192" t="str">
        <f aca="false">IF(AND('MAYO 2026'!D64&lt;&gt;"",'MAYO 2026'!Z64="POR RECOGER"),'MAYO 2026'!Q64,"")</f>
        <v/>
      </c>
      <c r="K480" s="192" t="str">
        <f aca="false">IF(AND('MAYO 2026'!D64&lt;&gt;"",'MAYO 2026'!Z64="POR RECOGER"),'MAYO 2026'!Y64,"")</f>
        <v/>
      </c>
      <c r="L480" s="192" t="str">
        <f aca="false">IF(AND('MAYO 2026'!D64&lt;&gt;"",'MAYO 2026'!Z64="POR RECOGER"),'MAYO 2026'!I64,"")</f>
        <v/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" hidden="false" customHeight="true" outlineLevel="0" collapsed="false">
      <c r="A481" s="192" t="str">
        <f aca="false">IF(AND('MAYO 2026'!D65&lt;&gt;"",'MAYO 2026'!Z65="POR RECOGER"),"MAY","")</f>
        <v/>
      </c>
      <c r="B481" s="192" t="str">
        <f aca="false">IF(AND('MAYO 2026'!D65&lt;&gt;"",'MAYO 2026'!Z65="POR RECOGER"),IF('MAYO 2026'!Y65&lt;&gt;"",'MAYO 2026'!Y65,'MAYO 2026'!I65),"")</f>
        <v/>
      </c>
      <c r="C481" s="192" t="str">
        <f aca="false">IF(AND('MAYO 2026'!D65&lt;&gt;"",'MAYO 2026'!Z65="POR RECOGER"),'MAYO 2026'!D65,"")</f>
        <v/>
      </c>
      <c r="D481" s="192" t="str">
        <f aca="false">IF(AND('MAYO 2026'!D65&lt;&gt;"",'MAYO 2026'!Z65="POR RECOGER"),'MAYO 2026'!F65,"")</f>
        <v/>
      </c>
      <c r="E481" s="192" t="str">
        <f aca="false">IF(AND('MAYO 2026'!D65&lt;&gt;"",'MAYO 2026'!Z65="POR RECOGER"),TEXT('MAYO 2026'!G65,"DD/MM/YYYY"),"")</f>
        <v/>
      </c>
      <c r="F481" s="192" t="str">
        <f aca="false">IF(AND('MAYO 2026'!D65&lt;&gt;"",'MAYO 2026'!Z65="POR RECOGER"),'MAYO 2026'!K65,"")</f>
        <v/>
      </c>
      <c r="G481" s="193" t="str">
        <f aca="false">IF(AND('MAYO 2026'!D65&lt;&gt;"",'MAYO 2026'!Z65="POR RECOGER"),'MAYO 2026'!M65,"")</f>
        <v/>
      </c>
      <c r="H481" s="193" t="str">
        <f aca="false">IF(AND('MAYO 2026'!D65&lt;&gt;"",'MAYO 2026'!Z65="POR RECOGER"),'MAYO 2026'!N65,"")</f>
        <v/>
      </c>
      <c r="I481" s="192" t="str">
        <f aca="false">IF(AND('MAYO 2026'!D65&lt;&gt;"",'MAYO 2026'!Z65="POR RECOGER"),'MAYO 2026'!P65,"")</f>
        <v/>
      </c>
      <c r="J481" s="192" t="str">
        <f aca="false">IF(AND('MAYO 2026'!D65&lt;&gt;"",'MAYO 2026'!Z65="POR RECOGER"),'MAYO 2026'!Q65,"")</f>
        <v/>
      </c>
      <c r="K481" s="192" t="str">
        <f aca="false">IF(AND('MAYO 2026'!D65&lt;&gt;"",'MAYO 2026'!Z65="POR RECOGER"),'MAYO 2026'!Y65,"")</f>
        <v/>
      </c>
      <c r="L481" s="192" t="str">
        <f aca="false">IF(AND('MAYO 2026'!D65&lt;&gt;"",'MAYO 2026'!Z65="POR RECOGER"),'MAYO 2026'!I65,"")</f>
        <v/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" hidden="false" customHeight="true" outlineLevel="0" collapsed="false">
      <c r="A482" s="192" t="str">
        <f aca="false">IF(AND('MAYO 2026'!D66&lt;&gt;"",'MAYO 2026'!Z66="POR RECOGER"),"MAY","")</f>
        <v/>
      </c>
      <c r="B482" s="192" t="str">
        <f aca="false">IF(AND('MAYO 2026'!D66&lt;&gt;"",'MAYO 2026'!Z66="POR RECOGER"),IF('MAYO 2026'!Y66&lt;&gt;"",'MAYO 2026'!Y66,'MAYO 2026'!I66),"")</f>
        <v/>
      </c>
      <c r="C482" s="192" t="str">
        <f aca="false">IF(AND('MAYO 2026'!D66&lt;&gt;"",'MAYO 2026'!Z66="POR RECOGER"),'MAYO 2026'!D66,"")</f>
        <v/>
      </c>
      <c r="D482" s="192" t="str">
        <f aca="false">IF(AND('MAYO 2026'!D66&lt;&gt;"",'MAYO 2026'!Z66="POR RECOGER"),'MAYO 2026'!F66,"")</f>
        <v/>
      </c>
      <c r="E482" s="192" t="str">
        <f aca="false">IF(AND('MAYO 2026'!D66&lt;&gt;"",'MAYO 2026'!Z66="POR RECOGER"),TEXT('MAYO 2026'!G66,"DD/MM/YYYY"),"")</f>
        <v/>
      </c>
      <c r="F482" s="192" t="str">
        <f aca="false">IF(AND('MAYO 2026'!D66&lt;&gt;"",'MAYO 2026'!Z66="POR RECOGER"),'MAYO 2026'!K66,"")</f>
        <v/>
      </c>
      <c r="G482" s="193" t="str">
        <f aca="false">IF(AND('MAYO 2026'!D66&lt;&gt;"",'MAYO 2026'!Z66="POR RECOGER"),'MAYO 2026'!M66,"")</f>
        <v/>
      </c>
      <c r="H482" s="193" t="str">
        <f aca="false">IF(AND('MAYO 2026'!D66&lt;&gt;"",'MAYO 2026'!Z66="POR RECOGER"),'MAYO 2026'!N66,"")</f>
        <v/>
      </c>
      <c r="I482" s="192" t="str">
        <f aca="false">IF(AND('MAYO 2026'!D66&lt;&gt;"",'MAYO 2026'!Z66="POR RECOGER"),'MAYO 2026'!P66,"")</f>
        <v/>
      </c>
      <c r="J482" s="192" t="str">
        <f aca="false">IF(AND('MAYO 2026'!D66&lt;&gt;"",'MAYO 2026'!Z66="POR RECOGER"),'MAYO 2026'!Q66,"")</f>
        <v/>
      </c>
      <c r="K482" s="192" t="str">
        <f aca="false">IF(AND('MAYO 2026'!D66&lt;&gt;"",'MAYO 2026'!Z66="POR RECOGER"),'MAYO 2026'!Y66,"")</f>
        <v/>
      </c>
      <c r="L482" s="192" t="str">
        <f aca="false">IF(AND('MAYO 2026'!D66&lt;&gt;"",'MAYO 2026'!Z66="POR RECOGER"),'MAYO 2026'!I66,"")</f>
        <v/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" hidden="false" customHeight="true" outlineLevel="0" collapsed="false">
      <c r="A483" s="192" t="str">
        <f aca="false">IF(AND('MAYO 2026'!D67&lt;&gt;"",'MAYO 2026'!Z67="POR RECOGER"),"MAY","")</f>
        <v/>
      </c>
      <c r="B483" s="192" t="str">
        <f aca="false">IF(AND('MAYO 2026'!D67&lt;&gt;"",'MAYO 2026'!Z67="POR RECOGER"),IF('MAYO 2026'!Y67&lt;&gt;"",'MAYO 2026'!Y67,'MAYO 2026'!I67),"")</f>
        <v/>
      </c>
      <c r="C483" s="192" t="str">
        <f aca="false">IF(AND('MAYO 2026'!D67&lt;&gt;"",'MAYO 2026'!Z67="POR RECOGER"),'MAYO 2026'!D67,"")</f>
        <v/>
      </c>
      <c r="D483" s="192" t="str">
        <f aca="false">IF(AND('MAYO 2026'!D67&lt;&gt;"",'MAYO 2026'!Z67="POR RECOGER"),'MAYO 2026'!F67,"")</f>
        <v/>
      </c>
      <c r="E483" s="192" t="str">
        <f aca="false">IF(AND('MAYO 2026'!D67&lt;&gt;"",'MAYO 2026'!Z67="POR RECOGER"),TEXT('MAYO 2026'!G67,"DD/MM/YYYY"),"")</f>
        <v/>
      </c>
      <c r="F483" s="192" t="str">
        <f aca="false">IF(AND('MAYO 2026'!D67&lt;&gt;"",'MAYO 2026'!Z67="POR RECOGER"),'MAYO 2026'!K67,"")</f>
        <v/>
      </c>
      <c r="G483" s="193" t="str">
        <f aca="false">IF(AND('MAYO 2026'!D67&lt;&gt;"",'MAYO 2026'!Z67="POR RECOGER"),'MAYO 2026'!M67,"")</f>
        <v/>
      </c>
      <c r="H483" s="193" t="str">
        <f aca="false">IF(AND('MAYO 2026'!D67&lt;&gt;"",'MAYO 2026'!Z67="POR RECOGER"),'MAYO 2026'!N67,"")</f>
        <v/>
      </c>
      <c r="I483" s="192" t="str">
        <f aca="false">IF(AND('MAYO 2026'!D67&lt;&gt;"",'MAYO 2026'!Z67="POR RECOGER"),'MAYO 2026'!P67,"")</f>
        <v/>
      </c>
      <c r="J483" s="192" t="str">
        <f aca="false">IF(AND('MAYO 2026'!D67&lt;&gt;"",'MAYO 2026'!Z67="POR RECOGER"),'MAYO 2026'!Q67,"")</f>
        <v/>
      </c>
      <c r="K483" s="192" t="str">
        <f aca="false">IF(AND('MAYO 2026'!D67&lt;&gt;"",'MAYO 2026'!Z67="POR RECOGER"),'MAYO 2026'!Y67,"")</f>
        <v/>
      </c>
      <c r="L483" s="192" t="str">
        <f aca="false">IF(AND('MAYO 2026'!D67&lt;&gt;"",'MAYO 2026'!Z67="POR RECOGER"),'MAYO 2026'!I67,"")</f>
        <v/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" hidden="false" customHeight="true" outlineLevel="0" collapsed="false">
      <c r="A484" s="192" t="str">
        <f aca="false">IF(AND('MAYO 2026'!D68&lt;&gt;"",'MAYO 2026'!Z68="POR RECOGER"),"MAY","")</f>
        <v/>
      </c>
      <c r="B484" s="192" t="str">
        <f aca="false">IF(AND('MAYO 2026'!D68&lt;&gt;"",'MAYO 2026'!Z68="POR RECOGER"),IF('MAYO 2026'!Y68&lt;&gt;"",'MAYO 2026'!Y68,'MAYO 2026'!I68),"")</f>
        <v/>
      </c>
      <c r="C484" s="192" t="str">
        <f aca="false">IF(AND('MAYO 2026'!D68&lt;&gt;"",'MAYO 2026'!Z68="POR RECOGER"),'MAYO 2026'!D68,"")</f>
        <v/>
      </c>
      <c r="D484" s="192" t="str">
        <f aca="false">IF(AND('MAYO 2026'!D68&lt;&gt;"",'MAYO 2026'!Z68="POR RECOGER"),'MAYO 2026'!F68,"")</f>
        <v/>
      </c>
      <c r="E484" s="192" t="str">
        <f aca="false">IF(AND('MAYO 2026'!D68&lt;&gt;"",'MAYO 2026'!Z68="POR RECOGER"),TEXT('MAYO 2026'!G68,"DD/MM/YYYY"),"")</f>
        <v/>
      </c>
      <c r="F484" s="192" t="str">
        <f aca="false">IF(AND('MAYO 2026'!D68&lt;&gt;"",'MAYO 2026'!Z68="POR RECOGER"),'MAYO 2026'!K68,"")</f>
        <v/>
      </c>
      <c r="G484" s="193" t="str">
        <f aca="false">IF(AND('MAYO 2026'!D68&lt;&gt;"",'MAYO 2026'!Z68="POR RECOGER"),'MAYO 2026'!M68,"")</f>
        <v/>
      </c>
      <c r="H484" s="193" t="str">
        <f aca="false">IF(AND('MAYO 2026'!D68&lt;&gt;"",'MAYO 2026'!Z68="POR RECOGER"),'MAYO 2026'!N68,"")</f>
        <v/>
      </c>
      <c r="I484" s="192" t="str">
        <f aca="false">IF(AND('MAYO 2026'!D68&lt;&gt;"",'MAYO 2026'!Z68="POR RECOGER"),'MAYO 2026'!P68,"")</f>
        <v/>
      </c>
      <c r="J484" s="192" t="str">
        <f aca="false">IF(AND('MAYO 2026'!D68&lt;&gt;"",'MAYO 2026'!Z68="POR RECOGER"),'MAYO 2026'!Q68,"")</f>
        <v/>
      </c>
      <c r="K484" s="192" t="str">
        <f aca="false">IF(AND('MAYO 2026'!D68&lt;&gt;"",'MAYO 2026'!Z68="POR RECOGER"),'MAYO 2026'!Y68,"")</f>
        <v/>
      </c>
      <c r="L484" s="192" t="str">
        <f aca="false">IF(AND('MAYO 2026'!D68&lt;&gt;"",'MAYO 2026'!Z68="POR RECOGER"),'MAYO 2026'!I68,"")</f>
        <v/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" hidden="false" customHeight="true" outlineLevel="0" collapsed="false">
      <c r="A485" s="192" t="str">
        <f aca="false">IF(AND('MAYO 2026'!D69&lt;&gt;"",'MAYO 2026'!Z69="POR RECOGER"),"MAY","")</f>
        <v/>
      </c>
      <c r="B485" s="192" t="str">
        <f aca="false">IF(AND('MAYO 2026'!D69&lt;&gt;"",'MAYO 2026'!Z69="POR RECOGER"),IF('MAYO 2026'!Y69&lt;&gt;"",'MAYO 2026'!Y69,'MAYO 2026'!I69),"")</f>
        <v/>
      </c>
      <c r="C485" s="192" t="str">
        <f aca="false">IF(AND('MAYO 2026'!D69&lt;&gt;"",'MAYO 2026'!Z69="POR RECOGER"),'MAYO 2026'!D69,"")</f>
        <v/>
      </c>
      <c r="D485" s="192" t="str">
        <f aca="false">IF(AND('MAYO 2026'!D69&lt;&gt;"",'MAYO 2026'!Z69="POR RECOGER"),'MAYO 2026'!F69,"")</f>
        <v/>
      </c>
      <c r="E485" s="192" t="str">
        <f aca="false">IF(AND('MAYO 2026'!D69&lt;&gt;"",'MAYO 2026'!Z69="POR RECOGER"),TEXT('MAYO 2026'!G69,"DD/MM/YYYY"),"")</f>
        <v/>
      </c>
      <c r="F485" s="192" t="str">
        <f aca="false">IF(AND('MAYO 2026'!D69&lt;&gt;"",'MAYO 2026'!Z69="POR RECOGER"),'MAYO 2026'!K69,"")</f>
        <v/>
      </c>
      <c r="G485" s="193" t="str">
        <f aca="false">IF(AND('MAYO 2026'!D69&lt;&gt;"",'MAYO 2026'!Z69="POR RECOGER"),'MAYO 2026'!M69,"")</f>
        <v/>
      </c>
      <c r="H485" s="193" t="str">
        <f aca="false">IF(AND('MAYO 2026'!D69&lt;&gt;"",'MAYO 2026'!Z69="POR RECOGER"),'MAYO 2026'!N69,"")</f>
        <v/>
      </c>
      <c r="I485" s="192" t="str">
        <f aca="false">IF(AND('MAYO 2026'!D69&lt;&gt;"",'MAYO 2026'!Z69="POR RECOGER"),'MAYO 2026'!P69,"")</f>
        <v/>
      </c>
      <c r="J485" s="192" t="str">
        <f aca="false">IF(AND('MAYO 2026'!D69&lt;&gt;"",'MAYO 2026'!Z69="POR RECOGER"),'MAYO 2026'!Q69,"")</f>
        <v/>
      </c>
      <c r="K485" s="192" t="str">
        <f aca="false">IF(AND('MAYO 2026'!D69&lt;&gt;"",'MAYO 2026'!Z69="POR RECOGER"),'MAYO 2026'!Y69,"")</f>
        <v/>
      </c>
      <c r="L485" s="192" t="str">
        <f aca="false">IF(AND('MAYO 2026'!D69&lt;&gt;"",'MAYO 2026'!Z69="POR RECOGER"),'MAYO 2026'!I69,"")</f>
        <v/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" hidden="false" customHeight="true" outlineLevel="0" collapsed="false">
      <c r="A486" s="192" t="str">
        <f aca="false">IF(AND('MAYO 2026'!D70&lt;&gt;"",'MAYO 2026'!Z70="POR RECOGER"),"MAY","")</f>
        <v/>
      </c>
      <c r="B486" s="192" t="str">
        <f aca="false">IF(AND('MAYO 2026'!D70&lt;&gt;"",'MAYO 2026'!Z70="POR RECOGER"),IF('MAYO 2026'!Y70&lt;&gt;"",'MAYO 2026'!Y70,'MAYO 2026'!I70),"")</f>
        <v/>
      </c>
      <c r="C486" s="192" t="str">
        <f aca="false">IF(AND('MAYO 2026'!D70&lt;&gt;"",'MAYO 2026'!Z70="POR RECOGER"),'MAYO 2026'!D70,"")</f>
        <v/>
      </c>
      <c r="D486" s="192" t="str">
        <f aca="false">IF(AND('MAYO 2026'!D70&lt;&gt;"",'MAYO 2026'!Z70="POR RECOGER"),'MAYO 2026'!F70,"")</f>
        <v/>
      </c>
      <c r="E486" s="192" t="str">
        <f aca="false">IF(AND('MAYO 2026'!D70&lt;&gt;"",'MAYO 2026'!Z70="POR RECOGER"),TEXT('MAYO 2026'!G70,"DD/MM/YYYY"),"")</f>
        <v/>
      </c>
      <c r="F486" s="192" t="str">
        <f aca="false">IF(AND('MAYO 2026'!D70&lt;&gt;"",'MAYO 2026'!Z70="POR RECOGER"),'MAYO 2026'!K70,"")</f>
        <v/>
      </c>
      <c r="G486" s="193" t="str">
        <f aca="false">IF(AND('MAYO 2026'!D70&lt;&gt;"",'MAYO 2026'!Z70="POR RECOGER"),'MAYO 2026'!M70,"")</f>
        <v/>
      </c>
      <c r="H486" s="193" t="str">
        <f aca="false">IF(AND('MAYO 2026'!D70&lt;&gt;"",'MAYO 2026'!Z70="POR RECOGER"),'MAYO 2026'!N70,"")</f>
        <v/>
      </c>
      <c r="I486" s="192" t="str">
        <f aca="false">IF(AND('MAYO 2026'!D70&lt;&gt;"",'MAYO 2026'!Z70="POR RECOGER"),'MAYO 2026'!P70,"")</f>
        <v/>
      </c>
      <c r="J486" s="192" t="str">
        <f aca="false">IF(AND('MAYO 2026'!D70&lt;&gt;"",'MAYO 2026'!Z70="POR RECOGER"),'MAYO 2026'!Q70,"")</f>
        <v/>
      </c>
      <c r="K486" s="192" t="str">
        <f aca="false">IF(AND('MAYO 2026'!D70&lt;&gt;"",'MAYO 2026'!Z70="POR RECOGER"),'MAYO 2026'!Y70,"")</f>
        <v/>
      </c>
      <c r="L486" s="192" t="str">
        <f aca="false">IF(AND('MAYO 2026'!D70&lt;&gt;"",'MAYO 2026'!Z70="POR RECOGER"),'MAYO 2026'!I70,"")</f>
        <v/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" hidden="false" customHeight="true" outlineLevel="0" collapsed="false">
      <c r="A487" s="192" t="str">
        <f aca="false">IF(AND('MAYO 2026'!D71&lt;&gt;"",'MAYO 2026'!Z71="POR RECOGER"),"MAY","")</f>
        <v/>
      </c>
      <c r="B487" s="192" t="str">
        <f aca="false">IF(AND('MAYO 2026'!D71&lt;&gt;"",'MAYO 2026'!Z71="POR RECOGER"),IF('MAYO 2026'!Y71&lt;&gt;"",'MAYO 2026'!Y71,'MAYO 2026'!I71),"")</f>
        <v/>
      </c>
      <c r="C487" s="192" t="str">
        <f aca="false">IF(AND('MAYO 2026'!D71&lt;&gt;"",'MAYO 2026'!Z71="POR RECOGER"),'MAYO 2026'!D71,"")</f>
        <v/>
      </c>
      <c r="D487" s="192" t="str">
        <f aca="false">IF(AND('MAYO 2026'!D71&lt;&gt;"",'MAYO 2026'!Z71="POR RECOGER"),'MAYO 2026'!F71,"")</f>
        <v/>
      </c>
      <c r="E487" s="192" t="str">
        <f aca="false">IF(AND('MAYO 2026'!D71&lt;&gt;"",'MAYO 2026'!Z71="POR RECOGER"),TEXT('MAYO 2026'!G71,"DD/MM/YYYY"),"")</f>
        <v/>
      </c>
      <c r="F487" s="192" t="str">
        <f aca="false">IF(AND('MAYO 2026'!D71&lt;&gt;"",'MAYO 2026'!Z71="POR RECOGER"),'MAYO 2026'!K71,"")</f>
        <v/>
      </c>
      <c r="G487" s="193" t="str">
        <f aca="false">IF(AND('MAYO 2026'!D71&lt;&gt;"",'MAYO 2026'!Z71="POR RECOGER"),'MAYO 2026'!M71,"")</f>
        <v/>
      </c>
      <c r="H487" s="193" t="str">
        <f aca="false">IF(AND('MAYO 2026'!D71&lt;&gt;"",'MAYO 2026'!Z71="POR RECOGER"),'MAYO 2026'!N71,"")</f>
        <v/>
      </c>
      <c r="I487" s="192" t="str">
        <f aca="false">IF(AND('MAYO 2026'!D71&lt;&gt;"",'MAYO 2026'!Z71="POR RECOGER"),'MAYO 2026'!P71,"")</f>
        <v/>
      </c>
      <c r="J487" s="192" t="str">
        <f aca="false">IF(AND('MAYO 2026'!D71&lt;&gt;"",'MAYO 2026'!Z71="POR RECOGER"),'MAYO 2026'!Q71,"")</f>
        <v/>
      </c>
      <c r="K487" s="192" t="str">
        <f aca="false">IF(AND('MAYO 2026'!D71&lt;&gt;"",'MAYO 2026'!Z71="POR RECOGER"),'MAYO 2026'!Y71,"")</f>
        <v/>
      </c>
      <c r="L487" s="192" t="str">
        <f aca="false">IF(AND('MAYO 2026'!D71&lt;&gt;"",'MAYO 2026'!Z71="POR RECOGER"),'MAYO 2026'!I71,"")</f>
        <v/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" hidden="false" customHeight="true" outlineLevel="0" collapsed="false">
      <c r="A488" s="192" t="str">
        <f aca="false">IF(AND('MAYO 2026'!D72&lt;&gt;"",'MAYO 2026'!Z72="POR RECOGER"),"MAY","")</f>
        <v/>
      </c>
      <c r="B488" s="192" t="str">
        <f aca="false">IF(AND('MAYO 2026'!D72&lt;&gt;"",'MAYO 2026'!Z72="POR RECOGER"),IF('MAYO 2026'!Y72&lt;&gt;"",'MAYO 2026'!Y72,'MAYO 2026'!I72),"")</f>
        <v/>
      </c>
      <c r="C488" s="192" t="str">
        <f aca="false">IF(AND('MAYO 2026'!D72&lt;&gt;"",'MAYO 2026'!Z72="POR RECOGER"),'MAYO 2026'!D72,"")</f>
        <v/>
      </c>
      <c r="D488" s="192" t="str">
        <f aca="false">IF(AND('MAYO 2026'!D72&lt;&gt;"",'MAYO 2026'!Z72="POR RECOGER"),'MAYO 2026'!F72,"")</f>
        <v/>
      </c>
      <c r="E488" s="192" t="str">
        <f aca="false">IF(AND('MAYO 2026'!D72&lt;&gt;"",'MAYO 2026'!Z72="POR RECOGER"),TEXT('MAYO 2026'!G72,"DD/MM/YYYY"),"")</f>
        <v/>
      </c>
      <c r="F488" s="192" t="str">
        <f aca="false">IF(AND('MAYO 2026'!D72&lt;&gt;"",'MAYO 2026'!Z72="POR RECOGER"),'MAYO 2026'!K72,"")</f>
        <v/>
      </c>
      <c r="G488" s="193" t="str">
        <f aca="false">IF(AND('MAYO 2026'!D72&lt;&gt;"",'MAYO 2026'!Z72="POR RECOGER"),'MAYO 2026'!M72,"")</f>
        <v/>
      </c>
      <c r="H488" s="193" t="str">
        <f aca="false">IF(AND('MAYO 2026'!D72&lt;&gt;"",'MAYO 2026'!Z72="POR RECOGER"),'MAYO 2026'!N72,"")</f>
        <v/>
      </c>
      <c r="I488" s="192" t="str">
        <f aca="false">IF(AND('MAYO 2026'!D72&lt;&gt;"",'MAYO 2026'!Z72="POR RECOGER"),'MAYO 2026'!P72,"")</f>
        <v/>
      </c>
      <c r="J488" s="192" t="str">
        <f aca="false">IF(AND('MAYO 2026'!D72&lt;&gt;"",'MAYO 2026'!Z72="POR RECOGER"),'MAYO 2026'!Q72,"")</f>
        <v/>
      </c>
      <c r="K488" s="192" t="str">
        <f aca="false">IF(AND('MAYO 2026'!D72&lt;&gt;"",'MAYO 2026'!Z72="POR RECOGER"),'MAYO 2026'!Y72,"")</f>
        <v/>
      </c>
      <c r="L488" s="192" t="str">
        <f aca="false">IF(AND('MAYO 2026'!D72&lt;&gt;"",'MAYO 2026'!Z72="POR RECOGER"),'MAYO 2026'!I72,"")</f>
        <v/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" hidden="false" customHeight="true" outlineLevel="0" collapsed="false">
      <c r="A489" s="192" t="str">
        <f aca="false">IF(AND('MAYO 2026'!D73&lt;&gt;"",'MAYO 2026'!Z73="POR RECOGER"),"MAY","")</f>
        <v/>
      </c>
      <c r="B489" s="192" t="str">
        <f aca="false">IF(AND('MAYO 2026'!D73&lt;&gt;"",'MAYO 2026'!Z73="POR RECOGER"),IF('MAYO 2026'!Y73&lt;&gt;"",'MAYO 2026'!Y73,'MAYO 2026'!I73),"")</f>
        <v/>
      </c>
      <c r="C489" s="192" t="str">
        <f aca="false">IF(AND('MAYO 2026'!D73&lt;&gt;"",'MAYO 2026'!Z73="POR RECOGER"),'MAYO 2026'!D73,"")</f>
        <v/>
      </c>
      <c r="D489" s="192" t="str">
        <f aca="false">IF(AND('MAYO 2026'!D73&lt;&gt;"",'MAYO 2026'!Z73="POR RECOGER"),'MAYO 2026'!F73,"")</f>
        <v/>
      </c>
      <c r="E489" s="192" t="str">
        <f aca="false">IF(AND('MAYO 2026'!D73&lt;&gt;"",'MAYO 2026'!Z73="POR RECOGER"),TEXT('MAYO 2026'!G73,"DD/MM/YYYY"),"")</f>
        <v/>
      </c>
      <c r="F489" s="192" t="str">
        <f aca="false">IF(AND('MAYO 2026'!D73&lt;&gt;"",'MAYO 2026'!Z73="POR RECOGER"),'MAYO 2026'!K73,"")</f>
        <v/>
      </c>
      <c r="G489" s="193" t="str">
        <f aca="false">IF(AND('MAYO 2026'!D73&lt;&gt;"",'MAYO 2026'!Z73="POR RECOGER"),'MAYO 2026'!M73,"")</f>
        <v/>
      </c>
      <c r="H489" s="193" t="str">
        <f aca="false">IF(AND('MAYO 2026'!D73&lt;&gt;"",'MAYO 2026'!Z73="POR RECOGER"),'MAYO 2026'!N73,"")</f>
        <v/>
      </c>
      <c r="I489" s="192" t="str">
        <f aca="false">IF(AND('MAYO 2026'!D73&lt;&gt;"",'MAYO 2026'!Z73="POR RECOGER"),'MAYO 2026'!P73,"")</f>
        <v/>
      </c>
      <c r="J489" s="192" t="str">
        <f aca="false">IF(AND('MAYO 2026'!D73&lt;&gt;"",'MAYO 2026'!Z73="POR RECOGER"),'MAYO 2026'!Q73,"")</f>
        <v/>
      </c>
      <c r="K489" s="192" t="str">
        <f aca="false">IF(AND('MAYO 2026'!D73&lt;&gt;"",'MAYO 2026'!Z73="POR RECOGER"),'MAYO 2026'!Y73,"")</f>
        <v/>
      </c>
      <c r="L489" s="192" t="str">
        <f aca="false">IF(AND('MAYO 2026'!D73&lt;&gt;"",'MAYO 2026'!Z73="POR RECOGER"),'MAYO 2026'!I73,"")</f>
        <v/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" hidden="false" customHeight="true" outlineLevel="0" collapsed="false">
      <c r="A490" s="192" t="str">
        <f aca="false">IF(AND('MAYO 2026'!D74&lt;&gt;"",'MAYO 2026'!Z74="POR RECOGER"),"MAY","")</f>
        <v/>
      </c>
      <c r="B490" s="192" t="str">
        <f aca="false">IF(AND('MAYO 2026'!D74&lt;&gt;"",'MAYO 2026'!Z74="POR RECOGER"),IF('MAYO 2026'!Y74&lt;&gt;"",'MAYO 2026'!Y74,'MAYO 2026'!I74),"")</f>
        <v/>
      </c>
      <c r="C490" s="192" t="str">
        <f aca="false">IF(AND('MAYO 2026'!D74&lt;&gt;"",'MAYO 2026'!Z74="POR RECOGER"),'MAYO 2026'!D74,"")</f>
        <v/>
      </c>
      <c r="D490" s="192" t="str">
        <f aca="false">IF(AND('MAYO 2026'!D74&lt;&gt;"",'MAYO 2026'!Z74="POR RECOGER"),'MAYO 2026'!F74,"")</f>
        <v/>
      </c>
      <c r="E490" s="192" t="str">
        <f aca="false">IF(AND('MAYO 2026'!D74&lt;&gt;"",'MAYO 2026'!Z74="POR RECOGER"),TEXT('MAYO 2026'!G74,"DD/MM/YYYY"),"")</f>
        <v/>
      </c>
      <c r="F490" s="192" t="str">
        <f aca="false">IF(AND('MAYO 2026'!D74&lt;&gt;"",'MAYO 2026'!Z74="POR RECOGER"),'MAYO 2026'!K74,"")</f>
        <v/>
      </c>
      <c r="G490" s="193" t="str">
        <f aca="false">IF(AND('MAYO 2026'!D74&lt;&gt;"",'MAYO 2026'!Z74="POR RECOGER"),'MAYO 2026'!M74,"")</f>
        <v/>
      </c>
      <c r="H490" s="193" t="str">
        <f aca="false">IF(AND('MAYO 2026'!D74&lt;&gt;"",'MAYO 2026'!Z74="POR RECOGER"),'MAYO 2026'!N74,"")</f>
        <v/>
      </c>
      <c r="I490" s="192" t="str">
        <f aca="false">IF(AND('MAYO 2026'!D74&lt;&gt;"",'MAYO 2026'!Z74="POR RECOGER"),'MAYO 2026'!P74,"")</f>
        <v/>
      </c>
      <c r="J490" s="192" t="str">
        <f aca="false">IF(AND('MAYO 2026'!D74&lt;&gt;"",'MAYO 2026'!Z74="POR RECOGER"),'MAYO 2026'!Q74,"")</f>
        <v/>
      </c>
      <c r="K490" s="192" t="str">
        <f aca="false">IF(AND('MAYO 2026'!D74&lt;&gt;"",'MAYO 2026'!Z74="POR RECOGER"),'MAYO 2026'!Y74,"")</f>
        <v/>
      </c>
      <c r="L490" s="192" t="str">
        <f aca="false">IF(AND('MAYO 2026'!D74&lt;&gt;"",'MAYO 2026'!Z74="POR RECOGER"),'MAYO 2026'!I74,"")</f>
        <v/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" hidden="false" customHeight="true" outlineLevel="0" collapsed="false">
      <c r="A491" s="192" t="str">
        <f aca="false">IF(AND('MAYO 2026'!D75&lt;&gt;"",'MAYO 2026'!Z75="POR RECOGER"),"MAY","")</f>
        <v/>
      </c>
      <c r="B491" s="192" t="str">
        <f aca="false">IF(AND('MAYO 2026'!D75&lt;&gt;"",'MAYO 2026'!Z75="POR RECOGER"),IF('MAYO 2026'!Y75&lt;&gt;"",'MAYO 2026'!Y75,'MAYO 2026'!I75),"")</f>
        <v/>
      </c>
      <c r="C491" s="192" t="str">
        <f aca="false">IF(AND('MAYO 2026'!D75&lt;&gt;"",'MAYO 2026'!Z75="POR RECOGER"),'MAYO 2026'!D75,"")</f>
        <v/>
      </c>
      <c r="D491" s="192" t="str">
        <f aca="false">IF(AND('MAYO 2026'!D75&lt;&gt;"",'MAYO 2026'!Z75="POR RECOGER"),'MAYO 2026'!F75,"")</f>
        <v/>
      </c>
      <c r="E491" s="192" t="str">
        <f aca="false">IF(AND('MAYO 2026'!D75&lt;&gt;"",'MAYO 2026'!Z75="POR RECOGER"),TEXT('MAYO 2026'!G75,"DD/MM/YYYY"),"")</f>
        <v/>
      </c>
      <c r="F491" s="192" t="str">
        <f aca="false">IF(AND('MAYO 2026'!D75&lt;&gt;"",'MAYO 2026'!Z75="POR RECOGER"),'MAYO 2026'!K75,"")</f>
        <v/>
      </c>
      <c r="G491" s="193" t="str">
        <f aca="false">IF(AND('MAYO 2026'!D75&lt;&gt;"",'MAYO 2026'!Z75="POR RECOGER"),'MAYO 2026'!M75,"")</f>
        <v/>
      </c>
      <c r="H491" s="193" t="str">
        <f aca="false">IF(AND('MAYO 2026'!D75&lt;&gt;"",'MAYO 2026'!Z75="POR RECOGER"),'MAYO 2026'!N75,"")</f>
        <v/>
      </c>
      <c r="I491" s="192" t="str">
        <f aca="false">IF(AND('MAYO 2026'!D75&lt;&gt;"",'MAYO 2026'!Z75="POR RECOGER"),'MAYO 2026'!P75,"")</f>
        <v/>
      </c>
      <c r="J491" s="192" t="str">
        <f aca="false">IF(AND('MAYO 2026'!D75&lt;&gt;"",'MAYO 2026'!Z75="POR RECOGER"),'MAYO 2026'!Q75,"")</f>
        <v/>
      </c>
      <c r="K491" s="192" t="str">
        <f aca="false">IF(AND('MAYO 2026'!D75&lt;&gt;"",'MAYO 2026'!Z75="POR RECOGER"),'MAYO 2026'!Y75,"")</f>
        <v/>
      </c>
      <c r="L491" s="192" t="str">
        <f aca="false">IF(AND('MAYO 2026'!D75&lt;&gt;"",'MAYO 2026'!Z75="POR RECOGER"),'MAYO 2026'!I75,"")</f>
        <v/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" hidden="false" customHeight="true" outlineLevel="0" collapsed="false">
      <c r="A492" s="192" t="str">
        <f aca="false">IF(AND('MAYO 2026'!D76&lt;&gt;"",'MAYO 2026'!Z76="POR RECOGER"),"MAY","")</f>
        <v/>
      </c>
      <c r="B492" s="192" t="str">
        <f aca="false">IF(AND('MAYO 2026'!D76&lt;&gt;"",'MAYO 2026'!Z76="POR RECOGER"),IF('MAYO 2026'!Y76&lt;&gt;"",'MAYO 2026'!Y76,'MAYO 2026'!I76),"")</f>
        <v/>
      </c>
      <c r="C492" s="192" t="str">
        <f aca="false">IF(AND('MAYO 2026'!D76&lt;&gt;"",'MAYO 2026'!Z76="POR RECOGER"),'MAYO 2026'!D76,"")</f>
        <v/>
      </c>
      <c r="D492" s="192" t="str">
        <f aca="false">IF(AND('MAYO 2026'!D76&lt;&gt;"",'MAYO 2026'!Z76="POR RECOGER"),'MAYO 2026'!F76,"")</f>
        <v/>
      </c>
      <c r="E492" s="192" t="str">
        <f aca="false">IF(AND('MAYO 2026'!D76&lt;&gt;"",'MAYO 2026'!Z76="POR RECOGER"),TEXT('MAYO 2026'!G76,"DD/MM/YYYY"),"")</f>
        <v/>
      </c>
      <c r="F492" s="192" t="str">
        <f aca="false">IF(AND('MAYO 2026'!D76&lt;&gt;"",'MAYO 2026'!Z76="POR RECOGER"),'MAYO 2026'!K76,"")</f>
        <v/>
      </c>
      <c r="G492" s="193" t="str">
        <f aca="false">IF(AND('MAYO 2026'!D76&lt;&gt;"",'MAYO 2026'!Z76="POR RECOGER"),'MAYO 2026'!M76,"")</f>
        <v/>
      </c>
      <c r="H492" s="193" t="str">
        <f aca="false">IF(AND('MAYO 2026'!D76&lt;&gt;"",'MAYO 2026'!Z76="POR RECOGER"),'MAYO 2026'!N76,"")</f>
        <v/>
      </c>
      <c r="I492" s="192" t="str">
        <f aca="false">IF(AND('MAYO 2026'!D76&lt;&gt;"",'MAYO 2026'!Z76="POR RECOGER"),'MAYO 2026'!P76,"")</f>
        <v/>
      </c>
      <c r="J492" s="192" t="str">
        <f aca="false">IF(AND('MAYO 2026'!D76&lt;&gt;"",'MAYO 2026'!Z76="POR RECOGER"),'MAYO 2026'!Q76,"")</f>
        <v/>
      </c>
      <c r="K492" s="192" t="str">
        <f aca="false">IF(AND('MAYO 2026'!D76&lt;&gt;"",'MAYO 2026'!Z76="POR RECOGER"),'MAYO 2026'!Y76,"")</f>
        <v/>
      </c>
      <c r="L492" s="192" t="str">
        <f aca="false">IF(AND('MAYO 2026'!D76&lt;&gt;"",'MAYO 2026'!Z76="POR RECOGER"),'MAYO 2026'!I76,"")</f>
        <v/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" hidden="false" customHeight="true" outlineLevel="0" collapsed="false">
      <c r="A493" s="192" t="str">
        <f aca="false">IF(AND('MAYO 2026'!D77&lt;&gt;"",'MAYO 2026'!Z77="POR RECOGER"),"MAY","")</f>
        <v/>
      </c>
      <c r="B493" s="192" t="str">
        <f aca="false">IF(AND('MAYO 2026'!D77&lt;&gt;"",'MAYO 2026'!Z77="POR RECOGER"),IF('MAYO 2026'!Y77&lt;&gt;"",'MAYO 2026'!Y77,'MAYO 2026'!I77),"")</f>
        <v/>
      </c>
      <c r="C493" s="192" t="str">
        <f aca="false">IF(AND('MAYO 2026'!D77&lt;&gt;"",'MAYO 2026'!Z77="POR RECOGER"),'MAYO 2026'!D77,"")</f>
        <v/>
      </c>
      <c r="D493" s="192" t="str">
        <f aca="false">IF(AND('MAYO 2026'!D77&lt;&gt;"",'MAYO 2026'!Z77="POR RECOGER"),'MAYO 2026'!F77,"")</f>
        <v/>
      </c>
      <c r="E493" s="192" t="str">
        <f aca="false">IF(AND('MAYO 2026'!D77&lt;&gt;"",'MAYO 2026'!Z77="POR RECOGER"),TEXT('MAYO 2026'!G77,"DD/MM/YYYY"),"")</f>
        <v/>
      </c>
      <c r="F493" s="192" t="str">
        <f aca="false">IF(AND('MAYO 2026'!D77&lt;&gt;"",'MAYO 2026'!Z77="POR RECOGER"),'MAYO 2026'!K77,"")</f>
        <v/>
      </c>
      <c r="G493" s="193" t="str">
        <f aca="false">IF(AND('MAYO 2026'!D77&lt;&gt;"",'MAYO 2026'!Z77="POR RECOGER"),'MAYO 2026'!M77,"")</f>
        <v/>
      </c>
      <c r="H493" s="193" t="str">
        <f aca="false">IF(AND('MAYO 2026'!D77&lt;&gt;"",'MAYO 2026'!Z77="POR RECOGER"),'MAYO 2026'!N77,"")</f>
        <v/>
      </c>
      <c r="I493" s="192" t="str">
        <f aca="false">IF(AND('MAYO 2026'!D77&lt;&gt;"",'MAYO 2026'!Z77="POR RECOGER"),'MAYO 2026'!P77,"")</f>
        <v/>
      </c>
      <c r="J493" s="192" t="str">
        <f aca="false">IF(AND('MAYO 2026'!D77&lt;&gt;"",'MAYO 2026'!Z77="POR RECOGER"),'MAYO 2026'!Q77,"")</f>
        <v/>
      </c>
      <c r="K493" s="192" t="str">
        <f aca="false">IF(AND('MAYO 2026'!D77&lt;&gt;"",'MAYO 2026'!Z77="POR RECOGER"),'MAYO 2026'!Y77,"")</f>
        <v/>
      </c>
      <c r="L493" s="192" t="str">
        <f aca="false">IF(AND('MAYO 2026'!D77&lt;&gt;"",'MAYO 2026'!Z77="POR RECOGER"),'MAYO 2026'!I77,"")</f>
        <v/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" hidden="false" customHeight="true" outlineLevel="0" collapsed="false">
      <c r="A494" s="192" t="str">
        <f aca="false">IF(AND('MAYO 2026'!D78&lt;&gt;"",'MAYO 2026'!Z78="POR RECOGER"),"MAY","")</f>
        <v/>
      </c>
      <c r="B494" s="192" t="str">
        <f aca="false">IF(AND('MAYO 2026'!D78&lt;&gt;"",'MAYO 2026'!Z78="POR RECOGER"),IF('MAYO 2026'!Y78&lt;&gt;"",'MAYO 2026'!Y78,'MAYO 2026'!I78),"")</f>
        <v/>
      </c>
      <c r="C494" s="192" t="str">
        <f aca="false">IF(AND('MAYO 2026'!D78&lt;&gt;"",'MAYO 2026'!Z78="POR RECOGER"),'MAYO 2026'!D78,"")</f>
        <v/>
      </c>
      <c r="D494" s="192" t="str">
        <f aca="false">IF(AND('MAYO 2026'!D78&lt;&gt;"",'MAYO 2026'!Z78="POR RECOGER"),'MAYO 2026'!F78,"")</f>
        <v/>
      </c>
      <c r="E494" s="192" t="str">
        <f aca="false">IF(AND('MAYO 2026'!D78&lt;&gt;"",'MAYO 2026'!Z78="POR RECOGER"),TEXT('MAYO 2026'!G78,"DD/MM/YYYY"),"")</f>
        <v/>
      </c>
      <c r="F494" s="192" t="str">
        <f aca="false">IF(AND('MAYO 2026'!D78&lt;&gt;"",'MAYO 2026'!Z78="POR RECOGER"),'MAYO 2026'!K78,"")</f>
        <v/>
      </c>
      <c r="G494" s="193" t="str">
        <f aca="false">IF(AND('MAYO 2026'!D78&lt;&gt;"",'MAYO 2026'!Z78="POR RECOGER"),'MAYO 2026'!M78,"")</f>
        <v/>
      </c>
      <c r="H494" s="193" t="str">
        <f aca="false">IF(AND('MAYO 2026'!D78&lt;&gt;"",'MAYO 2026'!Z78="POR RECOGER"),'MAYO 2026'!N78,"")</f>
        <v/>
      </c>
      <c r="I494" s="192" t="str">
        <f aca="false">IF(AND('MAYO 2026'!D78&lt;&gt;"",'MAYO 2026'!Z78="POR RECOGER"),'MAYO 2026'!P78,"")</f>
        <v/>
      </c>
      <c r="J494" s="192" t="str">
        <f aca="false">IF(AND('MAYO 2026'!D78&lt;&gt;"",'MAYO 2026'!Z78="POR RECOGER"),'MAYO 2026'!Q78,"")</f>
        <v/>
      </c>
      <c r="K494" s="192" t="str">
        <f aca="false">IF(AND('MAYO 2026'!D78&lt;&gt;"",'MAYO 2026'!Z78="POR RECOGER"),'MAYO 2026'!Y78,"")</f>
        <v/>
      </c>
      <c r="L494" s="192" t="str">
        <f aca="false">IF(AND('MAYO 2026'!D78&lt;&gt;"",'MAYO 2026'!Z78="POR RECOGER"),'MAYO 2026'!I78,"")</f>
        <v/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" hidden="false" customHeight="true" outlineLevel="0" collapsed="false">
      <c r="A495" s="192" t="str">
        <f aca="false">IF(AND('MAYO 2026'!D79&lt;&gt;"",'MAYO 2026'!Z79="POR RECOGER"),"MAY","")</f>
        <v/>
      </c>
      <c r="B495" s="192" t="str">
        <f aca="false">IF(AND('MAYO 2026'!D79&lt;&gt;"",'MAYO 2026'!Z79="POR RECOGER"),IF('MAYO 2026'!Y79&lt;&gt;"",'MAYO 2026'!Y79,'MAYO 2026'!I79),"")</f>
        <v/>
      </c>
      <c r="C495" s="192" t="str">
        <f aca="false">IF(AND('MAYO 2026'!D79&lt;&gt;"",'MAYO 2026'!Z79="POR RECOGER"),'MAYO 2026'!D79,"")</f>
        <v/>
      </c>
      <c r="D495" s="192" t="str">
        <f aca="false">IF(AND('MAYO 2026'!D79&lt;&gt;"",'MAYO 2026'!Z79="POR RECOGER"),'MAYO 2026'!F79,"")</f>
        <v/>
      </c>
      <c r="E495" s="192" t="str">
        <f aca="false">IF(AND('MAYO 2026'!D79&lt;&gt;"",'MAYO 2026'!Z79="POR RECOGER"),TEXT('MAYO 2026'!G79,"DD/MM/YYYY"),"")</f>
        <v/>
      </c>
      <c r="F495" s="192" t="str">
        <f aca="false">IF(AND('MAYO 2026'!D79&lt;&gt;"",'MAYO 2026'!Z79="POR RECOGER"),'MAYO 2026'!K79,"")</f>
        <v/>
      </c>
      <c r="G495" s="193" t="str">
        <f aca="false">IF(AND('MAYO 2026'!D79&lt;&gt;"",'MAYO 2026'!Z79="POR RECOGER"),'MAYO 2026'!M79,"")</f>
        <v/>
      </c>
      <c r="H495" s="193" t="str">
        <f aca="false">IF(AND('MAYO 2026'!D79&lt;&gt;"",'MAYO 2026'!Z79="POR RECOGER"),'MAYO 2026'!N79,"")</f>
        <v/>
      </c>
      <c r="I495" s="192" t="str">
        <f aca="false">IF(AND('MAYO 2026'!D79&lt;&gt;"",'MAYO 2026'!Z79="POR RECOGER"),'MAYO 2026'!P79,"")</f>
        <v/>
      </c>
      <c r="J495" s="192" t="str">
        <f aca="false">IF(AND('MAYO 2026'!D79&lt;&gt;"",'MAYO 2026'!Z79="POR RECOGER"),'MAYO 2026'!Q79,"")</f>
        <v/>
      </c>
      <c r="K495" s="192" t="str">
        <f aca="false">IF(AND('MAYO 2026'!D79&lt;&gt;"",'MAYO 2026'!Z79="POR RECOGER"),'MAYO 2026'!Y79,"")</f>
        <v/>
      </c>
      <c r="L495" s="192" t="str">
        <f aca="false">IF(AND('MAYO 2026'!D79&lt;&gt;"",'MAYO 2026'!Z79="POR RECOGER"),'MAYO 2026'!I79,"")</f>
        <v/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" hidden="false" customHeight="true" outlineLevel="0" collapsed="false">
      <c r="A496" s="192" t="str">
        <f aca="false">IF(AND('MAYO 2026'!D80&lt;&gt;"",'MAYO 2026'!Z80="POR RECOGER"),"MAY","")</f>
        <v/>
      </c>
      <c r="B496" s="192" t="str">
        <f aca="false">IF(AND('MAYO 2026'!D80&lt;&gt;"",'MAYO 2026'!Z80="POR RECOGER"),IF('MAYO 2026'!Y80&lt;&gt;"",'MAYO 2026'!Y80,'MAYO 2026'!I80),"")</f>
        <v/>
      </c>
      <c r="C496" s="192" t="str">
        <f aca="false">IF(AND('MAYO 2026'!D80&lt;&gt;"",'MAYO 2026'!Z80="POR RECOGER"),'MAYO 2026'!D80,"")</f>
        <v/>
      </c>
      <c r="D496" s="192" t="str">
        <f aca="false">IF(AND('MAYO 2026'!D80&lt;&gt;"",'MAYO 2026'!Z80="POR RECOGER"),'MAYO 2026'!F80,"")</f>
        <v/>
      </c>
      <c r="E496" s="192" t="str">
        <f aca="false">IF(AND('MAYO 2026'!D80&lt;&gt;"",'MAYO 2026'!Z80="POR RECOGER"),TEXT('MAYO 2026'!G80,"DD/MM/YYYY"),"")</f>
        <v/>
      </c>
      <c r="F496" s="192" t="str">
        <f aca="false">IF(AND('MAYO 2026'!D80&lt;&gt;"",'MAYO 2026'!Z80="POR RECOGER"),'MAYO 2026'!K80,"")</f>
        <v/>
      </c>
      <c r="G496" s="193" t="str">
        <f aca="false">IF(AND('MAYO 2026'!D80&lt;&gt;"",'MAYO 2026'!Z80="POR RECOGER"),'MAYO 2026'!M80,"")</f>
        <v/>
      </c>
      <c r="H496" s="193" t="str">
        <f aca="false">IF(AND('MAYO 2026'!D80&lt;&gt;"",'MAYO 2026'!Z80="POR RECOGER"),'MAYO 2026'!N80,"")</f>
        <v/>
      </c>
      <c r="I496" s="192" t="str">
        <f aca="false">IF(AND('MAYO 2026'!D80&lt;&gt;"",'MAYO 2026'!Z80="POR RECOGER"),'MAYO 2026'!P80,"")</f>
        <v/>
      </c>
      <c r="J496" s="192" t="str">
        <f aca="false">IF(AND('MAYO 2026'!D80&lt;&gt;"",'MAYO 2026'!Z80="POR RECOGER"),'MAYO 2026'!Q80,"")</f>
        <v/>
      </c>
      <c r="K496" s="192" t="str">
        <f aca="false">IF(AND('MAYO 2026'!D80&lt;&gt;"",'MAYO 2026'!Z80="POR RECOGER"),'MAYO 2026'!Y80,"")</f>
        <v/>
      </c>
      <c r="L496" s="192" t="str">
        <f aca="false">IF(AND('MAYO 2026'!D80&lt;&gt;"",'MAYO 2026'!Z80="POR RECOGER"),'MAYO 2026'!I80,"")</f>
        <v/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" hidden="false" customHeight="true" outlineLevel="0" collapsed="false">
      <c r="A497" s="192" t="str">
        <f aca="false">IF(AND('MAYO 2026'!D81&lt;&gt;"",'MAYO 2026'!Z81="POR RECOGER"),"MAY","")</f>
        <v/>
      </c>
      <c r="B497" s="192" t="str">
        <f aca="false">IF(AND('MAYO 2026'!D81&lt;&gt;"",'MAYO 2026'!Z81="POR RECOGER"),IF('MAYO 2026'!Y81&lt;&gt;"",'MAYO 2026'!Y81,'MAYO 2026'!I81),"")</f>
        <v/>
      </c>
      <c r="C497" s="192" t="str">
        <f aca="false">IF(AND('MAYO 2026'!D81&lt;&gt;"",'MAYO 2026'!Z81="POR RECOGER"),'MAYO 2026'!D81,"")</f>
        <v/>
      </c>
      <c r="D497" s="192" t="str">
        <f aca="false">IF(AND('MAYO 2026'!D81&lt;&gt;"",'MAYO 2026'!Z81="POR RECOGER"),'MAYO 2026'!F81,"")</f>
        <v/>
      </c>
      <c r="E497" s="192" t="str">
        <f aca="false">IF(AND('MAYO 2026'!D81&lt;&gt;"",'MAYO 2026'!Z81="POR RECOGER"),TEXT('MAYO 2026'!G81,"DD/MM/YYYY"),"")</f>
        <v/>
      </c>
      <c r="F497" s="192" t="str">
        <f aca="false">IF(AND('MAYO 2026'!D81&lt;&gt;"",'MAYO 2026'!Z81="POR RECOGER"),'MAYO 2026'!K81,"")</f>
        <v/>
      </c>
      <c r="G497" s="193" t="str">
        <f aca="false">IF(AND('MAYO 2026'!D81&lt;&gt;"",'MAYO 2026'!Z81="POR RECOGER"),'MAYO 2026'!M81,"")</f>
        <v/>
      </c>
      <c r="H497" s="193" t="str">
        <f aca="false">IF(AND('MAYO 2026'!D81&lt;&gt;"",'MAYO 2026'!Z81="POR RECOGER"),'MAYO 2026'!N81,"")</f>
        <v/>
      </c>
      <c r="I497" s="192" t="str">
        <f aca="false">IF(AND('MAYO 2026'!D81&lt;&gt;"",'MAYO 2026'!Z81="POR RECOGER"),'MAYO 2026'!P81,"")</f>
        <v/>
      </c>
      <c r="J497" s="192" t="str">
        <f aca="false">IF(AND('MAYO 2026'!D81&lt;&gt;"",'MAYO 2026'!Z81="POR RECOGER"),'MAYO 2026'!Q81,"")</f>
        <v/>
      </c>
      <c r="K497" s="192" t="str">
        <f aca="false">IF(AND('MAYO 2026'!D81&lt;&gt;"",'MAYO 2026'!Z81="POR RECOGER"),'MAYO 2026'!Y81,"")</f>
        <v/>
      </c>
      <c r="L497" s="192" t="str">
        <f aca="false">IF(AND('MAYO 2026'!D81&lt;&gt;"",'MAYO 2026'!Z81="POR RECOGER"),'MAYO 2026'!I81,"")</f>
        <v/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" hidden="false" customHeight="true" outlineLevel="0" collapsed="false">
      <c r="A498" s="192" t="str">
        <f aca="false">IF(AND('MAYO 2026'!D82&lt;&gt;"",'MAYO 2026'!Z82="POR RECOGER"),"MAY","")</f>
        <v/>
      </c>
      <c r="B498" s="192" t="str">
        <f aca="false">IF(AND('MAYO 2026'!D82&lt;&gt;"",'MAYO 2026'!Z82="POR RECOGER"),IF('MAYO 2026'!Y82&lt;&gt;"",'MAYO 2026'!Y82,'MAYO 2026'!I82),"")</f>
        <v/>
      </c>
      <c r="C498" s="192" t="str">
        <f aca="false">IF(AND('MAYO 2026'!D82&lt;&gt;"",'MAYO 2026'!Z82="POR RECOGER"),'MAYO 2026'!D82,"")</f>
        <v/>
      </c>
      <c r="D498" s="192" t="str">
        <f aca="false">IF(AND('MAYO 2026'!D82&lt;&gt;"",'MAYO 2026'!Z82="POR RECOGER"),'MAYO 2026'!F82,"")</f>
        <v/>
      </c>
      <c r="E498" s="192" t="str">
        <f aca="false">IF(AND('MAYO 2026'!D82&lt;&gt;"",'MAYO 2026'!Z82="POR RECOGER"),TEXT('MAYO 2026'!G82,"DD/MM/YYYY"),"")</f>
        <v/>
      </c>
      <c r="F498" s="192" t="str">
        <f aca="false">IF(AND('MAYO 2026'!D82&lt;&gt;"",'MAYO 2026'!Z82="POR RECOGER"),'MAYO 2026'!K82,"")</f>
        <v/>
      </c>
      <c r="G498" s="193" t="str">
        <f aca="false">IF(AND('MAYO 2026'!D82&lt;&gt;"",'MAYO 2026'!Z82="POR RECOGER"),'MAYO 2026'!M82,"")</f>
        <v/>
      </c>
      <c r="H498" s="193" t="str">
        <f aca="false">IF(AND('MAYO 2026'!D82&lt;&gt;"",'MAYO 2026'!Z82="POR RECOGER"),'MAYO 2026'!N82,"")</f>
        <v/>
      </c>
      <c r="I498" s="192" t="str">
        <f aca="false">IF(AND('MAYO 2026'!D82&lt;&gt;"",'MAYO 2026'!Z82="POR RECOGER"),'MAYO 2026'!P82,"")</f>
        <v/>
      </c>
      <c r="J498" s="192" t="str">
        <f aca="false">IF(AND('MAYO 2026'!D82&lt;&gt;"",'MAYO 2026'!Z82="POR RECOGER"),'MAYO 2026'!Q82,"")</f>
        <v/>
      </c>
      <c r="K498" s="192" t="str">
        <f aca="false">IF(AND('MAYO 2026'!D82&lt;&gt;"",'MAYO 2026'!Z82="POR RECOGER"),'MAYO 2026'!Y82,"")</f>
        <v/>
      </c>
      <c r="L498" s="192" t="str">
        <f aca="false">IF(AND('MAYO 2026'!D82&lt;&gt;"",'MAYO 2026'!Z82="POR RECOGER"),'MAYO 2026'!I82,"")</f>
        <v/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" hidden="false" customHeight="true" outlineLevel="0" collapsed="false">
      <c r="A499" s="192" t="str">
        <f aca="false">IF(AND('MAYO 2026'!D83&lt;&gt;"",'MAYO 2026'!Z83="POR RECOGER"),"MAY","")</f>
        <v/>
      </c>
      <c r="B499" s="192" t="str">
        <f aca="false">IF(AND('MAYO 2026'!D83&lt;&gt;"",'MAYO 2026'!Z83="POR RECOGER"),IF('MAYO 2026'!Y83&lt;&gt;"",'MAYO 2026'!Y83,'MAYO 2026'!I83),"")</f>
        <v/>
      </c>
      <c r="C499" s="192" t="str">
        <f aca="false">IF(AND('MAYO 2026'!D83&lt;&gt;"",'MAYO 2026'!Z83="POR RECOGER"),'MAYO 2026'!D83,"")</f>
        <v/>
      </c>
      <c r="D499" s="192" t="str">
        <f aca="false">IF(AND('MAYO 2026'!D83&lt;&gt;"",'MAYO 2026'!Z83="POR RECOGER"),'MAYO 2026'!F83,"")</f>
        <v/>
      </c>
      <c r="E499" s="192" t="str">
        <f aca="false">IF(AND('MAYO 2026'!D83&lt;&gt;"",'MAYO 2026'!Z83="POR RECOGER"),TEXT('MAYO 2026'!G83,"DD/MM/YYYY"),"")</f>
        <v/>
      </c>
      <c r="F499" s="192" t="str">
        <f aca="false">IF(AND('MAYO 2026'!D83&lt;&gt;"",'MAYO 2026'!Z83="POR RECOGER"),'MAYO 2026'!K83,"")</f>
        <v/>
      </c>
      <c r="G499" s="193" t="str">
        <f aca="false">IF(AND('MAYO 2026'!D83&lt;&gt;"",'MAYO 2026'!Z83="POR RECOGER"),'MAYO 2026'!M83,"")</f>
        <v/>
      </c>
      <c r="H499" s="193" t="str">
        <f aca="false">IF(AND('MAYO 2026'!D83&lt;&gt;"",'MAYO 2026'!Z83="POR RECOGER"),'MAYO 2026'!N83,"")</f>
        <v/>
      </c>
      <c r="I499" s="192" t="str">
        <f aca="false">IF(AND('MAYO 2026'!D83&lt;&gt;"",'MAYO 2026'!Z83="POR RECOGER"),'MAYO 2026'!P83,"")</f>
        <v/>
      </c>
      <c r="J499" s="192" t="str">
        <f aca="false">IF(AND('MAYO 2026'!D83&lt;&gt;"",'MAYO 2026'!Z83="POR RECOGER"),'MAYO 2026'!Q83,"")</f>
        <v/>
      </c>
      <c r="K499" s="192" t="str">
        <f aca="false">IF(AND('MAYO 2026'!D83&lt;&gt;"",'MAYO 2026'!Z83="POR RECOGER"),'MAYO 2026'!Y83,"")</f>
        <v/>
      </c>
      <c r="L499" s="192" t="str">
        <f aca="false">IF(AND('MAYO 2026'!D83&lt;&gt;"",'MAYO 2026'!Z83="POR RECOGER"),'MAYO 2026'!I83,"")</f>
        <v/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" hidden="false" customHeight="true" outlineLevel="0" collapsed="false">
      <c r="A500" s="192" t="str">
        <f aca="false">IF(AND('MAYO 2026'!D84&lt;&gt;"",'MAYO 2026'!Z84="POR RECOGER"),"MAY","")</f>
        <v/>
      </c>
      <c r="B500" s="192" t="str">
        <f aca="false">IF(AND('MAYO 2026'!D84&lt;&gt;"",'MAYO 2026'!Z84="POR RECOGER"),IF('MAYO 2026'!Y84&lt;&gt;"",'MAYO 2026'!Y84,'MAYO 2026'!I84),"")</f>
        <v/>
      </c>
      <c r="C500" s="192" t="str">
        <f aca="false">IF(AND('MAYO 2026'!D84&lt;&gt;"",'MAYO 2026'!Z84="POR RECOGER"),'MAYO 2026'!D84,"")</f>
        <v/>
      </c>
      <c r="D500" s="192" t="str">
        <f aca="false">IF(AND('MAYO 2026'!D84&lt;&gt;"",'MAYO 2026'!Z84="POR RECOGER"),'MAYO 2026'!F84,"")</f>
        <v/>
      </c>
      <c r="E500" s="192" t="str">
        <f aca="false">IF(AND('MAYO 2026'!D84&lt;&gt;"",'MAYO 2026'!Z84="POR RECOGER"),TEXT('MAYO 2026'!G84,"DD/MM/YYYY"),"")</f>
        <v/>
      </c>
      <c r="F500" s="192" t="str">
        <f aca="false">IF(AND('MAYO 2026'!D84&lt;&gt;"",'MAYO 2026'!Z84="POR RECOGER"),'MAYO 2026'!K84,"")</f>
        <v/>
      </c>
      <c r="G500" s="193" t="str">
        <f aca="false">IF(AND('MAYO 2026'!D84&lt;&gt;"",'MAYO 2026'!Z84="POR RECOGER"),'MAYO 2026'!M84,"")</f>
        <v/>
      </c>
      <c r="H500" s="193" t="str">
        <f aca="false">IF(AND('MAYO 2026'!D84&lt;&gt;"",'MAYO 2026'!Z84="POR RECOGER"),'MAYO 2026'!N84,"")</f>
        <v/>
      </c>
      <c r="I500" s="192" t="str">
        <f aca="false">IF(AND('MAYO 2026'!D84&lt;&gt;"",'MAYO 2026'!Z84="POR RECOGER"),'MAYO 2026'!P84,"")</f>
        <v/>
      </c>
      <c r="J500" s="192" t="str">
        <f aca="false">IF(AND('MAYO 2026'!D84&lt;&gt;"",'MAYO 2026'!Z84="POR RECOGER"),'MAYO 2026'!Q84,"")</f>
        <v/>
      </c>
      <c r="K500" s="192" t="str">
        <f aca="false">IF(AND('MAYO 2026'!D84&lt;&gt;"",'MAYO 2026'!Z84="POR RECOGER"),'MAYO 2026'!Y84,"")</f>
        <v/>
      </c>
      <c r="L500" s="192" t="str">
        <f aca="false">IF(AND('MAYO 2026'!D84&lt;&gt;"",'MAYO 2026'!Z84="POR RECOGER"),'MAYO 2026'!I84,"")</f>
        <v/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" hidden="false" customHeight="true" outlineLevel="0" collapsed="false">
      <c r="A501" s="192" t="str">
        <f aca="false">IF(AND('MAYO 2026'!D85&lt;&gt;"",'MAYO 2026'!Z85="POR RECOGER"),"MAY","")</f>
        <v/>
      </c>
      <c r="B501" s="192" t="str">
        <f aca="false">IF(AND('MAYO 2026'!D85&lt;&gt;"",'MAYO 2026'!Z85="POR RECOGER"),IF('MAYO 2026'!Y85&lt;&gt;"",'MAYO 2026'!Y85,'MAYO 2026'!I85),"")</f>
        <v/>
      </c>
      <c r="C501" s="192" t="str">
        <f aca="false">IF(AND('MAYO 2026'!D85&lt;&gt;"",'MAYO 2026'!Z85="POR RECOGER"),'MAYO 2026'!D85,"")</f>
        <v/>
      </c>
      <c r="D501" s="192" t="str">
        <f aca="false">IF(AND('MAYO 2026'!D85&lt;&gt;"",'MAYO 2026'!Z85="POR RECOGER"),'MAYO 2026'!F85,"")</f>
        <v/>
      </c>
      <c r="E501" s="192" t="str">
        <f aca="false">IF(AND('MAYO 2026'!D85&lt;&gt;"",'MAYO 2026'!Z85="POR RECOGER"),TEXT('MAYO 2026'!G85,"DD/MM/YYYY"),"")</f>
        <v/>
      </c>
      <c r="F501" s="192" t="str">
        <f aca="false">IF(AND('MAYO 2026'!D85&lt;&gt;"",'MAYO 2026'!Z85="POR RECOGER"),'MAYO 2026'!K85,"")</f>
        <v/>
      </c>
      <c r="G501" s="193" t="str">
        <f aca="false">IF(AND('MAYO 2026'!D85&lt;&gt;"",'MAYO 2026'!Z85="POR RECOGER"),'MAYO 2026'!M85,"")</f>
        <v/>
      </c>
      <c r="H501" s="193" t="str">
        <f aca="false">IF(AND('MAYO 2026'!D85&lt;&gt;"",'MAYO 2026'!Z85="POR RECOGER"),'MAYO 2026'!N85,"")</f>
        <v/>
      </c>
      <c r="I501" s="192" t="str">
        <f aca="false">IF(AND('MAYO 2026'!D85&lt;&gt;"",'MAYO 2026'!Z85="POR RECOGER"),'MAYO 2026'!P85,"")</f>
        <v/>
      </c>
      <c r="J501" s="192" t="str">
        <f aca="false">IF(AND('MAYO 2026'!D85&lt;&gt;"",'MAYO 2026'!Z85="POR RECOGER"),'MAYO 2026'!Q85,"")</f>
        <v/>
      </c>
      <c r="K501" s="192" t="str">
        <f aca="false">IF(AND('MAYO 2026'!D85&lt;&gt;"",'MAYO 2026'!Z85="POR RECOGER"),'MAYO 2026'!Y85,"")</f>
        <v/>
      </c>
      <c r="L501" s="192" t="str">
        <f aca="false">IF(AND('MAYO 2026'!D85&lt;&gt;"",'MAYO 2026'!Z85="POR RECOGER"),'MAYO 2026'!I85,"")</f>
        <v/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" hidden="false" customHeight="true" outlineLevel="0" collapsed="false">
      <c r="A502" s="192" t="str">
        <f aca="false">IF(AND('MAYO 2026'!D86&lt;&gt;"",'MAYO 2026'!Z86="POR RECOGER"),"MAY","")</f>
        <v/>
      </c>
      <c r="B502" s="192" t="str">
        <f aca="false">IF(AND('MAYO 2026'!D86&lt;&gt;"",'MAYO 2026'!Z86="POR RECOGER"),IF('MAYO 2026'!Y86&lt;&gt;"",'MAYO 2026'!Y86,'MAYO 2026'!I86),"")</f>
        <v/>
      </c>
      <c r="C502" s="192" t="str">
        <f aca="false">IF(AND('MAYO 2026'!D86&lt;&gt;"",'MAYO 2026'!Z86="POR RECOGER"),'MAYO 2026'!D86,"")</f>
        <v/>
      </c>
      <c r="D502" s="192" t="str">
        <f aca="false">IF(AND('MAYO 2026'!D86&lt;&gt;"",'MAYO 2026'!Z86="POR RECOGER"),'MAYO 2026'!F86,"")</f>
        <v/>
      </c>
      <c r="E502" s="192" t="str">
        <f aca="false">IF(AND('MAYO 2026'!D86&lt;&gt;"",'MAYO 2026'!Z86="POR RECOGER"),TEXT('MAYO 2026'!G86,"DD/MM/YYYY"),"")</f>
        <v/>
      </c>
      <c r="F502" s="192" t="str">
        <f aca="false">IF(AND('MAYO 2026'!D86&lt;&gt;"",'MAYO 2026'!Z86="POR RECOGER"),'MAYO 2026'!K86,"")</f>
        <v/>
      </c>
      <c r="G502" s="193" t="str">
        <f aca="false">IF(AND('MAYO 2026'!D86&lt;&gt;"",'MAYO 2026'!Z86="POR RECOGER"),'MAYO 2026'!M86,"")</f>
        <v/>
      </c>
      <c r="H502" s="193" t="str">
        <f aca="false">IF(AND('MAYO 2026'!D86&lt;&gt;"",'MAYO 2026'!Z86="POR RECOGER"),'MAYO 2026'!N86,"")</f>
        <v/>
      </c>
      <c r="I502" s="192" t="str">
        <f aca="false">IF(AND('MAYO 2026'!D86&lt;&gt;"",'MAYO 2026'!Z86="POR RECOGER"),'MAYO 2026'!P86,"")</f>
        <v/>
      </c>
      <c r="J502" s="192" t="str">
        <f aca="false">IF(AND('MAYO 2026'!D86&lt;&gt;"",'MAYO 2026'!Z86="POR RECOGER"),'MAYO 2026'!Q86,"")</f>
        <v/>
      </c>
      <c r="K502" s="192" t="str">
        <f aca="false">IF(AND('MAYO 2026'!D86&lt;&gt;"",'MAYO 2026'!Z86="POR RECOGER"),'MAYO 2026'!Y86,"")</f>
        <v/>
      </c>
      <c r="L502" s="192" t="str">
        <f aca="false">IF(AND('MAYO 2026'!D86&lt;&gt;"",'MAYO 2026'!Z86="POR RECOGER"),'MAYO 2026'!I86,"")</f>
        <v/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" hidden="false" customHeight="true" outlineLevel="0" collapsed="false">
      <c r="A503" s="192" t="str">
        <f aca="false">IF(AND('MAYO 2026'!D87&lt;&gt;"",'MAYO 2026'!Z87="POR RECOGER"),"MAY","")</f>
        <v/>
      </c>
      <c r="B503" s="192" t="str">
        <f aca="false">IF(AND('MAYO 2026'!D87&lt;&gt;"",'MAYO 2026'!Z87="POR RECOGER"),IF('MAYO 2026'!Y87&lt;&gt;"",'MAYO 2026'!Y87,'MAYO 2026'!I87),"")</f>
        <v/>
      </c>
      <c r="C503" s="192" t="str">
        <f aca="false">IF(AND('MAYO 2026'!D87&lt;&gt;"",'MAYO 2026'!Z87="POR RECOGER"),'MAYO 2026'!D87,"")</f>
        <v/>
      </c>
      <c r="D503" s="192" t="str">
        <f aca="false">IF(AND('MAYO 2026'!D87&lt;&gt;"",'MAYO 2026'!Z87="POR RECOGER"),'MAYO 2026'!F87,"")</f>
        <v/>
      </c>
      <c r="E503" s="192" t="str">
        <f aca="false">IF(AND('MAYO 2026'!D87&lt;&gt;"",'MAYO 2026'!Z87="POR RECOGER"),TEXT('MAYO 2026'!G87,"DD/MM/YYYY"),"")</f>
        <v/>
      </c>
      <c r="F503" s="192" t="str">
        <f aca="false">IF(AND('MAYO 2026'!D87&lt;&gt;"",'MAYO 2026'!Z87="POR RECOGER"),'MAYO 2026'!K87,"")</f>
        <v/>
      </c>
      <c r="G503" s="193" t="str">
        <f aca="false">IF(AND('MAYO 2026'!D87&lt;&gt;"",'MAYO 2026'!Z87="POR RECOGER"),'MAYO 2026'!M87,"")</f>
        <v/>
      </c>
      <c r="H503" s="193" t="str">
        <f aca="false">IF(AND('MAYO 2026'!D87&lt;&gt;"",'MAYO 2026'!Z87="POR RECOGER"),'MAYO 2026'!N87,"")</f>
        <v/>
      </c>
      <c r="I503" s="192" t="str">
        <f aca="false">IF(AND('MAYO 2026'!D87&lt;&gt;"",'MAYO 2026'!Z87="POR RECOGER"),'MAYO 2026'!P87,"")</f>
        <v/>
      </c>
      <c r="J503" s="192" t="str">
        <f aca="false">IF(AND('MAYO 2026'!D87&lt;&gt;"",'MAYO 2026'!Z87="POR RECOGER"),'MAYO 2026'!Q87,"")</f>
        <v/>
      </c>
      <c r="K503" s="192" t="str">
        <f aca="false">IF(AND('MAYO 2026'!D87&lt;&gt;"",'MAYO 2026'!Z87="POR RECOGER"),'MAYO 2026'!Y87,"")</f>
        <v/>
      </c>
      <c r="L503" s="192" t="str">
        <f aca="false">IF(AND('MAYO 2026'!D87&lt;&gt;"",'MAYO 2026'!Z87="POR RECOGER"),'MAYO 2026'!I87,"")</f>
        <v/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" hidden="false" customHeight="true" outlineLevel="0" collapsed="false">
      <c r="A504" s="192" t="str">
        <f aca="false">IF(AND('MAYO 2026'!D88&lt;&gt;"",'MAYO 2026'!Z88="POR RECOGER"),"MAY","")</f>
        <v/>
      </c>
      <c r="B504" s="192" t="str">
        <f aca="false">IF(AND('MAYO 2026'!D88&lt;&gt;"",'MAYO 2026'!Z88="POR RECOGER"),IF('MAYO 2026'!Y88&lt;&gt;"",'MAYO 2026'!Y88,'MAYO 2026'!I88),"")</f>
        <v/>
      </c>
      <c r="C504" s="192" t="str">
        <f aca="false">IF(AND('MAYO 2026'!D88&lt;&gt;"",'MAYO 2026'!Z88="POR RECOGER"),'MAYO 2026'!D88,"")</f>
        <v/>
      </c>
      <c r="D504" s="192" t="str">
        <f aca="false">IF(AND('MAYO 2026'!D88&lt;&gt;"",'MAYO 2026'!Z88="POR RECOGER"),'MAYO 2026'!F88,"")</f>
        <v/>
      </c>
      <c r="E504" s="192" t="str">
        <f aca="false">IF(AND('MAYO 2026'!D88&lt;&gt;"",'MAYO 2026'!Z88="POR RECOGER"),TEXT('MAYO 2026'!G88,"DD/MM/YYYY"),"")</f>
        <v/>
      </c>
      <c r="F504" s="192" t="str">
        <f aca="false">IF(AND('MAYO 2026'!D88&lt;&gt;"",'MAYO 2026'!Z88="POR RECOGER"),'MAYO 2026'!K88,"")</f>
        <v/>
      </c>
      <c r="G504" s="193" t="str">
        <f aca="false">IF(AND('MAYO 2026'!D88&lt;&gt;"",'MAYO 2026'!Z88="POR RECOGER"),'MAYO 2026'!M88,"")</f>
        <v/>
      </c>
      <c r="H504" s="193" t="str">
        <f aca="false">IF(AND('MAYO 2026'!D88&lt;&gt;"",'MAYO 2026'!Z88="POR RECOGER"),'MAYO 2026'!N88,"")</f>
        <v/>
      </c>
      <c r="I504" s="192" t="str">
        <f aca="false">IF(AND('MAYO 2026'!D88&lt;&gt;"",'MAYO 2026'!Z88="POR RECOGER"),'MAYO 2026'!P88,"")</f>
        <v/>
      </c>
      <c r="J504" s="192" t="str">
        <f aca="false">IF(AND('MAYO 2026'!D88&lt;&gt;"",'MAYO 2026'!Z88="POR RECOGER"),'MAYO 2026'!Q88,"")</f>
        <v/>
      </c>
      <c r="K504" s="192" t="str">
        <f aca="false">IF(AND('MAYO 2026'!D88&lt;&gt;"",'MAYO 2026'!Z88="POR RECOGER"),'MAYO 2026'!Y88,"")</f>
        <v/>
      </c>
      <c r="L504" s="192" t="str">
        <f aca="false">IF(AND('MAYO 2026'!D88&lt;&gt;"",'MAYO 2026'!Z88="POR RECOGER"),'MAYO 2026'!I88,"")</f>
        <v/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" hidden="false" customHeight="true" outlineLevel="0" collapsed="false">
      <c r="A505" s="192" t="str">
        <f aca="false">IF(AND('MAYO 2026'!D89&lt;&gt;"",'MAYO 2026'!Z89="POR RECOGER"),"MAY","")</f>
        <v/>
      </c>
      <c r="B505" s="192" t="str">
        <f aca="false">IF(AND('MAYO 2026'!D89&lt;&gt;"",'MAYO 2026'!Z89="POR RECOGER"),IF('MAYO 2026'!Y89&lt;&gt;"",'MAYO 2026'!Y89,'MAYO 2026'!I89),"")</f>
        <v/>
      </c>
      <c r="C505" s="192" t="str">
        <f aca="false">IF(AND('MAYO 2026'!D89&lt;&gt;"",'MAYO 2026'!Z89="POR RECOGER"),'MAYO 2026'!D89,"")</f>
        <v/>
      </c>
      <c r="D505" s="192" t="str">
        <f aca="false">IF(AND('MAYO 2026'!D89&lt;&gt;"",'MAYO 2026'!Z89="POR RECOGER"),'MAYO 2026'!F89,"")</f>
        <v/>
      </c>
      <c r="E505" s="192" t="str">
        <f aca="false">IF(AND('MAYO 2026'!D89&lt;&gt;"",'MAYO 2026'!Z89="POR RECOGER"),TEXT('MAYO 2026'!G89,"DD/MM/YYYY"),"")</f>
        <v/>
      </c>
      <c r="F505" s="192" t="str">
        <f aca="false">IF(AND('MAYO 2026'!D89&lt;&gt;"",'MAYO 2026'!Z89="POR RECOGER"),'MAYO 2026'!K89,"")</f>
        <v/>
      </c>
      <c r="G505" s="193" t="str">
        <f aca="false">IF(AND('MAYO 2026'!D89&lt;&gt;"",'MAYO 2026'!Z89="POR RECOGER"),'MAYO 2026'!M89,"")</f>
        <v/>
      </c>
      <c r="H505" s="193" t="str">
        <f aca="false">IF(AND('MAYO 2026'!D89&lt;&gt;"",'MAYO 2026'!Z89="POR RECOGER"),'MAYO 2026'!N89,"")</f>
        <v/>
      </c>
      <c r="I505" s="192" t="str">
        <f aca="false">IF(AND('MAYO 2026'!D89&lt;&gt;"",'MAYO 2026'!Z89="POR RECOGER"),'MAYO 2026'!P89,"")</f>
        <v/>
      </c>
      <c r="J505" s="192" t="str">
        <f aca="false">IF(AND('MAYO 2026'!D89&lt;&gt;"",'MAYO 2026'!Z89="POR RECOGER"),'MAYO 2026'!Q89,"")</f>
        <v/>
      </c>
      <c r="K505" s="192" t="str">
        <f aca="false">IF(AND('MAYO 2026'!D89&lt;&gt;"",'MAYO 2026'!Z89="POR RECOGER"),'MAYO 2026'!Y89,"")</f>
        <v/>
      </c>
      <c r="L505" s="192" t="str">
        <f aca="false">IF(AND('MAYO 2026'!D89&lt;&gt;"",'MAYO 2026'!Z89="POR RECOGER"),'MAYO 2026'!I89,"")</f>
        <v/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" hidden="false" customHeight="true" outlineLevel="0" collapsed="false">
      <c r="A506" s="192" t="str">
        <f aca="false">IF(AND('MAYO 2026'!D90&lt;&gt;"",'MAYO 2026'!Z90="POR RECOGER"),"MAY","")</f>
        <v/>
      </c>
      <c r="B506" s="192" t="str">
        <f aca="false">IF(AND('MAYO 2026'!D90&lt;&gt;"",'MAYO 2026'!Z90="POR RECOGER"),IF('MAYO 2026'!Y90&lt;&gt;"",'MAYO 2026'!Y90,'MAYO 2026'!I90),"")</f>
        <v/>
      </c>
      <c r="C506" s="192" t="str">
        <f aca="false">IF(AND('MAYO 2026'!D90&lt;&gt;"",'MAYO 2026'!Z90="POR RECOGER"),'MAYO 2026'!D90,"")</f>
        <v/>
      </c>
      <c r="D506" s="192" t="str">
        <f aca="false">IF(AND('MAYO 2026'!D90&lt;&gt;"",'MAYO 2026'!Z90="POR RECOGER"),'MAYO 2026'!F90,"")</f>
        <v/>
      </c>
      <c r="E506" s="192" t="str">
        <f aca="false">IF(AND('MAYO 2026'!D90&lt;&gt;"",'MAYO 2026'!Z90="POR RECOGER"),TEXT('MAYO 2026'!G90,"DD/MM/YYYY"),"")</f>
        <v/>
      </c>
      <c r="F506" s="192" t="str">
        <f aca="false">IF(AND('MAYO 2026'!D90&lt;&gt;"",'MAYO 2026'!Z90="POR RECOGER"),'MAYO 2026'!K90,"")</f>
        <v/>
      </c>
      <c r="G506" s="193" t="str">
        <f aca="false">IF(AND('MAYO 2026'!D90&lt;&gt;"",'MAYO 2026'!Z90="POR RECOGER"),'MAYO 2026'!M90,"")</f>
        <v/>
      </c>
      <c r="H506" s="193" t="str">
        <f aca="false">IF(AND('MAYO 2026'!D90&lt;&gt;"",'MAYO 2026'!Z90="POR RECOGER"),'MAYO 2026'!N90,"")</f>
        <v/>
      </c>
      <c r="I506" s="192" t="str">
        <f aca="false">IF(AND('MAYO 2026'!D90&lt;&gt;"",'MAYO 2026'!Z90="POR RECOGER"),'MAYO 2026'!P90,"")</f>
        <v/>
      </c>
      <c r="J506" s="192" t="str">
        <f aca="false">IF(AND('MAYO 2026'!D90&lt;&gt;"",'MAYO 2026'!Z90="POR RECOGER"),'MAYO 2026'!Q90,"")</f>
        <v/>
      </c>
      <c r="K506" s="192" t="str">
        <f aca="false">IF(AND('MAYO 2026'!D90&lt;&gt;"",'MAYO 2026'!Z90="POR RECOGER"),'MAYO 2026'!Y90,"")</f>
        <v/>
      </c>
      <c r="L506" s="192" t="str">
        <f aca="false">IF(AND('MAYO 2026'!D90&lt;&gt;"",'MAYO 2026'!Z90="POR RECOGER"),'MAYO 2026'!I90,"")</f>
        <v/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" hidden="false" customHeight="true" outlineLevel="0" collapsed="false">
      <c r="A507" s="192" t="str">
        <f aca="false">IF(AND('MAYO 2026'!D91&lt;&gt;"",'MAYO 2026'!Z91="POR RECOGER"),"MAY","")</f>
        <v/>
      </c>
      <c r="B507" s="192" t="str">
        <f aca="false">IF(AND('MAYO 2026'!D91&lt;&gt;"",'MAYO 2026'!Z91="POR RECOGER"),IF('MAYO 2026'!Y91&lt;&gt;"",'MAYO 2026'!Y91,'MAYO 2026'!I91),"")</f>
        <v/>
      </c>
      <c r="C507" s="192" t="str">
        <f aca="false">IF(AND('MAYO 2026'!D91&lt;&gt;"",'MAYO 2026'!Z91="POR RECOGER"),'MAYO 2026'!D91,"")</f>
        <v/>
      </c>
      <c r="D507" s="192" t="str">
        <f aca="false">IF(AND('MAYO 2026'!D91&lt;&gt;"",'MAYO 2026'!Z91="POR RECOGER"),'MAYO 2026'!F91,"")</f>
        <v/>
      </c>
      <c r="E507" s="192" t="str">
        <f aca="false">IF(AND('MAYO 2026'!D91&lt;&gt;"",'MAYO 2026'!Z91="POR RECOGER"),TEXT('MAYO 2026'!G91,"DD/MM/YYYY"),"")</f>
        <v/>
      </c>
      <c r="F507" s="192" t="str">
        <f aca="false">IF(AND('MAYO 2026'!D91&lt;&gt;"",'MAYO 2026'!Z91="POR RECOGER"),'MAYO 2026'!K91,"")</f>
        <v/>
      </c>
      <c r="G507" s="193" t="str">
        <f aca="false">IF(AND('MAYO 2026'!D91&lt;&gt;"",'MAYO 2026'!Z91="POR RECOGER"),'MAYO 2026'!M91,"")</f>
        <v/>
      </c>
      <c r="H507" s="193" t="str">
        <f aca="false">IF(AND('MAYO 2026'!D91&lt;&gt;"",'MAYO 2026'!Z91="POR RECOGER"),'MAYO 2026'!N91,"")</f>
        <v/>
      </c>
      <c r="I507" s="192" t="str">
        <f aca="false">IF(AND('MAYO 2026'!D91&lt;&gt;"",'MAYO 2026'!Z91="POR RECOGER"),'MAYO 2026'!P91,"")</f>
        <v/>
      </c>
      <c r="J507" s="192" t="str">
        <f aca="false">IF(AND('MAYO 2026'!D91&lt;&gt;"",'MAYO 2026'!Z91="POR RECOGER"),'MAYO 2026'!Q91,"")</f>
        <v/>
      </c>
      <c r="K507" s="192" t="str">
        <f aca="false">IF(AND('MAYO 2026'!D91&lt;&gt;"",'MAYO 2026'!Z91="POR RECOGER"),'MAYO 2026'!Y91,"")</f>
        <v/>
      </c>
      <c r="L507" s="192" t="str">
        <f aca="false">IF(AND('MAYO 2026'!D91&lt;&gt;"",'MAYO 2026'!Z91="POR RECOGER"),'MAYO 2026'!I91,"")</f>
        <v/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" hidden="false" customHeight="true" outlineLevel="0" collapsed="false">
      <c r="A508" s="192" t="str">
        <f aca="false">IF(AND('MAYO 2026'!D92&lt;&gt;"",'MAYO 2026'!Z92="POR RECOGER"),"MAY","")</f>
        <v/>
      </c>
      <c r="B508" s="192" t="str">
        <f aca="false">IF(AND('MAYO 2026'!D92&lt;&gt;"",'MAYO 2026'!Z92="POR RECOGER"),IF('MAYO 2026'!Y92&lt;&gt;"",'MAYO 2026'!Y92,'MAYO 2026'!I92),"")</f>
        <v/>
      </c>
      <c r="C508" s="192" t="str">
        <f aca="false">IF(AND('MAYO 2026'!D92&lt;&gt;"",'MAYO 2026'!Z92="POR RECOGER"),'MAYO 2026'!D92,"")</f>
        <v/>
      </c>
      <c r="D508" s="192" t="str">
        <f aca="false">IF(AND('MAYO 2026'!D92&lt;&gt;"",'MAYO 2026'!Z92="POR RECOGER"),'MAYO 2026'!F92,"")</f>
        <v/>
      </c>
      <c r="E508" s="192" t="str">
        <f aca="false">IF(AND('MAYO 2026'!D92&lt;&gt;"",'MAYO 2026'!Z92="POR RECOGER"),TEXT('MAYO 2026'!G92,"DD/MM/YYYY"),"")</f>
        <v/>
      </c>
      <c r="F508" s="192" t="str">
        <f aca="false">IF(AND('MAYO 2026'!D92&lt;&gt;"",'MAYO 2026'!Z92="POR RECOGER"),'MAYO 2026'!K92,"")</f>
        <v/>
      </c>
      <c r="G508" s="193" t="str">
        <f aca="false">IF(AND('MAYO 2026'!D92&lt;&gt;"",'MAYO 2026'!Z92="POR RECOGER"),'MAYO 2026'!M92,"")</f>
        <v/>
      </c>
      <c r="H508" s="193" t="str">
        <f aca="false">IF(AND('MAYO 2026'!D92&lt;&gt;"",'MAYO 2026'!Z92="POR RECOGER"),'MAYO 2026'!N92,"")</f>
        <v/>
      </c>
      <c r="I508" s="192" t="str">
        <f aca="false">IF(AND('MAYO 2026'!D92&lt;&gt;"",'MAYO 2026'!Z92="POR RECOGER"),'MAYO 2026'!P92,"")</f>
        <v/>
      </c>
      <c r="J508" s="192" t="str">
        <f aca="false">IF(AND('MAYO 2026'!D92&lt;&gt;"",'MAYO 2026'!Z92="POR RECOGER"),'MAYO 2026'!Q92,"")</f>
        <v/>
      </c>
      <c r="K508" s="192" t="str">
        <f aca="false">IF(AND('MAYO 2026'!D92&lt;&gt;"",'MAYO 2026'!Z92="POR RECOGER"),'MAYO 2026'!Y92,"")</f>
        <v/>
      </c>
      <c r="L508" s="192" t="str">
        <f aca="false">IF(AND('MAYO 2026'!D92&lt;&gt;"",'MAYO 2026'!Z92="POR RECOGER"),'MAYO 2026'!I92,"")</f>
        <v/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" hidden="false" customHeight="true" outlineLevel="0" collapsed="false">
      <c r="A509" s="192" t="str">
        <f aca="false">IF(AND('MAYO 2026'!D93&lt;&gt;"",'MAYO 2026'!Z93="POR RECOGER"),"MAY","")</f>
        <v/>
      </c>
      <c r="B509" s="192" t="str">
        <f aca="false">IF(AND('MAYO 2026'!D93&lt;&gt;"",'MAYO 2026'!Z93="POR RECOGER"),IF('MAYO 2026'!Y93&lt;&gt;"",'MAYO 2026'!Y93,'MAYO 2026'!I93),"")</f>
        <v/>
      </c>
      <c r="C509" s="192" t="str">
        <f aca="false">IF(AND('MAYO 2026'!D93&lt;&gt;"",'MAYO 2026'!Z93="POR RECOGER"),'MAYO 2026'!D93,"")</f>
        <v/>
      </c>
      <c r="D509" s="192" t="str">
        <f aca="false">IF(AND('MAYO 2026'!D93&lt;&gt;"",'MAYO 2026'!Z93="POR RECOGER"),'MAYO 2026'!F93,"")</f>
        <v/>
      </c>
      <c r="E509" s="192" t="str">
        <f aca="false">IF(AND('MAYO 2026'!D93&lt;&gt;"",'MAYO 2026'!Z93="POR RECOGER"),TEXT('MAYO 2026'!G93,"DD/MM/YYYY"),"")</f>
        <v/>
      </c>
      <c r="F509" s="192" t="str">
        <f aca="false">IF(AND('MAYO 2026'!D93&lt;&gt;"",'MAYO 2026'!Z93="POR RECOGER"),'MAYO 2026'!K93,"")</f>
        <v/>
      </c>
      <c r="G509" s="193" t="str">
        <f aca="false">IF(AND('MAYO 2026'!D93&lt;&gt;"",'MAYO 2026'!Z93="POR RECOGER"),'MAYO 2026'!M93,"")</f>
        <v/>
      </c>
      <c r="H509" s="193" t="str">
        <f aca="false">IF(AND('MAYO 2026'!D93&lt;&gt;"",'MAYO 2026'!Z93="POR RECOGER"),'MAYO 2026'!N93,"")</f>
        <v/>
      </c>
      <c r="I509" s="192" t="str">
        <f aca="false">IF(AND('MAYO 2026'!D93&lt;&gt;"",'MAYO 2026'!Z93="POR RECOGER"),'MAYO 2026'!P93,"")</f>
        <v/>
      </c>
      <c r="J509" s="192" t="str">
        <f aca="false">IF(AND('MAYO 2026'!D93&lt;&gt;"",'MAYO 2026'!Z93="POR RECOGER"),'MAYO 2026'!Q93,"")</f>
        <v/>
      </c>
      <c r="K509" s="192" t="str">
        <f aca="false">IF(AND('MAYO 2026'!D93&lt;&gt;"",'MAYO 2026'!Z93="POR RECOGER"),'MAYO 2026'!Y93,"")</f>
        <v/>
      </c>
      <c r="L509" s="192" t="str">
        <f aca="false">IF(AND('MAYO 2026'!D93&lt;&gt;"",'MAYO 2026'!Z93="POR RECOGER"),'MAYO 2026'!I93,"")</f>
        <v/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" hidden="false" customHeight="true" outlineLevel="0" collapsed="false">
      <c r="A510" s="192" t="str">
        <f aca="false">IF(AND('MAYO 2026'!D94&lt;&gt;"",'MAYO 2026'!Z94="POR RECOGER"),"MAY","")</f>
        <v/>
      </c>
      <c r="B510" s="192" t="str">
        <f aca="false">IF(AND('MAYO 2026'!D94&lt;&gt;"",'MAYO 2026'!Z94="POR RECOGER"),IF('MAYO 2026'!Y94&lt;&gt;"",'MAYO 2026'!Y94,'MAYO 2026'!I94),"")</f>
        <v/>
      </c>
      <c r="C510" s="192" t="str">
        <f aca="false">IF(AND('MAYO 2026'!D94&lt;&gt;"",'MAYO 2026'!Z94="POR RECOGER"),'MAYO 2026'!D94,"")</f>
        <v/>
      </c>
      <c r="D510" s="192" t="str">
        <f aca="false">IF(AND('MAYO 2026'!D94&lt;&gt;"",'MAYO 2026'!Z94="POR RECOGER"),'MAYO 2026'!F94,"")</f>
        <v/>
      </c>
      <c r="E510" s="192" t="str">
        <f aca="false">IF(AND('MAYO 2026'!D94&lt;&gt;"",'MAYO 2026'!Z94="POR RECOGER"),TEXT('MAYO 2026'!G94,"DD/MM/YYYY"),"")</f>
        <v/>
      </c>
      <c r="F510" s="192" t="str">
        <f aca="false">IF(AND('MAYO 2026'!D94&lt;&gt;"",'MAYO 2026'!Z94="POR RECOGER"),'MAYO 2026'!K94,"")</f>
        <v/>
      </c>
      <c r="G510" s="193" t="str">
        <f aca="false">IF(AND('MAYO 2026'!D94&lt;&gt;"",'MAYO 2026'!Z94="POR RECOGER"),'MAYO 2026'!M94,"")</f>
        <v/>
      </c>
      <c r="H510" s="193" t="str">
        <f aca="false">IF(AND('MAYO 2026'!D94&lt;&gt;"",'MAYO 2026'!Z94="POR RECOGER"),'MAYO 2026'!N94,"")</f>
        <v/>
      </c>
      <c r="I510" s="192" t="str">
        <f aca="false">IF(AND('MAYO 2026'!D94&lt;&gt;"",'MAYO 2026'!Z94="POR RECOGER"),'MAYO 2026'!P94,"")</f>
        <v/>
      </c>
      <c r="J510" s="192" t="str">
        <f aca="false">IF(AND('MAYO 2026'!D94&lt;&gt;"",'MAYO 2026'!Z94="POR RECOGER"),'MAYO 2026'!Q94,"")</f>
        <v/>
      </c>
      <c r="K510" s="192" t="str">
        <f aca="false">IF(AND('MAYO 2026'!D94&lt;&gt;"",'MAYO 2026'!Z94="POR RECOGER"),'MAYO 2026'!Y94,"")</f>
        <v/>
      </c>
      <c r="L510" s="192" t="str">
        <f aca="false">IF(AND('MAYO 2026'!D94&lt;&gt;"",'MAYO 2026'!Z94="POR RECOGER"),'MAYO 2026'!I94,"")</f>
        <v/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" hidden="false" customHeight="true" outlineLevel="0" collapsed="false">
      <c r="A511" s="192" t="str">
        <f aca="false">IF(AND('MAYO 2026'!D95&lt;&gt;"",'MAYO 2026'!Z95="POR RECOGER"),"MAY","")</f>
        <v/>
      </c>
      <c r="B511" s="192" t="str">
        <f aca="false">IF(AND('MAYO 2026'!D95&lt;&gt;"",'MAYO 2026'!Z95="POR RECOGER"),IF('MAYO 2026'!Y95&lt;&gt;"",'MAYO 2026'!Y95,'MAYO 2026'!I95),"")</f>
        <v/>
      </c>
      <c r="C511" s="192" t="str">
        <f aca="false">IF(AND('MAYO 2026'!D95&lt;&gt;"",'MAYO 2026'!Z95="POR RECOGER"),'MAYO 2026'!D95,"")</f>
        <v/>
      </c>
      <c r="D511" s="192" t="str">
        <f aca="false">IF(AND('MAYO 2026'!D95&lt;&gt;"",'MAYO 2026'!Z95="POR RECOGER"),'MAYO 2026'!F95,"")</f>
        <v/>
      </c>
      <c r="E511" s="192" t="str">
        <f aca="false">IF(AND('MAYO 2026'!D95&lt;&gt;"",'MAYO 2026'!Z95="POR RECOGER"),TEXT('MAYO 2026'!G95,"DD/MM/YYYY"),"")</f>
        <v/>
      </c>
      <c r="F511" s="192" t="str">
        <f aca="false">IF(AND('MAYO 2026'!D95&lt;&gt;"",'MAYO 2026'!Z95="POR RECOGER"),'MAYO 2026'!K95,"")</f>
        <v/>
      </c>
      <c r="G511" s="193" t="str">
        <f aca="false">IF(AND('MAYO 2026'!D95&lt;&gt;"",'MAYO 2026'!Z95="POR RECOGER"),'MAYO 2026'!M95,"")</f>
        <v/>
      </c>
      <c r="H511" s="193" t="str">
        <f aca="false">IF(AND('MAYO 2026'!D95&lt;&gt;"",'MAYO 2026'!Z95="POR RECOGER"),'MAYO 2026'!N95,"")</f>
        <v/>
      </c>
      <c r="I511" s="192" t="str">
        <f aca="false">IF(AND('MAYO 2026'!D95&lt;&gt;"",'MAYO 2026'!Z95="POR RECOGER"),'MAYO 2026'!P95,"")</f>
        <v/>
      </c>
      <c r="J511" s="192" t="str">
        <f aca="false">IF(AND('MAYO 2026'!D95&lt;&gt;"",'MAYO 2026'!Z95="POR RECOGER"),'MAYO 2026'!Q95,"")</f>
        <v/>
      </c>
      <c r="K511" s="192" t="str">
        <f aca="false">IF(AND('MAYO 2026'!D95&lt;&gt;"",'MAYO 2026'!Z95="POR RECOGER"),'MAYO 2026'!Y95,"")</f>
        <v/>
      </c>
      <c r="L511" s="192" t="str">
        <f aca="false">IF(AND('MAYO 2026'!D95&lt;&gt;"",'MAYO 2026'!Z95="POR RECOGER"),'MAYO 2026'!I95,"")</f>
        <v/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" hidden="false" customHeight="true" outlineLevel="0" collapsed="false">
      <c r="A512" s="192" t="str">
        <f aca="false">IF(AND('MAYO 2026'!D96&lt;&gt;"",'MAYO 2026'!Z96="POR RECOGER"),"MAY","")</f>
        <v/>
      </c>
      <c r="B512" s="192" t="str">
        <f aca="false">IF(AND('MAYO 2026'!D96&lt;&gt;"",'MAYO 2026'!Z96="POR RECOGER"),IF('MAYO 2026'!Y96&lt;&gt;"",'MAYO 2026'!Y96,'MAYO 2026'!I96),"")</f>
        <v/>
      </c>
      <c r="C512" s="192" t="str">
        <f aca="false">IF(AND('MAYO 2026'!D96&lt;&gt;"",'MAYO 2026'!Z96="POR RECOGER"),'MAYO 2026'!D96,"")</f>
        <v/>
      </c>
      <c r="D512" s="192" t="str">
        <f aca="false">IF(AND('MAYO 2026'!D96&lt;&gt;"",'MAYO 2026'!Z96="POR RECOGER"),'MAYO 2026'!F96,"")</f>
        <v/>
      </c>
      <c r="E512" s="192" t="str">
        <f aca="false">IF(AND('MAYO 2026'!D96&lt;&gt;"",'MAYO 2026'!Z96="POR RECOGER"),TEXT('MAYO 2026'!G96,"DD/MM/YYYY"),"")</f>
        <v/>
      </c>
      <c r="F512" s="192" t="str">
        <f aca="false">IF(AND('MAYO 2026'!D96&lt;&gt;"",'MAYO 2026'!Z96="POR RECOGER"),'MAYO 2026'!K96,"")</f>
        <v/>
      </c>
      <c r="G512" s="193" t="str">
        <f aca="false">IF(AND('MAYO 2026'!D96&lt;&gt;"",'MAYO 2026'!Z96="POR RECOGER"),'MAYO 2026'!M96,"")</f>
        <v/>
      </c>
      <c r="H512" s="193" t="str">
        <f aca="false">IF(AND('MAYO 2026'!D96&lt;&gt;"",'MAYO 2026'!Z96="POR RECOGER"),'MAYO 2026'!N96,"")</f>
        <v/>
      </c>
      <c r="I512" s="192" t="str">
        <f aca="false">IF(AND('MAYO 2026'!D96&lt;&gt;"",'MAYO 2026'!Z96="POR RECOGER"),'MAYO 2026'!P96,"")</f>
        <v/>
      </c>
      <c r="J512" s="192" t="str">
        <f aca="false">IF(AND('MAYO 2026'!D96&lt;&gt;"",'MAYO 2026'!Z96="POR RECOGER"),'MAYO 2026'!Q96,"")</f>
        <v/>
      </c>
      <c r="K512" s="192" t="str">
        <f aca="false">IF(AND('MAYO 2026'!D96&lt;&gt;"",'MAYO 2026'!Z96="POR RECOGER"),'MAYO 2026'!Y96,"")</f>
        <v/>
      </c>
      <c r="L512" s="192" t="str">
        <f aca="false">IF(AND('MAYO 2026'!D96&lt;&gt;"",'MAYO 2026'!Z96="POR RECOGER"),'MAYO 2026'!I96,"")</f>
        <v/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" hidden="false" customHeight="true" outlineLevel="0" collapsed="false">
      <c r="A513" s="192" t="str">
        <f aca="false">IF(AND('MAYO 2026'!D97&lt;&gt;"",'MAYO 2026'!Z97="POR RECOGER"),"MAY","")</f>
        <v/>
      </c>
      <c r="B513" s="192" t="str">
        <f aca="false">IF(AND('MAYO 2026'!D97&lt;&gt;"",'MAYO 2026'!Z97="POR RECOGER"),IF('MAYO 2026'!Y97&lt;&gt;"",'MAYO 2026'!Y97,'MAYO 2026'!I97),"")</f>
        <v/>
      </c>
      <c r="C513" s="192" t="str">
        <f aca="false">IF(AND('MAYO 2026'!D97&lt;&gt;"",'MAYO 2026'!Z97="POR RECOGER"),'MAYO 2026'!D97,"")</f>
        <v/>
      </c>
      <c r="D513" s="192" t="str">
        <f aca="false">IF(AND('MAYO 2026'!D97&lt;&gt;"",'MAYO 2026'!Z97="POR RECOGER"),'MAYO 2026'!F97,"")</f>
        <v/>
      </c>
      <c r="E513" s="192" t="str">
        <f aca="false">IF(AND('MAYO 2026'!D97&lt;&gt;"",'MAYO 2026'!Z97="POR RECOGER"),TEXT('MAYO 2026'!G97,"DD/MM/YYYY"),"")</f>
        <v/>
      </c>
      <c r="F513" s="192" t="str">
        <f aca="false">IF(AND('MAYO 2026'!D97&lt;&gt;"",'MAYO 2026'!Z97="POR RECOGER"),'MAYO 2026'!K97,"")</f>
        <v/>
      </c>
      <c r="G513" s="193" t="str">
        <f aca="false">IF(AND('MAYO 2026'!D97&lt;&gt;"",'MAYO 2026'!Z97="POR RECOGER"),'MAYO 2026'!M97,"")</f>
        <v/>
      </c>
      <c r="H513" s="193" t="str">
        <f aca="false">IF(AND('MAYO 2026'!D97&lt;&gt;"",'MAYO 2026'!Z97="POR RECOGER"),'MAYO 2026'!N97,"")</f>
        <v/>
      </c>
      <c r="I513" s="192" t="str">
        <f aca="false">IF(AND('MAYO 2026'!D97&lt;&gt;"",'MAYO 2026'!Z97="POR RECOGER"),'MAYO 2026'!P97,"")</f>
        <v/>
      </c>
      <c r="J513" s="192" t="str">
        <f aca="false">IF(AND('MAYO 2026'!D97&lt;&gt;"",'MAYO 2026'!Z97="POR RECOGER"),'MAYO 2026'!Q97,"")</f>
        <v/>
      </c>
      <c r="K513" s="192" t="str">
        <f aca="false">IF(AND('MAYO 2026'!D97&lt;&gt;"",'MAYO 2026'!Z97="POR RECOGER"),'MAYO 2026'!Y97,"")</f>
        <v/>
      </c>
      <c r="L513" s="192" t="str">
        <f aca="false">IF(AND('MAYO 2026'!D97&lt;&gt;"",'MAYO 2026'!Z97="POR RECOGER"),'MAYO 2026'!I97,"")</f>
        <v/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" hidden="false" customHeight="true" outlineLevel="0" collapsed="false">
      <c r="A514" s="192" t="str">
        <f aca="false">IF(AND('MAYO 2026'!D98&lt;&gt;"",'MAYO 2026'!Z98="POR RECOGER"),"MAY","")</f>
        <v/>
      </c>
      <c r="B514" s="192" t="str">
        <f aca="false">IF(AND('MAYO 2026'!D98&lt;&gt;"",'MAYO 2026'!Z98="POR RECOGER"),IF('MAYO 2026'!Y98&lt;&gt;"",'MAYO 2026'!Y98,'MAYO 2026'!I98),"")</f>
        <v/>
      </c>
      <c r="C514" s="192" t="str">
        <f aca="false">IF(AND('MAYO 2026'!D98&lt;&gt;"",'MAYO 2026'!Z98="POR RECOGER"),'MAYO 2026'!D98,"")</f>
        <v/>
      </c>
      <c r="D514" s="192" t="str">
        <f aca="false">IF(AND('MAYO 2026'!D98&lt;&gt;"",'MAYO 2026'!Z98="POR RECOGER"),'MAYO 2026'!F98,"")</f>
        <v/>
      </c>
      <c r="E514" s="192" t="str">
        <f aca="false">IF(AND('MAYO 2026'!D98&lt;&gt;"",'MAYO 2026'!Z98="POR RECOGER"),TEXT('MAYO 2026'!G98,"DD/MM/YYYY"),"")</f>
        <v/>
      </c>
      <c r="F514" s="192" t="str">
        <f aca="false">IF(AND('MAYO 2026'!D98&lt;&gt;"",'MAYO 2026'!Z98="POR RECOGER"),'MAYO 2026'!K98,"")</f>
        <v/>
      </c>
      <c r="G514" s="193" t="str">
        <f aca="false">IF(AND('MAYO 2026'!D98&lt;&gt;"",'MAYO 2026'!Z98="POR RECOGER"),'MAYO 2026'!M98,"")</f>
        <v/>
      </c>
      <c r="H514" s="193" t="str">
        <f aca="false">IF(AND('MAYO 2026'!D98&lt;&gt;"",'MAYO 2026'!Z98="POR RECOGER"),'MAYO 2026'!N98,"")</f>
        <v/>
      </c>
      <c r="I514" s="192" t="str">
        <f aca="false">IF(AND('MAYO 2026'!D98&lt;&gt;"",'MAYO 2026'!Z98="POR RECOGER"),'MAYO 2026'!P98,"")</f>
        <v/>
      </c>
      <c r="J514" s="192" t="str">
        <f aca="false">IF(AND('MAYO 2026'!D98&lt;&gt;"",'MAYO 2026'!Z98="POR RECOGER"),'MAYO 2026'!Q98,"")</f>
        <v/>
      </c>
      <c r="K514" s="192" t="str">
        <f aca="false">IF(AND('MAYO 2026'!D98&lt;&gt;"",'MAYO 2026'!Z98="POR RECOGER"),'MAYO 2026'!Y98,"")</f>
        <v/>
      </c>
      <c r="L514" s="192" t="str">
        <f aca="false">IF(AND('MAYO 2026'!D98&lt;&gt;"",'MAYO 2026'!Z98="POR RECOGER"),'MAYO 2026'!I98,"")</f>
        <v/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" hidden="false" customHeight="true" outlineLevel="0" collapsed="false">
      <c r="A515" s="192" t="str">
        <f aca="false">IF(AND('MAYO 2026'!D99&lt;&gt;"",'MAYO 2026'!Z99="POR RECOGER"),"MAY","")</f>
        <v/>
      </c>
      <c r="B515" s="192" t="str">
        <f aca="false">IF(AND('MAYO 2026'!D99&lt;&gt;"",'MAYO 2026'!Z99="POR RECOGER"),IF('MAYO 2026'!Y99&lt;&gt;"",'MAYO 2026'!Y99,'MAYO 2026'!I99),"")</f>
        <v/>
      </c>
      <c r="C515" s="192" t="str">
        <f aca="false">IF(AND('MAYO 2026'!D99&lt;&gt;"",'MAYO 2026'!Z99="POR RECOGER"),'MAYO 2026'!D99,"")</f>
        <v/>
      </c>
      <c r="D515" s="192" t="str">
        <f aca="false">IF(AND('MAYO 2026'!D99&lt;&gt;"",'MAYO 2026'!Z99="POR RECOGER"),'MAYO 2026'!F99,"")</f>
        <v/>
      </c>
      <c r="E515" s="192" t="str">
        <f aca="false">IF(AND('MAYO 2026'!D99&lt;&gt;"",'MAYO 2026'!Z99="POR RECOGER"),TEXT('MAYO 2026'!G99,"DD/MM/YYYY"),"")</f>
        <v/>
      </c>
      <c r="F515" s="192" t="str">
        <f aca="false">IF(AND('MAYO 2026'!D99&lt;&gt;"",'MAYO 2026'!Z99="POR RECOGER"),'MAYO 2026'!K99,"")</f>
        <v/>
      </c>
      <c r="G515" s="193" t="str">
        <f aca="false">IF(AND('MAYO 2026'!D99&lt;&gt;"",'MAYO 2026'!Z99="POR RECOGER"),'MAYO 2026'!M99,"")</f>
        <v/>
      </c>
      <c r="H515" s="193" t="str">
        <f aca="false">IF(AND('MAYO 2026'!D99&lt;&gt;"",'MAYO 2026'!Z99="POR RECOGER"),'MAYO 2026'!N99,"")</f>
        <v/>
      </c>
      <c r="I515" s="192" t="str">
        <f aca="false">IF(AND('MAYO 2026'!D99&lt;&gt;"",'MAYO 2026'!Z99="POR RECOGER"),'MAYO 2026'!P99,"")</f>
        <v/>
      </c>
      <c r="J515" s="192" t="str">
        <f aca="false">IF(AND('MAYO 2026'!D99&lt;&gt;"",'MAYO 2026'!Z99="POR RECOGER"),'MAYO 2026'!Q99,"")</f>
        <v/>
      </c>
      <c r="K515" s="192" t="str">
        <f aca="false">IF(AND('MAYO 2026'!D99&lt;&gt;"",'MAYO 2026'!Z99="POR RECOGER"),'MAYO 2026'!Y99,"")</f>
        <v/>
      </c>
      <c r="L515" s="192" t="str">
        <f aca="false">IF(AND('MAYO 2026'!D99&lt;&gt;"",'MAYO 2026'!Z99="POR RECOGER"),'MAYO 2026'!I99,"")</f>
        <v/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" hidden="false" customHeight="true" outlineLevel="0" collapsed="false">
      <c r="A516" s="192" t="str">
        <f aca="false">IF(AND('MAYO 2026'!D100&lt;&gt;"",'MAYO 2026'!Z100="POR RECOGER"),"MAY","")</f>
        <v/>
      </c>
      <c r="B516" s="192" t="str">
        <f aca="false">IF(AND('MAYO 2026'!D100&lt;&gt;"",'MAYO 2026'!Z100="POR RECOGER"),IF('MAYO 2026'!Y100&lt;&gt;"",'MAYO 2026'!Y100,'MAYO 2026'!I100),"")</f>
        <v/>
      </c>
      <c r="C516" s="192" t="str">
        <f aca="false">IF(AND('MAYO 2026'!D100&lt;&gt;"",'MAYO 2026'!Z100="POR RECOGER"),'MAYO 2026'!D100,"")</f>
        <v/>
      </c>
      <c r="D516" s="192" t="str">
        <f aca="false">IF(AND('MAYO 2026'!D100&lt;&gt;"",'MAYO 2026'!Z100="POR RECOGER"),'MAYO 2026'!F100,"")</f>
        <v/>
      </c>
      <c r="E516" s="192" t="str">
        <f aca="false">IF(AND('MAYO 2026'!D100&lt;&gt;"",'MAYO 2026'!Z100="POR RECOGER"),TEXT('MAYO 2026'!G100,"DD/MM/YYYY"),"")</f>
        <v/>
      </c>
      <c r="F516" s="192" t="str">
        <f aca="false">IF(AND('MAYO 2026'!D100&lt;&gt;"",'MAYO 2026'!Z100="POR RECOGER"),'MAYO 2026'!K100,"")</f>
        <v/>
      </c>
      <c r="G516" s="193" t="str">
        <f aca="false">IF(AND('MAYO 2026'!D100&lt;&gt;"",'MAYO 2026'!Z100="POR RECOGER"),'MAYO 2026'!M100,"")</f>
        <v/>
      </c>
      <c r="H516" s="193" t="str">
        <f aca="false">IF(AND('MAYO 2026'!D100&lt;&gt;"",'MAYO 2026'!Z100="POR RECOGER"),'MAYO 2026'!N100,"")</f>
        <v/>
      </c>
      <c r="I516" s="192" t="str">
        <f aca="false">IF(AND('MAYO 2026'!D100&lt;&gt;"",'MAYO 2026'!Z100="POR RECOGER"),'MAYO 2026'!P100,"")</f>
        <v/>
      </c>
      <c r="J516" s="192" t="str">
        <f aca="false">IF(AND('MAYO 2026'!D100&lt;&gt;"",'MAYO 2026'!Z100="POR RECOGER"),'MAYO 2026'!Q100,"")</f>
        <v/>
      </c>
      <c r="K516" s="192" t="str">
        <f aca="false">IF(AND('MAYO 2026'!D100&lt;&gt;"",'MAYO 2026'!Z100="POR RECOGER"),'MAYO 2026'!Y100,"")</f>
        <v/>
      </c>
      <c r="L516" s="192" t="str">
        <f aca="false">IF(AND('MAYO 2026'!D100&lt;&gt;"",'MAYO 2026'!Z100="POR RECOGER"),'MAYO 2026'!I100,"")</f>
        <v/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" hidden="false" customHeight="true" outlineLevel="0" collapsed="false">
      <c r="A517" s="192" t="str">
        <f aca="false">IF(AND('MAYO 2026'!D101&lt;&gt;"",'MAYO 2026'!Z101="POR RECOGER"),"MAY","")</f>
        <v/>
      </c>
      <c r="B517" s="192" t="str">
        <f aca="false">IF(AND('MAYO 2026'!D101&lt;&gt;"",'MAYO 2026'!Z101="POR RECOGER"),IF('MAYO 2026'!Y101&lt;&gt;"",'MAYO 2026'!Y101,'MAYO 2026'!I101),"")</f>
        <v/>
      </c>
      <c r="C517" s="192" t="str">
        <f aca="false">IF(AND('MAYO 2026'!D101&lt;&gt;"",'MAYO 2026'!Z101="POR RECOGER"),'MAYO 2026'!D101,"")</f>
        <v/>
      </c>
      <c r="D517" s="192" t="str">
        <f aca="false">IF(AND('MAYO 2026'!D101&lt;&gt;"",'MAYO 2026'!Z101="POR RECOGER"),'MAYO 2026'!F101,"")</f>
        <v/>
      </c>
      <c r="E517" s="192" t="str">
        <f aca="false">IF(AND('MAYO 2026'!D101&lt;&gt;"",'MAYO 2026'!Z101="POR RECOGER"),TEXT('MAYO 2026'!G101,"DD/MM/YYYY"),"")</f>
        <v/>
      </c>
      <c r="F517" s="192" t="str">
        <f aca="false">IF(AND('MAYO 2026'!D101&lt;&gt;"",'MAYO 2026'!Z101="POR RECOGER"),'MAYO 2026'!K101,"")</f>
        <v/>
      </c>
      <c r="G517" s="193" t="str">
        <f aca="false">IF(AND('MAYO 2026'!D101&lt;&gt;"",'MAYO 2026'!Z101="POR RECOGER"),'MAYO 2026'!M101,"")</f>
        <v/>
      </c>
      <c r="H517" s="193" t="str">
        <f aca="false">IF(AND('MAYO 2026'!D101&lt;&gt;"",'MAYO 2026'!Z101="POR RECOGER"),'MAYO 2026'!N101,"")</f>
        <v/>
      </c>
      <c r="I517" s="192" t="str">
        <f aca="false">IF(AND('MAYO 2026'!D101&lt;&gt;"",'MAYO 2026'!Z101="POR RECOGER"),'MAYO 2026'!P101,"")</f>
        <v/>
      </c>
      <c r="J517" s="192" t="str">
        <f aca="false">IF(AND('MAYO 2026'!D101&lt;&gt;"",'MAYO 2026'!Z101="POR RECOGER"),'MAYO 2026'!Q101,"")</f>
        <v/>
      </c>
      <c r="K517" s="192" t="str">
        <f aca="false">IF(AND('MAYO 2026'!D101&lt;&gt;"",'MAYO 2026'!Z101="POR RECOGER"),'MAYO 2026'!Y101,"")</f>
        <v/>
      </c>
      <c r="L517" s="192" t="str">
        <f aca="false">IF(AND('MAYO 2026'!D101&lt;&gt;"",'MAYO 2026'!Z101="POR RECOGER"),'MAYO 2026'!I101,"")</f>
        <v/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" hidden="false" customHeight="true" outlineLevel="0" collapsed="false">
      <c r="A518" s="192" t="str">
        <f aca="false">IF(AND('MAYO 2026'!D102&lt;&gt;"",'MAYO 2026'!Z102="POR RECOGER"),"MAY","")</f>
        <v/>
      </c>
      <c r="B518" s="192" t="str">
        <f aca="false">IF(AND('MAYO 2026'!D102&lt;&gt;"",'MAYO 2026'!Z102="POR RECOGER"),IF('MAYO 2026'!Y102&lt;&gt;"",'MAYO 2026'!Y102,'MAYO 2026'!I102),"")</f>
        <v/>
      </c>
      <c r="C518" s="192" t="str">
        <f aca="false">IF(AND('MAYO 2026'!D102&lt;&gt;"",'MAYO 2026'!Z102="POR RECOGER"),'MAYO 2026'!D102,"")</f>
        <v/>
      </c>
      <c r="D518" s="192" t="str">
        <f aca="false">IF(AND('MAYO 2026'!D102&lt;&gt;"",'MAYO 2026'!Z102="POR RECOGER"),'MAYO 2026'!F102,"")</f>
        <v/>
      </c>
      <c r="E518" s="192" t="str">
        <f aca="false">IF(AND('MAYO 2026'!D102&lt;&gt;"",'MAYO 2026'!Z102="POR RECOGER"),TEXT('MAYO 2026'!G102,"DD/MM/YYYY"),"")</f>
        <v/>
      </c>
      <c r="F518" s="192" t="str">
        <f aca="false">IF(AND('MAYO 2026'!D102&lt;&gt;"",'MAYO 2026'!Z102="POR RECOGER"),'MAYO 2026'!K102,"")</f>
        <v/>
      </c>
      <c r="G518" s="193" t="str">
        <f aca="false">IF(AND('MAYO 2026'!D102&lt;&gt;"",'MAYO 2026'!Z102="POR RECOGER"),'MAYO 2026'!M102,"")</f>
        <v/>
      </c>
      <c r="H518" s="193" t="str">
        <f aca="false">IF(AND('MAYO 2026'!D102&lt;&gt;"",'MAYO 2026'!Z102="POR RECOGER"),'MAYO 2026'!N102,"")</f>
        <v/>
      </c>
      <c r="I518" s="192" t="str">
        <f aca="false">IF(AND('MAYO 2026'!D102&lt;&gt;"",'MAYO 2026'!Z102="POR RECOGER"),'MAYO 2026'!P102,"")</f>
        <v/>
      </c>
      <c r="J518" s="192" t="str">
        <f aca="false">IF(AND('MAYO 2026'!D102&lt;&gt;"",'MAYO 2026'!Z102="POR RECOGER"),'MAYO 2026'!Q102,"")</f>
        <v/>
      </c>
      <c r="K518" s="192" t="str">
        <f aca="false">IF(AND('MAYO 2026'!D102&lt;&gt;"",'MAYO 2026'!Z102="POR RECOGER"),'MAYO 2026'!Y102,"")</f>
        <v/>
      </c>
      <c r="L518" s="192" t="str">
        <f aca="false">IF(AND('MAYO 2026'!D102&lt;&gt;"",'MAYO 2026'!Z102="POR RECOGER"),'MAYO 2026'!I102,"")</f>
        <v/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" hidden="false" customHeight="true" outlineLevel="0" collapsed="false">
      <c r="A519" s="192" t="str">
        <f aca="false">IF(AND('MAYO 2026'!D103&lt;&gt;"",'MAYO 2026'!Z103="POR RECOGER"),"MAY","")</f>
        <v/>
      </c>
      <c r="B519" s="192" t="str">
        <f aca="false">IF(AND('MAYO 2026'!D103&lt;&gt;"",'MAYO 2026'!Z103="POR RECOGER"),IF('MAYO 2026'!Y103&lt;&gt;"",'MAYO 2026'!Y103,'MAYO 2026'!I103),"")</f>
        <v/>
      </c>
      <c r="C519" s="192" t="str">
        <f aca="false">IF(AND('MAYO 2026'!D103&lt;&gt;"",'MAYO 2026'!Z103="POR RECOGER"),'MAYO 2026'!D103,"")</f>
        <v/>
      </c>
      <c r="D519" s="192" t="str">
        <f aca="false">IF(AND('MAYO 2026'!D103&lt;&gt;"",'MAYO 2026'!Z103="POR RECOGER"),'MAYO 2026'!F103,"")</f>
        <v/>
      </c>
      <c r="E519" s="192" t="str">
        <f aca="false">IF(AND('MAYO 2026'!D103&lt;&gt;"",'MAYO 2026'!Z103="POR RECOGER"),TEXT('MAYO 2026'!G103,"DD/MM/YYYY"),"")</f>
        <v/>
      </c>
      <c r="F519" s="192" t="str">
        <f aca="false">IF(AND('MAYO 2026'!D103&lt;&gt;"",'MAYO 2026'!Z103="POR RECOGER"),'MAYO 2026'!K103,"")</f>
        <v/>
      </c>
      <c r="G519" s="193" t="str">
        <f aca="false">IF(AND('MAYO 2026'!D103&lt;&gt;"",'MAYO 2026'!Z103="POR RECOGER"),'MAYO 2026'!M103,"")</f>
        <v/>
      </c>
      <c r="H519" s="193" t="str">
        <f aca="false">IF(AND('MAYO 2026'!D103&lt;&gt;"",'MAYO 2026'!Z103="POR RECOGER"),'MAYO 2026'!N103,"")</f>
        <v/>
      </c>
      <c r="I519" s="192" t="str">
        <f aca="false">IF(AND('MAYO 2026'!D103&lt;&gt;"",'MAYO 2026'!Z103="POR RECOGER"),'MAYO 2026'!P103,"")</f>
        <v/>
      </c>
      <c r="J519" s="192" t="str">
        <f aca="false">IF(AND('MAYO 2026'!D103&lt;&gt;"",'MAYO 2026'!Z103="POR RECOGER"),'MAYO 2026'!Q103,"")</f>
        <v/>
      </c>
      <c r="K519" s="192" t="str">
        <f aca="false">IF(AND('MAYO 2026'!D103&lt;&gt;"",'MAYO 2026'!Z103="POR RECOGER"),'MAYO 2026'!Y103,"")</f>
        <v/>
      </c>
      <c r="L519" s="192" t="str">
        <f aca="false">IF(AND('MAYO 2026'!D103&lt;&gt;"",'MAYO 2026'!Z103="POR RECOGER"),'MAYO 2026'!I103,"")</f>
        <v/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" hidden="false" customHeight="true" outlineLevel="0" collapsed="false">
      <c r="A520" s="192" t="str">
        <f aca="false">IF(AND('MAYO 2026'!D104&lt;&gt;"",'MAYO 2026'!Z104="POR RECOGER"),"MAY","")</f>
        <v/>
      </c>
      <c r="B520" s="192" t="str">
        <f aca="false">IF(AND('MAYO 2026'!D104&lt;&gt;"",'MAYO 2026'!Z104="POR RECOGER"),IF('MAYO 2026'!Y104&lt;&gt;"",'MAYO 2026'!Y104,'MAYO 2026'!I104),"")</f>
        <v/>
      </c>
      <c r="C520" s="192" t="str">
        <f aca="false">IF(AND('MAYO 2026'!D104&lt;&gt;"",'MAYO 2026'!Z104="POR RECOGER"),'MAYO 2026'!D104,"")</f>
        <v/>
      </c>
      <c r="D520" s="192" t="str">
        <f aca="false">IF(AND('MAYO 2026'!D104&lt;&gt;"",'MAYO 2026'!Z104="POR RECOGER"),'MAYO 2026'!F104,"")</f>
        <v/>
      </c>
      <c r="E520" s="192" t="str">
        <f aca="false">IF(AND('MAYO 2026'!D104&lt;&gt;"",'MAYO 2026'!Z104="POR RECOGER"),TEXT('MAYO 2026'!G104,"DD/MM/YYYY"),"")</f>
        <v/>
      </c>
      <c r="F520" s="192" t="str">
        <f aca="false">IF(AND('MAYO 2026'!D104&lt;&gt;"",'MAYO 2026'!Z104="POR RECOGER"),'MAYO 2026'!K104,"")</f>
        <v/>
      </c>
      <c r="G520" s="193" t="str">
        <f aca="false">IF(AND('MAYO 2026'!D104&lt;&gt;"",'MAYO 2026'!Z104="POR RECOGER"),'MAYO 2026'!M104,"")</f>
        <v/>
      </c>
      <c r="H520" s="193" t="str">
        <f aca="false">IF(AND('MAYO 2026'!D104&lt;&gt;"",'MAYO 2026'!Z104="POR RECOGER"),'MAYO 2026'!N104,"")</f>
        <v/>
      </c>
      <c r="I520" s="192" t="str">
        <f aca="false">IF(AND('MAYO 2026'!D104&lt;&gt;"",'MAYO 2026'!Z104="POR RECOGER"),'MAYO 2026'!P104,"")</f>
        <v/>
      </c>
      <c r="J520" s="192" t="str">
        <f aca="false">IF(AND('MAYO 2026'!D104&lt;&gt;"",'MAYO 2026'!Z104="POR RECOGER"),'MAYO 2026'!Q104,"")</f>
        <v/>
      </c>
      <c r="K520" s="192" t="str">
        <f aca="false">IF(AND('MAYO 2026'!D104&lt;&gt;"",'MAYO 2026'!Z104="POR RECOGER"),'MAYO 2026'!Y104,"")</f>
        <v/>
      </c>
      <c r="L520" s="192" t="str">
        <f aca="false">IF(AND('MAYO 2026'!D104&lt;&gt;"",'MAYO 2026'!Z104="POR RECOGER"),'MAYO 2026'!I104,"")</f>
        <v/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" hidden="false" customHeight="true" outlineLevel="0" collapsed="false">
      <c r="A521" s="192" t="str">
        <f aca="false">IF(AND('MAYO 2026'!D105&lt;&gt;"",'MAYO 2026'!Z105="POR RECOGER"),"MAY","")</f>
        <v/>
      </c>
      <c r="B521" s="192" t="str">
        <f aca="false">IF(AND('MAYO 2026'!D105&lt;&gt;"",'MAYO 2026'!Z105="POR RECOGER"),IF('MAYO 2026'!Y105&lt;&gt;"",'MAYO 2026'!Y105,'MAYO 2026'!I105),"")</f>
        <v/>
      </c>
      <c r="C521" s="192" t="str">
        <f aca="false">IF(AND('MAYO 2026'!D105&lt;&gt;"",'MAYO 2026'!Z105="POR RECOGER"),'MAYO 2026'!D105,"")</f>
        <v/>
      </c>
      <c r="D521" s="192" t="str">
        <f aca="false">IF(AND('MAYO 2026'!D105&lt;&gt;"",'MAYO 2026'!Z105="POR RECOGER"),'MAYO 2026'!F105,"")</f>
        <v/>
      </c>
      <c r="E521" s="192" t="str">
        <f aca="false">IF(AND('MAYO 2026'!D105&lt;&gt;"",'MAYO 2026'!Z105="POR RECOGER"),TEXT('MAYO 2026'!G105,"DD/MM/YYYY"),"")</f>
        <v/>
      </c>
      <c r="F521" s="192" t="str">
        <f aca="false">IF(AND('MAYO 2026'!D105&lt;&gt;"",'MAYO 2026'!Z105="POR RECOGER"),'MAYO 2026'!K105,"")</f>
        <v/>
      </c>
      <c r="G521" s="193" t="str">
        <f aca="false">IF(AND('MAYO 2026'!D105&lt;&gt;"",'MAYO 2026'!Z105="POR RECOGER"),'MAYO 2026'!M105,"")</f>
        <v/>
      </c>
      <c r="H521" s="193" t="str">
        <f aca="false">IF(AND('MAYO 2026'!D105&lt;&gt;"",'MAYO 2026'!Z105="POR RECOGER"),'MAYO 2026'!N105,"")</f>
        <v/>
      </c>
      <c r="I521" s="192" t="str">
        <f aca="false">IF(AND('MAYO 2026'!D105&lt;&gt;"",'MAYO 2026'!Z105="POR RECOGER"),'MAYO 2026'!P105,"")</f>
        <v/>
      </c>
      <c r="J521" s="192" t="str">
        <f aca="false">IF(AND('MAYO 2026'!D105&lt;&gt;"",'MAYO 2026'!Z105="POR RECOGER"),'MAYO 2026'!Q105,"")</f>
        <v/>
      </c>
      <c r="K521" s="192" t="str">
        <f aca="false">IF(AND('MAYO 2026'!D105&lt;&gt;"",'MAYO 2026'!Z105="POR RECOGER"),'MAYO 2026'!Y105,"")</f>
        <v/>
      </c>
      <c r="L521" s="192" t="str">
        <f aca="false">IF(AND('MAYO 2026'!D105&lt;&gt;"",'MAYO 2026'!Z105="POR RECOGER"),'MAYO 2026'!I105,"")</f>
        <v/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" hidden="false" customHeight="true" outlineLevel="0" collapsed="false">
      <c r="A522" s="192" t="str">
        <f aca="false">IF(AND('MAYO 2026'!D106&lt;&gt;"",'MAYO 2026'!Z106="POR RECOGER"),"MAY","")</f>
        <v/>
      </c>
      <c r="B522" s="192" t="str">
        <f aca="false">IF(AND('MAYO 2026'!D106&lt;&gt;"",'MAYO 2026'!Z106="POR RECOGER"),IF('MAYO 2026'!Y106&lt;&gt;"",'MAYO 2026'!Y106,'MAYO 2026'!I106),"")</f>
        <v/>
      </c>
      <c r="C522" s="192" t="str">
        <f aca="false">IF(AND('MAYO 2026'!D106&lt;&gt;"",'MAYO 2026'!Z106="POR RECOGER"),'MAYO 2026'!D106,"")</f>
        <v/>
      </c>
      <c r="D522" s="192" t="str">
        <f aca="false">IF(AND('MAYO 2026'!D106&lt;&gt;"",'MAYO 2026'!Z106="POR RECOGER"),'MAYO 2026'!F106,"")</f>
        <v/>
      </c>
      <c r="E522" s="192" t="str">
        <f aca="false">IF(AND('MAYO 2026'!D106&lt;&gt;"",'MAYO 2026'!Z106="POR RECOGER"),TEXT('MAYO 2026'!G106,"DD/MM/YYYY"),"")</f>
        <v/>
      </c>
      <c r="F522" s="192" t="str">
        <f aca="false">IF(AND('MAYO 2026'!D106&lt;&gt;"",'MAYO 2026'!Z106="POR RECOGER"),'MAYO 2026'!K106,"")</f>
        <v/>
      </c>
      <c r="G522" s="193" t="str">
        <f aca="false">IF(AND('MAYO 2026'!D106&lt;&gt;"",'MAYO 2026'!Z106="POR RECOGER"),'MAYO 2026'!M106,"")</f>
        <v/>
      </c>
      <c r="H522" s="193" t="str">
        <f aca="false">IF(AND('MAYO 2026'!D106&lt;&gt;"",'MAYO 2026'!Z106="POR RECOGER"),'MAYO 2026'!N106,"")</f>
        <v/>
      </c>
      <c r="I522" s="192" t="str">
        <f aca="false">IF(AND('MAYO 2026'!D106&lt;&gt;"",'MAYO 2026'!Z106="POR RECOGER"),'MAYO 2026'!P106,"")</f>
        <v/>
      </c>
      <c r="J522" s="192" t="str">
        <f aca="false">IF(AND('MAYO 2026'!D106&lt;&gt;"",'MAYO 2026'!Z106="POR RECOGER"),'MAYO 2026'!Q106,"")</f>
        <v/>
      </c>
      <c r="K522" s="192" t="str">
        <f aca="false">IF(AND('MAYO 2026'!D106&lt;&gt;"",'MAYO 2026'!Z106="POR RECOGER"),'MAYO 2026'!Y106,"")</f>
        <v/>
      </c>
      <c r="L522" s="192" t="str">
        <f aca="false">IF(AND('MAYO 2026'!D106&lt;&gt;"",'MAYO 2026'!Z106="POR RECOGER"),'MAYO 2026'!I106,"")</f>
        <v/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" hidden="false" customHeight="true" outlineLevel="0" collapsed="false">
      <c r="A523" s="192" t="str">
        <f aca="false">IF(AND('MAYO 2026'!D107&lt;&gt;"",'MAYO 2026'!Z107="POR RECOGER"),"MAY","")</f>
        <v/>
      </c>
      <c r="B523" s="192" t="str">
        <f aca="false">IF(AND('MAYO 2026'!D107&lt;&gt;"",'MAYO 2026'!Z107="POR RECOGER"),IF('MAYO 2026'!Y107&lt;&gt;"",'MAYO 2026'!Y107,'MAYO 2026'!I107),"")</f>
        <v/>
      </c>
      <c r="C523" s="192" t="str">
        <f aca="false">IF(AND('MAYO 2026'!D107&lt;&gt;"",'MAYO 2026'!Z107="POR RECOGER"),'MAYO 2026'!D107,"")</f>
        <v/>
      </c>
      <c r="D523" s="192" t="str">
        <f aca="false">IF(AND('MAYO 2026'!D107&lt;&gt;"",'MAYO 2026'!Z107="POR RECOGER"),'MAYO 2026'!F107,"")</f>
        <v/>
      </c>
      <c r="E523" s="192" t="str">
        <f aca="false">IF(AND('MAYO 2026'!D107&lt;&gt;"",'MAYO 2026'!Z107="POR RECOGER"),TEXT('MAYO 2026'!G107,"DD/MM/YYYY"),"")</f>
        <v/>
      </c>
      <c r="F523" s="192" t="str">
        <f aca="false">IF(AND('MAYO 2026'!D107&lt;&gt;"",'MAYO 2026'!Z107="POR RECOGER"),'MAYO 2026'!K107,"")</f>
        <v/>
      </c>
      <c r="G523" s="193" t="str">
        <f aca="false">IF(AND('MAYO 2026'!D107&lt;&gt;"",'MAYO 2026'!Z107="POR RECOGER"),'MAYO 2026'!M107,"")</f>
        <v/>
      </c>
      <c r="H523" s="193" t="str">
        <f aca="false">IF(AND('MAYO 2026'!D107&lt;&gt;"",'MAYO 2026'!Z107="POR RECOGER"),'MAYO 2026'!N107,"")</f>
        <v/>
      </c>
      <c r="I523" s="192" t="str">
        <f aca="false">IF(AND('MAYO 2026'!D107&lt;&gt;"",'MAYO 2026'!Z107="POR RECOGER"),'MAYO 2026'!P107,"")</f>
        <v/>
      </c>
      <c r="J523" s="192" t="str">
        <f aca="false">IF(AND('MAYO 2026'!D107&lt;&gt;"",'MAYO 2026'!Z107="POR RECOGER"),'MAYO 2026'!Q107,"")</f>
        <v/>
      </c>
      <c r="K523" s="192" t="str">
        <f aca="false">IF(AND('MAYO 2026'!D107&lt;&gt;"",'MAYO 2026'!Z107="POR RECOGER"),'MAYO 2026'!Y107,"")</f>
        <v/>
      </c>
      <c r="L523" s="192" t="str">
        <f aca="false">IF(AND('MAYO 2026'!D107&lt;&gt;"",'MAYO 2026'!Z107="POR RECOGER"),'MAYO 2026'!I107,"")</f>
        <v/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" hidden="false" customHeight="true" outlineLevel="0" collapsed="false">
      <c r="A524" s="192" t="str">
        <f aca="false">IF(AND('MAYO 2026'!D108&lt;&gt;"",'MAYO 2026'!Z108="POR RECOGER"),"MAY","")</f>
        <v/>
      </c>
      <c r="B524" s="192" t="str">
        <f aca="false">IF(AND('MAYO 2026'!D108&lt;&gt;"",'MAYO 2026'!Z108="POR RECOGER"),IF('MAYO 2026'!Y108&lt;&gt;"",'MAYO 2026'!Y108,'MAYO 2026'!I108),"")</f>
        <v/>
      </c>
      <c r="C524" s="192" t="str">
        <f aca="false">IF(AND('MAYO 2026'!D108&lt;&gt;"",'MAYO 2026'!Z108="POR RECOGER"),'MAYO 2026'!D108,"")</f>
        <v/>
      </c>
      <c r="D524" s="192" t="str">
        <f aca="false">IF(AND('MAYO 2026'!D108&lt;&gt;"",'MAYO 2026'!Z108="POR RECOGER"),'MAYO 2026'!F108,"")</f>
        <v/>
      </c>
      <c r="E524" s="192" t="str">
        <f aca="false">IF(AND('MAYO 2026'!D108&lt;&gt;"",'MAYO 2026'!Z108="POR RECOGER"),TEXT('MAYO 2026'!G108,"DD/MM/YYYY"),"")</f>
        <v/>
      </c>
      <c r="F524" s="192" t="str">
        <f aca="false">IF(AND('MAYO 2026'!D108&lt;&gt;"",'MAYO 2026'!Z108="POR RECOGER"),'MAYO 2026'!K108,"")</f>
        <v/>
      </c>
      <c r="G524" s="193" t="str">
        <f aca="false">IF(AND('MAYO 2026'!D108&lt;&gt;"",'MAYO 2026'!Z108="POR RECOGER"),'MAYO 2026'!M108,"")</f>
        <v/>
      </c>
      <c r="H524" s="193" t="str">
        <f aca="false">IF(AND('MAYO 2026'!D108&lt;&gt;"",'MAYO 2026'!Z108="POR RECOGER"),'MAYO 2026'!N108,"")</f>
        <v/>
      </c>
      <c r="I524" s="192" t="str">
        <f aca="false">IF(AND('MAYO 2026'!D108&lt;&gt;"",'MAYO 2026'!Z108="POR RECOGER"),'MAYO 2026'!P108,"")</f>
        <v/>
      </c>
      <c r="J524" s="192" t="str">
        <f aca="false">IF(AND('MAYO 2026'!D108&lt;&gt;"",'MAYO 2026'!Z108="POR RECOGER"),'MAYO 2026'!Q108,"")</f>
        <v/>
      </c>
      <c r="K524" s="192" t="str">
        <f aca="false">IF(AND('MAYO 2026'!D108&lt;&gt;"",'MAYO 2026'!Z108="POR RECOGER"),'MAYO 2026'!Y108,"")</f>
        <v/>
      </c>
      <c r="L524" s="192" t="str">
        <f aca="false">IF(AND('MAYO 2026'!D108&lt;&gt;"",'MAYO 2026'!Z108="POR RECOGER"),'MAYO 2026'!I108,"")</f>
        <v/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" hidden="false" customHeight="true" outlineLevel="0" collapsed="false">
      <c r="A525" s="192" t="str">
        <f aca="false">IF(AND('MAYO 2026'!D109&lt;&gt;"",'MAYO 2026'!Z109="POR RECOGER"),"MAY","")</f>
        <v/>
      </c>
      <c r="B525" s="192" t="str">
        <f aca="false">IF(AND('MAYO 2026'!D109&lt;&gt;"",'MAYO 2026'!Z109="POR RECOGER"),IF('MAYO 2026'!Y109&lt;&gt;"",'MAYO 2026'!Y109,'MAYO 2026'!I109),"")</f>
        <v/>
      </c>
      <c r="C525" s="192" t="str">
        <f aca="false">IF(AND('MAYO 2026'!D109&lt;&gt;"",'MAYO 2026'!Z109="POR RECOGER"),'MAYO 2026'!D109,"")</f>
        <v/>
      </c>
      <c r="D525" s="192" t="str">
        <f aca="false">IF(AND('MAYO 2026'!D109&lt;&gt;"",'MAYO 2026'!Z109="POR RECOGER"),'MAYO 2026'!F109,"")</f>
        <v/>
      </c>
      <c r="E525" s="192" t="str">
        <f aca="false">IF(AND('MAYO 2026'!D109&lt;&gt;"",'MAYO 2026'!Z109="POR RECOGER"),TEXT('MAYO 2026'!G109,"DD/MM/YYYY"),"")</f>
        <v/>
      </c>
      <c r="F525" s="192" t="str">
        <f aca="false">IF(AND('MAYO 2026'!D109&lt;&gt;"",'MAYO 2026'!Z109="POR RECOGER"),'MAYO 2026'!K109,"")</f>
        <v/>
      </c>
      <c r="G525" s="193" t="str">
        <f aca="false">IF(AND('MAYO 2026'!D109&lt;&gt;"",'MAYO 2026'!Z109="POR RECOGER"),'MAYO 2026'!M109,"")</f>
        <v/>
      </c>
      <c r="H525" s="193" t="str">
        <f aca="false">IF(AND('MAYO 2026'!D109&lt;&gt;"",'MAYO 2026'!Z109="POR RECOGER"),'MAYO 2026'!N109,"")</f>
        <v/>
      </c>
      <c r="I525" s="192" t="str">
        <f aca="false">IF(AND('MAYO 2026'!D109&lt;&gt;"",'MAYO 2026'!Z109="POR RECOGER"),'MAYO 2026'!P109,"")</f>
        <v/>
      </c>
      <c r="J525" s="192" t="str">
        <f aca="false">IF(AND('MAYO 2026'!D109&lt;&gt;"",'MAYO 2026'!Z109="POR RECOGER"),'MAYO 2026'!Q109,"")</f>
        <v/>
      </c>
      <c r="K525" s="192" t="str">
        <f aca="false">IF(AND('MAYO 2026'!D109&lt;&gt;"",'MAYO 2026'!Z109="POR RECOGER"),'MAYO 2026'!Y109,"")</f>
        <v/>
      </c>
      <c r="L525" s="192" t="str">
        <f aca="false">IF(AND('MAYO 2026'!D109&lt;&gt;"",'MAYO 2026'!Z109="POR RECOGER"),'MAYO 2026'!I109,"")</f>
        <v/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" hidden="false" customHeight="true" outlineLevel="0" collapsed="false">
      <c r="A526" s="192" t="str">
        <f aca="false">IF(AND('MAYO 2026'!D110&lt;&gt;"",'MAYO 2026'!Z110="POR RECOGER"),"MAY","")</f>
        <v/>
      </c>
      <c r="B526" s="192" t="str">
        <f aca="false">IF(AND('MAYO 2026'!D110&lt;&gt;"",'MAYO 2026'!Z110="POR RECOGER"),IF('MAYO 2026'!Y110&lt;&gt;"",'MAYO 2026'!Y110,'MAYO 2026'!I110),"")</f>
        <v/>
      </c>
      <c r="C526" s="192" t="str">
        <f aca="false">IF(AND('MAYO 2026'!D110&lt;&gt;"",'MAYO 2026'!Z110="POR RECOGER"),'MAYO 2026'!D110,"")</f>
        <v/>
      </c>
      <c r="D526" s="192" t="str">
        <f aca="false">IF(AND('MAYO 2026'!D110&lt;&gt;"",'MAYO 2026'!Z110="POR RECOGER"),'MAYO 2026'!F110,"")</f>
        <v/>
      </c>
      <c r="E526" s="192" t="str">
        <f aca="false">IF(AND('MAYO 2026'!D110&lt;&gt;"",'MAYO 2026'!Z110="POR RECOGER"),TEXT('MAYO 2026'!G110,"DD/MM/YYYY"),"")</f>
        <v/>
      </c>
      <c r="F526" s="192" t="str">
        <f aca="false">IF(AND('MAYO 2026'!D110&lt;&gt;"",'MAYO 2026'!Z110="POR RECOGER"),'MAYO 2026'!K110,"")</f>
        <v/>
      </c>
      <c r="G526" s="193" t="str">
        <f aca="false">IF(AND('MAYO 2026'!D110&lt;&gt;"",'MAYO 2026'!Z110="POR RECOGER"),'MAYO 2026'!M110,"")</f>
        <v/>
      </c>
      <c r="H526" s="193" t="str">
        <f aca="false">IF(AND('MAYO 2026'!D110&lt;&gt;"",'MAYO 2026'!Z110="POR RECOGER"),'MAYO 2026'!N110,"")</f>
        <v/>
      </c>
      <c r="I526" s="192" t="str">
        <f aca="false">IF(AND('MAYO 2026'!D110&lt;&gt;"",'MAYO 2026'!Z110="POR RECOGER"),'MAYO 2026'!P110,"")</f>
        <v/>
      </c>
      <c r="J526" s="192" t="str">
        <f aca="false">IF(AND('MAYO 2026'!D110&lt;&gt;"",'MAYO 2026'!Z110="POR RECOGER"),'MAYO 2026'!Q110,"")</f>
        <v/>
      </c>
      <c r="K526" s="192" t="str">
        <f aca="false">IF(AND('MAYO 2026'!D110&lt;&gt;"",'MAYO 2026'!Z110="POR RECOGER"),'MAYO 2026'!Y110,"")</f>
        <v/>
      </c>
      <c r="L526" s="192" t="str">
        <f aca="false">IF(AND('MAYO 2026'!D110&lt;&gt;"",'MAYO 2026'!Z110="POR RECOGER"),'MAYO 2026'!I110,"")</f>
        <v/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" hidden="false" customHeight="true" outlineLevel="0" collapsed="false">
      <c r="A527" s="192" t="str">
        <f aca="false">IF(AND('JUNIO 2026'!D6&lt;&gt;"",'JUNIO 2026'!Z6="POR RECOGER"),"JUN","")</f>
        <v/>
      </c>
      <c r="B527" s="192" t="str">
        <f aca="false">IF(AND('JUNIO 2026'!D6&lt;&gt;"",'JUNIO 2026'!Z6="POR RECOGER"),IF('JUNIO 2026'!Y6&lt;&gt;"",'JUNIO 2026'!Y6,'JUNIO 2026'!I6),"")</f>
        <v/>
      </c>
      <c r="C527" s="192" t="str">
        <f aca="false">IF(AND('JUNIO 2026'!D6&lt;&gt;"",'JUNIO 2026'!Z6="POR RECOGER"),'JUNIO 2026'!D6,"")</f>
        <v/>
      </c>
      <c r="D527" s="192" t="str">
        <f aca="false">IF(AND('JUNIO 2026'!D6&lt;&gt;"",'JUNIO 2026'!Z6="POR RECOGER"),'JUNIO 2026'!F6,"")</f>
        <v/>
      </c>
      <c r="E527" s="192" t="str">
        <f aca="false">IF(AND('JUNIO 2026'!D6&lt;&gt;"",'JUNIO 2026'!Z6="POR RECOGER"),TEXT('JUNIO 2026'!G6,"DD/MM/YYYY"),"")</f>
        <v/>
      </c>
      <c r="F527" s="192" t="str">
        <f aca="false">IF(AND('JUNIO 2026'!D6&lt;&gt;"",'JUNIO 2026'!Z6="POR RECOGER"),'JUNIO 2026'!K6,"")</f>
        <v/>
      </c>
      <c r="G527" s="193" t="str">
        <f aca="false">IF(AND('JUNIO 2026'!D6&lt;&gt;"",'JUNIO 2026'!Z6="POR RECOGER"),'JUNIO 2026'!M6,"")</f>
        <v/>
      </c>
      <c r="H527" s="193" t="str">
        <f aca="false">IF(AND('JUNIO 2026'!D6&lt;&gt;"",'JUNIO 2026'!Z6="POR RECOGER"),'JUNIO 2026'!N6,"")</f>
        <v/>
      </c>
      <c r="I527" s="192" t="str">
        <f aca="false">IF(AND('JUNIO 2026'!D6&lt;&gt;"",'JUNIO 2026'!Z6="POR RECOGER"),'JUNIO 2026'!P6,"")</f>
        <v/>
      </c>
      <c r="J527" s="192" t="str">
        <f aca="false">IF(AND('JUNIO 2026'!D6&lt;&gt;"",'JUNIO 2026'!Z6="POR RECOGER"),'JUNIO 2026'!Q6,"")</f>
        <v/>
      </c>
      <c r="K527" s="192" t="str">
        <f aca="false">IF(AND('JUNIO 2026'!D6&lt;&gt;"",'JUNIO 2026'!Z6="POR RECOGER"),'JUNIO 2026'!Y6,"")</f>
        <v/>
      </c>
      <c r="L527" s="192" t="str">
        <f aca="false">IF(AND('JUNIO 2026'!D6&lt;&gt;"",'JUNIO 2026'!Z6="POR RECOGER"),'JUNIO 2026'!I6,"")</f>
        <v/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" hidden="false" customHeight="true" outlineLevel="0" collapsed="false">
      <c r="A528" s="192" t="str">
        <f aca="false">IF(AND('JUNIO 2026'!D7&lt;&gt;"",'JUNIO 2026'!Z7="POR RECOGER"),"JUN","")</f>
        <v/>
      </c>
      <c r="B528" s="192" t="str">
        <f aca="false">IF(AND('JUNIO 2026'!D7&lt;&gt;"",'JUNIO 2026'!Z7="POR RECOGER"),IF('JUNIO 2026'!Y7&lt;&gt;"",'JUNIO 2026'!Y7,'JUNIO 2026'!I7),"")</f>
        <v/>
      </c>
      <c r="C528" s="192" t="str">
        <f aca="false">IF(AND('JUNIO 2026'!D7&lt;&gt;"",'JUNIO 2026'!Z7="POR RECOGER"),'JUNIO 2026'!D7,"")</f>
        <v/>
      </c>
      <c r="D528" s="192" t="str">
        <f aca="false">IF(AND('JUNIO 2026'!D7&lt;&gt;"",'JUNIO 2026'!Z7="POR RECOGER"),'JUNIO 2026'!F7,"")</f>
        <v/>
      </c>
      <c r="E528" s="192" t="str">
        <f aca="false">IF(AND('JUNIO 2026'!D7&lt;&gt;"",'JUNIO 2026'!Z7="POR RECOGER"),TEXT('JUNIO 2026'!G7,"DD/MM/YYYY"),"")</f>
        <v/>
      </c>
      <c r="F528" s="192" t="str">
        <f aca="false">IF(AND('JUNIO 2026'!D7&lt;&gt;"",'JUNIO 2026'!Z7="POR RECOGER"),'JUNIO 2026'!K7,"")</f>
        <v/>
      </c>
      <c r="G528" s="193" t="str">
        <f aca="false">IF(AND('JUNIO 2026'!D7&lt;&gt;"",'JUNIO 2026'!Z7="POR RECOGER"),'JUNIO 2026'!M7,"")</f>
        <v/>
      </c>
      <c r="H528" s="193" t="str">
        <f aca="false">IF(AND('JUNIO 2026'!D7&lt;&gt;"",'JUNIO 2026'!Z7="POR RECOGER"),'JUNIO 2026'!N7,"")</f>
        <v/>
      </c>
      <c r="I528" s="192" t="str">
        <f aca="false">IF(AND('JUNIO 2026'!D7&lt;&gt;"",'JUNIO 2026'!Z7="POR RECOGER"),'JUNIO 2026'!P7,"")</f>
        <v/>
      </c>
      <c r="J528" s="192" t="str">
        <f aca="false">IF(AND('JUNIO 2026'!D7&lt;&gt;"",'JUNIO 2026'!Z7="POR RECOGER"),'JUNIO 2026'!Q7,"")</f>
        <v/>
      </c>
      <c r="K528" s="192" t="str">
        <f aca="false">IF(AND('JUNIO 2026'!D7&lt;&gt;"",'JUNIO 2026'!Z7="POR RECOGER"),'JUNIO 2026'!Y7,"")</f>
        <v/>
      </c>
      <c r="L528" s="192" t="str">
        <f aca="false">IF(AND('JUNIO 2026'!D7&lt;&gt;"",'JUNIO 2026'!Z7="POR RECOGER"),'JUNIO 2026'!I7,"")</f>
        <v/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" hidden="false" customHeight="true" outlineLevel="0" collapsed="false">
      <c r="A529" s="192" t="str">
        <f aca="false">IF(AND('JUNIO 2026'!D8&lt;&gt;"",'JUNIO 2026'!Z8="POR RECOGER"),"JUN","")</f>
        <v/>
      </c>
      <c r="B529" s="192" t="str">
        <f aca="false">IF(AND('JUNIO 2026'!D8&lt;&gt;"",'JUNIO 2026'!Z8="POR RECOGER"),IF('JUNIO 2026'!Y8&lt;&gt;"",'JUNIO 2026'!Y8,'JUNIO 2026'!I8),"")</f>
        <v/>
      </c>
      <c r="C529" s="192" t="str">
        <f aca="false">IF(AND('JUNIO 2026'!D8&lt;&gt;"",'JUNIO 2026'!Z8="POR RECOGER"),'JUNIO 2026'!D8,"")</f>
        <v/>
      </c>
      <c r="D529" s="192" t="str">
        <f aca="false">IF(AND('JUNIO 2026'!D8&lt;&gt;"",'JUNIO 2026'!Z8="POR RECOGER"),'JUNIO 2026'!F8,"")</f>
        <v/>
      </c>
      <c r="E529" s="192" t="str">
        <f aca="false">IF(AND('JUNIO 2026'!D8&lt;&gt;"",'JUNIO 2026'!Z8="POR RECOGER"),TEXT('JUNIO 2026'!G8,"DD/MM/YYYY"),"")</f>
        <v/>
      </c>
      <c r="F529" s="192" t="str">
        <f aca="false">IF(AND('JUNIO 2026'!D8&lt;&gt;"",'JUNIO 2026'!Z8="POR RECOGER"),'JUNIO 2026'!K8,"")</f>
        <v/>
      </c>
      <c r="G529" s="193" t="str">
        <f aca="false">IF(AND('JUNIO 2026'!D8&lt;&gt;"",'JUNIO 2026'!Z8="POR RECOGER"),'JUNIO 2026'!M8,"")</f>
        <v/>
      </c>
      <c r="H529" s="193" t="str">
        <f aca="false">IF(AND('JUNIO 2026'!D8&lt;&gt;"",'JUNIO 2026'!Z8="POR RECOGER"),'JUNIO 2026'!N8,"")</f>
        <v/>
      </c>
      <c r="I529" s="192" t="str">
        <f aca="false">IF(AND('JUNIO 2026'!D8&lt;&gt;"",'JUNIO 2026'!Z8="POR RECOGER"),'JUNIO 2026'!P8,"")</f>
        <v/>
      </c>
      <c r="J529" s="192" t="str">
        <f aca="false">IF(AND('JUNIO 2026'!D8&lt;&gt;"",'JUNIO 2026'!Z8="POR RECOGER"),'JUNIO 2026'!Q8,"")</f>
        <v/>
      </c>
      <c r="K529" s="192" t="str">
        <f aca="false">IF(AND('JUNIO 2026'!D8&lt;&gt;"",'JUNIO 2026'!Z8="POR RECOGER"),'JUNIO 2026'!Y8,"")</f>
        <v/>
      </c>
      <c r="L529" s="192" t="str">
        <f aca="false">IF(AND('JUNIO 2026'!D8&lt;&gt;"",'JUNIO 2026'!Z8="POR RECOGER"),'JUNIO 2026'!I8,"")</f>
        <v/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" hidden="false" customHeight="true" outlineLevel="0" collapsed="false">
      <c r="A530" s="192" t="str">
        <f aca="false">IF(AND('JUNIO 2026'!D9&lt;&gt;"",'JUNIO 2026'!Z9="POR RECOGER"),"JUN","")</f>
        <v/>
      </c>
      <c r="B530" s="192" t="str">
        <f aca="false">IF(AND('JUNIO 2026'!D9&lt;&gt;"",'JUNIO 2026'!Z9="POR RECOGER"),IF('JUNIO 2026'!Y9&lt;&gt;"",'JUNIO 2026'!Y9,'JUNIO 2026'!I9),"")</f>
        <v/>
      </c>
      <c r="C530" s="192" t="str">
        <f aca="false">IF(AND('JUNIO 2026'!D9&lt;&gt;"",'JUNIO 2026'!Z9="POR RECOGER"),'JUNIO 2026'!D9,"")</f>
        <v/>
      </c>
      <c r="D530" s="192" t="str">
        <f aca="false">IF(AND('JUNIO 2026'!D9&lt;&gt;"",'JUNIO 2026'!Z9="POR RECOGER"),'JUNIO 2026'!F9,"")</f>
        <v/>
      </c>
      <c r="E530" s="192" t="str">
        <f aca="false">IF(AND('JUNIO 2026'!D9&lt;&gt;"",'JUNIO 2026'!Z9="POR RECOGER"),TEXT('JUNIO 2026'!G9,"DD/MM/YYYY"),"")</f>
        <v/>
      </c>
      <c r="F530" s="192" t="str">
        <f aca="false">IF(AND('JUNIO 2026'!D9&lt;&gt;"",'JUNIO 2026'!Z9="POR RECOGER"),'JUNIO 2026'!K9,"")</f>
        <v/>
      </c>
      <c r="G530" s="193" t="str">
        <f aca="false">IF(AND('JUNIO 2026'!D9&lt;&gt;"",'JUNIO 2026'!Z9="POR RECOGER"),'JUNIO 2026'!M9,"")</f>
        <v/>
      </c>
      <c r="H530" s="193" t="str">
        <f aca="false">IF(AND('JUNIO 2026'!D9&lt;&gt;"",'JUNIO 2026'!Z9="POR RECOGER"),'JUNIO 2026'!N9,"")</f>
        <v/>
      </c>
      <c r="I530" s="192" t="str">
        <f aca="false">IF(AND('JUNIO 2026'!D9&lt;&gt;"",'JUNIO 2026'!Z9="POR RECOGER"),'JUNIO 2026'!P9,"")</f>
        <v/>
      </c>
      <c r="J530" s="192" t="str">
        <f aca="false">IF(AND('JUNIO 2026'!D9&lt;&gt;"",'JUNIO 2026'!Z9="POR RECOGER"),'JUNIO 2026'!Q9,"")</f>
        <v/>
      </c>
      <c r="K530" s="192" t="str">
        <f aca="false">IF(AND('JUNIO 2026'!D9&lt;&gt;"",'JUNIO 2026'!Z9="POR RECOGER"),'JUNIO 2026'!Y9,"")</f>
        <v/>
      </c>
      <c r="L530" s="192" t="str">
        <f aca="false">IF(AND('JUNIO 2026'!D9&lt;&gt;"",'JUNIO 2026'!Z9="POR RECOGER"),'JUNIO 2026'!I9,"")</f>
        <v/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" hidden="false" customHeight="true" outlineLevel="0" collapsed="false">
      <c r="A531" s="192" t="str">
        <f aca="false">IF(AND('JUNIO 2026'!D10&lt;&gt;"",'JUNIO 2026'!Z10="POR RECOGER"),"JUN","")</f>
        <v/>
      </c>
      <c r="B531" s="192" t="str">
        <f aca="false">IF(AND('JUNIO 2026'!D10&lt;&gt;"",'JUNIO 2026'!Z10="POR RECOGER"),IF('JUNIO 2026'!Y10&lt;&gt;"",'JUNIO 2026'!Y10,'JUNIO 2026'!I10),"")</f>
        <v/>
      </c>
      <c r="C531" s="192" t="str">
        <f aca="false">IF(AND('JUNIO 2026'!D10&lt;&gt;"",'JUNIO 2026'!Z10="POR RECOGER"),'JUNIO 2026'!D10,"")</f>
        <v/>
      </c>
      <c r="D531" s="192" t="str">
        <f aca="false">IF(AND('JUNIO 2026'!D10&lt;&gt;"",'JUNIO 2026'!Z10="POR RECOGER"),'JUNIO 2026'!F10,"")</f>
        <v/>
      </c>
      <c r="E531" s="192" t="str">
        <f aca="false">IF(AND('JUNIO 2026'!D10&lt;&gt;"",'JUNIO 2026'!Z10="POR RECOGER"),TEXT('JUNIO 2026'!G10,"DD/MM/YYYY"),"")</f>
        <v/>
      </c>
      <c r="F531" s="192" t="str">
        <f aca="false">IF(AND('JUNIO 2026'!D10&lt;&gt;"",'JUNIO 2026'!Z10="POR RECOGER"),'JUNIO 2026'!K10,"")</f>
        <v/>
      </c>
      <c r="G531" s="193" t="str">
        <f aca="false">IF(AND('JUNIO 2026'!D10&lt;&gt;"",'JUNIO 2026'!Z10="POR RECOGER"),'JUNIO 2026'!M10,"")</f>
        <v/>
      </c>
      <c r="H531" s="193" t="str">
        <f aca="false">IF(AND('JUNIO 2026'!D10&lt;&gt;"",'JUNIO 2026'!Z10="POR RECOGER"),'JUNIO 2026'!N10,"")</f>
        <v/>
      </c>
      <c r="I531" s="192" t="str">
        <f aca="false">IF(AND('JUNIO 2026'!D10&lt;&gt;"",'JUNIO 2026'!Z10="POR RECOGER"),'JUNIO 2026'!P10,"")</f>
        <v/>
      </c>
      <c r="J531" s="192" t="str">
        <f aca="false">IF(AND('JUNIO 2026'!D10&lt;&gt;"",'JUNIO 2026'!Z10="POR RECOGER"),'JUNIO 2026'!Q10,"")</f>
        <v/>
      </c>
      <c r="K531" s="192" t="str">
        <f aca="false">IF(AND('JUNIO 2026'!D10&lt;&gt;"",'JUNIO 2026'!Z10="POR RECOGER"),'JUNIO 2026'!Y10,"")</f>
        <v/>
      </c>
      <c r="L531" s="192" t="str">
        <f aca="false">IF(AND('JUNIO 2026'!D10&lt;&gt;"",'JUNIO 2026'!Z10="POR RECOGER"),'JUNIO 2026'!I10,"")</f>
        <v/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" hidden="false" customHeight="true" outlineLevel="0" collapsed="false">
      <c r="A532" s="192" t="str">
        <f aca="false">IF(AND('JUNIO 2026'!D11&lt;&gt;"",'JUNIO 2026'!Z11="POR RECOGER"),"JUN","")</f>
        <v/>
      </c>
      <c r="B532" s="192" t="str">
        <f aca="false">IF(AND('JUNIO 2026'!D11&lt;&gt;"",'JUNIO 2026'!Z11="POR RECOGER"),IF('JUNIO 2026'!Y11&lt;&gt;"",'JUNIO 2026'!Y11,'JUNIO 2026'!I11),"")</f>
        <v/>
      </c>
      <c r="C532" s="192" t="str">
        <f aca="false">IF(AND('JUNIO 2026'!D11&lt;&gt;"",'JUNIO 2026'!Z11="POR RECOGER"),'JUNIO 2026'!D11,"")</f>
        <v/>
      </c>
      <c r="D532" s="192" t="str">
        <f aca="false">IF(AND('JUNIO 2026'!D11&lt;&gt;"",'JUNIO 2026'!Z11="POR RECOGER"),'JUNIO 2026'!F11,"")</f>
        <v/>
      </c>
      <c r="E532" s="192" t="str">
        <f aca="false">IF(AND('JUNIO 2026'!D11&lt;&gt;"",'JUNIO 2026'!Z11="POR RECOGER"),TEXT('JUNIO 2026'!G11,"DD/MM/YYYY"),"")</f>
        <v/>
      </c>
      <c r="F532" s="192" t="str">
        <f aca="false">IF(AND('JUNIO 2026'!D11&lt;&gt;"",'JUNIO 2026'!Z11="POR RECOGER"),'JUNIO 2026'!K11,"")</f>
        <v/>
      </c>
      <c r="G532" s="193" t="str">
        <f aca="false">IF(AND('JUNIO 2026'!D11&lt;&gt;"",'JUNIO 2026'!Z11="POR RECOGER"),'JUNIO 2026'!M11,"")</f>
        <v/>
      </c>
      <c r="H532" s="193" t="str">
        <f aca="false">IF(AND('JUNIO 2026'!D11&lt;&gt;"",'JUNIO 2026'!Z11="POR RECOGER"),'JUNIO 2026'!N11,"")</f>
        <v/>
      </c>
      <c r="I532" s="192" t="str">
        <f aca="false">IF(AND('JUNIO 2026'!D11&lt;&gt;"",'JUNIO 2026'!Z11="POR RECOGER"),'JUNIO 2026'!P11,"")</f>
        <v/>
      </c>
      <c r="J532" s="192" t="str">
        <f aca="false">IF(AND('JUNIO 2026'!D11&lt;&gt;"",'JUNIO 2026'!Z11="POR RECOGER"),'JUNIO 2026'!Q11,"")</f>
        <v/>
      </c>
      <c r="K532" s="192" t="str">
        <f aca="false">IF(AND('JUNIO 2026'!D11&lt;&gt;"",'JUNIO 2026'!Z11="POR RECOGER"),'JUNIO 2026'!Y11,"")</f>
        <v/>
      </c>
      <c r="L532" s="192" t="str">
        <f aca="false">IF(AND('JUNIO 2026'!D11&lt;&gt;"",'JUNIO 2026'!Z11="POR RECOGER"),'JUNIO 2026'!I11,"")</f>
        <v/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" hidden="false" customHeight="true" outlineLevel="0" collapsed="false">
      <c r="A533" s="192" t="str">
        <f aca="false">IF(AND('JUNIO 2026'!D12&lt;&gt;"",'JUNIO 2026'!Z12="POR RECOGER"),"JUN","")</f>
        <v/>
      </c>
      <c r="B533" s="192" t="str">
        <f aca="false">IF(AND('JUNIO 2026'!D12&lt;&gt;"",'JUNIO 2026'!Z12="POR RECOGER"),IF('JUNIO 2026'!Y12&lt;&gt;"",'JUNIO 2026'!Y12,'JUNIO 2026'!I12),"")</f>
        <v/>
      </c>
      <c r="C533" s="192" t="str">
        <f aca="false">IF(AND('JUNIO 2026'!D12&lt;&gt;"",'JUNIO 2026'!Z12="POR RECOGER"),'JUNIO 2026'!D12,"")</f>
        <v/>
      </c>
      <c r="D533" s="192" t="str">
        <f aca="false">IF(AND('JUNIO 2026'!D12&lt;&gt;"",'JUNIO 2026'!Z12="POR RECOGER"),'JUNIO 2026'!F12,"")</f>
        <v/>
      </c>
      <c r="E533" s="192" t="str">
        <f aca="false">IF(AND('JUNIO 2026'!D12&lt;&gt;"",'JUNIO 2026'!Z12="POR RECOGER"),TEXT('JUNIO 2026'!G12,"DD/MM/YYYY"),"")</f>
        <v/>
      </c>
      <c r="F533" s="192" t="str">
        <f aca="false">IF(AND('JUNIO 2026'!D12&lt;&gt;"",'JUNIO 2026'!Z12="POR RECOGER"),'JUNIO 2026'!K12,"")</f>
        <v/>
      </c>
      <c r="G533" s="193" t="str">
        <f aca="false">IF(AND('JUNIO 2026'!D12&lt;&gt;"",'JUNIO 2026'!Z12="POR RECOGER"),'JUNIO 2026'!M12,"")</f>
        <v/>
      </c>
      <c r="H533" s="193" t="str">
        <f aca="false">IF(AND('JUNIO 2026'!D12&lt;&gt;"",'JUNIO 2026'!Z12="POR RECOGER"),'JUNIO 2026'!N12,"")</f>
        <v/>
      </c>
      <c r="I533" s="192" t="str">
        <f aca="false">IF(AND('JUNIO 2026'!D12&lt;&gt;"",'JUNIO 2026'!Z12="POR RECOGER"),'JUNIO 2026'!P12,"")</f>
        <v/>
      </c>
      <c r="J533" s="192" t="str">
        <f aca="false">IF(AND('JUNIO 2026'!D12&lt;&gt;"",'JUNIO 2026'!Z12="POR RECOGER"),'JUNIO 2026'!Q12,"")</f>
        <v/>
      </c>
      <c r="K533" s="192" t="str">
        <f aca="false">IF(AND('JUNIO 2026'!D12&lt;&gt;"",'JUNIO 2026'!Z12="POR RECOGER"),'JUNIO 2026'!Y12,"")</f>
        <v/>
      </c>
      <c r="L533" s="192" t="str">
        <f aca="false">IF(AND('JUNIO 2026'!D12&lt;&gt;"",'JUNIO 2026'!Z12="POR RECOGER"),'JUNIO 2026'!I12,"")</f>
        <v/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" hidden="false" customHeight="true" outlineLevel="0" collapsed="false">
      <c r="A534" s="192" t="str">
        <f aca="false">IF(AND('JUNIO 2026'!D13&lt;&gt;"",'JUNIO 2026'!Z13="POR RECOGER"),"JUN","")</f>
        <v/>
      </c>
      <c r="B534" s="192" t="str">
        <f aca="false">IF(AND('JUNIO 2026'!D13&lt;&gt;"",'JUNIO 2026'!Z13="POR RECOGER"),IF('JUNIO 2026'!Y13&lt;&gt;"",'JUNIO 2026'!Y13,'JUNIO 2026'!I13),"")</f>
        <v/>
      </c>
      <c r="C534" s="192" t="str">
        <f aca="false">IF(AND('JUNIO 2026'!D13&lt;&gt;"",'JUNIO 2026'!Z13="POR RECOGER"),'JUNIO 2026'!D13,"")</f>
        <v/>
      </c>
      <c r="D534" s="192" t="str">
        <f aca="false">IF(AND('JUNIO 2026'!D13&lt;&gt;"",'JUNIO 2026'!Z13="POR RECOGER"),'JUNIO 2026'!F13,"")</f>
        <v/>
      </c>
      <c r="E534" s="192" t="str">
        <f aca="false">IF(AND('JUNIO 2026'!D13&lt;&gt;"",'JUNIO 2026'!Z13="POR RECOGER"),TEXT('JUNIO 2026'!G13,"DD/MM/YYYY"),"")</f>
        <v/>
      </c>
      <c r="F534" s="192" t="str">
        <f aca="false">IF(AND('JUNIO 2026'!D13&lt;&gt;"",'JUNIO 2026'!Z13="POR RECOGER"),'JUNIO 2026'!K13,"")</f>
        <v/>
      </c>
      <c r="G534" s="193" t="str">
        <f aca="false">IF(AND('JUNIO 2026'!D13&lt;&gt;"",'JUNIO 2026'!Z13="POR RECOGER"),'JUNIO 2026'!M13,"")</f>
        <v/>
      </c>
      <c r="H534" s="193" t="str">
        <f aca="false">IF(AND('JUNIO 2026'!D13&lt;&gt;"",'JUNIO 2026'!Z13="POR RECOGER"),'JUNIO 2026'!N13,"")</f>
        <v/>
      </c>
      <c r="I534" s="192" t="str">
        <f aca="false">IF(AND('JUNIO 2026'!D13&lt;&gt;"",'JUNIO 2026'!Z13="POR RECOGER"),'JUNIO 2026'!P13,"")</f>
        <v/>
      </c>
      <c r="J534" s="192" t="str">
        <f aca="false">IF(AND('JUNIO 2026'!D13&lt;&gt;"",'JUNIO 2026'!Z13="POR RECOGER"),'JUNIO 2026'!Q13,"")</f>
        <v/>
      </c>
      <c r="K534" s="192" t="str">
        <f aca="false">IF(AND('JUNIO 2026'!D13&lt;&gt;"",'JUNIO 2026'!Z13="POR RECOGER"),'JUNIO 2026'!Y13,"")</f>
        <v/>
      </c>
      <c r="L534" s="192" t="str">
        <f aca="false">IF(AND('JUNIO 2026'!D13&lt;&gt;"",'JUNIO 2026'!Z13="POR RECOGER"),'JUNIO 2026'!I13,"")</f>
        <v/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" hidden="false" customHeight="true" outlineLevel="0" collapsed="false">
      <c r="A535" s="192" t="str">
        <f aca="false">IF(AND('JUNIO 2026'!D14&lt;&gt;"",'JUNIO 2026'!Z14="POR RECOGER"),"JUN","")</f>
        <v/>
      </c>
      <c r="B535" s="192" t="str">
        <f aca="false">IF(AND('JUNIO 2026'!D14&lt;&gt;"",'JUNIO 2026'!Z14="POR RECOGER"),IF('JUNIO 2026'!Y14&lt;&gt;"",'JUNIO 2026'!Y14,'JUNIO 2026'!I14),"")</f>
        <v/>
      </c>
      <c r="C535" s="192" t="str">
        <f aca="false">IF(AND('JUNIO 2026'!D14&lt;&gt;"",'JUNIO 2026'!Z14="POR RECOGER"),'JUNIO 2026'!D14,"")</f>
        <v/>
      </c>
      <c r="D535" s="192" t="str">
        <f aca="false">IF(AND('JUNIO 2026'!D14&lt;&gt;"",'JUNIO 2026'!Z14="POR RECOGER"),'JUNIO 2026'!F14,"")</f>
        <v/>
      </c>
      <c r="E535" s="192" t="str">
        <f aca="false">IF(AND('JUNIO 2026'!D14&lt;&gt;"",'JUNIO 2026'!Z14="POR RECOGER"),TEXT('JUNIO 2026'!G14,"DD/MM/YYYY"),"")</f>
        <v/>
      </c>
      <c r="F535" s="192" t="str">
        <f aca="false">IF(AND('JUNIO 2026'!D14&lt;&gt;"",'JUNIO 2026'!Z14="POR RECOGER"),'JUNIO 2026'!K14,"")</f>
        <v/>
      </c>
      <c r="G535" s="193" t="str">
        <f aca="false">IF(AND('JUNIO 2026'!D14&lt;&gt;"",'JUNIO 2026'!Z14="POR RECOGER"),'JUNIO 2026'!M14,"")</f>
        <v/>
      </c>
      <c r="H535" s="193" t="str">
        <f aca="false">IF(AND('JUNIO 2026'!D14&lt;&gt;"",'JUNIO 2026'!Z14="POR RECOGER"),'JUNIO 2026'!N14,"")</f>
        <v/>
      </c>
      <c r="I535" s="192" t="str">
        <f aca="false">IF(AND('JUNIO 2026'!D14&lt;&gt;"",'JUNIO 2026'!Z14="POR RECOGER"),'JUNIO 2026'!P14,"")</f>
        <v/>
      </c>
      <c r="J535" s="192" t="str">
        <f aca="false">IF(AND('JUNIO 2026'!D14&lt;&gt;"",'JUNIO 2026'!Z14="POR RECOGER"),'JUNIO 2026'!Q14,"")</f>
        <v/>
      </c>
      <c r="K535" s="192" t="str">
        <f aca="false">IF(AND('JUNIO 2026'!D14&lt;&gt;"",'JUNIO 2026'!Z14="POR RECOGER"),'JUNIO 2026'!Y14,"")</f>
        <v/>
      </c>
      <c r="L535" s="192" t="str">
        <f aca="false">IF(AND('JUNIO 2026'!D14&lt;&gt;"",'JUNIO 2026'!Z14="POR RECOGER"),'JUNIO 2026'!I14,"")</f>
        <v/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" hidden="false" customHeight="true" outlineLevel="0" collapsed="false">
      <c r="A536" s="192" t="str">
        <f aca="false">IF(AND('JUNIO 2026'!D15&lt;&gt;"",'JUNIO 2026'!Z15="POR RECOGER"),"JUN","")</f>
        <v/>
      </c>
      <c r="B536" s="192" t="str">
        <f aca="false">IF(AND('JUNIO 2026'!D15&lt;&gt;"",'JUNIO 2026'!Z15="POR RECOGER"),IF('JUNIO 2026'!Y15&lt;&gt;"",'JUNIO 2026'!Y15,'JUNIO 2026'!I15),"")</f>
        <v/>
      </c>
      <c r="C536" s="192" t="str">
        <f aca="false">IF(AND('JUNIO 2026'!D15&lt;&gt;"",'JUNIO 2026'!Z15="POR RECOGER"),'JUNIO 2026'!D15,"")</f>
        <v/>
      </c>
      <c r="D536" s="192" t="str">
        <f aca="false">IF(AND('JUNIO 2026'!D15&lt;&gt;"",'JUNIO 2026'!Z15="POR RECOGER"),'JUNIO 2026'!F15,"")</f>
        <v/>
      </c>
      <c r="E536" s="192" t="str">
        <f aca="false">IF(AND('JUNIO 2026'!D15&lt;&gt;"",'JUNIO 2026'!Z15="POR RECOGER"),TEXT('JUNIO 2026'!G15,"DD/MM/YYYY"),"")</f>
        <v/>
      </c>
      <c r="F536" s="192" t="str">
        <f aca="false">IF(AND('JUNIO 2026'!D15&lt;&gt;"",'JUNIO 2026'!Z15="POR RECOGER"),'JUNIO 2026'!K15,"")</f>
        <v/>
      </c>
      <c r="G536" s="193" t="str">
        <f aca="false">IF(AND('JUNIO 2026'!D15&lt;&gt;"",'JUNIO 2026'!Z15="POR RECOGER"),'JUNIO 2026'!M15,"")</f>
        <v/>
      </c>
      <c r="H536" s="193" t="str">
        <f aca="false">IF(AND('JUNIO 2026'!D15&lt;&gt;"",'JUNIO 2026'!Z15="POR RECOGER"),'JUNIO 2026'!N15,"")</f>
        <v/>
      </c>
      <c r="I536" s="192" t="str">
        <f aca="false">IF(AND('JUNIO 2026'!D15&lt;&gt;"",'JUNIO 2026'!Z15="POR RECOGER"),'JUNIO 2026'!P15,"")</f>
        <v/>
      </c>
      <c r="J536" s="192" t="str">
        <f aca="false">IF(AND('JUNIO 2026'!D15&lt;&gt;"",'JUNIO 2026'!Z15="POR RECOGER"),'JUNIO 2026'!Q15,"")</f>
        <v/>
      </c>
      <c r="K536" s="192" t="str">
        <f aca="false">IF(AND('JUNIO 2026'!D15&lt;&gt;"",'JUNIO 2026'!Z15="POR RECOGER"),'JUNIO 2026'!Y15,"")</f>
        <v/>
      </c>
      <c r="L536" s="192" t="str">
        <f aca="false">IF(AND('JUNIO 2026'!D15&lt;&gt;"",'JUNIO 2026'!Z15="POR RECOGER"),'JUNIO 2026'!I15,"")</f>
        <v/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" hidden="false" customHeight="true" outlineLevel="0" collapsed="false">
      <c r="A537" s="192" t="str">
        <f aca="false">IF(AND('JUNIO 2026'!D16&lt;&gt;"",'JUNIO 2026'!Z16="POR RECOGER"),"JUN","")</f>
        <v/>
      </c>
      <c r="B537" s="192" t="str">
        <f aca="false">IF(AND('JUNIO 2026'!D16&lt;&gt;"",'JUNIO 2026'!Z16="POR RECOGER"),IF('JUNIO 2026'!Y16&lt;&gt;"",'JUNIO 2026'!Y16,'JUNIO 2026'!I16),"")</f>
        <v/>
      </c>
      <c r="C537" s="192" t="str">
        <f aca="false">IF(AND('JUNIO 2026'!D16&lt;&gt;"",'JUNIO 2026'!Z16="POR RECOGER"),'JUNIO 2026'!D16,"")</f>
        <v/>
      </c>
      <c r="D537" s="192" t="str">
        <f aca="false">IF(AND('JUNIO 2026'!D16&lt;&gt;"",'JUNIO 2026'!Z16="POR RECOGER"),'JUNIO 2026'!F16,"")</f>
        <v/>
      </c>
      <c r="E537" s="192" t="str">
        <f aca="false">IF(AND('JUNIO 2026'!D16&lt;&gt;"",'JUNIO 2026'!Z16="POR RECOGER"),TEXT('JUNIO 2026'!G16,"DD/MM/YYYY"),"")</f>
        <v/>
      </c>
      <c r="F537" s="192" t="str">
        <f aca="false">IF(AND('JUNIO 2026'!D16&lt;&gt;"",'JUNIO 2026'!Z16="POR RECOGER"),'JUNIO 2026'!K16,"")</f>
        <v/>
      </c>
      <c r="G537" s="193" t="str">
        <f aca="false">IF(AND('JUNIO 2026'!D16&lt;&gt;"",'JUNIO 2026'!Z16="POR RECOGER"),'JUNIO 2026'!M16,"")</f>
        <v/>
      </c>
      <c r="H537" s="193" t="str">
        <f aca="false">IF(AND('JUNIO 2026'!D16&lt;&gt;"",'JUNIO 2026'!Z16="POR RECOGER"),'JUNIO 2026'!N16,"")</f>
        <v/>
      </c>
      <c r="I537" s="192" t="str">
        <f aca="false">IF(AND('JUNIO 2026'!D16&lt;&gt;"",'JUNIO 2026'!Z16="POR RECOGER"),'JUNIO 2026'!P16,"")</f>
        <v/>
      </c>
      <c r="J537" s="192" t="str">
        <f aca="false">IF(AND('JUNIO 2026'!D16&lt;&gt;"",'JUNIO 2026'!Z16="POR RECOGER"),'JUNIO 2026'!Q16,"")</f>
        <v/>
      </c>
      <c r="K537" s="192" t="str">
        <f aca="false">IF(AND('JUNIO 2026'!D16&lt;&gt;"",'JUNIO 2026'!Z16="POR RECOGER"),'JUNIO 2026'!Y16,"")</f>
        <v/>
      </c>
      <c r="L537" s="192" t="str">
        <f aca="false">IF(AND('JUNIO 2026'!D16&lt;&gt;"",'JUNIO 2026'!Z16="POR RECOGER"),'JUNIO 2026'!I16,"")</f>
        <v/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" hidden="false" customHeight="true" outlineLevel="0" collapsed="false">
      <c r="A538" s="192" t="str">
        <f aca="false">IF(AND('JUNIO 2026'!D17&lt;&gt;"",'JUNIO 2026'!Z17="POR RECOGER"),"JUN","")</f>
        <v/>
      </c>
      <c r="B538" s="192" t="str">
        <f aca="false">IF(AND('JUNIO 2026'!D17&lt;&gt;"",'JUNIO 2026'!Z17="POR RECOGER"),IF('JUNIO 2026'!Y17&lt;&gt;"",'JUNIO 2026'!Y17,'JUNIO 2026'!I17),"")</f>
        <v/>
      </c>
      <c r="C538" s="192" t="str">
        <f aca="false">IF(AND('JUNIO 2026'!D17&lt;&gt;"",'JUNIO 2026'!Z17="POR RECOGER"),'JUNIO 2026'!D17,"")</f>
        <v/>
      </c>
      <c r="D538" s="192" t="str">
        <f aca="false">IF(AND('JUNIO 2026'!D17&lt;&gt;"",'JUNIO 2026'!Z17="POR RECOGER"),'JUNIO 2026'!F17,"")</f>
        <v/>
      </c>
      <c r="E538" s="192" t="str">
        <f aca="false">IF(AND('JUNIO 2026'!D17&lt;&gt;"",'JUNIO 2026'!Z17="POR RECOGER"),TEXT('JUNIO 2026'!G17,"DD/MM/YYYY"),"")</f>
        <v/>
      </c>
      <c r="F538" s="192" t="str">
        <f aca="false">IF(AND('JUNIO 2026'!D17&lt;&gt;"",'JUNIO 2026'!Z17="POR RECOGER"),'JUNIO 2026'!K17,"")</f>
        <v/>
      </c>
      <c r="G538" s="193" t="str">
        <f aca="false">IF(AND('JUNIO 2026'!D17&lt;&gt;"",'JUNIO 2026'!Z17="POR RECOGER"),'JUNIO 2026'!M17,"")</f>
        <v/>
      </c>
      <c r="H538" s="193" t="str">
        <f aca="false">IF(AND('JUNIO 2026'!D17&lt;&gt;"",'JUNIO 2026'!Z17="POR RECOGER"),'JUNIO 2026'!N17,"")</f>
        <v/>
      </c>
      <c r="I538" s="192" t="str">
        <f aca="false">IF(AND('JUNIO 2026'!D17&lt;&gt;"",'JUNIO 2026'!Z17="POR RECOGER"),'JUNIO 2026'!P17,"")</f>
        <v/>
      </c>
      <c r="J538" s="192" t="str">
        <f aca="false">IF(AND('JUNIO 2026'!D17&lt;&gt;"",'JUNIO 2026'!Z17="POR RECOGER"),'JUNIO 2026'!Q17,"")</f>
        <v/>
      </c>
      <c r="K538" s="192" t="str">
        <f aca="false">IF(AND('JUNIO 2026'!D17&lt;&gt;"",'JUNIO 2026'!Z17="POR RECOGER"),'JUNIO 2026'!Y17,"")</f>
        <v/>
      </c>
      <c r="L538" s="192" t="str">
        <f aca="false">IF(AND('JUNIO 2026'!D17&lt;&gt;"",'JUNIO 2026'!Z17="POR RECOGER"),'JUNIO 2026'!I17,"")</f>
        <v/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" hidden="false" customHeight="true" outlineLevel="0" collapsed="false">
      <c r="A539" s="192" t="str">
        <f aca="false">IF(AND('JUNIO 2026'!D18&lt;&gt;"",'JUNIO 2026'!Z18="POR RECOGER"),"JUN","")</f>
        <v/>
      </c>
      <c r="B539" s="192" t="str">
        <f aca="false">IF(AND('JUNIO 2026'!D18&lt;&gt;"",'JUNIO 2026'!Z18="POR RECOGER"),IF('JUNIO 2026'!Y18&lt;&gt;"",'JUNIO 2026'!Y18,'JUNIO 2026'!I18),"")</f>
        <v/>
      </c>
      <c r="C539" s="192" t="str">
        <f aca="false">IF(AND('JUNIO 2026'!D18&lt;&gt;"",'JUNIO 2026'!Z18="POR RECOGER"),'JUNIO 2026'!D18,"")</f>
        <v/>
      </c>
      <c r="D539" s="192" t="str">
        <f aca="false">IF(AND('JUNIO 2026'!D18&lt;&gt;"",'JUNIO 2026'!Z18="POR RECOGER"),'JUNIO 2026'!F18,"")</f>
        <v/>
      </c>
      <c r="E539" s="192" t="str">
        <f aca="false">IF(AND('JUNIO 2026'!D18&lt;&gt;"",'JUNIO 2026'!Z18="POR RECOGER"),TEXT('JUNIO 2026'!G18,"DD/MM/YYYY"),"")</f>
        <v/>
      </c>
      <c r="F539" s="192" t="str">
        <f aca="false">IF(AND('JUNIO 2026'!D18&lt;&gt;"",'JUNIO 2026'!Z18="POR RECOGER"),'JUNIO 2026'!K18,"")</f>
        <v/>
      </c>
      <c r="G539" s="193" t="str">
        <f aca="false">IF(AND('JUNIO 2026'!D18&lt;&gt;"",'JUNIO 2026'!Z18="POR RECOGER"),'JUNIO 2026'!M18,"")</f>
        <v/>
      </c>
      <c r="H539" s="193" t="str">
        <f aca="false">IF(AND('JUNIO 2026'!D18&lt;&gt;"",'JUNIO 2026'!Z18="POR RECOGER"),'JUNIO 2026'!N18,"")</f>
        <v/>
      </c>
      <c r="I539" s="192" t="str">
        <f aca="false">IF(AND('JUNIO 2026'!D18&lt;&gt;"",'JUNIO 2026'!Z18="POR RECOGER"),'JUNIO 2026'!P18,"")</f>
        <v/>
      </c>
      <c r="J539" s="192" t="str">
        <f aca="false">IF(AND('JUNIO 2026'!D18&lt;&gt;"",'JUNIO 2026'!Z18="POR RECOGER"),'JUNIO 2026'!Q18,"")</f>
        <v/>
      </c>
      <c r="K539" s="192" t="str">
        <f aca="false">IF(AND('JUNIO 2026'!D18&lt;&gt;"",'JUNIO 2026'!Z18="POR RECOGER"),'JUNIO 2026'!Y18,"")</f>
        <v/>
      </c>
      <c r="L539" s="192" t="str">
        <f aca="false">IF(AND('JUNIO 2026'!D18&lt;&gt;"",'JUNIO 2026'!Z18="POR RECOGER"),'JUNIO 2026'!I18,"")</f>
        <v/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" hidden="false" customHeight="true" outlineLevel="0" collapsed="false">
      <c r="A540" s="192" t="str">
        <f aca="false">IF(AND('JUNIO 2026'!D19&lt;&gt;"",'JUNIO 2026'!Z19="POR RECOGER"),"JUN","")</f>
        <v/>
      </c>
      <c r="B540" s="192" t="str">
        <f aca="false">IF(AND('JUNIO 2026'!D19&lt;&gt;"",'JUNIO 2026'!Z19="POR RECOGER"),IF('JUNIO 2026'!Y19&lt;&gt;"",'JUNIO 2026'!Y19,'JUNIO 2026'!I19),"")</f>
        <v/>
      </c>
      <c r="C540" s="192" t="str">
        <f aca="false">IF(AND('JUNIO 2026'!D19&lt;&gt;"",'JUNIO 2026'!Z19="POR RECOGER"),'JUNIO 2026'!D19,"")</f>
        <v/>
      </c>
      <c r="D540" s="192" t="str">
        <f aca="false">IF(AND('JUNIO 2026'!D19&lt;&gt;"",'JUNIO 2026'!Z19="POR RECOGER"),'JUNIO 2026'!F19,"")</f>
        <v/>
      </c>
      <c r="E540" s="192" t="str">
        <f aca="false">IF(AND('JUNIO 2026'!D19&lt;&gt;"",'JUNIO 2026'!Z19="POR RECOGER"),TEXT('JUNIO 2026'!G19,"DD/MM/YYYY"),"")</f>
        <v/>
      </c>
      <c r="F540" s="192" t="str">
        <f aca="false">IF(AND('JUNIO 2026'!D19&lt;&gt;"",'JUNIO 2026'!Z19="POR RECOGER"),'JUNIO 2026'!K19,"")</f>
        <v/>
      </c>
      <c r="G540" s="193" t="str">
        <f aca="false">IF(AND('JUNIO 2026'!D19&lt;&gt;"",'JUNIO 2026'!Z19="POR RECOGER"),'JUNIO 2026'!M19,"")</f>
        <v/>
      </c>
      <c r="H540" s="193" t="str">
        <f aca="false">IF(AND('JUNIO 2026'!D19&lt;&gt;"",'JUNIO 2026'!Z19="POR RECOGER"),'JUNIO 2026'!N19,"")</f>
        <v/>
      </c>
      <c r="I540" s="192" t="str">
        <f aca="false">IF(AND('JUNIO 2026'!D19&lt;&gt;"",'JUNIO 2026'!Z19="POR RECOGER"),'JUNIO 2026'!P19,"")</f>
        <v/>
      </c>
      <c r="J540" s="192" t="str">
        <f aca="false">IF(AND('JUNIO 2026'!D19&lt;&gt;"",'JUNIO 2026'!Z19="POR RECOGER"),'JUNIO 2026'!Q19,"")</f>
        <v/>
      </c>
      <c r="K540" s="192" t="str">
        <f aca="false">IF(AND('JUNIO 2026'!D19&lt;&gt;"",'JUNIO 2026'!Z19="POR RECOGER"),'JUNIO 2026'!Y19,"")</f>
        <v/>
      </c>
      <c r="L540" s="192" t="str">
        <f aca="false">IF(AND('JUNIO 2026'!D19&lt;&gt;"",'JUNIO 2026'!Z19="POR RECOGER"),'JUNIO 2026'!I19,"")</f>
        <v/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" hidden="false" customHeight="true" outlineLevel="0" collapsed="false">
      <c r="A541" s="192" t="str">
        <f aca="false">IF(AND('JUNIO 2026'!D20&lt;&gt;"",'JUNIO 2026'!Z20="POR RECOGER"),"JUN","")</f>
        <v/>
      </c>
      <c r="B541" s="192" t="str">
        <f aca="false">IF(AND('JUNIO 2026'!D20&lt;&gt;"",'JUNIO 2026'!Z20="POR RECOGER"),IF('JUNIO 2026'!Y20&lt;&gt;"",'JUNIO 2026'!Y20,'JUNIO 2026'!I20),"")</f>
        <v/>
      </c>
      <c r="C541" s="192" t="str">
        <f aca="false">IF(AND('JUNIO 2026'!D20&lt;&gt;"",'JUNIO 2026'!Z20="POR RECOGER"),'JUNIO 2026'!D20,"")</f>
        <v/>
      </c>
      <c r="D541" s="192" t="str">
        <f aca="false">IF(AND('JUNIO 2026'!D20&lt;&gt;"",'JUNIO 2026'!Z20="POR RECOGER"),'JUNIO 2026'!F20,"")</f>
        <v/>
      </c>
      <c r="E541" s="192" t="str">
        <f aca="false">IF(AND('JUNIO 2026'!D20&lt;&gt;"",'JUNIO 2026'!Z20="POR RECOGER"),TEXT('JUNIO 2026'!G20,"DD/MM/YYYY"),"")</f>
        <v/>
      </c>
      <c r="F541" s="192" t="str">
        <f aca="false">IF(AND('JUNIO 2026'!D20&lt;&gt;"",'JUNIO 2026'!Z20="POR RECOGER"),'JUNIO 2026'!K20,"")</f>
        <v/>
      </c>
      <c r="G541" s="193" t="str">
        <f aca="false">IF(AND('JUNIO 2026'!D20&lt;&gt;"",'JUNIO 2026'!Z20="POR RECOGER"),'JUNIO 2026'!M20,"")</f>
        <v/>
      </c>
      <c r="H541" s="193" t="str">
        <f aca="false">IF(AND('JUNIO 2026'!D20&lt;&gt;"",'JUNIO 2026'!Z20="POR RECOGER"),'JUNIO 2026'!N20,"")</f>
        <v/>
      </c>
      <c r="I541" s="192" t="str">
        <f aca="false">IF(AND('JUNIO 2026'!D20&lt;&gt;"",'JUNIO 2026'!Z20="POR RECOGER"),'JUNIO 2026'!P20,"")</f>
        <v/>
      </c>
      <c r="J541" s="192" t="str">
        <f aca="false">IF(AND('JUNIO 2026'!D20&lt;&gt;"",'JUNIO 2026'!Z20="POR RECOGER"),'JUNIO 2026'!Q20,"")</f>
        <v/>
      </c>
      <c r="K541" s="192" t="str">
        <f aca="false">IF(AND('JUNIO 2026'!D20&lt;&gt;"",'JUNIO 2026'!Z20="POR RECOGER"),'JUNIO 2026'!Y20,"")</f>
        <v/>
      </c>
      <c r="L541" s="192" t="str">
        <f aca="false">IF(AND('JUNIO 2026'!D20&lt;&gt;"",'JUNIO 2026'!Z20="POR RECOGER"),'JUNIO 2026'!I20,"")</f>
        <v/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" hidden="false" customHeight="true" outlineLevel="0" collapsed="false">
      <c r="A542" s="192" t="str">
        <f aca="false">IF(AND('JUNIO 2026'!D21&lt;&gt;"",'JUNIO 2026'!Z21="POR RECOGER"),"JUN","")</f>
        <v/>
      </c>
      <c r="B542" s="192" t="str">
        <f aca="false">IF(AND('JUNIO 2026'!D21&lt;&gt;"",'JUNIO 2026'!Z21="POR RECOGER"),IF('JUNIO 2026'!Y21&lt;&gt;"",'JUNIO 2026'!Y21,'JUNIO 2026'!I21),"")</f>
        <v/>
      </c>
      <c r="C542" s="192" t="str">
        <f aca="false">IF(AND('JUNIO 2026'!D21&lt;&gt;"",'JUNIO 2026'!Z21="POR RECOGER"),'JUNIO 2026'!D21,"")</f>
        <v/>
      </c>
      <c r="D542" s="192" t="str">
        <f aca="false">IF(AND('JUNIO 2026'!D21&lt;&gt;"",'JUNIO 2026'!Z21="POR RECOGER"),'JUNIO 2026'!F21,"")</f>
        <v/>
      </c>
      <c r="E542" s="192" t="str">
        <f aca="false">IF(AND('JUNIO 2026'!D21&lt;&gt;"",'JUNIO 2026'!Z21="POR RECOGER"),TEXT('JUNIO 2026'!G21,"DD/MM/YYYY"),"")</f>
        <v/>
      </c>
      <c r="F542" s="192" t="str">
        <f aca="false">IF(AND('JUNIO 2026'!D21&lt;&gt;"",'JUNIO 2026'!Z21="POR RECOGER"),'JUNIO 2026'!K21,"")</f>
        <v/>
      </c>
      <c r="G542" s="193" t="str">
        <f aca="false">IF(AND('JUNIO 2026'!D21&lt;&gt;"",'JUNIO 2026'!Z21="POR RECOGER"),'JUNIO 2026'!M21,"")</f>
        <v/>
      </c>
      <c r="H542" s="193" t="str">
        <f aca="false">IF(AND('JUNIO 2026'!D21&lt;&gt;"",'JUNIO 2026'!Z21="POR RECOGER"),'JUNIO 2026'!N21,"")</f>
        <v/>
      </c>
      <c r="I542" s="192" t="str">
        <f aca="false">IF(AND('JUNIO 2026'!D21&lt;&gt;"",'JUNIO 2026'!Z21="POR RECOGER"),'JUNIO 2026'!P21,"")</f>
        <v/>
      </c>
      <c r="J542" s="192" t="str">
        <f aca="false">IF(AND('JUNIO 2026'!D21&lt;&gt;"",'JUNIO 2026'!Z21="POR RECOGER"),'JUNIO 2026'!Q21,"")</f>
        <v/>
      </c>
      <c r="K542" s="192" t="str">
        <f aca="false">IF(AND('JUNIO 2026'!D21&lt;&gt;"",'JUNIO 2026'!Z21="POR RECOGER"),'JUNIO 2026'!Y21,"")</f>
        <v/>
      </c>
      <c r="L542" s="192" t="str">
        <f aca="false">IF(AND('JUNIO 2026'!D21&lt;&gt;"",'JUNIO 2026'!Z21="POR RECOGER"),'JUNIO 2026'!I21,"")</f>
        <v/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" hidden="false" customHeight="true" outlineLevel="0" collapsed="false">
      <c r="A543" s="192" t="str">
        <f aca="false">IF(AND('JUNIO 2026'!D22&lt;&gt;"",'JUNIO 2026'!Z22="POR RECOGER"),"JUN","")</f>
        <v/>
      </c>
      <c r="B543" s="192" t="str">
        <f aca="false">IF(AND('JUNIO 2026'!D22&lt;&gt;"",'JUNIO 2026'!Z22="POR RECOGER"),IF('JUNIO 2026'!Y22&lt;&gt;"",'JUNIO 2026'!Y22,'JUNIO 2026'!I22),"")</f>
        <v/>
      </c>
      <c r="C543" s="192" t="str">
        <f aca="false">IF(AND('JUNIO 2026'!D22&lt;&gt;"",'JUNIO 2026'!Z22="POR RECOGER"),'JUNIO 2026'!D22,"")</f>
        <v/>
      </c>
      <c r="D543" s="192" t="str">
        <f aca="false">IF(AND('JUNIO 2026'!D22&lt;&gt;"",'JUNIO 2026'!Z22="POR RECOGER"),'JUNIO 2026'!F22,"")</f>
        <v/>
      </c>
      <c r="E543" s="192" t="str">
        <f aca="false">IF(AND('JUNIO 2026'!D22&lt;&gt;"",'JUNIO 2026'!Z22="POR RECOGER"),TEXT('JUNIO 2026'!G22,"DD/MM/YYYY"),"")</f>
        <v/>
      </c>
      <c r="F543" s="192" t="str">
        <f aca="false">IF(AND('JUNIO 2026'!D22&lt;&gt;"",'JUNIO 2026'!Z22="POR RECOGER"),'JUNIO 2026'!K22,"")</f>
        <v/>
      </c>
      <c r="G543" s="193" t="str">
        <f aca="false">IF(AND('JUNIO 2026'!D22&lt;&gt;"",'JUNIO 2026'!Z22="POR RECOGER"),'JUNIO 2026'!M22,"")</f>
        <v/>
      </c>
      <c r="H543" s="193" t="str">
        <f aca="false">IF(AND('JUNIO 2026'!D22&lt;&gt;"",'JUNIO 2026'!Z22="POR RECOGER"),'JUNIO 2026'!N22,"")</f>
        <v/>
      </c>
      <c r="I543" s="192" t="str">
        <f aca="false">IF(AND('JUNIO 2026'!D22&lt;&gt;"",'JUNIO 2026'!Z22="POR RECOGER"),'JUNIO 2026'!P22,"")</f>
        <v/>
      </c>
      <c r="J543" s="192" t="str">
        <f aca="false">IF(AND('JUNIO 2026'!D22&lt;&gt;"",'JUNIO 2026'!Z22="POR RECOGER"),'JUNIO 2026'!Q22,"")</f>
        <v/>
      </c>
      <c r="K543" s="192" t="str">
        <f aca="false">IF(AND('JUNIO 2026'!D22&lt;&gt;"",'JUNIO 2026'!Z22="POR RECOGER"),'JUNIO 2026'!Y22,"")</f>
        <v/>
      </c>
      <c r="L543" s="192" t="str">
        <f aca="false">IF(AND('JUNIO 2026'!D22&lt;&gt;"",'JUNIO 2026'!Z22="POR RECOGER"),'JUNIO 2026'!I22,"")</f>
        <v/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" hidden="false" customHeight="true" outlineLevel="0" collapsed="false">
      <c r="A544" s="192" t="str">
        <f aca="false">IF(AND('JUNIO 2026'!D23&lt;&gt;"",'JUNIO 2026'!Z23="POR RECOGER"),"JUN","")</f>
        <v/>
      </c>
      <c r="B544" s="192" t="str">
        <f aca="false">IF(AND('JUNIO 2026'!D23&lt;&gt;"",'JUNIO 2026'!Z23="POR RECOGER"),IF('JUNIO 2026'!Y23&lt;&gt;"",'JUNIO 2026'!Y23,'JUNIO 2026'!I23),"")</f>
        <v/>
      </c>
      <c r="C544" s="192" t="str">
        <f aca="false">IF(AND('JUNIO 2026'!D23&lt;&gt;"",'JUNIO 2026'!Z23="POR RECOGER"),'JUNIO 2026'!D23,"")</f>
        <v/>
      </c>
      <c r="D544" s="192" t="str">
        <f aca="false">IF(AND('JUNIO 2026'!D23&lt;&gt;"",'JUNIO 2026'!Z23="POR RECOGER"),'JUNIO 2026'!F23,"")</f>
        <v/>
      </c>
      <c r="E544" s="192" t="str">
        <f aca="false">IF(AND('JUNIO 2026'!D23&lt;&gt;"",'JUNIO 2026'!Z23="POR RECOGER"),TEXT('JUNIO 2026'!G23,"DD/MM/YYYY"),"")</f>
        <v/>
      </c>
      <c r="F544" s="192" t="str">
        <f aca="false">IF(AND('JUNIO 2026'!D23&lt;&gt;"",'JUNIO 2026'!Z23="POR RECOGER"),'JUNIO 2026'!K23,"")</f>
        <v/>
      </c>
      <c r="G544" s="193" t="str">
        <f aca="false">IF(AND('JUNIO 2026'!D23&lt;&gt;"",'JUNIO 2026'!Z23="POR RECOGER"),'JUNIO 2026'!M23,"")</f>
        <v/>
      </c>
      <c r="H544" s="193" t="str">
        <f aca="false">IF(AND('JUNIO 2026'!D23&lt;&gt;"",'JUNIO 2026'!Z23="POR RECOGER"),'JUNIO 2026'!N23,"")</f>
        <v/>
      </c>
      <c r="I544" s="192" t="str">
        <f aca="false">IF(AND('JUNIO 2026'!D23&lt;&gt;"",'JUNIO 2026'!Z23="POR RECOGER"),'JUNIO 2026'!P23,"")</f>
        <v/>
      </c>
      <c r="J544" s="192" t="str">
        <f aca="false">IF(AND('JUNIO 2026'!D23&lt;&gt;"",'JUNIO 2026'!Z23="POR RECOGER"),'JUNIO 2026'!Q23,"")</f>
        <v/>
      </c>
      <c r="K544" s="192" t="str">
        <f aca="false">IF(AND('JUNIO 2026'!D23&lt;&gt;"",'JUNIO 2026'!Z23="POR RECOGER"),'JUNIO 2026'!Y23,"")</f>
        <v/>
      </c>
      <c r="L544" s="192" t="str">
        <f aca="false">IF(AND('JUNIO 2026'!D23&lt;&gt;"",'JUNIO 2026'!Z23="POR RECOGER"),'JUNIO 2026'!I23,"")</f>
        <v/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" hidden="false" customHeight="true" outlineLevel="0" collapsed="false">
      <c r="A545" s="192" t="str">
        <f aca="false">IF(AND('JUNIO 2026'!D24&lt;&gt;"",'JUNIO 2026'!Z24="POR RECOGER"),"JUN","")</f>
        <v/>
      </c>
      <c r="B545" s="192" t="str">
        <f aca="false">IF(AND('JUNIO 2026'!D24&lt;&gt;"",'JUNIO 2026'!Z24="POR RECOGER"),IF('JUNIO 2026'!Y24&lt;&gt;"",'JUNIO 2026'!Y24,'JUNIO 2026'!I24),"")</f>
        <v/>
      </c>
      <c r="C545" s="192" t="str">
        <f aca="false">IF(AND('JUNIO 2026'!D24&lt;&gt;"",'JUNIO 2026'!Z24="POR RECOGER"),'JUNIO 2026'!D24,"")</f>
        <v/>
      </c>
      <c r="D545" s="192" t="str">
        <f aca="false">IF(AND('JUNIO 2026'!D24&lt;&gt;"",'JUNIO 2026'!Z24="POR RECOGER"),'JUNIO 2026'!F24,"")</f>
        <v/>
      </c>
      <c r="E545" s="192" t="str">
        <f aca="false">IF(AND('JUNIO 2026'!D24&lt;&gt;"",'JUNIO 2026'!Z24="POR RECOGER"),TEXT('JUNIO 2026'!G24,"DD/MM/YYYY"),"")</f>
        <v/>
      </c>
      <c r="F545" s="192" t="str">
        <f aca="false">IF(AND('JUNIO 2026'!D24&lt;&gt;"",'JUNIO 2026'!Z24="POR RECOGER"),'JUNIO 2026'!K24,"")</f>
        <v/>
      </c>
      <c r="G545" s="193" t="str">
        <f aca="false">IF(AND('JUNIO 2026'!D24&lt;&gt;"",'JUNIO 2026'!Z24="POR RECOGER"),'JUNIO 2026'!M24,"")</f>
        <v/>
      </c>
      <c r="H545" s="193" t="str">
        <f aca="false">IF(AND('JUNIO 2026'!D24&lt;&gt;"",'JUNIO 2026'!Z24="POR RECOGER"),'JUNIO 2026'!N24,"")</f>
        <v/>
      </c>
      <c r="I545" s="192" t="str">
        <f aca="false">IF(AND('JUNIO 2026'!D24&lt;&gt;"",'JUNIO 2026'!Z24="POR RECOGER"),'JUNIO 2026'!P24,"")</f>
        <v/>
      </c>
      <c r="J545" s="192" t="str">
        <f aca="false">IF(AND('JUNIO 2026'!D24&lt;&gt;"",'JUNIO 2026'!Z24="POR RECOGER"),'JUNIO 2026'!Q24,"")</f>
        <v/>
      </c>
      <c r="K545" s="192" t="str">
        <f aca="false">IF(AND('JUNIO 2026'!D24&lt;&gt;"",'JUNIO 2026'!Z24="POR RECOGER"),'JUNIO 2026'!Y24,"")</f>
        <v/>
      </c>
      <c r="L545" s="192" t="str">
        <f aca="false">IF(AND('JUNIO 2026'!D24&lt;&gt;"",'JUNIO 2026'!Z24="POR RECOGER"),'JUNIO 2026'!I24,"")</f>
        <v/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" hidden="false" customHeight="true" outlineLevel="0" collapsed="false">
      <c r="A546" s="192" t="str">
        <f aca="false">IF(AND('JUNIO 2026'!D25&lt;&gt;"",'JUNIO 2026'!Z25="POR RECOGER"),"JUN","")</f>
        <v/>
      </c>
      <c r="B546" s="192" t="str">
        <f aca="false">IF(AND('JUNIO 2026'!D25&lt;&gt;"",'JUNIO 2026'!Z25="POR RECOGER"),IF('JUNIO 2026'!Y25&lt;&gt;"",'JUNIO 2026'!Y25,'JUNIO 2026'!I25),"")</f>
        <v/>
      </c>
      <c r="C546" s="192" t="str">
        <f aca="false">IF(AND('JUNIO 2026'!D25&lt;&gt;"",'JUNIO 2026'!Z25="POR RECOGER"),'JUNIO 2026'!D25,"")</f>
        <v/>
      </c>
      <c r="D546" s="192" t="str">
        <f aca="false">IF(AND('JUNIO 2026'!D25&lt;&gt;"",'JUNIO 2026'!Z25="POR RECOGER"),'JUNIO 2026'!F25,"")</f>
        <v/>
      </c>
      <c r="E546" s="192" t="str">
        <f aca="false">IF(AND('JUNIO 2026'!D25&lt;&gt;"",'JUNIO 2026'!Z25="POR RECOGER"),TEXT('JUNIO 2026'!G25,"DD/MM/YYYY"),"")</f>
        <v/>
      </c>
      <c r="F546" s="192" t="str">
        <f aca="false">IF(AND('JUNIO 2026'!D25&lt;&gt;"",'JUNIO 2026'!Z25="POR RECOGER"),'JUNIO 2026'!K25,"")</f>
        <v/>
      </c>
      <c r="G546" s="193" t="str">
        <f aca="false">IF(AND('JUNIO 2026'!D25&lt;&gt;"",'JUNIO 2026'!Z25="POR RECOGER"),'JUNIO 2026'!M25,"")</f>
        <v/>
      </c>
      <c r="H546" s="193" t="str">
        <f aca="false">IF(AND('JUNIO 2026'!D25&lt;&gt;"",'JUNIO 2026'!Z25="POR RECOGER"),'JUNIO 2026'!N25,"")</f>
        <v/>
      </c>
      <c r="I546" s="192" t="str">
        <f aca="false">IF(AND('JUNIO 2026'!D25&lt;&gt;"",'JUNIO 2026'!Z25="POR RECOGER"),'JUNIO 2026'!P25,"")</f>
        <v/>
      </c>
      <c r="J546" s="192" t="str">
        <f aca="false">IF(AND('JUNIO 2026'!D25&lt;&gt;"",'JUNIO 2026'!Z25="POR RECOGER"),'JUNIO 2026'!Q25,"")</f>
        <v/>
      </c>
      <c r="K546" s="192" t="str">
        <f aca="false">IF(AND('JUNIO 2026'!D25&lt;&gt;"",'JUNIO 2026'!Z25="POR RECOGER"),'JUNIO 2026'!Y25,"")</f>
        <v/>
      </c>
      <c r="L546" s="192" t="str">
        <f aca="false">IF(AND('JUNIO 2026'!D25&lt;&gt;"",'JUNIO 2026'!Z25="POR RECOGER"),'JUNIO 2026'!I25,"")</f>
        <v/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" hidden="false" customHeight="true" outlineLevel="0" collapsed="false">
      <c r="A547" s="192" t="str">
        <f aca="false">IF(AND('JUNIO 2026'!D26&lt;&gt;"",'JUNIO 2026'!Z26="POR RECOGER"),"JUN","")</f>
        <v/>
      </c>
      <c r="B547" s="192" t="str">
        <f aca="false">IF(AND('JUNIO 2026'!D26&lt;&gt;"",'JUNIO 2026'!Z26="POR RECOGER"),IF('JUNIO 2026'!Y26&lt;&gt;"",'JUNIO 2026'!Y26,'JUNIO 2026'!I26),"")</f>
        <v/>
      </c>
      <c r="C547" s="192" t="str">
        <f aca="false">IF(AND('JUNIO 2026'!D26&lt;&gt;"",'JUNIO 2026'!Z26="POR RECOGER"),'JUNIO 2026'!D26,"")</f>
        <v/>
      </c>
      <c r="D547" s="192" t="str">
        <f aca="false">IF(AND('JUNIO 2026'!D26&lt;&gt;"",'JUNIO 2026'!Z26="POR RECOGER"),'JUNIO 2026'!F26,"")</f>
        <v/>
      </c>
      <c r="E547" s="192" t="str">
        <f aca="false">IF(AND('JUNIO 2026'!D26&lt;&gt;"",'JUNIO 2026'!Z26="POR RECOGER"),TEXT('JUNIO 2026'!G26,"DD/MM/YYYY"),"")</f>
        <v/>
      </c>
      <c r="F547" s="192" t="str">
        <f aca="false">IF(AND('JUNIO 2026'!D26&lt;&gt;"",'JUNIO 2026'!Z26="POR RECOGER"),'JUNIO 2026'!K26,"")</f>
        <v/>
      </c>
      <c r="G547" s="193" t="str">
        <f aca="false">IF(AND('JUNIO 2026'!D26&lt;&gt;"",'JUNIO 2026'!Z26="POR RECOGER"),'JUNIO 2026'!M26,"")</f>
        <v/>
      </c>
      <c r="H547" s="193" t="str">
        <f aca="false">IF(AND('JUNIO 2026'!D26&lt;&gt;"",'JUNIO 2026'!Z26="POR RECOGER"),'JUNIO 2026'!N26,"")</f>
        <v/>
      </c>
      <c r="I547" s="192" t="str">
        <f aca="false">IF(AND('JUNIO 2026'!D26&lt;&gt;"",'JUNIO 2026'!Z26="POR RECOGER"),'JUNIO 2026'!P26,"")</f>
        <v/>
      </c>
      <c r="J547" s="192" t="str">
        <f aca="false">IF(AND('JUNIO 2026'!D26&lt;&gt;"",'JUNIO 2026'!Z26="POR RECOGER"),'JUNIO 2026'!Q26,"")</f>
        <v/>
      </c>
      <c r="K547" s="192" t="str">
        <f aca="false">IF(AND('JUNIO 2026'!D26&lt;&gt;"",'JUNIO 2026'!Z26="POR RECOGER"),'JUNIO 2026'!Y26,"")</f>
        <v/>
      </c>
      <c r="L547" s="192" t="str">
        <f aca="false">IF(AND('JUNIO 2026'!D26&lt;&gt;"",'JUNIO 2026'!Z26="POR RECOGER"),'JUNIO 2026'!I26,"")</f>
        <v/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" hidden="false" customHeight="true" outlineLevel="0" collapsed="false">
      <c r="A548" s="192" t="str">
        <f aca="false">IF(AND('JUNIO 2026'!D27&lt;&gt;"",'JUNIO 2026'!Z27="POR RECOGER"),"JUN","")</f>
        <v/>
      </c>
      <c r="B548" s="192" t="str">
        <f aca="false">IF(AND('JUNIO 2026'!D27&lt;&gt;"",'JUNIO 2026'!Z27="POR RECOGER"),IF('JUNIO 2026'!Y27&lt;&gt;"",'JUNIO 2026'!Y27,'JUNIO 2026'!I27),"")</f>
        <v/>
      </c>
      <c r="C548" s="192" t="str">
        <f aca="false">IF(AND('JUNIO 2026'!D27&lt;&gt;"",'JUNIO 2026'!Z27="POR RECOGER"),'JUNIO 2026'!D27,"")</f>
        <v/>
      </c>
      <c r="D548" s="192" t="str">
        <f aca="false">IF(AND('JUNIO 2026'!D27&lt;&gt;"",'JUNIO 2026'!Z27="POR RECOGER"),'JUNIO 2026'!F27,"")</f>
        <v/>
      </c>
      <c r="E548" s="192" t="str">
        <f aca="false">IF(AND('JUNIO 2026'!D27&lt;&gt;"",'JUNIO 2026'!Z27="POR RECOGER"),TEXT('JUNIO 2026'!G27,"DD/MM/YYYY"),"")</f>
        <v/>
      </c>
      <c r="F548" s="192" t="str">
        <f aca="false">IF(AND('JUNIO 2026'!D27&lt;&gt;"",'JUNIO 2026'!Z27="POR RECOGER"),'JUNIO 2026'!K27,"")</f>
        <v/>
      </c>
      <c r="G548" s="193" t="str">
        <f aca="false">IF(AND('JUNIO 2026'!D27&lt;&gt;"",'JUNIO 2026'!Z27="POR RECOGER"),'JUNIO 2026'!M27,"")</f>
        <v/>
      </c>
      <c r="H548" s="193" t="str">
        <f aca="false">IF(AND('JUNIO 2026'!D27&lt;&gt;"",'JUNIO 2026'!Z27="POR RECOGER"),'JUNIO 2026'!N27,"")</f>
        <v/>
      </c>
      <c r="I548" s="192" t="str">
        <f aca="false">IF(AND('JUNIO 2026'!D27&lt;&gt;"",'JUNIO 2026'!Z27="POR RECOGER"),'JUNIO 2026'!P27,"")</f>
        <v/>
      </c>
      <c r="J548" s="192" t="str">
        <f aca="false">IF(AND('JUNIO 2026'!D27&lt;&gt;"",'JUNIO 2026'!Z27="POR RECOGER"),'JUNIO 2026'!Q27,"")</f>
        <v/>
      </c>
      <c r="K548" s="192" t="str">
        <f aca="false">IF(AND('JUNIO 2026'!D27&lt;&gt;"",'JUNIO 2026'!Z27="POR RECOGER"),'JUNIO 2026'!Y27,"")</f>
        <v/>
      </c>
      <c r="L548" s="192" t="str">
        <f aca="false">IF(AND('JUNIO 2026'!D27&lt;&gt;"",'JUNIO 2026'!Z27="POR RECOGER"),'JUNIO 2026'!I27,"")</f>
        <v/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" hidden="false" customHeight="true" outlineLevel="0" collapsed="false">
      <c r="A549" s="192" t="str">
        <f aca="false">IF(AND('JUNIO 2026'!D28&lt;&gt;"",'JUNIO 2026'!Z28="POR RECOGER"),"JUN","")</f>
        <v/>
      </c>
      <c r="B549" s="192" t="str">
        <f aca="false">IF(AND('JUNIO 2026'!D28&lt;&gt;"",'JUNIO 2026'!Z28="POR RECOGER"),IF('JUNIO 2026'!Y28&lt;&gt;"",'JUNIO 2026'!Y28,'JUNIO 2026'!I28),"")</f>
        <v/>
      </c>
      <c r="C549" s="192" t="str">
        <f aca="false">IF(AND('JUNIO 2026'!D28&lt;&gt;"",'JUNIO 2026'!Z28="POR RECOGER"),'JUNIO 2026'!D28,"")</f>
        <v/>
      </c>
      <c r="D549" s="192" t="str">
        <f aca="false">IF(AND('JUNIO 2026'!D28&lt;&gt;"",'JUNIO 2026'!Z28="POR RECOGER"),'JUNIO 2026'!F28,"")</f>
        <v/>
      </c>
      <c r="E549" s="192" t="str">
        <f aca="false">IF(AND('JUNIO 2026'!D28&lt;&gt;"",'JUNIO 2026'!Z28="POR RECOGER"),TEXT('JUNIO 2026'!G28,"DD/MM/YYYY"),"")</f>
        <v/>
      </c>
      <c r="F549" s="192" t="str">
        <f aca="false">IF(AND('JUNIO 2026'!D28&lt;&gt;"",'JUNIO 2026'!Z28="POR RECOGER"),'JUNIO 2026'!K28,"")</f>
        <v/>
      </c>
      <c r="G549" s="193" t="str">
        <f aca="false">IF(AND('JUNIO 2026'!D28&lt;&gt;"",'JUNIO 2026'!Z28="POR RECOGER"),'JUNIO 2026'!M28,"")</f>
        <v/>
      </c>
      <c r="H549" s="193" t="str">
        <f aca="false">IF(AND('JUNIO 2026'!D28&lt;&gt;"",'JUNIO 2026'!Z28="POR RECOGER"),'JUNIO 2026'!N28,"")</f>
        <v/>
      </c>
      <c r="I549" s="192" t="str">
        <f aca="false">IF(AND('JUNIO 2026'!D28&lt;&gt;"",'JUNIO 2026'!Z28="POR RECOGER"),'JUNIO 2026'!P28,"")</f>
        <v/>
      </c>
      <c r="J549" s="192" t="str">
        <f aca="false">IF(AND('JUNIO 2026'!D28&lt;&gt;"",'JUNIO 2026'!Z28="POR RECOGER"),'JUNIO 2026'!Q28,"")</f>
        <v/>
      </c>
      <c r="K549" s="192" t="str">
        <f aca="false">IF(AND('JUNIO 2026'!D28&lt;&gt;"",'JUNIO 2026'!Z28="POR RECOGER"),'JUNIO 2026'!Y28,"")</f>
        <v/>
      </c>
      <c r="L549" s="192" t="str">
        <f aca="false">IF(AND('JUNIO 2026'!D28&lt;&gt;"",'JUNIO 2026'!Z28="POR RECOGER"),'JUNIO 2026'!I28,"")</f>
        <v/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" hidden="false" customHeight="true" outlineLevel="0" collapsed="false">
      <c r="A550" s="192" t="str">
        <f aca="false">IF(AND('JUNIO 2026'!D29&lt;&gt;"",'JUNIO 2026'!Z29="POR RECOGER"),"JUN","")</f>
        <v/>
      </c>
      <c r="B550" s="192" t="str">
        <f aca="false">IF(AND('JUNIO 2026'!D29&lt;&gt;"",'JUNIO 2026'!Z29="POR RECOGER"),IF('JUNIO 2026'!Y29&lt;&gt;"",'JUNIO 2026'!Y29,'JUNIO 2026'!I29),"")</f>
        <v/>
      </c>
      <c r="C550" s="192" t="str">
        <f aca="false">IF(AND('JUNIO 2026'!D29&lt;&gt;"",'JUNIO 2026'!Z29="POR RECOGER"),'JUNIO 2026'!D29,"")</f>
        <v/>
      </c>
      <c r="D550" s="192" t="str">
        <f aca="false">IF(AND('JUNIO 2026'!D29&lt;&gt;"",'JUNIO 2026'!Z29="POR RECOGER"),'JUNIO 2026'!F29,"")</f>
        <v/>
      </c>
      <c r="E550" s="192" t="str">
        <f aca="false">IF(AND('JUNIO 2026'!D29&lt;&gt;"",'JUNIO 2026'!Z29="POR RECOGER"),TEXT('JUNIO 2026'!G29,"DD/MM/YYYY"),"")</f>
        <v/>
      </c>
      <c r="F550" s="192" t="str">
        <f aca="false">IF(AND('JUNIO 2026'!D29&lt;&gt;"",'JUNIO 2026'!Z29="POR RECOGER"),'JUNIO 2026'!K29,"")</f>
        <v/>
      </c>
      <c r="G550" s="193" t="str">
        <f aca="false">IF(AND('JUNIO 2026'!D29&lt;&gt;"",'JUNIO 2026'!Z29="POR RECOGER"),'JUNIO 2026'!M29,"")</f>
        <v/>
      </c>
      <c r="H550" s="193" t="str">
        <f aca="false">IF(AND('JUNIO 2026'!D29&lt;&gt;"",'JUNIO 2026'!Z29="POR RECOGER"),'JUNIO 2026'!N29,"")</f>
        <v/>
      </c>
      <c r="I550" s="192" t="str">
        <f aca="false">IF(AND('JUNIO 2026'!D29&lt;&gt;"",'JUNIO 2026'!Z29="POR RECOGER"),'JUNIO 2026'!P29,"")</f>
        <v/>
      </c>
      <c r="J550" s="192" t="str">
        <f aca="false">IF(AND('JUNIO 2026'!D29&lt;&gt;"",'JUNIO 2026'!Z29="POR RECOGER"),'JUNIO 2026'!Q29,"")</f>
        <v/>
      </c>
      <c r="K550" s="192" t="str">
        <f aca="false">IF(AND('JUNIO 2026'!D29&lt;&gt;"",'JUNIO 2026'!Z29="POR RECOGER"),'JUNIO 2026'!Y29,"")</f>
        <v/>
      </c>
      <c r="L550" s="192" t="str">
        <f aca="false">IF(AND('JUNIO 2026'!D29&lt;&gt;"",'JUNIO 2026'!Z29="POR RECOGER"),'JUNIO 2026'!I29,"")</f>
        <v/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" hidden="false" customHeight="true" outlineLevel="0" collapsed="false">
      <c r="A551" s="192" t="str">
        <f aca="false">IF(AND('JUNIO 2026'!D30&lt;&gt;"",'JUNIO 2026'!Z30="POR RECOGER"),"JUN","")</f>
        <v/>
      </c>
      <c r="B551" s="192" t="str">
        <f aca="false">IF(AND('JUNIO 2026'!D30&lt;&gt;"",'JUNIO 2026'!Z30="POR RECOGER"),IF('JUNIO 2026'!Y30&lt;&gt;"",'JUNIO 2026'!Y30,'JUNIO 2026'!I30),"")</f>
        <v/>
      </c>
      <c r="C551" s="192" t="str">
        <f aca="false">IF(AND('JUNIO 2026'!D30&lt;&gt;"",'JUNIO 2026'!Z30="POR RECOGER"),'JUNIO 2026'!D30,"")</f>
        <v/>
      </c>
      <c r="D551" s="192" t="str">
        <f aca="false">IF(AND('JUNIO 2026'!D30&lt;&gt;"",'JUNIO 2026'!Z30="POR RECOGER"),'JUNIO 2026'!F30,"")</f>
        <v/>
      </c>
      <c r="E551" s="192" t="str">
        <f aca="false">IF(AND('JUNIO 2026'!D30&lt;&gt;"",'JUNIO 2026'!Z30="POR RECOGER"),TEXT('JUNIO 2026'!G30,"DD/MM/YYYY"),"")</f>
        <v/>
      </c>
      <c r="F551" s="192" t="str">
        <f aca="false">IF(AND('JUNIO 2026'!D30&lt;&gt;"",'JUNIO 2026'!Z30="POR RECOGER"),'JUNIO 2026'!K30,"")</f>
        <v/>
      </c>
      <c r="G551" s="193" t="str">
        <f aca="false">IF(AND('JUNIO 2026'!D30&lt;&gt;"",'JUNIO 2026'!Z30="POR RECOGER"),'JUNIO 2026'!M30,"")</f>
        <v/>
      </c>
      <c r="H551" s="193" t="str">
        <f aca="false">IF(AND('JUNIO 2026'!D30&lt;&gt;"",'JUNIO 2026'!Z30="POR RECOGER"),'JUNIO 2026'!N30,"")</f>
        <v/>
      </c>
      <c r="I551" s="192" t="str">
        <f aca="false">IF(AND('JUNIO 2026'!D30&lt;&gt;"",'JUNIO 2026'!Z30="POR RECOGER"),'JUNIO 2026'!P30,"")</f>
        <v/>
      </c>
      <c r="J551" s="192" t="str">
        <f aca="false">IF(AND('JUNIO 2026'!D30&lt;&gt;"",'JUNIO 2026'!Z30="POR RECOGER"),'JUNIO 2026'!Q30,"")</f>
        <v/>
      </c>
      <c r="K551" s="192" t="str">
        <f aca="false">IF(AND('JUNIO 2026'!D30&lt;&gt;"",'JUNIO 2026'!Z30="POR RECOGER"),'JUNIO 2026'!Y30,"")</f>
        <v/>
      </c>
      <c r="L551" s="192" t="str">
        <f aca="false">IF(AND('JUNIO 2026'!D30&lt;&gt;"",'JUNIO 2026'!Z30="POR RECOGER"),'JUNIO 2026'!I30,"")</f>
        <v/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" hidden="false" customHeight="true" outlineLevel="0" collapsed="false">
      <c r="A552" s="192" t="str">
        <f aca="false">IF(AND('JUNIO 2026'!D31&lt;&gt;"",'JUNIO 2026'!Z31="POR RECOGER"),"JUN","")</f>
        <v/>
      </c>
      <c r="B552" s="192" t="str">
        <f aca="false">IF(AND('JUNIO 2026'!D31&lt;&gt;"",'JUNIO 2026'!Z31="POR RECOGER"),IF('JUNIO 2026'!Y31&lt;&gt;"",'JUNIO 2026'!Y31,'JUNIO 2026'!I31),"")</f>
        <v/>
      </c>
      <c r="C552" s="192" t="str">
        <f aca="false">IF(AND('JUNIO 2026'!D31&lt;&gt;"",'JUNIO 2026'!Z31="POR RECOGER"),'JUNIO 2026'!D31,"")</f>
        <v/>
      </c>
      <c r="D552" s="192" t="str">
        <f aca="false">IF(AND('JUNIO 2026'!D31&lt;&gt;"",'JUNIO 2026'!Z31="POR RECOGER"),'JUNIO 2026'!F31,"")</f>
        <v/>
      </c>
      <c r="E552" s="192" t="str">
        <f aca="false">IF(AND('JUNIO 2026'!D31&lt;&gt;"",'JUNIO 2026'!Z31="POR RECOGER"),TEXT('JUNIO 2026'!G31,"DD/MM/YYYY"),"")</f>
        <v/>
      </c>
      <c r="F552" s="192" t="str">
        <f aca="false">IF(AND('JUNIO 2026'!D31&lt;&gt;"",'JUNIO 2026'!Z31="POR RECOGER"),'JUNIO 2026'!K31,"")</f>
        <v/>
      </c>
      <c r="G552" s="193" t="str">
        <f aca="false">IF(AND('JUNIO 2026'!D31&lt;&gt;"",'JUNIO 2026'!Z31="POR RECOGER"),'JUNIO 2026'!M31,"")</f>
        <v/>
      </c>
      <c r="H552" s="193" t="str">
        <f aca="false">IF(AND('JUNIO 2026'!D31&lt;&gt;"",'JUNIO 2026'!Z31="POR RECOGER"),'JUNIO 2026'!N31,"")</f>
        <v/>
      </c>
      <c r="I552" s="192" t="str">
        <f aca="false">IF(AND('JUNIO 2026'!D31&lt;&gt;"",'JUNIO 2026'!Z31="POR RECOGER"),'JUNIO 2026'!P31,"")</f>
        <v/>
      </c>
      <c r="J552" s="192" t="str">
        <f aca="false">IF(AND('JUNIO 2026'!D31&lt;&gt;"",'JUNIO 2026'!Z31="POR RECOGER"),'JUNIO 2026'!Q31,"")</f>
        <v/>
      </c>
      <c r="K552" s="192" t="str">
        <f aca="false">IF(AND('JUNIO 2026'!D31&lt;&gt;"",'JUNIO 2026'!Z31="POR RECOGER"),'JUNIO 2026'!Y31,"")</f>
        <v/>
      </c>
      <c r="L552" s="192" t="str">
        <f aca="false">IF(AND('JUNIO 2026'!D31&lt;&gt;"",'JUNIO 2026'!Z31="POR RECOGER"),'JUNIO 2026'!I31,"")</f>
        <v/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" hidden="false" customHeight="true" outlineLevel="0" collapsed="false">
      <c r="A553" s="192" t="str">
        <f aca="false">IF(AND('JUNIO 2026'!D32&lt;&gt;"",'JUNIO 2026'!Z32="POR RECOGER"),"JUN","")</f>
        <v/>
      </c>
      <c r="B553" s="192" t="str">
        <f aca="false">IF(AND('JUNIO 2026'!D32&lt;&gt;"",'JUNIO 2026'!Z32="POR RECOGER"),IF('JUNIO 2026'!Y32&lt;&gt;"",'JUNIO 2026'!Y32,'JUNIO 2026'!I32),"")</f>
        <v/>
      </c>
      <c r="C553" s="192" t="str">
        <f aca="false">IF(AND('JUNIO 2026'!D32&lt;&gt;"",'JUNIO 2026'!Z32="POR RECOGER"),'JUNIO 2026'!D32,"")</f>
        <v/>
      </c>
      <c r="D553" s="192" t="str">
        <f aca="false">IF(AND('JUNIO 2026'!D32&lt;&gt;"",'JUNIO 2026'!Z32="POR RECOGER"),'JUNIO 2026'!F32,"")</f>
        <v/>
      </c>
      <c r="E553" s="192" t="str">
        <f aca="false">IF(AND('JUNIO 2026'!D32&lt;&gt;"",'JUNIO 2026'!Z32="POR RECOGER"),TEXT('JUNIO 2026'!G32,"DD/MM/YYYY"),"")</f>
        <v/>
      </c>
      <c r="F553" s="192" t="str">
        <f aca="false">IF(AND('JUNIO 2026'!D32&lt;&gt;"",'JUNIO 2026'!Z32="POR RECOGER"),'JUNIO 2026'!K32,"")</f>
        <v/>
      </c>
      <c r="G553" s="193" t="str">
        <f aca="false">IF(AND('JUNIO 2026'!D32&lt;&gt;"",'JUNIO 2026'!Z32="POR RECOGER"),'JUNIO 2026'!M32,"")</f>
        <v/>
      </c>
      <c r="H553" s="193" t="str">
        <f aca="false">IF(AND('JUNIO 2026'!D32&lt;&gt;"",'JUNIO 2026'!Z32="POR RECOGER"),'JUNIO 2026'!N32,"")</f>
        <v/>
      </c>
      <c r="I553" s="192" t="str">
        <f aca="false">IF(AND('JUNIO 2026'!D32&lt;&gt;"",'JUNIO 2026'!Z32="POR RECOGER"),'JUNIO 2026'!P32,"")</f>
        <v/>
      </c>
      <c r="J553" s="192" t="str">
        <f aca="false">IF(AND('JUNIO 2026'!D32&lt;&gt;"",'JUNIO 2026'!Z32="POR RECOGER"),'JUNIO 2026'!Q32,"")</f>
        <v/>
      </c>
      <c r="K553" s="192" t="str">
        <f aca="false">IF(AND('JUNIO 2026'!D32&lt;&gt;"",'JUNIO 2026'!Z32="POR RECOGER"),'JUNIO 2026'!Y32,"")</f>
        <v/>
      </c>
      <c r="L553" s="192" t="str">
        <f aca="false">IF(AND('JUNIO 2026'!D32&lt;&gt;"",'JUNIO 2026'!Z32="POR RECOGER"),'JUNIO 2026'!I32,"")</f>
        <v/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" hidden="false" customHeight="true" outlineLevel="0" collapsed="false">
      <c r="A554" s="192" t="str">
        <f aca="false">IF(AND('JUNIO 2026'!D33&lt;&gt;"",'JUNIO 2026'!Z33="POR RECOGER"),"JUN","")</f>
        <v/>
      </c>
      <c r="B554" s="192" t="str">
        <f aca="false">IF(AND('JUNIO 2026'!D33&lt;&gt;"",'JUNIO 2026'!Z33="POR RECOGER"),IF('JUNIO 2026'!Y33&lt;&gt;"",'JUNIO 2026'!Y33,'JUNIO 2026'!I33),"")</f>
        <v/>
      </c>
      <c r="C554" s="192" t="str">
        <f aca="false">IF(AND('JUNIO 2026'!D33&lt;&gt;"",'JUNIO 2026'!Z33="POR RECOGER"),'JUNIO 2026'!D33,"")</f>
        <v/>
      </c>
      <c r="D554" s="192" t="str">
        <f aca="false">IF(AND('JUNIO 2026'!D33&lt;&gt;"",'JUNIO 2026'!Z33="POR RECOGER"),'JUNIO 2026'!F33,"")</f>
        <v/>
      </c>
      <c r="E554" s="192" t="str">
        <f aca="false">IF(AND('JUNIO 2026'!D33&lt;&gt;"",'JUNIO 2026'!Z33="POR RECOGER"),TEXT('JUNIO 2026'!G33,"DD/MM/YYYY"),"")</f>
        <v/>
      </c>
      <c r="F554" s="192" t="str">
        <f aca="false">IF(AND('JUNIO 2026'!D33&lt;&gt;"",'JUNIO 2026'!Z33="POR RECOGER"),'JUNIO 2026'!K33,"")</f>
        <v/>
      </c>
      <c r="G554" s="193" t="str">
        <f aca="false">IF(AND('JUNIO 2026'!D33&lt;&gt;"",'JUNIO 2026'!Z33="POR RECOGER"),'JUNIO 2026'!M33,"")</f>
        <v/>
      </c>
      <c r="H554" s="193" t="str">
        <f aca="false">IF(AND('JUNIO 2026'!D33&lt;&gt;"",'JUNIO 2026'!Z33="POR RECOGER"),'JUNIO 2026'!N33,"")</f>
        <v/>
      </c>
      <c r="I554" s="192" t="str">
        <f aca="false">IF(AND('JUNIO 2026'!D33&lt;&gt;"",'JUNIO 2026'!Z33="POR RECOGER"),'JUNIO 2026'!P33,"")</f>
        <v/>
      </c>
      <c r="J554" s="192" t="str">
        <f aca="false">IF(AND('JUNIO 2026'!D33&lt;&gt;"",'JUNIO 2026'!Z33="POR RECOGER"),'JUNIO 2026'!Q33,"")</f>
        <v/>
      </c>
      <c r="K554" s="192" t="str">
        <f aca="false">IF(AND('JUNIO 2026'!D33&lt;&gt;"",'JUNIO 2026'!Z33="POR RECOGER"),'JUNIO 2026'!Y33,"")</f>
        <v/>
      </c>
      <c r="L554" s="192" t="str">
        <f aca="false">IF(AND('JUNIO 2026'!D33&lt;&gt;"",'JUNIO 2026'!Z33="POR RECOGER"),'JUNIO 2026'!I33,"")</f>
        <v/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" hidden="false" customHeight="true" outlineLevel="0" collapsed="false">
      <c r="A555" s="192" t="str">
        <f aca="false">IF(AND('JUNIO 2026'!D34&lt;&gt;"",'JUNIO 2026'!Z34="POR RECOGER"),"JUN","")</f>
        <v/>
      </c>
      <c r="B555" s="192" t="str">
        <f aca="false">IF(AND('JUNIO 2026'!D34&lt;&gt;"",'JUNIO 2026'!Z34="POR RECOGER"),IF('JUNIO 2026'!Y34&lt;&gt;"",'JUNIO 2026'!Y34,'JUNIO 2026'!I34),"")</f>
        <v/>
      </c>
      <c r="C555" s="192" t="str">
        <f aca="false">IF(AND('JUNIO 2026'!D34&lt;&gt;"",'JUNIO 2026'!Z34="POR RECOGER"),'JUNIO 2026'!D34,"")</f>
        <v/>
      </c>
      <c r="D555" s="192" t="str">
        <f aca="false">IF(AND('JUNIO 2026'!D34&lt;&gt;"",'JUNIO 2026'!Z34="POR RECOGER"),'JUNIO 2026'!F34,"")</f>
        <v/>
      </c>
      <c r="E555" s="192" t="str">
        <f aca="false">IF(AND('JUNIO 2026'!D34&lt;&gt;"",'JUNIO 2026'!Z34="POR RECOGER"),TEXT('JUNIO 2026'!G34,"DD/MM/YYYY"),"")</f>
        <v/>
      </c>
      <c r="F555" s="192" t="str">
        <f aca="false">IF(AND('JUNIO 2026'!D34&lt;&gt;"",'JUNIO 2026'!Z34="POR RECOGER"),'JUNIO 2026'!K34,"")</f>
        <v/>
      </c>
      <c r="G555" s="193" t="str">
        <f aca="false">IF(AND('JUNIO 2026'!D34&lt;&gt;"",'JUNIO 2026'!Z34="POR RECOGER"),'JUNIO 2026'!M34,"")</f>
        <v/>
      </c>
      <c r="H555" s="193" t="str">
        <f aca="false">IF(AND('JUNIO 2026'!D34&lt;&gt;"",'JUNIO 2026'!Z34="POR RECOGER"),'JUNIO 2026'!N34,"")</f>
        <v/>
      </c>
      <c r="I555" s="192" t="str">
        <f aca="false">IF(AND('JUNIO 2026'!D34&lt;&gt;"",'JUNIO 2026'!Z34="POR RECOGER"),'JUNIO 2026'!P34,"")</f>
        <v/>
      </c>
      <c r="J555" s="192" t="str">
        <f aca="false">IF(AND('JUNIO 2026'!D34&lt;&gt;"",'JUNIO 2026'!Z34="POR RECOGER"),'JUNIO 2026'!Q34,"")</f>
        <v/>
      </c>
      <c r="K555" s="192" t="str">
        <f aca="false">IF(AND('JUNIO 2026'!D34&lt;&gt;"",'JUNIO 2026'!Z34="POR RECOGER"),'JUNIO 2026'!Y34,"")</f>
        <v/>
      </c>
      <c r="L555" s="192" t="str">
        <f aca="false">IF(AND('JUNIO 2026'!D34&lt;&gt;"",'JUNIO 2026'!Z34="POR RECOGER"),'JUNIO 2026'!I34,"")</f>
        <v/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" hidden="false" customHeight="true" outlineLevel="0" collapsed="false">
      <c r="A556" s="192" t="str">
        <f aca="false">IF(AND('JUNIO 2026'!D35&lt;&gt;"",'JUNIO 2026'!Z35="POR RECOGER"),"JUN","")</f>
        <v/>
      </c>
      <c r="B556" s="192" t="str">
        <f aca="false">IF(AND('JUNIO 2026'!D35&lt;&gt;"",'JUNIO 2026'!Z35="POR RECOGER"),IF('JUNIO 2026'!Y35&lt;&gt;"",'JUNIO 2026'!Y35,'JUNIO 2026'!I35),"")</f>
        <v/>
      </c>
      <c r="C556" s="192" t="str">
        <f aca="false">IF(AND('JUNIO 2026'!D35&lt;&gt;"",'JUNIO 2026'!Z35="POR RECOGER"),'JUNIO 2026'!D35,"")</f>
        <v/>
      </c>
      <c r="D556" s="192" t="str">
        <f aca="false">IF(AND('JUNIO 2026'!D35&lt;&gt;"",'JUNIO 2026'!Z35="POR RECOGER"),'JUNIO 2026'!F35,"")</f>
        <v/>
      </c>
      <c r="E556" s="192" t="str">
        <f aca="false">IF(AND('JUNIO 2026'!D35&lt;&gt;"",'JUNIO 2026'!Z35="POR RECOGER"),TEXT('JUNIO 2026'!G35,"DD/MM/YYYY"),"")</f>
        <v/>
      </c>
      <c r="F556" s="192" t="str">
        <f aca="false">IF(AND('JUNIO 2026'!D35&lt;&gt;"",'JUNIO 2026'!Z35="POR RECOGER"),'JUNIO 2026'!K35,"")</f>
        <v/>
      </c>
      <c r="G556" s="193" t="str">
        <f aca="false">IF(AND('JUNIO 2026'!D35&lt;&gt;"",'JUNIO 2026'!Z35="POR RECOGER"),'JUNIO 2026'!M35,"")</f>
        <v/>
      </c>
      <c r="H556" s="193" t="str">
        <f aca="false">IF(AND('JUNIO 2026'!D35&lt;&gt;"",'JUNIO 2026'!Z35="POR RECOGER"),'JUNIO 2026'!N35,"")</f>
        <v/>
      </c>
      <c r="I556" s="192" t="str">
        <f aca="false">IF(AND('JUNIO 2026'!D35&lt;&gt;"",'JUNIO 2026'!Z35="POR RECOGER"),'JUNIO 2026'!P35,"")</f>
        <v/>
      </c>
      <c r="J556" s="192" t="str">
        <f aca="false">IF(AND('JUNIO 2026'!D35&lt;&gt;"",'JUNIO 2026'!Z35="POR RECOGER"),'JUNIO 2026'!Q35,"")</f>
        <v/>
      </c>
      <c r="K556" s="192" t="str">
        <f aca="false">IF(AND('JUNIO 2026'!D35&lt;&gt;"",'JUNIO 2026'!Z35="POR RECOGER"),'JUNIO 2026'!Y35,"")</f>
        <v/>
      </c>
      <c r="L556" s="192" t="str">
        <f aca="false">IF(AND('JUNIO 2026'!D35&lt;&gt;"",'JUNIO 2026'!Z35="POR RECOGER"),'JUNIO 2026'!I35,"")</f>
        <v/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" hidden="false" customHeight="true" outlineLevel="0" collapsed="false">
      <c r="A557" s="192" t="str">
        <f aca="false">IF(AND('JUNIO 2026'!D36&lt;&gt;"",'JUNIO 2026'!Z36="POR RECOGER"),"JUN","")</f>
        <v/>
      </c>
      <c r="B557" s="192" t="str">
        <f aca="false">IF(AND('JUNIO 2026'!D36&lt;&gt;"",'JUNIO 2026'!Z36="POR RECOGER"),IF('JUNIO 2026'!Y36&lt;&gt;"",'JUNIO 2026'!Y36,'JUNIO 2026'!I36),"")</f>
        <v/>
      </c>
      <c r="C557" s="192" t="str">
        <f aca="false">IF(AND('JUNIO 2026'!D36&lt;&gt;"",'JUNIO 2026'!Z36="POR RECOGER"),'JUNIO 2026'!D36,"")</f>
        <v/>
      </c>
      <c r="D557" s="192" t="str">
        <f aca="false">IF(AND('JUNIO 2026'!D36&lt;&gt;"",'JUNIO 2026'!Z36="POR RECOGER"),'JUNIO 2026'!F36,"")</f>
        <v/>
      </c>
      <c r="E557" s="192" t="str">
        <f aca="false">IF(AND('JUNIO 2026'!D36&lt;&gt;"",'JUNIO 2026'!Z36="POR RECOGER"),TEXT('JUNIO 2026'!G36,"DD/MM/YYYY"),"")</f>
        <v/>
      </c>
      <c r="F557" s="192" t="str">
        <f aca="false">IF(AND('JUNIO 2026'!D36&lt;&gt;"",'JUNIO 2026'!Z36="POR RECOGER"),'JUNIO 2026'!K36,"")</f>
        <v/>
      </c>
      <c r="G557" s="193" t="str">
        <f aca="false">IF(AND('JUNIO 2026'!D36&lt;&gt;"",'JUNIO 2026'!Z36="POR RECOGER"),'JUNIO 2026'!M36,"")</f>
        <v/>
      </c>
      <c r="H557" s="193" t="str">
        <f aca="false">IF(AND('JUNIO 2026'!D36&lt;&gt;"",'JUNIO 2026'!Z36="POR RECOGER"),'JUNIO 2026'!N36,"")</f>
        <v/>
      </c>
      <c r="I557" s="192" t="str">
        <f aca="false">IF(AND('JUNIO 2026'!D36&lt;&gt;"",'JUNIO 2026'!Z36="POR RECOGER"),'JUNIO 2026'!P36,"")</f>
        <v/>
      </c>
      <c r="J557" s="192" t="str">
        <f aca="false">IF(AND('JUNIO 2026'!D36&lt;&gt;"",'JUNIO 2026'!Z36="POR RECOGER"),'JUNIO 2026'!Q36,"")</f>
        <v/>
      </c>
      <c r="K557" s="192" t="str">
        <f aca="false">IF(AND('JUNIO 2026'!D36&lt;&gt;"",'JUNIO 2026'!Z36="POR RECOGER"),'JUNIO 2026'!Y36,"")</f>
        <v/>
      </c>
      <c r="L557" s="192" t="str">
        <f aca="false">IF(AND('JUNIO 2026'!D36&lt;&gt;"",'JUNIO 2026'!Z36="POR RECOGER"),'JUNIO 2026'!I36,"")</f>
        <v/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" hidden="false" customHeight="true" outlineLevel="0" collapsed="false">
      <c r="A558" s="192" t="str">
        <f aca="false">IF(AND('JUNIO 2026'!D37&lt;&gt;"",'JUNIO 2026'!Z37="POR RECOGER"),"JUN","")</f>
        <v/>
      </c>
      <c r="B558" s="192" t="str">
        <f aca="false">IF(AND('JUNIO 2026'!D37&lt;&gt;"",'JUNIO 2026'!Z37="POR RECOGER"),IF('JUNIO 2026'!Y37&lt;&gt;"",'JUNIO 2026'!Y37,'JUNIO 2026'!I37),"")</f>
        <v/>
      </c>
      <c r="C558" s="192" t="str">
        <f aca="false">IF(AND('JUNIO 2026'!D37&lt;&gt;"",'JUNIO 2026'!Z37="POR RECOGER"),'JUNIO 2026'!D37,"")</f>
        <v/>
      </c>
      <c r="D558" s="192" t="str">
        <f aca="false">IF(AND('JUNIO 2026'!D37&lt;&gt;"",'JUNIO 2026'!Z37="POR RECOGER"),'JUNIO 2026'!F37,"")</f>
        <v/>
      </c>
      <c r="E558" s="192" t="str">
        <f aca="false">IF(AND('JUNIO 2026'!D37&lt;&gt;"",'JUNIO 2026'!Z37="POR RECOGER"),TEXT('JUNIO 2026'!G37,"DD/MM/YYYY"),"")</f>
        <v/>
      </c>
      <c r="F558" s="192" t="str">
        <f aca="false">IF(AND('JUNIO 2026'!D37&lt;&gt;"",'JUNIO 2026'!Z37="POR RECOGER"),'JUNIO 2026'!K37,"")</f>
        <v/>
      </c>
      <c r="G558" s="193" t="str">
        <f aca="false">IF(AND('JUNIO 2026'!D37&lt;&gt;"",'JUNIO 2026'!Z37="POR RECOGER"),'JUNIO 2026'!M37,"")</f>
        <v/>
      </c>
      <c r="H558" s="193" t="str">
        <f aca="false">IF(AND('JUNIO 2026'!D37&lt;&gt;"",'JUNIO 2026'!Z37="POR RECOGER"),'JUNIO 2026'!N37,"")</f>
        <v/>
      </c>
      <c r="I558" s="192" t="str">
        <f aca="false">IF(AND('JUNIO 2026'!D37&lt;&gt;"",'JUNIO 2026'!Z37="POR RECOGER"),'JUNIO 2026'!P37,"")</f>
        <v/>
      </c>
      <c r="J558" s="192" t="str">
        <f aca="false">IF(AND('JUNIO 2026'!D37&lt;&gt;"",'JUNIO 2026'!Z37="POR RECOGER"),'JUNIO 2026'!Q37,"")</f>
        <v/>
      </c>
      <c r="K558" s="192" t="str">
        <f aca="false">IF(AND('JUNIO 2026'!D37&lt;&gt;"",'JUNIO 2026'!Z37="POR RECOGER"),'JUNIO 2026'!Y37,"")</f>
        <v/>
      </c>
      <c r="L558" s="192" t="str">
        <f aca="false">IF(AND('JUNIO 2026'!D37&lt;&gt;"",'JUNIO 2026'!Z37="POR RECOGER"),'JUNIO 2026'!I37,"")</f>
        <v/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" hidden="false" customHeight="true" outlineLevel="0" collapsed="false">
      <c r="A559" s="192" t="str">
        <f aca="false">IF(AND('JUNIO 2026'!D38&lt;&gt;"",'JUNIO 2026'!Z38="POR RECOGER"),"JUN","")</f>
        <v/>
      </c>
      <c r="B559" s="192" t="str">
        <f aca="false">IF(AND('JUNIO 2026'!D38&lt;&gt;"",'JUNIO 2026'!Z38="POR RECOGER"),IF('JUNIO 2026'!Y38&lt;&gt;"",'JUNIO 2026'!Y38,'JUNIO 2026'!I38),"")</f>
        <v/>
      </c>
      <c r="C559" s="192" t="str">
        <f aca="false">IF(AND('JUNIO 2026'!D38&lt;&gt;"",'JUNIO 2026'!Z38="POR RECOGER"),'JUNIO 2026'!D38,"")</f>
        <v/>
      </c>
      <c r="D559" s="192" t="str">
        <f aca="false">IF(AND('JUNIO 2026'!D38&lt;&gt;"",'JUNIO 2026'!Z38="POR RECOGER"),'JUNIO 2026'!F38,"")</f>
        <v/>
      </c>
      <c r="E559" s="192" t="str">
        <f aca="false">IF(AND('JUNIO 2026'!D38&lt;&gt;"",'JUNIO 2026'!Z38="POR RECOGER"),TEXT('JUNIO 2026'!G38,"DD/MM/YYYY"),"")</f>
        <v/>
      </c>
      <c r="F559" s="192" t="str">
        <f aca="false">IF(AND('JUNIO 2026'!D38&lt;&gt;"",'JUNIO 2026'!Z38="POR RECOGER"),'JUNIO 2026'!K38,"")</f>
        <v/>
      </c>
      <c r="G559" s="193" t="str">
        <f aca="false">IF(AND('JUNIO 2026'!D38&lt;&gt;"",'JUNIO 2026'!Z38="POR RECOGER"),'JUNIO 2026'!M38,"")</f>
        <v/>
      </c>
      <c r="H559" s="193" t="str">
        <f aca="false">IF(AND('JUNIO 2026'!D38&lt;&gt;"",'JUNIO 2026'!Z38="POR RECOGER"),'JUNIO 2026'!N38,"")</f>
        <v/>
      </c>
      <c r="I559" s="192" t="str">
        <f aca="false">IF(AND('JUNIO 2026'!D38&lt;&gt;"",'JUNIO 2026'!Z38="POR RECOGER"),'JUNIO 2026'!P38,"")</f>
        <v/>
      </c>
      <c r="J559" s="192" t="str">
        <f aca="false">IF(AND('JUNIO 2026'!D38&lt;&gt;"",'JUNIO 2026'!Z38="POR RECOGER"),'JUNIO 2026'!Q38,"")</f>
        <v/>
      </c>
      <c r="K559" s="192" t="str">
        <f aca="false">IF(AND('JUNIO 2026'!D38&lt;&gt;"",'JUNIO 2026'!Z38="POR RECOGER"),'JUNIO 2026'!Y38,"")</f>
        <v/>
      </c>
      <c r="L559" s="192" t="str">
        <f aca="false">IF(AND('JUNIO 2026'!D38&lt;&gt;"",'JUNIO 2026'!Z38="POR RECOGER"),'JUNIO 2026'!I38,"")</f>
        <v/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" hidden="false" customHeight="true" outlineLevel="0" collapsed="false">
      <c r="A560" s="192" t="str">
        <f aca="false">IF(AND('JUNIO 2026'!D39&lt;&gt;"",'JUNIO 2026'!Z39="POR RECOGER"),"JUN","")</f>
        <v/>
      </c>
      <c r="B560" s="192" t="str">
        <f aca="false">IF(AND('JUNIO 2026'!D39&lt;&gt;"",'JUNIO 2026'!Z39="POR RECOGER"),IF('JUNIO 2026'!Y39&lt;&gt;"",'JUNIO 2026'!Y39,'JUNIO 2026'!I39),"")</f>
        <v/>
      </c>
      <c r="C560" s="192" t="str">
        <f aca="false">IF(AND('JUNIO 2026'!D39&lt;&gt;"",'JUNIO 2026'!Z39="POR RECOGER"),'JUNIO 2026'!D39,"")</f>
        <v/>
      </c>
      <c r="D560" s="192" t="str">
        <f aca="false">IF(AND('JUNIO 2026'!D39&lt;&gt;"",'JUNIO 2026'!Z39="POR RECOGER"),'JUNIO 2026'!F39,"")</f>
        <v/>
      </c>
      <c r="E560" s="192" t="str">
        <f aca="false">IF(AND('JUNIO 2026'!D39&lt;&gt;"",'JUNIO 2026'!Z39="POR RECOGER"),TEXT('JUNIO 2026'!G39,"DD/MM/YYYY"),"")</f>
        <v/>
      </c>
      <c r="F560" s="192" t="str">
        <f aca="false">IF(AND('JUNIO 2026'!D39&lt;&gt;"",'JUNIO 2026'!Z39="POR RECOGER"),'JUNIO 2026'!K39,"")</f>
        <v/>
      </c>
      <c r="G560" s="193" t="str">
        <f aca="false">IF(AND('JUNIO 2026'!D39&lt;&gt;"",'JUNIO 2026'!Z39="POR RECOGER"),'JUNIO 2026'!M39,"")</f>
        <v/>
      </c>
      <c r="H560" s="193" t="str">
        <f aca="false">IF(AND('JUNIO 2026'!D39&lt;&gt;"",'JUNIO 2026'!Z39="POR RECOGER"),'JUNIO 2026'!N39,"")</f>
        <v/>
      </c>
      <c r="I560" s="192" t="str">
        <f aca="false">IF(AND('JUNIO 2026'!D39&lt;&gt;"",'JUNIO 2026'!Z39="POR RECOGER"),'JUNIO 2026'!P39,"")</f>
        <v/>
      </c>
      <c r="J560" s="192" t="str">
        <f aca="false">IF(AND('JUNIO 2026'!D39&lt;&gt;"",'JUNIO 2026'!Z39="POR RECOGER"),'JUNIO 2026'!Q39,"")</f>
        <v/>
      </c>
      <c r="K560" s="192" t="str">
        <f aca="false">IF(AND('JUNIO 2026'!D39&lt;&gt;"",'JUNIO 2026'!Z39="POR RECOGER"),'JUNIO 2026'!Y39,"")</f>
        <v/>
      </c>
      <c r="L560" s="192" t="str">
        <f aca="false">IF(AND('JUNIO 2026'!D39&lt;&gt;"",'JUNIO 2026'!Z39="POR RECOGER"),'JUNIO 2026'!I39,"")</f>
        <v/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" hidden="false" customHeight="true" outlineLevel="0" collapsed="false">
      <c r="A561" s="192" t="str">
        <f aca="false">IF(AND('JUNIO 2026'!D40&lt;&gt;"",'JUNIO 2026'!Z40="POR RECOGER"),"JUN","")</f>
        <v/>
      </c>
      <c r="B561" s="192" t="str">
        <f aca="false">IF(AND('JUNIO 2026'!D40&lt;&gt;"",'JUNIO 2026'!Z40="POR RECOGER"),IF('JUNIO 2026'!Y40&lt;&gt;"",'JUNIO 2026'!Y40,'JUNIO 2026'!I40),"")</f>
        <v/>
      </c>
      <c r="C561" s="192" t="str">
        <f aca="false">IF(AND('JUNIO 2026'!D40&lt;&gt;"",'JUNIO 2026'!Z40="POR RECOGER"),'JUNIO 2026'!D40,"")</f>
        <v/>
      </c>
      <c r="D561" s="192" t="str">
        <f aca="false">IF(AND('JUNIO 2026'!D40&lt;&gt;"",'JUNIO 2026'!Z40="POR RECOGER"),'JUNIO 2026'!F40,"")</f>
        <v/>
      </c>
      <c r="E561" s="192" t="str">
        <f aca="false">IF(AND('JUNIO 2026'!D40&lt;&gt;"",'JUNIO 2026'!Z40="POR RECOGER"),TEXT('JUNIO 2026'!G40,"DD/MM/YYYY"),"")</f>
        <v/>
      </c>
      <c r="F561" s="192" t="str">
        <f aca="false">IF(AND('JUNIO 2026'!D40&lt;&gt;"",'JUNIO 2026'!Z40="POR RECOGER"),'JUNIO 2026'!K40,"")</f>
        <v/>
      </c>
      <c r="G561" s="193" t="str">
        <f aca="false">IF(AND('JUNIO 2026'!D40&lt;&gt;"",'JUNIO 2026'!Z40="POR RECOGER"),'JUNIO 2026'!M40,"")</f>
        <v/>
      </c>
      <c r="H561" s="193" t="str">
        <f aca="false">IF(AND('JUNIO 2026'!D40&lt;&gt;"",'JUNIO 2026'!Z40="POR RECOGER"),'JUNIO 2026'!N40,"")</f>
        <v/>
      </c>
      <c r="I561" s="192" t="str">
        <f aca="false">IF(AND('JUNIO 2026'!D40&lt;&gt;"",'JUNIO 2026'!Z40="POR RECOGER"),'JUNIO 2026'!P40,"")</f>
        <v/>
      </c>
      <c r="J561" s="192" t="str">
        <f aca="false">IF(AND('JUNIO 2026'!D40&lt;&gt;"",'JUNIO 2026'!Z40="POR RECOGER"),'JUNIO 2026'!Q40,"")</f>
        <v/>
      </c>
      <c r="K561" s="192" t="str">
        <f aca="false">IF(AND('JUNIO 2026'!D40&lt;&gt;"",'JUNIO 2026'!Z40="POR RECOGER"),'JUNIO 2026'!Y40,"")</f>
        <v/>
      </c>
      <c r="L561" s="192" t="str">
        <f aca="false">IF(AND('JUNIO 2026'!D40&lt;&gt;"",'JUNIO 2026'!Z40="POR RECOGER"),'JUNIO 2026'!I40,"")</f>
        <v/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" hidden="false" customHeight="true" outlineLevel="0" collapsed="false">
      <c r="A562" s="192" t="str">
        <f aca="false">IF(AND('JUNIO 2026'!D41&lt;&gt;"",'JUNIO 2026'!Z41="POR RECOGER"),"JUN","")</f>
        <v/>
      </c>
      <c r="B562" s="192" t="str">
        <f aca="false">IF(AND('JUNIO 2026'!D41&lt;&gt;"",'JUNIO 2026'!Z41="POR RECOGER"),IF('JUNIO 2026'!Y41&lt;&gt;"",'JUNIO 2026'!Y41,'JUNIO 2026'!I41),"")</f>
        <v/>
      </c>
      <c r="C562" s="192" t="str">
        <f aca="false">IF(AND('JUNIO 2026'!D41&lt;&gt;"",'JUNIO 2026'!Z41="POR RECOGER"),'JUNIO 2026'!D41,"")</f>
        <v/>
      </c>
      <c r="D562" s="192" t="str">
        <f aca="false">IF(AND('JUNIO 2026'!D41&lt;&gt;"",'JUNIO 2026'!Z41="POR RECOGER"),'JUNIO 2026'!F41,"")</f>
        <v/>
      </c>
      <c r="E562" s="192" t="str">
        <f aca="false">IF(AND('JUNIO 2026'!D41&lt;&gt;"",'JUNIO 2026'!Z41="POR RECOGER"),TEXT('JUNIO 2026'!G41,"DD/MM/YYYY"),"")</f>
        <v/>
      </c>
      <c r="F562" s="192" t="str">
        <f aca="false">IF(AND('JUNIO 2026'!D41&lt;&gt;"",'JUNIO 2026'!Z41="POR RECOGER"),'JUNIO 2026'!K41,"")</f>
        <v/>
      </c>
      <c r="G562" s="193" t="str">
        <f aca="false">IF(AND('JUNIO 2026'!D41&lt;&gt;"",'JUNIO 2026'!Z41="POR RECOGER"),'JUNIO 2026'!M41,"")</f>
        <v/>
      </c>
      <c r="H562" s="193" t="str">
        <f aca="false">IF(AND('JUNIO 2026'!D41&lt;&gt;"",'JUNIO 2026'!Z41="POR RECOGER"),'JUNIO 2026'!N41,"")</f>
        <v/>
      </c>
      <c r="I562" s="192" t="str">
        <f aca="false">IF(AND('JUNIO 2026'!D41&lt;&gt;"",'JUNIO 2026'!Z41="POR RECOGER"),'JUNIO 2026'!P41,"")</f>
        <v/>
      </c>
      <c r="J562" s="192" t="str">
        <f aca="false">IF(AND('JUNIO 2026'!D41&lt;&gt;"",'JUNIO 2026'!Z41="POR RECOGER"),'JUNIO 2026'!Q41,"")</f>
        <v/>
      </c>
      <c r="K562" s="192" t="str">
        <f aca="false">IF(AND('JUNIO 2026'!D41&lt;&gt;"",'JUNIO 2026'!Z41="POR RECOGER"),'JUNIO 2026'!Y41,"")</f>
        <v/>
      </c>
      <c r="L562" s="192" t="str">
        <f aca="false">IF(AND('JUNIO 2026'!D41&lt;&gt;"",'JUNIO 2026'!Z41="POR RECOGER"),'JUNIO 2026'!I41,"")</f>
        <v/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" hidden="false" customHeight="true" outlineLevel="0" collapsed="false">
      <c r="A563" s="192" t="str">
        <f aca="false">IF(AND('JUNIO 2026'!D42&lt;&gt;"",'JUNIO 2026'!Z42="POR RECOGER"),"JUN","")</f>
        <v/>
      </c>
      <c r="B563" s="192" t="str">
        <f aca="false">IF(AND('JUNIO 2026'!D42&lt;&gt;"",'JUNIO 2026'!Z42="POR RECOGER"),IF('JUNIO 2026'!Y42&lt;&gt;"",'JUNIO 2026'!Y42,'JUNIO 2026'!I42),"")</f>
        <v/>
      </c>
      <c r="C563" s="192" t="str">
        <f aca="false">IF(AND('JUNIO 2026'!D42&lt;&gt;"",'JUNIO 2026'!Z42="POR RECOGER"),'JUNIO 2026'!D42,"")</f>
        <v/>
      </c>
      <c r="D563" s="192" t="str">
        <f aca="false">IF(AND('JUNIO 2026'!D42&lt;&gt;"",'JUNIO 2026'!Z42="POR RECOGER"),'JUNIO 2026'!F42,"")</f>
        <v/>
      </c>
      <c r="E563" s="192" t="str">
        <f aca="false">IF(AND('JUNIO 2026'!D42&lt;&gt;"",'JUNIO 2026'!Z42="POR RECOGER"),TEXT('JUNIO 2026'!G42,"DD/MM/YYYY"),"")</f>
        <v/>
      </c>
      <c r="F563" s="192" t="str">
        <f aca="false">IF(AND('JUNIO 2026'!D42&lt;&gt;"",'JUNIO 2026'!Z42="POR RECOGER"),'JUNIO 2026'!K42,"")</f>
        <v/>
      </c>
      <c r="G563" s="193" t="str">
        <f aca="false">IF(AND('JUNIO 2026'!D42&lt;&gt;"",'JUNIO 2026'!Z42="POR RECOGER"),'JUNIO 2026'!M42,"")</f>
        <v/>
      </c>
      <c r="H563" s="193" t="str">
        <f aca="false">IF(AND('JUNIO 2026'!D42&lt;&gt;"",'JUNIO 2026'!Z42="POR RECOGER"),'JUNIO 2026'!N42,"")</f>
        <v/>
      </c>
      <c r="I563" s="192" t="str">
        <f aca="false">IF(AND('JUNIO 2026'!D42&lt;&gt;"",'JUNIO 2026'!Z42="POR RECOGER"),'JUNIO 2026'!P42,"")</f>
        <v/>
      </c>
      <c r="J563" s="192" t="str">
        <f aca="false">IF(AND('JUNIO 2026'!D42&lt;&gt;"",'JUNIO 2026'!Z42="POR RECOGER"),'JUNIO 2026'!Q42,"")</f>
        <v/>
      </c>
      <c r="K563" s="192" t="str">
        <f aca="false">IF(AND('JUNIO 2026'!D42&lt;&gt;"",'JUNIO 2026'!Z42="POR RECOGER"),'JUNIO 2026'!Y42,"")</f>
        <v/>
      </c>
      <c r="L563" s="192" t="str">
        <f aca="false">IF(AND('JUNIO 2026'!D42&lt;&gt;"",'JUNIO 2026'!Z42="POR RECOGER"),'JUNIO 2026'!I42,"")</f>
        <v/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" hidden="false" customHeight="true" outlineLevel="0" collapsed="false">
      <c r="A564" s="192" t="str">
        <f aca="false">IF(AND('JUNIO 2026'!D43&lt;&gt;"",'JUNIO 2026'!Z43="POR RECOGER"),"JUN","")</f>
        <v/>
      </c>
      <c r="B564" s="192" t="str">
        <f aca="false">IF(AND('JUNIO 2026'!D43&lt;&gt;"",'JUNIO 2026'!Z43="POR RECOGER"),IF('JUNIO 2026'!Y43&lt;&gt;"",'JUNIO 2026'!Y43,'JUNIO 2026'!I43),"")</f>
        <v/>
      </c>
      <c r="C564" s="192" t="str">
        <f aca="false">IF(AND('JUNIO 2026'!D43&lt;&gt;"",'JUNIO 2026'!Z43="POR RECOGER"),'JUNIO 2026'!D43,"")</f>
        <v/>
      </c>
      <c r="D564" s="192" t="str">
        <f aca="false">IF(AND('JUNIO 2026'!D43&lt;&gt;"",'JUNIO 2026'!Z43="POR RECOGER"),'JUNIO 2026'!F43,"")</f>
        <v/>
      </c>
      <c r="E564" s="192" t="str">
        <f aca="false">IF(AND('JUNIO 2026'!D43&lt;&gt;"",'JUNIO 2026'!Z43="POR RECOGER"),TEXT('JUNIO 2026'!G43,"DD/MM/YYYY"),"")</f>
        <v/>
      </c>
      <c r="F564" s="192" t="str">
        <f aca="false">IF(AND('JUNIO 2026'!D43&lt;&gt;"",'JUNIO 2026'!Z43="POR RECOGER"),'JUNIO 2026'!K43,"")</f>
        <v/>
      </c>
      <c r="G564" s="193" t="str">
        <f aca="false">IF(AND('JUNIO 2026'!D43&lt;&gt;"",'JUNIO 2026'!Z43="POR RECOGER"),'JUNIO 2026'!M43,"")</f>
        <v/>
      </c>
      <c r="H564" s="193" t="str">
        <f aca="false">IF(AND('JUNIO 2026'!D43&lt;&gt;"",'JUNIO 2026'!Z43="POR RECOGER"),'JUNIO 2026'!N43,"")</f>
        <v/>
      </c>
      <c r="I564" s="192" t="str">
        <f aca="false">IF(AND('JUNIO 2026'!D43&lt;&gt;"",'JUNIO 2026'!Z43="POR RECOGER"),'JUNIO 2026'!P43,"")</f>
        <v/>
      </c>
      <c r="J564" s="192" t="str">
        <f aca="false">IF(AND('JUNIO 2026'!D43&lt;&gt;"",'JUNIO 2026'!Z43="POR RECOGER"),'JUNIO 2026'!Q43,"")</f>
        <v/>
      </c>
      <c r="K564" s="192" t="str">
        <f aca="false">IF(AND('JUNIO 2026'!D43&lt;&gt;"",'JUNIO 2026'!Z43="POR RECOGER"),'JUNIO 2026'!Y43,"")</f>
        <v/>
      </c>
      <c r="L564" s="192" t="str">
        <f aca="false">IF(AND('JUNIO 2026'!D43&lt;&gt;"",'JUNIO 2026'!Z43="POR RECOGER"),'JUNIO 2026'!I43,"")</f>
        <v/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" hidden="false" customHeight="true" outlineLevel="0" collapsed="false">
      <c r="A565" s="192" t="str">
        <f aca="false">IF(AND('JUNIO 2026'!D44&lt;&gt;"",'JUNIO 2026'!Z44="POR RECOGER"),"JUN","")</f>
        <v/>
      </c>
      <c r="B565" s="192" t="str">
        <f aca="false">IF(AND('JUNIO 2026'!D44&lt;&gt;"",'JUNIO 2026'!Z44="POR RECOGER"),IF('JUNIO 2026'!Y44&lt;&gt;"",'JUNIO 2026'!Y44,'JUNIO 2026'!I44),"")</f>
        <v/>
      </c>
      <c r="C565" s="192" t="str">
        <f aca="false">IF(AND('JUNIO 2026'!D44&lt;&gt;"",'JUNIO 2026'!Z44="POR RECOGER"),'JUNIO 2026'!D44,"")</f>
        <v/>
      </c>
      <c r="D565" s="192" t="str">
        <f aca="false">IF(AND('JUNIO 2026'!D44&lt;&gt;"",'JUNIO 2026'!Z44="POR RECOGER"),'JUNIO 2026'!F44,"")</f>
        <v/>
      </c>
      <c r="E565" s="192" t="str">
        <f aca="false">IF(AND('JUNIO 2026'!D44&lt;&gt;"",'JUNIO 2026'!Z44="POR RECOGER"),TEXT('JUNIO 2026'!G44,"DD/MM/YYYY"),"")</f>
        <v/>
      </c>
      <c r="F565" s="192" t="str">
        <f aca="false">IF(AND('JUNIO 2026'!D44&lt;&gt;"",'JUNIO 2026'!Z44="POR RECOGER"),'JUNIO 2026'!K44,"")</f>
        <v/>
      </c>
      <c r="G565" s="193" t="str">
        <f aca="false">IF(AND('JUNIO 2026'!D44&lt;&gt;"",'JUNIO 2026'!Z44="POR RECOGER"),'JUNIO 2026'!M44,"")</f>
        <v/>
      </c>
      <c r="H565" s="193" t="str">
        <f aca="false">IF(AND('JUNIO 2026'!D44&lt;&gt;"",'JUNIO 2026'!Z44="POR RECOGER"),'JUNIO 2026'!N44,"")</f>
        <v/>
      </c>
      <c r="I565" s="192" t="str">
        <f aca="false">IF(AND('JUNIO 2026'!D44&lt;&gt;"",'JUNIO 2026'!Z44="POR RECOGER"),'JUNIO 2026'!P44,"")</f>
        <v/>
      </c>
      <c r="J565" s="192" t="str">
        <f aca="false">IF(AND('JUNIO 2026'!D44&lt;&gt;"",'JUNIO 2026'!Z44="POR RECOGER"),'JUNIO 2026'!Q44,"")</f>
        <v/>
      </c>
      <c r="K565" s="192" t="str">
        <f aca="false">IF(AND('JUNIO 2026'!D44&lt;&gt;"",'JUNIO 2026'!Z44="POR RECOGER"),'JUNIO 2026'!Y44,"")</f>
        <v/>
      </c>
      <c r="L565" s="192" t="str">
        <f aca="false">IF(AND('JUNIO 2026'!D44&lt;&gt;"",'JUNIO 2026'!Z44="POR RECOGER"),'JUNIO 2026'!I44,"")</f>
        <v/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" hidden="false" customHeight="true" outlineLevel="0" collapsed="false">
      <c r="A566" s="192" t="str">
        <f aca="false">IF(AND('JUNIO 2026'!D45&lt;&gt;"",'JUNIO 2026'!Z45="POR RECOGER"),"JUN","")</f>
        <v/>
      </c>
      <c r="B566" s="192" t="str">
        <f aca="false">IF(AND('JUNIO 2026'!D45&lt;&gt;"",'JUNIO 2026'!Z45="POR RECOGER"),IF('JUNIO 2026'!Y45&lt;&gt;"",'JUNIO 2026'!Y45,'JUNIO 2026'!I45),"")</f>
        <v/>
      </c>
      <c r="C566" s="192" t="str">
        <f aca="false">IF(AND('JUNIO 2026'!D45&lt;&gt;"",'JUNIO 2026'!Z45="POR RECOGER"),'JUNIO 2026'!D45,"")</f>
        <v/>
      </c>
      <c r="D566" s="192" t="str">
        <f aca="false">IF(AND('JUNIO 2026'!D45&lt;&gt;"",'JUNIO 2026'!Z45="POR RECOGER"),'JUNIO 2026'!F45,"")</f>
        <v/>
      </c>
      <c r="E566" s="192" t="str">
        <f aca="false">IF(AND('JUNIO 2026'!D45&lt;&gt;"",'JUNIO 2026'!Z45="POR RECOGER"),TEXT('JUNIO 2026'!G45,"DD/MM/YYYY"),"")</f>
        <v/>
      </c>
      <c r="F566" s="192" t="str">
        <f aca="false">IF(AND('JUNIO 2026'!D45&lt;&gt;"",'JUNIO 2026'!Z45="POR RECOGER"),'JUNIO 2026'!K45,"")</f>
        <v/>
      </c>
      <c r="G566" s="193" t="str">
        <f aca="false">IF(AND('JUNIO 2026'!D45&lt;&gt;"",'JUNIO 2026'!Z45="POR RECOGER"),'JUNIO 2026'!M45,"")</f>
        <v/>
      </c>
      <c r="H566" s="193" t="str">
        <f aca="false">IF(AND('JUNIO 2026'!D45&lt;&gt;"",'JUNIO 2026'!Z45="POR RECOGER"),'JUNIO 2026'!N45,"")</f>
        <v/>
      </c>
      <c r="I566" s="192" t="str">
        <f aca="false">IF(AND('JUNIO 2026'!D45&lt;&gt;"",'JUNIO 2026'!Z45="POR RECOGER"),'JUNIO 2026'!P45,"")</f>
        <v/>
      </c>
      <c r="J566" s="192" t="str">
        <f aca="false">IF(AND('JUNIO 2026'!D45&lt;&gt;"",'JUNIO 2026'!Z45="POR RECOGER"),'JUNIO 2026'!Q45,"")</f>
        <v/>
      </c>
      <c r="K566" s="192" t="str">
        <f aca="false">IF(AND('JUNIO 2026'!D45&lt;&gt;"",'JUNIO 2026'!Z45="POR RECOGER"),'JUNIO 2026'!Y45,"")</f>
        <v/>
      </c>
      <c r="L566" s="192" t="str">
        <f aca="false">IF(AND('JUNIO 2026'!D45&lt;&gt;"",'JUNIO 2026'!Z45="POR RECOGER"),'JUNIO 2026'!I45,"")</f>
        <v/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" hidden="false" customHeight="true" outlineLevel="0" collapsed="false">
      <c r="A567" s="192" t="str">
        <f aca="false">IF(AND('JUNIO 2026'!D46&lt;&gt;"",'JUNIO 2026'!Z46="POR RECOGER"),"JUN","")</f>
        <v/>
      </c>
      <c r="B567" s="192" t="str">
        <f aca="false">IF(AND('JUNIO 2026'!D46&lt;&gt;"",'JUNIO 2026'!Z46="POR RECOGER"),IF('JUNIO 2026'!Y46&lt;&gt;"",'JUNIO 2026'!Y46,'JUNIO 2026'!I46),"")</f>
        <v/>
      </c>
      <c r="C567" s="192" t="str">
        <f aca="false">IF(AND('JUNIO 2026'!D46&lt;&gt;"",'JUNIO 2026'!Z46="POR RECOGER"),'JUNIO 2026'!D46,"")</f>
        <v/>
      </c>
      <c r="D567" s="192" t="str">
        <f aca="false">IF(AND('JUNIO 2026'!D46&lt;&gt;"",'JUNIO 2026'!Z46="POR RECOGER"),'JUNIO 2026'!F46,"")</f>
        <v/>
      </c>
      <c r="E567" s="192" t="str">
        <f aca="false">IF(AND('JUNIO 2026'!D46&lt;&gt;"",'JUNIO 2026'!Z46="POR RECOGER"),TEXT('JUNIO 2026'!G46,"DD/MM/YYYY"),"")</f>
        <v/>
      </c>
      <c r="F567" s="192" t="str">
        <f aca="false">IF(AND('JUNIO 2026'!D46&lt;&gt;"",'JUNIO 2026'!Z46="POR RECOGER"),'JUNIO 2026'!K46,"")</f>
        <v/>
      </c>
      <c r="G567" s="193" t="str">
        <f aca="false">IF(AND('JUNIO 2026'!D46&lt;&gt;"",'JUNIO 2026'!Z46="POR RECOGER"),'JUNIO 2026'!M46,"")</f>
        <v/>
      </c>
      <c r="H567" s="193" t="str">
        <f aca="false">IF(AND('JUNIO 2026'!D46&lt;&gt;"",'JUNIO 2026'!Z46="POR RECOGER"),'JUNIO 2026'!N46,"")</f>
        <v/>
      </c>
      <c r="I567" s="192" t="str">
        <f aca="false">IF(AND('JUNIO 2026'!D46&lt;&gt;"",'JUNIO 2026'!Z46="POR RECOGER"),'JUNIO 2026'!P46,"")</f>
        <v/>
      </c>
      <c r="J567" s="192" t="str">
        <f aca="false">IF(AND('JUNIO 2026'!D46&lt;&gt;"",'JUNIO 2026'!Z46="POR RECOGER"),'JUNIO 2026'!Q46,"")</f>
        <v/>
      </c>
      <c r="K567" s="192" t="str">
        <f aca="false">IF(AND('JUNIO 2026'!D46&lt;&gt;"",'JUNIO 2026'!Z46="POR RECOGER"),'JUNIO 2026'!Y46,"")</f>
        <v/>
      </c>
      <c r="L567" s="192" t="str">
        <f aca="false">IF(AND('JUNIO 2026'!D46&lt;&gt;"",'JUNIO 2026'!Z46="POR RECOGER"),'JUNIO 2026'!I46,"")</f>
        <v/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" hidden="false" customHeight="true" outlineLevel="0" collapsed="false">
      <c r="A568" s="192" t="str">
        <f aca="false">IF(AND('JUNIO 2026'!D47&lt;&gt;"",'JUNIO 2026'!Z47="POR RECOGER"),"JUN","")</f>
        <v/>
      </c>
      <c r="B568" s="192" t="str">
        <f aca="false">IF(AND('JUNIO 2026'!D47&lt;&gt;"",'JUNIO 2026'!Z47="POR RECOGER"),IF('JUNIO 2026'!Y47&lt;&gt;"",'JUNIO 2026'!Y47,'JUNIO 2026'!I47),"")</f>
        <v/>
      </c>
      <c r="C568" s="192" t="str">
        <f aca="false">IF(AND('JUNIO 2026'!D47&lt;&gt;"",'JUNIO 2026'!Z47="POR RECOGER"),'JUNIO 2026'!D47,"")</f>
        <v/>
      </c>
      <c r="D568" s="192" t="str">
        <f aca="false">IF(AND('JUNIO 2026'!D47&lt;&gt;"",'JUNIO 2026'!Z47="POR RECOGER"),'JUNIO 2026'!F47,"")</f>
        <v/>
      </c>
      <c r="E568" s="192" t="str">
        <f aca="false">IF(AND('JUNIO 2026'!D47&lt;&gt;"",'JUNIO 2026'!Z47="POR RECOGER"),TEXT('JUNIO 2026'!G47,"DD/MM/YYYY"),"")</f>
        <v/>
      </c>
      <c r="F568" s="192" t="str">
        <f aca="false">IF(AND('JUNIO 2026'!D47&lt;&gt;"",'JUNIO 2026'!Z47="POR RECOGER"),'JUNIO 2026'!K47,"")</f>
        <v/>
      </c>
      <c r="G568" s="193" t="str">
        <f aca="false">IF(AND('JUNIO 2026'!D47&lt;&gt;"",'JUNIO 2026'!Z47="POR RECOGER"),'JUNIO 2026'!M47,"")</f>
        <v/>
      </c>
      <c r="H568" s="193" t="str">
        <f aca="false">IF(AND('JUNIO 2026'!D47&lt;&gt;"",'JUNIO 2026'!Z47="POR RECOGER"),'JUNIO 2026'!N47,"")</f>
        <v/>
      </c>
      <c r="I568" s="192" t="str">
        <f aca="false">IF(AND('JUNIO 2026'!D47&lt;&gt;"",'JUNIO 2026'!Z47="POR RECOGER"),'JUNIO 2026'!P47,"")</f>
        <v/>
      </c>
      <c r="J568" s="192" t="str">
        <f aca="false">IF(AND('JUNIO 2026'!D47&lt;&gt;"",'JUNIO 2026'!Z47="POR RECOGER"),'JUNIO 2026'!Q47,"")</f>
        <v/>
      </c>
      <c r="K568" s="192" t="str">
        <f aca="false">IF(AND('JUNIO 2026'!D47&lt;&gt;"",'JUNIO 2026'!Z47="POR RECOGER"),'JUNIO 2026'!Y47,"")</f>
        <v/>
      </c>
      <c r="L568" s="192" t="str">
        <f aca="false">IF(AND('JUNIO 2026'!D47&lt;&gt;"",'JUNIO 2026'!Z47="POR RECOGER"),'JUNIO 2026'!I47,"")</f>
        <v/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" hidden="false" customHeight="true" outlineLevel="0" collapsed="false">
      <c r="A569" s="192" t="str">
        <f aca="false">IF(AND('JUNIO 2026'!D48&lt;&gt;"",'JUNIO 2026'!Z48="POR RECOGER"),"JUN","")</f>
        <v/>
      </c>
      <c r="B569" s="192" t="str">
        <f aca="false">IF(AND('JUNIO 2026'!D48&lt;&gt;"",'JUNIO 2026'!Z48="POR RECOGER"),IF('JUNIO 2026'!Y48&lt;&gt;"",'JUNIO 2026'!Y48,'JUNIO 2026'!I48),"")</f>
        <v/>
      </c>
      <c r="C569" s="192" t="str">
        <f aca="false">IF(AND('JUNIO 2026'!D48&lt;&gt;"",'JUNIO 2026'!Z48="POR RECOGER"),'JUNIO 2026'!D48,"")</f>
        <v/>
      </c>
      <c r="D569" s="192" t="str">
        <f aca="false">IF(AND('JUNIO 2026'!D48&lt;&gt;"",'JUNIO 2026'!Z48="POR RECOGER"),'JUNIO 2026'!F48,"")</f>
        <v/>
      </c>
      <c r="E569" s="192" t="str">
        <f aca="false">IF(AND('JUNIO 2026'!D48&lt;&gt;"",'JUNIO 2026'!Z48="POR RECOGER"),TEXT('JUNIO 2026'!G48,"DD/MM/YYYY"),"")</f>
        <v/>
      </c>
      <c r="F569" s="192" t="str">
        <f aca="false">IF(AND('JUNIO 2026'!D48&lt;&gt;"",'JUNIO 2026'!Z48="POR RECOGER"),'JUNIO 2026'!K48,"")</f>
        <v/>
      </c>
      <c r="G569" s="193" t="str">
        <f aca="false">IF(AND('JUNIO 2026'!D48&lt;&gt;"",'JUNIO 2026'!Z48="POR RECOGER"),'JUNIO 2026'!M48,"")</f>
        <v/>
      </c>
      <c r="H569" s="193" t="str">
        <f aca="false">IF(AND('JUNIO 2026'!D48&lt;&gt;"",'JUNIO 2026'!Z48="POR RECOGER"),'JUNIO 2026'!N48,"")</f>
        <v/>
      </c>
      <c r="I569" s="192" t="str">
        <f aca="false">IF(AND('JUNIO 2026'!D48&lt;&gt;"",'JUNIO 2026'!Z48="POR RECOGER"),'JUNIO 2026'!P48,"")</f>
        <v/>
      </c>
      <c r="J569" s="192" t="str">
        <f aca="false">IF(AND('JUNIO 2026'!D48&lt;&gt;"",'JUNIO 2026'!Z48="POR RECOGER"),'JUNIO 2026'!Q48,"")</f>
        <v/>
      </c>
      <c r="K569" s="192" t="str">
        <f aca="false">IF(AND('JUNIO 2026'!D48&lt;&gt;"",'JUNIO 2026'!Z48="POR RECOGER"),'JUNIO 2026'!Y48,"")</f>
        <v/>
      </c>
      <c r="L569" s="192" t="str">
        <f aca="false">IF(AND('JUNIO 2026'!D48&lt;&gt;"",'JUNIO 2026'!Z48="POR RECOGER"),'JUNIO 2026'!I48,"")</f>
        <v/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" hidden="false" customHeight="true" outlineLevel="0" collapsed="false">
      <c r="A570" s="192" t="str">
        <f aca="false">IF(AND('JUNIO 2026'!D49&lt;&gt;"",'JUNIO 2026'!Z49="POR RECOGER"),"JUN","")</f>
        <v/>
      </c>
      <c r="B570" s="192" t="str">
        <f aca="false">IF(AND('JUNIO 2026'!D49&lt;&gt;"",'JUNIO 2026'!Z49="POR RECOGER"),IF('JUNIO 2026'!Y49&lt;&gt;"",'JUNIO 2026'!Y49,'JUNIO 2026'!I49),"")</f>
        <v/>
      </c>
      <c r="C570" s="192" t="str">
        <f aca="false">IF(AND('JUNIO 2026'!D49&lt;&gt;"",'JUNIO 2026'!Z49="POR RECOGER"),'JUNIO 2026'!D49,"")</f>
        <v/>
      </c>
      <c r="D570" s="192" t="str">
        <f aca="false">IF(AND('JUNIO 2026'!D49&lt;&gt;"",'JUNIO 2026'!Z49="POR RECOGER"),'JUNIO 2026'!F49,"")</f>
        <v/>
      </c>
      <c r="E570" s="192" t="str">
        <f aca="false">IF(AND('JUNIO 2026'!D49&lt;&gt;"",'JUNIO 2026'!Z49="POR RECOGER"),TEXT('JUNIO 2026'!G49,"DD/MM/YYYY"),"")</f>
        <v/>
      </c>
      <c r="F570" s="192" t="str">
        <f aca="false">IF(AND('JUNIO 2026'!D49&lt;&gt;"",'JUNIO 2026'!Z49="POR RECOGER"),'JUNIO 2026'!K49,"")</f>
        <v/>
      </c>
      <c r="G570" s="193" t="str">
        <f aca="false">IF(AND('JUNIO 2026'!D49&lt;&gt;"",'JUNIO 2026'!Z49="POR RECOGER"),'JUNIO 2026'!M49,"")</f>
        <v/>
      </c>
      <c r="H570" s="193" t="str">
        <f aca="false">IF(AND('JUNIO 2026'!D49&lt;&gt;"",'JUNIO 2026'!Z49="POR RECOGER"),'JUNIO 2026'!N49,"")</f>
        <v/>
      </c>
      <c r="I570" s="192" t="str">
        <f aca="false">IF(AND('JUNIO 2026'!D49&lt;&gt;"",'JUNIO 2026'!Z49="POR RECOGER"),'JUNIO 2026'!P49,"")</f>
        <v/>
      </c>
      <c r="J570" s="192" t="str">
        <f aca="false">IF(AND('JUNIO 2026'!D49&lt;&gt;"",'JUNIO 2026'!Z49="POR RECOGER"),'JUNIO 2026'!Q49,"")</f>
        <v/>
      </c>
      <c r="K570" s="192" t="str">
        <f aca="false">IF(AND('JUNIO 2026'!D49&lt;&gt;"",'JUNIO 2026'!Z49="POR RECOGER"),'JUNIO 2026'!Y49,"")</f>
        <v/>
      </c>
      <c r="L570" s="192" t="str">
        <f aca="false">IF(AND('JUNIO 2026'!D49&lt;&gt;"",'JUNIO 2026'!Z49="POR RECOGER"),'JUNIO 2026'!I49,"")</f>
        <v/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" hidden="false" customHeight="true" outlineLevel="0" collapsed="false">
      <c r="A571" s="192" t="str">
        <f aca="false">IF(AND('JUNIO 2026'!D50&lt;&gt;"",'JUNIO 2026'!Z50="POR RECOGER"),"JUN","")</f>
        <v/>
      </c>
      <c r="B571" s="192" t="str">
        <f aca="false">IF(AND('JUNIO 2026'!D50&lt;&gt;"",'JUNIO 2026'!Z50="POR RECOGER"),IF('JUNIO 2026'!Y50&lt;&gt;"",'JUNIO 2026'!Y50,'JUNIO 2026'!I50),"")</f>
        <v/>
      </c>
      <c r="C571" s="192" t="str">
        <f aca="false">IF(AND('JUNIO 2026'!D50&lt;&gt;"",'JUNIO 2026'!Z50="POR RECOGER"),'JUNIO 2026'!D50,"")</f>
        <v/>
      </c>
      <c r="D571" s="192" t="str">
        <f aca="false">IF(AND('JUNIO 2026'!D50&lt;&gt;"",'JUNIO 2026'!Z50="POR RECOGER"),'JUNIO 2026'!F50,"")</f>
        <v/>
      </c>
      <c r="E571" s="192" t="str">
        <f aca="false">IF(AND('JUNIO 2026'!D50&lt;&gt;"",'JUNIO 2026'!Z50="POR RECOGER"),TEXT('JUNIO 2026'!G50,"DD/MM/YYYY"),"")</f>
        <v/>
      </c>
      <c r="F571" s="192" t="str">
        <f aca="false">IF(AND('JUNIO 2026'!D50&lt;&gt;"",'JUNIO 2026'!Z50="POR RECOGER"),'JUNIO 2026'!K50,"")</f>
        <v/>
      </c>
      <c r="G571" s="193" t="str">
        <f aca="false">IF(AND('JUNIO 2026'!D50&lt;&gt;"",'JUNIO 2026'!Z50="POR RECOGER"),'JUNIO 2026'!M50,"")</f>
        <v/>
      </c>
      <c r="H571" s="193" t="str">
        <f aca="false">IF(AND('JUNIO 2026'!D50&lt;&gt;"",'JUNIO 2026'!Z50="POR RECOGER"),'JUNIO 2026'!N50,"")</f>
        <v/>
      </c>
      <c r="I571" s="192" t="str">
        <f aca="false">IF(AND('JUNIO 2026'!D50&lt;&gt;"",'JUNIO 2026'!Z50="POR RECOGER"),'JUNIO 2026'!P50,"")</f>
        <v/>
      </c>
      <c r="J571" s="192" t="str">
        <f aca="false">IF(AND('JUNIO 2026'!D50&lt;&gt;"",'JUNIO 2026'!Z50="POR RECOGER"),'JUNIO 2026'!Q50,"")</f>
        <v/>
      </c>
      <c r="K571" s="192" t="str">
        <f aca="false">IF(AND('JUNIO 2026'!D50&lt;&gt;"",'JUNIO 2026'!Z50="POR RECOGER"),'JUNIO 2026'!Y50,"")</f>
        <v/>
      </c>
      <c r="L571" s="192" t="str">
        <f aca="false">IF(AND('JUNIO 2026'!D50&lt;&gt;"",'JUNIO 2026'!Z50="POR RECOGER"),'JUNIO 2026'!I50,"")</f>
        <v/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" hidden="false" customHeight="true" outlineLevel="0" collapsed="false">
      <c r="A572" s="192" t="str">
        <f aca="false">IF(AND('JUNIO 2026'!D51&lt;&gt;"",'JUNIO 2026'!Z51="POR RECOGER"),"JUN","")</f>
        <v/>
      </c>
      <c r="B572" s="192" t="str">
        <f aca="false">IF(AND('JUNIO 2026'!D51&lt;&gt;"",'JUNIO 2026'!Z51="POR RECOGER"),IF('JUNIO 2026'!Y51&lt;&gt;"",'JUNIO 2026'!Y51,'JUNIO 2026'!I51),"")</f>
        <v/>
      </c>
      <c r="C572" s="192" t="str">
        <f aca="false">IF(AND('JUNIO 2026'!D51&lt;&gt;"",'JUNIO 2026'!Z51="POR RECOGER"),'JUNIO 2026'!D51,"")</f>
        <v/>
      </c>
      <c r="D572" s="192" t="str">
        <f aca="false">IF(AND('JUNIO 2026'!D51&lt;&gt;"",'JUNIO 2026'!Z51="POR RECOGER"),'JUNIO 2026'!F51,"")</f>
        <v/>
      </c>
      <c r="E572" s="192" t="str">
        <f aca="false">IF(AND('JUNIO 2026'!D51&lt;&gt;"",'JUNIO 2026'!Z51="POR RECOGER"),TEXT('JUNIO 2026'!G51,"DD/MM/YYYY"),"")</f>
        <v/>
      </c>
      <c r="F572" s="192" t="str">
        <f aca="false">IF(AND('JUNIO 2026'!D51&lt;&gt;"",'JUNIO 2026'!Z51="POR RECOGER"),'JUNIO 2026'!K51,"")</f>
        <v/>
      </c>
      <c r="G572" s="193" t="str">
        <f aca="false">IF(AND('JUNIO 2026'!D51&lt;&gt;"",'JUNIO 2026'!Z51="POR RECOGER"),'JUNIO 2026'!M51,"")</f>
        <v/>
      </c>
      <c r="H572" s="193" t="str">
        <f aca="false">IF(AND('JUNIO 2026'!D51&lt;&gt;"",'JUNIO 2026'!Z51="POR RECOGER"),'JUNIO 2026'!N51,"")</f>
        <v/>
      </c>
      <c r="I572" s="192" t="str">
        <f aca="false">IF(AND('JUNIO 2026'!D51&lt;&gt;"",'JUNIO 2026'!Z51="POR RECOGER"),'JUNIO 2026'!P51,"")</f>
        <v/>
      </c>
      <c r="J572" s="192" t="str">
        <f aca="false">IF(AND('JUNIO 2026'!D51&lt;&gt;"",'JUNIO 2026'!Z51="POR RECOGER"),'JUNIO 2026'!Q51,"")</f>
        <v/>
      </c>
      <c r="K572" s="192" t="str">
        <f aca="false">IF(AND('JUNIO 2026'!D51&lt;&gt;"",'JUNIO 2026'!Z51="POR RECOGER"),'JUNIO 2026'!Y51,"")</f>
        <v/>
      </c>
      <c r="L572" s="192" t="str">
        <f aca="false">IF(AND('JUNIO 2026'!D51&lt;&gt;"",'JUNIO 2026'!Z51="POR RECOGER"),'JUNIO 2026'!I51,"")</f>
        <v/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" hidden="false" customHeight="true" outlineLevel="0" collapsed="false">
      <c r="A573" s="192" t="str">
        <f aca="false">IF(AND('JUNIO 2026'!D52&lt;&gt;"",'JUNIO 2026'!Z52="POR RECOGER"),"JUN","")</f>
        <v/>
      </c>
      <c r="B573" s="192" t="str">
        <f aca="false">IF(AND('JUNIO 2026'!D52&lt;&gt;"",'JUNIO 2026'!Z52="POR RECOGER"),IF('JUNIO 2026'!Y52&lt;&gt;"",'JUNIO 2026'!Y52,'JUNIO 2026'!I52),"")</f>
        <v/>
      </c>
      <c r="C573" s="192" t="str">
        <f aca="false">IF(AND('JUNIO 2026'!D52&lt;&gt;"",'JUNIO 2026'!Z52="POR RECOGER"),'JUNIO 2026'!D52,"")</f>
        <v/>
      </c>
      <c r="D573" s="192" t="str">
        <f aca="false">IF(AND('JUNIO 2026'!D52&lt;&gt;"",'JUNIO 2026'!Z52="POR RECOGER"),'JUNIO 2026'!F52,"")</f>
        <v/>
      </c>
      <c r="E573" s="192" t="str">
        <f aca="false">IF(AND('JUNIO 2026'!D52&lt;&gt;"",'JUNIO 2026'!Z52="POR RECOGER"),TEXT('JUNIO 2026'!G52,"DD/MM/YYYY"),"")</f>
        <v/>
      </c>
      <c r="F573" s="192" t="str">
        <f aca="false">IF(AND('JUNIO 2026'!D52&lt;&gt;"",'JUNIO 2026'!Z52="POR RECOGER"),'JUNIO 2026'!K52,"")</f>
        <v/>
      </c>
      <c r="G573" s="193" t="str">
        <f aca="false">IF(AND('JUNIO 2026'!D52&lt;&gt;"",'JUNIO 2026'!Z52="POR RECOGER"),'JUNIO 2026'!M52,"")</f>
        <v/>
      </c>
      <c r="H573" s="193" t="str">
        <f aca="false">IF(AND('JUNIO 2026'!D52&lt;&gt;"",'JUNIO 2026'!Z52="POR RECOGER"),'JUNIO 2026'!N52,"")</f>
        <v/>
      </c>
      <c r="I573" s="192" t="str">
        <f aca="false">IF(AND('JUNIO 2026'!D52&lt;&gt;"",'JUNIO 2026'!Z52="POR RECOGER"),'JUNIO 2026'!P52,"")</f>
        <v/>
      </c>
      <c r="J573" s="192" t="str">
        <f aca="false">IF(AND('JUNIO 2026'!D52&lt;&gt;"",'JUNIO 2026'!Z52="POR RECOGER"),'JUNIO 2026'!Q52,"")</f>
        <v/>
      </c>
      <c r="K573" s="192" t="str">
        <f aca="false">IF(AND('JUNIO 2026'!D52&lt;&gt;"",'JUNIO 2026'!Z52="POR RECOGER"),'JUNIO 2026'!Y52,"")</f>
        <v/>
      </c>
      <c r="L573" s="192" t="str">
        <f aca="false">IF(AND('JUNIO 2026'!D52&lt;&gt;"",'JUNIO 2026'!Z52="POR RECOGER"),'JUNIO 2026'!I52,"")</f>
        <v/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" hidden="false" customHeight="true" outlineLevel="0" collapsed="false">
      <c r="A574" s="192" t="str">
        <f aca="false">IF(AND('JUNIO 2026'!D53&lt;&gt;"",'JUNIO 2026'!Z53="POR RECOGER"),"JUN","")</f>
        <v/>
      </c>
      <c r="B574" s="192" t="str">
        <f aca="false">IF(AND('JUNIO 2026'!D53&lt;&gt;"",'JUNIO 2026'!Z53="POR RECOGER"),IF('JUNIO 2026'!Y53&lt;&gt;"",'JUNIO 2026'!Y53,'JUNIO 2026'!I53),"")</f>
        <v/>
      </c>
      <c r="C574" s="192" t="str">
        <f aca="false">IF(AND('JUNIO 2026'!D53&lt;&gt;"",'JUNIO 2026'!Z53="POR RECOGER"),'JUNIO 2026'!D53,"")</f>
        <v/>
      </c>
      <c r="D574" s="192" t="str">
        <f aca="false">IF(AND('JUNIO 2026'!D53&lt;&gt;"",'JUNIO 2026'!Z53="POR RECOGER"),'JUNIO 2026'!F53,"")</f>
        <v/>
      </c>
      <c r="E574" s="192" t="str">
        <f aca="false">IF(AND('JUNIO 2026'!D53&lt;&gt;"",'JUNIO 2026'!Z53="POR RECOGER"),TEXT('JUNIO 2026'!G53,"DD/MM/YYYY"),"")</f>
        <v/>
      </c>
      <c r="F574" s="192" t="str">
        <f aca="false">IF(AND('JUNIO 2026'!D53&lt;&gt;"",'JUNIO 2026'!Z53="POR RECOGER"),'JUNIO 2026'!K53,"")</f>
        <v/>
      </c>
      <c r="G574" s="193" t="str">
        <f aca="false">IF(AND('JUNIO 2026'!D53&lt;&gt;"",'JUNIO 2026'!Z53="POR RECOGER"),'JUNIO 2026'!M53,"")</f>
        <v/>
      </c>
      <c r="H574" s="193" t="str">
        <f aca="false">IF(AND('JUNIO 2026'!D53&lt;&gt;"",'JUNIO 2026'!Z53="POR RECOGER"),'JUNIO 2026'!N53,"")</f>
        <v/>
      </c>
      <c r="I574" s="192" t="str">
        <f aca="false">IF(AND('JUNIO 2026'!D53&lt;&gt;"",'JUNIO 2026'!Z53="POR RECOGER"),'JUNIO 2026'!P53,"")</f>
        <v/>
      </c>
      <c r="J574" s="192" t="str">
        <f aca="false">IF(AND('JUNIO 2026'!D53&lt;&gt;"",'JUNIO 2026'!Z53="POR RECOGER"),'JUNIO 2026'!Q53,"")</f>
        <v/>
      </c>
      <c r="K574" s="192" t="str">
        <f aca="false">IF(AND('JUNIO 2026'!D53&lt;&gt;"",'JUNIO 2026'!Z53="POR RECOGER"),'JUNIO 2026'!Y53,"")</f>
        <v/>
      </c>
      <c r="L574" s="192" t="str">
        <f aca="false">IF(AND('JUNIO 2026'!D53&lt;&gt;"",'JUNIO 2026'!Z53="POR RECOGER"),'JUNIO 2026'!I53,"")</f>
        <v/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" hidden="false" customHeight="true" outlineLevel="0" collapsed="false">
      <c r="A575" s="192" t="str">
        <f aca="false">IF(AND('JUNIO 2026'!D54&lt;&gt;"",'JUNIO 2026'!Z54="POR RECOGER"),"JUN","")</f>
        <v/>
      </c>
      <c r="B575" s="192" t="str">
        <f aca="false">IF(AND('JUNIO 2026'!D54&lt;&gt;"",'JUNIO 2026'!Z54="POR RECOGER"),IF('JUNIO 2026'!Y54&lt;&gt;"",'JUNIO 2026'!Y54,'JUNIO 2026'!I54),"")</f>
        <v/>
      </c>
      <c r="C575" s="192" t="str">
        <f aca="false">IF(AND('JUNIO 2026'!D54&lt;&gt;"",'JUNIO 2026'!Z54="POR RECOGER"),'JUNIO 2026'!D54,"")</f>
        <v/>
      </c>
      <c r="D575" s="192" t="str">
        <f aca="false">IF(AND('JUNIO 2026'!D54&lt;&gt;"",'JUNIO 2026'!Z54="POR RECOGER"),'JUNIO 2026'!F54,"")</f>
        <v/>
      </c>
      <c r="E575" s="192" t="str">
        <f aca="false">IF(AND('JUNIO 2026'!D54&lt;&gt;"",'JUNIO 2026'!Z54="POR RECOGER"),TEXT('JUNIO 2026'!G54,"DD/MM/YYYY"),"")</f>
        <v/>
      </c>
      <c r="F575" s="192" t="str">
        <f aca="false">IF(AND('JUNIO 2026'!D54&lt;&gt;"",'JUNIO 2026'!Z54="POR RECOGER"),'JUNIO 2026'!K54,"")</f>
        <v/>
      </c>
      <c r="G575" s="193" t="str">
        <f aca="false">IF(AND('JUNIO 2026'!D54&lt;&gt;"",'JUNIO 2026'!Z54="POR RECOGER"),'JUNIO 2026'!M54,"")</f>
        <v/>
      </c>
      <c r="H575" s="193" t="str">
        <f aca="false">IF(AND('JUNIO 2026'!D54&lt;&gt;"",'JUNIO 2026'!Z54="POR RECOGER"),'JUNIO 2026'!N54,"")</f>
        <v/>
      </c>
      <c r="I575" s="192" t="str">
        <f aca="false">IF(AND('JUNIO 2026'!D54&lt;&gt;"",'JUNIO 2026'!Z54="POR RECOGER"),'JUNIO 2026'!P54,"")</f>
        <v/>
      </c>
      <c r="J575" s="192" t="str">
        <f aca="false">IF(AND('JUNIO 2026'!D54&lt;&gt;"",'JUNIO 2026'!Z54="POR RECOGER"),'JUNIO 2026'!Q54,"")</f>
        <v/>
      </c>
      <c r="K575" s="192" t="str">
        <f aca="false">IF(AND('JUNIO 2026'!D54&lt;&gt;"",'JUNIO 2026'!Z54="POR RECOGER"),'JUNIO 2026'!Y54,"")</f>
        <v/>
      </c>
      <c r="L575" s="192" t="str">
        <f aca="false">IF(AND('JUNIO 2026'!D54&lt;&gt;"",'JUNIO 2026'!Z54="POR RECOGER"),'JUNIO 2026'!I54,"")</f>
        <v/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" hidden="false" customHeight="true" outlineLevel="0" collapsed="false">
      <c r="A576" s="192" t="str">
        <f aca="false">IF(AND('JUNIO 2026'!D55&lt;&gt;"",'JUNIO 2026'!Z55="POR RECOGER"),"JUN","")</f>
        <v/>
      </c>
      <c r="B576" s="192" t="str">
        <f aca="false">IF(AND('JUNIO 2026'!D55&lt;&gt;"",'JUNIO 2026'!Z55="POR RECOGER"),IF('JUNIO 2026'!Y55&lt;&gt;"",'JUNIO 2026'!Y55,'JUNIO 2026'!I55),"")</f>
        <v/>
      </c>
      <c r="C576" s="192" t="str">
        <f aca="false">IF(AND('JUNIO 2026'!D55&lt;&gt;"",'JUNIO 2026'!Z55="POR RECOGER"),'JUNIO 2026'!D55,"")</f>
        <v/>
      </c>
      <c r="D576" s="192" t="str">
        <f aca="false">IF(AND('JUNIO 2026'!D55&lt;&gt;"",'JUNIO 2026'!Z55="POR RECOGER"),'JUNIO 2026'!F55,"")</f>
        <v/>
      </c>
      <c r="E576" s="192" t="str">
        <f aca="false">IF(AND('JUNIO 2026'!D55&lt;&gt;"",'JUNIO 2026'!Z55="POR RECOGER"),TEXT('JUNIO 2026'!G55,"DD/MM/YYYY"),"")</f>
        <v/>
      </c>
      <c r="F576" s="192" t="str">
        <f aca="false">IF(AND('JUNIO 2026'!D55&lt;&gt;"",'JUNIO 2026'!Z55="POR RECOGER"),'JUNIO 2026'!K55,"")</f>
        <v/>
      </c>
      <c r="G576" s="193" t="str">
        <f aca="false">IF(AND('JUNIO 2026'!D55&lt;&gt;"",'JUNIO 2026'!Z55="POR RECOGER"),'JUNIO 2026'!M55,"")</f>
        <v/>
      </c>
      <c r="H576" s="193" t="str">
        <f aca="false">IF(AND('JUNIO 2026'!D55&lt;&gt;"",'JUNIO 2026'!Z55="POR RECOGER"),'JUNIO 2026'!N55,"")</f>
        <v/>
      </c>
      <c r="I576" s="192" t="str">
        <f aca="false">IF(AND('JUNIO 2026'!D55&lt;&gt;"",'JUNIO 2026'!Z55="POR RECOGER"),'JUNIO 2026'!P55,"")</f>
        <v/>
      </c>
      <c r="J576" s="192" t="str">
        <f aca="false">IF(AND('JUNIO 2026'!D55&lt;&gt;"",'JUNIO 2026'!Z55="POR RECOGER"),'JUNIO 2026'!Q55,"")</f>
        <v/>
      </c>
      <c r="K576" s="192" t="str">
        <f aca="false">IF(AND('JUNIO 2026'!D55&lt;&gt;"",'JUNIO 2026'!Z55="POR RECOGER"),'JUNIO 2026'!Y55,"")</f>
        <v/>
      </c>
      <c r="L576" s="192" t="str">
        <f aca="false">IF(AND('JUNIO 2026'!D55&lt;&gt;"",'JUNIO 2026'!Z55="POR RECOGER"),'JUNIO 2026'!I55,"")</f>
        <v/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" hidden="false" customHeight="true" outlineLevel="0" collapsed="false">
      <c r="A577" s="192" t="str">
        <f aca="false">IF(AND('JUNIO 2026'!D56&lt;&gt;"",'JUNIO 2026'!Z56="POR RECOGER"),"JUN","")</f>
        <v/>
      </c>
      <c r="B577" s="192" t="str">
        <f aca="false">IF(AND('JUNIO 2026'!D56&lt;&gt;"",'JUNIO 2026'!Z56="POR RECOGER"),IF('JUNIO 2026'!Y56&lt;&gt;"",'JUNIO 2026'!Y56,'JUNIO 2026'!I56),"")</f>
        <v/>
      </c>
      <c r="C577" s="192" t="str">
        <f aca="false">IF(AND('JUNIO 2026'!D56&lt;&gt;"",'JUNIO 2026'!Z56="POR RECOGER"),'JUNIO 2026'!D56,"")</f>
        <v/>
      </c>
      <c r="D577" s="192" t="str">
        <f aca="false">IF(AND('JUNIO 2026'!D56&lt;&gt;"",'JUNIO 2026'!Z56="POR RECOGER"),'JUNIO 2026'!F56,"")</f>
        <v/>
      </c>
      <c r="E577" s="192" t="str">
        <f aca="false">IF(AND('JUNIO 2026'!D56&lt;&gt;"",'JUNIO 2026'!Z56="POR RECOGER"),TEXT('JUNIO 2026'!G56,"DD/MM/YYYY"),"")</f>
        <v/>
      </c>
      <c r="F577" s="192" t="str">
        <f aca="false">IF(AND('JUNIO 2026'!D56&lt;&gt;"",'JUNIO 2026'!Z56="POR RECOGER"),'JUNIO 2026'!K56,"")</f>
        <v/>
      </c>
      <c r="G577" s="193" t="str">
        <f aca="false">IF(AND('JUNIO 2026'!D56&lt;&gt;"",'JUNIO 2026'!Z56="POR RECOGER"),'JUNIO 2026'!M56,"")</f>
        <v/>
      </c>
      <c r="H577" s="193" t="str">
        <f aca="false">IF(AND('JUNIO 2026'!D56&lt;&gt;"",'JUNIO 2026'!Z56="POR RECOGER"),'JUNIO 2026'!N56,"")</f>
        <v/>
      </c>
      <c r="I577" s="192" t="str">
        <f aca="false">IF(AND('JUNIO 2026'!D56&lt;&gt;"",'JUNIO 2026'!Z56="POR RECOGER"),'JUNIO 2026'!P56,"")</f>
        <v/>
      </c>
      <c r="J577" s="192" t="str">
        <f aca="false">IF(AND('JUNIO 2026'!D56&lt;&gt;"",'JUNIO 2026'!Z56="POR RECOGER"),'JUNIO 2026'!Q56,"")</f>
        <v/>
      </c>
      <c r="K577" s="192" t="str">
        <f aca="false">IF(AND('JUNIO 2026'!D56&lt;&gt;"",'JUNIO 2026'!Z56="POR RECOGER"),'JUNIO 2026'!Y56,"")</f>
        <v/>
      </c>
      <c r="L577" s="192" t="str">
        <f aca="false">IF(AND('JUNIO 2026'!D56&lt;&gt;"",'JUNIO 2026'!Z56="POR RECOGER"),'JUNIO 2026'!I56,"")</f>
        <v/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" hidden="false" customHeight="true" outlineLevel="0" collapsed="false">
      <c r="A578" s="192" t="str">
        <f aca="false">IF(AND('JUNIO 2026'!D57&lt;&gt;"",'JUNIO 2026'!Z57="POR RECOGER"),"JUN","")</f>
        <v/>
      </c>
      <c r="B578" s="192" t="str">
        <f aca="false">IF(AND('JUNIO 2026'!D57&lt;&gt;"",'JUNIO 2026'!Z57="POR RECOGER"),IF('JUNIO 2026'!Y57&lt;&gt;"",'JUNIO 2026'!Y57,'JUNIO 2026'!I57),"")</f>
        <v/>
      </c>
      <c r="C578" s="192" t="str">
        <f aca="false">IF(AND('JUNIO 2026'!D57&lt;&gt;"",'JUNIO 2026'!Z57="POR RECOGER"),'JUNIO 2026'!D57,"")</f>
        <v/>
      </c>
      <c r="D578" s="192" t="str">
        <f aca="false">IF(AND('JUNIO 2026'!D57&lt;&gt;"",'JUNIO 2026'!Z57="POR RECOGER"),'JUNIO 2026'!F57,"")</f>
        <v/>
      </c>
      <c r="E578" s="192" t="str">
        <f aca="false">IF(AND('JUNIO 2026'!D57&lt;&gt;"",'JUNIO 2026'!Z57="POR RECOGER"),TEXT('JUNIO 2026'!G57,"DD/MM/YYYY"),"")</f>
        <v/>
      </c>
      <c r="F578" s="192" t="str">
        <f aca="false">IF(AND('JUNIO 2026'!D57&lt;&gt;"",'JUNIO 2026'!Z57="POR RECOGER"),'JUNIO 2026'!K57,"")</f>
        <v/>
      </c>
      <c r="G578" s="193" t="str">
        <f aca="false">IF(AND('JUNIO 2026'!D57&lt;&gt;"",'JUNIO 2026'!Z57="POR RECOGER"),'JUNIO 2026'!M57,"")</f>
        <v/>
      </c>
      <c r="H578" s="193" t="str">
        <f aca="false">IF(AND('JUNIO 2026'!D57&lt;&gt;"",'JUNIO 2026'!Z57="POR RECOGER"),'JUNIO 2026'!N57,"")</f>
        <v/>
      </c>
      <c r="I578" s="192" t="str">
        <f aca="false">IF(AND('JUNIO 2026'!D57&lt;&gt;"",'JUNIO 2026'!Z57="POR RECOGER"),'JUNIO 2026'!P57,"")</f>
        <v/>
      </c>
      <c r="J578" s="192" t="str">
        <f aca="false">IF(AND('JUNIO 2026'!D57&lt;&gt;"",'JUNIO 2026'!Z57="POR RECOGER"),'JUNIO 2026'!Q57,"")</f>
        <v/>
      </c>
      <c r="K578" s="192" t="str">
        <f aca="false">IF(AND('JUNIO 2026'!D57&lt;&gt;"",'JUNIO 2026'!Z57="POR RECOGER"),'JUNIO 2026'!Y57,"")</f>
        <v/>
      </c>
      <c r="L578" s="192" t="str">
        <f aca="false">IF(AND('JUNIO 2026'!D57&lt;&gt;"",'JUNIO 2026'!Z57="POR RECOGER"),'JUNIO 2026'!I57,"")</f>
        <v/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" hidden="false" customHeight="true" outlineLevel="0" collapsed="false">
      <c r="A579" s="192" t="str">
        <f aca="false">IF(AND('JUNIO 2026'!D58&lt;&gt;"",'JUNIO 2026'!Z58="POR RECOGER"),"JUN","")</f>
        <v/>
      </c>
      <c r="B579" s="192" t="str">
        <f aca="false">IF(AND('JUNIO 2026'!D58&lt;&gt;"",'JUNIO 2026'!Z58="POR RECOGER"),IF('JUNIO 2026'!Y58&lt;&gt;"",'JUNIO 2026'!Y58,'JUNIO 2026'!I58),"")</f>
        <v/>
      </c>
      <c r="C579" s="192" t="str">
        <f aca="false">IF(AND('JUNIO 2026'!D58&lt;&gt;"",'JUNIO 2026'!Z58="POR RECOGER"),'JUNIO 2026'!D58,"")</f>
        <v/>
      </c>
      <c r="D579" s="192" t="str">
        <f aca="false">IF(AND('JUNIO 2026'!D58&lt;&gt;"",'JUNIO 2026'!Z58="POR RECOGER"),'JUNIO 2026'!F58,"")</f>
        <v/>
      </c>
      <c r="E579" s="192" t="str">
        <f aca="false">IF(AND('JUNIO 2026'!D58&lt;&gt;"",'JUNIO 2026'!Z58="POR RECOGER"),TEXT('JUNIO 2026'!G58,"DD/MM/YYYY"),"")</f>
        <v/>
      </c>
      <c r="F579" s="192" t="str">
        <f aca="false">IF(AND('JUNIO 2026'!D58&lt;&gt;"",'JUNIO 2026'!Z58="POR RECOGER"),'JUNIO 2026'!K58,"")</f>
        <v/>
      </c>
      <c r="G579" s="193" t="str">
        <f aca="false">IF(AND('JUNIO 2026'!D58&lt;&gt;"",'JUNIO 2026'!Z58="POR RECOGER"),'JUNIO 2026'!M58,"")</f>
        <v/>
      </c>
      <c r="H579" s="193" t="str">
        <f aca="false">IF(AND('JUNIO 2026'!D58&lt;&gt;"",'JUNIO 2026'!Z58="POR RECOGER"),'JUNIO 2026'!N58,"")</f>
        <v/>
      </c>
      <c r="I579" s="192" t="str">
        <f aca="false">IF(AND('JUNIO 2026'!D58&lt;&gt;"",'JUNIO 2026'!Z58="POR RECOGER"),'JUNIO 2026'!P58,"")</f>
        <v/>
      </c>
      <c r="J579" s="192" t="str">
        <f aca="false">IF(AND('JUNIO 2026'!D58&lt;&gt;"",'JUNIO 2026'!Z58="POR RECOGER"),'JUNIO 2026'!Q58,"")</f>
        <v/>
      </c>
      <c r="K579" s="192" t="str">
        <f aca="false">IF(AND('JUNIO 2026'!D58&lt;&gt;"",'JUNIO 2026'!Z58="POR RECOGER"),'JUNIO 2026'!Y58,"")</f>
        <v/>
      </c>
      <c r="L579" s="192" t="str">
        <f aca="false">IF(AND('JUNIO 2026'!D58&lt;&gt;"",'JUNIO 2026'!Z58="POR RECOGER"),'JUNIO 2026'!I58,"")</f>
        <v/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" hidden="false" customHeight="true" outlineLevel="0" collapsed="false">
      <c r="A580" s="192" t="str">
        <f aca="false">IF(AND('JUNIO 2026'!D59&lt;&gt;"",'JUNIO 2026'!Z59="POR RECOGER"),"JUN","")</f>
        <v/>
      </c>
      <c r="B580" s="192" t="str">
        <f aca="false">IF(AND('JUNIO 2026'!D59&lt;&gt;"",'JUNIO 2026'!Z59="POR RECOGER"),IF('JUNIO 2026'!Y59&lt;&gt;"",'JUNIO 2026'!Y59,'JUNIO 2026'!I59),"")</f>
        <v/>
      </c>
      <c r="C580" s="192" t="str">
        <f aca="false">IF(AND('JUNIO 2026'!D59&lt;&gt;"",'JUNIO 2026'!Z59="POR RECOGER"),'JUNIO 2026'!D59,"")</f>
        <v/>
      </c>
      <c r="D580" s="192" t="str">
        <f aca="false">IF(AND('JUNIO 2026'!D59&lt;&gt;"",'JUNIO 2026'!Z59="POR RECOGER"),'JUNIO 2026'!F59,"")</f>
        <v/>
      </c>
      <c r="E580" s="192" t="str">
        <f aca="false">IF(AND('JUNIO 2026'!D59&lt;&gt;"",'JUNIO 2026'!Z59="POR RECOGER"),TEXT('JUNIO 2026'!G59,"DD/MM/YYYY"),"")</f>
        <v/>
      </c>
      <c r="F580" s="192" t="str">
        <f aca="false">IF(AND('JUNIO 2026'!D59&lt;&gt;"",'JUNIO 2026'!Z59="POR RECOGER"),'JUNIO 2026'!K59,"")</f>
        <v/>
      </c>
      <c r="G580" s="193" t="str">
        <f aca="false">IF(AND('JUNIO 2026'!D59&lt;&gt;"",'JUNIO 2026'!Z59="POR RECOGER"),'JUNIO 2026'!M59,"")</f>
        <v/>
      </c>
      <c r="H580" s="193" t="str">
        <f aca="false">IF(AND('JUNIO 2026'!D59&lt;&gt;"",'JUNIO 2026'!Z59="POR RECOGER"),'JUNIO 2026'!N59,"")</f>
        <v/>
      </c>
      <c r="I580" s="192" t="str">
        <f aca="false">IF(AND('JUNIO 2026'!D59&lt;&gt;"",'JUNIO 2026'!Z59="POR RECOGER"),'JUNIO 2026'!P59,"")</f>
        <v/>
      </c>
      <c r="J580" s="192" t="str">
        <f aca="false">IF(AND('JUNIO 2026'!D59&lt;&gt;"",'JUNIO 2026'!Z59="POR RECOGER"),'JUNIO 2026'!Q59,"")</f>
        <v/>
      </c>
      <c r="K580" s="192" t="str">
        <f aca="false">IF(AND('JUNIO 2026'!D59&lt;&gt;"",'JUNIO 2026'!Z59="POR RECOGER"),'JUNIO 2026'!Y59,"")</f>
        <v/>
      </c>
      <c r="L580" s="192" t="str">
        <f aca="false">IF(AND('JUNIO 2026'!D59&lt;&gt;"",'JUNIO 2026'!Z59="POR RECOGER"),'JUNIO 2026'!I59,"")</f>
        <v/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" hidden="false" customHeight="true" outlineLevel="0" collapsed="false">
      <c r="A581" s="192" t="str">
        <f aca="false">IF(AND('JUNIO 2026'!D60&lt;&gt;"",'JUNIO 2026'!Z60="POR RECOGER"),"JUN","")</f>
        <v/>
      </c>
      <c r="B581" s="192" t="str">
        <f aca="false">IF(AND('JUNIO 2026'!D60&lt;&gt;"",'JUNIO 2026'!Z60="POR RECOGER"),IF('JUNIO 2026'!Y60&lt;&gt;"",'JUNIO 2026'!Y60,'JUNIO 2026'!I60),"")</f>
        <v/>
      </c>
      <c r="C581" s="192" t="str">
        <f aca="false">IF(AND('JUNIO 2026'!D60&lt;&gt;"",'JUNIO 2026'!Z60="POR RECOGER"),'JUNIO 2026'!D60,"")</f>
        <v/>
      </c>
      <c r="D581" s="192" t="str">
        <f aca="false">IF(AND('JUNIO 2026'!D60&lt;&gt;"",'JUNIO 2026'!Z60="POR RECOGER"),'JUNIO 2026'!F60,"")</f>
        <v/>
      </c>
      <c r="E581" s="192" t="str">
        <f aca="false">IF(AND('JUNIO 2026'!D60&lt;&gt;"",'JUNIO 2026'!Z60="POR RECOGER"),TEXT('JUNIO 2026'!G60,"DD/MM/YYYY"),"")</f>
        <v/>
      </c>
      <c r="F581" s="192" t="str">
        <f aca="false">IF(AND('JUNIO 2026'!D60&lt;&gt;"",'JUNIO 2026'!Z60="POR RECOGER"),'JUNIO 2026'!K60,"")</f>
        <v/>
      </c>
      <c r="G581" s="193" t="str">
        <f aca="false">IF(AND('JUNIO 2026'!D60&lt;&gt;"",'JUNIO 2026'!Z60="POR RECOGER"),'JUNIO 2026'!M60,"")</f>
        <v/>
      </c>
      <c r="H581" s="193" t="str">
        <f aca="false">IF(AND('JUNIO 2026'!D60&lt;&gt;"",'JUNIO 2026'!Z60="POR RECOGER"),'JUNIO 2026'!N60,"")</f>
        <v/>
      </c>
      <c r="I581" s="192" t="str">
        <f aca="false">IF(AND('JUNIO 2026'!D60&lt;&gt;"",'JUNIO 2026'!Z60="POR RECOGER"),'JUNIO 2026'!P60,"")</f>
        <v/>
      </c>
      <c r="J581" s="192" t="str">
        <f aca="false">IF(AND('JUNIO 2026'!D60&lt;&gt;"",'JUNIO 2026'!Z60="POR RECOGER"),'JUNIO 2026'!Q60,"")</f>
        <v/>
      </c>
      <c r="K581" s="192" t="str">
        <f aca="false">IF(AND('JUNIO 2026'!D60&lt;&gt;"",'JUNIO 2026'!Z60="POR RECOGER"),'JUNIO 2026'!Y60,"")</f>
        <v/>
      </c>
      <c r="L581" s="192" t="str">
        <f aca="false">IF(AND('JUNIO 2026'!D60&lt;&gt;"",'JUNIO 2026'!Z60="POR RECOGER"),'JUNIO 2026'!I60,"")</f>
        <v/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" hidden="false" customHeight="true" outlineLevel="0" collapsed="false">
      <c r="A582" s="192" t="str">
        <f aca="false">IF(AND('JUNIO 2026'!D61&lt;&gt;"",'JUNIO 2026'!Z61="POR RECOGER"),"JUN","")</f>
        <v/>
      </c>
      <c r="B582" s="192" t="str">
        <f aca="false">IF(AND('JUNIO 2026'!D61&lt;&gt;"",'JUNIO 2026'!Z61="POR RECOGER"),IF('JUNIO 2026'!Y61&lt;&gt;"",'JUNIO 2026'!Y61,'JUNIO 2026'!I61),"")</f>
        <v/>
      </c>
      <c r="C582" s="192" t="str">
        <f aca="false">IF(AND('JUNIO 2026'!D61&lt;&gt;"",'JUNIO 2026'!Z61="POR RECOGER"),'JUNIO 2026'!D61,"")</f>
        <v/>
      </c>
      <c r="D582" s="192" t="str">
        <f aca="false">IF(AND('JUNIO 2026'!D61&lt;&gt;"",'JUNIO 2026'!Z61="POR RECOGER"),'JUNIO 2026'!F61,"")</f>
        <v/>
      </c>
      <c r="E582" s="192" t="str">
        <f aca="false">IF(AND('JUNIO 2026'!D61&lt;&gt;"",'JUNIO 2026'!Z61="POR RECOGER"),TEXT('JUNIO 2026'!G61,"DD/MM/YYYY"),"")</f>
        <v/>
      </c>
      <c r="F582" s="192" t="str">
        <f aca="false">IF(AND('JUNIO 2026'!D61&lt;&gt;"",'JUNIO 2026'!Z61="POR RECOGER"),'JUNIO 2026'!K61,"")</f>
        <v/>
      </c>
      <c r="G582" s="193" t="str">
        <f aca="false">IF(AND('JUNIO 2026'!D61&lt;&gt;"",'JUNIO 2026'!Z61="POR RECOGER"),'JUNIO 2026'!M61,"")</f>
        <v/>
      </c>
      <c r="H582" s="193" t="str">
        <f aca="false">IF(AND('JUNIO 2026'!D61&lt;&gt;"",'JUNIO 2026'!Z61="POR RECOGER"),'JUNIO 2026'!N61,"")</f>
        <v/>
      </c>
      <c r="I582" s="192" t="str">
        <f aca="false">IF(AND('JUNIO 2026'!D61&lt;&gt;"",'JUNIO 2026'!Z61="POR RECOGER"),'JUNIO 2026'!P61,"")</f>
        <v/>
      </c>
      <c r="J582" s="192" t="str">
        <f aca="false">IF(AND('JUNIO 2026'!D61&lt;&gt;"",'JUNIO 2026'!Z61="POR RECOGER"),'JUNIO 2026'!Q61,"")</f>
        <v/>
      </c>
      <c r="K582" s="192" t="str">
        <f aca="false">IF(AND('JUNIO 2026'!D61&lt;&gt;"",'JUNIO 2026'!Z61="POR RECOGER"),'JUNIO 2026'!Y61,"")</f>
        <v/>
      </c>
      <c r="L582" s="192" t="str">
        <f aca="false">IF(AND('JUNIO 2026'!D61&lt;&gt;"",'JUNIO 2026'!Z61="POR RECOGER"),'JUNIO 2026'!I61,"")</f>
        <v/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" hidden="false" customHeight="true" outlineLevel="0" collapsed="false">
      <c r="A583" s="192" t="str">
        <f aca="false">IF(AND('JUNIO 2026'!D62&lt;&gt;"",'JUNIO 2026'!Z62="POR RECOGER"),"JUN","")</f>
        <v/>
      </c>
      <c r="B583" s="192" t="str">
        <f aca="false">IF(AND('JUNIO 2026'!D62&lt;&gt;"",'JUNIO 2026'!Z62="POR RECOGER"),IF('JUNIO 2026'!Y62&lt;&gt;"",'JUNIO 2026'!Y62,'JUNIO 2026'!I62),"")</f>
        <v/>
      </c>
      <c r="C583" s="192" t="str">
        <f aca="false">IF(AND('JUNIO 2026'!D62&lt;&gt;"",'JUNIO 2026'!Z62="POR RECOGER"),'JUNIO 2026'!D62,"")</f>
        <v/>
      </c>
      <c r="D583" s="192" t="str">
        <f aca="false">IF(AND('JUNIO 2026'!D62&lt;&gt;"",'JUNIO 2026'!Z62="POR RECOGER"),'JUNIO 2026'!F62,"")</f>
        <v/>
      </c>
      <c r="E583" s="192" t="str">
        <f aca="false">IF(AND('JUNIO 2026'!D62&lt;&gt;"",'JUNIO 2026'!Z62="POR RECOGER"),TEXT('JUNIO 2026'!G62,"DD/MM/YYYY"),"")</f>
        <v/>
      </c>
      <c r="F583" s="192" t="str">
        <f aca="false">IF(AND('JUNIO 2026'!D62&lt;&gt;"",'JUNIO 2026'!Z62="POR RECOGER"),'JUNIO 2026'!K62,"")</f>
        <v/>
      </c>
      <c r="G583" s="193" t="str">
        <f aca="false">IF(AND('JUNIO 2026'!D62&lt;&gt;"",'JUNIO 2026'!Z62="POR RECOGER"),'JUNIO 2026'!M62,"")</f>
        <v/>
      </c>
      <c r="H583" s="193" t="str">
        <f aca="false">IF(AND('JUNIO 2026'!D62&lt;&gt;"",'JUNIO 2026'!Z62="POR RECOGER"),'JUNIO 2026'!N62,"")</f>
        <v/>
      </c>
      <c r="I583" s="192" t="str">
        <f aca="false">IF(AND('JUNIO 2026'!D62&lt;&gt;"",'JUNIO 2026'!Z62="POR RECOGER"),'JUNIO 2026'!P62,"")</f>
        <v/>
      </c>
      <c r="J583" s="192" t="str">
        <f aca="false">IF(AND('JUNIO 2026'!D62&lt;&gt;"",'JUNIO 2026'!Z62="POR RECOGER"),'JUNIO 2026'!Q62,"")</f>
        <v/>
      </c>
      <c r="K583" s="192" t="str">
        <f aca="false">IF(AND('JUNIO 2026'!D62&lt;&gt;"",'JUNIO 2026'!Z62="POR RECOGER"),'JUNIO 2026'!Y62,"")</f>
        <v/>
      </c>
      <c r="L583" s="192" t="str">
        <f aca="false">IF(AND('JUNIO 2026'!D62&lt;&gt;"",'JUNIO 2026'!Z62="POR RECOGER"),'JUNIO 2026'!I62,"")</f>
        <v/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" hidden="false" customHeight="true" outlineLevel="0" collapsed="false">
      <c r="A584" s="192" t="str">
        <f aca="false">IF(AND('JUNIO 2026'!D63&lt;&gt;"",'JUNIO 2026'!Z63="POR RECOGER"),"JUN","")</f>
        <v/>
      </c>
      <c r="B584" s="192" t="str">
        <f aca="false">IF(AND('JUNIO 2026'!D63&lt;&gt;"",'JUNIO 2026'!Z63="POR RECOGER"),IF('JUNIO 2026'!Y63&lt;&gt;"",'JUNIO 2026'!Y63,'JUNIO 2026'!I63),"")</f>
        <v/>
      </c>
      <c r="C584" s="192" t="str">
        <f aca="false">IF(AND('JUNIO 2026'!D63&lt;&gt;"",'JUNIO 2026'!Z63="POR RECOGER"),'JUNIO 2026'!D63,"")</f>
        <v/>
      </c>
      <c r="D584" s="192" t="str">
        <f aca="false">IF(AND('JUNIO 2026'!D63&lt;&gt;"",'JUNIO 2026'!Z63="POR RECOGER"),'JUNIO 2026'!F63,"")</f>
        <v/>
      </c>
      <c r="E584" s="192" t="str">
        <f aca="false">IF(AND('JUNIO 2026'!D63&lt;&gt;"",'JUNIO 2026'!Z63="POR RECOGER"),TEXT('JUNIO 2026'!G63,"DD/MM/YYYY"),"")</f>
        <v/>
      </c>
      <c r="F584" s="192" t="str">
        <f aca="false">IF(AND('JUNIO 2026'!D63&lt;&gt;"",'JUNIO 2026'!Z63="POR RECOGER"),'JUNIO 2026'!K63,"")</f>
        <v/>
      </c>
      <c r="G584" s="193" t="str">
        <f aca="false">IF(AND('JUNIO 2026'!D63&lt;&gt;"",'JUNIO 2026'!Z63="POR RECOGER"),'JUNIO 2026'!M63,"")</f>
        <v/>
      </c>
      <c r="H584" s="193" t="str">
        <f aca="false">IF(AND('JUNIO 2026'!D63&lt;&gt;"",'JUNIO 2026'!Z63="POR RECOGER"),'JUNIO 2026'!N63,"")</f>
        <v/>
      </c>
      <c r="I584" s="192" t="str">
        <f aca="false">IF(AND('JUNIO 2026'!D63&lt;&gt;"",'JUNIO 2026'!Z63="POR RECOGER"),'JUNIO 2026'!P63,"")</f>
        <v/>
      </c>
      <c r="J584" s="192" t="str">
        <f aca="false">IF(AND('JUNIO 2026'!D63&lt;&gt;"",'JUNIO 2026'!Z63="POR RECOGER"),'JUNIO 2026'!Q63,"")</f>
        <v/>
      </c>
      <c r="K584" s="192" t="str">
        <f aca="false">IF(AND('JUNIO 2026'!D63&lt;&gt;"",'JUNIO 2026'!Z63="POR RECOGER"),'JUNIO 2026'!Y63,"")</f>
        <v/>
      </c>
      <c r="L584" s="192" t="str">
        <f aca="false">IF(AND('JUNIO 2026'!D63&lt;&gt;"",'JUNIO 2026'!Z63="POR RECOGER"),'JUNIO 2026'!I63,"")</f>
        <v/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" hidden="false" customHeight="true" outlineLevel="0" collapsed="false">
      <c r="A585" s="192" t="str">
        <f aca="false">IF(AND('JUNIO 2026'!D64&lt;&gt;"",'JUNIO 2026'!Z64="POR RECOGER"),"JUN","")</f>
        <v/>
      </c>
      <c r="B585" s="192" t="str">
        <f aca="false">IF(AND('JUNIO 2026'!D64&lt;&gt;"",'JUNIO 2026'!Z64="POR RECOGER"),IF('JUNIO 2026'!Y64&lt;&gt;"",'JUNIO 2026'!Y64,'JUNIO 2026'!I64),"")</f>
        <v/>
      </c>
      <c r="C585" s="192" t="str">
        <f aca="false">IF(AND('JUNIO 2026'!D64&lt;&gt;"",'JUNIO 2026'!Z64="POR RECOGER"),'JUNIO 2026'!D64,"")</f>
        <v/>
      </c>
      <c r="D585" s="192" t="str">
        <f aca="false">IF(AND('JUNIO 2026'!D64&lt;&gt;"",'JUNIO 2026'!Z64="POR RECOGER"),'JUNIO 2026'!F64,"")</f>
        <v/>
      </c>
      <c r="E585" s="192" t="str">
        <f aca="false">IF(AND('JUNIO 2026'!D64&lt;&gt;"",'JUNIO 2026'!Z64="POR RECOGER"),TEXT('JUNIO 2026'!G64,"DD/MM/YYYY"),"")</f>
        <v/>
      </c>
      <c r="F585" s="192" t="str">
        <f aca="false">IF(AND('JUNIO 2026'!D64&lt;&gt;"",'JUNIO 2026'!Z64="POR RECOGER"),'JUNIO 2026'!K64,"")</f>
        <v/>
      </c>
      <c r="G585" s="193" t="str">
        <f aca="false">IF(AND('JUNIO 2026'!D64&lt;&gt;"",'JUNIO 2026'!Z64="POR RECOGER"),'JUNIO 2026'!M64,"")</f>
        <v/>
      </c>
      <c r="H585" s="193" t="str">
        <f aca="false">IF(AND('JUNIO 2026'!D64&lt;&gt;"",'JUNIO 2026'!Z64="POR RECOGER"),'JUNIO 2026'!N64,"")</f>
        <v/>
      </c>
      <c r="I585" s="192" t="str">
        <f aca="false">IF(AND('JUNIO 2026'!D64&lt;&gt;"",'JUNIO 2026'!Z64="POR RECOGER"),'JUNIO 2026'!P64,"")</f>
        <v/>
      </c>
      <c r="J585" s="192" t="str">
        <f aca="false">IF(AND('JUNIO 2026'!D64&lt;&gt;"",'JUNIO 2026'!Z64="POR RECOGER"),'JUNIO 2026'!Q64,"")</f>
        <v/>
      </c>
      <c r="K585" s="192" t="str">
        <f aca="false">IF(AND('JUNIO 2026'!D64&lt;&gt;"",'JUNIO 2026'!Z64="POR RECOGER"),'JUNIO 2026'!Y64,"")</f>
        <v/>
      </c>
      <c r="L585" s="192" t="str">
        <f aca="false">IF(AND('JUNIO 2026'!D64&lt;&gt;"",'JUNIO 2026'!Z64="POR RECOGER"),'JUNIO 2026'!I64,"")</f>
        <v/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" hidden="false" customHeight="true" outlineLevel="0" collapsed="false">
      <c r="A586" s="192" t="str">
        <f aca="false">IF(AND('JUNIO 2026'!D65&lt;&gt;"",'JUNIO 2026'!Z65="POR RECOGER"),"JUN","")</f>
        <v/>
      </c>
      <c r="B586" s="192" t="str">
        <f aca="false">IF(AND('JUNIO 2026'!D65&lt;&gt;"",'JUNIO 2026'!Z65="POR RECOGER"),IF('JUNIO 2026'!Y65&lt;&gt;"",'JUNIO 2026'!Y65,'JUNIO 2026'!I65),"")</f>
        <v/>
      </c>
      <c r="C586" s="192" t="str">
        <f aca="false">IF(AND('JUNIO 2026'!D65&lt;&gt;"",'JUNIO 2026'!Z65="POR RECOGER"),'JUNIO 2026'!D65,"")</f>
        <v/>
      </c>
      <c r="D586" s="192" t="str">
        <f aca="false">IF(AND('JUNIO 2026'!D65&lt;&gt;"",'JUNIO 2026'!Z65="POR RECOGER"),'JUNIO 2026'!F65,"")</f>
        <v/>
      </c>
      <c r="E586" s="192" t="str">
        <f aca="false">IF(AND('JUNIO 2026'!D65&lt;&gt;"",'JUNIO 2026'!Z65="POR RECOGER"),TEXT('JUNIO 2026'!G65,"DD/MM/YYYY"),"")</f>
        <v/>
      </c>
      <c r="F586" s="192" t="str">
        <f aca="false">IF(AND('JUNIO 2026'!D65&lt;&gt;"",'JUNIO 2026'!Z65="POR RECOGER"),'JUNIO 2026'!K65,"")</f>
        <v/>
      </c>
      <c r="G586" s="193" t="str">
        <f aca="false">IF(AND('JUNIO 2026'!D65&lt;&gt;"",'JUNIO 2026'!Z65="POR RECOGER"),'JUNIO 2026'!M65,"")</f>
        <v/>
      </c>
      <c r="H586" s="193" t="str">
        <f aca="false">IF(AND('JUNIO 2026'!D65&lt;&gt;"",'JUNIO 2026'!Z65="POR RECOGER"),'JUNIO 2026'!N65,"")</f>
        <v/>
      </c>
      <c r="I586" s="192" t="str">
        <f aca="false">IF(AND('JUNIO 2026'!D65&lt;&gt;"",'JUNIO 2026'!Z65="POR RECOGER"),'JUNIO 2026'!P65,"")</f>
        <v/>
      </c>
      <c r="J586" s="192" t="str">
        <f aca="false">IF(AND('JUNIO 2026'!D65&lt;&gt;"",'JUNIO 2026'!Z65="POR RECOGER"),'JUNIO 2026'!Q65,"")</f>
        <v/>
      </c>
      <c r="K586" s="192" t="str">
        <f aca="false">IF(AND('JUNIO 2026'!D65&lt;&gt;"",'JUNIO 2026'!Z65="POR RECOGER"),'JUNIO 2026'!Y65,"")</f>
        <v/>
      </c>
      <c r="L586" s="192" t="str">
        <f aca="false">IF(AND('JUNIO 2026'!D65&lt;&gt;"",'JUNIO 2026'!Z65="POR RECOGER"),'JUNIO 2026'!I65,"")</f>
        <v/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" hidden="false" customHeight="true" outlineLevel="0" collapsed="false">
      <c r="A587" s="192" t="str">
        <f aca="false">IF(AND('JUNIO 2026'!D66&lt;&gt;"",'JUNIO 2026'!Z66="POR RECOGER"),"JUN","")</f>
        <v/>
      </c>
      <c r="B587" s="192" t="str">
        <f aca="false">IF(AND('JUNIO 2026'!D66&lt;&gt;"",'JUNIO 2026'!Z66="POR RECOGER"),IF('JUNIO 2026'!Y66&lt;&gt;"",'JUNIO 2026'!Y66,'JUNIO 2026'!I66),"")</f>
        <v/>
      </c>
      <c r="C587" s="192" t="str">
        <f aca="false">IF(AND('JUNIO 2026'!D66&lt;&gt;"",'JUNIO 2026'!Z66="POR RECOGER"),'JUNIO 2026'!D66,"")</f>
        <v/>
      </c>
      <c r="D587" s="192" t="str">
        <f aca="false">IF(AND('JUNIO 2026'!D66&lt;&gt;"",'JUNIO 2026'!Z66="POR RECOGER"),'JUNIO 2026'!F66,"")</f>
        <v/>
      </c>
      <c r="E587" s="192" t="str">
        <f aca="false">IF(AND('JUNIO 2026'!D66&lt;&gt;"",'JUNIO 2026'!Z66="POR RECOGER"),TEXT('JUNIO 2026'!G66,"DD/MM/YYYY"),"")</f>
        <v/>
      </c>
      <c r="F587" s="192" t="str">
        <f aca="false">IF(AND('JUNIO 2026'!D66&lt;&gt;"",'JUNIO 2026'!Z66="POR RECOGER"),'JUNIO 2026'!K66,"")</f>
        <v/>
      </c>
      <c r="G587" s="193" t="str">
        <f aca="false">IF(AND('JUNIO 2026'!D66&lt;&gt;"",'JUNIO 2026'!Z66="POR RECOGER"),'JUNIO 2026'!M66,"")</f>
        <v/>
      </c>
      <c r="H587" s="193" t="str">
        <f aca="false">IF(AND('JUNIO 2026'!D66&lt;&gt;"",'JUNIO 2026'!Z66="POR RECOGER"),'JUNIO 2026'!N66,"")</f>
        <v/>
      </c>
      <c r="I587" s="192" t="str">
        <f aca="false">IF(AND('JUNIO 2026'!D66&lt;&gt;"",'JUNIO 2026'!Z66="POR RECOGER"),'JUNIO 2026'!P66,"")</f>
        <v/>
      </c>
      <c r="J587" s="192" t="str">
        <f aca="false">IF(AND('JUNIO 2026'!D66&lt;&gt;"",'JUNIO 2026'!Z66="POR RECOGER"),'JUNIO 2026'!Q66,"")</f>
        <v/>
      </c>
      <c r="K587" s="192" t="str">
        <f aca="false">IF(AND('JUNIO 2026'!D66&lt;&gt;"",'JUNIO 2026'!Z66="POR RECOGER"),'JUNIO 2026'!Y66,"")</f>
        <v/>
      </c>
      <c r="L587" s="192" t="str">
        <f aca="false">IF(AND('JUNIO 2026'!D66&lt;&gt;"",'JUNIO 2026'!Z66="POR RECOGER"),'JUNIO 2026'!I66,"")</f>
        <v/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" hidden="false" customHeight="true" outlineLevel="0" collapsed="false">
      <c r="A588" s="192" t="str">
        <f aca="false">IF(AND('JUNIO 2026'!D67&lt;&gt;"",'JUNIO 2026'!Z67="POR RECOGER"),"JUN","")</f>
        <v/>
      </c>
      <c r="B588" s="192" t="str">
        <f aca="false">IF(AND('JUNIO 2026'!D67&lt;&gt;"",'JUNIO 2026'!Z67="POR RECOGER"),IF('JUNIO 2026'!Y67&lt;&gt;"",'JUNIO 2026'!Y67,'JUNIO 2026'!I67),"")</f>
        <v/>
      </c>
      <c r="C588" s="192" t="str">
        <f aca="false">IF(AND('JUNIO 2026'!D67&lt;&gt;"",'JUNIO 2026'!Z67="POR RECOGER"),'JUNIO 2026'!D67,"")</f>
        <v/>
      </c>
      <c r="D588" s="192" t="str">
        <f aca="false">IF(AND('JUNIO 2026'!D67&lt;&gt;"",'JUNIO 2026'!Z67="POR RECOGER"),'JUNIO 2026'!F67,"")</f>
        <v/>
      </c>
      <c r="E588" s="192" t="str">
        <f aca="false">IF(AND('JUNIO 2026'!D67&lt;&gt;"",'JUNIO 2026'!Z67="POR RECOGER"),TEXT('JUNIO 2026'!G67,"DD/MM/YYYY"),"")</f>
        <v/>
      </c>
      <c r="F588" s="192" t="str">
        <f aca="false">IF(AND('JUNIO 2026'!D67&lt;&gt;"",'JUNIO 2026'!Z67="POR RECOGER"),'JUNIO 2026'!K67,"")</f>
        <v/>
      </c>
      <c r="G588" s="193" t="str">
        <f aca="false">IF(AND('JUNIO 2026'!D67&lt;&gt;"",'JUNIO 2026'!Z67="POR RECOGER"),'JUNIO 2026'!M67,"")</f>
        <v/>
      </c>
      <c r="H588" s="193" t="str">
        <f aca="false">IF(AND('JUNIO 2026'!D67&lt;&gt;"",'JUNIO 2026'!Z67="POR RECOGER"),'JUNIO 2026'!N67,"")</f>
        <v/>
      </c>
      <c r="I588" s="192" t="str">
        <f aca="false">IF(AND('JUNIO 2026'!D67&lt;&gt;"",'JUNIO 2026'!Z67="POR RECOGER"),'JUNIO 2026'!P67,"")</f>
        <v/>
      </c>
      <c r="J588" s="192" t="str">
        <f aca="false">IF(AND('JUNIO 2026'!D67&lt;&gt;"",'JUNIO 2026'!Z67="POR RECOGER"),'JUNIO 2026'!Q67,"")</f>
        <v/>
      </c>
      <c r="K588" s="192" t="str">
        <f aca="false">IF(AND('JUNIO 2026'!D67&lt;&gt;"",'JUNIO 2026'!Z67="POR RECOGER"),'JUNIO 2026'!Y67,"")</f>
        <v/>
      </c>
      <c r="L588" s="192" t="str">
        <f aca="false">IF(AND('JUNIO 2026'!D67&lt;&gt;"",'JUNIO 2026'!Z67="POR RECOGER"),'JUNIO 2026'!I67,"")</f>
        <v/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" hidden="false" customHeight="true" outlineLevel="0" collapsed="false">
      <c r="A589" s="192" t="str">
        <f aca="false">IF(AND('JUNIO 2026'!D68&lt;&gt;"",'JUNIO 2026'!Z68="POR RECOGER"),"JUN","")</f>
        <v/>
      </c>
      <c r="B589" s="192" t="str">
        <f aca="false">IF(AND('JUNIO 2026'!D68&lt;&gt;"",'JUNIO 2026'!Z68="POR RECOGER"),IF('JUNIO 2026'!Y68&lt;&gt;"",'JUNIO 2026'!Y68,'JUNIO 2026'!I68),"")</f>
        <v/>
      </c>
      <c r="C589" s="192" t="str">
        <f aca="false">IF(AND('JUNIO 2026'!D68&lt;&gt;"",'JUNIO 2026'!Z68="POR RECOGER"),'JUNIO 2026'!D68,"")</f>
        <v/>
      </c>
      <c r="D589" s="192" t="str">
        <f aca="false">IF(AND('JUNIO 2026'!D68&lt;&gt;"",'JUNIO 2026'!Z68="POR RECOGER"),'JUNIO 2026'!F68,"")</f>
        <v/>
      </c>
      <c r="E589" s="192" t="str">
        <f aca="false">IF(AND('JUNIO 2026'!D68&lt;&gt;"",'JUNIO 2026'!Z68="POR RECOGER"),TEXT('JUNIO 2026'!G68,"DD/MM/YYYY"),"")</f>
        <v/>
      </c>
      <c r="F589" s="192" t="str">
        <f aca="false">IF(AND('JUNIO 2026'!D68&lt;&gt;"",'JUNIO 2026'!Z68="POR RECOGER"),'JUNIO 2026'!K68,"")</f>
        <v/>
      </c>
      <c r="G589" s="193" t="str">
        <f aca="false">IF(AND('JUNIO 2026'!D68&lt;&gt;"",'JUNIO 2026'!Z68="POR RECOGER"),'JUNIO 2026'!M68,"")</f>
        <v/>
      </c>
      <c r="H589" s="193" t="str">
        <f aca="false">IF(AND('JUNIO 2026'!D68&lt;&gt;"",'JUNIO 2026'!Z68="POR RECOGER"),'JUNIO 2026'!N68,"")</f>
        <v/>
      </c>
      <c r="I589" s="192" t="str">
        <f aca="false">IF(AND('JUNIO 2026'!D68&lt;&gt;"",'JUNIO 2026'!Z68="POR RECOGER"),'JUNIO 2026'!P68,"")</f>
        <v/>
      </c>
      <c r="J589" s="192" t="str">
        <f aca="false">IF(AND('JUNIO 2026'!D68&lt;&gt;"",'JUNIO 2026'!Z68="POR RECOGER"),'JUNIO 2026'!Q68,"")</f>
        <v/>
      </c>
      <c r="K589" s="192" t="str">
        <f aca="false">IF(AND('JUNIO 2026'!D68&lt;&gt;"",'JUNIO 2026'!Z68="POR RECOGER"),'JUNIO 2026'!Y68,"")</f>
        <v/>
      </c>
      <c r="L589" s="192" t="str">
        <f aca="false">IF(AND('JUNIO 2026'!D68&lt;&gt;"",'JUNIO 2026'!Z68="POR RECOGER"),'JUNIO 2026'!I68,"")</f>
        <v/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" hidden="false" customHeight="true" outlineLevel="0" collapsed="false">
      <c r="A590" s="192" t="str">
        <f aca="false">IF(AND('JUNIO 2026'!D69&lt;&gt;"",'JUNIO 2026'!Z69="POR RECOGER"),"JUN","")</f>
        <v/>
      </c>
      <c r="B590" s="192" t="str">
        <f aca="false">IF(AND('JUNIO 2026'!D69&lt;&gt;"",'JUNIO 2026'!Z69="POR RECOGER"),IF('JUNIO 2026'!Y69&lt;&gt;"",'JUNIO 2026'!Y69,'JUNIO 2026'!I69),"")</f>
        <v/>
      </c>
      <c r="C590" s="192" t="str">
        <f aca="false">IF(AND('JUNIO 2026'!D69&lt;&gt;"",'JUNIO 2026'!Z69="POR RECOGER"),'JUNIO 2026'!D69,"")</f>
        <v/>
      </c>
      <c r="D590" s="192" t="str">
        <f aca="false">IF(AND('JUNIO 2026'!D69&lt;&gt;"",'JUNIO 2026'!Z69="POR RECOGER"),'JUNIO 2026'!F69,"")</f>
        <v/>
      </c>
      <c r="E590" s="192" t="str">
        <f aca="false">IF(AND('JUNIO 2026'!D69&lt;&gt;"",'JUNIO 2026'!Z69="POR RECOGER"),TEXT('JUNIO 2026'!G69,"DD/MM/YYYY"),"")</f>
        <v/>
      </c>
      <c r="F590" s="192" t="str">
        <f aca="false">IF(AND('JUNIO 2026'!D69&lt;&gt;"",'JUNIO 2026'!Z69="POR RECOGER"),'JUNIO 2026'!K69,"")</f>
        <v/>
      </c>
      <c r="G590" s="193" t="str">
        <f aca="false">IF(AND('JUNIO 2026'!D69&lt;&gt;"",'JUNIO 2026'!Z69="POR RECOGER"),'JUNIO 2026'!M69,"")</f>
        <v/>
      </c>
      <c r="H590" s="193" t="str">
        <f aca="false">IF(AND('JUNIO 2026'!D69&lt;&gt;"",'JUNIO 2026'!Z69="POR RECOGER"),'JUNIO 2026'!N69,"")</f>
        <v/>
      </c>
      <c r="I590" s="192" t="str">
        <f aca="false">IF(AND('JUNIO 2026'!D69&lt;&gt;"",'JUNIO 2026'!Z69="POR RECOGER"),'JUNIO 2026'!P69,"")</f>
        <v/>
      </c>
      <c r="J590" s="192" t="str">
        <f aca="false">IF(AND('JUNIO 2026'!D69&lt;&gt;"",'JUNIO 2026'!Z69="POR RECOGER"),'JUNIO 2026'!Q69,"")</f>
        <v/>
      </c>
      <c r="K590" s="192" t="str">
        <f aca="false">IF(AND('JUNIO 2026'!D69&lt;&gt;"",'JUNIO 2026'!Z69="POR RECOGER"),'JUNIO 2026'!Y69,"")</f>
        <v/>
      </c>
      <c r="L590" s="192" t="str">
        <f aca="false">IF(AND('JUNIO 2026'!D69&lt;&gt;"",'JUNIO 2026'!Z69="POR RECOGER"),'JUNIO 2026'!I69,"")</f>
        <v/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" hidden="false" customHeight="true" outlineLevel="0" collapsed="false">
      <c r="A591" s="192" t="str">
        <f aca="false">IF(AND('JUNIO 2026'!D70&lt;&gt;"",'JUNIO 2026'!Z70="POR RECOGER"),"JUN","")</f>
        <v/>
      </c>
      <c r="B591" s="192" t="str">
        <f aca="false">IF(AND('JUNIO 2026'!D70&lt;&gt;"",'JUNIO 2026'!Z70="POR RECOGER"),IF('JUNIO 2026'!Y70&lt;&gt;"",'JUNIO 2026'!Y70,'JUNIO 2026'!I70),"")</f>
        <v/>
      </c>
      <c r="C591" s="192" t="str">
        <f aca="false">IF(AND('JUNIO 2026'!D70&lt;&gt;"",'JUNIO 2026'!Z70="POR RECOGER"),'JUNIO 2026'!D70,"")</f>
        <v/>
      </c>
      <c r="D591" s="192" t="str">
        <f aca="false">IF(AND('JUNIO 2026'!D70&lt;&gt;"",'JUNIO 2026'!Z70="POR RECOGER"),'JUNIO 2026'!F70,"")</f>
        <v/>
      </c>
      <c r="E591" s="192" t="str">
        <f aca="false">IF(AND('JUNIO 2026'!D70&lt;&gt;"",'JUNIO 2026'!Z70="POR RECOGER"),TEXT('JUNIO 2026'!G70,"DD/MM/YYYY"),"")</f>
        <v/>
      </c>
      <c r="F591" s="192" t="str">
        <f aca="false">IF(AND('JUNIO 2026'!D70&lt;&gt;"",'JUNIO 2026'!Z70="POR RECOGER"),'JUNIO 2026'!K70,"")</f>
        <v/>
      </c>
      <c r="G591" s="193" t="str">
        <f aca="false">IF(AND('JUNIO 2026'!D70&lt;&gt;"",'JUNIO 2026'!Z70="POR RECOGER"),'JUNIO 2026'!M70,"")</f>
        <v/>
      </c>
      <c r="H591" s="193" t="str">
        <f aca="false">IF(AND('JUNIO 2026'!D70&lt;&gt;"",'JUNIO 2026'!Z70="POR RECOGER"),'JUNIO 2026'!N70,"")</f>
        <v/>
      </c>
      <c r="I591" s="192" t="str">
        <f aca="false">IF(AND('JUNIO 2026'!D70&lt;&gt;"",'JUNIO 2026'!Z70="POR RECOGER"),'JUNIO 2026'!P70,"")</f>
        <v/>
      </c>
      <c r="J591" s="192" t="str">
        <f aca="false">IF(AND('JUNIO 2026'!D70&lt;&gt;"",'JUNIO 2026'!Z70="POR RECOGER"),'JUNIO 2026'!Q70,"")</f>
        <v/>
      </c>
      <c r="K591" s="192" t="str">
        <f aca="false">IF(AND('JUNIO 2026'!D70&lt;&gt;"",'JUNIO 2026'!Z70="POR RECOGER"),'JUNIO 2026'!Y70,"")</f>
        <v/>
      </c>
      <c r="L591" s="192" t="str">
        <f aca="false">IF(AND('JUNIO 2026'!D70&lt;&gt;"",'JUNIO 2026'!Z70="POR RECOGER"),'JUNIO 2026'!I70,"")</f>
        <v/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" hidden="false" customHeight="true" outlineLevel="0" collapsed="false">
      <c r="A592" s="192" t="str">
        <f aca="false">IF(AND('JUNIO 2026'!D71&lt;&gt;"",'JUNIO 2026'!Z71="POR RECOGER"),"JUN","")</f>
        <v/>
      </c>
      <c r="B592" s="192" t="str">
        <f aca="false">IF(AND('JUNIO 2026'!D71&lt;&gt;"",'JUNIO 2026'!Z71="POR RECOGER"),IF('JUNIO 2026'!Y71&lt;&gt;"",'JUNIO 2026'!Y71,'JUNIO 2026'!I71),"")</f>
        <v/>
      </c>
      <c r="C592" s="192" t="str">
        <f aca="false">IF(AND('JUNIO 2026'!D71&lt;&gt;"",'JUNIO 2026'!Z71="POR RECOGER"),'JUNIO 2026'!D71,"")</f>
        <v/>
      </c>
      <c r="D592" s="192" t="str">
        <f aca="false">IF(AND('JUNIO 2026'!D71&lt;&gt;"",'JUNIO 2026'!Z71="POR RECOGER"),'JUNIO 2026'!F71,"")</f>
        <v/>
      </c>
      <c r="E592" s="192" t="str">
        <f aca="false">IF(AND('JUNIO 2026'!D71&lt;&gt;"",'JUNIO 2026'!Z71="POR RECOGER"),TEXT('JUNIO 2026'!G71,"DD/MM/YYYY"),"")</f>
        <v/>
      </c>
      <c r="F592" s="192" t="str">
        <f aca="false">IF(AND('JUNIO 2026'!D71&lt;&gt;"",'JUNIO 2026'!Z71="POR RECOGER"),'JUNIO 2026'!K71,"")</f>
        <v/>
      </c>
      <c r="G592" s="193" t="str">
        <f aca="false">IF(AND('JUNIO 2026'!D71&lt;&gt;"",'JUNIO 2026'!Z71="POR RECOGER"),'JUNIO 2026'!M71,"")</f>
        <v/>
      </c>
      <c r="H592" s="193" t="str">
        <f aca="false">IF(AND('JUNIO 2026'!D71&lt;&gt;"",'JUNIO 2026'!Z71="POR RECOGER"),'JUNIO 2026'!N71,"")</f>
        <v/>
      </c>
      <c r="I592" s="192" t="str">
        <f aca="false">IF(AND('JUNIO 2026'!D71&lt;&gt;"",'JUNIO 2026'!Z71="POR RECOGER"),'JUNIO 2026'!P71,"")</f>
        <v/>
      </c>
      <c r="J592" s="192" t="str">
        <f aca="false">IF(AND('JUNIO 2026'!D71&lt;&gt;"",'JUNIO 2026'!Z71="POR RECOGER"),'JUNIO 2026'!Q71,"")</f>
        <v/>
      </c>
      <c r="K592" s="192" t="str">
        <f aca="false">IF(AND('JUNIO 2026'!D71&lt;&gt;"",'JUNIO 2026'!Z71="POR RECOGER"),'JUNIO 2026'!Y71,"")</f>
        <v/>
      </c>
      <c r="L592" s="192" t="str">
        <f aca="false">IF(AND('JUNIO 2026'!D71&lt;&gt;"",'JUNIO 2026'!Z71="POR RECOGER"),'JUNIO 2026'!I71,"")</f>
        <v/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" hidden="false" customHeight="true" outlineLevel="0" collapsed="false">
      <c r="A593" s="192" t="str">
        <f aca="false">IF(AND('JUNIO 2026'!D72&lt;&gt;"",'JUNIO 2026'!Z72="POR RECOGER"),"JUN","")</f>
        <v/>
      </c>
      <c r="B593" s="192" t="str">
        <f aca="false">IF(AND('JUNIO 2026'!D72&lt;&gt;"",'JUNIO 2026'!Z72="POR RECOGER"),IF('JUNIO 2026'!Y72&lt;&gt;"",'JUNIO 2026'!Y72,'JUNIO 2026'!I72),"")</f>
        <v/>
      </c>
      <c r="C593" s="192" t="str">
        <f aca="false">IF(AND('JUNIO 2026'!D72&lt;&gt;"",'JUNIO 2026'!Z72="POR RECOGER"),'JUNIO 2026'!D72,"")</f>
        <v/>
      </c>
      <c r="D593" s="192" t="str">
        <f aca="false">IF(AND('JUNIO 2026'!D72&lt;&gt;"",'JUNIO 2026'!Z72="POR RECOGER"),'JUNIO 2026'!F72,"")</f>
        <v/>
      </c>
      <c r="E593" s="192" t="str">
        <f aca="false">IF(AND('JUNIO 2026'!D72&lt;&gt;"",'JUNIO 2026'!Z72="POR RECOGER"),TEXT('JUNIO 2026'!G72,"DD/MM/YYYY"),"")</f>
        <v/>
      </c>
      <c r="F593" s="192" t="str">
        <f aca="false">IF(AND('JUNIO 2026'!D72&lt;&gt;"",'JUNIO 2026'!Z72="POR RECOGER"),'JUNIO 2026'!K72,"")</f>
        <v/>
      </c>
      <c r="G593" s="193" t="str">
        <f aca="false">IF(AND('JUNIO 2026'!D72&lt;&gt;"",'JUNIO 2026'!Z72="POR RECOGER"),'JUNIO 2026'!M72,"")</f>
        <v/>
      </c>
      <c r="H593" s="193" t="str">
        <f aca="false">IF(AND('JUNIO 2026'!D72&lt;&gt;"",'JUNIO 2026'!Z72="POR RECOGER"),'JUNIO 2026'!N72,"")</f>
        <v/>
      </c>
      <c r="I593" s="192" t="str">
        <f aca="false">IF(AND('JUNIO 2026'!D72&lt;&gt;"",'JUNIO 2026'!Z72="POR RECOGER"),'JUNIO 2026'!P72,"")</f>
        <v/>
      </c>
      <c r="J593" s="192" t="str">
        <f aca="false">IF(AND('JUNIO 2026'!D72&lt;&gt;"",'JUNIO 2026'!Z72="POR RECOGER"),'JUNIO 2026'!Q72,"")</f>
        <v/>
      </c>
      <c r="K593" s="192" t="str">
        <f aca="false">IF(AND('JUNIO 2026'!D72&lt;&gt;"",'JUNIO 2026'!Z72="POR RECOGER"),'JUNIO 2026'!Y72,"")</f>
        <v/>
      </c>
      <c r="L593" s="192" t="str">
        <f aca="false">IF(AND('JUNIO 2026'!D72&lt;&gt;"",'JUNIO 2026'!Z72="POR RECOGER"),'JUNIO 2026'!I72,"")</f>
        <v/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" hidden="false" customHeight="true" outlineLevel="0" collapsed="false">
      <c r="A594" s="192" t="str">
        <f aca="false">IF(AND('JUNIO 2026'!D73&lt;&gt;"",'JUNIO 2026'!Z73="POR RECOGER"),"JUN","")</f>
        <v/>
      </c>
      <c r="B594" s="192" t="str">
        <f aca="false">IF(AND('JUNIO 2026'!D73&lt;&gt;"",'JUNIO 2026'!Z73="POR RECOGER"),IF('JUNIO 2026'!Y73&lt;&gt;"",'JUNIO 2026'!Y73,'JUNIO 2026'!I73),"")</f>
        <v/>
      </c>
      <c r="C594" s="192" t="str">
        <f aca="false">IF(AND('JUNIO 2026'!D73&lt;&gt;"",'JUNIO 2026'!Z73="POR RECOGER"),'JUNIO 2026'!D73,"")</f>
        <v/>
      </c>
      <c r="D594" s="192" t="str">
        <f aca="false">IF(AND('JUNIO 2026'!D73&lt;&gt;"",'JUNIO 2026'!Z73="POR RECOGER"),'JUNIO 2026'!F73,"")</f>
        <v/>
      </c>
      <c r="E594" s="192" t="str">
        <f aca="false">IF(AND('JUNIO 2026'!D73&lt;&gt;"",'JUNIO 2026'!Z73="POR RECOGER"),TEXT('JUNIO 2026'!G73,"DD/MM/YYYY"),"")</f>
        <v/>
      </c>
      <c r="F594" s="192" t="str">
        <f aca="false">IF(AND('JUNIO 2026'!D73&lt;&gt;"",'JUNIO 2026'!Z73="POR RECOGER"),'JUNIO 2026'!K73,"")</f>
        <v/>
      </c>
      <c r="G594" s="193" t="str">
        <f aca="false">IF(AND('JUNIO 2026'!D73&lt;&gt;"",'JUNIO 2026'!Z73="POR RECOGER"),'JUNIO 2026'!M73,"")</f>
        <v/>
      </c>
      <c r="H594" s="193" t="str">
        <f aca="false">IF(AND('JUNIO 2026'!D73&lt;&gt;"",'JUNIO 2026'!Z73="POR RECOGER"),'JUNIO 2026'!N73,"")</f>
        <v/>
      </c>
      <c r="I594" s="192" t="str">
        <f aca="false">IF(AND('JUNIO 2026'!D73&lt;&gt;"",'JUNIO 2026'!Z73="POR RECOGER"),'JUNIO 2026'!P73,"")</f>
        <v/>
      </c>
      <c r="J594" s="192" t="str">
        <f aca="false">IF(AND('JUNIO 2026'!D73&lt;&gt;"",'JUNIO 2026'!Z73="POR RECOGER"),'JUNIO 2026'!Q73,"")</f>
        <v/>
      </c>
      <c r="K594" s="192" t="str">
        <f aca="false">IF(AND('JUNIO 2026'!D73&lt;&gt;"",'JUNIO 2026'!Z73="POR RECOGER"),'JUNIO 2026'!Y73,"")</f>
        <v/>
      </c>
      <c r="L594" s="192" t="str">
        <f aca="false">IF(AND('JUNIO 2026'!D73&lt;&gt;"",'JUNIO 2026'!Z73="POR RECOGER"),'JUNIO 2026'!I73,"")</f>
        <v/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" hidden="false" customHeight="true" outlineLevel="0" collapsed="false">
      <c r="A595" s="192" t="str">
        <f aca="false">IF(AND('JUNIO 2026'!D74&lt;&gt;"",'JUNIO 2026'!Z74="POR RECOGER"),"JUN","")</f>
        <v/>
      </c>
      <c r="B595" s="192" t="str">
        <f aca="false">IF(AND('JUNIO 2026'!D74&lt;&gt;"",'JUNIO 2026'!Z74="POR RECOGER"),IF('JUNIO 2026'!Y74&lt;&gt;"",'JUNIO 2026'!Y74,'JUNIO 2026'!I74),"")</f>
        <v/>
      </c>
      <c r="C595" s="192" t="str">
        <f aca="false">IF(AND('JUNIO 2026'!D74&lt;&gt;"",'JUNIO 2026'!Z74="POR RECOGER"),'JUNIO 2026'!D74,"")</f>
        <v/>
      </c>
      <c r="D595" s="192" t="str">
        <f aca="false">IF(AND('JUNIO 2026'!D74&lt;&gt;"",'JUNIO 2026'!Z74="POR RECOGER"),'JUNIO 2026'!F74,"")</f>
        <v/>
      </c>
      <c r="E595" s="192" t="str">
        <f aca="false">IF(AND('JUNIO 2026'!D74&lt;&gt;"",'JUNIO 2026'!Z74="POR RECOGER"),TEXT('JUNIO 2026'!G74,"DD/MM/YYYY"),"")</f>
        <v/>
      </c>
      <c r="F595" s="192" t="str">
        <f aca="false">IF(AND('JUNIO 2026'!D74&lt;&gt;"",'JUNIO 2026'!Z74="POR RECOGER"),'JUNIO 2026'!K74,"")</f>
        <v/>
      </c>
      <c r="G595" s="193" t="str">
        <f aca="false">IF(AND('JUNIO 2026'!D74&lt;&gt;"",'JUNIO 2026'!Z74="POR RECOGER"),'JUNIO 2026'!M74,"")</f>
        <v/>
      </c>
      <c r="H595" s="193" t="str">
        <f aca="false">IF(AND('JUNIO 2026'!D74&lt;&gt;"",'JUNIO 2026'!Z74="POR RECOGER"),'JUNIO 2026'!N74,"")</f>
        <v/>
      </c>
      <c r="I595" s="192" t="str">
        <f aca="false">IF(AND('JUNIO 2026'!D74&lt;&gt;"",'JUNIO 2026'!Z74="POR RECOGER"),'JUNIO 2026'!P74,"")</f>
        <v/>
      </c>
      <c r="J595" s="192" t="str">
        <f aca="false">IF(AND('JUNIO 2026'!D74&lt;&gt;"",'JUNIO 2026'!Z74="POR RECOGER"),'JUNIO 2026'!Q74,"")</f>
        <v/>
      </c>
      <c r="K595" s="192" t="str">
        <f aca="false">IF(AND('JUNIO 2026'!D74&lt;&gt;"",'JUNIO 2026'!Z74="POR RECOGER"),'JUNIO 2026'!Y74,"")</f>
        <v/>
      </c>
      <c r="L595" s="192" t="str">
        <f aca="false">IF(AND('JUNIO 2026'!D74&lt;&gt;"",'JUNIO 2026'!Z74="POR RECOGER"),'JUNIO 2026'!I74,"")</f>
        <v/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" hidden="false" customHeight="true" outlineLevel="0" collapsed="false">
      <c r="A596" s="192" t="str">
        <f aca="false">IF(AND('JUNIO 2026'!D75&lt;&gt;"",'JUNIO 2026'!Z75="POR RECOGER"),"JUN","")</f>
        <v/>
      </c>
      <c r="B596" s="192" t="str">
        <f aca="false">IF(AND('JUNIO 2026'!D75&lt;&gt;"",'JUNIO 2026'!Z75="POR RECOGER"),IF('JUNIO 2026'!Y75&lt;&gt;"",'JUNIO 2026'!Y75,'JUNIO 2026'!I75),"")</f>
        <v/>
      </c>
      <c r="C596" s="192" t="str">
        <f aca="false">IF(AND('JUNIO 2026'!D75&lt;&gt;"",'JUNIO 2026'!Z75="POR RECOGER"),'JUNIO 2026'!D75,"")</f>
        <v/>
      </c>
      <c r="D596" s="192" t="str">
        <f aca="false">IF(AND('JUNIO 2026'!D75&lt;&gt;"",'JUNIO 2026'!Z75="POR RECOGER"),'JUNIO 2026'!F75,"")</f>
        <v/>
      </c>
      <c r="E596" s="192" t="str">
        <f aca="false">IF(AND('JUNIO 2026'!D75&lt;&gt;"",'JUNIO 2026'!Z75="POR RECOGER"),TEXT('JUNIO 2026'!G75,"DD/MM/YYYY"),"")</f>
        <v/>
      </c>
      <c r="F596" s="192" t="str">
        <f aca="false">IF(AND('JUNIO 2026'!D75&lt;&gt;"",'JUNIO 2026'!Z75="POR RECOGER"),'JUNIO 2026'!K75,"")</f>
        <v/>
      </c>
      <c r="G596" s="193" t="str">
        <f aca="false">IF(AND('JUNIO 2026'!D75&lt;&gt;"",'JUNIO 2026'!Z75="POR RECOGER"),'JUNIO 2026'!M75,"")</f>
        <v/>
      </c>
      <c r="H596" s="193" t="str">
        <f aca="false">IF(AND('JUNIO 2026'!D75&lt;&gt;"",'JUNIO 2026'!Z75="POR RECOGER"),'JUNIO 2026'!N75,"")</f>
        <v/>
      </c>
      <c r="I596" s="192" t="str">
        <f aca="false">IF(AND('JUNIO 2026'!D75&lt;&gt;"",'JUNIO 2026'!Z75="POR RECOGER"),'JUNIO 2026'!P75,"")</f>
        <v/>
      </c>
      <c r="J596" s="192" t="str">
        <f aca="false">IF(AND('JUNIO 2026'!D75&lt;&gt;"",'JUNIO 2026'!Z75="POR RECOGER"),'JUNIO 2026'!Q75,"")</f>
        <v/>
      </c>
      <c r="K596" s="192" t="str">
        <f aca="false">IF(AND('JUNIO 2026'!D75&lt;&gt;"",'JUNIO 2026'!Z75="POR RECOGER"),'JUNIO 2026'!Y75,"")</f>
        <v/>
      </c>
      <c r="L596" s="192" t="str">
        <f aca="false">IF(AND('JUNIO 2026'!D75&lt;&gt;"",'JUNIO 2026'!Z75="POR RECOGER"),'JUNIO 2026'!I75,"")</f>
        <v/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" hidden="false" customHeight="true" outlineLevel="0" collapsed="false">
      <c r="A597" s="192" t="str">
        <f aca="false">IF(AND('JUNIO 2026'!D76&lt;&gt;"",'JUNIO 2026'!Z76="POR RECOGER"),"JUN","")</f>
        <v/>
      </c>
      <c r="B597" s="192" t="str">
        <f aca="false">IF(AND('JUNIO 2026'!D76&lt;&gt;"",'JUNIO 2026'!Z76="POR RECOGER"),IF('JUNIO 2026'!Y76&lt;&gt;"",'JUNIO 2026'!Y76,'JUNIO 2026'!I76),"")</f>
        <v/>
      </c>
      <c r="C597" s="192" t="str">
        <f aca="false">IF(AND('JUNIO 2026'!D76&lt;&gt;"",'JUNIO 2026'!Z76="POR RECOGER"),'JUNIO 2026'!D76,"")</f>
        <v/>
      </c>
      <c r="D597" s="192" t="str">
        <f aca="false">IF(AND('JUNIO 2026'!D76&lt;&gt;"",'JUNIO 2026'!Z76="POR RECOGER"),'JUNIO 2026'!F76,"")</f>
        <v/>
      </c>
      <c r="E597" s="192" t="str">
        <f aca="false">IF(AND('JUNIO 2026'!D76&lt;&gt;"",'JUNIO 2026'!Z76="POR RECOGER"),TEXT('JUNIO 2026'!G76,"DD/MM/YYYY"),"")</f>
        <v/>
      </c>
      <c r="F597" s="192" t="str">
        <f aca="false">IF(AND('JUNIO 2026'!D76&lt;&gt;"",'JUNIO 2026'!Z76="POR RECOGER"),'JUNIO 2026'!K76,"")</f>
        <v/>
      </c>
      <c r="G597" s="193" t="str">
        <f aca="false">IF(AND('JUNIO 2026'!D76&lt;&gt;"",'JUNIO 2026'!Z76="POR RECOGER"),'JUNIO 2026'!M76,"")</f>
        <v/>
      </c>
      <c r="H597" s="193" t="str">
        <f aca="false">IF(AND('JUNIO 2026'!D76&lt;&gt;"",'JUNIO 2026'!Z76="POR RECOGER"),'JUNIO 2026'!N76,"")</f>
        <v/>
      </c>
      <c r="I597" s="192" t="str">
        <f aca="false">IF(AND('JUNIO 2026'!D76&lt;&gt;"",'JUNIO 2026'!Z76="POR RECOGER"),'JUNIO 2026'!P76,"")</f>
        <v/>
      </c>
      <c r="J597" s="192" t="str">
        <f aca="false">IF(AND('JUNIO 2026'!D76&lt;&gt;"",'JUNIO 2026'!Z76="POR RECOGER"),'JUNIO 2026'!Q76,"")</f>
        <v/>
      </c>
      <c r="K597" s="192" t="str">
        <f aca="false">IF(AND('JUNIO 2026'!D76&lt;&gt;"",'JUNIO 2026'!Z76="POR RECOGER"),'JUNIO 2026'!Y76,"")</f>
        <v/>
      </c>
      <c r="L597" s="192" t="str">
        <f aca="false">IF(AND('JUNIO 2026'!D76&lt;&gt;"",'JUNIO 2026'!Z76="POR RECOGER"),'JUNIO 2026'!I76,"")</f>
        <v/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" hidden="false" customHeight="true" outlineLevel="0" collapsed="false">
      <c r="A598" s="192" t="str">
        <f aca="false">IF(AND('JUNIO 2026'!D77&lt;&gt;"",'JUNIO 2026'!Z77="POR RECOGER"),"JUN","")</f>
        <v/>
      </c>
      <c r="B598" s="192" t="str">
        <f aca="false">IF(AND('JUNIO 2026'!D77&lt;&gt;"",'JUNIO 2026'!Z77="POR RECOGER"),IF('JUNIO 2026'!Y77&lt;&gt;"",'JUNIO 2026'!Y77,'JUNIO 2026'!I77),"")</f>
        <v/>
      </c>
      <c r="C598" s="192" t="str">
        <f aca="false">IF(AND('JUNIO 2026'!D77&lt;&gt;"",'JUNIO 2026'!Z77="POR RECOGER"),'JUNIO 2026'!D77,"")</f>
        <v/>
      </c>
      <c r="D598" s="192" t="str">
        <f aca="false">IF(AND('JUNIO 2026'!D77&lt;&gt;"",'JUNIO 2026'!Z77="POR RECOGER"),'JUNIO 2026'!F77,"")</f>
        <v/>
      </c>
      <c r="E598" s="192" t="str">
        <f aca="false">IF(AND('JUNIO 2026'!D77&lt;&gt;"",'JUNIO 2026'!Z77="POR RECOGER"),TEXT('JUNIO 2026'!G77,"DD/MM/YYYY"),"")</f>
        <v/>
      </c>
      <c r="F598" s="192" t="str">
        <f aca="false">IF(AND('JUNIO 2026'!D77&lt;&gt;"",'JUNIO 2026'!Z77="POR RECOGER"),'JUNIO 2026'!K77,"")</f>
        <v/>
      </c>
      <c r="G598" s="193" t="str">
        <f aca="false">IF(AND('JUNIO 2026'!D77&lt;&gt;"",'JUNIO 2026'!Z77="POR RECOGER"),'JUNIO 2026'!M77,"")</f>
        <v/>
      </c>
      <c r="H598" s="193" t="str">
        <f aca="false">IF(AND('JUNIO 2026'!D77&lt;&gt;"",'JUNIO 2026'!Z77="POR RECOGER"),'JUNIO 2026'!N77,"")</f>
        <v/>
      </c>
      <c r="I598" s="192" t="str">
        <f aca="false">IF(AND('JUNIO 2026'!D77&lt;&gt;"",'JUNIO 2026'!Z77="POR RECOGER"),'JUNIO 2026'!P77,"")</f>
        <v/>
      </c>
      <c r="J598" s="192" t="str">
        <f aca="false">IF(AND('JUNIO 2026'!D77&lt;&gt;"",'JUNIO 2026'!Z77="POR RECOGER"),'JUNIO 2026'!Q77,"")</f>
        <v/>
      </c>
      <c r="K598" s="192" t="str">
        <f aca="false">IF(AND('JUNIO 2026'!D77&lt;&gt;"",'JUNIO 2026'!Z77="POR RECOGER"),'JUNIO 2026'!Y77,"")</f>
        <v/>
      </c>
      <c r="L598" s="192" t="str">
        <f aca="false">IF(AND('JUNIO 2026'!D77&lt;&gt;"",'JUNIO 2026'!Z77="POR RECOGER"),'JUNIO 2026'!I77,"")</f>
        <v/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" hidden="false" customHeight="true" outlineLevel="0" collapsed="false">
      <c r="A599" s="192" t="str">
        <f aca="false">IF(AND('JUNIO 2026'!D78&lt;&gt;"",'JUNIO 2026'!Z78="POR RECOGER"),"JUN","")</f>
        <v/>
      </c>
      <c r="B599" s="192" t="str">
        <f aca="false">IF(AND('JUNIO 2026'!D78&lt;&gt;"",'JUNIO 2026'!Z78="POR RECOGER"),IF('JUNIO 2026'!Y78&lt;&gt;"",'JUNIO 2026'!Y78,'JUNIO 2026'!I78),"")</f>
        <v/>
      </c>
      <c r="C599" s="192" t="str">
        <f aca="false">IF(AND('JUNIO 2026'!D78&lt;&gt;"",'JUNIO 2026'!Z78="POR RECOGER"),'JUNIO 2026'!D78,"")</f>
        <v/>
      </c>
      <c r="D599" s="192" t="str">
        <f aca="false">IF(AND('JUNIO 2026'!D78&lt;&gt;"",'JUNIO 2026'!Z78="POR RECOGER"),'JUNIO 2026'!F78,"")</f>
        <v/>
      </c>
      <c r="E599" s="192" t="str">
        <f aca="false">IF(AND('JUNIO 2026'!D78&lt;&gt;"",'JUNIO 2026'!Z78="POR RECOGER"),TEXT('JUNIO 2026'!G78,"DD/MM/YYYY"),"")</f>
        <v/>
      </c>
      <c r="F599" s="192" t="str">
        <f aca="false">IF(AND('JUNIO 2026'!D78&lt;&gt;"",'JUNIO 2026'!Z78="POR RECOGER"),'JUNIO 2026'!K78,"")</f>
        <v/>
      </c>
      <c r="G599" s="193" t="str">
        <f aca="false">IF(AND('JUNIO 2026'!D78&lt;&gt;"",'JUNIO 2026'!Z78="POR RECOGER"),'JUNIO 2026'!M78,"")</f>
        <v/>
      </c>
      <c r="H599" s="193" t="str">
        <f aca="false">IF(AND('JUNIO 2026'!D78&lt;&gt;"",'JUNIO 2026'!Z78="POR RECOGER"),'JUNIO 2026'!N78,"")</f>
        <v/>
      </c>
      <c r="I599" s="192" t="str">
        <f aca="false">IF(AND('JUNIO 2026'!D78&lt;&gt;"",'JUNIO 2026'!Z78="POR RECOGER"),'JUNIO 2026'!P78,"")</f>
        <v/>
      </c>
      <c r="J599" s="192" t="str">
        <f aca="false">IF(AND('JUNIO 2026'!D78&lt;&gt;"",'JUNIO 2026'!Z78="POR RECOGER"),'JUNIO 2026'!Q78,"")</f>
        <v/>
      </c>
      <c r="K599" s="192" t="str">
        <f aca="false">IF(AND('JUNIO 2026'!D78&lt;&gt;"",'JUNIO 2026'!Z78="POR RECOGER"),'JUNIO 2026'!Y78,"")</f>
        <v/>
      </c>
      <c r="L599" s="192" t="str">
        <f aca="false">IF(AND('JUNIO 2026'!D78&lt;&gt;"",'JUNIO 2026'!Z78="POR RECOGER"),'JUNIO 2026'!I78,"")</f>
        <v/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" hidden="false" customHeight="true" outlineLevel="0" collapsed="false">
      <c r="A600" s="192" t="str">
        <f aca="false">IF(AND('JUNIO 2026'!D79&lt;&gt;"",'JUNIO 2026'!Z79="POR RECOGER"),"JUN","")</f>
        <v/>
      </c>
      <c r="B600" s="192" t="str">
        <f aca="false">IF(AND('JUNIO 2026'!D79&lt;&gt;"",'JUNIO 2026'!Z79="POR RECOGER"),IF('JUNIO 2026'!Y79&lt;&gt;"",'JUNIO 2026'!Y79,'JUNIO 2026'!I79),"")</f>
        <v/>
      </c>
      <c r="C600" s="192" t="str">
        <f aca="false">IF(AND('JUNIO 2026'!D79&lt;&gt;"",'JUNIO 2026'!Z79="POR RECOGER"),'JUNIO 2026'!D79,"")</f>
        <v/>
      </c>
      <c r="D600" s="192" t="str">
        <f aca="false">IF(AND('JUNIO 2026'!D79&lt;&gt;"",'JUNIO 2026'!Z79="POR RECOGER"),'JUNIO 2026'!F79,"")</f>
        <v/>
      </c>
      <c r="E600" s="192" t="str">
        <f aca="false">IF(AND('JUNIO 2026'!D79&lt;&gt;"",'JUNIO 2026'!Z79="POR RECOGER"),TEXT('JUNIO 2026'!G79,"DD/MM/YYYY"),"")</f>
        <v/>
      </c>
      <c r="F600" s="192" t="str">
        <f aca="false">IF(AND('JUNIO 2026'!D79&lt;&gt;"",'JUNIO 2026'!Z79="POR RECOGER"),'JUNIO 2026'!K79,"")</f>
        <v/>
      </c>
      <c r="G600" s="193" t="str">
        <f aca="false">IF(AND('JUNIO 2026'!D79&lt;&gt;"",'JUNIO 2026'!Z79="POR RECOGER"),'JUNIO 2026'!M79,"")</f>
        <v/>
      </c>
      <c r="H600" s="193" t="str">
        <f aca="false">IF(AND('JUNIO 2026'!D79&lt;&gt;"",'JUNIO 2026'!Z79="POR RECOGER"),'JUNIO 2026'!N79,"")</f>
        <v/>
      </c>
      <c r="I600" s="192" t="str">
        <f aca="false">IF(AND('JUNIO 2026'!D79&lt;&gt;"",'JUNIO 2026'!Z79="POR RECOGER"),'JUNIO 2026'!P79,"")</f>
        <v/>
      </c>
      <c r="J600" s="192" t="str">
        <f aca="false">IF(AND('JUNIO 2026'!D79&lt;&gt;"",'JUNIO 2026'!Z79="POR RECOGER"),'JUNIO 2026'!Q79,"")</f>
        <v/>
      </c>
      <c r="K600" s="192" t="str">
        <f aca="false">IF(AND('JUNIO 2026'!D79&lt;&gt;"",'JUNIO 2026'!Z79="POR RECOGER"),'JUNIO 2026'!Y79,"")</f>
        <v/>
      </c>
      <c r="L600" s="192" t="str">
        <f aca="false">IF(AND('JUNIO 2026'!D79&lt;&gt;"",'JUNIO 2026'!Z79="POR RECOGER"),'JUNIO 2026'!I79,"")</f>
        <v/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" hidden="false" customHeight="true" outlineLevel="0" collapsed="false">
      <c r="A601" s="192" t="str">
        <f aca="false">IF(AND('JUNIO 2026'!D80&lt;&gt;"",'JUNIO 2026'!Z80="POR RECOGER"),"JUN","")</f>
        <v/>
      </c>
      <c r="B601" s="192" t="str">
        <f aca="false">IF(AND('JUNIO 2026'!D80&lt;&gt;"",'JUNIO 2026'!Z80="POR RECOGER"),IF('JUNIO 2026'!Y80&lt;&gt;"",'JUNIO 2026'!Y80,'JUNIO 2026'!I80),"")</f>
        <v/>
      </c>
      <c r="C601" s="192" t="str">
        <f aca="false">IF(AND('JUNIO 2026'!D80&lt;&gt;"",'JUNIO 2026'!Z80="POR RECOGER"),'JUNIO 2026'!D80,"")</f>
        <v/>
      </c>
      <c r="D601" s="192" t="str">
        <f aca="false">IF(AND('JUNIO 2026'!D80&lt;&gt;"",'JUNIO 2026'!Z80="POR RECOGER"),'JUNIO 2026'!F80,"")</f>
        <v/>
      </c>
      <c r="E601" s="192" t="str">
        <f aca="false">IF(AND('JUNIO 2026'!D80&lt;&gt;"",'JUNIO 2026'!Z80="POR RECOGER"),TEXT('JUNIO 2026'!G80,"DD/MM/YYYY"),"")</f>
        <v/>
      </c>
      <c r="F601" s="192" t="str">
        <f aca="false">IF(AND('JUNIO 2026'!D80&lt;&gt;"",'JUNIO 2026'!Z80="POR RECOGER"),'JUNIO 2026'!K80,"")</f>
        <v/>
      </c>
      <c r="G601" s="193" t="str">
        <f aca="false">IF(AND('JUNIO 2026'!D80&lt;&gt;"",'JUNIO 2026'!Z80="POR RECOGER"),'JUNIO 2026'!M80,"")</f>
        <v/>
      </c>
      <c r="H601" s="193" t="str">
        <f aca="false">IF(AND('JUNIO 2026'!D80&lt;&gt;"",'JUNIO 2026'!Z80="POR RECOGER"),'JUNIO 2026'!N80,"")</f>
        <v/>
      </c>
      <c r="I601" s="192" t="str">
        <f aca="false">IF(AND('JUNIO 2026'!D80&lt;&gt;"",'JUNIO 2026'!Z80="POR RECOGER"),'JUNIO 2026'!P80,"")</f>
        <v/>
      </c>
      <c r="J601" s="192" t="str">
        <f aca="false">IF(AND('JUNIO 2026'!D80&lt;&gt;"",'JUNIO 2026'!Z80="POR RECOGER"),'JUNIO 2026'!Q80,"")</f>
        <v/>
      </c>
      <c r="K601" s="192" t="str">
        <f aca="false">IF(AND('JUNIO 2026'!D80&lt;&gt;"",'JUNIO 2026'!Z80="POR RECOGER"),'JUNIO 2026'!Y80,"")</f>
        <v/>
      </c>
      <c r="L601" s="192" t="str">
        <f aca="false">IF(AND('JUNIO 2026'!D80&lt;&gt;"",'JUNIO 2026'!Z80="POR RECOGER"),'JUNIO 2026'!I80,"")</f>
        <v/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" hidden="false" customHeight="true" outlineLevel="0" collapsed="false">
      <c r="A602" s="192" t="str">
        <f aca="false">IF(AND('JUNIO 2026'!D81&lt;&gt;"",'JUNIO 2026'!Z81="POR RECOGER"),"JUN","")</f>
        <v/>
      </c>
      <c r="B602" s="192" t="str">
        <f aca="false">IF(AND('JUNIO 2026'!D81&lt;&gt;"",'JUNIO 2026'!Z81="POR RECOGER"),IF('JUNIO 2026'!Y81&lt;&gt;"",'JUNIO 2026'!Y81,'JUNIO 2026'!I81),"")</f>
        <v/>
      </c>
      <c r="C602" s="192" t="str">
        <f aca="false">IF(AND('JUNIO 2026'!D81&lt;&gt;"",'JUNIO 2026'!Z81="POR RECOGER"),'JUNIO 2026'!D81,"")</f>
        <v/>
      </c>
      <c r="D602" s="192" t="str">
        <f aca="false">IF(AND('JUNIO 2026'!D81&lt;&gt;"",'JUNIO 2026'!Z81="POR RECOGER"),'JUNIO 2026'!F81,"")</f>
        <v/>
      </c>
      <c r="E602" s="192" t="str">
        <f aca="false">IF(AND('JUNIO 2026'!D81&lt;&gt;"",'JUNIO 2026'!Z81="POR RECOGER"),TEXT('JUNIO 2026'!G81,"DD/MM/YYYY"),"")</f>
        <v/>
      </c>
      <c r="F602" s="192" t="str">
        <f aca="false">IF(AND('JUNIO 2026'!D81&lt;&gt;"",'JUNIO 2026'!Z81="POR RECOGER"),'JUNIO 2026'!K81,"")</f>
        <v/>
      </c>
      <c r="G602" s="193" t="str">
        <f aca="false">IF(AND('JUNIO 2026'!D81&lt;&gt;"",'JUNIO 2026'!Z81="POR RECOGER"),'JUNIO 2026'!M81,"")</f>
        <v/>
      </c>
      <c r="H602" s="193" t="str">
        <f aca="false">IF(AND('JUNIO 2026'!D81&lt;&gt;"",'JUNIO 2026'!Z81="POR RECOGER"),'JUNIO 2026'!N81,"")</f>
        <v/>
      </c>
      <c r="I602" s="192" t="str">
        <f aca="false">IF(AND('JUNIO 2026'!D81&lt;&gt;"",'JUNIO 2026'!Z81="POR RECOGER"),'JUNIO 2026'!P81,"")</f>
        <v/>
      </c>
      <c r="J602" s="192" t="str">
        <f aca="false">IF(AND('JUNIO 2026'!D81&lt;&gt;"",'JUNIO 2026'!Z81="POR RECOGER"),'JUNIO 2026'!Q81,"")</f>
        <v/>
      </c>
      <c r="K602" s="192" t="str">
        <f aca="false">IF(AND('JUNIO 2026'!D81&lt;&gt;"",'JUNIO 2026'!Z81="POR RECOGER"),'JUNIO 2026'!Y81,"")</f>
        <v/>
      </c>
      <c r="L602" s="192" t="str">
        <f aca="false">IF(AND('JUNIO 2026'!D81&lt;&gt;"",'JUNIO 2026'!Z81="POR RECOGER"),'JUNIO 2026'!I81,"")</f>
        <v/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" hidden="false" customHeight="true" outlineLevel="0" collapsed="false">
      <c r="A603" s="192" t="str">
        <f aca="false">IF(AND('JUNIO 2026'!D82&lt;&gt;"",'JUNIO 2026'!Z82="POR RECOGER"),"JUN","")</f>
        <v/>
      </c>
      <c r="B603" s="192" t="str">
        <f aca="false">IF(AND('JUNIO 2026'!D82&lt;&gt;"",'JUNIO 2026'!Z82="POR RECOGER"),IF('JUNIO 2026'!Y82&lt;&gt;"",'JUNIO 2026'!Y82,'JUNIO 2026'!I82),"")</f>
        <v/>
      </c>
      <c r="C603" s="192" t="str">
        <f aca="false">IF(AND('JUNIO 2026'!D82&lt;&gt;"",'JUNIO 2026'!Z82="POR RECOGER"),'JUNIO 2026'!D82,"")</f>
        <v/>
      </c>
      <c r="D603" s="192" t="str">
        <f aca="false">IF(AND('JUNIO 2026'!D82&lt;&gt;"",'JUNIO 2026'!Z82="POR RECOGER"),'JUNIO 2026'!F82,"")</f>
        <v/>
      </c>
      <c r="E603" s="192" t="str">
        <f aca="false">IF(AND('JUNIO 2026'!D82&lt;&gt;"",'JUNIO 2026'!Z82="POR RECOGER"),TEXT('JUNIO 2026'!G82,"DD/MM/YYYY"),"")</f>
        <v/>
      </c>
      <c r="F603" s="192" t="str">
        <f aca="false">IF(AND('JUNIO 2026'!D82&lt;&gt;"",'JUNIO 2026'!Z82="POR RECOGER"),'JUNIO 2026'!K82,"")</f>
        <v/>
      </c>
      <c r="G603" s="193" t="str">
        <f aca="false">IF(AND('JUNIO 2026'!D82&lt;&gt;"",'JUNIO 2026'!Z82="POR RECOGER"),'JUNIO 2026'!M82,"")</f>
        <v/>
      </c>
      <c r="H603" s="193" t="str">
        <f aca="false">IF(AND('JUNIO 2026'!D82&lt;&gt;"",'JUNIO 2026'!Z82="POR RECOGER"),'JUNIO 2026'!N82,"")</f>
        <v/>
      </c>
      <c r="I603" s="192" t="str">
        <f aca="false">IF(AND('JUNIO 2026'!D82&lt;&gt;"",'JUNIO 2026'!Z82="POR RECOGER"),'JUNIO 2026'!P82,"")</f>
        <v/>
      </c>
      <c r="J603" s="192" t="str">
        <f aca="false">IF(AND('JUNIO 2026'!D82&lt;&gt;"",'JUNIO 2026'!Z82="POR RECOGER"),'JUNIO 2026'!Q82,"")</f>
        <v/>
      </c>
      <c r="K603" s="192" t="str">
        <f aca="false">IF(AND('JUNIO 2026'!D82&lt;&gt;"",'JUNIO 2026'!Z82="POR RECOGER"),'JUNIO 2026'!Y82,"")</f>
        <v/>
      </c>
      <c r="L603" s="192" t="str">
        <f aca="false">IF(AND('JUNIO 2026'!D82&lt;&gt;"",'JUNIO 2026'!Z82="POR RECOGER"),'JUNIO 2026'!I82,"")</f>
        <v/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" hidden="false" customHeight="true" outlineLevel="0" collapsed="false">
      <c r="A604" s="192" t="str">
        <f aca="false">IF(AND('JUNIO 2026'!D83&lt;&gt;"",'JUNIO 2026'!Z83="POR RECOGER"),"JUN","")</f>
        <v/>
      </c>
      <c r="B604" s="192" t="str">
        <f aca="false">IF(AND('JUNIO 2026'!D83&lt;&gt;"",'JUNIO 2026'!Z83="POR RECOGER"),IF('JUNIO 2026'!Y83&lt;&gt;"",'JUNIO 2026'!Y83,'JUNIO 2026'!I83),"")</f>
        <v/>
      </c>
      <c r="C604" s="192" t="str">
        <f aca="false">IF(AND('JUNIO 2026'!D83&lt;&gt;"",'JUNIO 2026'!Z83="POR RECOGER"),'JUNIO 2026'!D83,"")</f>
        <v/>
      </c>
      <c r="D604" s="192" t="str">
        <f aca="false">IF(AND('JUNIO 2026'!D83&lt;&gt;"",'JUNIO 2026'!Z83="POR RECOGER"),'JUNIO 2026'!F83,"")</f>
        <v/>
      </c>
      <c r="E604" s="192" t="str">
        <f aca="false">IF(AND('JUNIO 2026'!D83&lt;&gt;"",'JUNIO 2026'!Z83="POR RECOGER"),TEXT('JUNIO 2026'!G83,"DD/MM/YYYY"),"")</f>
        <v/>
      </c>
      <c r="F604" s="192" t="str">
        <f aca="false">IF(AND('JUNIO 2026'!D83&lt;&gt;"",'JUNIO 2026'!Z83="POR RECOGER"),'JUNIO 2026'!K83,"")</f>
        <v/>
      </c>
      <c r="G604" s="193" t="str">
        <f aca="false">IF(AND('JUNIO 2026'!D83&lt;&gt;"",'JUNIO 2026'!Z83="POR RECOGER"),'JUNIO 2026'!M83,"")</f>
        <v/>
      </c>
      <c r="H604" s="193" t="str">
        <f aca="false">IF(AND('JUNIO 2026'!D83&lt;&gt;"",'JUNIO 2026'!Z83="POR RECOGER"),'JUNIO 2026'!N83,"")</f>
        <v/>
      </c>
      <c r="I604" s="192" t="str">
        <f aca="false">IF(AND('JUNIO 2026'!D83&lt;&gt;"",'JUNIO 2026'!Z83="POR RECOGER"),'JUNIO 2026'!P83,"")</f>
        <v/>
      </c>
      <c r="J604" s="192" t="str">
        <f aca="false">IF(AND('JUNIO 2026'!D83&lt;&gt;"",'JUNIO 2026'!Z83="POR RECOGER"),'JUNIO 2026'!Q83,"")</f>
        <v/>
      </c>
      <c r="K604" s="192" t="str">
        <f aca="false">IF(AND('JUNIO 2026'!D83&lt;&gt;"",'JUNIO 2026'!Z83="POR RECOGER"),'JUNIO 2026'!Y83,"")</f>
        <v/>
      </c>
      <c r="L604" s="192" t="str">
        <f aca="false">IF(AND('JUNIO 2026'!D83&lt;&gt;"",'JUNIO 2026'!Z83="POR RECOGER"),'JUNIO 2026'!I83,"")</f>
        <v/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" hidden="false" customHeight="true" outlineLevel="0" collapsed="false">
      <c r="A605" s="192" t="str">
        <f aca="false">IF(AND('JUNIO 2026'!D84&lt;&gt;"",'JUNIO 2026'!Z84="POR RECOGER"),"JUN","")</f>
        <v/>
      </c>
      <c r="B605" s="192" t="str">
        <f aca="false">IF(AND('JUNIO 2026'!D84&lt;&gt;"",'JUNIO 2026'!Z84="POR RECOGER"),IF('JUNIO 2026'!Y84&lt;&gt;"",'JUNIO 2026'!Y84,'JUNIO 2026'!I84),"")</f>
        <v/>
      </c>
      <c r="C605" s="192" t="str">
        <f aca="false">IF(AND('JUNIO 2026'!D84&lt;&gt;"",'JUNIO 2026'!Z84="POR RECOGER"),'JUNIO 2026'!D84,"")</f>
        <v/>
      </c>
      <c r="D605" s="192" t="str">
        <f aca="false">IF(AND('JUNIO 2026'!D84&lt;&gt;"",'JUNIO 2026'!Z84="POR RECOGER"),'JUNIO 2026'!F84,"")</f>
        <v/>
      </c>
      <c r="E605" s="192" t="str">
        <f aca="false">IF(AND('JUNIO 2026'!D84&lt;&gt;"",'JUNIO 2026'!Z84="POR RECOGER"),TEXT('JUNIO 2026'!G84,"DD/MM/YYYY"),"")</f>
        <v/>
      </c>
      <c r="F605" s="192" t="str">
        <f aca="false">IF(AND('JUNIO 2026'!D84&lt;&gt;"",'JUNIO 2026'!Z84="POR RECOGER"),'JUNIO 2026'!K84,"")</f>
        <v/>
      </c>
      <c r="G605" s="193" t="str">
        <f aca="false">IF(AND('JUNIO 2026'!D84&lt;&gt;"",'JUNIO 2026'!Z84="POR RECOGER"),'JUNIO 2026'!M84,"")</f>
        <v/>
      </c>
      <c r="H605" s="193" t="str">
        <f aca="false">IF(AND('JUNIO 2026'!D84&lt;&gt;"",'JUNIO 2026'!Z84="POR RECOGER"),'JUNIO 2026'!N84,"")</f>
        <v/>
      </c>
      <c r="I605" s="192" t="str">
        <f aca="false">IF(AND('JUNIO 2026'!D84&lt;&gt;"",'JUNIO 2026'!Z84="POR RECOGER"),'JUNIO 2026'!P84,"")</f>
        <v/>
      </c>
      <c r="J605" s="192" t="str">
        <f aca="false">IF(AND('JUNIO 2026'!D84&lt;&gt;"",'JUNIO 2026'!Z84="POR RECOGER"),'JUNIO 2026'!Q84,"")</f>
        <v/>
      </c>
      <c r="K605" s="192" t="str">
        <f aca="false">IF(AND('JUNIO 2026'!D84&lt;&gt;"",'JUNIO 2026'!Z84="POR RECOGER"),'JUNIO 2026'!Y84,"")</f>
        <v/>
      </c>
      <c r="L605" s="192" t="str">
        <f aca="false">IF(AND('JUNIO 2026'!D84&lt;&gt;"",'JUNIO 2026'!Z84="POR RECOGER"),'JUNIO 2026'!I84,"")</f>
        <v/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" hidden="false" customHeight="true" outlineLevel="0" collapsed="false">
      <c r="A606" s="192" t="str">
        <f aca="false">IF(AND('JUNIO 2026'!D85&lt;&gt;"",'JUNIO 2026'!Z85="POR RECOGER"),"JUN","")</f>
        <v/>
      </c>
      <c r="B606" s="192" t="str">
        <f aca="false">IF(AND('JUNIO 2026'!D85&lt;&gt;"",'JUNIO 2026'!Z85="POR RECOGER"),IF('JUNIO 2026'!Y85&lt;&gt;"",'JUNIO 2026'!Y85,'JUNIO 2026'!I85),"")</f>
        <v/>
      </c>
      <c r="C606" s="192" t="str">
        <f aca="false">IF(AND('JUNIO 2026'!D85&lt;&gt;"",'JUNIO 2026'!Z85="POR RECOGER"),'JUNIO 2026'!D85,"")</f>
        <v/>
      </c>
      <c r="D606" s="192" t="str">
        <f aca="false">IF(AND('JUNIO 2026'!D85&lt;&gt;"",'JUNIO 2026'!Z85="POR RECOGER"),'JUNIO 2026'!F85,"")</f>
        <v/>
      </c>
      <c r="E606" s="192" t="str">
        <f aca="false">IF(AND('JUNIO 2026'!D85&lt;&gt;"",'JUNIO 2026'!Z85="POR RECOGER"),TEXT('JUNIO 2026'!G85,"DD/MM/YYYY"),"")</f>
        <v/>
      </c>
      <c r="F606" s="192" t="str">
        <f aca="false">IF(AND('JUNIO 2026'!D85&lt;&gt;"",'JUNIO 2026'!Z85="POR RECOGER"),'JUNIO 2026'!K85,"")</f>
        <v/>
      </c>
      <c r="G606" s="193" t="str">
        <f aca="false">IF(AND('JUNIO 2026'!D85&lt;&gt;"",'JUNIO 2026'!Z85="POR RECOGER"),'JUNIO 2026'!M85,"")</f>
        <v/>
      </c>
      <c r="H606" s="193" t="str">
        <f aca="false">IF(AND('JUNIO 2026'!D85&lt;&gt;"",'JUNIO 2026'!Z85="POR RECOGER"),'JUNIO 2026'!N85,"")</f>
        <v/>
      </c>
      <c r="I606" s="192" t="str">
        <f aca="false">IF(AND('JUNIO 2026'!D85&lt;&gt;"",'JUNIO 2026'!Z85="POR RECOGER"),'JUNIO 2026'!P85,"")</f>
        <v/>
      </c>
      <c r="J606" s="192" t="str">
        <f aca="false">IF(AND('JUNIO 2026'!D85&lt;&gt;"",'JUNIO 2026'!Z85="POR RECOGER"),'JUNIO 2026'!Q85,"")</f>
        <v/>
      </c>
      <c r="K606" s="192" t="str">
        <f aca="false">IF(AND('JUNIO 2026'!D85&lt;&gt;"",'JUNIO 2026'!Z85="POR RECOGER"),'JUNIO 2026'!Y85,"")</f>
        <v/>
      </c>
      <c r="L606" s="192" t="str">
        <f aca="false">IF(AND('JUNIO 2026'!D85&lt;&gt;"",'JUNIO 2026'!Z85="POR RECOGER"),'JUNIO 2026'!I85,"")</f>
        <v/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" hidden="false" customHeight="true" outlineLevel="0" collapsed="false">
      <c r="A607" s="192" t="str">
        <f aca="false">IF(AND('JUNIO 2026'!D86&lt;&gt;"",'JUNIO 2026'!Z86="POR RECOGER"),"JUN","")</f>
        <v/>
      </c>
      <c r="B607" s="192" t="str">
        <f aca="false">IF(AND('JUNIO 2026'!D86&lt;&gt;"",'JUNIO 2026'!Z86="POR RECOGER"),IF('JUNIO 2026'!Y86&lt;&gt;"",'JUNIO 2026'!Y86,'JUNIO 2026'!I86),"")</f>
        <v/>
      </c>
      <c r="C607" s="192" t="str">
        <f aca="false">IF(AND('JUNIO 2026'!D86&lt;&gt;"",'JUNIO 2026'!Z86="POR RECOGER"),'JUNIO 2026'!D86,"")</f>
        <v/>
      </c>
      <c r="D607" s="192" t="str">
        <f aca="false">IF(AND('JUNIO 2026'!D86&lt;&gt;"",'JUNIO 2026'!Z86="POR RECOGER"),'JUNIO 2026'!F86,"")</f>
        <v/>
      </c>
      <c r="E607" s="192" t="str">
        <f aca="false">IF(AND('JUNIO 2026'!D86&lt;&gt;"",'JUNIO 2026'!Z86="POR RECOGER"),TEXT('JUNIO 2026'!G86,"DD/MM/YYYY"),"")</f>
        <v/>
      </c>
      <c r="F607" s="192" t="str">
        <f aca="false">IF(AND('JUNIO 2026'!D86&lt;&gt;"",'JUNIO 2026'!Z86="POR RECOGER"),'JUNIO 2026'!K86,"")</f>
        <v/>
      </c>
      <c r="G607" s="193" t="str">
        <f aca="false">IF(AND('JUNIO 2026'!D86&lt;&gt;"",'JUNIO 2026'!Z86="POR RECOGER"),'JUNIO 2026'!M86,"")</f>
        <v/>
      </c>
      <c r="H607" s="193" t="str">
        <f aca="false">IF(AND('JUNIO 2026'!D86&lt;&gt;"",'JUNIO 2026'!Z86="POR RECOGER"),'JUNIO 2026'!N86,"")</f>
        <v/>
      </c>
      <c r="I607" s="192" t="str">
        <f aca="false">IF(AND('JUNIO 2026'!D86&lt;&gt;"",'JUNIO 2026'!Z86="POR RECOGER"),'JUNIO 2026'!P86,"")</f>
        <v/>
      </c>
      <c r="J607" s="192" t="str">
        <f aca="false">IF(AND('JUNIO 2026'!D86&lt;&gt;"",'JUNIO 2026'!Z86="POR RECOGER"),'JUNIO 2026'!Q86,"")</f>
        <v/>
      </c>
      <c r="K607" s="192" t="str">
        <f aca="false">IF(AND('JUNIO 2026'!D86&lt;&gt;"",'JUNIO 2026'!Z86="POR RECOGER"),'JUNIO 2026'!Y86,"")</f>
        <v/>
      </c>
      <c r="L607" s="192" t="str">
        <f aca="false">IF(AND('JUNIO 2026'!D86&lt;&gt;"",'JUNIO 2026'!Z86="POR RECOGER"),'JUNIO 2026'!I86,"")</f>
        <v/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" hidden="false" customHeight="true" outlineLevel="0" collapsed="false">
      <c r="A608" s="192" t="str">
        <f aca="false">IF(AND('JUNIO 2026'!D87&lt;&gt;"",'JUNIO 2026'!Z87="POR RECOGER"),"JUN","")</f>
        <v/>
      </c>
      <c r="B608" s="192" t="str">
        <f aca="false">IF(AND('JUNIO 2026'!D87&lt;&gt;"",'JUNIO 2026'!Z87="POR RECOGER"),IF('JUNIO 2026'!Y87&lt;&gt;"",'JUNIO 2026'!Y87,'JUNIO 2026'!I87),"")</f>
        <v/>
      </c>
      <c r="C608" s="192" t="str">
        <f aca="false">IF(AND('JUNIO 2026'!D87&lt;&gt;"",'JUNIO 2026'!Z87="POR RECOGER"),'JUNIO 2026'!D87,"")</f>
        <v/>
      </c>
      <c r="D608" s="192" t="str">
        <f aca="false">IF(AND('JUNIO 2026'!D87&lt;&gt;"",'JUNIO 2026'!Z87="POR RECOGER"),'JUNIO 2026'!F87,"")</f>
        <v/>
      </c>
      <c r="E608" s="192" t="str">
        <f aca="false">IF(AND('JUNIO 2026'!D87&lt;&gt;"",'JUNIO 2026'!Z87="POR RECOGER"),TEXT('JUNIO 2026'!G87,"DD/MM/YYYY"),"")</f>
        <v/>
      </c>
      <c r="F608" s="192" t="str">
        <f aca="false">IF(AND('JUNIO 2026'!D87&lt;&gt;"",'JUNIO 2026'!Z87="POR RECOGER"),'JUNIO 2026'!K87,"")</f>
        <v/>
      </c>
      <c r="G608" s="193" t="str">
        <f aca="false">IF(AND('JUNIO 2026'!D87&lt;&gt;"",'JUNIO 2026'!Z87="POR RECOGER"),'JUNIO 2026'!M87,"")</f>
        <v/>
      </c>
      <c r="H608" s="193" t="str">
        <f aca="false">IF(AND('JUNIO 2026'!D87&lt;&gt;"",'JUNIO 2026'!Z87="POR RECOGER"),'JUNIO 2026'!N87,"")</f>
        <v/>
      </c>
      <c r="I608" s="192" t="str">
        <f aca="false">IF(AND('JUNIO 2026'!D87&lt;&gt;"",'JUNIO 2026'!Z87="POR RECOGER"),'JUNIO 2026'!P87,"")</f>
        <v/>
      </c>
      <c r="J608" s="192" t="str">
        <f aca="false">IF(AND('JUNIO 2026'!D87&lt;&gt;"",'JUNIO 2026'!Z87="POR RECOGER"),'JUNIO 2026'!Q87,"")</f>
        <v/>
      </c>
      <c r="K608" s="192" t="str">
        <f aca="false">IF(AND('JUNIO 2026'!D87&lt;&gt;"",'JUNIO 2026'!Z87="POR RECOGER"),'JUNIO 2026'!Y87,"")</f>
        <v/>
      </c>
      <c r="L608" s="192" t="str">
        <f aca="false">IF(AND('JUNIO 2026'!D87&lt;&gt;"",'JUNIO 2026'!Z87="POR RECOGER"),'JUNIO 2026'!I87,"")</f>
        <v/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" hidden="false" customHeight="true" outlineLevel="0" collapsed="false">
      <c r="A609" s="192" t="str">
        <f aca="false">IF(AND('JUNIO 2026'!D88&lt;&gt;"",'JUNIO 2026'!Z88="POR RECOGER"),"JUN","")</f>
        <v/>
      </c>
      <c r="B609" s="192" t="str">
        <f aca="false">IF(AND('JUNIO 2026'!D88&lt;&gt;"",'JUNIO 2026'!Z88="POR RECOGER"),IF('JUNIO 2026'!Y88&lt;&gt;"",'JUNIO 2026'!Y88,'JUNIO 2026'!I88),"")</f>
        <v/>
      </c>
      <c r="C609" s="192" t="str">
        <f aca="false">IF(AND('JUNIO 2026'!D88&lt;&gt;"",'JUNIO 2026'!Z88="POR RECOGER"),'JUNIO 2026'!D88,"")</f>
        <v/>
      </c>
      <c r="D609" s="192" t="str">
        <f aca="false">IF(AND('JUNIO 2026'!D88&lt;&gt;"",'JUNIO 2026'!Z88="POR RECOGER"),'JUNIO 2026'!F88,"")</f>
        <v/>
      </c>
      <c r="E609" s="192" t="str">
        <f aca="false">IF(AND('JUNIO 2026'!D88&lt;&gt;"",'JUNIO 2026'!Z88="POR RECOGER"),TEXT('JUNIO 2026'!G88,"DD/MM/YYYY"),"")</f>
        <v/>
      </c>
      <c r="F609" s="192" t="str">
        <f aca="false">IF(AND('JUNIO 2026'!D88&lt;&gt;"",'JUNIO 2026'!Z88="POR RECOGER"),'JUNIO 2026'!K88,"")</f>
        <v/>
      </c>
      <c r="G609" s="193" t="str">
        <f aca="false">IF(AND('JUNIO 2026'!D88&lt;&gt;"",'JUNIO 2026'!Z88="POR RECOGER"),'JUNIO 2026'!M88,"")</f>
        <v/>
      </c>
      <c r="H609" s="193" t="str">
        <f aca="false">IF(AND('JUNIO 2026'!D88&lt;&gt;"",'JUNIO 2026'!Z88="POR RECOGER"),'JUNIO 2026'!N88,"")</f>
        <v/>
      </c>
      <c r="I609" s="192" t="str">
        <f aca="false">IF(AND('JUNIO 2026'!D88&lt;&gt;"",'JUNIO 2026'!Z88="POR RECOGER"),'JUNIO 2026'!P88,"")</f>
        <v/>
      </c>
      <c r="J609" s="192" t="str">
        <f aca="false">IF(AND('JUNIO 2026'!D88&lt;&gt;"",'JUNIO 2026'!Z88="POR RECOGER"),'JUNIO 2026'!Q88,"")</f>
        <v/>
      </c>
      <c r="K609" s="192" t="str">
        <f aca="false">IF(AND('JUNIO 2026'!D88&lt;&gt;"",'JUNIO 2026'!Z88="POR RECOGER"),'JUNIO 2026'!Y88,"")</f>
        <v/>
      </c>
      <c r="L609" s="192" t="str">
        <f aca="false">IF(AND('JUNIO 2026'!D88&lt;&gt;"",'JUNIO 2026'!Z88="POR RECOGER"),'JUNIO 2026'!I88,"")</f>
        <v/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" hidden="false" customHeight="true" outlineLevel="0" collapsed="false">
      <c r="A610" s="192" t="str">
        <f aca="false">IF(AND('JUNIO 2026'!D89&lt;&gt;"",'JUNIO 2026'!Z89="POR RECOGER"),"JUN","")</f>
        <v/>
      </c>
      <c r="B610" s="192" t="str">
        <f aca="false">IF(AND('JUNIO 2026'!D89&lt;&gt;"",'JUNIO 2026'!Z89="POR RECOGER"),IF('JUNIO 2026'!Y89&lt;&gt;"",'JUNIO 2026'!Y89,'JUNIO 2026'!I89),"")</f>
        <v/>
      </c>
      <c r="C610" s="192" t="str">
        <f aca="false">IF(AND('JUNIO 2026'!D89&lt;&gt;"",'JUNIO 2026'!Z89="POR RECOGER"),'JUNIO 2026'!D89,"")</f>
        <v/>
      </c>
      <c r="D610" s="192" t="str">
        <f aca="false">IF(AND('JUNIO 2026'!D89&lt;&gt;"",'JUNIO 2026'!Z89="POR RECOGER"),'JUNIO 2026'!F89,"")</f>
        <v/>
      </c>
      <c r="E610" s="192" t="str">
        <f aca="false">IF(AND('JUNIO 2026'!D89&lt;&gt;"",'JUNIO 2026'!Z89="POR RECOGER"),TEXT('JUNIO 2026'!G89,"DD/MM/YYYY"),"")</f>
        <v/>
      </c>
      <c r="F610" s="192" t="str">
        <f aca="false">IF(AND('JUNIO 2026'!D89&lt;&gt;"",'JUNIO 2026'!Z89="POR RECOGER"),'JUNIO 2026'!K89,"")</f>
        <v/>
      </c>
      <c r="G610" s="193" t="str">
        <f aca="false">IF(AND('JUNIO 2026'!D89&lt;&gt;"",'JUNIO 2026'!Z89="POR RECOGER"),'JUNIO 2026'!M89,"")</f>
        <v/>
      </c>
      <c r="H610" s="193" t="str">
        <f aca="false">IF(AND('JUNIO 2026'!D89&lt;&gt;"",'JUNIO 2026'!Z89="POR RECOGER"),'JUNIO 2026'!N89,"")</f>
        <v/>
      </c>
      <c r="I610" s="192" t="str">
        <f aca="false">IF(AND('JUNIO 2026'!D89&lt;&gt;"",'JUNIO 2026'!Z89="POR RECOGER"),'JUNIO 2026'!P89,"")</f>
        <v/>
      </c>
      <c r="J610" s="192" t="str">
        <f aca="false">IF(AND('JUNIO 2026'!D89&lt;&gt;"",'JUNIO 2026'!Z89="POR RECOGER"),'JUNIO 2026'!Q89,"")</f>
        <v/>
      </c>
      <c r="K610" s="192" t="str">
        <f aca="false">IF(AND('JUNIO 2026'!D89&lt;&gt;"",'JUNIO 2026'!Z89="POR RECOGER"),'JUNIO 2026'!Y89,"")</f>
        <v/>
      </c>
      <c r="L610" s="192" t="str">
        <f aca="false">IF(AND('JUNIO 2026'!D89&lt;&gt;"",'JUNIO 2026'!Z89="POR RECOGER"),'JUNIO 2026'!I89,"")</f>
        <v/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" hidden="false" customHeight="true" outlineLevel="0" collapsed="false">
      <c r="A611" s="192" t="str">
        <f aca="false">IF(AND('JUNIO 2026'!D90&lt;&gt;"",'JUNIO 2026'!Z90="POR RECOGER"),"JUN","")</f>
        <v/>
      </c>
      <c r="B611" s="192" t="str">
        <f aca="false">IF(AND('JUNIO 2026'!D90&lt;&gt;"",'JUNIO 2026'!Z90="POR RECOGER"),IF('JUNIO 2026'!Y90&lt;&gt;"",'JUNIO 2026'!Y90,'JUNIO 2026'!I90),"")</f>
        <v/>
      </c>
      <c r="C611" s="192" t="str">
        <f aca="false">IF(AND('JUNIO 2026'!D90&lt;&gt;"",'JUNIO 2026'!Z90="POR RECOGER"),'JUNIO 2026'!D90,"")</f>
        <v/>
      </c>
      <c r="D611" s="192" t="str">
        <f aca="false">IF(AND('JUNIO 2026'!D90&lt;&gt;"",'JUNIO 2026'!Z90="POR RECOGER"),'JUNIO 2026'!F90,"")</f>
        <v/>
      </c>
      <c r="E611" s="192" t="str">
        <f aca="false">IF(AND('JUNIO 2026'!D90&lt;&gt;"",'JUNIO 2026'!Z90="POR RECOGER"),TEXT('JUNIO 2026'!G90,"DD/MM/YYYY"),"")</f>
        <v/>
      </c>
      <c r="F611" s="192" t="str">
        <f aca="false">IF(AND('JUNIO 2026'!D90&lt;&gt;"",'JUNIO 2026'!Z90="POR RECOGER"),'JUNIO 2026'!K90,"")</f>
        <v/>
      </c>
      <c r="G611" s="193" t="str">
        <f aca="false">IF(AND('JUNIO 2026'!D90&lt;&gt;"",'JUNIO 2026'!Z90="POR RECOGER"),'JUNIO 2026'!M90,"")</f>
        <v/>
      </c>
      <c r="H611" s="193" t="str">
        <f aca="false">IF(AND('JUNIO 2026'!D90&lt;&gt;"",'JUNIO 2026'!Z90="POR RECOGER"),'JUNIO 2026'!N90,"")</f>
        <v/>
      </c>
      <c r="I611" s="192" t="str">
        <f aca="false">IF(AND('JUNIO 2026'!D90&lt;&gt;"",'JUNIO 2026'!Z90="POR RECOGER"),'JUNIO 2026'!P90,"")</f>
        <v/>
      </c>
      <c r="J611" s="192" t="str">
        <f aca="false">IF(AND('JUNIO 2026'!D90&lt;&gt;"",'JUNIO 2026'!Z90="POR RECOGER"),'JUNIO 2026'!Q90,"")</f>
        <v/>
      </c>
      <c r="K611" s="192" t="str">
        <f aca="false">IF(AND('JUNIO 2026'!D90&lt;&gt;"",'JUNIO 2026'!Z90="POR RECOGER"),'JUNIO 2026'!Y90,"")</f>
        <v/>
      </c>
      <c r="L611" s="192" t="str">
        <f aca="false">IF(AND('JUNIO 2026'!D90&lt;&gt;"",'JUNIO 2026'!Z90="POR RECOGER"),'JUNIO 2026'!I90,"")</f>
        <v/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" hidden="false" customHeight="true" outlineLevel="0" collapsed="false">
      <c r="A612" s="192" t="str">
        <f aca="false">IF(AND('JUNIO 2026'!D91&lt;&gt;"",'JUNIO 2026'!Z91="POR RECOGER"),"JUN","")</f>
        <v/>
      </c>
      <c r="B612" s="192" t="str">
        <f aca="false">IF(AND('JUNIO 2026'!D91&lt;&gt;"",'JUNIO 2026'!Z91="POR RECOGER"),IF('JUNIO 2026'!Y91&lt;&gt;"",'JUNIO 2026'!Y91,'JUNIO 2026'!I91),"")</f>
        <v/>
      </c>
      <c r="C612" s="192" t="str">
        <f aca="false">IF(AND('JUNIO 2026'!D91&lt;&gt;"",'JUNIO 2026'!Z91="POR RECOGER"),'JUNIO 2026'!D91,"")</f>
        <v/>
      </c>
      <c r="D612" s="192" t="str">
        <f aca="false">IF(AND('JUNIO 2026'!D91&lt;&gt;"",'JUNIO 2026'!Z91="POR RECOGER"),'JUNIO 2026'!F91,"")</f>
        <v/>
      </c>
      <c r="E612" s="192" t="str">
        <f aca="false">IF(AND('JUNIO 2026'!D91&lt;&gt;"",'JUNIO 2026'!Z91="POR RECOGER"),TEXT('JUNIO 2026'!G91,"DD/MM/YYYY"),"")</f>
        <v/>
      </c>
      <c r="F612" s="192" t="str">
        <f aca="false">IF(AND('JUNIO 2026'!D91&lt;&gt;"",'JUNIO 2026'!Z91="POR RECOGER"),'JUNIO 2026'!K91,"")</f>
        <v/>
      </c>
      <c r="G612" s="193" t="str">
        <f aca="false">IF(AND('JUNIO 2026'!D91&lt;&gt;"",'JUNIO 2026'!Z91="POR RECOGER"),'JUNIO 2026'!M91,"")</f>
        <v/>
      </c>
      <c r="H612" s="193" t="str">
        <f aca="false">IF(AND('JUNIO 2026'!D91&lt;&gt;"",'JUNIO 2026'!Z91="POR RECOGER"),'JUNIO 2026'!N91,"")</f>
        <v/>
      </c>
      <c r="I612" s="192" t="str">
        <f aca="false">IF(AND('JUNIO 2026'!D91&lt;&gt;"",'JUNIO 2026'!Z91="POR RECOGER"),'JUNIO 2026'!P91,"")</f>
        <v/>
      </c>
      <c r="J612" s="192" t="str">
        <f aca="false">IF(AND('JUNIO 2026'!D91&lt;&gt;"",'JUNIO 2026'!Z91="POR RECOGER"),'JUNIO 2026'!Q91,"")</f>
        <v/>
      </c>
      <c r="K612" s="192" t="str">
        <f aca="false">IF(AND('JUNIO 2026'!D91&lt;&gt;"",'JUNIO 2026'!Z91="POR RECOGER"),'JUNIO 2026'!Y91,"")</f>
        <v/>
      </c>
      <c r="L612" s="192" t="str">
        <f aca="false">IF(AND('JUNIO 2026'!D91&lt;&gt;"",'JUNIO 2026'!Z91="POR RECOGER"),'JUNIO 2026'!I91,"")</f>
        <v/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" hidden="false" customHeight="true" outlineLevel="0" collapsed="false">
      <c r="A613" s="192" t="str">
        <f aca="false">IF(AND('JUNIO 2026'!D92&lt;&gt;"",'JUNIO 2026'!Z92="POR RECOGER"),"JUN","")</f>
        <v/>
      </c>
      <c r="B613" s="192" t="str">
        <f aca="false">IF(AND('JUNIO 2026'!D92&lt;&gt;"",'JUNIO 2026'!Z92="POR RECOGER"),IF('JUNIO 2026'!Y92&lt;&gt;"",'JUNIO 2026'!Y92,'JUNIO 2026'!I92),"")</f>
        <v/>
      </c>
      <c r="C613" s="192" t="str">
        <f aca="false">IF(AND('JUNIO 2026'!D92&lt;&gt;"",'JUNIO 2026'!Z92="POR RECOGER"),'JUNIO 2026'!D92,"")</f>
        <v/>
      </c>
      <c r="D613" s="192" t="str">
        <f aca="false">IF(AND('JUNIO 2026'!D92&lt;&gt;"",'JUNIO 2026'!Z92="POR RECOGER"),'JUNIO 2026'!F92,"")</f>
        <v/>
      </c>
      <c r="E613" s="192" t="str">
        <f aca="false">IF(AND('JUNIO 2026'!D92&lt;&gt;"",'JUNIO 2026'!Z92="POR RECOGER"),TEXT('JUNIO 2026'!G92,"DD/MM/YYYY"),"")</f>
        <v/>
      </c>
      <c r="F613" s="192" t="str">
        <f aca="false">IF(AND('JUNIO 2026'!D92&lt;&gt;"",'JUNIO 2026'!Z92="POR RECOGER"),'JUNIO 2026'!K92,"")</f>
        <v/>
      </c>
      <c r="G613" s="193" t="str">
        <f aca="false">IF(AND('JUNIO 2026'!D92&lt;&gt;"",'JUNIO 2026'!Z92="POR RECOGER"),'JUNIO 2026'!M92,"")</f>
        <v/>
      </c>
      <c r="H613" s="193" t="str">
        <f aca="false">IF(AND('JUNIO 2026'!D92&lt;&gt;"",'JUNIO 2026'!Z92="POR RECOGER"),'JUNIO 2026'!N92,"")</f>
        <v/>
      </c>
      <c r="I613" s="192" t="str">
        <f aca="false">IF(AND('JUNIO 2026'!D92&lt;&gt;"",'JUNIO 2026'!Z92="POR RECOGER"),'JUNIO 2026'!P92,"")</f>
        <v/>
      </c>
      <c r="J613" s="192" t="str">
        <f aca="false">IF(AND('JUNIO 2026'!D92&lt;&gt;"",'JUNIO 2026'!Z92="POR RECOGER"),'JUNIO 2026'!Q92,"")</f>
        <v/>
      </c>
      <c r="K613" s="192" t="str">
        <f aca="false">IF(AND('JUNIO 2026'!D92&lt;&gt;"",'JUNIO 2026'!Z92="POR RECOGER"),'JUNIO 2026'!Y92,"")</f>
        <v/>
      </c>
      <c r="L613" s="192" t="str">
        <f aca="false">IF(AND('JUNIO 2026'!D92&lt;&gt;"",'JUNIO 2026'!Z92="POR RECOGER"),'JUNIO 2026'!I92,"")</f>
        <v/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" hidden="false" customHeight="true" outlineLevel="0" collapsed="false">
      <c r="A614" s="192" t="str">
        <f aca="false">IF(AND('JUNIO 2026'!D93&lt;&gt;"",'JUNIO 2026'!Z93="POR RECOGER"),"JUN","")</f>
        <v/>
      </c>
      <c r="B614" s="192" t="str">
        <f aca="false">IF(AND('JUNIO 2026'!D93&lt;&gt;"",'JUNIO 2026'!Z93="POR RECOGER"),IF('JUNIO 2026'!Y93&lt;&gt;"",'JUNIO 2026'!Y93,'JUNIO 2026'!I93),"")</f>
        <v/>
      </c>
      <c r="C614" s="192" t="str">
        <f aca="false">IF(AND('JUNIO 2026'!D93&lt;&gt;"",'JUNIO 2026'!Z93="POR RECOGER"),'JUNIO 2026'!D93,"")</f>
        <v/>
      </c>
      <c r="D614" s="192" t="str">
        <f aca="false">IF(AND('JUNIO 2026'!D93&lt;&gt;"",'JUNIO 2026'!Z93="POR RECOGER"),'JUNIO 2026'!F93,"")</f>
        <v/>
      </c>
      <c r="E614" s="192" t="str">
        <f aca="false">IF(AND('JUNIO 2026'!D93&lt;&gt;"",'JUNIO 2026'!Z93="POR RECOGER"),TEXT('JUNIO 2026'!G93,"DD/MM/YYYY"),"")</f>
        <v/>
      </c>
      <c r="F614" s="192" t="str">
        <f aca="false">IF(AND('JUNIO 2026'!D93&lt;&gt;"",'JUNIO 2026'!Z93="POR RECOGER"),'JUNIO 2026'!K93,"")</f>
        <v/>
      </c>
      <c r="G614" s="193" t="str">
        <f aca="false">IF(AND('JUNIO 2026'!D93&lt;&gt;"",'JUNIO 2026'!Z93="POR RECOGER"),'JUNIO 2026'!M93,"")</f>
        <v/>
      </c>
      <c r="H614" s="193" t="str">
        <f aca="false">IF(AND('JUNIO 2026'!D93&lt;&gt;"",'JUNIO 2026'!Z93="POR RECOGER"),'JUNIO 2026'!N93,"")</f>
        <v/>
      </c>
      <c r="I614" s="192" t="str">
        <f aca="false">IF(AND('JUNIO 2026'!D93&lt;&gt;"",'JUNIO 2026'!Z93="POR RECOGER"),'JUNIO 2026'!P93,"")</f>
        <v/>
      </c>
      <c r="J614" s="192" t="str">
        <f aca="false">IF(AND('JUNIO 2026'!D93&lt;&gt;"",'JUNIO 2026'!Z93="POR RECOGER"),'JUNIO 2026'!Q93,"")</f>
        <v/>
      </c>
      <c r="K614" s="192" t="str">
        <f aca="false">IF(AND('JUNIO 2026'!D93&lt;&gt;"",'JUNIO 2026'!Z93="POR RECOGER"),'JUNIO 2026'!Y93,"")</f>
        <v/>
      </c>
      <c r="L614" s="192" t="str">
        <f aca="false">IF(AND('JUNIO 2026'!D93&lt;&gt;"",'JUNIO 2026'!Z93="POR RECOGER"),'JUNIO 2026'!I93,"")</f>
        <v/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" hidden="false" customHeight="true" outlineLevel="0" collapsed="false">
      <c r="A615" s="192" t="str">
        <f aca="false">IF(AND('JUNIO 2026'!D94&lt;&gt;"",'JUNIO 2026'!Z94="POR RECOGER"),"JUN","")</f>
        <v/>
      </c>
      <c r="B615" s="192" t="str">
        <f aca="false">IF(AND('JUNIO 2026'!D94&lt;&gt;"",'JUNIO 2026'!Z94="POR RECOGER"),IF('JUNIO 2026'!Y94&lt;&gt;"",'JUNIO 2026'!Y94,'JUNIO 2026'!I94),"")</f>
        <v/>
      </c>
      <c r="C615" s="192" t="str">
        <f aca="false">IF(AND('JUNIO 2026'!D94&lt;&gt;"",'JUNIO 2026'!Z94="POR RECOGER"),'JUNIO 2026'!D94,"")</f>
        <v/>
      </c>
      <c r="D615" s="192" t="str">
        <f aca="false">IF(AND('JUNIO 2026'!D94&lt;&gt;"",'JUNIO 2026'!Z94="POR RECOGER"),'JUNIO 2026'!F94,"")</f>
        <v/>
      </c>
      <c r="E615" s="192" t="str">
        <f aca="false">IF(AND('JUNIO 2026'!D94&lt;&gt;"",'JUNIO 2026'!Z94="POR RECOGER"),TEXT('JUNIO 2026'!G94,"DD/MM/YYYY"),"")</f>
        <v/>
      </c>
      <c r="F615" s="192" t="str">
        <f aca="false">IF(AND('JUNIO 2026'!D94&lt;&gt;"",'JUNIO 2026'!Z94="POR RECOGER"),'JUNIO 2026'!K94,"")</f>
        <v/>
      </c>
      <c r="G615" s="193" t="str">
        <f aca="false">IF(AND('JUNIO 2026'!D94&lt;&gt;"",'JUNIO 2026'!Z94="POR RECOGER"),'JUNIO 2026'!M94,"")</f>
        <v/>
      </c>
      <c r="H615" s="193" t="str">
        <f aca="false">IF(AND('JUNIO 2026'!D94&lt;&gt;"",'JUNIO 2026'!Z94="POR RECOGER"),'JUNIO 2026'!N94,"")</f>
        <v/>
      </c>
      <c r="I615" s="192" t="str">
        <f aca="false">IF(AND('JUNIO 2026'!D94&lt;&gt;"",'JUNIO 2026'!Z94="POR RECOGER"),'JUNIO 2026'!P94,"")</f>
        <v/>
      </c>
      <c r="J615" s="192" t="str">
        <f aca="false">IF(AND('JUNIO 2026'!D94&lt;&gt;"",'JUNIO 2026'!Z94="POR RECOGER"),'JUNIO 2026'!Q94,"")</f>
        <v/>
      </c>
      <c r="K615" s="192" t="str">
        <f aca="false">IF(AND('JUNIO 2026'!D94&lt;&gt;"",'JUNIO 2026'!Z94="POR RECOGER"),'JUNIO 2026'!Y94,"")</f>
        <v/>
      </c>
      <c r="L615" s="192" t="str">
        <f aca="false">IF(AND('JUNIO 2026'!D94&lt;&gt;"",'JUNIO 2026'!Z94="POR RECOGER"),'JUNIO 2026'!I94,"")</f>
        <v/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" hidden="false" customHeight="true" outlineLevel="0" collapsed="false">
      <c r="A616" s="192" t="str">
        <f aca="false">IF(AND('JUNIO 2026'!D95&lt;&gt;"",'JUNIO 2026'!Z95="POR RECOGER"),"JUN","")</f>
        <v/>
      </c>
      <c r="B616" s="192" t="str">
        <f aca="false">IF(AND('JUNIO 2026'!D95&lt;&gt;"",'JUNIO 2026'!Z95="POR RECOGER"),IF('JUNIO 2026'!Y95&lt;&gt;"",'JUNIO 2026'!Y95,'JUNIO 2026'!I95),"")</f>
        <v/>
      </c>
      <c r="C616" s="192" t="str">
        <f aca="false">IF(AND('JUNIO 2026'!D95&lt;&gt;"",'JUNIO 2026'!Z95="POR RECOGER"),'JUNIO 2026'!D95,"")</f>
        <v/>
      </c>
      <c r="D616" s="192" t="str">
        <f aca="false">IF(AND('JUNIO 2026'!D95&lt;&gt;"",'JUNIO 2026'!Z95="POR RECOGER"),'JUNIO 2026'!F95,"")</f>
        <v/>
      </c>
      <c r="E616" s="192" t="str">
        <f aca="false">IF(AND('JUNIO 2026'!D95&lt;&gt;"",'JUNIO 2026'!Z95="POR RECOGER"),TEXT('JUNIO 2026'!G95,"DD/MM/YYYY"),"")</f>
        <v/>
      </c>
      <c r="F616" s="192" t="str">
        <f aca="false">IF(AND('JUNIO 2026'!D95&lt;&gt;"",'JUNIO 2026'!Z95="POR RECOGER"),'JUNIO 2026'!K95,"")</f>
        <v/>
      </c>
      <c r="G616" s="193" t="str">
        <f aca="false">IF(AND('JUNIO 2026'!D95&lt;&gt;"",'JUNIO 2026'!Z95="POR RECOGER"),'JUNIO 2026'!M95,"")</f>
        <v/>
      </c>
      <c r="H616" s="193" t="str">
        <f aca="false">IF(AND('JUNIO 2026'!D95&lt;&gt;"",'JUNIO 2026'!Z95="POR RECOGER"),'JUNIO 2026'!N95,"")</f>
        <v/>
      </c>
      <c r="I616" s="192" t="str">
        <f aca="false">IF(AND('JUNIO 2026'!D95&lt;&gt;"",'JUNIO 2026'!Z95="POR RECOGER"),'JUNIO 2026'!P95,"")</f>
        <v/>
      </c>
      <c r="J616" s="192" t="str">
        <f aca="false">IF(AND('JUNIO 2026'!D95&lt;&gt;"",'JUNIO 2026'!Z95="POR RECOGER"),'JUNIO 2026'!Q95,"")</f>
        <v/>
      </c>
      <c r="K616" s="192" t="str">
        <f aca="false">IF(AND('JUNIO 2026'!D95&lt;&gt;"",'JUNIO 2026'!Z95="POR RECOGER"),'JUNIO 2026'!Y95,"")</f>
        <v/>
      </c>
      <c r="L616" s="192" t="str">
        <f aca="false">IF(AND('JUNIO 2026'!D95&lt;&gt;"",'JUNIO 2026'!Z95="POR RECOGER"),'JUNIO 2026'!I95,"")</f>
        <v/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" hidden="false" customHeight="true" outlineLevel="0" collapsed="false">
      <c r="A617" s="192" t="str">
        <f aca="false">IF(AND('JUNIO 2026'!D96&lt;&gt;"",'JUNIO 2026'!Z96="POR RECOGER"),"JUN","")</f>
        <v/>
      </c>
      <c r="B617" s="192" t="str">
        <f aca="false">IF(AND('JUNIO 2026'!D96&lt;&gt;"",'JUNIO 2026'!Z96="POR RECOGER"),IF('JUNIO 2026'!Y96&lt;&gt;"",'JUNIO 2026'!Y96,'JUNIO 2026'!I96),"")</f>
        <v/>
      </c>
      <c r="C617" s="192" t="str">
        <f aca="false">IF(AND('JUNIO 2026'!D96&lt;&gt;"",'JUNIO 2026'!Z96="POR RECOGER"),'JUNIO 2026'!D96,"")</f>
        <v/>
      </c>
      <c r="D617" s="192" t="str">
        <f aca="false">IF(AND('JUNIO 2026'!D96&lt;&gt;"",'JUNIO 2026'!Z96="POR RECOGER"),'JUNIO 2026'!F96,"")</f>
        <v/>
      </c>
      <c r="E617" s="192" t="str">
        <f aca="false">IF(AND('JUNIO 2026'!D96&lt;&gt;"",'JUNIO 2026'!Z96="POR RECOGER"),TEXT('JUNIO 2026'!G96,"DD/MM/YYYY"),"")</f>
        <v/>
      </c>
      <c r="F617" s="192" t="str">
        <f aca="false">IF(AND('JUNIO 2026'!D96&lt;&gt;"",'JUNIO 2026'!Z96="POR RECOGER"),'JUNIO 2026'!K96,"")</f>
        <v/>
      </c>
      <c r="G617" s="193" t="str">
        <f aca="false">IF(AND('JUNIO 2026'!D96&lt;&gt;"",'JUNIO 2026'!Z96="POR RECOGER"),'JUNIO 2026'!M96,"")</f>
        <v/>
      </c>
      <c r="H617" s="193" t="str">
        <f aca="false">IF(AND('JUNIO 2026'!D96&lt;&gt;"",'JUNIO 2026'!Z96="POR RECOGER"),'JUNIO 2026'!N96,"")</f>
        <v/>
      </c>
      <c r="I617" s="192" t="str">
        <f aca="false">IF(AND('JUNIO 2026'!D96&lt;&gt;"",'JUNIO 2026'!Z96="POR RECOGER"),'JUNIO 2026'!P96,"")</f>
        <v/>
      </c>
      <c r="J617" s="192" t="str">
        <f aca="false">IF(AND('JUNIO 2026'!D96&lt;&gt;"",'JUNIO 2026'!Z96="POR RECOGER"),'JUNIO 2026'!Q96,"")</f>
        <v/>
      </c>
      <c r="K617" s="192" t="str">
        <f aca="false">IF(AND('JUNIO 2026'!D96&lt;&gt;"",'JUNIO 2026'!Z96="POR RECOGER"),'JUNIO 2026'!Y96,"")</f>
        <v/>
      </c>
      <c r="L617" s="192" t="str">
        <f aca="false">IF(AND('JUNIO 2026'!D96&lt;&gt;"",'JUNIO 2026'!Z96="POR RECOGER"),'JUNIO 2026'!I96,"")</f>
        <v/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" hidden="false" customHeight="true" outlineLevel="0" collapsed="false">
      <c r="A618" s="192" t="str">
        <f aca="false">IF(AND('JUNIO 2026'!D97&lt;&gt;"",'JUNIO 2026'!Z97="POR RECOGER"),"JUN","")</f>
        <v/>
      </c>
      <c r="B618" s="192" t="str">
        <f aca="false">IF(AND('JUNIO 2026'!D97&lt;&gt;"",'JUNIO 2026'!Z97="POR RECOGER"),IF('JUNIO 2026'!Y97&lt;&gt;"",'JUNIO 2026'!Y97,'JUNIO 2026'!I97),"")</f>
        <v/>
      </c>
      <c r="C618" s="192" t="str">
        <f aca="false">IF(AND('JUNIO 2026'!D97&lt;&gt;"",'JUNIO 2026'!Z97="POR RECOGER"),'JUNIO 2026'!D97,"")</f>
        <v/>
      </c>
      <c r="D618" s="192" t="str">
        <f aca="false">IF(AND('JUNIO 2026'!D97&lt;&gt;"",'JUNIO 2026'!Z97="POR RECOGER"),'JUNIO 2026'!F97,"")</f>
        <v/>
      </c>
      <c r="E618" s="192" t="str">
        <f aca="false">IF(AND('JUNIO 2026'!D97&lt;&gt;"",'JUNIO 2026'!Z97="POR RECOGER"),TEXT('JUNIO 2026'!G97,"DD/MM/YYYY"),"")</f>
        <v/>
      </c>
      <c r="F618" s="192" t="str">
        <f aca="false">IF(AND('JUNIO 2026'!D97&lt;&gt;"",'JUNIO 2026'!Z97="POR RECOGER"),'JUNIO 2026'!K97,"")</f>
        <v/>
      </c>
      <c r="G618" s="193" t="str">
        <f aca="false">IF(AND('JUNIO 2026'!D97&lt;&gt;"",'JUNIO 2026'!Z97="POR RECOGER"),'JUNIO 2026'!M97,"")</f>
        <v/>
      </c>
      <c r="H618" s="193" t="str">
        <f aca="false">IF(AND('JUNIO 2026'!D97&lt;&gt;"",'JUNIO 2026'!Z97="POR RECOGER"),'JUNIO 2026'!N97,"")</f>
        <v/>
      </c>
      <c r="I618" s="192" t="str">
        <f aca="false">IF(AND('JUNIO 2026'!D97&lt;&gt;"",'JUNIO 2026'!Z97="POR RECOGER"),'JUNIO 2026'!P97,"")</f>
        <v/>
      </c>
      <c r="J618" s="192" t="str">
        <f aca="false">IF(AND('JUNIO 2026'!D97&lt;&gt;"",'JUNIO 2026'!Z97="POR RECOGER"),'JUNIO 2026'!Q97,"")</f>
        <v/>
      </c>
      <c r="K618" s="192" t="str">
        <f aca="false">IF(AND('JUNIO 2026'!D97&lt;&gt;"",'JUNIO 2026'!Z97="POR RECOGER"),'JUNIO 2026'!Y97,"")</f>
        <v/>
      </c>
      <c r="L618" s="192" t="str">
        <f aca="false">IF(AND('JUNIO 2026'!D97&lt;&gt;"",'JUNIO 2026'!Z97="POR RECOGER"),'JUNIO 2026'!I97,"")</f>
        <v/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" hidden="false" customHeight="true" outlineLevel="0" collapsed="false">
      <c r="A619" s="192" t="str">
        <f aca="false">IF(AND('JUNIO 2026'!D98&lt;&gt;"",'JUNIO 2026'!Z98="POR RECOGER"),"JUN","")</f>
        <v/>
      </c>
      <c r="B619" s="192" t="str">
        <f aca="false">IF(AND('JUNIO 2026'!D98&lt;&gt;"",'JUNIO 2026'!Z98="POR RECOGER"),IF('JUNIO 2026'!Y98&lt;&gt;"",'JUNIO 2026'!Y98,'JUNIO 2026'!I98),"")</f>
        <v/>
      </c>
      <c r="C619" s="192" t="str">
        <f aca="false">IF(AND('JUNIO 2026'!D98&lt;&gt;"",'JUNIO 2026'!Z98="POR RECOGER"),'JUNIO 2026'!D98,"")</f>
        <v/>
      </c>
      <c r="D619" s="192" t="str">
        <f aca="false">IF(AND('JUNIO 2026'!D98&lt;&gt;"",'JUNIO 2026'!Z98="POR RECOGER"),'JUNIO 2026'!F98,"")</f>
        <v/>
      </c>
      <c r="E619" s="192" t="str">
        <f aca="false">IF(AND('JUNIO 2026'!D98&lt;&gt;"",'JUNIO 2026'!Z98="POR RECOGER"),TEXT('JUNIO 2026'!G98,"DD/MM/YYYY"),"")</f>
        <v/>
      </c>
      <c r="F619" s="192" t="str">
        <f aca="false">IF(AND('JUNIO 2026'!D98&lt;&gt;"",'JUNIO 2026'!Z98="POR RECOGER"),'JUNIO 2026'!K98,"")</f>
        <v/>
      </c>
      <c r="G619" s="193" t="str">
        <f aca="false">IF(AND('JUNIO 2026'!D98&lt;&gt;"",'JUNIO 2026'!Z98="POR RECOGER"),'JUNIO 2026'!M98,"")</f>
        <v/>
      </c>
      <c r="H619" s="193" t="str">
        <f aca="false">IF(AND('JUNIO 2026'!D98&lt;&gt;"",'JUNIO 2026'!Z98="POR RECOGER"),'JUNIO 2026'!N98,"")</f>
        <v/>
      </c>
      <c r="I619" s="192" t="str">
        <f aca="false">IF(AND('JUNIO 2026'!D98&lt;&gt;"",'JUNIO 2026'!Z98="POR RECOGER"),'JUNIO 2026'!P98,"")</f>
        <v/>
      </c>
      <c r="J619" s="192" t="str">
        <f aca="false">IF(AND('JUNIO 2026'!D98&lt;&gt;"",'JUNIO 2026'!Z98="POR RECOGER"),'JUNIO 2026'!Q98,"")</f>
        <v/>
      </c>
      <c r="K619" s="192" t="str">
        <f aca="false">IF(AND('JUNIO 2026'!D98&lt;&gt;"",'JUNIO 2026'!Z98="POR RECOGER"),'JUNIO 2026'!Y98,"")</f>
        <v/>
      </c>
      <c r="L619" s="192" t="str">
        <f aca="false">IF(AND('JUNIO 2026'!D98&lt;&gt;"",'JUNIO 2026'!Z98="POR RECOGER"),'JUNIO 2026'!I98,"")</f>
        <v/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" hidden="false" customHeight="true" outlineLevel="0" collapsed="false">
      <c r="A620" s="192" t="str">
        <f aca="false">IF(AND('JUNIO 2026'!D99&lt;&gt;"",'JUNIO 2026'!Z99="POR RECOGER"),"JUN","")</f>
        <v/>
      </c>
      <c r="B620" s="192" t="str">
        <f aca="false">IF(AND('JUNIO 2026'!D99&lt;&gt;"",'JUNIO 2026'!Z99="POR RECOGER"),IF('JUNIO 2026'!Y99&lt;&gt;"",'JUNIO 2026'!Y99,'JUNIO 2026'!I99),"")</f>
        <v/>
      </c>
      <c r="C620" s="192" t="str">
        <f aca="false">IF(AND('JUNIO 2026'!D99&lt;&gt;"",'JUNIO 2026'!Z99="POR RECOGER"),'JUNIO 2026'!D99,"")</f>
        <v/>
      </c>
      <c r="D620" s="192" t="str">
        <f aca="false">IF(AND('JUNIO 2026'!D99&lt;&gt;"",'JUNIO 2026'!Z99="POR RECOGER"),'JUNIO 2026'!F99,"")</f>
        <v/>
      </c>
      <c r="E620" s="192" t="str">
        <f aca="false">IF(AND('JUNIO 2026'!D99&lt;&gt;"",'JUNIO 2026'!Z99="POR RECOGER"),TEXT('JUNIO 2026'!G99,"DD/MM/YYYY"),"")</f>
        <v/>
      </c>
      <c r="F620" s="192" t="str">
        <f aca="false">IF(AND('JUNIO 2026'!D99&lt;&gt;"",'JUNIO 2026'!Z99="POR RECOGER"),'JUNIO 2026'!K99,"")</f>
        <v/>
      </c>
      <c r="G620" s="193" t="str">
        <f aca="false">IF(AND('JUNIO 2026'!D99&lt;&gt;"",'JUNIO 2026'!Z99="POR RECOGER"),'JUNIO 2026'!M99,"")</f>
        <v/>
      </c>
      <c r="H620" s="193" t="str">
        <f aca="false">IF(AND('JUNIO 2026'!D99&lt;&gt;"",'JUNIO 2026'!Z99="POR RECOGER"),'JUNIO 2026'!N99,"")</f>
        <v/>
      </c>
      <c r="I620" s="192" t="str">
        <f aca="false">IF(AND('JUNIO 2026'!D99&lt;&gt;"",'JUNIO 2026'!Z99="POR RECOGER"),'JUNIO 2026'!P99,"")</f>
        <v/>
      </c>
      <c r="J620" s="192" t="str">
        <f aca="false">IF(AND('JUNIO 2026'!D99&lt;&gt;"",'JUNIO 2026'!Z99="POR RECOGER"),'JUNIO 2026'!Q99,"")</f>
        <v/>
      </c>
      <c r="K620" s="192" t="str">
        <f aca="false">IF(AND('JUNIO 2026'!D99&lt;&gt;"",'JUNIO 2026'!Z99="POR RECOGER"),'JUNIO 2026'!Y99,"")</f>
        <v/>
      </c>
      <c r="L620" s="192" t="str">
        <f aca="false">IF(AND('JUNIO 2026'!D99&lt;&gt;"",'JUNIO 2026'!Z99="POR RECOGER"),'JUNIO 2026'!I99,"")</f>
        <v/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" hidden="false" customHeight="true" outlineLevel="0" collapsed="false">
      <c r="A621" s="192" t="str">
        <f aca="false">IF(AND('JUNIO 2026'!D100&lt;&gt;"",'JUNIO 2026'!Z100="POR RECOGER"),"JUN","")</f>
        <v/>
      </c>
      <c r="B621" s="192" t="str">
        <f aca="false">IF(AND('JUNIO 2026'!D100&lt;&gt;"",'JUNIO 2026'!Z100="POR RECOGER"),IF('JUNIO 2026'!Y100&lt;&gt;"",'JUNIO 2026'!Y100,'JUNIO 2026'!I100),"")</f>
        <v/>
      </c>
      <c r="C621" s="192" t="str">
        <f aca="false">IF(AND('JUNIO 2026'!D100&lt;&gt;"",'JUNIO 2026'!Z100="POR RECOGER"),'JUNIO 2026'!D100,"")</f>
        <v/>
      </c>
      <c r="D621" s="192" t="str">
        <f aca="false">IF(AND('JUNIO 2026'!D100&lt;&gt;"",'JUNIO 2026'!Z100="POR RECOGER"),'JUNIO 2026'!F100,"")</f>
        <v/>
      </c>
      <c r="E621" s="192" t="str">
        <f aca="false">IF(AND('JUNIO 2026'!D100&lt;&gt;"",'JUNIO 2026'!Z100="POR RECOGER"),TEXT('JUNIO 2026'!G100,"DD/MM/YYYY"),"")</f>
        <v/>
      </c>
      <c r="F621" s="192" t="str">
        <f aca="false">IF(AND('JUNIO 2026'!D100&lt;&gt;"",'JUNIO 2026'!Z100="POR RECOGER"),'JUNIO 2026'!K100,"")</f>
        <v/>
      </c>
      <c r="G621" s="193" t="str">
        <f aca="false">IF(AND('JUNIO 2026'!D100&lt;&gt;"",'JUNIO 2026'!Z100="POR RECOGER"),'JUNIO 2026'!M100,"")</f>
        <v/>
      </c>
      <c r="H621" s="193" t="str">
        <f aca="false">IF(AND('JUNIO 2026'!D100&lt;&gt;"",'JUNIO 2026'!Z100="POR RECOGER"),'JUNIO 2026'!N100,"")</f>
        <v/>
      </c>
      <c r="I621" s="192" t="str">
        <f aca="false">IF(AND('JUNIO 2026'!D100&lt;&gt;"",'JUNIO 2026'!Z100="POR RECOGER"),'JUNIO 2026'!P100,"")</f>
        <v/>
      </c>
      <c r="J621" s="192" t="str">
        <f aca="false">IF(AND('JUNIO 2026'!D100&lt;&gt;"",'JUNIO 2026'!Z100="POR RECOGER"),'JUNIO 2026'!Q100,"")</f>
        <v/>
      </c>
      <c r="K621" s="192" t="str">
        <f aca="false">IF(AND('JUNIO 2026'!D100&lt;&gt;"",'JUNIO 2026'!Z100="POR RECOGER"),'JUNIO 2026'!Y100,"")</f>
        <v/>
      </c>
      <c r="L621" s="192" t="str">
        <f aca="false">IF(AND('JUNIO 2026'!D100&lt;&gt;"",'JUNIO 2026'!Z100="POR RECOGER"),'JUNIO 2026'!I100,"")</f>
        <v/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" hidden="false" customHeight="true" outlineLevel="0" collapsed="false">
      <c r="A622" s="192" t="str">
        <f aca="false">IF(AND('JUNIO 2026'!D101&lt;&gt;"",'JUNIO 2026'!Z101="POR RECOGER"),"JUN","")</f>
        <v/>
      </c>
      <c r="B622" s="192" t="str">
        <f aca="false">IF(AND('JUNIO 2026'!D101&lt;&gt;"",'JUNIO 2026'!Z101="POR RECOGER"),IF('JUNIO 2026'!Y101&lt;&gt;"",'JUNIO 2026'!Y101,'JUNIO 2026'!I101),"")</f>
        <v/>
      </c>
      <c r="C622" s="192" t="str">
        <f aca="false">IF(AND('JUNIO 2026'!D101&lt;&gt;"",'JUNIO 2026'!Z101="POR RECOGER"),'JUNIO 2026'!D101,"")</f>
        <v/>
      </c>
      <c r="D622" s="192" t="str">
        <f aca="false">IF(AND('JUNIO 2026'!D101&lt;&gt;"",'JUNIO 2026'!Z101="POR RECOGER"),'JUNIO 2026'!F101,"")</f>
        <v/>
      </c>
      <c r="E622" s="192" t="str">
        <f aca="false">IF(AND('JUNIO 2026'!D101&lt;&gt;"",'JUNIO 2026'!Z101="POR RECOGER"),TEXT('JUNIO 2026'!G101,"DD/MM/YYYY"),"")</f>
        <v/>
      </c>
      <c r="F622" s="192" t="str">
        <f aca="false">IF(AND('JUNIO 2026'!D101&lt;&gt;"",'JUNIO 2026'!Z101="POR RECOGER"),'JUNIO 2026'!K101,"")</f>
        <v/>
      </c>
      <c r="G622" s="193" t="str">
        <f aca="false">IF(AND('JUNIO 2026'!D101&lt;&gt;"",'JUNIO 2026'!Z101="POR RECOGER"),'JUNIO 2026'!M101,"")</f>
        <v/>
      </c>
      <c r="H622" s="193" t="str">
        <f aca="false">IF(AND('JUNIO 2026'!D101&lt;&gt;"",'JUNIO 2026'!Z101="POR RECOGER"),'JUNIO 2026'!N101,"")</f>
        <v/>
      </c>
      <c r="I622" s="192" t="str">
        <f aca="false">IF(AND('JUNIO 2026'!D101&lt;&gt;"",'JUNIO 2026'!Z101="POR RECOGER"),'JUNIO 2026'!P101,"")</f>
        <v/>
      </c>
      <c r="J622" s="192" t="str">
        <f aca="false">IF(AND('JUNIO 2026'!D101&lt;&gt;"",'JUNIO 2026'!Z101="POR RECOGER"),'JUNIO 2026'!Q101,"")</f>
        <v/>
      </c>
      <c r="K622" s="192" t="str">
        <f aca="false">IF(AND('JUNIO 2026'!D101&lt;&gt;"",'JUNIO 2026'!Z101="POR RECOGER"),'JUNIO 2026'!Y101,"")</f>
        <v/>
      </c>
      <c r="L622" s="192" t="str">
        <f aca="false">IF(AND('JUNIO 2026'!D101&lt;&gt;"",'JUNIO 2026'!Z101="POR RECOGER"),'JUNIO 2026'!I101,"")</f>
        <v/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" hidden="false" customHeight="true" outlineLevel="0" collapsed="false">
      <c r="A623" s="192" t="str">
        <f aca="false">IF(AND('JUNIO 2026'!D102&lt;&gt;"",'JUNIO 2026'!Z102="POR RECOGER"),"JUN","")</f>
        <v/>
      </c>
      <c r="B623" s="192" t="str">
        <f aca="false">IF(AND('JUNIO 2026'!D102&lt;&gt;"",'JUNIO 2026'!Z102="POR RECOGER"),IF('JUNIO 2026'!Y102&lt;&gt;"",'JUNIO 2026'!Y102,'JUNIO 2026'!I102),"")</f>
        <v/>
      </c>
      <c r="C623" s="192" t="str">
        <f aca="false">IF(AND('JUNIO 2026'!D102&lt;&gt;"",'JUNIO 2026'!Z102="POR RECOGER"),'JUNIO 2026'!D102,"")</f>
        <v/>
      </c>
      <c r="D623" s="192" t="str">
        <f aca="false">IF(AND('JUNIO 2026'!D102&lt;&gt;"",'JUNIO 2026'!Z102="POR RECOGER"),'JUNIO 2026'!F102,"")</f>
        <v/>
      </c>
      <c r="E623" s="192" t="str">
        <f aca="false">IF(AND('JUNIO 2026'!D102&lt;&gt;"",'JUNIO 2026'!Z102="POR RECOGER"),TEXT('JUNIO 2026'!G102,"DD/MM/YYYY"),"")</f>
        <v/>
      </c>
      <c r="F623" s="192" t="str">
        <f aca="false">IF(AND('JUNIO 2026'!D102&lt;&gt;"",'JUNIO 2026'!Z102="POR RECOGER"),'JUNIO 2026'!K102,"")</f>
        <v/>
      </c>
      <c r="G623" s="193" t="str">
        <f aca="false">IF(AND('JUNIO 2026'!D102&lt;&gt;"",'JUNIO 2026'!Z102="POR RECOGER"),'JUNIO 2026'!M102,"")</f>
        <v/>
      </c>
      <c r="H623" s="193" t="str">
        <f aca="false">IF(AND('JUNIO 2026'!D102&lt;&gt;"",'JUNIO 2026'!Z102="POR RECOGER"),'JUNIO 2026'!N102,"")</f>
        <v/>
      </c>
      <c r="I623" s="192" t="str">
        <f aca="false">IF(AND('JUNIO 2026'!D102&lt;&gt;"",'JUNIO 2026'!Z102="POR RECOGER"),'JUNIO 2026'!P102,"")</f>
        <v/>
      </c>
      <c r="J623" s="192" t="str">
        <f aca="false">IF(AND('JUNIO 2026'!D102&lt;&gt;"",'JUNIO 2026'!Z102="POR RECOGER"),'JUNIO 2026'!Q102,"")</f>
        <v/>
      </c>
      <c r="K623" s="192" t="str">
        <f aca="false">IF(AND('JUNIO 2026'!D102&lt;&gt;"",'JUNIO 2026'!Z102="POR RECOGER"),'JUNIO 2026'!Y102,"")</f>
        <v/>
      </c>
      <c r="L623" s="192" t="str">
        <f aca="false">IF(AND('JUNIO 2026'!D102&lt;&gt;"",'JUNIO 2026'!Z102="POR RECOGER"),'JUNIO 2026'!I102,"")</f>
        <v/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" hidden="false" customHeight="true" outlineLevel="0" collapsed="false">
      <c r="A624" s="192" t="str">
        <f aca="false">IF(AND('JUNIO 2026'!D103&lt;&gt;"",'JUNIO 2026'!Z103="POR RECOGER"),"JUN","")</f>
        <v/>
      </c>
      <c r="B624" s="192" t="str">
        <f aca="false">IF(AND('JUNIO 2026'!D103&lt;&gt;"",'JUNIO 2026'!Z103="POR RECOGER"),IF('JUNIO 2026'!Y103&lt;&gt;"",'JUNIO 2026'!Y103,'JUNIO 2026'!I103),"")</f>
        <v/>
      </c>
      <c r="C624" s="192" t="str">
        <f aca="false">IF(AND('JUNIO 2026'!D103&lt;&gt;"",'JUNIO 2026'!Z103="POR RECOGER"),'JUNIO 2026'!D103,"")</f>
        <v/>
      </c>
      <c r="D624" s="192" t="str">
        <f aca="false">IF(AND('JUNIO 2026'!D103&lt;&gt;"",'JUNIO 2026'!Z103="POR RECOGER"),'JUNIO 2026'!F103,"")</f>
        <v/>
      </c>
      <c r="E624" s="192" t="str">
        <f aca="false">IF(AND('JUNIO 2026'!D103&lt;&gt;"",'JUNIO 2026'!Z103="POR RECOGER"),TEXT('JUNIO 2026'!G103,"DD/MM/YYYY"),"")</f>
        <v/>
      </c>
      <c r="F624" s="192" t="str">
        <f aca="false">IF(AND('JUNIO 2026'!D103&lt;&gt;"",'JUNIO 2026'!Z103="POR RECOGER"),'JUNIO 2026'!K103,"")</f>
        <v/>
      </c>
      <c r="G624" s="193" t="str">
        <f aca="false">IF(AND('JUNIO 2026'!D103&lt;&gt;"",'JUNIO 2026'!Z103="POR RECOGER"),'JUNIO 2026'!M103,"")</f>
        <v/>
      </c>
      <c r="H624" s="193" t="str">
        <f aca="false">IF(AND('JUNIO 2026'!D103&lt;&gt;"",'JUNIO 2026'!Z103="POR RECOGER"),'JUNIO 2026'!N103,"")</f>
        <v/>
      </c>
      <c r="I624" s="192" t="str">
        <f aca="false">IF(AND('JUNIO 2026'!D103&lt;&gt;"",'JUNIO 2026'!Z103="POR RECOGER"),'JUNIO 2026'!P103,"")</f>
        <v/>
      </c>
      <c r="J624" s="192" t="str">
        <f aca="false">IF(AND('JUNIO 2026'!D103&lt;&gt;"",'JUNIO 2026'!Z103="POR RECOGER"),'JUNIO 2026'!Q103,"")</f>
        <v/>
      </c>
      <c r="K624" s="192" t="str">
        <f aca="false">IF(AND('JUNIO 2026'!D103&lt;&gt;"",'JUNIO 2026'!Z103="POR RECOGER"),'JUNIO 2026'!Y103,"")</f>
        <v/>
      </c>
      <c r="L624" s="192" t="str">
        <f aca="false">IF(AND('JUNIO 2026'!D103&lt;&gt;"",'JUNIO 2026'!Z103="POR RECOGER"),'JUNIO 2026'!I103,"")</f>
        <v/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" hidden="false" customHeight="true" outlineLevel="0" collapsed="false">
      <c r="A625" s="192" t="str">
        <f aca="false">IF(AND('JUNIO 2026'!D104&lt;&gt;"",'JUNIO 2026'!Z104="POR RECOGER"),"JUN","")</f>
        <v/>
      </c>
      <c r="B625" s="192" t="str">
        <f aca="false">IF(AND('JUNIO 2026'!D104&lt;&gt;"",'JUNIO 2026'!Z104="POR RECOGER"),IF('JUNIO 2026'!Y104&lt;&gt;"",'JUNIO 2026'!Y104,'JUNIO 2026'!I104),"")</f>
        <v/>
      </c>
      <c r="C625" s="192" t="str">
        <f aca="false">IF(AND('JUNIO 2026'!D104&lt;&gt;"",'JUNIO 2026'!Z104="POR RECOGER"),'JUNIO 2026'!D104,"")</f>
        <v/>
      </c>
      <c r="D625" s="192" t="str">
        <f aca="false">IF(AND('JUNIO 2026'!D104&lt;&gt;"",'JUNIO 2026'!Z104="POR RECOGER"),'JUNIO 2026'!F104,"")</f>
        <v/>
      </c>
      <c r="E625" s="192" t="str">
        <f aca="false">IF(AND('JUNIO 2026'!D104&lt;&gt;"",'JUNIO 2026'!Z104="POR RECOGER"),TEXT('JUNIO 2026'!G104,"DD/MM/YYYY"),"")</f>
        <v/>
      </c>
      <c r="F625" s="192" t="str">
        <f aca="false">IF(AND('JUNIO 2026'!D104&lt;&gt;"",'JUNIO 2026'!Z104="POR RECOGER"),'JUNIO 2026'!K104,"")</f>
        <v/>
      </c>
      <c r="G625" s="193" t="str">
        <f aca="false">IF(AND('JUNIO 2026'!D104&lt;&gt;"",'JUNIO 2026'!Z104="POR RECOGER"),'JUNIO 2026'!M104,"")</f>
        <v/>
      </c>
      <c r="H625" s="193" t="str">
        <f aca="false">IF(AND('JUNIO 2026'!D104&lt;&gt;"",'JUNIO 2026'!Z104="POR RECOGER"),'JUNIO 2026'!N104,"")</f>
        <v/>
      </c>
      <c r="I625" s="192" t="str">
        <f aca="false">IF(AND('JUNIO 2026'!D104&lt;&gt;"",'JUNIO 2026'!Z104="POR RECOGER"),'JUNIO 2026'!P104,"")</f>
        <v/>
      </c>
      <c r="J625" s="192" t="str">
        <f aca="false">IF(AND('JUNIO 2026'!D104&lt;&gt;"",'JUNIO 2026'!Z104="POR RECOGER"),'JUNIO 2026'!Q104,"")</f>
        <v/>
      </c>
      <c r="K625" s="192" t="str">
        <f aca="false">IF(AND('JUNIO 2026'!D104&lt;&gt;"",'JUNIO 2026'!Z104="POR RECOGER"),'JUNIO 2026'!Y104,"")</f>
        <v/>
      </c>
      <c r="L625" s="192" t="str">
        <f aca="false">IF(AND('JUNIO 2026'!D104&lt;&gt;"",'JUNIO 2026'!Z104="POR RECOGER"),'JUNIO 2026'!I104,"")</f>
        <v/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" hidden="false" customHeight="true" outlineLevel="0" collapsed="false">
      <c r="A626" s="192" t="str">
        <f aca="false">IF(AND('JUNIO 2026'!D105&lt;&gt;"",'JUNIO 2026'!Z105="POR RECOGER"),"JUN","")</f>
        <v/>
      </c>
      <c r="B626" s="192" t="str">
        <f aca="false">IF(AND('JUNIO 2026'!D105&lt;&gt;"",'JUNIO 2026'!Z105="POR RECOGER"),IF('JUNIO 2026'!Y105&lt;&gt;"",'JUNIO 2026'!Y105,'JUNIO 2026'!I105),"")</f>
        <v/>
      </c>
      <c r="C626" s="192" t="str">
        <f aca="false">IF(AND('JUNIO 2026'!D105&lt;&gt;"",'JUNIO 2026'!Z105="POR RECOGER"),'JUNIO 2026'!D105,"")</f>
        <v/>
      </c>
      <c r="D626" s="192" t="str">
        <f aca="false">IF(AND('JUNIO 2026'!D105&lt;&gt;"",'JUNIO 2026'!Z105="POR RECOGER"),'JUNIO 2026'!F105,"")</f>
        <v/>
      </c>
      <c r="E626" s="192" t="str">
        <f aca="false">IF(AND('JUNIO 2026'!D105&lt;&gt;"",'JUNIO 2026'!Z105="POR RECOGER"),TEXT('JUNIO 2026'!G105,"DD/MM/YYYY"),"")</f>
        <v/>
      </c>
      <c r="F626" s="192" t="str">
        <f aca="false">IF(AND('JUNIO 2026'!D105&lt;&gt;"",'JUNIO 2026'!Z105="POR RECOGER"),'JUNIO 2026'!K105,"")</f>
        <v/>
      </c>
      <c r="G626" s="193" t="str">
        <f aca="false">IF(AND('JUNIO 2026'!D105&lt;&gt;"",'JUNIO 2026'!Z105="POR RECOGER"),'JUNIO 2026'!M105,"")</f>
        <v/>
      </c>
      <c r="H626" s="193" t="str">
        <f aca="false">IF(AND('JUNIO 2026'!D105&lt;&gt;"",'JUNIO 2026'!Z105="POR RECOGER"),'JUNIO 2026'!N105,"")</f>
        <v/>
      </c>
      <c r="I626" s="192" t="str">
        <f aca="false">IF(AND('JUNIO 2026'!D105&lt;&gt;"",'JUNIO 2026'!Z105="POR RECOGER"),'JUNIO 2026'!P105,"")</f>
        <v/>
      </c>
      <c r="J626" s="192" t="str">
        <f aca="false">IF(AND('JUNIO 2026'!D105&lt;&gt;"",'JUNIO 2026'!Z105="POR RECOGER"),'JUNIO 2026'!Q105,"")</f>
        <v/>
      </c>
      <c r="K626" s="192" t="str">
        <f aca="false">IF(AND('JUNIO 2026'!D105&lt;&gt;"",'JUNIO 2026'!Z105="POR RECOGER"),'JUNIO 2026'!Y105,"")</f>
        <v/>
      </c>
      <c r="L626" s="192" t="str">
        <f aca="false">IF(AND('JUNIO 2026'!D105&lt;&gt;"",'JUNIO 2026'!Z105="POR RECOGER"),'JUNIO 2026'!I105,"")</f>
        <v/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" hidden="false" customHeight="true" outlineLevel="0" collapsed="false">
      <c r="A627" s="192" t="str">
        <f aca="false">IF(AND('JUNIO 2026'!D106&lt;&gt;"",'JUNIO 2026'!Z106="POR RECOGER"),"JUN","")</f>
        <v/>
      </c>
      <c r="B627" s="192" t="str">
        <f aca="false">IF(AND('JUNIO 2026'!D106&lt;&gt;"",'JUNIO 2026'!Z106="POR RECOGER"),IF('JUNIO 2026'!Y106&lt;&gt;"",'JUNIO 2026'!Y106,'JUNIO 2026'!I106),"")</f>
        <v/>
      </c>
      <c r="C627" s="192" t="str">
        <f aca="false">IF(AND('JUNIO 2026'!D106&lt;&gt;"",'JUNIO 2026'!Z106="POR RECOGER"),'JUNIO 2026'!D106,"")</f>
        <v/>
      </c>
      <c r="D627" s="192" t="str">
        <f aca="false">IF(AND('JUNIO 2026'!D106&lt;&gt;"",'JUNIO 2026'!Z106="POR RECOGER"),'JUNIO 2026'!F106,"")</f>
        <v/>
      </c>
      <c r="E627" s="192" t="str">
        <f aca="false">IF(AND('JUNIO 2026'!D106&lt;&gt;"",'JUNIO 2026'!Z106="POR RECOGER"),TEXT('JUNIO 2026'!G106,"DD/MM/YYYY"),"")</f>
        <v/>
      </c>
      <c r="F627" s="192" t="str">
        <f aca="false">IF(AND('JUNIO 2026'!D106&lt;&gt;"",'JUNIO 2026'!Z106="POR RECOGER"),'JUNIO 2026'!K106,"")</f>
        <v/>
      </c>
      <c r="G627" s="193" t="str">
        <f aca="false">IF(AND('JUNIO 2026'!D106&lt;&gt;"",'JUNIO 2026'!Z106="POR RECOGER"),'JUNIO 2026'!M106,"")</f>
        <v/>
      </c>
      <c r="H627" s="193" t="str">
        <f aca="false">IF(AND('JUNIO 2026'!D106&lt;&gt;"",'JUNIO 2026'!Z106="POR RECOGER"),'JUNIO 2026'!N106,"")</f>
        <v/>
      </c>
      <c r="I627" s="192" t="str">
        <f aca="false">IF(AND('JUNIO 2026'!D106&lt;&gt;"",'JUNIO 2026'!Z106="POR RECOGER"),'JUNIO 2026'!P106,"")</f>
        <v/>
      </c>
      <c r="J627" s="192" t="str">
        <f aca="false">IF(AND('JUNIO 2026'!D106&lt;&gt;"",'JUNIO 2026'!Z106="POR RECOGER"),'JUNIO 2026'!Q106,"")</f>
        <v/>
      </c>
      <c r="K627" s="192" t="str">
        <f aca="false">IF(AND('JUNIO 2026'!D106&lt;&gt;"",'JUNIO 2026'!Z106="POR RECOGER"),'JUNIO 2026'!Y106,"")</f>
        <v/>
      </c>
      <c r="L627" s="192" t="str">
        <f aca="false">IF(AND('JUNIO 2026'!D106&lt;&gt;"",'JUNIO 2026'!Z106="POR RECOGER"),'JUNIO 2026'!I106,"")</f>
        <v/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" hidden="false" customHeight="true" outlineLevel="0" collapsed="false">
      <c r="A628" s="192" t="str">
        <f aca="false">IF(AND('JUNIO 2026'!D107&lt;&gt;"",'JUNIO 2026'!Z107="POR RECOGER"),"JUN","")</f>
        <v/>
      </c>
      <c r="B628" s="192" t="str">
        <f aca="false">IF(AND('JUNIO 2026'!D107&lt;&gt;"",'JUNIO 2026'!Z107="POR RECOGER"),IF('JUNIO 2026'!Y107&lt;&gt;"",'JUNIO 2026'!Y107,'JUNIO 2026'!I107),"")</f>
        <v/>
      </c>
      <c r="C628" s="192" t="str">
        <f aca="false">IF(AND('JUNIO 2026'!D107&lt;&gt;"",'JUNIO 2026'!Z107="POR RECOGER"),'JUNIO 2026'!D107,"")</f>
        <v/>
      </c>
      <c r="D628" s="192" t="str">
        <f aca="false">IF(AND('JUNIO 2026'!D107&lt;&gt;"",'JUNIO 2026'!Z107="POR RECOGER"),'JUNIO 2026'!F107,"")</f>
        <v/>
      </c>
      <c r="E628" s="192" t="str">
        <f aca="false">IF(AND('JUNIO 2026'!D107&lt;&gt;"",'JUNIO 2026'!Z107="POR RECOGER"),TEXT('JUNIO 2026'!G107,"DD/MM/YYYY"),"")</f>
        <v/>
      </c>
      <c r="F628" s="192" t="str">
        <f aca="false">IF(AND('JUNIO 2026'!D107&lt;&gt;"",'JUNIO 2026'!Z107="POR RECOGER"),'JUNIO 2026'!K107,"")</f>
        <v/>
      </c>
      <c r="G628" s="193" t="str">
        <f aca="false">IF(AND('JUNIO 2026'!D107&lt;&gt;"",'JUNIO 2026'!Z107="POR RECOGER"),'JUNIO 2026'!M107,"")</f>
        <v/>
      </c>
      <c r="H628" s="193" t="str">
        <f aca="false">IF(AND('JUNIO 2026'!D107&lt;&gt;"",'JUNIO 2026'!Z107="POR RECOGER"),'JUNIO 2026'!N107,"")</f>
        <v/>
      </c>
      <c r="I628" s="192" t="str">
        <f aca="false">IF(AND('JUNIO 2026'!D107&lt;&gt;"",'JUNIO 2026'!Z107="POR RECOGER"),'JUNIO 2026'!P107,"")</f>
        <v/>
      </c>
      <c r="J628" s="192" t="str">
        <f aca="false">IF(AND('JUNIO 2026'!D107&lt;&gt;"",'JUNIO 2026'!Z107="POR RECOGER"),'JUNIO 2026'!Q107,"")</f>
        <v/>
      </c>
      <c r="K628" s="192" t="str">
        <f aca="false">IF(AND('JUNIO 2026'!D107&lt;&gt;"",'JUNIO 2026'!Z107="POR RECOGER"),'JUNIO 2026'!Y107,"")</f>
        <v/>
      </c>
      <c r="L628" s="192" t="str">
        <f aca="false">IF(AND('JUNIO 2026'!D107&lt;&gt;"",'JUNIO 2026'!Z107="POR RECOGER"),'JUNIO 2026'!I107,"")</f>
        <v/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" hidden="false" customHeight="true" outlineLevel="0" collapsed="false">
      <c r="A629" s="192" t="str">
        <f aca="false">IF(AND('JUNIO 2026'!D108&lt;&gt;"",'JUNIO 2026'!Z108="POR RECOGER"),"JUN","")</f>
        <v/>
      </c>
      <c r="B629" s="192" t="str">
        <f aca="false">IF(AND('JUNIO 2026'!D108&lt;&gt;"",'JUNIO 2026'!Z108="POR RECOGER"),IF('JUNIO 2026'!Y108&lt;&gt;"",'JUNIO 2026'!Y108,'JUNIO 2026'!I108),"")</f>
        <v/>
      </c>
      <c r="C629" s="192" t="str">
        <f aca="false">IF(AND('JUNIO 2026'!D108&lt;&gt;"",'JUNIO 2026'!Z108="POR RECOGER"),'JUNIO 2026'!D108,"")</f>
        <v/>
      </c>
      <c r="D629" s="192" t="str">
        <f aca="false">IF(AND('JUNIO 2026'!D108&lt;&gt;"",'JUNIO 2026'!Z108="POR RECOGER"),'JUNIO 2026'!F108,"")</f>
        <v/>
      </c>
      <c r="E629" s="192" t="str">
        <f aca="false">IF(AND('JUNIO 2026'!D108&lt;&gt;"",'JUNIO 2026'!Z108="POR RECOGER"),TEXT('JUNIO 2026'!G108,"DD/MM/YYYY"),"")</f>
        <v/>
      </c>
      <c r="F629" s="192" t="str">
        <f aca="false">IF(AND('JUNIO 2026'!D108&lt;&gt;"",'JUNIO 2026'!Z108="POR RECOGER"),'JUNIO 2026'!K108,"")</f>
        <v/>
      </c>
      <c r="G629" s="193" t="str">
        <f aca="false">IF(AND('JUNIO 2026'!D108&lt;&gt;"",'JUNIO 2026'!Z108="POR RECOGER"),'JUNIO 2026'!M108,"")</f>
        <v/>
      </c>
      <c r="H629" s="193" t="str">
        <f aca="false">IF(AND('JUNIO 2026'!D108&lt;&gt;"",'JUNIO 2026'!Z108="POR RECOGER"),'JUNIO 2026'!N108,"")</f>
        <v/>
      </c>
      <c r="I629" s="192" t="str">
        <f aca="false">IF(AND('JUNIO 2026'!D108&lt;&gt;"",'JUNIO 2026'!Z108="POR RECOGER"),'JUNIO 2026'!P108,"")</f>
        <v/>
      </c>
      <c r="J629" s="192" t="str">
        <f aca="false">IF(AND('JUNIO 2026'!D108&lt;&gt;"",'JUNIO 2026'!Z108="POR RECOGER"),'JUNIO 2026'!Q108,"")</f>
        <v/>
      </c>
      <c r="K629" s="192" t="str">
        <f aca="false">IF(AND('JUNIO 2026'!D108&lt;&gt;"",'JUNIO 2026'!Z108="POR RECOGER"),'JUNIO 2026'!Y108,"")</f>
        <v/>
      </c>
      <c r="L629" s="192" t="str">
        <f aca="false">IF(AND('JUNIO 2026'!D108&lt;&gt;"",'JUNIO 2026'!Z108="POR RECOGER"),'JUNIO 2026'!I108,"")</f>
        <v/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" hidden="false" customHeight="true" outlineLevel="0" collapsed="false">
      <c r="A630" s="192" t="str">
        <f aca="false">IF(AND('JUNIO 2026'!D109&lt;&gt;"",'JUNIO 2026'!Z109="POR RECOGER"),"JUN","")</f>
        <v/>
      </c>
      <c r="B630" s="192" t="str">
        <f aca="false">IF(AND('JUNIO 2026'!D109&lt;&gt;"",'JUNIO 2026'!Z109="POR RECOGER"),IF('JUNIO 2026'!Y109&lt;&gt;"",'JUNIO 2026'!Y109,'JUNIO 2026'!I109),"")</f>
        <v/>
      </c>
      <c r="C630" s="192" t="str">
        <f aca="false">IF(AND('JUNIO 2026'!D109&lt;&gt;"",'JUNIO 2026'!Z109="POR RECOGER"),'JUNIO 2026'!D109,"")</f>
        <v/>
      </c>
      <c r="D630" s="192" t="str">
        <f aca="false">IF(AND('JUNIO 2026'!D109&lt;&gt;"",'JUNIO 2026'!Z109="POR RECOGER"),'JUNIO 2026'!F109,"")</f>
        <v/>
      </c>
      <c r="E630" s="192" t="str">
        <f aca="false">IF(AND('JUNIO 2026'!D109&lt;&gt;"",'JUNIO 2026'!Z109="POR RECOGER"),TEXT('JUNIO 2026'!G109,"DD/MM/YYYY"),"")</f>
        <v/>
      </c>
      <c r="F630" s="192" t="str">
        <f aca="false">IF(AND('JUNIO 2026'!D109&lt;&gt;"",'JUNIO 2026'!Z109="POR RECOGER"),'JUNIO 2026'!K109,"")</f>
        <v/>
      </c>
      <c r="G630" s="193" t="str">
        <f aca="false">IF(AND('JUNIO 2026'!D109&lt;&gt;"",'JUNIO 2026'!Z109="POR RECOGER"),'JUNIO 2026'!M109,"")</f>
        <v/>
      </c>
      <c r="H630" s="193" t="str">
        <f aca="false">IF(AND('JUNIO 2026'!D109&lt;&gt;"",'JUNIO 2026'!Z109="POR RECOGER"),'JUNIO 2026'!N109,"")</f>
        <v/>
      </c>
      <c r="I630" s="192" t="str">
        <f aca="false">IF(AND('JUNIO 2026'!D109&lt;&gt;"",'JUNIO 2026'!Z109="POR RECOGER"),'JUNIO 2026'!P109,"")</f>
        <v/>
      </c>
      <c r="J630" s="192" t="str">
        <f aca="false">IF(AND('JUNIO 2026'!D109&lt;&gt;"",'JUNIO 2026'!Z109="POR RECOGER"),'JUNIO 2026'!Q109,"")</f>
        <v/>
      </c>
      <c r="K630" s="192" t="str">
        <f aca="false">IF(AND('JUNIO 2026'!D109&lt;&gt;"",'JUNIO 2026'!Z109="POR RECOGER"),'JUNIO 2026'!Y109,"")</f>
        <v/>
      </c>
      <c r="L630" s="192" t="str">
        <f aca="false">IF(AND('JUNIO 2026'!D109&lt;&gt;"",'JUNIO 2026'!Z109="POR RECOGER"),'JUNIO 2026'!I109,"")</f>
        <v/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" hidden="false" customHeight="true" outlineLevel="0" collapsed="false">
      <c r="A631" s="192" t="str">
        <f aca="false">IF(AND('JUNIO 2026'!D110&lt;&gt;"",'JUNIO 2026'!Z110="POR RECOGER"),"JUN","")</f>
        <v/>
      </c>
      <c r="B631" s="192" t="str">
        <f aca="false">IF(AND('JUNIO 2026'!D110&lt;&gt;"",'JUNIO 2026'!Z110="POR RECOGER"),IF('JUNIO 2026'!Y110&lt;&gt;"",'JUNIO 2026'!Y110,'JUNIO 2026'!I110),"")</f>
        <v/>
      </c>
      <c r="C631" s="192" t="str">
        <f aca="false">IF(AND('JUNIO 2026'!D110&lt;&gt;"",'JUNIO 2026'!Z110="POR RECOGER"),'JUNIO 2026'!D110,"")</f>
        <v/>
      </c>
      <c r="D631" s="192" t="str">
        <f aca="false">IF(AND('JUNIO 2026'!D110&lt;&gt;"",'JUNIO 2026'!Z110="POR RECOGER"),'JUNIO 2026'!F110,"")</f>
        <v/>
      </c>
      <c r="E631" s="192" t="str">
        <f aca="false">IF(AND('JUNIO 2026'!D110&lt;&gt;"",'JUNIO 2026'!Z110="POR RECOGER"),TEXT('JUNIO 2026'!G110,"DD/MM/YYYY"),"")</f>
        <v/>
      </c>
      <c r="F631" s="192" t="str">
        <f aca="false">IF(AND('JUNIO 2026'!D110&lt;&gt;"",'JUNIO 2026'!Z110="POR RECOGER"),'JUNIO 2026'!K110,"")</f>
        <v/>
      </c>
      <c r="G631" s="193" t="str">
        <f aca="false">IF(AND('JUNIO 2026'!D110&lt;&gt;"",'JUNIO 2026'!Z110="POR RECOGER"),'JUNIO 2026'!M110,"")</f>
        <v/>
      </c>
      <c r="H631" s="193" t="str">
        <f aca="false">IF(AND('JUNIO 2026'!D110&lt;&gt;"",'JUNIO 2026'!Z110="POR RECOGER"),'JUNIO 2026'!N110,"")</f>
        <v/>
      </c>
      <c r="I631" s="192" t="str">
        <f aca="false">IF(AND('JUNIO 2026'!D110&lt;&gt;"",'JUNIO 2026'!Z110="POR RECOGER"),'JUNIO 2026'!P110,"")</f>
        <v/>
      </c>
      <c r="J631" s="192" t="str">
        <f aca="false">IF(AND('JUNIO 2026'!D110&lt;&gt;"",'JUNIO 2026'!Z110="POR RECOGER"),'JUNIO 2026'!Q110,"")</f>
        <v/>
      </c>
      <c r="K631" s="192" t="str">
        <f aca="false">IF(AND('JUNIO 2026'!D110&lt;&gt;"",'JUNIO 2026'!Z110="POR RECOGER"),'JUNIO 2026'!Y110,"")</f>
        <v/>
      </c>
      <c r="L631" s="192" t="str">
        <f aca="false">IF(AND('JUNIO 2026'!D110&lt;&gt;"",'JUNIO 2026'!Z110="POR RECOGER"),'JUNIO 2026'!I110,"")</f>
        <v/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" hidden="false" customHeight="true" outlineLevel="0" collapsed="false">
      <c r="A632" s="192" t="str">
        <f aca="false">IF(AND('JULIO 2026'!D6&lt;&gt;"",'JULIO 2026'!Z6="POR RECOGER"),"JUL","")</f>
        <v/>
      </c>
      <c r="B632" s="192" t="str">
        <f aca="false">IF(AND('JULIO 2026'!D6&lt;&gt;"",'JULIO 2026'!Z6="POR RECOGER"),IF('JULIO 2026'!Y6&lt;&gt;"",'JULIO 2026'!Y6,'JULIO 2026'!I6),"")</f>
        <v/>
      </c>
      <c r="C632" s="192" t="str">
        <f aca="false">IF(AND('JULIO 2026'!D6&lt;&gt;"",'JULIO 2026'!Z6="POR RECOGER"),'JULIO 2026'!D6,"")</f>
        <v/>
      </c>
      <c r="D632" s="192" t="str">
        <f aca="false">IF(AND('JULIO 2026'!D6&lt;&gt;"",'JULIO 2026'!Z6="POR RECOGER"),'JULIO 2026'!F6,"")</f>
        <v/>
      </c>
      <c r="E632" s="192" t="str">
        <f aca="false">IF(AND('JULIO 2026'!D6&lt;&gt;"",'JULIO 2026'!Z6="POR RECOGER"),TEXT('JULIO 2026'!G6,"DD/MM/YYYY"),"")</f>
        <v/>
      </c>
      <c r="F632" s="192" t="str">
        <f aca="false">IF(AND('JULIO 2026'!D6&lt;&gt;"",'JULIO 2026'!Z6="POR RECOGER"),'JULIO 2026'!K6,"")</f>
        <v/>
      </c>
      <c r="G632" s="193" t="str">
        <f aca="false">IF(AND('JULIO 2026'!D6&lt;&gt;"",'JULIO 2026'!Z6="POR RECOGER"),'JULIO 2026'!M6,"")</f>
        <v/>
      </c>
      <c r="H632" s="193" t="str">
        <f aca="false">IF(AND('JULIO 2026'!D6&lt;&gt;"",'JULIO 2026'!Z6="POR RECOGER"),'JULIO 2026'!N6,"")</f>
        <v/>
      </c>
      <c r="I632" s="192" t="str">
        <f aca="false">IF(AND('JULIO 2026'!D6&lt;&gt;"",'JULIO 2026'!Z6="POR RECOGER"),'JULIO 2026'!P6,"")</f>
        <v/>
      </c>
      <c r="J632" s="192" t="str">
        <f aca="false">IF(AND('JULIO 2026'!D6&lt;&gt;"",'JULIO 2026'!Z6="POR RECOGER"),'JULIO 2026'!Q6,"")</f>
        <v/>
      </c>
      <c r="K632" s="192" t="str">
        <f aca="false">IF(AND('JULIO 2026'!D6&lt;&gt;"",'JULIO 2026'!Z6="POR RECOGER"),'JULIO 2026'!Y6,"")</f>
        <v/>
      </c>
      <c r="L632" s="192" t="str">
        <f aca="false">IF(AND('JULIO 2026'!D6&lt;&gt;"",'JULIO 2026'!Z6="POR RECOGER"),'JULIO 2026'!I6,"")</f>
        <v/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" hidden="false" customHeight="true" outlineLevel="0" collapsed="false">
      <c r="A633" s="192" t="str">
        <f aca="false">IF(AND('JULIO 2026'!D7&lt;&gt;"",'JULIO 2026'!Z7="POR RECOGER"),"JUL","")</f>
        <v/>
      </c>
      <c r="B633" s="192" t="str">
        <f aca="false">IF(AND('JULIO 2026'!D7&lt;&gt;"",'JULIO 2026'!Z7="POR RECOGER"),IF('JULIO 2026'!Y7&lt;&gt;"",'JULIO 2026'!Y7,'JULIO 2026'!I7),"")</f>
        <v/>
      </c>
      <c r="C633" s="192" t="str">
        <f aca="false">IF(AND('JULIO 2026'!D7&lt;&gt;"",'JULIO 2026'!Z7="POR RECOGER"),'JULIO 2026'!D7,"")</f>
        <v/>
      </c>
      <c r="D633" s="192" t="str">
        <f aca="false">IF(AND('JULIO 2026'!D7&lt;&gt;"",'JULIO 2026'!Z7="POR RECOGER"),'JULIO 2026'!F7,"")</f>
        <v/>
      </c>
      <c r="E633" s="192" t="str">
        <f aca="false">IF(AND('JULIO 2026'!D7&lt;&gt;"",'JULIO 2026'!Z7="POR RECOGER"),TEXT('JULIO 2026'!G7,"DD/MM/YYYY"),"")</f>
        <v/>
      </c>
      <c r="F633" s="192" t="str">
        <f aca="false">IF(AND('JULIO 2026'!D7&lt;&gt;"",'JULIO 2026'!Z7="POR RECOGER"),'JULIO 2026'!K7,"")</f>
        <v/>
      </c>
      <c r="G633" s="193" t="str">
        <f aca="false">IF(AND('JULIO 2026'!D7&lt;&gt;"",'JULIO 2026'!Z7="POR RECOGER"),'JULIO 2026'!M7,"")</f>
        <v/>
      </c>
      <c r="H633" s="193" t="str">
        <f aca="false">IF(AND('JULIO 2026'!D7&lt;&gt;"",'JULIO 2026'!Z7="POR RECOGER"),'JULIO 2026'!N7,"")</f>
        <v/>
      </c>
      <c r="I633" s="192" t="str">
        <f aca="false">IF(AND('JULIO 2026'!D7&lt;&gt;"",'JULIO 2026'!Z7="POR RECOGER"),'JULIO 2026'!P7,"")</f>
        <v/>
      </c>
      <c r="J633" s="192" t="str">
        <f aca="false">IF(AND('JULIO 2026'!D7&lt;&gt;"",'JULIO 2026'!Z7="POR RECOGER"),'JULIO 2026'!Q7,"")</f>
        <v/>
      </c>
      <c r="K633" s="192" t="str">
        <f aca="false">IF(AND('JULIO 2026'!D7&lt;&gt;"",'JULIO 2026'!Z7="POR RECOGER"),'JULIO 2026'!Y7,"")</f>
        <v/>
      </c>
      <c r="L633" s="192" t="str">
        <f aca="false">IF(AND('JULIO 2026'!D7&lt;&gt;"",'JULIO 2026'!Z7="POR RECOGER"),'JULIO 2026'!I7,"")</f>
        <v/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" hidden="false" customHeight="true" outlineLevel="0" collapsed="false">
      <c r="A634" s="192" t="str">
        <f aca="false">IF(AND('JULIO 2026'!D8&lt;&gt;"",'JULIO 2026'!Z8="POR RECOGER"),"JUL","")</f>
        <v/>
      </c>
      <c r="B634" s="192" t="str">
        <f aca="false">IF(AND('JULIO 2026'!D8&lt;&gt;"",'JULIO 2026'!Z8="POR RECOGER"),IF('JULIO 2026'!Y8&lt;&gt;"",'JULIO 2026'!Y8,'JULIO 2026'!I8),"")</f>
        <v/>
      </c>
      <c r="C634" s="192" t="str">
        <f aca="false">IF(AND('JULIO 2026'!D8&lt;&gt;"",'JULIO 2026'!Z8="POR RECOGER"),'JULIO 2026'!D8,"")</f>
        <v/>
      </c>
      <c r="D634" s="192" t="str">
        <f aca="false">IF(AND('JULIO 2026'!D8&lt;&gt;"",'JULIO 2026'!Z8="POR RECOGER"),'JULIO 2026'!F8,"")</f>
        <v/>
      </c>
      <c r="E634" s="192" t="str">
        <f aca="false">IF(AND('JULIO 2026'!D8&lt;&gt;"",'JULIO 2026'!Z8="POR RECOGER"),TEXT('JULIO 2026'!G8,"DD/MM/YYYY"),"")</f>
        <v/>
      </c>
      <c r="F634" s="192" t="str">
        <f aca="false">IF(AND('JULIO 2026'!D8&lt;&gt;"",'JULIO 2026'!Z8="POR RECOGER"),'JULIO 2026'!K8,"")</f>
        <v/>
      </c>
      <c r="G634" s="193" t="str">
        <f aca="false">IF(AND('JULIO 2026'!D8&lt;&gt;"",'JULIO 2026'!Z8="POR RECOGER"),'JULIO 2026'!M8,"")</f>
        <v/>
      </c>
      <c r="H634" s="193" t="str">
        <f aca="false">IF(AND('JULIO 2026'!D8&lt;&gt;"",'JULIO 2026'!Z8="POR RECOGER"),'JULIO 2026'!N8,"")</f>
        <v/>
      </c>
      <c r="I634" s="192" t="str">
        <f aca="false">IF(AND('JULIO 2026'!D8&lt;&gt;"",'JULIO 2026'!Z8="POR RECOGER"),'JULIO 2026'!P8,"")</f>
        <v/>
      </c>
      <c r="J634" s="192" t="str">
        <f aca="false">IF(AND('JULIO 2026'!D8&lt;&gt;"",'JULIO 2026'!Z8="POR RECOGER"),'JULIO 2026'!Q8,"")</f>
        <v/>
      </c>
      <c r="K634" s="192" t="str">
        <f aca="false">IF(AND('JULIO 2026'!D8&lt;&gt;"",'JULIO 2026'!Z8="POR RECOGER"),'JULIO 2026'!Y8,"")</f>
        <v/>
      </c>
      <c r="L634" s="192" t="str">
        <f aca="false">IF(AND('JULIO 2026'!D8&lt;&gt;"",'JULIO 2026'!Z8="POR RECOGER"),'JULIO 2026'!I8,"")</f>
        <v/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" hidden="false" customHeight="true" outlineLevel="0" collapsed="false">
      <c r="A635" s="192" t="str">
        <f aca="false">IF(AND('JULIO 2026'!D9&lt;&gt;"",'JULIO 2026'!Z9="POR RECOGER"),"JUL","")</f>
        <v/>
      </c>
      <c r="B635" s="192" t="str">
        <f aca="false">IF(AND('JULIO 2026'!D9&lt;&gt;"",'JULIO 2026'!Z9="POR RECOGER"),IF('JULIO 2026'!Y9&lt;&gt;"",'JULIO 2026'!Y9,'JULIO 2026'!I9),"")</f>
        <v/>
      </c>
      <c r="C635" s="192" t="str">
        <f aca="false">IF(AND('JULIO 2026'!D9&lt;&gt;"",'JULIO 2026'!Z9="POR RECOGER"),'JULIO 2026'!D9,"")</f>
        <v/>
      </c>
      <c r="D635" s="192" t="str">
        <f aca="false">IF(AND('JULIO 2026'!D9&lt;&gt;"",'JULIO 2026'!Z9="POR RECOGER"),'JULIO 2026'!F9,"")</f>
        <v/>
      </c>
      <c r="E635" s="192" t="str">
        <f aca="false">IF(AND('JULIO 2026'!D9&lt;&gt;"",'JULIO 2026'!Z9="POR RECOGER"),TEXT('JULIO 2026'!G9,"DD/MM/YYYY"),"")</f>
        <v/>
      </c>
      <c r="F635" s="192" t="str">
        <f aca="false">IF(AND('JULIO 2026'!D9&lt;&gt;"",'JULIO 2026'!Z9="POR RECOGER"),'JULIO 2026'!K9,"")</f>
        <v/>
      </c>
      <c r="G635" s="193" t="str">
        <f aca="false">IF(AND('JULIO 2026'!D9&lt;&gt;"",'JULIO 2026'!Z9="POR RECOGER"),'JULIO 2026'!M9,"")</f>
        <v/>
      </c>
      <c r="H635" s="193" t="str">
        <f aca="false">IF(AND('JULIO 2026'!D9&lt;&gt;"",'JULIO 2026'!Z9="POR RECOGER"),'JULIO 2026'!N9,"")</f>
        <v/>
      </c>
      <c r="I635" s="192" t="str">
        <f aca="false">IF(AND('JULIO 2026'!D9&lt;&gt;"",'JULIO 2026'!Z9="POR RECOGER"),'JULIO 2026'!P9,"")</f>
        <v/>
      </c>
      <c r="J635" s="192" t="str">
        <f aca="false">IF(AND('JULIO 2026'!D9&lt;&gt;"",'JULIO 2026'!Z9="POR RECOGER"),'JULIO 2026'!Q9,"")</f>
        <v/>
      </c>
      <c r="K635" s="192" t="str">
        <f aca="false">IF(AND('JULIO 2026'!D9&lt;&gt;"",'JULIO 2026'!Z9="POR RECOGER"),'JULIO 2026'!Y9,"")</f>
        <v/>
      </c>
      <c r="L635" s="192" t="str">
        <f aca="false">IF(AND('JULIO 2026'!D9&lt;&gt;"",'JULIO 2026'!Z9="POR RECOGER"),'JULIO 2026'!I9,"")</f>
        <v/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" hidden="false" customHeight="true" outlineLevel="0" collapsed="false">
      <c r="A636" s="192" t="str">
        <f aca="false">IF(AND('JULIO 2026'!D10&lt;&gt;"",'JULIO 2026'!Z10="POR RECOGER"),"JUL","")</f>
        <v/>
      </c>
      <c r="B636" s="192" t="str">
        <f aca="false">IF(AND('JULIO 2026'!D10&lt;&gt;"",'JULIO 2026'!Z10="POR RECOGER"),IF('JULIO 2026'!Y10&lt;&gt;"",'JULIO 2026'!Y10,'JULIO 2026'!I10),"")</f>
        <v/>
      </c>
      <c r="C636" s="192" t="str">
        <f aca="false">IF(AND('JULIO 2026'!D10&lt;&gt;"",'JULIO 2026'!Z10="POR RECOGER"),'JULIO 2026'!D10,"")</f>
        <v/>
      </c>
      <c r="D636" s="192" t="str">
        <f aca="false">IF(AND('JULIO 2026'!D10&lt;&gt;"",'JULIO 2026'!Z10="POR RECOGER"),'JULIO 2026'!F10,"")</f>
        <v/>
      </c>
      <c r="E636" s="192" t="str">
        <f aca="false">IF(AND('JULIO 2026'!D10&lt;&gt;"",'JULIO 2026'!Z10="POR RECOGER"),TEXT('JULIO 2026'!G10,"DD/MM/YYYY"),"")</f>
        <v/>
      </c>
      <c r="F636" s="192" t="str">
        <f aca="false">IF(AND('JULIO 2026'!D10&lt;&gt;"",'JULIO 2026'!Z10="POR RECOGER"),'JULIO 2026'!K10,"")</f>
        <v/>
      </c>
      <c r="G636" s="193" t="str">
        <f aca="false">IF(AND('JULIO 2026'!D10&lt;&gt;"",'JULIO 2026'!Z10="POR RECOGER"),'JULIO 2026'!M10,"")</f>
        <v/>
      </c>
      <c r="H636" s="193" t="str">
        <f aca="false">IF(AND('JULIO 2026'!D10&lt;&gt;"",'JULIO 2026'!Z10="POR RECOGER"),'JULIO 2026'!N10,"")</f>
        <v/>
      </c>
      <c r="I636" s="192" t="str">
        <f aca="false">IF(AND('JULIO 2026'!D10&lt;&gt;"",'JULIO 2026'!Z10="POR RECOGER"),'JULIO 2026'!P10,"")</f>
        <v/>
      </c>
      <c r="J636" s="192" t="str">
        <f aca="false">IF(AND('JULIO 2026'!D10&lt;&gt;"",'JULIO 2026'!Z10="POR RECOGER"),'JULIO 2026'!Q10,"")</f>
        <v/>
      </c>
      <c r="K636" s="192" t="str">
        <f aca="false">IF(AND('JULIO 2026'!D10&lt;&gt;"",'JULIO 2026'!Z10="POR RECOGER"),'JULIO 2026'!Y10,"")</f>
        <v/>
      </c>
      <c r="L636" s="192" t="str">
        <f aca="false">IF(AND('JULIO 2026'!D10&lt;&gt;"",'JULIO 2026'!Z10="POR RECOGER"),'JULIO 2026'!I10,"")</f>
        <v/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" hidden="false" customHeight="true" outlineLevel="0" collapsed="false">
      <c r="A637" s="192" t="str">
        <f aca="false">IF(AND('JULIO 2026'!D11&lt;&gt;"",'JULIO 2026'!Z11="POR RECOGER"),"JUL","")</f>
        <v/>
      </c>
      <c r="B637" s="192" t="str">
        <f aca="false">IF(AND('JULIO 2026'!D11&lt;&gt;"",'JULIO 2026'!Z11="POR RECOGER"),IF('JULIO 2026'!Y11&lt;&gt;"",'JULIO 2026'!Y11,'JULIO 2026'!I11),"")</f>
        <v/>
      </c>
      <c r="C637" s="192" t="str">
        <f aca="false">IF(AND('JULIO 2026'!D11&lt;&gt;"",'JULIO 2026'!Z11="POR RECOGER"),'JULIO 2026'!D11,"")</f>
        <v/>
      </c>
      <c r="D637" s="192" t="str">
        <f aca="false">IF(AND('JULIO 2026'!D11&lt;&gt;"",'JULIO 2026'!Z11="POR RECOGER"),'JULIO 2026'!F11,"")</f>
        <v/>
      </c>
      <c r="E637" s="192" t="str">
        <f aca="false">IF(AND('JULIO 2026'!D11&lt;&gt;"",'JULIO 2026'!Z11="POR RECOGER"),TEXT('JULIO 2026'!G11,"DD/MM/YYYY"),"")</f>
        <v/>
      </c>
      <c r="F637" s="192" t="str">
        <f aca="false">IF(AND('JULIO 2026'!D11&lt;&gt;"",'JULIO 2026'!Z11="POR RECOGER"),'JULIO 2026'!K11,"")</f>
        <v/>
      </c>
      <c r="G637" s="193" t="str">
        <f aca="false">IF(AND('JULIO 2026'!D11&lt;&gt;"",'JULIO 2026'!Z11="POR RECOGER"),'JULIO 2026'!M11,"")</f>
        <v/>
      </c>
      <c r="H637" s="193" t="str">
        <f aca="false">IF(AND('JULIO 2026'!D11&lt;&gt;"",'JULIO 2026'!Z11="POR RECOGER"),'JULIO 2026'!N11,"")</f>
        <v/>
      </c>
      <c r="I637" s="192" t="str">
        <f aca="false">IF(AND('JULIO 2026'!D11&lt;&gt;"",'JULIO 2026'!Z11="POR RECOGER"),'JULIO 2026'!P11,"")</f>
        <v/>
      </c>
      <c r="J637" s="192" t="str">
        <f aca="false">IF(AND('JULIO 2026'!D11&lt;&gt;"",'JULIO 2026'!Z11="POR RECOGER"),'JULIO 2026'!Q11,"")</f>
        <v/>
      </c>
      <c r="K637" s="192" t="str">
        <f aca="false">IF(AND('JULIO 2026'!D11&lt;&gt;"",'JULIO 2026'!Z11="POR RECOGER"),'JULIO 2026'!Y11,"")</f>
        <v/>
      </c>
      <c r="L637" s="192" t="str">
        <f aca="false">IF(AND('JULIO 2026'!D11&lt;&gt;"",'JULIO 2026'!Z11="POR RECOGER"),'JULIO 2026'!I11,"")</f>
        <v/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" hidden="false" customHeight="true" outlineLevel="0" collapsed="false">
      <c r="A638" s="192" t="str">
        <f aca="false">IF(AND('JULIO 2026'!D12&lt;&gt;"",'JULIO 2026'!Z12="POR RECOGER"),"JUL","")</f>
        <v/>
      </c>
      <c r="B638" s="192" t="str">
        <f aca="false">IF(AND('JULIO 2026'!D12&lt;&gt;"",'JULIO 2026'!Z12="POR RECOGER"),IF('JULIO 2026'!Y12&lt;&gt;"",'JULIO 2026'!Y12,'JULIO 2026'!I12),"")</f>
        <v/>
      </c>
      <c r="C638" s="192" t="str">
        <f aca="false">IF(AND('JULIO 2026'!D12&lt;&gt;"",'JULIO 2026'!Z12="POR RECOGER"),'JULIO 2026'!D12,"")</f>
        <v/>
      </c>
      <c r="D638" s="192" t="str">
        <f aca="false">IF(AND('JULIO 2026'!D12&lt;&gt;"",'JULIO 2026'!Z12="POR RECOGER"),'JULIO 2026'!F12,"")</f>
        <v/>
      </c>
      <c r="E638" s="192" t="str">
        <f aca="false">IF(AND('JULIO 2026'!D12&lt;&gt;"",'JULIO 2026'!Z12="POR RECOGER"),TEXT('JULIO 2026'!G12,"DD/MM/YYYY"),"")</f>
        <v/>
      </c>
      <c r="F638" s="192" t="str">
        <f aca="false">IF(AND('JULIO 2026'!D12&lt;&gt;"",'JULIO 2026'!Z12="POR RECOGER"),'JULIO 2026'!K12,"")</f>
        <v/>
      </c>
      <c r="G638" s="193" t="str">
        <f aca="false">IF(AND('JULIO 2026'!D12&lt;&gt;"",'JULIO 2026'!Z12="POR RECOGER"),'JULIO 2026'!M12,"")</f>
        <v/>
      </c>
      <c r="H638" s="193" t="str">
        <f aca="false">IF(AND('JULIO 2026'!D12&lt;&gt;"",'JULIO 2026'!Z12="POR RECOGER"),'JULIO 2026'!N12,"")</f>
        <v/>
      </c>
      <c r="I638" s="192" t="str">
        <f aca="false">IF(AND('JULIO 2026'!D12&lt;&gt;"",'JULIO 2026'!Z12="POR RECOGER"),'JULIO 2026'!P12,"")</f>
        <v/>
      </c>
      <c r="J638" s="192" t="str">
        <f aca="false">IF(AND('JULIO 2026'!D12&lt;&gt;"",'JULIO 2026'!Z12="POR RECOGER"),'JULIO 2026'!Q12,"")</f>
        <v/>
      </c>
      <c r="K638" s="192" t="str">
        <f aca="false">IF(AND('JULIO 2026'!D12&lt;&gt;"",'JULIO 2026'!Z12="POR RECOGER"),'JULIO 2026'!Y12,"")</f>
        <v/>
      </c>
      <c r="L638" s="192" t="str">
        <f aca="false">IF(AND('JULIO 2026'!D12&lt;&gt;"",'JULIO 2026'!Z12="POR RECOGER"),'JULIO 2026'!I12,"")</f>
        <v/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" hidden="false" customHeight="true" outlineLevel="0" collapsed="false">
      <c r="A639" s="192" t="str">
        <f aca="false">IF(AND('JULIO 2026'!D13&lt;&gt;"",'JULIO 2026'!Z13="POR RECOGER"),"JUL","")</f>
        <v/>
      </c>
      <c r="B639" s="192" t="str">
        <f aca="false">IF(AND('JULIO 2026'!D13&lt;&gt;"",'JULIO 2026'!Z13="POR RECOGER"),IF('JULIO 2026'!Y13&lt;&gt;"",'JULIO 2026'!Y13,'JULIO 2026'!I13),"")</f>
        <v/>
      </c>
      <c r="C639" s="192" t="str">
        <f aca="false">IF(AND('JULIO 2026'!D13&lt;&gt;"",'JULIO 2026'!Z13="POR RECOGER"),'JULIO 2026'!D13,"")</f>
        <v/>
      </c>
      <c r="D639" s="192" t="str">
        <f aca="false">IF(AND('JULIO 2026'!D13&lt;&gt;"",'JULIO 2026'!Z13="POR RECOGER"),'JULIO 2026'!F13,"")</f>
        <v/>
      </c>
      <c r="E639" s="192" t="str">
        <f aca="false">IF(AND('JULIO 2026'!D13&lt;&gt;"",'JULIO 2026'!Z13="POR RECOGER"),TEXT('JULIO 2026'!G13,"DD/MM/YYYY"),"")</f>
        <v/>
      </c>
      <c r="F639" s="192" t="str">
        <f aca="false">IF(AND('JULIO 2026'!D13&lt;&gt;"",'JULIO 2026'!Z13="POR RECOGER"),'JULIO 2026'!K13,"")</f>
        <v/>
      </c>
      <c r="G639" s="193" t="str">
        <f aca="false">IF(AND('JULIO 2026'!D13&lt;&gt;"",'JULIO 2026'!Z13="POR RECOGER"),'JULIO 2026'!M13,"")</f>
        <v/>
      </c>
      <c r="H639" s="193" t="str">
        <f aca="false">IF(AND('JULIO 2026'!D13&lt;&gt;"",'JULIO 2026'!Z13="POR RECOGER"),'JULIO 2026'!N13,"")</f>
        <v/>
      </c>
      <c r="I639" s="192" t="str">
        <f aca="false">IF(AND('JULIO 2026'!D13&lt;&gt;"",'JULIO 2026'!Z13="POR RECOGER"),'JULIO 2026'!P13,"")</f>
        <v/>
      </c>
      <c r="J639" s="192" t="str">
        <f aca="false">IF(AND('JULIO 2026'!D13&lt;&gt;"",'JULIO 2026'!Z13="POR RECOGER"),'JULIO 2026'!Q13,"")</f>
        <v/>
      </c>
      <c r="K639" s="192" t="str">
        <f aca="false">IF(AND('JULIO 2026'!D13&lt;&gt;"",'JULIO 2026'!Z13="POR RECOGER"),'JULIO 2026'!Y13,"")</f>
        <v/>
      </c>
      <c r="L639" s="192" t="str">
        <f aca="false">IF(AND('JULIO 2026'!D13&lt;&gt;"",'JULIO 2026'!Z13="POR RECOGER"),'JULIO 2026'!I13,"")</f>
        <v/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" hidden="false" customHeight="true" outlineLevel="0" collapsed="false">
      <c r="A640" s="192" t="str">
        <f aca="false">IF(AND('JULIO 2026'!D14&lt;&gt;"",'JULIO 2026'!Z14="POR RECOGER"),"JUL","")</f>
        <v/>
      </c>
      <c r="B640" s="192" t="str">
        <f aca="false">IF(AND('JULIO 2026'!D14&lt;&gt;"",'JULIO 2026'!Z14="POR RECOGER"),IF('JULIO 2026'!Y14&lt;&gt;"",'JULIO 2026'!Y14,'JULIO 2026'!I14),"")</f>
        <v/>
      </c>
      <c r="C640" s="192" t="str">
        <f aca="false">IF(AND('JULIO 2026'!D14&lt;&gt;"",'JULIO 2026'!Z14="POR RECOGER"),'JULIO 2026'!D14,"")</f>
        <v/>
      </c>
      <c r="D640" s="192" t="str">
        <f aca="false">IF(AND('JULIO 2026'!D14&lt;&gt;"",'JULIO 2026'!Z14="POR RECOGER"),'JULIO 2026'!F14,"")</f>
        <v/>
      </c>
      <c r="E640" s="192" t="str">
        <f aca="false">IF(AND('JULIO 2026'!D14&lt;&gt;"",'JULIO 2026'!Z14="POR RECOGER"),TEXT('JULIO 2026'!G14,"DD/MM/YYYY"),"")</f>
        <v/>
      </c>
      <c r="F640" s="192" t="str">
        <f aca="false">IF(AND('JULIO 2026'!D14&lt;&gt;"",'JULIO 2026'!Z14="POR RECOGER"),'JULIO 2026'!K14,"")</f>
        <v/>
      </c>
      <c r="G640" s="193" t="str">
        <f aca="false">IF(AND('JULIO 2026'!D14&lt;&gt;"",'JULIO 2026'!Z14="POR RECOGER"),'JULIO 2026'!M14,"")</f>
        <v/>
      </c>
      <c r="H640" s="193" t="str">
        <f aca="false">IF(AND('JULIO 2026'!D14&lt;&gt;"",'JULIO 2026'!Z14="POR RECOGER"),'JULIO 2026'!N14,"")</f>
        <v/>
      </c>
      <c r="I640" s="192" t="str">
        <f aca="false">IF(AND('JULIO 2026'!D14&lt;&gt;"",'JULIO 2026'!Z14="POR RECOGER"),'JULIO 2026'!P14,"")</f>
        <v/>
      </c>
      <c r="J640" s="192" t="str">
        <f aca="false">IF(AND('JULIO 2026'!D14&lt;&gt;"",'JULIO 2026'!Z14="POR RECOGER"),'JULIO 2026'!Q14,"")</f>
        <v/>
      </c>
      <c r="K640" s="192" t="str">
        <f aca="false">IF(AND('JULIO 2026'!D14&lt;&gt;"",'JULIO 2026'!Z14="POR RECOGER"),'JULIO 2026'!Y14,"")</f>
        <v/>
      </c>
      <c r="L640" s="192" t="str">
        <f aca="false">IF(AND('JULIO 2026'!D14&lt;&gt;"",'JULIO 2026'!Z14="POR RECOGER"),'JULIO 2026'!I14,"")</f>
        <v/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" hidden="false" customHeight="true" outlineLevel="0" collapsed="false">
      <c r="A641" s="192" t="str">
        <f aca="false">IF(AND('JULIO 2026'!D15&lt;&gt;"",'JULIO 2026'!Z15="POR RECOGER"),"JUL","")</f>
        <v/>
      </c>
      <c r="B641" s="192" t="str">
        <f aca="false">IF(AND('JULIO 2026'!D15&lt;&gt;"",'JULIO 2026'!Z15="POR RECOGER"),IF('JULIO 2026'!Y15&lt;&gt;"",'JULIO 2026'!Y15,'JULIO 2026'!I15),"")</f>
        <v/>
      </c>
      <c r="C641" s="192" t="str">
        <f aca="false">IF(AND('JULIO 2026'!D15&lt;&gt;"",'JULIO 2026'!Z15="POR RECOGER"),'JULIO 2026'!D15,"")</f>
        <v/>
      </c>
      <c r="D641" s="192" t="str">
        <f aca="false">IF(AND('JULIO 2026'!D15&lt;&gt;"",'JULIO 2026'!Z15="POR RECOGER"),'JULIO 2026'!F15,"")</f>
        <v/>
      </c>
      <c r="E641" s="192" t="str">
        <f aca="false">IF(AND('JULIO 2026'!D15&lt;&gt;"",'JULIO 2026'!Z15="POR RECOGER"),TEXT('JULIO 2026'!G15,"DD/MM/YYYY"),"")</f>
        <v/>
      </c>
      <c r="F641" s="192" t="str">
        <f aca="false">IF(AND('JULIO 2026'!D15&lt;&gt;"",'JULIO 2026'!Z15="POR RECOGER"),'JULIO 2026'!K15,"")</f>
        <v/>
      </c>
      <c r="G641" s="193" t="str">
        <f aca="false">IF(AND('JULIO 2026'!D15&lt;&gt;"",'JULIO 2026'!Z15="POR RECOGER"),'JULIO 2026'!M15,"")</f>
        <v/>
      </c>
      <c r="H641" s="193" t="str">
        <f aca="false">IF(AND('JULIO 2026'!D15&lt;&gt;"",'JULIO 2026'!Z15="POR RECOGER"),'JULIO 2026'!N15,"")</f>
        <v/>
      </c>
      <c r="I641" s="192" t="str">
        <f aca="false">IF(AND('JULIO 2026'!D15&lt;&gt;"",'JULIO 2026'!Z15="POR RECOGER"),'JULIO 2026'!P15,"")</f>
        <v/>
      </c>
      <c r="J641" s="192" t="str">
        <f aca="false">IF(AND('JULIO 2026'!D15&lt;&gt;"",'JULIO 2026'!Z15="POR RECOGER"),'JULIO 2026'!Q15,"")</f>
        <v/>
      </c>
      <c r="K641" s="192" t="str">
        <f aca="false">IF(AND('JULIO 2026'!D15&lt;&gt;"",'JULIO 2026'!Z15="POR RECOGER"),'JULIO 2026'!Y15,"")</f>
        <v/>
      </c>
      <c r="L641" s="192" t="str">
        <f aca="false">IF(AND('JULIO 2026'!D15&lt;&gt;"",'JULIO 2026'!Z15="POR RECOGER"),'JULIO 2026'!I15,"")</f>
        <v/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" hidden="false" customHeight="true" outlineLevel="0" collapsed="false">
      <c r="A642" s="192" t="str">
        <f aca="false">IF(AND('JULIO 2026'!D16&lt;&gt;"",'JULIO 2026'!Z16="POR RECOGER"),"JUL","")</f>
        <v/>
      </c>
      <c r="B642" s="192" t="str">
        <f aca="false">IF(AND('JULIO 2026'!D16&lt;&gt;"",'JULIO 2026'!Z16="POR RECOGER"),IF('JULIO 2026'!Y16&lt;&gt;"",'JULIO 2026'!Y16,'JULIO 2026'!I16),"")</f>
        <v/>
      </c>
      <c r="C642" s="192" t="str">
        <f aca="false">IF(AND('JULIO 2026'!D16&lt;&gt;"",'JULIO 2026'!Z16="POR RECOGER"),'JULIO 2026'!D16,"")</f>
        <v/>
      </c>
      <c r="D642" s="192" t="str">
        <f aca="false">IF(AND('JULIO 2026'!D16&lt;&gt;"",'JULIO 2026'!Z16="POR RECOGER"),'JULIO 2026'!F16,"")</f>
        <v/>
      </c>
      <c r="E642" s="192" t="str">
        <f aca="false">IF(AND('JULIO 2026'!D16&lt;&gt;"",'JULIO 2026'!Z16="POR RECOGER"),TEXT('JULIO 2026'!G16,"DD/MM/YYYY"),"")</f>
        <v/>
      </c>
      <c r="F642" s="192" t="str">
        <f aca="false">IF(AND('JULIO 2026'!D16&lt;&gt;"",'JULIO 2026'!Z16="POR RECOGER"),'JULIO 2026'!K16,"")</f>
        <v/>
      </c>
      <c r="G642" s="193" t="str">
        <f aca="false">IF(AND('JULIO 2026'!D16&lt;&gt;"",'JULIO 2026'!Z16="POR RECOGER"),'JULIO 2026'!M16,"")</f>
        <v/>
      </c>
      <c r="H642" s="193" t="str">
        <f aca="false">IF(AND('JULIO 2026'!D16&lt;&gt;"",'JULIO 2026'!Z16="POR RECOGER"),'JULIO 2026'!N16,"")</f>
        <v/>
      </c>
      <c r="I642" s="192" t="str">
        <f aca="false">IF(AND('JULIO 2026'!D16&lt;&gt;"",'JULIO 2026'!Z16="POR RECOGER"),'JULIO 2026'!P16,"")</f>
        <v/>
      </c>
      <c r="J642" s="192" t="str">
        <f aca="false">IF(AND('JULIO 2026'!D16&lt;&gt;"",'JULIO 2026'!Z16="POR RECOGER"),'JULIO 2026'!Q16,"")</f>
        <v/>
      </c>
      <c r="K642" s="192" t="str">
        <f aca="false">IF(AND('JULIO 2026'!D16&lt;&gt;"",'JULIO 2026'!Z16="POR RECOGER"),'JULIO 2026'!Y16,"")</f>
        <v/>
      </c>
      <c r="L642" s="192" t="str">
        <f aca="false">IF(AND('JULIO 2026'!D16&lt;&gt;"",'JULIO 2026'!Z16="POR RECOGER"),'JULIO 2026'!I16,"")</f>
        <v/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" hidden="false" customHeight="true" outlineLevel="0" collapsed="false">
      <c r="A643" s="192" t="str">
        <f aca="false">IF(AND('JULIO 2026'!D17&lt;&gt;"",'JULIO 2026'!Z17="POR RECOGER"),"JUL","")</f>
        <v/>
      </c>
      <c r="B643" s="192" t="str">
        <f aca="false">IF(AND('JULIO 2026'!D17&lt;&gt;"",'JULIO 2026'!Z17="POR RECOGER"),IF('JULIO 2026'!Y17&lt;&gt;"",'JULIO 2026'!Y17,'JULIO 2026'!I17),"")</f>
        <v/>
      </c>
      <c r="C643" s="192" t="str">
        <f aca="false">IF(AND('JULIO 2026'!D17&lt;&gt;"",'JULIO 2026'!Z17="POR RECOGER"),'JULIO 2026'!D17,"")</f>
        <v/>
      </c>
      <c r="D643" s="192" t="str">
        <f aca="false">IF(AND('JULIO 2026'!D17&lt;&gt;"",'JULIO 2026'!Z17="POR RECOGER"),'JULIO 2026'!F17,"")</f>
        <v/>
      </c>
      <c r="E643" s="192" t="str">
        <f aca="false">IF(AND('JULIO 2026'!D17&lt;&gt;"",'JULIO 2026'!Z17="POR RECOGER"),TEXT('JULIO 2026'!G17,"DD/MM/YYYY"),"")</f>
        <v/>
      </c>
      <c r="F643" s="192" t="str">
        <f aca="false">IF(AND('JULIO 2026'!D17&lt;&gt;"",'JULIO 2026'!Z17="POR RECOGER"),'JULIO 2026'!K17,"")</f>
        <v/>
      </c>
      <c r="G643" s="193" t="str">
        <f aca="false">IF(AND('JULIO 2026'!D17&lt;&gt;"",'JULIO 2026'!Z17="POR RECOGER"),'JULIO 2026'!M17,"")</f>
        <v/>
      </c>
      <c r="H643" s="193" t="str">
        <f aca="false">IF(AND('JULIO 2026'!D17&lt;&gt;"",'JULIO 2026'!Z17="POR RECOGER"),'JULIO 2026'!N17,"")</f>
        <v/>
      </c>
      <c r="I643" s="192" t="str">
        <f aca="false">IF(AND('JULIO 2026'!D17&lt;&gt;"",'JULIO 2026'!Z17="POR RECOGER"),'JULIO 2026'!P17,"")</f>
        <v/>
      </c>
      <c r="J643" s="192" t="str">
        <f aca="false">IF(AND('JULIO 2026'!D17&lt;&gt;"",'JULIO 2026'!Z17="POR RECOGER"),'JULIO 2026'!Q17,"")</f>
        <v/>
      </c>
      <c r="K643" s="192" t="str">
        <f aca="false">IF(AND('JULIO 2026'!D17&lt;&gt;"",'JULIO 2026'!Z17="POR RECOGER"),'JULIO 2026'!Y17,"")</f>
        <v/>
      </c>
      <c r="L643" s="192" t="str">
        <f aca="false">IF(AND('JULIO 2026'!D17&lt;&gt;"",'JULIO 2026'!Z17="POR RECOGER"),'JULIO 2026'!I17,"")</f>
        <v/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" hidden="false" customHeight="true" outlineLevel="0" collapsed="false">
      <c r="A644" s="192" t="str">
        <f aca="false">IF(AND('JULIO 2026'!D18&lt;&gt;"",'JULIO 2026'!Z18="POR RECOGER"),"JUL","")</f>
        <v/>
      </c>
      <c r="B644" s="192" t="str">
        <f aca="false">IF(AND('JULIO 2026'!D18&lt;&gt;"",'JULIO 2026'!Z18="POR RECOGER"),IF('JULIO 2026'!Y18&lt;&gt;"",'JULIO 2026'!Y18,'JULIO 2026'!I18),"")</f>
        <v/>
      </c>
      <c r="C644" s="192" t="str">
        <f aca="false">IF(AND('JULIO 2026'!D18&lt;&gt;"",'JULIO 2026'!Z18="POR RECOGER"),'JULIO 2026'!D18,"")</f>
        <v/>
      </c>
      <c r="D644" s="192" t="str">
        <f aca="false">IF(AND('JULIO 2026'!D18&lt;&gt;"",'JULIO 2026'!Z18="POR RECOGER"),'JULIO 2026'!F18,"")</f>
        <v/>
      </c>
      <c r="E644" s="192" t="str">
        <f aca="false">IF(AND('JULIO 2026'!D18&lt;&gt;"",'JULIO 2026'!Z18="POR RECOGER"),TEXT('JULIO 2026'!G18,"DD/MM/YYYY"),"")</f>
        <v/>
      </c>
      <c r="F644" s="192" t="str">
        <f aca="false">IF(AND('JULIO 2026'!D18&lt;&gt;"",'JULIO 2026'!Z18="POR RECOGER"),'JULIO 2026'!K18,"")</f>
        <v/>
      </c>
      <c r="G644" s="193" t="str">
        <f aca="false">IF(AND('JULIO 2026'!D18&lt;&gt;"",'JULIO 2026'!Z18="POR RECOGER"),'JULIO 2026'!M18,"")</f>
        <v/>
      </c>
      <c r="H644" s="193" t="str">
        <f aca="false">IF(AND('JULIO 2026'!D18&lt;&gt;"",'JULIO 2026'!Z18="POR RECOGER"),'JULIO 2026'!N18,"")</f>
        <v/>
      </c>
      <c r="I644" s="192" t="str">
        <f aca="false">IF(AND('JULIO 2026'!D18&lt;&gt;"",'JULIO 2026'!Z18="POR RECOGER"),'JULIO 2026'!P18,"")</f>
        <v/>
      </c>
      <c r="J644" s="192" t="str">
        <f aca="false">IF(AND('JULIO 2026'!D18&lt;&gt;"",'JULIO 2026'!Z18="POR RECOGER"),'JULIO 2026'!Q18,"")</f>
        <v/>
      </c>
      <c r="K644" s="192" t="str">
        <f aca="false">IF(AND('JULIO 2026'!D18&lt;&gt;"",'JULIO 2026'!Z18="POR RECOGER"),'JULIO 2026'!Y18,"")</f>
        <v/>
      </c>
      <c r="L644" s="192" t="str">
        <f aca="false">IF(AND('JULIO 2026'!D18&lt;&gt;"",'JULIO 2026'!Z18="POR RECOGER"),'JULIO 2026'!I18,"")</f>
        <v/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" hidden="false" customHeight="true" outlineLevel="0" collapsed="false">
      <c r="A645" s="192" t="str">
        <f aca="false">IF(AND('JULIO 2026'!D19&lt;&gt;"",'JULIO 2026'!Z19="POR RECOGER"),"JUL","")</f>
        <v/>
      </c>
      <c r="B645" s="192" t="str">
        <f aca="false">IF(AND('JULIO 2026'!D19&lt;&gt;"",'JULIO 2026'!Z19="POR RECOGER"),IF('JULIO 2026'!Y19&lt;&gt;"",'JULIO 2026'!Y19,'JULIO 2026'!I19),"")</f>
        <v/>
      </c>
      <c r="C645" s="192" t="str">
        <f aca="false">IF(AND('JULIO 2026'!D19&lt;&gt;"",'JULIO 2026'!Z19="POR RECOGER"),'JULIO 2026'!D19,"")</f>
        <v/>
      </c>
      <c r="D645" s="192" t="str">
        <f aca="false">IF(AND('JULIO 2026'!D19&lt;&gt;"",'JULIO 2026'!Z19="POR RECOGER"),'JULIO 2026'!F19,"")</f>
        <v/>
      </c>
      <c r="E645" s="192" t="str">
        <f aca="false">IF(AND('JULIO 2026'!D19&lt;&gt;"",'JULIO 2026'!Z19="POR RECOGER"),TEXT('JULIO 2026'!G19,"DD/MM/YYYY"),"")</f>
        <v/>
      </c>
      <c r="F645" s="192" t="str">
        <f aca="false">IF(AND('JULIO 2026'!D19&lt;&gt;"",'JULIO 2026'!Z19="POR RECOGER"),'JULIO 2026'!K19,"")</f>
        <v/>
      </c>
      <c r="G645" s="193" t="str">
        <f aca="false">IF(AND('JULIO 2026'!D19&lt;&gt;"",'JULIO 2026'!Z19="POR RECOGER"),'JULIO 2026'!M19,"")</f>
        <v/>
      </c>
      <c r="H645" s="193" t="str">
        <f aca="false">IF(AND('JULIO 2026'!D19&lt;&gt;"",'JULIO 2026'!Z19="POR RECOGER"),'JULIO 2026'!N19,"")</f>
        <v/>
      </c>
      <c r="I645" s="192" t="str">
        <f aca="false">IF(AND('JULIO 2026'!D19&lt;&gt;"",'JULIO 2026'!Z19="POR RECOGER"),'JULIO 2026'!P19,"")</f>
        <v/>
      </c>
      <c r="J645" s="192" t="str">
        <f aca="false">IF(AND('JULIO 2026'!D19&lt;&gt;"",'JULIO 2026'!Z19="POR RECOGER"),'JULIO 2026'!Q19,"")</f>
        <v/>
      </c>
      <c r="K645" s="192" t="str">
        <f aca="false">IF(AND('JULIO 2026'!D19&lt;&gt;"",'JULIO 2026'!Z19="POR RECOGER"),'JULIO 2026'!Y19,"")</f>
        <v/>
      </c>
      <c r="L645" s="192" t="str">
        <f aca="false">IF(AND('JULIO 2026'!D19&lt;&gt;"",'JULIO 2026'!Z19="POR RECOGER"),'JULIO 2026'!I19,"")</f>
        <v/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" hidden="false" customHeight="true" outlineLevel="0" collapsed="false">
      <c r="A646" s="192" t="str">
        <f aca="false">IF(AND('JULIO 2026'!D20&lt;&gt;"",'JULIO 2026'!Z20="POR RECOGER"),"JUL","")</f>
        <v/>
      </c>
      <c r="B646" s="192" t="str">
        <f aca="false">IF(AND('JULIO 2026'!D20&lt;&gt;"",'JULIO 2026'!Z20="POR RECOGER"),IF('JULIO 2026'!Y20&lt;&gt;"",'JULIO 2026'!Y20,'JULIO 2026'!I20),"")</f>
        <v/>
      </c>
      <c r="C646" s="192" t="str">
        <f aca="false">IF(AND('JULIO 2026'!D20&lt;&gt;"",'JULIO 2026'!Z20="POR RECOGER"),'JULIO 2026'!D20,"")</f>
        <v/>
      </c>
      <c r="D646" s="192" t="str">
        <f aca="false">IF(AND('JULIO 2026'!D20&lt;&gt;"",'JULIO 2026'!Z20="POR RECOGER"),'JULIO 2026'!F20,"")</f>
        <v/>
      </c>
      <c r="E646" s="192" t="str">
        <f aca="false">IF(AND('JULIO 2026'!D20&lt;&gt;"",'JULIO 2026'!Z20="POR RECOGER"),TEXT('JULIO 2026'!G20,"DD/MM/YYYY"),"")</f>
        <v/>
      </c>
      <c r="F646" s="192" t="str">
        <f aca="false">IF(AND('JULIO 2026'!D20&lt;&gt;"",'JULIO 2026'!Z20="POR RECOGER"),'JULIO 2026'!K20,"")</f>
        <v/>
      </c>
      <c r="G646" s="193" t="str">
        <f aca="false">IF(AND('JULIO 2026'!D20&lt;&gt;"",'JULIO 2026'!Z20="POR RECOGER"),'JULIO 2026'!M20,"")</f>
        <v/>
      </c>
      <c r="H646" s="193" t="str">
        <f aca="false">IF(AND('JULIO 2026'!D20&lt;&gt;"",'JULIO 2026'!Z20="POR RECOGER"),'JULIO 2026'!N20,"")</f>
        <v/>
      </c>
      <c r="I646" s="192" t="str">
        <f aca="false">IF(AND('JULIO 2026'!D20&lt;&gt;"",'JULIO 2026'!Z20="POR RECOGER"),'JULIO 2026'!P20,"")</f>
        <v/>
      </c>
      <c r="J646" s="192" t="str">
        <f aca="false">IF(AND('JULIO 2026'!D20&lt;&gt;"",'JULIO 2026'!Z20="POR RECOGER"),'JULIO 2026'!Q20,"")</f>
        <v/>
      </c>
      <c r="K646" s="192" t="str">
        <f aca="false">IF(AND('JULIO 2026'!D20&lt;&gt;"",'JULIO 2026'!Z20="POR RECOGER"),'JULIO 2026'!Y20,"")</f>
        <v/>
      </c>
      <c r="L646" s="192" t="str">
        <f aca="false">IF(AND('JULIO 2026'!D20&lt;&gt;"",'JULIO 2026'!Z20="POR RECOGER"),'JULIO 2026'!I20,"")</f>
        <v/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" hidden="false" customHeight="true" outlineLevel="0" collapsed="false">
      <c r="A647" s="192" t="str">
        <f aca="false">IF(AND('JULIO 2026'!D21&lt;&gt;"",'JULIO 2026'!Z21="POR RECOGER"),"JUL","")</f>
        <v/>
      </c>
      <c r="B647" s="192" t="str">
        <f aca="false">IF(AND('JULIO 2026'!D21&lt;&gt;"",'JULIO 2026'!Z21="POR RECOGER"),IF('JULIO 2026'!Y21&lt;&gt;"",'JULIO 2026'!Y21,'JULIO 2026'!I21),"")</f>
        <v/>
      </c>
      <c r="C647" s="192" t="str">
        <f aca="false">IF(AND('JULIO 2026'!D21&lt;&gt;"",'JULIO 2026'!Z21="POR RECOGER"),'JULIO 2026'!D21,"")</f>
        <v/>
      </c>
      <c r="D647" s="192" t="str">
        <f aca="false">IF(AND('JULIO 2026'!D21&lt;&gt;"",'JULIO 2026'!Z21="POR RECOGER"),'JULIO 2026'!F21,"")</f>
        <v/>
      </c>
      <c r="E647" s="192" t="str">
        <f aca="false">IF(AND('JULIO 2026'!D21&lt;&gt;"",'JULIO 2026'!Z21="POR RECOGER"),TEXT('JULIO 2026'!G21,"DD/MM/YYYY"),"")</f>
        <v/>
      </c>
      <c r="F647" s="192" t="str">
        <f aca="false">IF(AND('JULIO 2026'!D21&lt;&gt;"",'JULIO 2026'!Z21="POR RECOGER"),'JULIO 2026'!K21,"")</f>
        <v/>
      </c>
      <c r="G647" s="193" t="str">
        <f aca="false">IF(AND('JULIO 2026'!D21&lt;&gt;"",'JULIO 2026'!Z21="POR RECOGER"),'JULIO 2026'!M21,"")</f>
        <v/>
      </c>
      <c r="H647" s="193" t="str">
        <f aca="false">IF(AND('JULIO 2026'!D21&lt;&gt;"",'JULIO 2026'!Z21="POR RECOGER"),'JULIO 2026'!N21,"")</f>
        <v/>
      </c>
      <c r="I647" s="192" t="str">
        <f aca="false">IF(AND('JULIO 2026'!D21&lt;&gt;"",'JULIO 2026'!Z21="POR RECOGER"),'JULIO 2026'!P21,"")</f>
        <v/>
      </c>
      <c r="J647" s="192" t="str">
        <f aca="false">IF(AND('JULIO 2026'!D21&lt;&gt;"",'JULIO 2026'!Z21="POR RECOGER"),'JULIO 2026'!Q21,"")</f>
        <v/>
      </c>
      <c r="K647" s="192" t="str">
        <f aca="false">IF(AND('JULIO 2026'!D21&lt;&gt;"",'JULIO 2026'!Z21="POR RECOGER"),'JULIO 2026'!Y21,"")</f>
        <v/>
      </c>
      <c r="L647" s="192" t="str">
        <f aca="false">IF(AND('JULIO 2026'!D21&lt;&gt;"",'JULIO 2026'!Z21="POR RECOGER"),'JULIO 2026'!I21,"")</f>
        <v/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" hidden="false" customHeight="true" outlineLevel="0" collapsed="false">
      <c r="A648" s="192" t="str">
        <f aca="false">IF(AND('JULIO 2026'!D22&lt;&gt;"",'JULIO 2026'!Z22="POR RECOGER"),"JUL","")</f>
        <v/>
      </c>
      <c r="B648" s="192" t="str">
        <f aca="false">IF(AND('JULIO 2026'!D22&lt;&gt;"",'JULIO 2026'!Z22="POR RECOGER"),IF('JULIO 2026'!Y22&lt;&gt;"",'JULIO 2026'!Y22,'JULIO 2026'!I22),"")</f>
        <v/>
      </c>
      <c r="C648" s="192" t="str">
        <f aca="false">IF(AND('JULIO 2026'!D22&lt;&gt;"",'JULIO 2026'!Z22="POR RECOGER"),'JULIO 2026'!D22,"")</f>
        <v/>
      </c>
      <c r="D648" s="192" t="str">
        <f aca="false">IF(AND('JULIO 2026'!D22&lt;&gt;"",'JULIO 2026'!Z22="POR RECOGER"),'JULIO 2026'!F22,"")</f>
        <v/>
      </c>
      <c r="E648" s="192" t="str">
        <f aca="false">IF(AND('JULIO 2026'!D22&lt;&gt;"",'JULIO 2026'!Z22="POR RECOGER"),TEXT('JULIO 2026'!G22,"DD/MM/YYYY"),"")</f>
        <v/>
      </c>
      <c r="F648" s="192" t="str">
        <f aca="false">IF(AND('JULIO 2026'!D22&lt;&gt;"",'JULIO 2026'!Z22="POR RECOGER"),'JULIO 2026'!K22,"")</f>
        <v/>
      </c>
      <c r="G648" s="193" t="str">
        <f aca="false">IF(AND('JULIO 2026'!D22&lt;&gt;"",'JULIO 2026'!Z22="POR RECOGER"),'JULIO 2026'!M22,"")</f>
        <v/>
      </c>
      <c r="H648" s="193" t="str">
        <f aca="false">IF(AND('JULIO 2026'!D22&lt;&gt;"",'JULIO 2026'!Z22="POR RECOGER"),'JULIO 2026'!N22,"")</f>
        <v/>
      </c>
      <c r="I648" s="192" t="str">
        <f aca="false">IF(AND('JULIO 2026'!D22&lt;&gt;"",'JULIO 2026'!Z22="POR RECOGER"),'JULIO 2026'!P22,"")</f>
        <v/>
      </c>
      <c r="J648" s="192" t="str">
        <f aca="false">IF(AND('JULIO 2026'!D22&lt;&gt;"",'JULIO 2026'!Z22="POR RECOGER"),'JULIO 2026'!Q22,"")</f>
        <v/>
      </c>
      <c r="K648" s="192" t="str">
        <f aca="false">IF(AND('JULIO 2026'!D22&lt;&gt;"",'JULIO 2026'!Z22="POR RECOGER"),'JULIO 2026'!Y22,"")</f>
        <v/>
      </c>
      <c r="L648" s="192" t="str">
        <f aca="false">IF(AND('JULIO 2026'!D22&lt;&gt;"",'JULIO 2026'!Z22="POR RECOGER"),'JULIO 2026'!I22,"")</f>
        <v/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" hidden="false" customHeight="true" outlineLevel="0" collapsed="false">
      <c r="A649" s="192" t="str">
        <f aca="false">IF(AND('JULIO 2026'!D23&lt;&gt;"",'JULIO 2026'!Z23="POR RECOGER"),"JUL","")</f>
        <v/>
      </c>
      <c r="B649" s="192" t="str">
        <f aca="false">IF(AND('JULIO 2026'!D23&lt;&gt;"",'JULIO 2026'!Z23="POR RECOGER"),IF('JULIO 2026'!Y23&lt;&gt;"",'JULIO 2026'!Y23,'JULIO 2026'!I23),"")</f>
        <v/>
      </c>
      <c r="C649" s="192" t="str">
        <f aca="false">IF(AND('JULIO 2026'!D23&lt;&gt;"",'JULIO 2026'!Z23="POR RECOGER"),'JULIO 2026'!D23,"")</f>
        <v/>
      </c>
      <c r="D649" s="192" t="str">
        <f aca="false">IF(AND('JULIO 2026'!D23&lt;&gt;"",'JULIO 2026'!Z23="POR RECOGER"),'JULIO 2026'!F23,"")</f>
        <v/>
      </c>
      <c r="E649" s="192" t="str">
        <f aca="false">IF(AND('JULIO 2026'!D23&lt;&gt;"",'JULIO 2026'!Z23="POR RECOGER"),TEXT('JULIO 2026'!G23,"DD/MM/YYYY"),"")</f>
        <v/>
      </c>
      <c r="F649" s="192" t="str">
        <f aca="false">IF(AND('JULIO 2026'!D23&lt;&gt;"",'JULIO 2026'!Z23="POR RECOGER"),'JULIO 2026'!K23,"")</f>
        <v/>
      </c>
      <c r="G649" s="193" t="str">
        <f aca="false">IF(AND('JULIO 2026'!D23&lt;&gt;"",'JULIO 2026'!Z23="POR RECOGER"),'JULIO 2026'!M23,"")</f>
        <v/>
      </c>
      <c r="H649" s="193" t="str">
        <f aca="false">IF(AND('JULIO 2026'!D23&lt;&gt;"",'JULIO 2026'!Z23="POR RECOGER"),'JULIO 2026'!N23,"")</f>
        <v/>
      </c>
      <c r="I649" s="192" t="str">
        <f aca="false">IF(AND('JULIO 2026'!D23&lt;&gt;"",'JULIO 2026'!Z23="POR RECOGER"),'JULIO 2026'!P23,"")</f>
        <v/>
      </c>
      <c r="J649" s="192" t="str">
        <f aca="false">IF(AND('JULIO 2026'!D23&lt;&gt;"",'JULIO 2026'!Z23="POR RECOGER"),'JULIO 2026'!Q23,"")</f>
        <v/>
      </c>
      <c r="K649" s="192" t="str">
        <f aca="false">IF(AND('JULIO 2026'!D23&lt;&gt;"",'JULIO 2026'!Z23="POR RECOGER"),'JULIO 2026'!Y23,"")</f>
        <v/>
      </c>
      <c r="L649" s="192" t="str">
        <f aca="false">IF(AND('JULIO 2026'!D23&lt;&gt;"",'JULIO 2026'!Z23="POR RECOGER"),'JULIO 2026'!I23,"")</f>
        <v/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" hidden="false" customHeight="true" outlineLevel="0" collapsed="false">
      <c r="A650" s="192" t="str">
        <f aca="false">IF(AND('JULIO 2026'!D24&lt;&gt;"",'JULIO 2026'!Z24="POR RECOGER"),"JUL","")</f>
        <v/>
      </c>
      <c r="B650" s="192" t="str">
        <f aca="false">IF(AND('JULIO 2026'!D24&lt;&gt;"",'JULIO 2026'!Z24="POR RECOGER"),IF('JULIO 2026'!Y24&lt;&gt;"",'JULIO 2026'!Y24,'JULIO 2026'!I24),"")</f>
        <v/>
      </c>
      <c r="C650" s="192" t="str">
        <f aca="false">IF(AND('JULIO 2026'!D24&lt;&gt;"",'JULIO 2026'!Z24="POR RECOGER"),'JULIO 2026'!D24,"")</f>
        <v/>
      </c>
      <c r="D650" s="192" t="str">
        <f aca="false">IF(AND('JULIO 2026'!D24&lt;&gt;"",'JULIO 2026'!Z24="POR RECOGER"),'JULIO 2026'!F24,"")</f>
        <v/>
      </c>
      <c r="E650" s="192" t="str">
        <f aca="false">IF(AND('JULIO 2026'!D24&lt;&gt;"",'JULIO 2026'!Z24="POR RECOGER"),TEXT('JULIO 2026'!G24,"DD/MM/YYYY"),"")</f>
        <v/>
      </c>
      <c r="F650" s="192" t="str">
        <f aca="false">IF(AND('JULIO 2026'!D24&lt;&gt;"",'JULIO 2026'!Z24="POR RECOGER"),'JULIO 2026'!K24,"")</f>
        <v/>
      </c>
      <c r="G650" s="193" t="str">
        <f aca="false">IF(AND('JULIO 2026'!D24&lt;&gt;"",'JULIO 2026'!Z24="POR RECOGER"),'JULIO 2026'!M24,"")</f>
        <v/>
      </c>
      <c r="H650" s="193" t="str">
        <f aca="false">IF(AND('JULIO 2026'!D24&lt;&gt;"",'JULIO 2026'!Z24="POR RECOGER"),'JULIO 2026'!N24,"")</f>
        <v/>
      </c>
      <c r="I650" s="192" t="str">
        <f aca="false">IF(AND('JULIO 2026'!D24&lt;&gt;"",'JULIO 2026'!Z24="POR RECOGER"),'JULIO 2026'!P24,"")</f>
        <v/>
      </c>
      <c r="J650" s="192" t="str">
        <f aca="false">IF(AND('JULIO 2026'!D24&lt;&gt;"",'JULIO 2026'!Z24="POR RECOGER"),'JULIO 2026'!Q24,"")</f>
        <v/>
      </c>
      <c r="K650" s="192" t="str">
        <f aca="false">IF(AND('JULIO 2026'!D24&lt;&gt;"",'JULIO 2026'!Z24="POR RECOGER"),'JULIO 2026'!Y24,"")</f>
        <v/>
      </c>
      <c r="L650" s="192" t="str">
        <f aca="false">IF(AND('JULIO 2026'!D24&lt;&gt;"",'JULIO 2026'!Z24="POR RECOGER"),'JULIO 2026'!I24,"")</f>
        <v/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" hidden="false" customHeight="true" outlineLevel="0" collapsed="false">
      <c r="A651" s="192" t="str">
        <f aca="false">IF(AND('JULIO 2026'!D25&lt;&gt;"",'JULIO 2026'!Z25="POR RECOGER"),"JUL","")</f>
        <v/>
      </c>
      <c r="B651" s="192" t="str">
        <f aca="false">IF(AND('JULIO 2026'!D25&lt;&gt;"",'JULIO 2026'!Z25="POR RECOGER"),IF('JULIO 2026'!Y25&lt;&gt;"",'JULIO 2026'!Y25,'JULIO 2026'!I25),"")</f>
        <v/>
      </c>
      <c r="C651" s="192" t="str">
        <f aca="false">IF(AND('JULIO 2026'!D25&lt;&gt;"",'JULIO 2026'!Z25="POR RECOGER"),'JULIO 2026'!D25,"")</f>
        <v/>
      </c>
      <c r="D651" s="192" t="str">
        <f aca="false">IF(AND('JULIO 2026'!D25&lt;&gt;"",'JULIO 2026'!Z25="POR RECOGER"),'JULIO 2026'!F25,"")</f>
        <v/>
      </c>
      <c r="E651" s="192" t="str">
        <f aca="false">IF(AND('JULIO 2026'!D25&lt;&gt;"",'JULIO 2026'!Z25="POR RECOGER"),TEXT('JULIO 2026'!G25,"DD/MM/YYYY"),"")</f>
        <v/>
      </c>
      <c r="F651" s="192" t="str">
        <f aca="false">IF(AND('JULIO 2026'!D25&lt;&gt;"",'JULIO 2026'!Z25="POR RECOGER"),'JULIO 2026'!K25,"")</f>
        <v/>
      </c>
      <c r="G651" s="193" t="str">
        <f aca="false">IF(AND('JULIO 2026'!D25&lt;&gt;"",'JULIO 2026'!Z25="POR RECOGER"),'JULIO 2026'!M25,"")</f>
        <v/>
      </c>
      <c r="H651" s="193" t="str">
        <f aca="false">IF(AND('JULIO 2026'!D25&lt;&gt;"",'JULIO 2026'!Z25="POR RECOGER"),'JULIO 2026'!N25,"")</f>
        <v/>
      </c>
      <c r="I651" s="192" t="str">
        <f aca="false">IF(AND('JULIO 2026'!D25&lt;&gt;"",'JULIO 2026'!Z25="POR RECOGER"),'JULIO 2026'!P25,"")</f>
        <v/>
      </c>
      <c r="J651" s="192" t="str">
        <f aca="false">IF(AND('JULIO 2026'!D25&lt;&gt;"",'JULIO 2026'!Z25="POR RECOGER"),'JULIO 2026'!Q25,"")</f>
        <v/>
      </c>
      <c r="K651" s="192" t="str">
        <f aca="false">IF(AND('JULIO 2026'!D25&lt;&gt;"",'JULIO 2026'!Z25="POR RECOGER"),'JULIO 2026'!Y25,"")</f>
        <v/>
      </c>
      <c r="L651" s="192" t="str">
        <f aca="false">IF(AND('JULIO 2026'!D25&lt;&gt;"",'JULIO 2026'!Z25="POR RECOGER"),'JULIO 2026'!I25,"")</f>
        <v/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" hidden="false" customHeight="true" outlineLevel="0" collapsed="false">
      <c r="A652" s="192" t="str">
        <f aca="false">IF(AND('JULIO 2026'!D26&lt;&gt;"",'JULIO 2026'!Z26="POR RECOGER"),"JUL","")</f>
        <v/>
      </c>
      <c r="B652" s="192" t="str">
        <f aca="false">IF(AND('JULIO 2026'!D26&lt;&gt;"",'JULIO 2026'!Z26="POR RECOGER"),IF('JULIO 2026'!Y26&lt;&gt;"",'JULIO 2026'!Y26,'JULIO 2026'!I26),"")</f>
        <v/>
      </c>
      <c r="C652" s="192" t="str">
        <f aca="false">IF(AND('JULIO 2026'!D26&lt;&gt;"",'JULIO 2026'!Z26="POR RECOGER"),'JULIO 2026'!D26,"")</f>
        <v/>
      </c>
      <c r="D652" s="192" t="str">
        <f aca="false">IF(AND('JULIO 2026'!D26&lt;&gt;"",'JULIO 2026'!Z26="POR RECOGER"),'JULIO 2026'!F26,"")</f>
        <v/>
      </c>
      <c r="E652" s="192" t="str">
        <f aca="false">IF(AND('JULIO 2026'!D26&lt;&gt;"",'JULIO 2026'!Z26="POR RECOGER"),TEXT('JULIO 2026'!G26,"DD/MM/YYYY"),"")</f>
        <v/>
      </c>
      <c r="F652" s="192" t="str">
        <f aca="false">IF(AND('JULIO 2026'!D26&lt;&gt;"",'JULIO 2026'!Z26="POR RECOGER"),'JULIO 2026'!K26,"")</f>
        <v/>
      </c>
      <c r="G652" s="193" t="str">
        <f aca="false">IF(AND('JULIO 2026'!D26&lt;&gt;"",'JULIO 2026'!Z26="POR RECOGER"),'JULIO 2026'!M26,"")</f>
        <v/>
      </c>
      <c r="H652" s="193" t="str">
        <f aca="false">IF(AND('JULIO 2026'!D26&lt;&gt;"",'JULIO 2026'!Z26="POR RECOGER"),'JULIO 2026'!N26,"")</f>
        <v/>
      </c>
      <c r="I652" s="192" t="str">
        <f aca="false">IF(AND('JULIO 2026'!D26&lt;&gt;"",'JULIO 2026'!Z26="POR RECOGER"),'JULIO 2026'!P26,"")</f>
        <v/>
      </c>
      <c r="J652" s="192" t="str">
        <f aca="false">IF(AND('JULIO 2026'!D26&lt;&gt;"",'JULIO 2026'!Z26="POR RECOGER"),'JULIO 2026'!Q26,"")</f>
        <v/>
      </c>
      <c r="K652" s="192" t="str">
        <f aca="false">IF(AND('JULIO 2026'!D26&lt;&gt;"",'JULIO 2026'!Z26="POR RECOGER"),'JULIO 2026'!Y26,"")</f>
        <v/>
      </c>
      <c r="L652" s="192" t="str">
        <f aca="false">IF(AND('JULIO 2026'!D26&lt;&gt;"",'JULIO 2026'!Z26="POR RECOGER"),'JULIO 2026'!I26,"")</f>
        <v/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" hidden="false" customHeight="true" outlineLevel="0" collapsed="false">
      <c r="A653" s="192" t="str">
        <f aca="false">IF(AND('JULIO 2026'!D27&lt;&gt;"",'JULIO 2026'!Z27="POR RECOGER"),"JUL","")</f>
        <v/>
      </c>
      <c r="B653" s="192" t="str">
        <f aca="false">IF(AND('JULIO 2026'!D27&lt;&gt;"",'JULIO 2026'!Z27="POR RECOGER"),IF('JULIO 2026'!Y27&lt;&gt;"",'JULIO 2026'!Y27,'JULIO 2026'!I27),"")</f>
        <v/>
      </c>
      <c r="C653" s="192" t="str">
        <f aca="false">IF(AND('JULIO 2026'!D27&lt;&gt;"",'JULIO 2026'!Z27="POR RECOGER"),'JULIO 2026'!D27,"")</f>
        <v/>
      </c>
      <c r="D653" s="192" t="str">
        <f aca="false">IF(AND('JULIO 2026'!D27&lt;&gt;"",'JULIO 2026'!Z27="POR RECOGER"),'JULIO 2026'!F27,"")</f>
        <v/>
      </c>
      <c r="E653" s="192" t="str">
        <f aca="false">IF(AND('JULIO 2026'!D27&lt;&gt;"",'JULIO 2026'!Z27="POR RECOGER"),TEXT('JULIO 2026'!G27,"DD/MM/YYYY"),"")</f>
        <v/>
      </c>
      <c r="F653" s="192" t="str">
        <f aca="false">IF(AND('JULIO 2026'!D27&lt;&gt;"",'JULIO 2026'!Z27="POR RECOGER"),'JULIO 2026'!K27,"")</f>
        <v/>
      </c>
      <c r="G653" s="193" t="str">
        <f aca="false">IF(AND('JULIO 2026'!D27&lt;&gt;"",'JULIO 2026'!Z27="POR RECOGER"),'JULIO 2026'!M27,"")</f>
        <v/>
      </c>
      <c r="H653" s="193" t="str">
        <f aca="false">IF(AND('JULIO 2026'!D27&lt;&gt;"",'JULIO 2026'!Z27="POR RECOGER"),'JULIO 2026'!N27,"")</f>
        <v/>
      </c>
      <c r="I653" s="192" t="str">
        <f aca="false">IF(AND('JULIO 2026'!D27&lt;&gt;"",'JULIO 2026'!Z27="POR RECOGER"),'JULIO 2026'!P27,"")</f>
        <v/>
      </c>
      <c r="J653" s="192" t="str">
        <f aca="false">IF(AND('JULIO 2026'!D27&lt;&gt;"",'JULIO 2026'!Z27="POR RECOGER"),'JULIO 2026'!Q27,"")</f>
        <v/>
      </c>
      <c r="K653" s="192" t="str">
        <f aca="false">IF(AND('JULIO 2026'!D27&lt;&gt;"",'JULIO 2026'!Z27="POR RECOGER"),'JULIO 2026'!Y27,"")</f>
        <v/>
      </c>
      <c r="L653" s="192" t="str">
        <f aca="false">IF(AND('JULIO 2026'!D27&lt;&gt;"",'JULIO 2026'!Z27="POR RECOGER"),'JULIO 2026'!I27,"")</f>
        <v/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" hidden="false" customHeight="true" outlineLevel="0" collapsed="false">
      <c r="A654" s="192" t="str">
        <f aca="false">IF(AND('JULIO 2026'!D28&lt;&gt;"",'JULIO 2026'!Z28="POR RECOGER"),"JUL","")</f>
        <v/>
      </c>
      <c r="B654" s="192" t="str">
        <f aca="false">IF(AND('JULIO 2026'!D28&lt;&gt;"",'JULIO 2026'!Z28="POR RECOGER"),IF('JULIO 2026'!Y28&lt;&gt;"",'JULIO 2026'!Y28,'JULIO 2026'!I28),"")</f>
        <v/>
      </c>
      <c r="C654" s="192" t="str">
        <f aca="false">IF(AND('JULIO 2026'!D28&lt;&gt;"",'JULIO 2026'!Z28="POR RECOGER"),'JULIO 2026'!D28,"")</f>
        <v/>
      </c>
      <c r="D654" s="192" t="str">
        <f aca="false">IF(AND('JULIO 2026'!D28&lt;&gt;"",'JULIO 2026'!Z28="POR RECOGER"),'JULIO 2026'!F28,"")</f>
        <v/>
      </c>
      <c r="E654" s="192" t="str">
        <f aca="false">IF(AND('JULIO 2026'!D28&lt;&gt;"",'JULIO 2026'!Z28="POR RECOGER"),TEXT('JULIO 2026'!G28,"DD/MM/YYYY"),"")</f>
        <v/>
      </c>
      <c r="F654" s="192" t="str">
        <f aca="false">IF(AND('JULIO 2026'!D28&lt;&gt;"",'JULIO 2026'!Z28="POR RECOGER"),'JULIO 2026'!K28,"")</f>
        <v/>
      </c>
      <c r="G654" s="193" t="str">
        <f aca="false">IF(AND('JULIO 2026'!D28&lt;&gt;"",'JULIO 2026'!Z28="POR RECOGER"),'JULIO 2026'!M28,"")</f>
        <v/>
      </c>
      <c r="H654" s="193" t="str">
        <f aca="false">IF(AND('JULIO 2026'!D28&lt;&gt;"",'JULIO 2026'!Z28="POR RECOGER"),'JULIO 2026'!N28,"")</f>
        <v/>
      </c>
      <c r="I654" s="192" t="str">
        <f aca="false">IF(AND('JULIO 2026'!D28&lt;&gt;"",'JULIO 2026'!Z28="POR RECOGER"),'JULIO 2026'!P28,"")</f>
        <v/>
      </c>
      <c r="J654" s="192" t="str">
        <f aca="false">IF(AND('JULIO 2026'!D28&lt;&gt;"",'JULIO 2026'!Z28="POR RECOGER"),'JULIO 2026'!Q28,"")</f>
        <v/>
      </c>
      <c r="K654" s="192" t="str">
        <f aca="false">IF(AND('JULIO 2026'!D28&lt;&gt;"",'JULIO 2026'!Z28="POR RECOGER"),'JULIO 2026'!Y28,"")</f>
        <v/>
      </c>
      <c r="L654" s="192" t="str">
        <f aca="false">IF(AND('JULIO 2026'!D28&lt;&gt;"",'JULIO 2026'!Z28="POR RECOGER"),'JULIO 2026'!I28,"")</f>
        <v/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" hidden="false" customHeight="true" outlineLevel="0" collapsed="false">
      <c r="A655" s="192" t="str">
        <f aca="false">IF(AND('JULIO 2026'!D29&lt;&gt;"",'JULIO 2026'!Z29="POR RECOGER"),"JUL","")</f>
        <v/>
      </c>
      <c r="B655" s="192" t="str">
        <f aca="false">IF(AND('JULIO 2026'!D29&lt;&gt;"",'JULIO 2026'!Z29="POR RECOGER"),IF('JULIO 2026'!Y29&lt;&gt;"",'JULIO 2026'!Y29,'JULIO 2026'!I29),"")</f>
        <v/>
      </c>
      <c r="C655" s="192" t="str">
        <f aca="false">IF(AND('JULIO 2026'!D29&lt;&gt;"",'JULIO 2026'!Z29="POR RECOGER"),'JULIO 2026'!D29,"")</f>
        <v/>
      </c>
      <c r="D655" s="192" t="str">
        <f aca="false">IF(AND('JULIO 2026'!D29&lt;&gt;"",'JULIO 2026'!Z29="POR RECOGER"),'JULIO 2026'!F29,"")</f>
        <v/>
      </c>
      <c r="E655" s="192" t="str">
        <f aca="false">IF(AND('JULIO 2026'!D29&lt;&gt;"",'JULIO 2026'!Z29="POR RECOGER"),TEXT('JULIO 2026'!G29,"DD/MM/YYYY"),"")</f>
        <v/>
      </c>
      <c r="F655" s="192" t="str">
        <f aca="false">IF(AND('JULIO 2026'!D29&lt;&gt;"",'JULIO 2026'!Z29="POR RECOGER"),'JULIO 2026'!K29,"")</f>
        <v/>
      </c>
      <c r="G655" s="193" t="str">
        <f aca="false">IF(AND('JULIO 2026'!D29&lt;&gt;"",'JULIO 2026'!Z29="POR RECOGER"),'JULIO 2026'!M29,"")</f>
        <v/>
      </c>
      <c r="H655" s="193" t="str">
        <f aca="false">IF(AND('JULIO 2026'!D29&lt;&gt;"",'JULIO 2026'!Z29="POR RECOGER"),'JULIO 2026'!N29,"")</f>
        <v/>
      </c>
      <c r="I655" s="192" t="str">
        <f aca="false">IF(AND('JULIO 2026'!D29&lt;&gt;"",'JULIO 2026'!Z29="POR RECOGER"),'JULIO 2026'!P29,"")</f>
        <v/>
      </c>
      <c r="J655" s="192" t="str">
        <f aca="false">IF(AND('JULIO 2026'!D29&lt;&gt;"",'JULIO 2026'!Z29="POR RECOGER"),'JULIO 2026'!Q29,"")</f>
        <v/>
      </c>
      <c r="K655" s="192" t="str">
        <f aca="false">IF(AND('JULIO 2026'!D29&lt;&gt;"",'JULIO 2026'!Z29="POR RECOGER"),'JULIO 2026'!Y29,"")</f>
        <v/>
      </c>
      <c r="L655" s="192" t="str">
        <f aca="false">IF(AND('JULIO 2026'!D29&lt;&gt;"",'JULIO 2026'!Z29="POR RECOGER"),'JULIO 2026'!I29,"")</f>
        <v/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" hidden="false" customHeight="true" outlineLevel="0" collapsed="false">
      <c r="A656" s="192" t="str">
        <f aca="false">IF(AND('JULIO 2026'!D30&lt;&gt;"",'JULIO 2026'!Z30="POR RECOGER"),"JUL","")</f>
        <v/>
      </c>
      <c r="B656" s="192" t="str">
        <f aca="false">IF(AND('JULIO 2026'!D30&lt;&gt;"",'JULIO 2026'!Z30="POR RECOGER"),IF('JULIO 2026'!Y30&lt;&gt;"",'JULIO 2026'!Y30,'JULIO 2026'!I30),"")</f>
        <v/>
      </c>
      <c r="C656" s="192" t="str">
        <f aca="false">IF(AND('JULIO 2026'!D30&lt;&gt;"",'JULIO 2026'!Z30="POR RECOGER"),'JULIO 2026'!D30,"")</f>
        <v/>
      </c>
      <c r="D656" s="192" t="str">
        <f aca="false">IF(AND('JULIO 2026'!D30&lt;&gt;"",'JULIO 2026'!Z30="POR RECOGER"),'JULIO 2026'!F30,"")</f>
        <v/>
      </c>
      <c r="E656" s="192" t="str">
        <f aca="false">IF(AND('JULIO 2026'!D30&lt;&gt;"",'JULIO 2026'!Z30="POR RECOGER"),TEXT('JULIO 2026'!G30,"DD/MM/YYYY"),"")</f>
        <v/>
      </c>
      <c r="F656" s="192" t="str">
        <f aca="false">IF(AND('JULIO 2026'!D30&lt;&gt;"",'JULIO 2026'!Z30="POR RECOGER"),'JULIO 2026'!K30,"")</f>
        <v/>
      </c>
      <c r="G656" s="193" t="str">
        <f aca="false">IF(AND('JULIO 2026'!D30&lt;&gt;"",'JULIO 2026'!Z30="POR RECOGER"),'JULIO 2026'!M30,"")</f>
        <v/>
      </c>
      <c r="H656" s="193" t="str">
        <f aca="false">IF(AND('JULIO 2026'!D30&lt;&gt;"",'JULIO 2026'!Z30="POR RECOGER"),'JULIO 2026'!N30,"")</f>
        <v/>
      </c>
      <c r="I656" s="192" t="str">
        <f aca="false">IF(AND('JULIO 2026'!D30&lt;&gt;"",'JULIO 2026'!Z30="POR RECOGER"),'JULIO 2026'!P30,"")</f>
        <v/>
      </c>
      <c r="J656" s="192" t="str">
        <f aca="false">IF(AND('JULIO 2026'!D30&lt;&gt;"",'JULIO 2026'!Z30="POR RECOGER"),'JULIO 2026'!Q30,"")</f>
        <v/>
      </c>
      <c r="K656" s="192" t="str">
        <f aca="false">IF(AND('JULIO 2026'!D30&lt;&gt;"",'JULIO 2026'!Z30="POR RECOGER"),'JULIO 2026'!Y30,"")</f>
        <v/>
      </c>
      <c r="L656" s="192" t="str">
        <f aca="false">IF(AND('JULIO 2026'!D30&lt;&gt;"",'JULIO 2026'!Z30="POR RECOGER"),'JULIO 2026'!I30,"")</f>
        <v/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" hidden="false" customHeight="true" outlineLevel="0" collapsed="false">
      <c r="A657" s="192" t="str">
        <f aca="false">IF(AND('JULIO 2026'!D31&lt;&gt;"",'JULIO 2026'!Z31="POR RECOGER"),"JUL","")</f>
        <v/>
      </c>
      <c r="B657" s="192" t="str">
        <f aca="false">IF(AND('JULIO 2026'!D31&lt;&gt;"",'JULIO 2026'!Z31="POR RECOGER"),IF('JULIO 2026'!Y31&lt;&gt;"",'JULIO 2026'!Y31,'JULIO 2026'!I31),"")</f>
        <v/>
      </c>
      <c r="C657" s="192" t="str">
        <f aca="false">IF(AND('JULIO 2026'!D31&lt;&gt;"",'JULIO 2026'!Z31="POR RECOGER"),'JULIO 2026'!D31,"")</f>
        <v/>
      </c>
      <c r="D657" s="192" t="str">
        <f aca="false">IF(AND('JULIO 2026'!D31&lt;&gt;"",'JULIO 2026'!Z31="POR RECOGER"),'JULIO 2026'!F31,"")</f>
        <v/>
      </c>
      <c r="E657" s="192" t="str">
        <f aca="false">IF(AND('JULIO 2026'!D31&lt;&gt;"",'JULIO 2026'!Z31="POR RECOGER"),TEXT('JULIO 2026'!G31,"DD/MM/YYYY"),"")</f>
        <v/>
      </c>
      <c r="F657" s="192" t="str">
        <f aca="false">IF(AND('JULIO 2026'!D31&lt;&gt;"",'JULIO 2026'!Z31="POR RECOGER"),'JULIO 2026'!K31,"")</f>
        <v/>
      </c>
      <c r="G657" s="193" t="str">
        <f aca="false">IF(AND('JULIO 2026'!D31&lt;&gt;"",'JULIO 2026'!Z31="POR RECOGER"),'JULIO 2026'!M31,"")</f>
        <v/>
      </c>
      <c r="H657" s="193" t="str">
        <f aca="false">IF(AND('JULIO 2026'!D31&lt;&gt;"",'JULIO 2026'!Z31="POR RECOGER"),'JULIO 2026'!N31,"")</f>
        <v/>
      </c>
      <c r="I657" s="192" t="str">
        <f aca="false">IF(AND('JULIO 2026'!D31&lt;&gt;"",'JULIO 2026'!Z31="POR RECOGER"),'JULIO 2026'!P31,"")</f>
        <v/>
      </c>
      <c r="J657" s="192" t="str">
        <f aca="false">IF(AND('JULIO 2026'!D31&lt;&gt;"",'JULIO 2026'!Z31="POR RECOGER"),'JULIO 2026'!Q31,"")</f>
        <v/>
      </c>
      <c r="K657" s="192" t="str">
        <f aca="false">IF(AND('JULIO 2026'!D31&lt;&gt;"",'JULIO 2026'!Z31="POR RECOGER"),'JULIO 2026'!Y31,"")</f>
        <v/>
      </c>
      <c r="L657" s="192" t="str">
        <f aca="false">IF(AND('JULIO 2026'!D31&lt;&gt;"",'JULIO 2026'!Z31="POR RECOGER"),'JULIO 2026'!I31,"")</f>
        <v/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" hidden="false" customHeight="true" outlineLevel="0" collapsed="false">
      <c r="A658" s="192" t="str">
        <f aca="false">IF(AND('JULIO 2026'!D32&lt;&gt;"",'JULIO 2026'!Z32="POR RECOGER"),"JUL","")</f>
        <v/>
      </c>
      <c r="B658" s="192" t="str">
        <f aca="false">IF(AND('JULIO 2026'!D32&lt;&gt;"",'JULIO 2026'!Z32="POR RECOGER"),IF('JULIO 2026'!Y32&lt;&gt;"",'JULIO 2026'!Y32,'JULIO 2026'!I32),"")</f>
        <v/>
      </c>
      <c r="C658" s="192" t="str">
        <f aca="false">IF(AND('JULIO 2026'!D32&lt;&gt;"",'JULIO 2026'!Z32="POR RECOGER"),'JULIO 2026'!D32,"")</f>
        <v/>
      </c>
      <c r="D658" s="192" t="str">
        <f aca="false">IF(AND('JULIO 2026'!D32&lt;&gt;"",'JULIO 2026'!Z32="POR RECOGER"),'JULIO 2026'!F32,"")</f>
        <v/>
      </c>
      <c r="E658" s="192" t="str">
        <f aca="false">IF(AND('JULIO 2026'!D32&lt;&gt;"",'JULIO 2026'!Z32="POR RECOGER"),TEXT('JULIO 2026'!G32,"DD/MM/YYYY"),"")</f>
        <v/>
      </c>
      <c r="F658" s="192" t="str">
        <f aca="false">IF(AND('JULIO 2026'!D32&lt;&gt;"",'JULIO 2026'!Z32="POR RECOGER"),'JULIO 2026'!K32,"")</f>
        <v/>
      </c>
      <c r="G658" s="193" t="str">
        <f aca="false">IF(AND('JULIO 2026'!D32&lt;&gt;"",'JULIO 2026'!Z32="POR RECOGER"),'JULIO 2026'!M32,"")</f>
        <v/>
      </c>
      <c r="H658" s="193" t="str">
        <f aca="false">IF(AND('JULIO 2026'!D32&lt;&gt;"",'JULIO 2026'!Z32="POR RECOGER"),'JULIO 2026'!N32,"")</f>
        <v/>
      </c>
      <c r="I658" s="192" t="str">
        <f aca="false">IF(AND('JULIO 2026'!D32&lt;&gt;"",'JULIO 2026'!Z32="POR RECOGER"),'JULIO 2026'!P32,"")</f>
        <v/>
      </c>
      <c r="J658" s="192" t="str">
        <f aca="false">IF(AND('JULIO 2026'!D32&lt;&gt;"",'JULIO 2026'!Z32="POR RECOGER"),'JULIO 2026'!Q32,"")</f>
        <v/>
      </c>
      <c r="K658" s="192" t="str">
        <f aca="false">IF(AND('JULIO 2026'!D32&lt;&gt;"",'JULIO 2026'!Z32="POR RECOGER"),'JULIO 2026'!Y32,"")</f>
        <v/>
      </c>
      <c r="L658" s="192" t="str">
        <f aca="false">IF(AND('JULIO 2026'!D32&lt;&gt;"",'JULIO 2026'!Z32="POR RECOGER"),'JULIO 2026'!I32,"")</f>
        <v/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" hidden="false" customHeight="true" outlineLevel="0" collapsed="false">
      <c r="A659" s="192" t="str">
        <f aca="false">IF(AND('JULIO 2026'!D33&lt;&gt;"",'JULIO 2026'!Z33="POR RECOGER"),"JUL","")</f>
        <v/>
      </c>
      <c r="B659" s="192" t="str">
        <f aca="false">IF(AND('JULIO 2026'!D33&lt;&gt;"",'JULIO 2026'!Z33="POR RECOGER"),IF('JULIO 2026'!Y33&lt;&gt;"",'JULIO 2026'!Y33,'JULIO 2026'!I33),"")</f>
        <v/>
      </c>
      <c r="C659" s="192" t="str">
        <f aca="false">IF(AND('JULIO 2026'!D33&lt;&gt;"",'JULIO 2026'!Z33="POR RECOGER"),'JULIO 2026'!D33,"")</f>
        <v/>
      </c>
      <c r="D659" s="192" t="str">
        <f aca="false">IF(AND('JULIO 2026'!D33&lt;&gt;"",'JULIO 2026'!Z33="POR RECOGER"),'JULIO 2026'!F33,"")</f>
        <v/>
      </c>
      <c r="E659" s="192" t="str">
        <f aca="false">IF(AND('JULIO 2026'!D33&lt;&gt;"",'JULIO 2026'!Z33="POR RECOGER"),TEXT('JULIO 2026'!G33,"DD/MM/YYYY"),"")</f>
        <v/>
      </c>
      <c r="F659" s="192" t="str">
        <f aca="false">IF(AND('JULIO 2026'!D33&lt;&gt;"",'JULIO 2026'!Z33="POR RECOGER"),'JULIO 2026'!K33,"")</f>
        <v/>
      </c>
      <c r="G659" s="193" t="str">
        <f aca="false">IF(AND('JULIO 2026'!D33&lt;&gt;"",'JULIO 2026'!Z33="POR RECOGER"),'JULIO 2026'!M33,"")</f>
        <v/>
      </c>
      <c r="H659" s="193" t="str">
        <f aca="false">IF(AND('JULIO 2026'!D33&lt;&gt;"",'JULIO 2026'!Z33="POR RECOGER"),'JULIO 2026'!N33,"")</f>
        <v/>
      </c>
      <c r="I659" s="192" t="str">
        <f aca="false">IF(AND('JULIO 2026'!D33&lt;&gt;"",'JULIO 2026'!Z33="POR RECOGER"),'JULIO 2026'!P33,"")</f>
        <v/>
      </c>
      <c r="J659" s="192" t="str">
        <f aca="false">IF(AND('JULIO 2026'!D33&lt;&gt;"",'JULIO 2026'!Z33="POR RECOGER"),'JULIO 2026'!Q33,"")</f>
        <v/>
      </c>
      <c r="K659" s="192" t="str">
        <f aca="false">IF(AND('JULIO 2026'!D33&lt;&gt;"",'JULIO 2026'!Z33="POR RECOGER"),'JULIO 2026'!Y33,"")</f>
        <v/>
      </c>
      <c r="L659" s="192" t="str">
        <f aca="false">IF(AND('JULIO 2026'!D33&lt;&gt;"",'JULIO 2026'!Z33="POR RECOGER"),'JULIO 2026'!I33,"")</f>
        <v/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" hidden="false" customHeight="true" outlineLevel="0" collapsed="false">
      <c r="A660" s="192" t="str">
        <f aca="false">IF(AND('JULIO 2026'!D34&lt;&gt;"",'JULIO 2026'!Z34="POR RECOGER"),"JUL","")</f>
        <v/>
      </c>
      <c r="B660" s="192" t="str">
        <f aca="false">IF(AND('JULIO 2026'!D34&lt;&gt;"",'JULIO 2026'!Z34="POR RECOGER"),IF('JULIO 2026'!Y34&lt;&gt;"",'JULIO 2026'!Y34,'JULIO 2026'!I34),"")</f>
        <v/>
      </c>
      <c r="C660" s="192" t="str">
        <f aca="false">IF(AND('JULIO 2026'!D34&lt;&gt;"",'JULIO 2026'!Z34="POR RECOGER"),'JULIO 2026'!D34,"")</f>
        <v/>
      </c>
      <c r="D660" s="192" t="str">
        <f aca="false">IF(AND('JULIO 2026'!D34&lt;&gt;"",'JULIO 2026'!Z34="POR RECOGER"),'JULIO 2026'!F34,"")</f>
        <v/>
      </c>
      <c r="E660" s="192" t="str">
        <f aca="false">IF(AND('JULIO 2026'!D34&lt;&gt;"",'JULIO 2026'!Z34="POR RECOGER"),TEXT('JULIO 2026'!G34,"DD/MM/YYYY"),"")</f>
        <v/>
      </c>
      <c r="F660" s="192" t="str">
        <f aca="false">IF(AND('JULIO 2026'!D34&lt;&gt;"",'JULIO 2026'!Z34="POR RECOGER"),'JULIO 2026'!K34,"")</f>
        <v/>
      </c>
      <c r="G660" s="193" t="str">
        <f aca="false">IF(AND('JULIO 2026'!D34&lt;&gt;"",'JULIO 2026'!Z34="POR RECOGER"),'JULIO 2026'!M34,"")</f>
        <v/>
      </c>
      <c r="H660" s="193" t="str">
        <f aca="false">IF(AND('JULIO 2026'!D34&lt;&gt;"",'JULIO 2026'!Z34="POR RECOGER"),'JULIO 2026'!N34,"")</f>
        <v/>
      </c>
      <c r="I660" s="192" t="str">
        <f aca="false">IF(AND('JULIO 2026'!D34&lt;&gt;"",'JULIO 2026'!Z34="POR RECOGER"),'JULIO 2026'!P34,"")</f>
        <v/>
      </c>
      <c r="J660" s="192" t="str">
        <f aca="false">IF(AND('JULIO 2026'!D34&lt;&gt;"",'JULIO 2026'!Z34="POR RECOGER"),'JULIO 2026'!Q34,"")</f>
        <v/>
      </c>
      <c r="K660" s="192" t="str">
        <f aca="false">IF(AND('JULIO 2026'!D34&lt;&gt;"",'JULIO 2026'!Z34="POR RECOGER"),'JULIO 2026'!Y34,"")</f>
        <v/>
      </c>
      <c r="L660" s="192" t="str">
        <f aca="false">IF(AND('JULIO 2026'!D34&lt;&gt;"",'JULIO 2026'!Z34="POR RECOGER"),'JULIO 2026'!I34,"")</f>
        <v/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" hidden="false" customHeight="true" outlineLevel="0" collapsed="false">
      <c r="A661" s="192" t="str">
        <f aca="false">IF(AND('JULIO 2026'!D35&lt;&gt;"",'JULIO 2026'!Z35="POR RECOGER"),"JUL","")</f>
        <v/>
      </c>
      <c r="B661" s="192" t="str">
        <f aca="false">IF(AND('JULIO 2026'!D35&lt;&gt;"",'JULIO 2026'!Z35="POR RECOGER"),IF('JULIO 2026'!Y35&lt;&gt;"",'JULIO 2026'!Y35,'JULIO 2026'!I35),"")</f>
        <v/>
      </c>
      <c r="C661" s="192" t="str">
        <f aca="false">IF(AND('JULIO 2026'!D35&lt;&gt;"",'JULIO 2026'!Z35="POR RECOGER"),'JULIO 2026'!D35,"")</f>
        <v/>
      </c>
      <c r="D661" s="192" t="str">
        <f aca="false">IF(AND('JULIO 2026'!D35&lt;&gt;"",'JULIO 2026'!Z35="POR RECOGER"),'JULIO 2026'!F35,"")</f>
        <v/>
      </c>
      <c r="E661" s="192" t="str">
        <f aca="false">IF(AND('JULIO 2026'!D35&lt;&gt;"",'JULIO 2026'!Z35="POR RECOGER"),TEXT('JULIO 2026'!G35,"DD/MM/YYYY"),"")</f>
        <v/>
      </c>
      <c r="F661" s="192" t="str">
        <f aca="false">IF(AND('JULIO 2026'!D35&lt;&gt;"",'JULIO 2026'!Z35="POR RECOGER"),'JULIO 2026'!K35,"")</f>
        <v/>
      </c>
      <c r="G661" s="193" t="str">
        <f aca="false">IF(AND('JULIO 2026'!D35&lt;&gt;"",'JULIO 2026'!Z35="POR RECOGER"),'JULIO 2026'!M35,"")</f>
        <v/>
      </c>
      <c r="H661" s="193" t="str">
        <f aca="false">IF(AND('JULIO 2026'!D35&lt;&gt;"",'JULIO 2026'!Z35="POR RECOGER"),'JULIO 2026'!N35,"")</f>
        <v/>
      </c>
      <c r="I661" s="192" t="str">
        <f aca="false">IF(AND('JULIO 2026'!D35&lt;&gt;"",'JULIO 2026'!Z35="POR RECOGER"),'JULIO 2026'!P35,"")</f>
        <v/>
      </c>
      <c r="J661" s="192" t="str">
        <f aca="false">IF(AND('JULIO 2026'!D35&lt;&gt;"",'JULIO 2026'!Z35="POR RECOGER"),'JULIO 2026'!Q35,"")</f>
        <v/>
      </c>
      <c r="K661" s="192" t="str">
        <f aca="false">IF(AND('JULIO 2026'!D35&lt;&gt;"",'JULIO 2026'!Z35="POR RECOGER"),'JULIO 2026'!Y35,"")</f>
        <v/>
      </c>
      <c r="L661" s="192" t="str">
        <f aca="false">IF(AND('JULIO 2026'!D35&lt;&gt;"",'JULIO 2026'!Z35="POR RECOGER"),'JULIO 2026'!I35,"")</f>
        <v/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" hidden="false" customHeight="true" outlineLevel="0" collapsed="false">
      <c r="A662" s="192" t="str">
        <f aca="false">IF(AND('JULIO 2026'!D36&lt;&gt;"",'JULIO 2026'!Z36="POR RECOGER"),"JUL","")</f>
        <v/>
      </c>
      <c r="B662" s="192" t="str">
        <f aca="false">IF(AND('JULIO 2026'!D36&lt;&gt;"",'JULIO 2026'!Z36="POR RECOGER"),IF('JULIO 2026'!Y36&lt;&gt;"",'JULIO 2026'!Y36,'JULIO 2026'!I36),"")</f>
        <v/>
      </c>
      <c r="C662" s="192" t="str">
        <f aca="false">IF(AND('JULIO 2026'!D36&lt;&gt;"",'JULIO 2026'!Z36="POR RECOGER"),'JULIO 2026'!D36,"")</f>
        <v/>
      </c>
      <c r="D662" s="192" t="str">
        <f aca="false">IF(AND('JULIO 2026'!D36&lt;&gt;"",'JULIO 2026'!Z36="POR RECOGER"),'JULIO 2026'!F36,"")</f>
        <v/>
      </c>
      <c r="E662" s="192" t="str">
        <f aca="false">IF(AND('JULIO 2026'!D36&lt;&gt;"",'JULIO 2026'!Z36="POR RECOGER"),TEXT('JULIO 2026'!G36,"DD/MM/YYYY"),"")</f>
        <v/>
      </c>
      <c r="F662" s="192" t="str">
        <f aca="false">IF(AND('JULIO 2026'!D36&lt;&gt;"",'JULIO 2026'!Z36="POR RECOGER"),'JULIO 2026'!K36,"")</f>
        <v/>
      </c>
      <c r="G662" s="193" t="str">
        <f aca="false">IF(AND('JULIO 2026'!D36&lt;&gt;"",'JULIO 2026'!Z36="POR RECOGER"),'JULIO 2026'!M36,"")</f>
        <v/>
      </c>
      <c r="H662" s="193" t="str">
        <f aca="false">IF(AND('JULIO 2026'!D36&lt;&gt;"",'JULIO 2026'!Z36="POR RECOGER"),'JULIO 2026'!N36,"")</f>
        <v/>
      </c>
      <c r="I662" s="192" t="str">
        <f aca="false">IF(AND('JULIO 2026'!D36&lt;&gt;"",'JULIO 2026'!Z36="POR RECOGER"),'JULIO 2026'!P36,"")</f>
        <v/>
      </c>
      <c r="J662" s="192" t="str">
        <f aca="false">IF(AND('JULIO 2026'!D36&lt;&gt;"",'JULIO 2026'!Z36="POR RECOGER"),'JULIO 2026'!Q36,"")</f>
        <v/>
      </c>
      <c r="K662" s="192" t="str">
        <f aca="false">IF(AND('JULIO 2026'!D36&lt;&gt;"",'JULIO 2026'!Z36="POR RECOGER"),'JULIO 2026'!Y36,"")</f>
        <v/>
      </c>
      <c r="L662" s="192" t="str">
        <f aca="false">IF(AND('JULIO 2026'!D36&lt;&gt;"",'JULIO 2026'!Z36="POR RECOGER"),'JULIO 2026'!I36,"")</f>
        <v/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" hidden="false" customHeight="true" outlineLevel="0" collapsed="false">
      <c r="A663" s="192" t="str">
        <f aca="false">IF(AND('JULIO 2026'!D37&lt;&gt;"",'JULIO 2026'!Z37="POR RECOGER"),"JUL","")</f>
        <v/>
      </c>
      <c r="B663" s="192" t="str">
        <f aca="false">IF(AND('JULIO 2026'!D37&lt;&gt;"",'JULIO 2026'!Z37="POR RECOGER"),IF('JULIO 2026'!Y37&lt;&gt;"",'JULIO 2026'!Y37,'JULIO 2026'!I37),"")</f>
        <v/>
      </c>
      <c r="C663" s="192" t="str">
        <f aca="false">IF(AND('JULIO 2026'!D37&lt;&gt;"",'JULIO 2026'!Z37="POR RECOGER"),'JULIO 2026'!D37,"")</f>
        <v/>
      </c>
      <c r="D663" s="192" t="str">
        <f aca="false">IF(AND('JULIO 2026'!D37&lt;&gt;"",'JULIO 2026'!Z37="POR RECOGER"),'JULIO 2026'!F37,"")</f>
        <v/>
      </c>
      <c r="E663" s="192" t="str">
        <f aca="false">IF(AND('JULIO 2026'!D37&lt;&gt;"",'JULIO 2026'!Z37="POR RECOGER"),TEXT('JULIO 2026'!G37,"DD/MM/YYYY"),"")</f>
        <v/>
      </c>
      <c r="F663" s="192" t="str">
        <f aca="false">IF(AND('JULIO 2026'!D37&lt;&gt;"",'JULIO 2026'!Z37="POR RECOGER"),'JULIO 2026'!K37,"")</f>
        <v/>
      </c>
      <c r="G663" s="193" t="str">
        <f aca="false">IF(AND('JULIO 2026'!D37&lt;&gt;"",'JULIO 2026'!Z37="POR RECOGER"),'JULIO 2026'!M37,"")</f>
        <v/>
      </c>
      <c r="H663" s="193" t="str">
        <f aca="false">IF(AND('JULIO 2026'!D37&lt;&gt;"",'JULIO 2026'!Z37="POR RECOGER"),'JULIO 2026'!N37,"")</f>
        <v/>
      </c>
      <c r="I663" s="192" t="str">
        <f aca="false">IF(AND('JULIO 2026'!D37&lt;&gt;"",'JULIO 2026'!Z37="POR RECOGER"),'JULIO 2026'!P37,"")</f>
        <v/>
      </c>
      <c r="J663" s="192" t="str">
        <f aca="false">IF(AND('JULIO 2026'!D37&lt;&gt;"",'JULIO 2026'!Z37="POR RECOGER"),'JULIO 2026'!Q37,"")</f>
        <v/>
      </c>
      <c r="K663" s="192" t="str">
        <f aca="false">IF(AND('JULIO 2026'!D37&lt;&gt;"",'JULIO 2026'!Z37="POR RECOGER"),'JULIO 2026'!Y37,"")</f>
        <v/>
      </c>
      <c r="L663" s="192" t="str">
        <f aca="false">IF(AND('JULIO 2026'!D37&lt;&gt;"",'JULIO 2026'!Z37="POR RECOGER"),'JULIO 2026'!I37,"")</f>
        <v/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" hidden="false" customHeight="true" outlineLevel="0" collapsed="false">
      <c r="A664" s="192" t="str">
        <f aca="false">IF(AND('JULIO 2026'!D38&lt;&gt;"",'JULIO 2026'!Z38="POR RECOGER"),"JUL","")</f>
        <v/>
      </c>
      <c r="B664" s="192" t="str">
        <f aca="false">IF(AND('JULIO 2026'!D38&lt;&gt;"",'JULIO 2026'!Z38="POR RECOGER"),IF('JULIO 2026'!Y38&lt;&gt;"",'JULIO 2026'!Y38,'JULIO 2026'!I38),"")</f>
        <v/>
      </c>
      <c r="C664" s="192" t="str">
        <f aca="false">IF(AND('JULIO 2026'!D38&lt;&gt;"",'JULIO 2026'!Z38="POR RECOGER"),'JULIO 2026'!D38,"")</f>
        <v/>
      </c>
      <c r="D664" s="192" t="str">
        <f aca="false">IF(AND('JULIO 2026'!D38&lt;&gt;"",'JULIO 2026'!Z38="POR RECOGER"),'JULIO 2026'!F38,"")</f>
        <v/>
      </c>
      <c r="E664" s="192" t="str">
        <f aca="false">IF(AND('JULIO 2026'!D38&lt;&gt;"",'JULIO 2026'!Z38="POR RECOGER"),TEXT('JULIO 2026'!G38,"DD/MM/YYYY"),"")</f>
        <v/>
      </c>
      <c r="F664" s="192" t="str">
        <f aca="false">IF(AND('JULIO 2026'!D38&lt;&gt;"",'JULIO 2026'!Z38="POR RECOGER"),'JULIO 2026'!K38,"")</f>
        <v/>
      </c>
      <c r="G664" s="193" t="str">
        <f aca="false">IF(AND('JULIO 2026'!D38&lt;&gt;"",'JULIO 2026'!Z38="POR RECOGER"),'JULIO 2026'!M38,"")</f>
        <v/>
      </c>
      <c r="H664" s="193" t="str">
        <f aca="false">IF(AND('JULIO 2026'!D38&lt;&gt;"",'JULIO 2026'!Z38="POR RECOGER"),'JULIO 2026'!N38,"")</f>
        <v/>
      </c>
      <c r="I664" s="192" t="str">
        <f aca="false">IF(AND('JULIO 2026'!D38&lt;&gt;"",'JULIO 2026'!Z38="POR RECOGER"),'JULIO 2026'!P38,"")</f>
        <v/>
      </c>
      <c r="J664" s="192" t="str">
        <f aca="false">IF(AND('JULIO 2026'!D38&lt;&gt;"",'JULIO 2026'!Z38="POR RECOGER"),'JULIO 2026'!Q38,"")</f>
        <v/>
      </c>
      <c r="K664" s="192" t="str">
        <f aca="false">IF(AND('JULIO 2026'!D38&lt;&gt;"",'JULIO 2026'!Z38="POR RECOGER"),'JULIO 2026'!Y38,"")</f>
        <v/>
      </c>
      <c r="L664" s="192" t="str">
        <f aca="false">IF(AND('JULIO 2026'!D38&lt;&gt;"",'JULIO 2026'!Z38="POR RECOGER"),'JULIO 2026'!I38,"")</f>
        <v/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" hidden="false" customHeight="true" outlineLevel="0" collapsed="false">
      <c r="A665" s="192" t="str">
        <f aca="false">IF(AND('JULIO 2026'!D39&lt;&gt;"",'JULIO 2026'!Z39="POR RECOGER"),"JUL","")</f>
        <v/>
      </c>
      <c r="B665" s="192" t="str">
        <f aca="false">IF(AND('JULIO 2026'!D39&lt;&gt;"",'JULIO 2026'!Z39="POR RECOGER"),IF('JULIO 2026'!Y39&lt;&gt;"",'JULIO 2026'!Y39,'JULIO 2026'!I39),"")</f>
        <v/>
      </c>
      <c r="C665" s="192" t="str">
        <f aca="false">IF(AND('JULIO 2026'!D39&lt;&gt;"",'JULIO 2026'!Z39="POR RECOGER"),'JULIO 2026'!D39,"")</f>
        <v/>
      </c>
      <c r="D665" s="192" t="str">
        <f aca="false">IF(AND('JULIO 2026'!D39&lt;&gt;"",'JULIO 2026'!Z39="POR RECOGER"),'JULIO 2026'!F39,"")</f>
        <v/>
      </c>
      <c r="E665" s="192" t="str">
        <f aca="false">IF(AND('JULIO 2026'!D39&lt;&gt;"",'JULIO 2026'!Z39="POR RECOGER"),TEXT('JULIO 2026'!G39,"DD/MM/YYYY"),"")</f>
        <v/>
      </c>
      <c r="F665" s="192" t="str">
        <f aca="false">IF(AND('JULIO 2026'!D39&lt;&gt;"",'JULIO 2026'!Z39="POR RECOGER"),'JULIO 2026'!K39,"")</f>
        <v/>
      </c>
      <c r="G665" s="193" t="str">
        <f aca="false">IF(AND('JULIO 2026'!D39&lt;&gt;"",'JULIO 2026'!Z39="POR RECOGER"),'JULIO 2026'!M39,"")</f>
        <v/>
      </c>
      <c r="H665" s="193" t="str">
        <f aca="false">IF(AND('JULIO 2026'!D39&lt;&gt;"",'JULIO 2026'!Z39="POR RECOGER"),'JULIO 2026'!N39,"")</f>
        <v/>
      </c>
      <c r="I665" s="192" t="str">
        <f aca="false">IF(AND('JULIO 2026'!D39&lt;&gt;"",'JULIO 2026'!Z39="POR RECOGER"),'JULIO 2026'!P39,"")</f>
        <v/>
      </c>
      <c r="J665" s="192" t="str">
        <f aca="false">IF(AND('JULIO 2026'!D39&lt;&gt;"",'JULIO 2026'!Z39="POR RECOGER"),'JULIO 2026'!Q39,"")</f>
        <v/>
      </c>
      <c r="K665" s="192" t="str">
        <f aca="false">IF(AND('JULIO 2026'!D39&lt;&gt;"",'JULIO 2026'!Z39="POR RECOGER"),'JULIO 2026'!Y39,"")</f>
        <v/>
      </c>
      <c r="L665" s="192" t="str">
        <f aca="false">IF(AND('JULIO 2026'!D39&lt;&gt;"",'JULIO 2026'!Z39="POR RECOGER"),'JULIO 2026'!I39,"")</f>
        <v/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" hidden="false" customHeight="true" outlineLevel="0" collapsed="false">
      <c r="A666" s="192" t="str">
        <f aca="false">IF(AND('JULIO 2026'!D40&lt;&gt;"",'JULIO 2026'!Z40="POR RECOGER"),"JUL","")</f>
        <v/>
      </c>
      <c r="B666" s="192" t="str">
        <f aca="false">IF(AND('JULIO 2026'!D40&lt;&gt;"",'JULIO 2026'!Z40="POR RECOGER"),IF('JULIO 2026'!Y40&lt;&gt;"",'JULIO 2026'!Y40,'JULIO 2026'!I40),"")</f>
        <v/>
      </c>
      <c r="C666" s="192" t="str">
        <f aca="false">IF(AND('JULIO 2026'!D40&lt;&gt;"",'JULIO 2026'!Z40="POR RECOGER"),'JULIO 2026'!D40,"")</f>
        <v/>
      </c>
      <c r="D666" s="192" t="str">
        <f aca="false">IF(AND('JULIO 2026'!D40&lt;&gt;"",'JULIO 2026'!Z40="POR RECOGER"),'JULIO 2026'!F40,"")</f>
        <v/>
      </c>
      <c r="E666" s="192" t="str">
        <f aca="false">IF(AND('JULIO 2026'!D40&lt;&gt;"",'JULIO 2026'!Z40="POR RECOGER"),TEXT('JULIO 2026'!G40,"DD/MM/YYYY"),"")</f>
        <v/>
      </c>
      <c r="F666" s="192" t="str">
        <f aca="false">IF(AND('JULIO 2026'!D40&lt;&gt;"",'JULIO 2026'!Z40="POR RECOGER"),'JULIO 2026'!K40,"")</f>
        <v/>
      </c>
      <c r="G666" s="193" t="str">
        <f aca="false">IF(AND('JULIO 2026'!D40&lt;&gt;"",'JULIO 2026'!Z40="POR RECOGER"),'JULIO 2026'!M40,"")</f>
        <v/>
      </c>
      <c r="H666" s="193" t="str">
        <f aca="false">IF(AND('JULIO 2026'!D40&lt;&gt;"",'JULIO 2026'!Z40="POR RECOGER"),'JULIO 2026'!N40,"")</f>
        <v/>
      </c>
      <c r="I666" s="192" t="str">
        <f aca="false">IF(AND('JULIO 2026'!D40&lt;&gt;"",'JULIO 2026'!Z40="POR RECOGER"),'JULIO 2026'!P40,"")</f>
        <v/>
      </c>
      <c r="J666" s="192" t="str">
        <f aca="false">IF(AND('JULIO 2026'!D40&lt;&gt;"",'JULIO 2026'!Z40="POR RECOGER"),'JULIO 2026'!Q40,"")</f>
        <v/>
      </c>
      <c r="K666" s="192" t="str">
        <f aca="false">IF(AND('JULIO 2026'!D40&lt;&gt;"",'JULIO 2026'!Z40="POR RECOGER"),'JULIO 2026'!Y40,"")</f>
        <v/>
      </c>
      <c r="L666" s="192" t="str">
        <f aca="false">IF(AND('JULIO 2026'!D40&lt;&gt;"",'JULIO 2026'!Z40="POR RECOGER"),'JULIO 2026'!I40,"")</f>
        <v/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" hidden="false" customHeight="true" outlineLevel="0" collapsed="false">
      <c r="A667" s="192" t="str">
        <f aca="false">IF(AND('JULIO 2026'!D41&lt;&gt;"",'JULIO 2026'!Z41="POR RECOGER"),"JUL","")</f>
        <v/>
      </c>
      <c r="B667" s="192" t="str">
        <f aca="false">IF(AND('JULIO 2026'!D41&lt;&gt;"",'JULIO 2026'!Z41="POR RECOGER"),IF('JULIO 2026'!Y41&lt;&gt;"",'JULIO 2026'!Y41,'JULIO 2026'!I41),"")</f>
        <v/>
      </c>
      <c r="C667" s="192" t="str">
        <f aca="false">IF(AND('JULIO 2026'!D41&lt;&gt;"",'JULIO 2026'!Z41="POR RECOGER"),'JULIO 2026'!D41,"")</f>
        <v/>
      </c>
      <c r="D667" s="192" t="str">
        <f aca="false">IF(AND('JULIO 2026'!D41&lt;&gt;"",'JULIO 2026'!Z41="POR RECOGER"),'JULIO 2026'!F41,"")</f>
        <v/>
      </c>
      <c r="E667" s="192" t="str">
        <f aca="false">IF(AND('JULIO 2026'!D41&lt;&gt;"",'JULIO 2026'!Z41="POR RECOGER"),TEXT('JULIO 2026'!G41,"DD/MM/YYYY"),"")</f>
        <v/>
      </c>
      <c r="F667" s="192" t="str">
        <f aca="false">IF(AND('JULIO 2026'!D41&lt;&gt;"",'JULIO 2026'!Z41="POR RECOGER"),'JULIO 2026'!K41,"")</f>
        <v/>
      </c>
      <c r="G667" s="193" t="str">
        <f aca="false">IF(AND('JULIO 2026'!D41&lt;&gt;"",'JULIO 2026'!Z41="POR RECOGER"),'JULIO 2026'!M41,"")</f>
        <v/>
      </c>
      <c r="H667" s="193" t="str">
        <f aca="false">IF(AND('JULIO 2026'!D41&lt;&gt;"",'JULIO 2026'!Z41="POR RECOGER"),'JULIO 2026'!N41,"")</f>
        <v/>
      </c>
      <c r="I667" s="192" t="str">
        <f aca="false">IF(AND('JULIO 2026'!D41&lt;&gt;"",'JULIO 2026'!Z41="POR RECOGER"),'JULIO 2026'!P41,"")</f>
        <v/>
      </c>
      <c r="J667" s="192" t="str">
        <f aca="false">IF(AND('JULIO 2026'!D41&lt;&gt;"",'JULIO 2026'!Z41="POR RECOGER"),'JULIO 2026'!Q41,"")</f>
        <v/>
      </c>
      <c r="K667" s="192" t="str">
        <f aca="false">IF(AND('JULIO 2026'!D41&lt;&gt;"",'JULIO 2026'!Z41="POR RECOGER"),'JULIO 2026'!Y41,"")</f>
        <v/>
      </c>
      <c r="L667" s="192" t="str">
        <f aca="false">IF(AND('JULIO 2026'!D41&lt;&gt;"",'JULIO 2026'!Z41="POR RECOGER"),'JULIO 2026'!I41,"")</f>
        <v/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" hidden="false" customHeight="true" outlineLevel="0" collapsed="false">
      <c r="A668" s="192" t="str">
        <f aca="false">IF(AND('JULIO 2026'!D42&lt;&gt;"",'JULIO 2026'!Z42="POR RECOGER"),"JUL","")</f>
        <v/>
      </c>
      <c r="B668" s="192" t="str">
        <f aca="false">IF(AND('JULIO 2026'!D42&lt;&gt;"",'JULIO 2026'!Z42="POR RECOGER"),IF('JULIO 2026'!Y42&lt;&gt;"",'JULIO 2026'!Y42,'JULIO 2026'!I42),"")</f>
        <v/>
      </c>
      <c r="C668" s="192" t="str">
        <f aca="false">IF(AND('JULIO 2026'!D42&lt;&gt;"",'JULIO 2026'!Z42="POR RECOGER"),'JULIO 2026'!D42,"")</f>
        <v/>
      </c>
      <c r="D668" s="192" t="str">
        <f aca="false">IF(AND('JULIO 2026'!D42&lt;&gt;"",'JULIO 2026'!Z42="POR RECOGER"),'JULIO 2026'!F42,"")</f>
        <v/>
      </c>
      <c r="E668" s="192" t="str">
        <f aca="false">IF(AND('JULIO 2026'!D42&lt;&gt;"",'JULIO 2026'!Z42="POR RECOGER"),TEXT('JULIO 2026'!G42,"DD/MM/YYYY"),"")</f>
        <v/>
      </c>
      <c r="F668" s="192" t="str">
        <f aca="false">IF(AND('JULIO 2026'!D42&lt;&gt;"",'JULIO 2026'!Z42="POR RECOGER"),'JULIO 2026'!K42,"")</f>
        <v/>
      </c>
      <c r="G668" s="193" t="str">
        <f aca="false">IF(AND('JULIO 2026'!D42&lt;&gt;"",'JULIO 2026'!Z42="POR RECOGER"),'JULIO 2026'!M42,"")</f>
        <v/>
      </c>
      <c r="H668" s="193" t="str">
        <f aca="false">IF(AND('JULIO 2026'!D42&lt;&gt;"",'JULIO 2026'!Z42="POR RECOGER"),'JULIO 2026'!N42,"")</f>
        <v/>
      </c>
      <c r="I668" s="192" t="str">
        <f aca="false">IF(AND('JULIO 2026'!D42&lt;&gt;"",'JULIO 2026'!Z42="POR RECOGER"),'JULIO 2026'!P42,"")</f>
        <v/>
      </c>
      <c r="J668" s="192" t="str">
        <f aca="false">IF(AND('JULIO 2026'!D42&lt;&gt;"",'JULIO 2026'!Z42="POR RECOGER"),'JULIO 2026'!Q42,"")</f>
        <v/>
      </c>
      <c r="K668" s="192" t="str">
        <f aca="false">IF(AND('JULIO 2026'!D42&lt;&gt;"",'JULIO 2026'!Z42="POR RECOGER"),'JULIO 2026'!Y42,"")</f>
        <v/>
      </c>
      <c r="L668" s="192" t="str">
        <f aca="false">IF(AND('JULIO 2026'!D42&lt;&gt;"",'JULIO 2026'!Z42="POR RECOGER"),'JULIO 2026'!I42,"")</f>
        <v/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" hidden="false" customHeight="true" outlineLevel="0" collapsed="false">
      <c r="A669" s="192" t="str">
        <f aca="false">IF(AND('JULIO 2026'!D43&lt;&gt;"",'JULIO 2026'!Z43="POR RECOGER"),"JUL","")</f>
        <v/>
      </c>
      <c r="B669" s="192" t="str">
        <f aca="false">IF(AND('JULIO 2026'!D43&lt;&gt;"",'JULIO 2026'!Z43="POR RECOGER"),IF('JULIO 2026'!Y43&lt;&gt;"",'JULIO 2026'!Y43,'JULIO 2026'!I43),"")</f>
        <v/>
      </c>
      <c r="C669" s="192" t="str">
        <f aca="false">IF(AND('JULIO 2026'!D43&lt;&gt;"",'JULIO 2026'!Z43="POR RECOGER"),'JULIO 2026'!D43,"")</f>
        <v/>
      </c>
      <c r="D669" s="192" t="str">
        <f aca="false">IF(AND('JULIO 2026'!D43&lt;&gt;"",'JULIO 2026'!Z43="POR RECOGER"),'JULIO 2026'!F43,"")</f>
        <v/>
      </c>
      <c r="E669" s="192" t="str">
        <f aca="false">IF(AND('JULIO 2026'!D43&lt;&gt;"",'JULIO 2026'!Z43="POR RECOGER"),TEXT('JULIO 2026'!G43,"DD/MM/YYYY"),"")</f>
        <v/>
      </c>
      <c r="F669" s="192" t="str">
        <f aca="false">IF(AND('JULIO 2026'!D43&lt;&gt;"",'JULIO 2026'!Z43="POR RECOGER"),'JULIO 2026'!K43,"")</f>
        <v/>
      </c>
      <c r="G669" s="193" t="str">
        <f aca="false">IF(AND('JULIO 2026'!D43&lt;&gt;"",'JULIO 2026'!Z43="POR RECOGER"),'JULIO 2026'!M43,"")</f>
        <v/>
      </c>
      <c r="H669" s="193" t="str">
        <f aca="false">IF(AND('JULIO 2026'!D43&lt;&gt;"",'JULIO 2026'!Z43="POR RECOGER"),'JULIO 2026'!N43,"")</f>
        <v/>
      </c>
      <c r="I669" s="192" t="str">
        <f aca="false">IF(AND('JULIO 2026'!D43&lt;&gt;"",'JULIO 2026'!Z43="POR RECOGER"),'JULIO 2026'!P43,"")</f>
        <v/>
      </c>
      <c r="J669" s="192" t="str">
        <f aca="false">IF(AND('JULIO 2026'!D43&lt;&gt;"",'JULIO 2026'!Z43="POR RECOGER"),'JULIO 2026'!Q43,"")</f>
        <v/>
      </c>
      <c r="K669" s="192" t="str">
        <f aca="false">IF(AND('JULIO 2026'!D43&lt;&gt;"",'JULIO 2026'!Z43="POR RECOGER"),'JULIO 2026'!Y43,"")</f>
        <v/>
      </c>
      <c r="L669" s="192" t="str">
        <f aca="false">IF(AND('JULIO 2026'!D43&lt;&gt;"",'JULIO 2026'!Z43="POR RECOGER"),'JULIO 2026'!I43,"")</f>
        <v/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" hidden="false" customHeight="true" outlineLevel="0" collapsed="false">
      <c r="A670" s="192" t="str">
        <f aca="false">IF(AND('JULIO 2026'!D44&lt;&gt;"",'JULIO 2026'!Z44="POR RECOGER"),"JUL","")</f>
        <v/>
      </c>
      <c r="B670" s="192" t="str">
        <f aca="false">IF(AND('JULIO 2026'!D44&lt;&gt;"",'JULIO 2026'!Z44="POR RECOGER"),IF('JULIO 2026'!Y44&lt;&gt;"",'JULIO 2026'!Y44,'JULIO 2026'!I44),"")</f>
        <v/>
      </c>
      <c r="C670" s="192" t="str">
        <f aca="false">IF(AND('JULIO 2026'!D44&lt;&gt;"",'JULIO 2026'!Z44="POR RECOGER"),'JULIO 2026'!D44,"")</f>
        <v/>
      </c>
      <c r="D670" s="192" t="str">
        <f aca="false">IF(AND('JULIO 2026'!D44&lt;&gt;"",'JULIO 2026'!Z44="POR RECOGER"),'JULIO 2026'!F44,"")</f>
        <v/>
      </c>
      <c r="E670" s="192" t="str">
        <f aca="false">IF(AND('JULIO 2026'!D44&lt;&gt;"",'JULIO 2026'!Z44="POR RECOGER"),TEXT('JULIO 2026'!G44,"DD/MM/YYYY"),"")</f>
        <v/>
      </c>
      <c r="F670" s="192" t="str">
        <f aca="false">IF(AND('JULIO 2026'!D44&lt;&gt;"",'JULIO 2026'!Z44="POR RECOGER"),'JULIO 2026'!K44,"")</f>
        <v/>
      </c>
      <c r="G670" s="193" t="str">
        <f aca="false">IF(AND('JULIO 2026'!D44&lt;&gt;"",'JULIO 2026'!Z44="POR RECOGER"),'JULIO 2026'!M44,"")</f>
        <v/>
      </c>
      <c r="H670" s="193" t="str">
        <f aca="false">IF(AND('JULIO 2026'!D44&lt;&gt;"",'JULIO 2026'!Z44="POR RECOGER"),'JULIO 2026'!N44,"")</f>
        <v/>
      </c>
      <c r="I670" s="192" t="str">
        <f aca="false">IF(AND('JULIO 2026'!D44&lt;&gt;"",'JULIO 2026'!Z44="POR RECOGER"),'JULIO 2026'!P44,"")</f>
        <v/>
      </c>
      <c r="J670" s="192" t="str">
        <f aca="false">IF(AND('JULIO 2026'!D44&lt;&gt;"",'JULIO 2026'!Z44="POR RECOGER"),'JULIO 2026'!Q44,"")</f>
        <v/>
      </c>
      <c r="K670" s="192" t="str">
        <f aca="false">IF(AND('JULIO 2026'!D44&lt;&gt;"",'JULIO 2026'!Z44="POR RECOGER"),'JULIO 2026'!Y44,"")</f>
        <v/>
      </c>
      <c r="L670" s="192" t="str">
        <f aca="false">IF(AND('JULIO 2026'!D44&lt;&gt;"",'JULIO 2026'!Z44="POR RECOGER"),'JULIO 2026'!I44,"")</f>
        <v/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" hidden="false" customHeight="true" outlineLevel="0" collapsed="false">
      <c r="A671" s="192" t="str">
        <f aca="false">IF(AND('JULIO 2026'!D45&lt;&gt;"",'JULIO 2026'!Z45="POR RECOGER"),"JUL","")</f>
        <v/>
      </c>
      <c r="B671" s="192" t="str">
        <f aca="false">IF(AND('JULIO 2026'!D45&lt;&gt;"",'JULIO 2026'!Z45="POR RECOGER"),IF('JULIO 2026'!Y45&lt;&gt;"",'JULIO 2026'!Y45,'JULIO 2026'!I45),"")</f>
        <v/>
      </c>
      <c r="C671" s="192" t="str">
        <f aca="false">IF(AND('JULIO 2026'!D45&lt;&gt;"",'JULIO 2026'!Z45="POR RECOGER"),'JULIO 2026'!D45,"")</f>
        <v/>
      </c>
      <c r="D671" s="192" t="str">
        <f aca="false">IF(AND('JULIO 2026'!D45&lt;&gt;"",'JULIO 2026'!Z45="POR RECOGER"),'JULIO 2026'!F45,"")</f>
        <v/>
      </c>
      <c r="E671" s="192" t="str">
        <f aca="false">IF(AND('JULIO 2026'!D45&lt;&gt;"",'JULIO 2026'!Z45="POR RECOGER"),TEXT('JULIO 2026'!G45,"DD/MM/YYYY"),"")</f>
        <v/>
      </c>
      <c r="F671" s="192" t="str">
        <f aca="false">IF(AND('JULIO 2026'!D45&lt;&gt;"",'JULIO 2026'!Z45="POR RECOGER"),'JULIO 2026'!K45,"")</f>
        <v/>
      </c>
      <c r="G671" s="193" t="str">
        <f aca="false">IF(AND('JULIO 2026'!D45&lt;&gt;"",'JULIO 2026'!Z45="POR RECOGER"),'JULIO 2026'!M45,"")</f>
        <v/>
      </c>
      <c r="H671" s="193" t="str">
        <f aca="false">IF(AND('JULIO 2026'!D45&lt;&gt;"",'JULIO 2026'!Z45="POR RECOGER"),'JULIO 2026'!N45,"")</f>
        <v/>
      </c>
      <c r="I671" s="192" t="str">
        <f aca="false">IF(AND('JULIO 2026'!D45&lt;&gt;"",'JULIO 2026'!Z45="POR RECOGER"),'JULIO 2026'!P45,"")</f>
        <v/>
      </c>
      <c r="J671" s="192" t="str">
        <f aca="false">IF(AND('JULIO 2026'!D45&lt;&gt;"",'JULIO 2026'!Z45="POR RECOGER"),'JULIO 2026'!Q45,"")</f>
        <v/>
      </c>
      <c r="K671" s="192" t="str">
        <f aca="false">IF(AND('JULIO 2026'!D45&lt;&gt;"",'JULIO 2026'!Z45="POR RECOGER"),'JULIO 2026'!Y45,"")</f>
        <v/>
      </c>
      <c r="L671" s="192" t="str">
        <f aca="false">IF(AND('JULIO 2026'!D45&lt;&gt;"",'JULIO 2026'!Z45="POR RECOGER"),'JULIO 2026'!I45,"")</f>
        <v/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" hidden="false" customHeight="true" outlineLevel="0" collapsed="false">
      <c r="A672" s="192" t="str">
        <f aca="false">IF(AND('JULIO 2026'!D46&lt;&gt;"",'JULIO 2026'!Z46="POR RECOGER"),"JUL","")</f>
        <v/>
      </c>
      <c r="B672" s="192" t="str">
        <f aca="false">IF(AND('JULIO 2026'!D46&lt;&gt;"",'JULIO 2026'!Z46="POR RECOGER"),IF('JULIO 2026'!Y46&lt;&gt;"",'JULIO 2026'!Y46,'JULIO 2026'!I46),"")</f>
        <v/>
      </c>
      <c r="C672" s="192" t="str">
        <f aca="false">IF(AND('JULIO 2026'!D46&lt;&gt;"",'JULIO 2026'!Z46="POR RECOGER"),'JULIO 2026'!D46,"")</f>
        <v/>
      </c>
      <c r="D672" s="192" t="str">
        <f aca="false">IF(AND('JULIO 2026'!D46&lt;&gt;"",'JULIO 2026'!Z46="POR RECOGER"),'JULIO 2026'!F46,"")</f>
        <v/>
      </c>
      <c r="E672" s="192" t="str">
        <f aca="false">IF(AND('JULIO 2026'!D46&lt;&gt;"",'JULIO 2026'!Z46="POR RECOGER"),TEXT('JULIO 2026'!G46,"DD/MM/YYYY"),"")</f>
        <v/>
      </c>
      <c r="F672" s="192" t="str">
        <f aca="false">IF(AND('JULIO 2026'!D46&lt;&gt;"",'JULIO 2026'!Z46="POR RECOGER"),'JULIO 2026'!K46,"")</f>
        <v/>
      </c>
      <c r="G672" s="193" t="str">
        <f aca="false">IF(AND('JULIO 2026'!D46&lt;&gt;"",'JULIO 2026'!Z46="POR RECOGER"),'JULIO 2026'!M46,"")</f>
        <v/>
      </c>
      <c r="H672" s="193" t="str">
        <f aca="false">IF(AND('JULIO 2026'!D46&lt;&gt;"",'JULIO 2026'!Z46="POR RECOGER"),'JULIO 2026'!N46,"")</f>
        <v/>
      </c>
      <c r="I672" s="192" t="str">
        <f aca="false">IF(AND('JULIO 2026'!D46&lt;&gt;"",'JULIO 2026'!Z46="POR RECOGER"),'JULIO 2026'!P46,"")</f>
        <v/>
      </c>
      <c r="J672" s="192" t="str">
        <f aca="false">IF(AND('JULIO 2026'!D46&lt;&gt;"",'JULIO 2026'!Z46="POR RECOGER"),'JULIO 2026'!Q46,"")</f>
        <v/>
      </c>
      <c r="K672" s="192" t="str">
        <f aca="false">IF(AND('JULIO 2026'!D46&lt;&gt;"",'JULIO 2026'!Z46="POR RECOGER"),'JULIO 2026'!Y46,"")</f>
        <v/>
      </c>
      <c r="L672" s="192" t="str">
        <f aca="false">IF(AND('JULIO 2026'!D46&lt;&gt;"",'JULIO 2026'!Z46="POR RECOGER"),'JULIO 2026'!I46,"")</f>
        <v/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" hidden="false" customHeight="true" outlineLevel="0" collapsed="false">
      <c r="A673" s="192" t="str">
        <f aca="false">IF(AND('JULIO 2026'!D47&lt;&gt;"",'JULIO 2026'!Z47="POR RECOGER"),"JUL","")</f>
        <v/>
      </c>
      <c r="B673" s="192" t="str">
        <f aca="false">IF(AND('JULIO 2026'!D47&lt;&gt;"",'JULIO 2026'!Z47="POR RECOGER"),IF('JULIO 2026'!Y47&lt;&gt;"",'JULIO 2026'!Y47,'JULIO 2026'!I47),"")</f>
        <v/>
      </c>
      <c r="C673" s="192" t="str">
        <f aca="false">IF(AND('JULIO 2026'!D47&lt;&gt;"",'JULIO 2026'!Z47="POR RECOGER"),'JULIO 2026'!D47,"")</f>
        <v/>
      </c>
      <c r="D673" s="192" t="str">
        <f aca="false">IF(AND('JULIO 2026'!D47&lt;&gt;"",'JULIO 2026'!Z47="POR RECOGER"),'JULIO 2026'!F47,"")</f>
        <v/>
      </c>
      <c r="E673" s="192" t="str">
        <f aca="false">IF(AND('JULIO 2026'!D47&lt;&gt;"",'JULIO 2026'!Z47="POR RECOGER"),TEXT('JULIO 2026'!G47,"DD/MM/YYYY"),"")</f>
        <v/>
      </c>
      <c r="F673" s="192" t="str">
        <f aca="false">IF(AND('JULIO 2026'!D47&lt;&gt;"",'JULIO 2026'!Z47="POR RECOGER"),'JULIO 2026'!K47,"")</f>
        <v/>
      </c>
      <c r="G673" s="193" t="str">
        <f aca="false">IF(AND('JULIO 2026'!D47&lt;&gt;"",'JULIO 2026'!Z47="POR RECOGER"),'JULIO 2026'!M47,"")</f>
        <v/>
      </c>
      <c r="H673" s="193" t="str">
        <f aca="false">IF(AND('JULIO 2026'!D47&lt;&gt;"",'JULIO 2026'!Z47="POR RECOGER"),'JULIO 2026'!N47,"")</f>
        <v/>
      </c>
      <c r="I673" s="192" t="str">
        <f aca="false">IF(AND('JULIO 2026'!D47&lt;&gt;"",'JULIO 2026'!Z47="POR RECOGER"),'JULIO 2026'!P47,"")</f>
        <v/>
      </c>
      <c r="J673" s="192" t="str">
        <f aca="false">IF(AND('JULIO 2026'!D47&lt;&gt;"",'JULIO 2026'!Z47="POR RECOGER"),'JULIO 2026'!Q47,"")</f>
        <v/>
      </c>
      <c r="K673" s="192" t="str">
        <f aca="false">IF(AND('JULIO 2026'!D47&lt;&gt;"",'JULIO 2026'!Z47="POR RECOGER"),'JULIO 2026'!Y47,"")</f>
        <v/>
      </c>
      <c r="L673" s="192" t="str">
        <f aca="false">IF(AND('JULIO 2026'!D47&lt;&gt;"",'JULIO 2026'!Z47="POR RECOGER"),'JULIO 2026'!I47,"")</f>
        <v/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" hidden="false" customHeight="true" outlineLevel="0" collapsed="false">
      <c r="A674" s="192" t="str">
        <f aca="false">IF(AND('JULIO 2026'!D48&lt;&gt;"",'JULIO 2026'!Z48="POR RECOGER"),"JUL","")</f>
        <v/>
      </c>
      <c r="B674" s="192" t="str">
        <f aca="false">IF(AND('JULIO 2026'!D48&lt;&gt;"",'JULIO 2026'!Z48="POR RECOGER"),IF('JULIO 2026'!Y48&lt;&gt;"",'JULIO 2026'!Y48,'JULIO 2026'!I48),"")</f>
        <v/>
      </c>
      <c r="C674" s="192" t="str">
        <f aca="false">IF(AND('JULIO 2026'!D48&lt;&gt;"",'JULIO 2026'!Z48="POR RECOGER"),'JULIO 2026'!D48,"")</f>
        <v/>
      </c>
      <c r="D674" s="192" t="str">
        <f aca="false">IF(AND('JULIO 2026'!D48&lt;&gt;"",'JULIO 2026'!Z48="POR RECOGER"),'JULIO 2026'!F48,"")</f>
        <v/>
      </c>
      <c r="E674" s="192" t="str">
        <f aca="false">IF(AND('JULIO 2026'!D48&lt;&gt;"",'JULIO 2026'!Z48="POR RECOGER"),TEXT('JULIO 2026'!G48,"DD/MM/YYYY"),"")</f>
        <v/>
      </c>
      <c r="F674" s="192" t="str">
        <f aca="false">IF(AND('JULIO 2026'!D48&lt;&gt;"",'JULIO 2026'!Z48="POR RECOGER"),'JULIO 2026'!K48,"")</f>
        <v/>
      </c>
      <c r="G674" s="193" t="str">
        <f aca="false">IF(AND('JULIO 2026'!D48&lt;&gt;"",'JULIO 2026'!Z48="POR RECOGER"),'JULIO 2026'!M48,"")</f>
        <v/>
      </c>
      <c r="H674" s="193" t="str">
        <f aca="false">IF(AND('JULIO 2026'!D48&lt;&gt;"",'JULIO 2026'!Z48="POR RECOGER"),'JULIO 2026'!N48,"")</f>
        <v/>
      </c>
      <c r="I674" s="192" t="str">
        <f aca="false">IF(AND('JULIO 2026'!D48&lt;&gt;"",'JULIO 2026'!Z48="POR RECOGER"),'JULIO 2026'!P48,"")</f>
        <v/>
      </c>
      <c r="J674" s="192" t="str">
        <f aca="false">IF(AND('JULIO 2026'!D48&lt;&gt;"",'JULIO 2026'!Z48="POR RECOGER"),'JULIO 2026'!Q48,"")</f>
        <v/>
      </c>
      <c r="K674" s="192" t="str">
        <f aca="false">IF(AND('JULIO 2026'!D48&lt;&gt;"",'JULIO 2026'!Z48="POR RECOGER"),'JULIO 2026'!Y48,"")</f>
        <v/>
      </c>
      <c r="L674" s="192" t="str">
        <f aca="false">IF(AND('JULIO 2026'!D48&lt;&gt;"",'JULIO 2026'!Z48="POR RECOGER"),'JULIO 2026'!I48,"")</f>
        <v/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" hidden="false" customHeight="true" outlineLevel="0" collapsed="false">
      <c r="A675" s="192" t="str">
        <f aca="false">IF(AND('JULIO 2026'!D49&lt;&gt;"",'JULIO 2026'!Z49="POR RECOGER"),"JUL","")</f>
        <v/>
      </c>
      <c r="B675" s="192" t="str">
        <f aca="false">IF(AND('JULIO 2026'!D49&lt;&gt;"",'JULIO 2026'!Z49="POR RECOGER"),IF('JULIO 2026'!Y49&lt;&gt;"",'JULIO 2026'!Y49,'JULIO 2026'!I49),"")</f>
        <v/>
      </c>
      <c r="C675" s="192" t="str">
        <f aca="false">IF(AND('JULIO 2026'!D49&lt;&gt;"",'JULIO 2026'!Z49="POR RECOGER"),'JULIO 2026'!D49,"")</f>
        <v/>
      </c>
      <c r="D675" s="192" t="str">
        <f aca="false">IF(AND('JULIO 2026'!D49&lt;&gt;"",'JULIO 2026'!Z49="POR RECOGER"),'JULIO 2026'!F49,"")</f>
        <v/>
      </c>
      <c r="E675" s="192" t="str">
        <f aca="false">IF(AND('JULIO 2026'!D49&lt;&gt;"",'JULIO 2026'!Z49="POR RECOGER"),TEXT('JULIO 2026'!G49,"DD/MM/YYYY"),"")</f>
        <v/>
      </c>
      <c r="F675" s="192" t="str">
        <f aca="false">IF(AND('JULIO 2026'!D49&lt;&gt;"",'JULIO 2026'!Z49="POR RECOGER"),'JULIO 2026'!K49,"")</f>
        <v/>
      </c>
      <c r="G675" s="193" t="str">
        <f aca="false">IF(AND('JULIO 2026'!D49&lt;&gt;"",'JULIO 2026'!Z49="POR RECOGER"),'JULIO 2026'!M49,"")</f>
        <v/>
      </c>
      <c r="H675" s="193" t="str">
        <f aca="false">IF(AND('JULIO 2026'!D49&lt;&gt;"",'JULIO 2026'!Z49="POR RECOGER"),'JULIO 2026'!N49,"")</f>
        <v/>
      </c>
      <c r="I675" s="192" t="str">
        <f aca="false">IF(AND('JULIO 2026'!D49&lt;&gt;"",'JULIO 2026'!Z49="POR RECOGER"),'JULIO 2026'!P49,"")</f>
        <v/>
      </c>
      <c r="J675" s="192" t="str">
        <f aca="false">IF(AND('JULIO 2026'!D49&lt;&gt;"",'JULIO 2026'!Z49="POR RECOGER"),'JULIO 2026'!Q49,"")</f>
        <v/>
      </c>
      <c r="K675" s="192" t="str">
        <f aca="false">IF(AND('JULIO 2026'!D49&lt;&gt;"",'JULIO 2026'!Z49="POR RECOGER"),'JULIO 2026'!Y49,"")</f>
        <v/>
      </c>
      <c r="L675" s="192" t="str">
        <f aca="false">IF(AND('JULIO 2026'!D49&lt;&gt;"",'JULIO 2026'!Z49="POR RECOGER"),'JULIO 2026'!I49,"")</f>
        <v/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" hidden="false" customHeight="true" outlineLevel="0" collapsed="false">
      <c r="A676" s="192" t="str">
        <f aca="false">IF(AND('JULIO 2026'!D50&lt;&gt;"",'JULIO 2026'!Z50="POR RECOGER"),"JUL","")</f>
        <v/>
      </c>
      <c r="B676" s="192" t="str">
        <f aca="false">IF(AND('JULIO 2026'!D50&lt;&gt;"",'JULIO 2026'!Z50="POR RECOGER"),IF('JULIO 2026'!Y50&lt;&gt;"",'JULIO 2026'!Y50,'JULIO 2026'!I50),"")</f>
        <v/>
      </c>
      <c r="C676" s="192" t="str">
        <f aca="false">IF(AND('JULIO 2026'!D50&lt;&gt;"",'JULIO 2026'!Z50="POR RECOGER"),'JULIO 2026'!D50,"")</f>
        <v/>
      </c>
      <c r="D676" s="192" t="str">
        <f aca="false">IF(AND('JULIO 2026'!D50&lt;&gt;"",'JULIO 2026'!Z50="POR RECOGER"),'JULIO 2026'!F50,"")</f>
        <v/>
      </c>
      <c r="E676" s="192" t="str">
        <f aca="false">IF(AND('JULIO 2026'!D50&lt;&gt;"",'JULIO 2026'!Z50="POR RECOGER"),TEXT('JULIO 2026'!G50,"DD/MM/YYYY"),"")</f>
        <v/>
      </c>
      <c r="F676" s="192" t="str">
        <f aca="false">IF(AND('JULIO 2026'!D50&lt;&gt;"",'JULIO 2026'!Z50="POR RECOGER"),'JULIO 2026'!K50,"")</f>
        <v/>
      </c>
      <c r="G676" s="193" t="str">
        <f aca="false">IF(AND('JULIO 2026'!D50&lt;&gt;"",'JULIO 2026'!Z50="POR RECOGER"),'JULIO 2026'!M50,"")</f>
        <v/>
      </c>
      <c r="H676" s="193" t="str">
        <f aca="false">IF(AND('JULIO 2026'!D50&lt;&gt;"",'JULIO 2026'!Z50="POR RECOGER"),'JULIO 2026'!N50,"")</f>
        <v/>
      </c>
      <c r="I676" s="192" t="str">
        <f aca="false">IF(AND('JULIO 2026'!D50&lt;&gt;"",'JULIO 2026'!Z50="POR RECOGER"),'JULIO 2026'!P50,"")</f>
        <v/>
      </c>
      <c r="J676" s="192" t="str">
        <f aca="false">IF(AND('JULIO 2026'!D50&lt;&gt;"",'JULIO 2026'!Z50="POR RECOGER"),'JULIO 2026'!Q50,"")</f>
        <v/>
      </c>
      <c r="K676" s="192" t="str">
        <f aca="false">IF(AND('JULIO 2026'!D50&lt;&gt;"",'JULIO 2026'!Z50="POR RECOGER"),'JULIO 2026'!Y50,"")</f>
        <v/>
      </c>
      <c r="L676" s="192" t="str">
        <f aca="false">IF(AND('JULIO 2026'!D50&lt;&gt;"",'JULIO 2026'!Z50="POR RECOGER"),'JULIO 2026'!I50,"")</f>
        <v/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" hidden="false" customHeight="true" outlineLevel="0" collapsed="false">
      <c r="A677" s="192" t="str">
        <f aca="false">IF(AND('JULIO 2026'!D51&lt;&gt;"",'JULIO 2026'!Z51="POR RECOGER"),"JUL","")</f>
        <v/>
      </c>
      <c r="B677" s="192" t="str">
        <f aca="false">IF(AND('JULIO 2026'!D51&lt;&gt;"",'JULIO 2026'!Z51="POR RECOGER"),IF('JULIO 2026'!Y51&lt;&gt;"",'JULIO 2026'!Y51,'JULIO 2026'!I51),"")</f>
        <v/>
      </c>
      <c r="C677" s="192" t="str">
        <f aca="false">IF(AND('JULIO 2026'!D51&lt;&gt;"",'JULIO 2026'!Z51="POR RECOGER"),'JULIO 2026'!D51,"")</f>
        <v/>
      </c>
      <c r="D677" s="192" t="str">
        <f aca="false">IF(AND('JULIO 2026'!D51&lt;&gt;"",'JULIO 2026'!Z51="POR RECOGER"),'JULIO 2026'!F51,"")</f>
        <v/>
      </c>
      <c r="E677" s="192" t="str">
        <f aca="false">IF(AND('JULIO 2026'!D51&lt;&gt;"",'JULIO 2026'!Z51="POR RECOGER"),TEXT('JULIO 2026'!G51,"DD/MM/YYYY"),"")</f>
        <v/>
      </c>
      <c r="F677" s="192" t="str">
        <f aca="false">IF(AND('JULIO 2026'!D51&lt;&gt;"",'JULIO 2026'!Z51="POR RECOGER"),'JULIO 2026'!K51,"")</f>
        <v/>
      </c>
      <c r="G677" s="193" t="str">
        <f aca="false">IF(AND('JULIO 2026'!D51&lt;&gt;"",'JULIO 2026'!Z51="POR RECOGER"),'JULIO 2026'!M51,"")</f>
        <v/>
      </c>
      <c r="H677" s="193" t="str">
        <f aca="false">IF(AND('JULIO 2026'!D51&lt;&gt;"",'JULIO 2026'!Z51="POR RECOGER"),'JULIO 2026'!N51,"")</f>
        <v/>
      </c>
      <c r="I677" s="192" t="str">
        <f aca="false">IF(AND('JULIO 2026'!D51&lt;&gt;"",'JULIO 2026'!Z51="POR RECOGER"),'JULIO 2026'!P51,"")</f>
        <v/>
      </c>
      <c r="J677" s="192" t="str">
        <f aca="false">IF(AND('JULIO 2026'!D51&lt;&gt;"",'JULIO 2026'!Z51="POR RECOGER"),'JULIO 2026'!Q51,"")</f>
        <v/>
      </c>
      <c r="K677" s="192" t="str">
        <f aca="false">IF(AND('JULIO 2026'!D51&lt;&gt;"",'JULIO 2026'!Z51="POR RECOGER"),'JULIO 2026'!Y51,"")</f>
        <v/>
      </c>
      <c r="L677" s="192" t="str">
        <f aca="false">IF(AND('JULIO 2026'!D51&lt;&gt;"",'JULIO 2026'!Z51="POR RECOGER"),'JULIO 2026'!I51,"")</f>
        <v/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" hidden="false" customHeight="true" outlineLevel="0" collapsed="false">
      <c r="A678" s="192" t="str">
        <f aca="false">IF(AND('JULIO 2026'!D52&lt;&gt;"",'JULIO 2026'!Z52="POR RECOGER"),"JUL","")</f>
        <v/>
      </c>
      <c r="B678" s="192" t="str">
        <f aca="false">IF(AND('JULIO 2026'!D52&lt;&gt;"",'JULIO 2026'!Z52="POR RECOGER"),IF('JULIO 2026'!Y52&lt;&gt;"",'JULIO 2026'!Y52,'JULIO 2026'!I52),"")</f>
        <v/>
      </c>
      <c r="C678" s="192" t="str">
        <f aca="false">IF(AND('JULIO 2026'!D52&lt;&gt;"",'JULIO 2026'!Z52="POR RECOGER"),'JULIO 2026'!D52,"")</f>
        <v/>
      </c>
      <c r="D678" s="192" t="str">
        <f aca="false">IF(AND('JULIO 2026'!D52&lt;&gt;"",'JULIO 2026'!Z52="POR RECOGER"),'JULIO 2026'!F52,"")</f>
        <v/>
      </c>
      <c r="E678" s="192" t="str">
        <f aca="false">IF(AND('JULIO 2026'!D52&lt;&gt;"",'JULIO 2026'!Z52="POR RECOGER"),TEXT('JULIO 2026'!G52,"DD/MM/YYYY"),"")</f>
        <v/>
      </c>
      <c r="F678" s="192" t="str">
        <f aca="false">IF(AND('JULIO 2026'!D52&lt;&gt;"",'JULIO 2026'!Z52="POR RECOGER"),'JULIO 2026'!K52,"")</f>
        <v/>
      </c>
      <c r="G678" s="193" t="str">
        <f aca="false">IF(AND('JULIO 2026'!D52&lt;&gt;"",'JULIO 2026'!Z52="POR RECOGER"),'JULIO 2026'!M52,"")</f>
        <v/>
      </c>
      <c r="H678" s="193" t="str">
        <f aca="false">IF(AND('JULIO 2026'!D52&lt;&gt;"",'JULIO 2026'!Z52="POR RECOGER"),'JULIO 2026'!N52,"")</f>
        <v/>
      </c>
      <c r="I678" s="192" t="str">
        <f aca="false">IF(AND('JULIO 2026'!D52&lt;&gt;"",'JULIO 2026'!Z52="POR RECOGER"),'JULIO 2026'!P52,"")</f>
        <v/>
      </c>
      <c r="J678" s="192" t="str">
        <f aca="false">IF(AND('JULIO 2026'!D52&lt;&gt;"",'JULIO 2026'!Z52="POR RECOGER"),'JULIO 2026'!Q52,"")</f>
        <v/>
      </c>
      <c r="K678" s="192" t="str">
        <f aca="false">IF(AND('JULIO 2026'!D52&lt;&gt;"",'JULIO 2026'!Z52="POR RECOGER"),'JULIO 2026'!Y52,"")</f>
        <v/>
      </c>
      <c r="L678" s="192" t="str">
        <f aca="false">IF(AND('JULIO 2026'!D52&lt;&gt;"",'JULIO 2026'!Z52="POR RECOGER"),'JULIO 2026'!I52,"")</f>
        <v/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" hidden="false" customHeight="true" outlineLevel="0" collapsed="false">
      <c r="A679" s="192" t="str">
        <f aca="false">IF(AND('JULIO 2026'!D53&lt;&gt;"",'JULIO 2026'!Z53="POR RECOGER"),"JUL","")</f>
        <v/>
      </c>
      <c r="B679" s="192" t="str">
        <f aca="false">IF(AND('JULIO 2026'!D53&lt;&gt;"",'JULIO 2026'!Z53="POR RECOGER"),IF('JULIO 2026'!Y53&lt;&gt;"",'JULIO 2026'!Y53,'JULIO 2026'!I53),"")</f>
        <v/>
      </c>
      <c r="C679" s="192" t="str">
        <f aca="false">IF(AND('JULIO 2026'!D53&lt;&gt;"",'JULIO 2026'!Z53="POR RECOGER"),'JULIO 2026'!D53,"")</f>
        <v/>
      </c>
      <c r="D679" s="192" t="str">
        <f aca="false">IF(AND('JULIO 2026'!D53&lt;&gt;"",'JULIO 2026'!Z53="POR RECOGER"),'JULIO 2026'!F53,"")</f>
        <v/>
      </c>
      <c r="E679" s="192" t="str">
        <f aca="false">IF(AND('JULIO 2026'!D53&lt;&gt;"",'JULIO 2026'!Z53="POR RECOGER"),TEXT('JULIO 2026'!G53,"DD/MM/YYYY"),"")</f>
        <v/>
      </c>
      <c r="F679" s="192" t="str">
        <f aca="false">IF(AND('JULIO 2026'!D53&lt;&gt;"",'JULIO 2026'!Z53="POR RECOGER"),'JULIO 2026'!K53,"")</f>
        <v/>
      </c>
      <c r="G679" s="193" t="str">
        <f aca="false">IF(AND('JULIO 2026'!D53&lt;&gt;"",'JULIO 2026'!Z53="POR RECOGER"),'JULIO 2026'!M53,"")</f>
        <v/>
      </c>
      <c r="H679" s="193" t="str">
        <f aca="false">IF(AND('JULIO 2026'!D53&lt;&gt;"",'JULIO 2026'!Z53="POR RECOGER"),'JULIO 2026'!N53,"")</f>
        <v/>
      </c>
      <c r="I679" s="192" t="str">
        <f aca="false">IF(AND('JULIO 2026'!D53&lt;&gt;"",'JULIO 2026'!Z53="POR RECOGER"),'JULIO 2026'!P53,"")</f>
        <v/>
      </c>
      <c r="J679" s="192" t="str">
        <f aca="false">IF(AND('JULIO 2026'!D53&lt;&gt;"",'JULIO 2026'!Z53="POR RECOGER"),'JULIO 2026'!Q53,"")</f>
        <v/>
      </c>
      <c r="K679" s="192" t="str">
        <f aca="false">IF(AND('JULIO 2026'!D53&lt;&gt;"",'JULIO 2026'!Z53="POR RECOGER"),'JULIO 2026'!Y53,"")</f>
        <v/>
      </c>
      <c r="L679" s="192" t="str">
        <f aca="false">IF(AND('JULIO 2026'!D53&lt;&gt;"",'JULIO 2026'!Z53="POR RECOGER"),'JULIO 2026'!I53,"")</f>
        <v/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" hidden="false" customHeight="true" outlineLevel="0" collapsed="false">
      <c r="A680" s="192" t="str">
        <f aca="false">IF(AND('JULIO 2026'!D54&lt;&gt;"",'JULIO 2026'!Z54="POR RECOGER"),"JUL","")</f>
        <v/>
      </c>
      <c r="B680" s="192" t="str">
        <f aca="false">IF(AND('JULIO 2026'!D54&lt;&gt;"",'JULIO 2026'!Z54="POR RECOGER"),IF('JULIO 2026'!Y54&lt;&gt;"",'JULIO 2026'!Y54,'JULIO 2026'!I54),"")</f>
        <v/>
      </c>
      <c r="C680" s="192" t="str">
        <f aca="false">IF(AND('JULIO 2026'!D54&lt;&gt;"",'JULIO 2026'!Z54="POR RECOGER"),'JULIO 2026'!D54,"")</f>
        <v/>
      </c>
      <c r="D680" s="192" t="str">
        <f aca="false">IF(AND('JULIO 2026'!D54&lt;&gt;"",'JULIO 2026'!Z54="POR RECOGER"),'JULIO 2026'!F54,"")</f>
        <v/>
      </c>
      <c r="E680" s="192" t="str">
        <f aca="false">IF(AND('JULIO 2026'!D54&lt;&gt;"",'JULIO 2026'!Z54="POR RECOGER"),TEXT('JULIO 2026'!G54,"DD/MM/YYYY"),"")</f>
        <v/>
      </c>
      <c r="F680" s="192" t="str">
        <f aca="false">IF(AND('JULIO 2026'!D54&lt;&gt;"",'JULIO 2026'!Z54="POR RECOGER"),'JULIO 2026'!K54,"")</f>
        <v/>
      </c>
      <c r="G680" s="193" t="str">
        <f aca="false">IF(AND('JULIO 2026'!D54&lt;&gt;"",'JULIO 2026'!Z54="POR RECOGER"),'JULIO 2026'!M54,"")</f>
        <v/>
      </c>
      <c r="H680" s="193" t="str">
        <f aca="false">IF(AND('JULIO 2026'!D54&lt;&gt;"",'JULIO 2026'!Z54="POR RECOGER"),'JULIO 2026'!N54,"")</f>
        <v/>
      </c>
      <c r="I680" s="192" t="str">
        <f aca="false">IF(AND('JULIO 2026'!D54&lt;&gt;"",'JULIO 2026'!Z54="POR RECOGER"),'JULIO 2026'!P54,"")</f>
        <v/>
      </c>
      <c r="J680" s="192" t="str">
        <f aca="false">IF(AND('JULIO 2026'!D54&lt;&gt;"",'JULIO 2026'!Z54="POR RECOGER"),'JULIO 2026'!Q54,"")</f>
        <v/>
      </c>
      <c r="K680" s="192" t="str">
        <f aca="false">IF(AND('JULIO 2026'!D54&lt;&gt;"",'JULIO 2026'!Z54="POR RECOGER"),'JULIO 2026'!Y54,"")</f>
        <v/>
      </c>
      <c r="L680" s="192" t="str">
        <f aca="false">IF(AND('JULIO 2026'!D54&lt;&gt;"",'JULIO 2026'!Z54="POR RECOGER"),'JULIO 2026'!I54,"")</f>
        <v/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" hidden="false" customHeight="true" outlineLevel="0" collapsed="false">
      <c r="A681" s="192" t="str">
        <f aca="false">IF(AND('JULIO 2026'!D55&lt;&gt;"",'JULIO 2026'!Z55="POR RECOGER"),"JUL","")</f>
        <v/>
      </c>
      <c r="B681" s="192" t="str">
        <f aca="false">IF(AND('JULIO 2026'!D55&lt;&gt;"",'JULIO 2026'!Z55="POR RECOGER"),IF('JULIO 2026'!Y55&lt;&gt;"",'JULIO 2026'!Y55,'JULIO 2026'!I55),"")</f>
        <v/>
      </c>
      <c r="C681" s="192" t="str">
        <f aca="false">IF(AND('JULIO 2026'!D55&lt;&gt;"",'JULIO 2026'!Z55="POR RECOGER"),'JULIO 2026'!D55,"")</f>
        <v/>
      </c>
      <c r="D681" s="192" t="str">
        <f aca="false">IF(AND('JULIO 2026'!D55&lt;&gt;"",'JULIO 2026'!Z55="POR RECOGER"),'JULIO 2026'!F55,"")</f>
        <v/>
      </c>
      <c r="E681" s="192" t="str">
        <f aca="false">IF(AND('JULIO 2026'!D55&lt;&gt;"",'JULIO 2026'!Z55="POR RECOGER"),TEXT('JULIO 2026'!G55,"DD/MM/YYYY"),"")</f>
        <v/>
      </c>
      <c r="F681" s="192" t="str">
        <f aca="false">IF(AND('JULIO 2026'!D55&lt;&gt;"",'JULIO 2026'!Z55="POR RECOGER"),'JULIO 2026'!K55,"")</f>
        <v/>
      </c>
      <c r="G681" s="193" t="str">
        <f aca="false">IF(AND('JULIO 2026'!D55&lt;&gt;"",'JULIO 2026'!Z55="POR RECOGER"),'JULIO 2026'!M55,"")</f>
        <v/>
      </c>
      <c r="H681" s="193" t="str">
        <f aca="false">IF(AND('JULIO 2026'!D55&lt;&gt;"",'JULIO 2026'!Z55="POR RECOGER"),'JULIO 2026'!N55,"")</f>
        <v/>
      </c>
      <c r="I681" s="192" t="str">
        <f aca="false">IF(AND('JULIO 2026'!D55&lt;&gt;"",'JULIO 2026'!Z55="POR RECOGER"),'JULIO 2026'!P55,"")</f>
        <v/>
      </c>
      <c r="J681" s="192" t="str">
        <f aca="false">IF(AND('JULIO 2026'!D55&lt;&gt;"",'JULIO 2026'!Z55="POR RECOGER"),'JULIO 2026'!Q55,"")</f>
        <v/>
      </c>
      <c r="K681" s="192" t="str">
        <f aca="false">IF(AND('JULIO 2026'!D55&lt;&gt;"",'JULIO 2026'!Z55="POR RECOGER"),'JULIO 2026'!Y55,"")</f>
        <v/>
      </c>
      <c r="L681" s="192" t="str">
        <f aca="false">IF(AND('JULIO 2026'!D55&lt;&gt;"",'JULIO 2026'!Z55="POR RECOGER"),'JULIO 2026'!I55,"")</f>
        <v/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" hidden="false" customHeight="true" outlineLevel="0" collapsed="false">
      <c r="A682" s="192" t="str">
        <f aca="false">IF(AND('JULIO 2026'!D56&lt;&gt;"",'JULIO 2026'!Z56="POR RECOGER"),"JUL","")</f>
        <v/>
      </c>
      <c r="B682" s="192" t="str">
        <f aca="false">IF(AND('JULIO 2026'!D56&lt;&gt;"",'JULIO 2026'!Z56="POR RECOGER"),IF('JULIO 2026'!Y56&lt;&gt;"",'JULIO 2026'!Y56,'JULIO 2026'!I56),"")</f>
        <v/>
      </c>
      <c r="C682" s="192" t="str">
        <f aca="false">IF(AND('JULIO 2026'!D56&lt;&gt;"",'JULIO 2026'!Z56="POR RECOGER"),'JULIO 2026'!D56,"")</f>
        <v/>
      </c>
      <c r="D682" s="192" t="str">
        <f aca="false">IF(AND('JULIO 2026'!D56&lt;&gt;"",'JULIO 2026'!Z56="POR RECOGER"),'JULIO 2026'!F56,"")</f>
        <v/>
      </c>
      <c r="E682" s="192" t="str">
        <f aca="false">IF(AND('JULIO 2026'!D56&lt;&gt;"",'JULIO 2026'!Z56="POR RECOGER"),TEXT('JULIO 2026'!G56,"DD/MM/YYYY"),"")</f>
        <v/>
      </c>
      <c r="F682" s="192" t="str">
        <f aca="false">IF(AND('JULIO 2026'!D56&lt;&gt;"",'JULIO 2026'!Z56="POR RECOGER"),'JULIO 2026'!K56,"")</f>
        <v/>
      </c>
      <c r="G682" s="193" t="str">
        <f aca="false">IF(AND('JULIO 2026'!D56&lt;&gt;"",'JULIO 2026'!Z56="POR RECOGER"),'JULIO 2026'!M56,"")</f>
        <v/>
      </c>
      <c r="H682" s="193" t="str">
        <f aca="false">IF(AND('JULIO 2026'!D56&lt;&gt;"",'JULIO 2026'!Z56="POR RECOGER"),'JULIO 2026'!N56,"")</f>
        <v/>
      </c>
      <c r="I682" s="192" t="str">
        <f aca="false">IF(AND('JULIO 2026'!D56&lt;&gt;"",'JULIO 2026'!Z56="POR RECOGER"),'JULIO 2026'!P56,"")</f>
        <v/>
      </c>
      <c r="J682" s="192" t="str">
        <f aca="false">IF(AND('JULIO 2026'!D56&lt;&gt;"",'JULIO 2026'!Z56="POR RECOGER"),'JULIO 2026'!Q56,"")</f>
        <v/>
      </c>
      <c r="K682" s="192" t="str">
        <f aca="false">IF(AND('JULIO 2026'!D56&lt;&gt;"",'JULIO 2026'!Z56="POR RECOGER"),'JULIO 2026'!Y56,"")</f>
        <v/>
      </c>
      <c r="L682" s="192" t="str">
        <f aca="false">IF(AND('JULIO 2026'!D56&lt;&gt;"",'JULIO 2026'!Z56="POR RECOGER"),'JULIO 2026'!I56,"")</f>
        <v/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" hidden="false" customHeight="true" outlineLevel="0" collapsed="false">
      <c r="A683" s="192" t="str">
        <f aca="false">IF(AND('JULIO 2026'!D57&lt;&gt;"",'JULIO 2026'!Z57="POR RECOGER"),"JUL","")</f>
        <v/>
      </c>
      <c r="B683" s="192" t="str">
        <f aca="false">IF(AND('JULIO 2026'!D57&lt;&gt;"",'JULIO 2026'!Z57="POR RECOGER"),IF('JULIO 2026'!Y57&lt;&gt;"",'JULIO 2026'!Y57,'JULIO 2026'!I57),"")</f>
        <v/>
      </c>
      <c r="C683" s="192" t="str">
        <f aca="false">IF(AND('JULIO 2026'!D57&lt;&gt;"",'JULIO 2026'!Z57="POR RECOGER"),'JULIO 2026'!D57,"")</f>
        <v/>
      </c>
      <c r="D683" s="192" t="str">
        <f aca="false">IF(AND('JULIO 2026'!D57&lt;&gt;"",'JULIO 2026'!Z57="POR RECOGER"),'JULIO 2026'!F57,"")</f>
        <v/>
      </c>
      <c r="E683" s="192" t="str">
        <f aca="false">IF(AND('JULIO 2026'!D57&lt;&gt;"",'JULIO 2026'!Z57="POR RECOGER"),TEXT('JULIO 2026'!G57,"DD/MM/YYYY"),"")</f>
        <v/>
      </c>
      <c r="F683" s="192" t="str">
        <f aca="false">IF(AND('JULIO 2026'!D57&lt;&gt;"",'JULIO 2026'!Z57="POR RECOGER"),'JULIO 2026'!K57,"")</f>
        <v/>
      </c>
      <c r="G683" s="193" t="str">
        <f aca="false">IF(AND('JULIO 2026'!D57&lt;&gt;"",'JULIO 2026'!Z57="POR RECOGER"),'JULIO 2026'!M57,"")</f>
        <v/>
      </c>
      <c r="H683" s="193" t="str">
        <f aca="false">IF(AND('JULIO 2026'!D57&lt;&gt;"",'JULIO 2026'!Z57="POR RECOGER"),'JULIO 2026'!N57,"")</f>
        <v/>
      </c>
      <c r="I683" s="192" t="str">
        <f aca="false">IF(AND('JULIO 2026'!D57&lt;&gt;"",'JULIO 2026'!Z57="POR RECOGER"),'JULIO 2026'!P57,"")</f>
        <v/>
      </c>
      <c r="J683" s="192" t="str">
        <f aca="false">IF(AND('JULIO 2026'!D57&lt;&gt;"",'JULIO 2026'!Z57="POR RECOGER"),'JULIO 2026'!Q57,"")</f>
        <v/>
      </c>
      <c r="K683" s="192" t="str">
        <f aca="false">IF(AND('JULIO 2026'!D57&lt;&gt;"",'JULIO 2026'!Z57="POR RECOGER"),'JULIO 2026'!Y57,"")</f>
        <v/>
      </c>
      <c r="L683" s="192" t="str">
        <f aca="false">IF(AND('JULIO 2026'!D57&lt;&gt;"",'JULIO 2026'!Z57="POR RECOGER"),'JULIO 2026'!I57,"")</f>
        <v/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" hidden="false" customHeight="true" outlineLevel="0" collapsed="false">
      <c r="A684" s="192" t="str">
        <f aca="false">IF(AND('JULIO 2026'!D58&lt;&gt;"",'JULIO 2026'!Z58="POR RECOGER"),"JUL","")</f>
        <v/>
      </c>
      <c r="B684" s="192" t="str">
        <f aca="false">IF(AND('JULIO 2026'!D58&lt;&gt;"",'JULIO 2026'!Z58="POR RECOGER"),IF('JULIO 2026'!Y58&lt;&gt;"",'JULIO 2026'!Y58,'JULIO 2026'!I58),"")</f>
        <v/>
      </c>
      <c r="C684" s="192" t="str">
        <f aca="false">IF(AND('JULIO 2026'!D58&lt;&gt;"",'JULIO 2026'!Z58="POR RECOGER"),'JULIO 2026'!D58,"")</f>
        <v/>
      </c>
      <c r="D684" s="192" t="str">
        <f aca="false">IF(AND('JULIO 2026'!D58&lt;&gt;"",'JULIO 2026'!Z58="POR RECOGER"),'JULIO 2026'!F58,"")</f>
        <v/>
      </c>
      <c r="E684" s="192" t="str">
        <f aca="false">IF(AND('JULIO 2026'!D58&lt;&gt;"",'JULIO 2026'!Z58="POR RECOGER"),TEXT('JULIO 2026'!G58,"DD/MM/YYYY"),"")</f>
        <v/>
      </c>
      <c r="F684" s="192" t="str">
        <f aca="false">IF(AND('JULIO 2026'!D58&lt;&gt;"",'JULIO 2026'!Z58="POR RECOGER"),'JULIO 2026'!K58,"")</f>
        <v/>
      </c>
      <c r="G684" s="193" t="str">
        <f aca="false">IF(AND('JULIO 2026'!D58&lt;&gt;"",'JULIO 2026'!Z58="POR RECOGER"),'JULIO 2026'!M58,"")</f>
        <v/>
      </c>
      <c r="H684" s="193" t="str">
        <f aca="false">IF(AND('JULIO 2026'!D58&lt;&gt;"",'JULIO 2026'!Z58="POR RECOGER"),'JULIO 2026'!N58,"")</f>
        <v/>
      </c>
      <c r="I684" s="192" t="str">
        <f aca="false">IF(AND('JULIO 2026'!D58&lt;&gt;"",'JULIO 2026'!Z58="POR RECOGER"),'JULIO 2026'!P58,"")</f>
        <v/>
      </c>
      <c r="J684" s="192" t="str">
        <f aca="false">IF(AND('JULIO 2026'!D58&lt;&gt;"",'JULIO 2026'!Z58="POR RECOGER"),'JULIO 2026'!Q58,"")</f>
        <v/>
      </c>
      <c r="K684" s="192" t="str">
        <f aca="false">IF(AND('JULIO 2026'!D58&lt;&gt;"",'JULIO 2026'!Z58="POR RECOGER"),'JULIO 2026'!Y58,"")</f>
        <v/>
      </c>
      <c r="L684" s="192" t="str">
        <f aca="false">IF(AND('JULIO 2026'!D58&lt;&gt;"",'JULIO 2026'!Z58="POR RECOGER"),'JULIO 2026'!I58,"")</f>
        <v/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" hidden="false" customHeight="true" outlineLevel="0" collapsed="false">
      <c r="A685" s="192" t="str">
        <f aca="false">IF(AND('JULIO 2026'!D59&lt;&gt;"",'JULIO 2026'!Z59="POR RECOGER"),"JUL","")</f>
        <v/>
      </c>
      <c r="B685" s="192" t="str">
        <f aca="false">IF(AND('JULIO 2026'!D59&lt;&gt;"",'JULIO 2026'!Z59="POR RECOGER"),IF('JULIO 2026'!Y59&lt;&gt;"",'JULIO 2026'!Y59,'JULIO 2026'!I59),"")</f>
        <v/>
      </c>
      <c r="C685" s="192" t="str">
        <f aca="false">IF(AND('JULIO 2026'!D59&lt;&gt;"",'JULIO 2026'!Z59="POR RECOGER"),'JULIO 2026'!D59,"")</f>
        <v/>
      </c>
      <c r="D685" s="192" t="str">
        <f aca="false">IF(AND('JULIO 2026'!D59&lt;&gt;"",'JULIO 2026'!Z59="POR RECOGER"),'JULIO 2026'!F59,"")</f>
        <v/>
      </c>
      <c r="E685" s="192" t="str">
        <f aca="false">IF(AND('JULIO 2026'!D59&lt;&gt;"",'JULIO 2026'!Z59="POR RECOGER"),TEXT('JULIO 2026'!G59,"DD/MM/YYYY"),"")</f>
        <v/>
      </c>
      <c r="F685" s="192" t="str">
        <f aca="false">IF(AND('JULIO 2026'!D59&lt;&gt;"",'JULIO 2026'!Z59="POR RECOGER"),'JULIO 2026'!K59,"")</f>
        <v/>
      </c>
      <c r="G685" s="193" t="str">
        <f aca="false">IF(AND('JULIO 2026'!D59&lt;&gt;"",'JULIO 2026'!Z59="POR RECOGER"),'JULIO 2026'!M59,"")</f>
        <v/>
      </c>
      <c r="H685" s="193" t="str">
        <f aca="false">IF(AND('JULIO 2026'!D59&lt;&gt;"",'JULIO 2026'!Z59="POR RECOGER"),'JULIO 2026'!N59,"")</f>
        <v/>
      </c>
      <c r="I685" s="192" t="str">
        <f aca="false">IF(AND('JULIO 2026'!D59&lt;&gt;"",'JULIO 2026'!Z59="POR RECOGER"),'JULIO 2026'!P59,"")</f>
        <v/>
      </c>
      <c r="J685" s="192" t="str">
        <f aca="false">IF(AND('JULIO 2026'!D59&lt;&gt;"",'JULIO 2026'!Z59="POR RECOGER"),'JULIO 2026'!Q59,"")</f>
        <v/>
      </c>
      <c r="K685" s="192" t="str">
        <f aca="false">IF(AND('JULIO 2026'!D59&lt;&gt;"",'JULIO 2026'!Z59="POR RECOGER"),'JULIO 2026'!Y59,"")</f>
        <v/>
      </c>
      <c r="L685" s="192" t="str">
        <f aca="false">IF(AND('JULIO 2026'!D59&lt;&gt;"",'JULIO 2026'!Z59="POR RECOGER"),'JULIO 2026'!I59,"")</f>
        <v/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" hidden="false" customHeight="true" outlineLevel="0" collapsed="false">
      <c r="A686" s="192" t="str">
        <f aca="false">IF(AND('JULIO 2026'!D60&lt;&gt;"",'JULIO 2026'!Z60="POR RECOGER"),"JUL","")</f>
        <v/>
      </c>
      <c r="B686" s="192" t="str">
        <f aca="false">IF(AND('JULIO 2026'!D60&lt;&gt;"",'JULIO 2026'!Z60="POR RECOGER"),IF('JULIO 2026'!Y60&lt;&gt;"",'JULIO 2026'!Y60,'JULIO 2026'!I60),"")</f>
        <v/>
      </c>
      <c r="C686" s="192" t="str">
        <f aca="false">IF(AND('JULIO 2026'!D60&lt;&gt;"",'JULIO 2026'!Z60="POR RECOGER"),'JULIO 2026'!D60,"")</f>
        <v/>
      </c>
      <c r="D686" s="192" t="str">
        <f aca="false">IF(AND('JULIO 2026'!D60&lt;&gt;"",'JULIO 2026'!Z60="POR RECOGER"),'JULIO 2026'!F60,"")</f>
        <v/>
      </c>
      <c r="E686" s="192" t="str">
        <f aca="false">IF(AND('JULIO 2026'!D60&lt;&gt;"",'JULIO 2026'!Z60="POR RECOGER"),TEXT('JULIO 2026'!G60,"DD/MM/YYYY"),"")</f>
        <v/>
      </c>
      <c r="F686" s="192" t="str">
        <f aca="false">IF(AND('JULIO 2026'!D60&lt;&gt;"",'JULIO 2026'!Z60="POR RECOGER"),'JULIO 2026'!K60,"")</f>
        <v/>
      </c>
      <c r="G686" s="193" t="str">
        <f aca="false">IF(AND('JULIO 2026'!D60&lt;&gt;"",'JULIO 2026'!Z60="POR RECOGER"),'JULIO 2026'!M60,"")</f>
        <v/>
      </c>
      <c r="H686" s="193" t="str">
        <f aca="false">IF(AND('JULIO 2026'!D60&lt;&gt;"",'JULIO 2026'!Z60="POR RECOGER"),'JULIO 2026'!N60,"")</f>
        <v/>
      </c>
      <c r="I686" s="192" t="str">
        <f aca="false">IF(AND('JULIO 2026'!D60&lt;&gt;"",'JULIO 2026'!Z60="POR RECOGER"),'JULIO 2026'!P60,"")</f>
        <v/>
      </c>
      <c r="J686" s="192" t="str">
        <f aca="false">IF(AND('JULIO 2026'!D60&lt;&gt;"",'JULIO 2026'!Z60="POR RECOGER"),'JULIO 2026'!Q60,"")</f>
        <v/>
      </c>
      <c r="K686" s="192" t="str">
        <f aca="false">IF(AND('JULIO 2026'!D60&lt;&gt;"",'JULIO 2026'!Z60="POR RECOGER"),'JULIO 2026'!Y60,"")</f>
        <v/>
      </c>
      <c r="L686" s="192" t="str">
        <f aca="false">IF(AND('JULIO 2026'!D60&lt;&gt;"",'JULIO 2026'!Z60="POR RECOGER"),'JULIO 2026'!I60,"")</f>
        <v/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" hidden="false" customHeight="true" outlineLevel="0" collapsed="false">
      <c r="A687" s="192" t="str">
        <f aca="false">IF(AND('JULIO 2026'!D61&lt;&gt;"",'JULIO 2026'!Z61="POR RECOGER"),"JUL","")</f>
        <v/>
      </c>
      <c r="B687" s="192" t="str">
        <f aca="false">IF(AND('JULIO 2026'!D61&lt;&gt;"",'JULIO 2026'!Z61="POR RECOGER"),IF('JULIO 2026'!Y61&lt;&gt;"",'JULIO 2026'!Y61,'JULIO 2026'!I61),"")</f>
        <v/>
      </c>
      <c r="C687" s="192" t="str">
        <f aca="false">IF(AND('JULIO 2026'!D61&lt;&gt;"",'JULIO 2026'!Z61="POR RECOGER"),'JULIO 2026'!D61,"")</f>
        <v/>
      </c>
      <c r="D687" s="192" t="str">
        <f aca="false">IF(AND('JULIO 2026'!D61&lt;&gt;"",'JULIO 2026'!Z61="POR RECOGER"),'JULIO 2026'!F61,"")</f>
        <v/>
      </c>
      <c r="E687" s="192" t="str">
        <f aca="false">IF(AND('JULIO 2026'!D61&lt;&gt;"",'JULIO 2026'!Z61="POR RECOGER"),TEXT('JULIO 2026'!G61,"DD/MM/YYYY"),"")</f>
        <v/>
      </c>
      <c r="F687" s="192" t="str">
        <f aca="false">IF(AND('JULIO 2026'!D61&lt;&gt;"",'JULIO 2026'!Z61="POR RECOGER"),'JULIO 2026'!K61,"")</f>
        <v/>
      </c>
      <c r="G687" s="193" t="str">
        <f aca="false">IF(AND('JULIO 2026'!D61&lt;&gt;"",'JULIO 2026'!Z61="POR RECOGER"),'JULIO 2026'!M61,"")</f>
        <v/>
      </c>
      <c r="H687" s="193" t="str">
        <f aca="false">IF(AND('JULIO 2026'!D61&lt;&gt;"",'JULIO 2026'!Z61="POR RECOGER"),'JULIO 2026'!N61,"")</f>
        <v/>
      </c>
      <c r="I687" s="192" t="str">
        <f aca="false">IF(AND('JULIO 2026'!D61&lt;&gt;"",'JULIO 2026'!Z61="POR RECOGER"),'JULIO 2026'!P61,"")</f>
        <v/>
      </c>
      <c r="J687" s="192" t="str">
        <f aca="false">IF(AND('JULIO 2026'!D61&lt;&gt;"",'JULIO 2026'!Z61="POR RECOGER"),'JULIO 2026'!Q61,"")</f>
        <v/>
      </c>
      <c r="K687" s="192" t="str">
        <f aca="false">IF(AND('JULIO 2026'!D61&lt;&gt;"",'JULIO 2026'!Z61="POR RECOGER"),'JULIO 2026'!Y61,"")</f>
        <v/>
      </c>
      <c r="L687" s="192" t="str">
        <f aca="false">IF(AND('JULIO 2026'!D61&lt;&gt;"",'JULIO 2026'!Z61="POR RECOGER"),'JULIO 2026'!I61,"")</f>
        <v/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" hidden="false" customHeight="true" outlineLevel="0" collapsed="false">
      <c r="A688" s="192" t="str">
        <f aca="false">IF(AND('JULIO 2026'!D62&lt;&gt;"",'JULIO 2026'!Z62="POR RECOGER"),"JUL","")</f>
        <v/>
      </c>
      <c r="B688" s="192" t="str">
        <f aca="false">IF(AND('JULIO 2026'!D62&lt;&gt;"",'JULIO 2026'!Z62="POR RECOGER"),IF('JULIO 2026'!Y62&lt;&gt;"",'JULIO 2026'!Y62,'JULIO 2026'!I62),"")</f>
        <v/>
      </c>
      <c r="C688" s="192" t="str">
        <f aca="false">IF(AND('JULIO 2026'!D62&lt;&gt;"",'JULIO 2026'!Z62="POR RECOGER"),'JULIO 2026'!D62,"")</f>
        <v/>
      </c>
      <c r="D688" s="192" t="str">
        <f aca="false">IF(AND('JULIO 2026'!D62&lt;&gt;"",'JULIO 2026'!Z62="POR RECOGER"),'JULIO 2026'!F62,"")</f>
        <v/>
      </c>
      <c r="E688" s="192" t="str">
        <f aca="false">IF(AND('JULIO 2026'!D62&lt;&gt;"",'JULIO 2026'!Z62="POR RECOGER"),TEXT('JULIO 2026'!G62,"DD/MM/YYYY"),"")</f>
        <v/>
      </c>
      <c r="F688" s="192" t="str">
        <f aca="false">IF(AND('JULIO 2026'!D62&lt;&gt;"",'JULIO 2026'!Z62="POR RECOGER"),'JULIO 2026'!K62,"")</f>
        <v/>
      </c>
      <c r="G688" s="193" t="str">
        <f aca="false">IF(AND('JULIO 2026'!D62&lt;&gt;"",'JULIO 2026'!Z62="POR RECOGER"),'JULIO 2026'!M62,"")</f>
        <v/>
      </c>
      <c r="H688" s="193" t="str">
        <f aca="false">IF(AND('JULIO 2026'!D62&lt;&gt;"",'JULIO 2026'!Z62="POR RECOGER"),'JULIO 2026'!N62,"")</f>
        <v/>
      </c>
      <c r="I688" s="192" t="str">
        <f aca="false">IF(AND('JULIO 2026'!D62&lt;&gt;"",'JULIO 2026'!Z62="POR RECOGER"),'JULIO 2026'!P62,"")</f>
        <v/>
      </c>
      <c r="J688" s="192" t="str">
        <f aca="false">IF(AND('JULIO 2026'!D62&lt;&gt;"",'JULIO 2026'!Z62="POR RECOGER"),'JULIO 2026'!Q62,"")</f>
        <v/>
      </c>
      <c r="K688" s="192" t="str">
        <f aca="false">IF(AND('JULIO 2026'!D62&lt;&gt;"",'JULIO 2026'!Z62="POR RECOGER"),'JULIO 2026'!Y62,"")</f>
        <v/>
      </c>
      <c r="L688" s="192" t="str">
        <f aca="false">IF(AND('JULIO 2026'!D62&lt;&gt;"",'JULIO 2026'!Z62="POR RECOGER"),'JULIO 2026'!I62,"")</f>
        <v/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" hidden="false" customHeight="true" outlineLevel="0" collapsed="false">
      <c r="A689" s="192" t="str">
        <f aca="false">IF(AND('JULIO 2026'!D63&lt;&gt;"",'JULIO 2026'!Z63="POR RECOGER"),"JUL","")</f>
        <v/>
      </c>
      <c r="B689" s="192" t="str">
        <f aca="false">IF(AND('JULIO 2026'!D63&lt;&gt;"",'JULIO 2026'!Z63="POR RECOGER"),IF('JULIO 2026'!Y63&lt;&gt;"",'JULIO 2026'!Y63,'JULIO 2026'!I63),"")</f>
        <v/>
      </c>
      <c r="C689" s="192" t="str">
        <f aca="false">IF(AND('JULIO 2026'!D63&lt;&gt;"",'JULIO 2026'!Z63="POR RECOGER"),'JULIO 2026'!D63,"")</f>
        <v/>
      </c>
      <c r="D689" s="192" t="str">
        <f aca="false">IF(AND('JULIO 2026'!D63&lt;&gt;"",'JULIO 2026'!Z63="POR RECOGER"),'JULIO 2026'!F63,"")</f>
        <v/>
      </c>
      <c r="E689" s="192" t="str">
        <f aca="false">IF(AND('JULIO 2026'!D63&lt;&gt;"",'JULIO 2026'!Z63="POR RECOGER"),TEXT('JULIO 2026'!G63,"DD/MM/YYYY"),"")</f>
        <v/>
      </c>
      <c r="F689" s="192" t="str">
        <f aca="false">IF(AND('JULIO 2026'!D63&lt;&gt;"",'JULIO 2026'!Z63="POR RECOGER"),'JULIO 2026'!K63,"")</f>
        <v/>
      </c>
      <c r="G689" s="193" t="str">
        <f aca="false">IF(AND('JULIO 2026'!D63&lt;&gt;"",'JULIO 2026'!Z63="POR RECOGER"),'JULIO 2026'!M63,"")</f>
        <v/>
      </c>
      <c r="H689" s="193" t="str">
        <f aca="false">IF(AND('JULIO 2026'!D63&lt;&gt;"",'JULIO 2026'!Z63="POR RECOGER"),'JULIO 2026'!N63,"")</f>
        <v/>
      </c>
      <c r="I689" s="192" t="str">
        <f aca="false">IF(AND('JULIO 2026'!D63&lt;&gt;"",'JULIO 2026'!Z63="POR RECOGER"),'JULIO 2026'!P63,"")</f>
        <v/>
      </c>
      <c r="J689" s="192" t="str">
        <f aca="false">IF(AND('JULIO 2026'!D63&lt;&gt;"",'JULIO 2026'!Z63="POR RECOGER"),'JULIO 2026'!Q63,"")</f>
        <v/>
      </c>
      <c r="K689" s="192" t="str">
        <f aca="false">IF(AND('JULIO 2026'!D63&lt;&gt;"",'JULIO 2026'!Z63="POR RECOGER"),'JULIO 2026'!Y63,"")</f>
        <v/>
      </c>
      <c r="L689" s="192" t="str">
        <f aca="false">IF(AND('JULIO 2026'!D63&lt;&gt;"",'JULIO 2026'!Z63="POR RECOGER"),'JULIO 2026'!I63,"")</f>
        <v/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" hidden="false" customHeight="true" outlineLevel="0" collapsed="false">
      <c r="A690" s="192" t="str">
        <f aca="false">IF(AND('JULIO 2026'!D64&lt;&gt;"",'JULIO 2026'!Z64="POR RECOGER"),"JUL","")</f>
        <v/>
      </c>
      <c r="B690" s="192" t="str">
        <f aca="false">IF(AND('JULIO 2026'!D64&lt;&gt;"",'JULIO 2026'!Z64="POR RECOGER"),IF('JULIO 2026'!Y64&lt;&gt;"",'JULIO 2026'!Y64,'JULIO 2026'!I64),"")</f>
        <v/>
      </c>
      <c r="C690" s="192" t="str">
        <f aca="false">IF(AND('JULIO 2026'!D64&lt;&gt;"",'JULIO 2026'!Z64="POR RECOGER"),'JULIO 2026'!D64,"")</f>
        <v/>
      </c>
      <c r="D690" s="192" t="str">
        <f aca="false">IF(AND('JULIO 2026'!D64&lt;&gt;"",'JULIO 2026'!Z64="POR RECOGER"),'JULIO 2026'!F64,"")</f>
        <v/>
      </c>
      <c r="E690" s="192" t="str">
        <f aca="false">IF(AND('JULIO 2026'!D64&lt;&gt;"",'JULIO 2026'!Z64="POR RECOGER"),TEXT('JULIO 2026'!G64,"DD/MM/YYYY"),"")</f>
        <v/>
      </c>
      <c r="F690" s="192" t="str">
        <f aca="false">IF(AND('JULIO 2026'!D64&lt;&gt;"",'JULIO 2026'!Z64="POR RECOGER"),'JULIO 2026'!K64,"")</f>
        <v/>
      </c>
      <c r="G690" s="193" t="str">
        <f aca="false">IF(AND('JULIO 2026'!D64&lt;&gt;"",'JULIO 2026'!Z64="POR RECOGER"),'JULIO 2026'!M64,"")</f>
        <v/>
      </c>
      <c r="H690" s="193" t="str">
        <f aca="false">IF(AND('JULIO 2026'!D64&lt;&gt;"",'JULIO 2026'!Z64="POR RECOGER"),'JULIO 2026'!N64,"")</f>
        <v/>
      </c>
      <c r="I690" s="192" t="str">
        <f aca="false">IF(AND('JULIO 2026'!D64&lt;&gt;"",'JULIO 2026'!Z64="POR RECOGER"),'JULIO 2026'!P64,"")</f>
        <v/>
      </c>
      <c r="J690" s="192" t="str">
        <f aca="false">IF(AND('JULIO 2026'!D64&lt;&gt;"",'JULIO 2026'!Z64="POR RECOGER"),'JULIO 2026'!Q64,"")</f>
        <v/>
      </c>
      <c r="K690" s="192" t="str">
        <f aca="false">IF(AND('JULIO 2026'!D64&lt;&gt;"",'JULIO 2026'!Z64="POR RECOGER"),'JULIO 2026'!Y64,"")</f>
        <v/>
      </c>
      <c r="L690" s="192" t="str">
        <f aca="false">IF(AND('JULIO 2026'!D64&lt;&gt;"",'JULIO 2026'!Z64="POR RECOGER"),'JULIO 2026'!I64,"")</f>
        <v/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" hidden="false" customHeight="true" outlineLevel="0" collapsed="false">
      <c r="A691" s="192" t="str">
        <f aca="false">IF(AND('JULIO 2026'!D65&lt;&gt;"",'JULIO 2026'!Z65="POR RECOGER"),"JUL","")</f>
        <v/>
      </c>
      <c r="B691" s="192" t="str">
        <f aca="false">IF(AND('JULIO 2026'!D65&lt;&gt;"",'JULIO 2026'!Z65="POR RECOGER"),IF('JULIO 2026'!Y65&lt;&gt;"",'JULIO 2026'!Y65,'JULIO 2026'!I65),"")</f>
        <v/>
      </c>
      <c r="C691" s="192" t="str">
        <f aca="false">IF(AND('JULIO 2026'!D65&lt;&gt;"",'JULIO 2026'!Z65="POR RECOGER"),'JULIO 2026'!D65,"")</f>
        <v/>
      </c>
      <c r="D691" s="192" t="str">
        <f aca="false">IF(AND('JULIO 2026'!D65&lt;&gt;"",'JULIO 2026'!Z65="POR RECOGER"),'JULIO 2026'!F65,"")</f>
        <v/>
      </c>
      <c r="E691" s="192" t="str">
        <f aca="false">IF(AND('JULIO 2026'!D65&lt;&gt;"",'JULIO 2026'!Z65="POR RECOGER"),TEXT('JULIO 2026'!G65,"DD/MM/YYYY"),"")</f>
        <v/>
      </c>
      <c r="F691" s="192" t="str">
        <f aca="false">IF(AND('JULIO 2026'!D65&lt;&gt;"",'JULIO 2026'!Z65="POR RECOGER"),'JULIO 2026'!K65,"")</f>
        <v/>
      </c>
      <c r="G691" s="193" t="str">
        <f aca="false">IF(AND('JULIO 2026'!D65&lt;&gt;"",'JULIO 2026'!Z65="POR RECOGER"),'JULIO 2026'!M65,"")</f>
        <v/>
      </c>
      <c r="H691" s="193" t="str">
        <f aca="false">IF(AND('JULIO 2026'!D65&lt;&gt;"",'JULIO 2026'!Z65="POR RECOGER"),'JULIO 2026'!N65,"")</f>
        <v/>
      </c>
      <c r="I691" s="192" t="str">
        <f aca="false">IF(AND('JULIO 2026'!D65&lt;&gt;"",'JULIO 2026'!Z65="POR RECOGER"),'JULIO 2026'!P65,"")</f>
        <v/>
      </c>
      <c r="J691" s="192" t="str">
        <f aca="false">IF(AND('JULIO 2026'!D65&lt;&gt;"",'JULIO 2026'!Z65="POR RECOGER"),'JULIO 2026'!Q65,"")</f>
        <v/>
      </c>
      <c r="K691" s="192" t="str">
        <f aca="false">IF(AND('JULIO 2026'!D65&lt;&gt;"",'JULIO 2026'!Z65="POR RECOGER"),'JULIO 2026'!Y65,"")</f>
        <v/>
      </c>
      <c r="L691" s="192" t="str">
        <f aca="false">IF(AND('JULIO 2026'!D65&lt;&gt;"",'JULIO 2026'!Z65="POR RECOGER"),'JULIO 2026'!I65,"")</f>
        <v/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" hidden="false" customHeight="true" outlineLevel="0" collapsed="false">
      <c r="A692" s="192" t="str">
        <f aca="false">IF(AND('JULIO 2026'!D66&lt;&gt;"",'JULIO 2026'!Z66="POR RECOGER"),"JUL","")</f>
        <v/>
      </c>
      <c r="B692" s="192" t="str">
        <f aca="false">IF(AND('JULIO 2026'!D66&lt;&gt;"",'JULIO 2026'!Z66="POR RECOGER"),IF('JULIO 2026'!Y66&lt;&gt;"",'JULIO 2026'!Y66,'JULIO 2026'!I66),"")</f>
        <v/>
      </c>
      <c r="C692" s="192" t="str">
        <f aca="false">IF(AND('JULIO 2026'!D66&lt;&gt;"",'JULIO 2026'!Z66="POR RECOGER"),'JULIO 2026'!D66,"")</f>
        <v/>
      </c>
      <c r="D692" s="192" t="str">
        <f aca="false">IF(AND('JULIO 2026'!D66&lt;&gt;"",'JULIO 2026'!Z66="POR RECOGER"),'JULIO 2026'!F66,"")</f>
        <v/>
      </c>
      <c r="E692" s="192" t="str">
        <f aca="false">IF(AND('JULIO 2026'!D66&lt;&gt;"",'JULIO 2026'!Z66="POR RECOGER"),TEXT('JULIO 2026'!G66,"DD/MM/YYYY"),"")</f>
        <v/>
      </c>
      <c r="F692" s="192" t="str">
        <f aca="false">IF(AND('JULIO 2026'!D66&lt;&gt;"",'JULIO 2026'!Z66="POR RECOGER"),'JULIO 2026'!K66,"")</f>
        <v/>
      </c>
      <c r="G692" s="193" t="str">
        <f aca="false">IF(AND('JULIO 2026'!D66&lt;&gt;"",'JULIO 2026'!Z66="POR RECOGER"),'JULIO 2026'!M66,"")</f>
        <v/>
      </c>
      <c r="H692" s="193" t="str">
        <f aca="false">IF(AND('JULIO 2026'!D66&lt;&gt;"",'JULIO 2026'!Z66="POR RECOGER"),'JULIO 2026'!N66,"")</f>
        <v/>
      </c>
      <c r="I692" s="192" t="str">
        <f aca="false">IF(AND('JULIO 2026'!D66&lt;&gt;"",'JULIO 2026'!Z66="POR RECOGER"),'JULIO 2026'!P66,"")</f>
        <v/>
      </c>
      <c r="J692" s="192" t="str">
        <f aca="false">IF(AND('JULIO 2026'!D66&lt;&gt;"",'JULIO 2026'!Z66="POR RECOGER"),'JULIO 2026'!Q66,"")</f>
        <v/>
      </c>
      <c r="K692" s="192" t="str">
        <f aca="false">IF(AND('JULIO 2026'!D66&lt;&gt;"",'JULIO 2026'!Z66="POR RECOGER"),'JULIO 2026'!Y66,"")</f>
        <v/>
      </c>
      <c r="L692" s="192" t="str">
        <f aca="false">IF(AND('JULIO 2026'!D66&lt;&gt;"",'JULIO 2026'!Z66="POR RECOGER"),'JULIO 2026'!I66,"")</f>
        <v/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" hidden="false" customHeight="true" outlineLevel="0" collapsed="false">
      <c r="A693" s="192" t="str">
        <f aca="false">IF(AND('JULIO 2026'!D67&lt;&gt;"",'JULIO 2026'!Z67="POR RECOGER"),"JUL","")</f>
        <v/>
      </c>
      <c r="B693" s="192" t="str">
        <f aca="false">IF(AND('JULIO 2026'!D67&lt;&gt;"",'JULIO 2026'!Z67="POR RECOGER"),IF('JULIO 2026'!Y67&lt;&gt;"",'JULIO 2026'!Y67,'JULIO 2026'!I67),"")</f>
        <v/>
      </c>
      <c r="C693" s="192" t="str">
        <f aca="false">IF(AND('JULIO 2026'!D67&lt;&gt;"",'JULIO 2026'!Z67="POR RECOGER"),'JULIO 2026'!D67,"")</f>
        <v/>
      </c>
      <c r="D693" s="192" t="str">
        <f aca="false">IF(AND('JULIO 2026'!D67&lt;&gt;"",'JULIO 2026'!Z67="POR RECOGER"),'JULIO 2026'!F67,"")</f>
        <v/>
      </c>
      <c r="E693" s="192" t="str">
        <f aca="false">IF(AND('JULIO 2026'!D67&lt;&gt;"",'JULIO 2026'!Z67="POR RECOGER"),TEXT('JULIO 2026'!G67,"DD/MM/YYYY"),"")</f>
        <v/>
      </c>
      <c r="F693" s="192" t="str">
        <f aca="false">IF(AND('JULIO 2026'!D67&lt;&gt;"",'JULIO 2026'!Z67="POR RECOGER"),'JULIO 2026'!K67,"")</f>
        <v/>
      </c>
      <c r="G693" s="193" t="str">
        <f aca="false">IF(AND('JULIO 2026'!D67&lt;&gt;"",'JULIO 2026'!Z67="POR RECOGER"),'JULIO 2026'!M67,"")</f>
        <v/>
      </c>
      <c r="H693" s="193" t="str">
        <f aca="false">IF(AND('JULIO 2026'!D67&lt;&gt;"",'JULIO 2026'!Z67="POR RECOGER"),'JULIO 2026'!N67,"")</f>
        <v/>
      </c>
      <c r="I693" s="192" t="str">
        <f aca="false">IF(AND('JULIO 2026'!D67&lt;&gt;"",'JULIO 2026'!Z67="POR RECOGER"),'JULIO 2026'!P67,"")</f>
        <v/>
      </c>
      <c r="J693" s="192" t="str">
        <f aca="false">IF(AND('JULIO 2026'!D67&lt;&gt;"",'JULIO 2026'!Z67="POR RECOGER"),'JULIO 2026'!Q67,"")</f>
        <v/>
      </c>
      <c r="K693" s="192" t="str">
        <f aca="false">IF(AND('JULIO 2026'!D67&lt;&gt;"",'JULIO 2026'!Z67="POR RECOGER"),'JULIO 2026'!Y67,"")</f>
        <v/>
      </c>
      <c r="L693" s="192" t="str">
        <f aca="false">IF(AND('JULIO 2026'!D67&lt;&gt;"",'JULIO 2026'!Z67="POR RECOGER"),'JULIO 2026'!I67,"")</f>
        <v/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" hidden="false" customHeight="true" outlineLevel="0" collapsed="false">
      <c r="A694" s="192" t="str">
        <f aca="false">IF(AND('JULIO 2026'!D68&lt;&gt;"",'JULIO 2026'!Z68="POR RECOGER"),"JUL","")</f>
        <v/>
      </c>
      <c r="B694" s="192" t="str">
        <f aca="false">IF(AND('JULIO 2026'!D68&lt;&gt;"",'JULIO 2026'!Z68="POR RECOGER"),IF('JULIO 2026'!Y68&lt;&gt;"",'JULIO 2026'!Y68,'JULIO 2026'!I68),"")</f>
        <v/>
      </c>
      <c r="C694" s="192" t="str">
        <f aca="false">IF(AND('JULIO 2026'!D68&lt;&gt;"",'JULIO 2026'!Z68="POR RECOGER"),'JULIO 2026'!D68,"")</f>
        <v/>
      </c>
      <c r="D694" s="192" t="str">
        <f aca="false">IF(AND('JULIO 2026'!D68&lt;&gt;"",'JULIO 2026'!Z68="POR RECOGER"),'JULIO 2026'!F68,"")</f>
        <v/>
      </c>
      <c r="E694" s="192" t="str">
        <f aca="false">IF(AND('JULIO 2026'!D68&lt;&gt;"",'JULIO 2026'!Z68="POR RECOGER"),TEXT('JULIO 2026'!G68,"DD/MM/YYYY"),"")</f>
        <v/>
      </c>
      <c r="F694" s="192" t="str">
        <f aca="false">IF(AND('JULIO 2026'!D68&lt;&gt;"",'JULIO 2026'!Z68="POR RECOGER"),'JULIO 2026'!K68,"")</f>
        <v/>
      </c>
      <c r="G694" s="193" t="str">
        <f aca="false">IF(AND('JULIO 2026'!D68&lt;&gt;"",'JULIO 2026'!Z68="POR RECOGER"),'JULIO 2026'!M68,"")</f>
        <v/>
      </c>
      <c r="H694" s="193" t="str">
        <f aca="false">IF(AND('JULIO 2026'!D68&lt;&gt;"",'JULIO 2026'!Z68="POR RECOGER"),'JULIO 2026'!N68,"")</f>
        <v/>
      </c>
      <c r="I694" s="192" t="str">
        <f aca="false">IF(AND('JULIO 2026'!D68&lt;&gt;"",'JULIO 2026'!Z68="POR RECOGER"),'JULIO 2026'!P68,"")</f>
        <v/>
      </c>
      <c r="J694" s="192" t="str">
        <f aca="false">IF(AND('JULIO 2026'!D68&lt;&gt;"",'JULIO 2026'!Z68="POR RECOGER"),'JULIO 2026'!Q68,"")</f>
        <v/>
      </c>
      <c r="K694" s="192" t="str">
        <f aca="false">IF(AND('JULIO 2026'!D68&lt;&gt;"",'JULIO 2026'!Z68="POR RECOGER"),'JULIO 2026'!Y68,"")</f>
        <v/>
      </c>
      <c r="L694" s="192" t="str">
        <f aca="false">IF(AND('JULIO 2026'!D68&lt;&gt;"",'JULIO 2026'!Z68="POR RECOGER"),'JULIO 2026'!I68,"")</f>
        <v/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" hidden="false" customHeight="true" outlineLevel="0" collapsed="false">
      <c r="A695" s="192" t="str">
        <f aca="false">IF(AND('JULIO 2026'!D69&lt;&gt;"",'JULIO 2026'!Z69="POR RECOGER"),"JUL","")</f>
        <v/>
      </c>
      <c r="B695" s="192" t="str">
        <f aca="false">IF(AND('JULIO 2026'!D69&lt;&gt;"",'JULIO 2026'!Z69="POR RECOGER"),IF('JULIO 2026'!Y69&lt;&gt;"",'JULIO 2026'!Y69,'JULIO 2026'!I69),"")</f>
        <v/>
      </c>
      <c r="C695" s="192" t="str">
        <f aca="false">IF(AND('JULIO 2026'!D69&lt;&gt;"",'JULIO 2026'!Z69="POR RECOGER"),'JULIO 2026'!D69,"")</f>
        <v/>
      </c>
      <c r="D695" s="192" t="str">
        <f aca="false">IF(AND('JULIO 2026'!D69&lt;&gt;"",'JULIO 2026'!Z69="POR RECOGER"),'JULIO 2026'!F69,"")</f>
        <v/>
      </c>
      <c r="E695" s="192" t="str">
        <f aca="false">IF(AND('JULIO 2026'!D69&lt;&gt;"",'JULIO 2026'!Z69="POR RECOGER"),TEXT('JULIO 2026'!G69,"DD/MM/YYYY"),"")</f>
        <v/>
      </c>
      <c r="F695" s="192" t="str">
        <f aca="false">IF(AND('JULIO 2026'!D69&lt;&gt;"",'JULIO 2026'!Z69="POR RECOGER"),'JULIO 2026'!K69,"")</f>
        <v/>
      </c>
      <c r="G695" s="193" t="str">
        <f aca="false">IF(AND('JULIO 2026'!D69&lt;&gt;"",'JULIO 2026'!Z69="POR RECOGER"),'JULIO 2026'!M69,"")</f>
        <v/>
      </c>
      <c r="H695" s="193" t="str">
        <f aca="false">IF(AND('JULIO 2026'!D69&lt;&gt;"",'JULIO 2026'!Z69="POR RECOGER"),'JULIO 2026'!N69,"")</f>
        <v/>
      </c>
      <c r="I695" s="192" t="str">
        <f aca="false">IF(AND('JULIO 2026'!D69&lt;&gt;"",'JULIO 2026'!Z69="POR RECOGER"),'JULIO 2026'!P69,"")</f>
        <v/>
      </c>
      <c r="J695" s="192" t="str">
        <f aca="false">IF(AND('JULIO 2026'!D69&lt;&gt;"",'JULIO 2026'!Z69="POR RECOGER"),'JULIO 2026'!Q69,"")</f>
        <v/>
      </c>
      <c r="K695" s="192" t="str">
        <f aca="false">IF(AND('JULIO 2026'!D69&lt;&gt;"",'JULIO 2026'!Z69="POR RECOGER"),'JULIO 2026'!Y69,"")</f>
        <v/>
      </c>
      <c r="L695" s="192" t="str">
        <f aca="false">IF(AND('JULIO 2026'!D69&lt;&gt;"",'JULIO 2026'!Z69="POR RECOGER"),'JULIO 2026'!I69,"")</f>
        <v/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" hidden="false" customHeight="true" outlineLevel="0" collapsed="false">
      <c r="A696" s="192" t="str">
        <f aca="false">IF(AND('JULIO 2026'!D70&lt;&gt;"",'JULIO 2026'!Z70="POR RECOGER"),"JUL","")</f>
        <v/>
      </c>
      <c r="B696" s="192" t="str">
        <f aca="false">IF(AND('JULIO 2026'!D70&lt;&gt;"",'JULIO 2026'!Z70="POR RECOGER"),IF('JULIO 2026'!Y70&lt;&gt;"",'JULIO 2026'!Y70,'JULIO 2026'!I70),"")</f>
        <v/>
      </c>
      <c r="C696" s="192" t="str">
        <f aca="false">IF(AND('JULIO 2026'!D70&lt;&gt;"",'JULIO 2026'!Z70="POR RECOGER"),'JULIO 2026'!D70,"")</f>
        <v/>
      </c>
      <c r="D696" s="192" t="str">
        <f aca="false">IF(AND('JULIO 2026'!D70&lt;&gt;"",'JULIO 2026'!Z70="POR RECOGER"),'JULIO 2026'!F70,"")</f>
        <v/>
      </c>
      <c r="E696" s="192" t="str">
        <f aca="false">IF(AND('JULIO 2026'!D70&lt;&gt;"",'JULIO 2026'!Z70="POR RECOGER"),TEXT('JULIO 2026'!G70,"DD/MM/YYYY"),"")</f>
        <v/>
      </c>
      <c r="F696" s="192" t="str">
        <f aca="false">IF(AND('JULIO 2026'!D70&lt;&gt;"",'JULIO 2026'!Z70="POR RECOGER"),'JULIO 2026'!K70,"")</f>
        <v/>
      </c>
      <c r="G696" s="193" t="str">
        <f aca="false">IF(AND('JULIO 2026'!D70&lt;&gt;"",'JULIO 2026'!Z70="POR RECOGER"),'JULIO 2026'!M70,"")</f>
        <v/>
      </c>
      <c r="H696" s="193" t="str">
        <f aca="false">IF(AND('JULIO 2026'!D70&lt;&gt;"",'JULIO 2026'!Z70="POR RECOGER"),'JULIO 2026'!N70,"")</f>
        <v/>
      </c>
      <c r="I696" s="192" t="str">
        <f aca="false">IF(AND('JULIO 2026'!D70&lt;&gt;"",'JULIO 2026'!Z70="POR RECOGER"),'JULIO 2026'!P70,"")</f>
        <v/>
      </c>
      <c r="J696" s="192" t="str">
        <f aca="false">IF(AND('JULIO 2026'!D70&lt;&gt;"",'JULIO 2026'!Z70="POR RECOGER"),'JULIO 2026'!Q70,"")</f>
        <v/>
      </c>
      <c r="K696" s="192" t="str">
        <f aca="false">IF(AND('JULIO 2026'!D70&lt;&gt;"",'JULIO 2026'!Z70="POR RECOGER"),'JULIO 2026'!Y70,"")</f>
        <v/>
      </c>
      <c r="L696" s="192" t="str">
        <f aca="false">IF(AND('JULIO 2026'!D70&lt;&gt;"",'JULIO 2026'!Z70="POR RECOGER"),'JULIO 2026'!I70,"")</f>
        <v/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" hidden="false" customHeight="true" outlineLevel="0" collapsed="false">
      <c r="A697" s="192" t="str">
        <f aca="false">IF(AND('JULIO 2026'!D71&lt;&gt;"",'JULIO 2026'!Z71="POR RECOGER"),"JUL","")</f>
        <v/>
      </c>
      <c r="B697" s="192" t="str">
        <f aca="false">IF(AND('JULIO 2026'!D71&lt;&gt;"",'JULIO 2026'!Z71="POR RECOGER"),IF('JULIO 2026'!Y71&lt;&gt;"",'JULIO 2026'!Y71,'JULIO 2026'!I71),"")</f>
        <v/>
      </c>
      <c r="C697" s="192" t="str">
        <f aca="false">IF(AND('JULIO 2026'!D71&lt;&gt;"",'JULIO 2026'!Z71="POR RECOGER"),'JULIO 2026'!D71,"")</f>
        <v/>
      </c>
      <c r="D697" s="192" t="str">
        <f aca="false">IF(AND('JULIO 2026'!D71&lt;&gt;"",'JULIO 2026'!Z71="POR RECOGER"),'JULIO 2026'!F71,"")</f>
        <v/>
      </c>
      <c r="E697" s="192" t="str">
        <f aca="false">IF(AND('JULIO 2026'!D71&lt;&gt;"",'JULIO 2026'!Z71="POR RECOGER"),TEXT('JULIO 2026'!G71,"DD/MM/YYYY"),"")</f>
        <v/>
      </c>
      <c r="F697" s="192" t="str">
        <f aca="false">IF(AND('JULIO 2026'!D71&lt;&gt;"",'JULIO 2026'!Z71="POR RECOGER"),'JULIO 2026'!K71,"")</f>
        <v/>
      </c>
      <c r="G697" s="193" t="str">
        <f aca="false">IF(AND('JULIO 2026'!D71&lt;&gt;"",'JULIO 2026'!Z71="POR RECOGER"),'JULIO 2026'!M71,"")</f>
        <v/>
      </c>
      <c r="H697" s="193" t="str">
        <f aca="false">IF(AND('JULIO 2026'!D71&lt;&gt;"",'JULIO 2026'!Z71="POR RECOGER"),'JULIO 2026'!N71,"")</f>
        <v/>
      </c>
      <c r="I697" s="192" t="str">
        <f aca="false">IF(AND('JULIO 2026'!D71&lt;&gt;"",'JULIO 2026'!Z71="POR RECOGER"),'JULIO 2026'!P71,"")</f>
        <v/>
      </c>
      <c r="J697" s="192" t="str">
        <f aca="false">IF(AND('JULIO 2026'!D71&lt;&gt;"",'JULIO 2026'!Z71="POR RECOGER"),'JULIO 2026'!Q71,"")</f>
        <v/>
      </c>
      <c r="K697" s="192" t="str">
        <f aca="false">IF(AND('JULIO 2026'!D71&lt;&gt;"",'JULIO 2026'!Z71="POR RECOGER"),'JULIO 2026'!Y71,"")</f>
        <v/>
      </c>
      <c r="L697" s="192" t="str">
        <f aca="false">IF(AND('JULIO 2026'!D71&lt;&gt;"",'JULIO 2026'!Z71="POR RECOGER"),'JULIO 2026'!I71,"")</f>
        <v/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" hidden="false" customHeight="true" outlineLevel="0" collapsed="false">
      <c r="A698" s="192" t="str">
        <f aca="false">IF(AND('JULIO 2026'!D72&lt;&gt;"",'JULIO 2026'!Z72="POR RECOGER"),"JUL","")</f>
        <v/>
      </c>
      <c r="B698" s="192" t="str">
        <f aca="false">IF(AND('JULIO 2026'!D72&lt;&gt;"",'JULIO 2026'!Z72="POR RECOGER"),IF('JULIO 2026'!Y72&lt;&gt;"",'JULIO 2026'!Y72,'JULIO 2026'!I72),"")</f>
        <v/>
      </c>
      <c r="C698" s="192" t="str">
        <f aca="false">IF(AND('JULIO 2026'!D72&lt;&gt;"",'JULIO 2026'!Z72="POR RECOGER"),'JULIO 2026'!D72,"")</f>
        <v/>
      </c>
      <c r="D698" s="192" t="str">
        <f aca="false">IF(AND('JULIO 2026'!D72&lt;&gt;"",'JULIO 2026'!Z72="POR RECOGER"),'JULIO 2026'!F72,"")</f>
        <v/>
      </c>
      <c r="E698" s="192" t="str">
        <f aca="false">IF(AND('JULIO 2026'!D72&lt;&gt;"",'JULIO 2026'!Z72="POR RECOGER"),TEXT('JULIO 2026'!G72,"DD/MM/YYYY"),"")</f>
        <v/>
      </c>
      <c r="F698" s="192" t="str">
        <f aca="false">IF(AND('JULIO 2026'!D72&lt;&gt;"",'JULIO 2026'!Z72="POR RECOGER"),'JULIO 2026'!K72,"")</f>
        <v/>
      </c>
      <c r="G698" s="193" t="str">
        <f aca="false">IF(AND('JULIO 2026'!D72&lt;&gt;"",'JULIO 2026'!Z72="POR RECOGER"),'JULIO 2026'!M72,"")</f>
        <v/>
      </c>
      <c r="H698" s="193" t="str">
        <f aca="false">IF(AND('JULIO 2026'!D72&lt;&gt;"",'JULIO 2026'!Z72="POR RECOGER"),'JULIO 2026'!N72,"")</f>
        <v/>
      </c>
      <c r="I698" s="192" t="str">
        <f aca="false">IF(AND('JULIO 2026'!D72&lt;&gt;"",'JULIO 2026'!Z72="POR RECOGER"),'JULIO 2026'!P72,"")</f>
        <v/>
      </c>
      <c r="J698" s="192" t="str">
        <f aca="false">IF(AND('JULIO 2026'!D72&lt;&gt;"",'JULIO 2026'!Z72="POR RECOGER"),'JULIO 2026'!Q72,"")</f>
        <v/>
      </c>
      <c r="K698" s="192" t="str">
        <f aca="false">IF(AND('JULIO 2026'!D72&lt;&gt;"",'JULIO 2026'!Z72="POR RECOGER"),'JULIO 2026'!Y72,"")</f>
        <v/>
      </c>
      <c r="L698" s="192" t="str">
        <f aca="false">IF(AND('JULIO 2026'!D72&lt;&gt;"",'JULIO 2026'!Z72="POR RECOGER"),'JULIO 2026'!I72,"")</f>
        <v/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" hidden="false" customHeight="true" outlineLevel="0" collapsed="false">
      <c r="A699" s="192" t="str">
        <f aca="false">IF(AND('JULIO 2026'!D73&lt;&gt;"",'JULIO 2026'!Z73="POR RECOGER"),"JUL","")</f>
        <v/>
      </c>
      <c r="B699" s="192" t="str">
        <f aca="false">IF(AND('JULIO 2026'!D73&lt;&gt;"",'JULIO 2026'!Z73="POR RECOGER"),IF('JULIO 2026'!Y73&lt;&gt;"",'JULIO 2026'!Y73,'JULIO 2026'!I73),"")</f>
        <v/>
      </c>
      <c r="C699" s="192" t="str">
        <f aca="false">IF(AND('JULIO 2026'!D73&lt;&gt;"",'JULIO 2026'!Z73="POR RECOGER"),'JULIO 2026'!D73,"")</f>
        <v/>
      </c>
      <c r="D699" s="192" t="str">
        <f aca="false">IF(AND('JULIO 2026'!D73&lt;&gt;"",'JULIO 2026'!Z73="POR RECOGER"),'JULIO 2026'!F73,"")</f>
        <v/>
      </c>
      <c r="E699" s="192" t="str">
        <f aca="false">IF(AND('JULIO 2026'!D73&lt;&gt;"",'JULIO 2026'!Z73="POR RECOGER"),TEXT('JULIO 2026'!G73,"DD/MM/YYYY"),"")</f>
        <v/>
      </c>
      <c r="F699" s="192" t="str">
        <f aca="false">IF(AND('JULIO 2026'!D73&lt;&gt;"",'JULIO 2026'!Z73="POR RECOGER"),'JULIO 2026'!K73,"")</f>
        <v/>
      </c>
      <c r="G699" s="193" t="str">
        <f aca="false">IF(AND('JULIO 2026'!D73&lt;&gt;"",'JULIO 2026'!Z73="POR RECOGER"),'JULIO 2026'!M73,"")</f>
        <v/>
      </c>
      <c r="H699" s="193" t="str">
        <f aca="false">IF(AND('JULIO 2026'!D73&lt;&gt;"",'JULIO 2026'!Z73="POR RECOGER"),'JULIO 2026'!N73,"")</f>
        <v/>
      </c>
      <c r="I699" s="192" t="str">
        <f aca="false">IF(AND('JULIO 2026'!D73&lt;&gt;"",'JULIO 2026'!Z73="POR RECOGER"),'JULIO 2026'!P73,"")</f>
        <v/>
      </c>
      <c r="J699" s="192" t="str">
        <f aca="false">IF(AND('JULIO 2026'!D73&lt;&gt;"",'JULIO 2026'!Z73="POR RECOGER"),'JULIO 2026'!Q73,"")</f>
        <v/>
      </c>
      <c r="K699" s="192" t="str">
        <f aca="false">IF(AND('JULIO 2026'!D73&lt;&gt;"",'JULIO 2026'!Z73="POR RECOGER"),'JULIO 2026'!Y73,"")</f>
        <v/>
      </c>
      <c r="L699" s="192" t="str">
        <f aca="false">IF(AND('JULIO 2026'!D73&lt;&gt;"",'JULIO 2026'!Z73="POR RECOGER"),'JULIO 2026'!I73,"")</f>
        <v/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" hidden="false" customHeight="true" outlineLevel="0" collapsed="false">
      <c r="A700" s="192" t="str">
        <f aca="false">IF(AND('JULIO 2026'!D74&lt;&gt;"",'JULIO 2026'!Z74="POR RECOGER"),"JUL","")</f>
        <v/>
      </c>
      <c r="B700" s="192" t="str">
        <f aca="false">IF(AND('JULIO 2026'!D74&lt;&gt;"",'JULIO 2026'!Z74="POR RECOGER"),IF('JULIO 2026'!Y74&lt;&gt;"",'JULIO 2026'!Y74,'JULIO 2026'!I74),"")</f>
        <v/>
      </c>
      <c r="C700" s="192" t="str">
        <f aca="false">IF(AND('JULIO 2026'!D74&lt;&gt;"",'JULIO 2026'!Z74="POR RECOGER"),'JULIO 2026'!D74,"")</f>
        <v/>
      </c>
      <c r="D700" s="192" t="str">
        <f aca="false">IF(AND('JULIO 2026'!D74&lt;&gt;"",'JULIO 2026'!Z74="POR RECOGER"),'JULIO 2026'!F74,"")</f>
        <v/>
      </c>
      <c r="E700" s="192" t="str">
        <f aca="false">IF(AND('JULIO 2026'!D74&lt;&gt;"",'JULIO 2026'!Z74="POR RECOGER"),TEXT('JULIO 2026'!G74,"DD/MM/YYYY"),"")</f>
        <v/>
      </c>
      <c r="F700" s="192" t="str">
        <f aca="false">IF(AND('JULIO 2026'!D74&lt;&gt;"",'JULIO 2026'!Z74="POR RECOGER"),'JULIO 2026'!K74,"")</f>
        <v/>
      </c>
      <c r="G700" s="193" t="str">
        <f aca="false">IF(AND('JULIO 2026'!D74&lt;&gt;"",'JULIO 2026'!Z74="POR RECOGER"),'JULIO 2026'!M74,"")</f>
        <v/>
      </c>
      <c r="H700" s="193" t="str">
        <f aca="false">IF(AND('JULIO 2026'!D74&lt;&gt;"",'JULIO 2026'!Z74="POR RECOGER"),'JULIO 2026'!N74,"")</f>
        <v/>
      </c>
      <c r="I700" s="192" t="str">
        <f aca="false">IF(AND('JULIO 2026'!D74&lt;&gt;"",'JULIO 2026'!Z74="POR RECOGER"),'JULIO 2026'!P74,"")</f>
        <v/>
      </c>
      <c r="J700" s="192" t="str">
        <f aca="false">IF(AND('JULIO 2026'!D74&lt;&gt;"",'JULIO 2026'!Z74="POR RECOGER"),'JULIO 2026'!Q74,"")</f>
        <v/>
      </c>
      <c r="K700" s="192" t="str">
        <f aca="false">IF(AND('JULIO 2026'!D74&lt;&gt;"",'JULIO 2026'!Z74="POR RECOGER"),'JULIO 2026'!Y74,"")</f>
        <v/>
      </c>
      <c r="L700" s="192" t="str">
        <f aca="false">IF(AND('JULIO 2026'!D74&lt;&gt;"",'JULIO 2026'!Z74="POR RECOGER"),'JULIO 2026'!I74,"")</f>
        <v/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" hidden="false" customHeight="true" outlineLevel="0" collapsed="false">
      <c r="A701" s="192" t="str">
        <f aca="false">IF(AND('JULIO 2026'!D75&lt;&gt;"",'JULIO 2026'!Z75="POR RECOGER"),"JUL","")</f>
        <v/>
      </c>
      <c r="B701" s="192" t="str">
        <f aca="false">IF(AND('JULIO 2026'!D75&lt;&gt;"",'JULIO 2026'!Z75="POR RECOGER"),IF('JULIO 2026'!Y75&lt;&gt;"",'JULIO 2026'!Y75,'JULIO 2026'!I75),"")</f>
        <v/>
      </c>
      <c r="C701" s="192" t="str">
        <f aca="false">IF(AND('JULIO 2026'!D75&lt;&gt;"",'JULIO 2026'!Z75="POR RECOGER"),'JULIO 2026'!D75,"")</f>
        <v/>
      </c>
      <c r="D701" s="192" t="str">
        <f aca="false">IF(AND('JULIO 2026'!D75&lt;&gt;"",'JULIO 2026'!Z75="POR RECOGER"),'JULIO 2026'!F75,"")</f>
        <v/>
      </c>
      <c r="E701" s="192" t="str">
        <f aca="false">IF(AND('JULIO 2026'!D75&lt;&gt;"",'JULIO 2026'!Z75="POR RECOGER"),TEXT('JULIO 2026'!G75,"DD/MM/YYYY"),"")</f>
        <v/>
      </c>
      <c r="F701" s="192" t="str">
        <f aca="false">IF(AND('JULIO 2026'!D75&lt;&gt;"",'JULIO 2026'!Z75="POR RECOGER"),'JULIO 2026'!K75,"")</f>
        <v/>
      </c>
      <c r="G701" s="193" t="str">
        <f aca="false">IF(AND('JULIO 2026'!D75&lt;&gt;"",'JULIO 2026'!Z75="POR RECOGER"),'JULIO 2026'!M75,"")</f>
        <v/>
      </c>
      <c r="H701" s="193" t="str">
        <f aca="false">IF(AND('JULIO 2026'!D75&lt;&gt;"",'JULIO 2026'!Z75="POR RECOGER"),'JULIO 2026'!N75,"")</f>
        <v/>
      </c>
      <c r="I701" s="192" t="str">
        <f aca="false">IF(AND('JULIO 2026'!D75&lt;&gt;"",'JULIO 2026'!Z75="POR RECOGER"),'JULIO 2026'!P75,"")</f>
        <v/>
      </c>
      <c r="J701" s="192" t="str">
        <f aca="false">IF(AND('JULIO 2026'!D75&lt;&gt;"",'JULIO 2026'!Z75="POR RECOGER"),'JULIO 2026'!Q75,"")</f>
        <v/>
      </c>
      <c r="K701" s="192" t="str">
        <f aca="false">IF(AND('JULIO 2026'!D75&lt;&gt;"",'JULIO 2026'!Z75="POR RECOGER"),'JULIO 2026'!Y75,"")</f>
        <v/>
      </c>
      <c r="L701" s="192" t="str">
        <f aca="false">IF(AND('JULIO 2026'!D75&lt;&gt;"",'JULIO 2026'!Z75="POR RECOGER"),'JULIO 2026'!I75,"")</f>
        <v/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" hidden="false" customHeight="true" outlineLevel="0" collapsed="false">
      <c r="A702" s="192" t="str">
        <f aca="false">IF(AND('JULIO 2026'!D76&lt;&gt;"",'JULIO 2026'!Z76="POR RECOGER"),"JUL","")</f>
        <v/>
      </c>
      <c r="B702" s="192" t="str">
        <f aca="false">IF(AND('JULIO 2026'!D76&lt;&gt;"",'JULIO 2026'!Z76="POR RECOGER"),IF('JULIO 2026'!Y76&lt;&gt;"",'JULIO 2026'!Y76,'JULIO 2026'!I76),"")</f>
        <v/>
      </c>
      <c r="C702" s="192" t="str">
        <f aca="false">IF(AND('JULIO 2026'!D76&lt;&gt;"",'JULIO 2026'!Z76="POR RECOGER"),'JULIO 2026'!D76,"")</f>
        <v/>
      </c>
      <c r="D702" s="192" t="str">
        <f aca="false">IF(AND('JULIO 2026'!D76&lt;&gt;"",'JULIO 2026'!Z76="POR RECOGER"),'JULIO 2026'!F76,"")</f>
        <v/>
      </c>
      <c r="E702" s="192" t="str">
        <f aca="false">IF(AND('JULIO 2026'!D76&lt;&gt;"",'JULIO 2026'!Z76="POR RECOGER"),TEXT('JULIO 2026'!G76,"DD/MM/YYYY"),"")</f>
        <v/>
      </c>
      <c r="F702" s="192" t="str">
        <f aca="false">IF(AND('JULIO 2026'!D76&lt;&gt;"",'JULIO 2026'!Z76="POR RECOGER"),'JULIO 2026'!K76,"")</f>
        <v/>
      </c>
      <c r="G702" s="193" t="str">
        <f aca="false">IF(AND('JULIO 2026'!D76&lt;&gt;"",'JULIO 2026'!Z76="POR RECOGER"),'JULIO 2026'!M76,"")</f>
        <v/>
      </c>
      <c r="H702" s="193" t="str">
        <f aca="false">IF(AND('JULIO 2026'!D76&lt;&gt;"",'JULIO 2026'!Z76="POR RECOGER"),'JULIO 2026'!N76,"")</f>
        <v/>
      </c>
      <c r="I702" s="192" t="str">
        <f aca="false">IF(AND('JULIO 2026'!D76&lt;&gt;"",'JULIO 2026'!Z76="POR RECOGER"),'JULIO 2026'!P76,"")</f>
        <v/>
      </c>
      <c r="J702" s="192" t="str">
        <f aca="false">IF(AND('JULIO 2026'!D76&lt;&gt;"",'JULIO 2026'!Z76="POR RECOGER"),'JULIO 2026'!Q76,"")</f>
        <v/>
      </c>
      <c r="K702" s="192" t="str">
        <f aca="false">IF(AND('JULIO 2026'!D76&lt;&gt;"",'JULIO 2026'!Z76="POR RECOGER"),'JULIO 2026'!Y76,"")</f>
        <v/>
      </c>
      <c r="L702" s="192" t="str">
        <f aca="false">IF(AND('JULIO 2026'!D76&lt;&gt;"",'JULIO 2026'!Z76="POR RECOGER"),'JULIO 2026'!I76,"")</f>
        <v/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" hidden="false" customHeight="true" outlineLevel="0" collapsed="false">
      <c r="A703" s="192" t="str">
        <f aca="false">IF(AND('JULIO 2026'!D77&lt;&gt;"",'JULIO 2026'!Z77="POR RECOGER"),"JUL","")</f>
        <v/>
      </c>
      <c r="B703" s="192" t="str">
        <f aca="false">IF(AND('JULIO 2026'!D77&lt;&gt;"",'JULIO 2026'!Z77="POR RECOGER"),IF('JULIO 2026'!Y77&lt;&gt;"",'JULIO 2026'!Y77,'JULIO 2026'!I77),"")</f>
        <v/>
      </c>
      <c r="C703" s="192" t="str">
        <f aca="false">IF(AND('JULIO 2026'!D77&lt;&gt;"",'JULIO 2026'!Z77="POR RECOGER"),'JULIO 2026'!D77,"")</f>
        <v/>
      </c>
      <c r="D703" s="192" t="str">
        <f aca="false">IF(AND('JULIO 2026'!D77&lt;&gt;"",'JULIO 2026'!Z77="POR RECOGER"),'JULIO 2026'!F77,"")</f>
        <v/>
      </c>
      <c r="E703" s="192" t="str">
        <f aca="false">IF(AND('JULIO 2026'!D77&lt;&gt;"",'JULIO 2026'!Z77="POR RECOGER"),TEXT('JULIO 2026'!G77,"DD/MM/YYYY"),"")</f>
        <v/>
      </c>
      <c r="F703" s="192" t="str">
        <f aca="false">IF(AND('JULIO 2026'!D77&lt;&gt;"",'JULIO 2026'!Z77="POR RECOGER"),'JULIO 2026'!K77,"")</f>
        <v/>
      </c>
      <c r="G703" s="193" t="str">
        <f aca="false">IF(AND('JULIO 2026'!D77&lt;&gt;"",'JULIO 2026'!Z77="POR RECOGER"),'JULIO 2026'!M77,"")</f>
        <v/>
      </c>
      <c r="H703" s="193" t="str">
        <f aca="false">IF(AND('JULIO 2026'!D77&lt;&gt;"",'JULIO 2026'!Z77="POR RECOGER"),'JULIO 2026'!N77,"")</f>
        <v/>
      </c>
      <c r="I703" s="192" t="str">
        <f aca="false">IF(AND('JULIO 2026'!D77&lt;&gt;"",'JULIO 2026'!Z77="POR RECOGER"),'JULIO 2026'!P77,"")</f>
        <v/>
      </c>
      <c r="J703" s="192" t="str">
        <f aca="false">IF(AND('JULIO 2026'!D77&lt;&gt;"",'JULIO 2026'!Z77="POR RECOGER"),'JULIO 2026'!Q77,"")</f>
        <v/>
      </c>
      <c r="K703" s="192" t="str">
        <f aca="false">IF(AND('JULIO 2026'!D77&lt;&gt;"",'JULIO 2026'!Z77="POR RECOGER"),'JULIO 2026'!Y77,"")</f>
        <v/>
      </c>
      <c r="L703" s="192" t="str">
        <f aca="false">IF(AND('JULIO 2026'!D77&lt;&gt;"",'JULIO 2026'!Z77="POR RECOGER"),'JULIO 2026'!I77,"")</f>
        <v/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" hidden="false" customHeight="true" outlineLevel="0" collapsed="false">
      <c r="A704" s="192" t="str">
        <f aca="false">IF(AND('JULIO 2026'!D78&lt;&gt;"",'JULIO 2026'!Z78="POR RECOGER"),"JUL","")</f>
        <v/>
      </c>
      <c r="B704" s="192" t="str">
        <f aca="false">IF(AND('JULIO 2026'!D78&lt;&gt;"",'JULIO 2026'!Z78="POR RECOGER"),IF('JULIO 2026'!Y78&lt;&gt;"",'JULIO 2026'!Y78,'JULIO 2026'!I78),"")</f>
        <v/>
      </c>
      <c r="C704" s="192" t="str">
        <f aca="false">IF(AND('JULIO 2026'!D78&lt;&gt;"",'JULIO 2026'!Z78="POR RECOGER"),'JULIO 2026'!D78,"")</f>
        <v/>
      </c>
      <c r="D704" s="192" t="str">
        <f aca="false">IF(AND('JULIO 2026'!D78&lt;&gt;"",'JULIO 2026'!Z78="POR RECOGER"),'JULIO 2026'!F78,"")</f>
        <v/>
      </c>
      <c r="E704" s="192" t="str">
        <f aca="false">IF(AND('JULIO 2026'!D78&lt;&gt;"",'JULIO 2026'!Z78="POR RECOGER"),TEXT('JULIO 2026'!G78,"DD/MM/YYYY"),"")</f>
        <v/>
      </c>
      <c r="F704" s="192" t="str">
        <f aca="false">IF(AND('JULIO 2026'!D78&lt;&gt;"",'JULIO 2026'!Z78="POR RECOGER"),'JULIO 2026'!K78,"")</f>
        <v/>
      </c>
      <c r="G704" s="193" t="str">
        <f aca="false">IF(AND('JULIO 2026'!D78&lt;&gt;"",'JULIO 2026'!Z78="POR RECOGER"),'JULIO 2026'!M78,"")</f>
        <v/>
      </c>
      <c r="H704" s="193" t="str">
        <f aca="false">IF(AND('JULIO 2026'!D78&lt;&gt;"",'JULIO 2026'!Z78="POR RECOGER"),'JULIO 2026'!N78,"")</f>
        <v/>
      </c>
      <c r="I704" s="192" t="str">
        <f aca="false">IF(AND('JULIO 2026'!D78&lt;&gt;"",'JULIO 2026'!Z78="POR RECOGER"),'JULIO 2026'!P78,"")</f>
        <v/>
      </c>
      <c r="J704" s="192" t="str">
        <f aca="false">IF(AND('JULIO 2026'!D78&lt;&gt;"",'JULIO 2026'!Z78="POR RECOGER"),'JULIO 2026'!Q78,"")</f>
        <v/>
      </c>
      <c r="K704" s="192" t="str">
        <f aca="false">IF(AND('JULIO 2026'!D78&lt;&gt;"",'JULIO 2026'!Z78="POR RECOGER"),'JULIO 2026'!Y78,"")</f>
        <v/>
      </c>
      <c r="L704" s="192" t="str">
        <f aca="false">IF(AND('JULIO 2026'!D78&lt;&gt;"",'JULIO 2026'!Z78="POR RECOGER"),'JULIO 2026'!I78,"")</f>
        <v/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" hidden="false" customHeight="true" outlineLevel="0" collapsed="false">
      <c r="A705" s="192" t="str">
        <f aca="false">IF(AND('JULIO 2026'!D79&lt;&gt;"",'JULIO 2026'!Z79="POR RECOGER"),"JUL","")</f>
        <v/>
      </c>
      <c r="B705" s="192" t="str">
        <f aca="false">IF(AND('JULIO 2026'!D79&lt;&gt;"",'JULIO 2026'!Z79="POR RECOGER"),IF('JULIO 2026'!Y79&lt;&gt;"",'JULIO 2026'!Y79,'JULIO 2026'!I79),"")</f>
        <v/>
      </c>
      <c r="C705" s="192" t="str">
        <f aca="false">IF(AND('JULIO 2026'!D79&lt;&gt;"",'JULIO 2026'!Z79="POR RECOGER"),'JULIO 2026'!D79,"")</f>
        <v/>
      </c>
      <c r="D705" s="192" t="str">
        <f aca="false">IF(AND('JULIO 2026'!D79&lt;&gt;"",'JULIO 2026'!Z79="POR RECOGER"),'JULIO 2026'!F79,"")</f>
        <v/>
      </c>
      <c r="E705" s="192" t="str">
        <f aca="false">IF(AND('JULIO 2026'!D79&lt;&gt;"",'JULIO 2026'!Z79="POR RECOGER"),TEXT('JULIO 2026'!G79,"DD/MM/YYYY"),"")</f>
        <v/>
      </c>
      <c r="F705" s="192" t="str">
        <f aca="false">IF(AND('JULIO 2026'!D79&lt;&gt;"",'JULIO 2026'!Z79="POR RECOGER"),'JULIO 2026'!K79,"")</f>
        <v/>
      </c>
      <c r="G705" s="193" t="str">
        <f aca="false">IF(AND('JULIO 2026'!D79&lt;&gt;"",'JULIO 2026'!Z79="POR RECOGER"),'JULIO 2026'!M79,"")</f>
        <v/>
      </c>
      <c r="H705" s="193" t="str">
        <f aca="false">IF(AND('JULIO 2026'!D79&lt;&gt;"",'JULIO 2026'!Z79="POR RECOGER"),'JULIO 2026'!N79,"")</f>
        <v/>
      </c>
      <c r="I705" s="192" t="str">
        <f aca="false">IF(AND('JULIO 2026'!D79&lt;&gt;"",'JULIO 2026'!Z79="POR RECOGER"),'JULIO 2026'!P79,"")</f>
        <v/>
      </c>
      <c r="J705" s="192" t="str">
        <f aca="false">IF(AND('JULIO 2026'!D79&lt;&gt;"",'JULIO 2026'!Z79="POR RECOGER"),'JULIO 2026'!Q79,"")</f>
        <v/>
      </c>
      <c r="K705" s="192" t="str">
        <f aca="false">IF(AND('JULIO 2026'!D79&lt;&gt;"",'JULIO 2026'!Z79="POR RECOGER"),'JULIO 2026'!Y79,"")</f>
        <v/>
      </c>
      <c r="L705" s="192" t="str">
        <f aca="false">IF(AND('JULIO 2026'!D79&lt;&gt;"",'JULIO 2026'!Z79="POR RECOGER"),'JULIO 2026'!I79,"")</f>
        <v/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" hidden="false" customHeight="true" outlineLevel="0" collapsed="false">
      <c r="A706" s="192" t="str">
        <f aca="false">IF(AND('JULIO 2026'!D80&lt;&gt;"",'JULIO 2026'!Z80="POR RECOGER"),"JUL","")</f>
        <v/>
      </c>
      <c r="B706" s="192" t="str">
        <f aca="false">IF(AND('JULIO 2026'!D80&lt;&gt;"",'JULIO 2026'!Z80="POR RECOGER"),IF('JULIO 2026'!Y80&lt;&gt;"",'JULIO 2026'!Y80,'JULIO 2026'!I80),"")</f>
        <v/>
      </c>
      <c r="C706" s="192" t="str">
        <f aca="false">IF(AND('JULIO 2026'!D80&lt;&gt;"",'JULIO 2026'!Z80="POR RECOGER"),'JULIO 2026'!D80,"")</f>
        <v/>
      </c>
      <c r="D706" s="192" t="str">
        <f aca="false">IF(AND('JULIO 2026'!D80&lt;&gt;"",'JULIO 2026'!Z80="POR RECOGER"),'JULIO 2026'!F80,"")</f>
        <v/>
      </c>
      <c r="E706" s="192" t="str">
        <f aca="false">IF(AND('JULIO 2026'!D80&lt;&gt;"",'JULIO 2026'!Z80="POR RECOGER"),TEXT('JULIO 2026'!G80,"DD/MM/YYYY"),"")</f>
        <v/>
      </c>
      <c r="F706" s="192" t="str">
        <f aca="false">IF(AND('JULIO 2026'!D80&lt;&gt;"",'JULIO 2026'!Z80="POR RECOGER"),'JULIO 2026'!K80,"")</f>
        <v/>
      </c>
      <c r="G706" s="193" t="str">
        <f aca="false">IF(AND('JULIO 2026'!D80&lt;&gt;"",'JULIO 2026'!Z80="POR RECOGER"),'JULIO 2026'!M80,"")</f>
        <v/>
      </c>
      <c r="H706" s="193" t="str">
        <f aca="false">IF(AND('JULIO 2026'!D80&lt;&gt;"",'JULIO 2026'!Z80="POR RECOGER"),'JULIO 2026'!N80,"")</f>
        <v/>
      </c>
      <c r="I706" s="192" t="str">
        <f aca="false">IF(AND('JULIO 2026'!D80&lt;&gt;"",'JULIO 2026'!Z80="POR RECOGER"),'JULIO 2026'!P80,"")</f>
        <v/>
      </c>
      <c r="J706" s="192" t="str">
        <f aca="false">IF(AND('JULIO 2026'!D80&lt;&gt;"",'JULIO 2026'!Z80="POR RECOGER"),'JULIO 2026'!Q80,"")</f>
        <v/>
      </c>
      <c r="K706" s="192" t="str">
        <f aca="false">IF(AND('JULIO 2026'!D80&lt;&gt;"",'JULIO 2026'!Z80="POR RECOGER"),'JULIO 2026'!Y80,"")</f>
        <v/>
      </c>
      <c r="L706" s="192" t="str">
        <f aca="false">IF(AND('JULIO 2026'!D80&lt;&gt;"",'JULIO 2026'!Z80="POR RECOGER"),'JULIO 2026'!I80,"")</f>
        <v/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" hidden="false" customHeight="true" outlineLevel="0" collapsed="false">
      <c r="A707" s="192" t="str">
        <f aca="false">IF(AND('JULIO 2026'!D81&lt;&gt;"",'JULIO 2026'!Z81="POR RECOGER"),"JUL","")</f>
        <v/>
      </c>
      <c r="B707" s="192" t="str">
        <f aca="false">IF(AND('JULIO 2026'!D81&lt;&gt;"",'JULIO 2026'!Z81="POR RECOGER"),IF('JULIO 2026'!Y81&lt;&gt;"",'JULIO 2026'!Y81,'JULIO 2026'!I81),"")</f>
        <v/>
      </c>
      <c r="C707" s="192" t="str">
        <f aca="false">IF(AND('JULIO 2026'!D81&lt;&gt;"",'JULIO 2026'!Z81="POR RECOGER"),'JULIO 2026'!D81,"")</f>
        <v/>
      </c>
      <c r="D707" s="192" t="str">
        <f aca="false">IF(AND('JULIO 2026'!D81&lt;&gt;"",'JULIO 2026'!Z81="POR RECOGER"),'JULIO 2026'!F81,"")</f>
        <v/>
      </c>
      <c r="E707" s="192" t="str">
        <f aca="false">IF(AND('JULIO 2026'!D81&lt;&gt;"",'JULIO 2026'!Z81="POR RECOGER"),TEXT('JULIO 2026'!G81,"DD/MM/YYYY"),"")</f>
        <v/>
      </c>
      <c r="F707" s="192" t="str">
        <f aca="false">IF(AND('JULIO 2026'!D81&lt;&gt;"",'JULIO 2026'!Z81="POR RECOGER"),'JULIO 2026'!K81,"")</f>
        <v/>
      </c>
      <c r="G707" s="193" t="str">
        <f aca="false">IF(AND('JULIO 2026'!D81&lt;&gt;"",'JULIO 2026'!Z81="POR RECOGER"),'JULIO 2026'!M81,"")</f>
        <v/>
      </c>
      <c r="H707" s="193" t="str">
        <f aca="false">IF(AND('JULIO 2026'!D81&lt;&gt;"",'JULIO 2026'!Z81="POR RECOGER"),'JULIO 2026'!N81,"")</f>
        <v/>
      </c>
      <c r="I707" s="192" t="str">
        <f aca="false">IF(AND('JULIO 2026'!D81&lt;&gt;"",'JULIO 2026'!Z81="POR RECOGER"),'JULIO 2026'!P81,"")</f>
        <v/>
      </c>
      <c r="J707" s="192" t="str">
        <f aca="false">IF(AND('JULIO 2026'!D81&lt;&gt;"",'JULIO 2026'!Z81="POR RECOGER"),'JULIO 2026'!Q81,"")</f>
        <v/>
      </c>
      <c r="K707" s="192" t="str">
        <f aca="false">IF(AND('JULIO 2026'!D81&lt;&gt;"",'JULIO 2026'!Z81="POR RECOGER"),'JULIO 2026'!Y81,"")</f>
        <v/>
      </c>
      <c r="L707" s="192" t="str">
        <f aca="false">IF(AND('JULIO 2026'!D81&lt;&gt;"",'JULIO 2026'!Z81="POR RECOGER"),'JULIO 2026'!I81,"")</f>
        <v/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" hidden="false" customHeight="true" outlineLevel="0" collapsed="false">
      <c r="A708" s="192" t="str">
        <f aca="false">IF(AND('JULIO 2026'!D82&lt;&gt;"",'JULIO 2026'!Z82="POR RECOGER"),"JUL","")</f>
        <v/>
      </c>
      <c r="B708" s="192" t="str">
        <f aca="false">IF(AND('JULIO 2026'!D82&lt;&gt;"",'JULIO 2026'!Z82="POR RECOGER"),IF('JULIO 2026'!Y82&lt;&gt;"",'JULIO 2026'!Y82,'JULIO 2026'!I82),"")</f>
        <v/>
      </c>
      <c r="C708" s="192" t="str">
        <f aca="false">IF(AND('JULIO 2026'!D82&lt;&gt;"",'JULIO 2026'!Z82="POR RECOGER"),'JULIO 2026'!D82,"")</f>
        <v/>
      </c>
      <c r="D708" s="192" t="str">
        <f aca="false">IF(AND('JULIO 2026'!D82&lt;&gt;"",'JULIO 2026'!Z82="POR RECOGER"),'JULIO 2026'!F82,"")</f>
        <v/>
      </c>
      <c r="E708" s="192" t="str">
        <f aca="false">IF(AND('JULIO 2026'!D82&lt;&gt;"",'JULIO 2026'!Z82="POR RECOGER"),TEXT('JULIO 2026'!G82,"DD/MM/YYYY"),"")</f>
        <v/>
      </c>
      <c r="F708" s="192" t="str">
        <f aca="false">IF(AND('JULIO 2026'!D82&lt;&gt;"",'JULIO 2026'!Z82="POR RECOGER"),'JULIO 2026'!K82,"")</f>
        <v/>
      </c>
      <c r="G708" s="193" t="str">
        <f aca="false">IF(AND('JULIO 2026'!D82&lt;&gt;"",'JULIO 2026'!Z82="POR RECOGER"),'JULIO 2026'!M82,"")</f>
        <v/>
      </c>
      <c r="H708" s="193" t="str">
        <f aca="false">IF(AND('JULIO 2026'!D82&lt;&gt;"",'JULIO 2026'!Z82="POR RECOGER"),'JULIO 2026'!N82,"")</f>
        <v/>
      </c>
      <c r="I708" s="192" t="str">
        <f aca="false">IF(AND('JULIO 2026'!D82&lt;&gt;"",'JULIO 2026'!Z82="POR RECOGER"),'JULIO 2026'!P82,"")</f>
        <v/>
      </c>
      <c r="J708" s="192" t="str">
        <f aca="false">IF(AND('JULIO 2026'!D82&lt;&gt;"",'JULIO 2026'!Z82="POR RECOGER"),'JULIO 2026'!Q82,"")</f>
        <v/>
      </c>
      <c r="K708" s="192" t="str">
        <f aca="false">IF(AND('JULIO 2026'!D82&lt;&gt;"",'JULIO 2026'!Z82="POR RECOGER"),'JULIO 2026'!Y82,"")</f>
        <v/>
      </c>
      <c r="L708" s="192" t="str">
        <f aca="false">IF(AND('JULIO 2026'!D82&lt;&gt;"",'JULIO 2026'!Z82="POR RECOGER"),'JULIO 2026'!I82,"")</f>
        <v/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" hidden="false" customHeight="true" outlineLevel="0" collapsed="false">
      <c r="A709" s="192" t="str">
        <f aca="false">IF(AND('JULIO 2026'!D83&lt;&gt;"",'JULIO 2026'!Z83="POR RECOGER"),"JUL","")</f>
        <v/>
      </c>
      <c r="B709" s="192" t="str">
        <f aca="false">IF(AND('JULIO 2026'!D83&lt;&gt;"",'JULIO 2026'!Z83="POR RECOGER"),IF('JULIO 2026'!Y83&lt;&gt;"",'JULIO 2026'!Y83,'JULIO 2026'!I83),"")</f>
        <v/>
      </c>
      <c r="C709" s="192" t="str">
        <f aca="false">IF(AND('JULIO 2026'!D83&lt;&gt;"",'JULIO 2026'!Z83="POR RECOGER"),'JULIO 2026'!D83,"")</f>
        <v/>
      </c>
      <c r="D709" s="192" t="str">
        <f aca="false">IF(AND('JULIO 2026'!D83&lt;&gt;"",'JULIO 2026'!Z83="POR RECOGER"),'JULIO 2026'!F83,"")</f>
        <v/>
      </c>
      <c r="E709" s="192" t="str">
        <f aca="false">IF(AND('JULIO 2026'!D83&lt;&gt;"",'JULIO 2026'!Z83="POR RECOGER"),TEXT('JULIO 2026'!G83,"DD/MM/YYYY"),"")</f>
        <v/>
      </c>
      <c r="F709" s="192" t="str">
        <f aca="false">IF(AND('JULIO 2026'!D83&lt;&gt;"",'JULIO 2026'!Z83="POR RECOGER"),'JULIO 2026'!K83,"")</f>
        <v/>
      </c>
      <c r="G709" s="193" t="str">
        <f aca="false">IF(AND('JULIO 2026'!D83&lt;&gt;"",'JULIO 2026'!Z83="POR RECOGER"),'JULIO 2026'!M83,"")</f>
        <v/>
      </c>
      <c r="H709" s="193" t="str">
        <f aca="false">IF(AND('JULIO 2026'!D83&lt;&gt;"",'JULIO 2026'!Z83="POR RECOGER"),'JULIO 2026'!N83,"")</f>
        <v/>
      </c>
      <c r="I709" s="192" t="str">
        <f aca="false">IF(AND('JULIO 2026'!D83&lt;&gt;"",'JULIO 2026'!Z83="POR RECOGER"),'JULIO 2026'!P83,"")</f>
        <v/>
      </c>
      <c r="J709" s="192" t="str">
        <f aca="false">IF(AND('JULIO 2026'!D83&lt;&gt;"",'JULIO 2026'!Z83="POR RECOGER"),'JULIO 2026'!Q83,"")</f>
        <v/>
      </c>
      <c r="K709" s="192" t="str">
        <f aca="false">IF(AND('JULIO 2026'!D83&lt;&gt;"",'JULIO 2026'!Z83="POR RECOGER"),'JULIO 2026'!Y83,"")</f>
        <v/>
      </c>
      <c r="L709" s="192" t="str">
        <f aca="false">IF(AND('JULIO 2026'!D83&lt;&gt;"",'JULIO 2026'!Z83="POR RECOGER"),'JULIO 2026'!I83,"")</f>
        <v/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" hidden="false" customHeight="true" outlineLevel="0" collapsed="false">
      <c r="A710" s="192" t="str">
        <f aca="false">IF(AND('JULIO 2026'!D84&lt;&gt;"",'JULIO 2026'!Z84="POR RECOGER"),"JUL","")</f>
        <v/>
      </c>
      <c r="B710" s="192" t="str">
        <f aca="false">IF(AND('JULIO 2026'!D84&lt;&gt;"",'JULIO 2026'!Z84="POR RECOGER"),IF('JULIO 2026'!Y84&lt;&gt;"",'JULIO 2026'!Y84,'JULIO 2026'!I84),"")</f>
        <v/>
      </c>
      <c r="C710" s="192" t="str">
        <f aca="false">IF(AND('JULIO 2026'!D84&lt;&gt;"",'JULIO 2026'!Z84="POR RECOGER"),'JULIO 2026'!D84,"")</f>
        <v/>
      </c>
      <c r="D710" s="192" t="str">
        <f aca="false">IF(AND('JULIO 2026'!D84&lt;&gt;"",'JULIO 2026'!Z84="POR RECOGER"),'JULIO 2026'!F84,"")</f>
        <v/>
      </c>
      <c r="E710" s="192" t="str">
        <f aca="false">IF(AND('JULIO 2026'!D84&lt;&gt;"",'JULIO 2026'!Z84="POR RECOGER"),TEXT('JULIO 2026'!G84,"DD/MM/YYYY"),"")</f>
        <v/>
      </c>
      <c r="F710" s="192" t="str">
        <f aca="false">IF(AND('JULIO 2026'!D84&lt;&gt;"",'JULIO 2026'!Z84="POR RECOGER"),'JULIO 2026'!K84,"")</f>
        <v/>
      </c>
      <c r="G710" s="193" t="str">
        <f aca="false">IF(AND('JULIO 2026'!D84&lt;&gt;"",'JULIO 2026'!Z84="POR RECOGER"),'JULIO 2026'!M84,"")</f>
        <v/>
      </c>
      <c r="H710" s="193" t="str">
        <f aca="false">IF(AND('JULIO 2026'!D84&lt;&gt;"",'JULIO 2026'!Z84="POR RECOGER"),'JULIO 2026'!N84,"")</f>
        <v/>
      </c>
      <c r="I710" s="192" t="str">
        <f aca="false">IF(AND('JULIO 2026'!D84&lt;&gt;"",'JULIO 2026'!Z84="POR RECOGER"),'JULIO 2026'!P84,"")</f>
        <v/>
      </c>
      <c r="J710" s="192" t="str">
        <f aca="false">IF(AND('JULIO 2026'!D84&lt;&gt;"",'JULIO 2026'!Z84="POR RECOGER"),'JULIO 2026'!Q84,"")</f>
        <v/>
      </c>
      <c r="K710" s="192" t="str">
        <f aca="false">IF(AND('JULIO 2026'!D84&lt;&gt;"",'JULIO 2026'!Z84="POR RECOGER"),'JULIO 2026'!Y84,"")</f>
        <v/>
      </c>
      <c r="L710" s="192" t="str">
        <f aca="false">IF(AND('JULIO 2026'!D84&lt;&gt;"",'JULIO 2026'!Z84="POR RECOGER"),'JULIO 2026'!I84,"")</f>
        <v/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" hidden="false" customHeight="true" outlineLevel="0" collapsed="false">
      <c r="A711" s="192" t="str">
        <f aca="false">IF(AND('JULIO 2026'!D85&lt;&gt;"",'JULIO 2026'!Z85="POR RECOGER"),"JUL","")</f>
        <v/>
      </c>
      <c r="B711" s="192" t="str">
        <f aca="false">IF(AND('JULIO 2026'!D85&lt;&gt;"",'JULIO 2026'!Z85="POR RECOGER"),IF('JULIO 2026'!Y85&lt;&gt;"",'JULIO 2026'!Y85,'JULIO 2026'!I85),"")</f>
        <v/>
      </c>
      <c r="C711" s="192" t="str">
        <f aca="false">IF(AND('JULIO 2026'!D85&lt;&gt;"",'JULIO 2026'!Z85="POR RECOGER"),'JULIO 2026'!D85,"")</f>
        <v/>
      </c>
      <c r="D711" s="192" t="str">
        <f aca="false">IF(AND('JULIO 2026'!D85&lt;&gt;"",'JULIO 2026'!Z85="POR RECOGER"),'JULIO 2026'!F85,"")</f>
        <v/>
      </c>
      <c r="E711" s="192" t="str">
        <f aca="false">IF(AND('JULIO 2026'!D85&lt;&gt;"",'JULIO 2026'!Z85="POR RECOGER"),TEXT('JULIO 2026'!G85,"DD/MM/YYYY"),"")</f>
        <v/>
      </c>
      <c r="F711" s="192" t="str">
        <f aca="false">IF(AND('JULIO 2026'!D85&lt;&gt;"",'JULIO 2026'!Z85="POR RECOGER"),'JULIO 2026'!K85,"")</f>
        <v/>
      </c>
      <c r="G711" s="193" t="str">
        <f aca="false">IF(AND('JULIO 2026'!D85&lt;&gt;"",'JULIO 2026'!Z85="POR RECOGER"),'JULIO 2026'!M85,"")</f>
        <v/>
      </c>
      <c r="H711" s="193" t="str">
        <f aca="false">IF(AND('JULIO 2026'!D85&lt;&gt;"",'JULIO 2026'!Z85="POR RECOGER"),'JULIO 2026'!N85,"")</f>
        <v/>
      </c>
      <c r="I711" s="192" t="str">
        <f aca="false">IF(AND('JULIO 2026'!D85&lt;&gt;"",'JULIO 2026'!Z85="POR RECOGER"),'JULIO 2026'!P85,"")</f>
        <v/>
      </c>
      <c r="J711" s="192" t="str">
        <f aca="false">IF(AND('JULIO 2026'!D85&lt;&gt;"",'JULIO 2026'!Z85="POR RECOGER"),'JULIO 2026'!Q85,"")</f>
        <v/>
      </c>
      <c r="K711" s="192" t="str">
        <f aca="false">IF(AND('JULIO 2026'!D85&lt;&gt;"",'JULIO 2026'!Z85="POR RECOGER"),'JULIO 2026'!Y85,"")</f>
        <v/>
      </c>
      <c r="L711" s="192" t="str">
        <f aca="false">IF(AND('JULIO 2026'!D85&lt;&gt;"",'JULIO 2026'!Z85="POR RECOGER"),'JULIO 2026'!I85,"")</f>
        <v/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" hidden="false" customHeight="true" outlineLevel="0" collapsed="false">
      <c r="A712" s="192" t="str">
        <f aca="false">IF(AND('JULIO 2026'!D86&lt;&gt;"",'JULIO 2026'!Z86="POR RECOGER"),"JUL","")</f>
        <v/>
      </c>
      <c r="B712" s="192" t="str">
        <f aca="false">IF(AND('JULIO 2026'!D86&lt;&gt;"",'JULIO 2026'!Z86="POR RECOGER"),IF('JULIO 2026'!Y86&lt;&gt;"",'JULIO 2026'!Y86,'JULIO 2026'!I86),"")</f>
        <v/>
      </c>
      <c r="C712" s="192" t="str">
        <f aca="false">IF(AND('JULIO 2026'!D86&lt;&gt;"",'JULIO 2026'!Z86="POR RECOGER"),'JULIO 2026'!D86,"")</f>
        <v/>
      </c>
      <c r="D712" s="192" t="str">
        <f aca="false">IF(AND('JULIO 2026'!D86&lt;&gt;"",'JULIO 2026'!Z86="POR RECOGER"),'JULIO 2026'!F86,"")</f>
        <v/>
      </c>
      <c r="E712" s="192" t="str">
        <f aca="false">IF(AND('JULIO 2026'!D86&lt;&gt;"",'JULIO 2026'!Z86="POR RECOGER"),TEXT('JULIO 2026'!G86,"DD/MM/YYYY"),"")</f>
        <v/>
      </c>
      <c r="F712" s="192" t="str">
        <f aca="false">IF(AND('JULIO 2026'!D86&lt;&gt;"",'JULIO 2026'!Z86="POR RECOGER"),'JULIO 2026'!K86,"")</f>
        <v/>
      </c>
      <c r="G712" s="193" t="str">
        <f aca="false">IF(AND('JULIO 2026'!D86&lt;&gt;"",'JULIO 2026'!Z86="POR RECOGER"),'JULIO 2026'!M86,"")</f>
        <v/>
      </c>
      <c r="H712" s="193" t="str">
        <f aca="false">IF(AND('JULIO 2026'!D86&lt;&gt;"",'JULIO 2026'!Z86="POR RECOGER"),'JULIO 2026'!N86,"")</f>
        <v/>
      </c>
      <c r="I712" s="192" t="str">
        <f aca="false">IF(AND('JULIO 2026'!D86&lt;&gt;"",'JULIO 2026'!Z86="POR RECOGER"),'JULIO 2026'!P86,"")</f>
        <v/>
      </c>
      <c r="J712" s="192" t="str">
        <f aca="false">IF(AND('JULIO 2026'!D86&lt;&gt;"",'JULIO 2026'!Z86="POR RECOGER"),'JULIO 2026'!Q86,"")</f>
        <v/>
      </c>
      <c r="K712" s="192" t="str">
        <f aca="false">IF(AND('JULIO 2026'!D86&lt;&gt;"",'JULIO 2026'!Z86="POR RECOGER"),'JULIO 2026'!Y86,"")</f>
        <v/>
      </c>
      <c r="L712" s="192" t="str">
        <f aca="false">IF(AND('JULIO 2026'!D86&lt;&gt;"",'JULIO 2026'!Z86="POR RECOGER"),'JULIO 2026'!I86,"")</f>
        <v/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" hidden="false" customHeight="true" outlineLevel="0" collapsed="false">
      <c r="A713" s="192" t="str">
        <f aca="false">IF(AND('JULIO 2026'!D87&lt;&gt;"",'JULIO 2026'!Z87="POR RECOGER"),"JUL","")</f>
        <v/>
      </c>
      <c r="B713" s="192" t="str">
        <f aca="false">IF(AND('JULIO 2026'!D87&lt;&gt;"",'JULIO 2026'!Z87="POR RECOGER"),IF('JULIO 2026'!Y87&lt;&gt;"",'JULIO 2026'!Y87,'JULIO 2026'!I87),"")</f>
        <v/>
      </c>
      <c r="C713" s="192" t="str">
        <f aca="false">IF(AND('JULIO 2026'!D87&lt;&gt;"",'JULIO 2026'!Z87="POR RECOGER"),'JULIO 2026'!D87,"")</f>
        <v/>
      </c>
      <c r="D713" s="192" t="str">
        <f aca="false">IF(AND('JULIO 2026'!D87&lt;&gt;"",'JULIO 2026'!Z87="POR RECOGER"),'JULIO 2026'!F87,"")</f>
        <v/>
      </c>
      <c r="E713" s="192" t="str">
        <f aca="false">IF(AND('JULIO 2026'!D87&lt;&gt;"",'JULIO 2026'!Z87="POR RECOGER"),TEXT('JULIO 2026'!G87,"DD/MM/YYYY"),"")</f>
        <v/>
      </c>
      <c r="F713" s="192" t="str">
        <f aca="false">IF(AND('JULIO 2026'!D87&lt;&gt;"",'JULIO 2026'!Z87="POR RECOGER"),'JULIO 2026'!K87,"")</f>
        <v/>
      </c>
      <c r="G713" s="193" t="str">
        <f aca="false">IF(AND('JULIO 2026'!D87&lt;&gt;"",'JULIO 2026'!Z87="POR RECOGER"),'JULIO 2026'!M87,"")</f>
        <v/>
      </c>
      <c r="H713" s="193" t="str">
        <f aca="false">IF(AND('JULIO 2026'!D87&lt;&gt;"",'JULIO 2026'!Z87="POR RECOGER"),'JULIO 2026'!N87,"")</f>
        <v/>
      </c>
      <c r="I713" s="192" t="str">
        <f aca="false">IF(AND('JULIO 2026'!D87&lt;&gt;"",'JULIO 2026'!Z87="POR RECOGER"),'JULIO 2026'!P87,"")</f>
        <v/>
      </c>
      <c r="J713" s="192" t="str">
        <f aca="false">IF(AND('JULIO 2026'!D87&lt;&gt;"",'JULIO 2026'!Z87="POR RECOGER"),'JULIO 2026'!Q87,"")</f>
        <v/>
      </c>
      <c r="K713" s="192" t="str">
        <f aca="false">IF(AND('JULIO 2026'!D87&lt;&gt;"",'JULIO 2026'!Z87="POR RECOGER"),'JULIO 2026'!Y87,"")</f>
        <v/>
      </c>
      <c r="L713" s="192" t="str">
        <f aca="false">IF(AND('JULIO 2026'!D87&lt;&gt;"",'JULIO 2026'!Z87="POR RECOGER"),'JULIO 2026'!I87,"")</f>
        <v/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" hidden="false" customHeight="true" outlineLevel="0" collapsed="false">
      <c r="A714" s="192" t="str">
        <f aca="false">IF(AND('JULIO 2026'!D88&lt;&gt;"",'JULIO 2026'!Z88="POR RECOGER"),"JUL","")</f>
        <v/>
      </c>
      <c r="B714" s="192" t="str">
        <f aca="false">IF(AND('JULIO 2026'!D88&lt;&gt;"",'JULIO 2026'!Z88="POR RECOGER"),IF('JULIO 2026'!Y88&lt;&gt;"",'JULIO 2026'!Y88,'JULIO 2026'!I88),"")</f>
        <v/>
      </c>
      <c r="C714" s="192" t="str">
        <f aca="false">IF(AND('JULIO 2026'!D88&lt;&gt;"",'JULIO 2026'!Z88="POR RECOGER"),'JULIO 2026'!D88,"")</f>
        <v/>
      </c>
      <c r="D714" s="192" t="str">
        <f aca="false">IF(AND('JULIO 2026'!D88&lt;&gt;"",'JULIO 2026'!Z88="POR RECOGER"),'JULIO 2026'!F88,"")</f>
        <v/>
      </c>
      <c r="E714" s="192" t="str">
        <f aca="false">IF(AND('JULIO 2026'!D88&lt;&gt;"",'JULIO 2026'!Z88="POR RECOGER"),TEXT('JULIO 2026'!G88,"DD/MM/YYYY"),"")</f>
        <v/>
      </c>
      <c r="F714" s="192" t="str">
        <f aca="false">IF(AND('JULIO 2026'!D88&lt;&gt;"",'JULIO 2026'!Z88="POR RECOGER"),'JULIO 2026'!K88,"")</f>
        <v/>
      </c>
      <c r="G714" s="193" t="str">
        <f aca="false">IF(AND('JULIO 2026'!D88&lt;&gt;"",'JULIO 2026'!Z88="POR RECOGER"),'JULIO 2026'!M88,"")</f>
        <v/>
      </c>
      <c r="H714" s="193" t="str">
        <f aca="false">IF(AND('JULIO 2026'!D88&lt;&gt;"",'JULIO 2026'!Z88="POR RECOGER"),'JULIO 2026'!N88,"")</f>
        <v/>
      </c>
      <c r="I714" s="192" t="str">
        <f aca="false">IF(AND('JULIO 2026'!D88&lt;&gt;"",'JULIO 2026'!Z88="POR RECOGER"),'JULIO 2026'!P88,"")</f>
        <v/>
      </c>
      <c r="J714" s="192" t="str">
        <f aca="false">IF(AND('JULIO 2026'!D88&lt;&gt;"",'JULIO 2026'!Z88="POR RECOGER"),'JULIO 2026'!Q88,"")</f>
        <v/>
      </c>
      <c r="K714" s="192" t="str">
        <f aca="false">IF(AND('JULIO 2026'!D88&lt;&gt;"",'JULIO 2026'!Z88="POR RECOGER"),'JULIO 2026'!Y88,"")</f>
        <v/>
      </c>
      <c r="L714" s="192" t="str">
        <f aca="false">IF(AND('JULIO 2026'!D88&lt;&gt;"",'JULIO 2026'!Z88="POR RECOGER"),'JULIO 2026'!I88,"")</f>
        <v/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" hidden="false" customHeight="true" outlineLevel="0" collapsed="false">
      <c r="A715" s="192" t="str">
        <f aca="false">IF(AND('JULIO 2026'!D89&lt;&gt;"",'JULIO 2026'!Z89="POR RECOGER"),"JUL","")</f>
        <v/>
      </c>
      <c r="B715" s="192" t="str">
        <f aca="false">IF(AND('JULIO 2026'!D89&lt;&gt;"",'JULIO 2026'!Z89="POR RECOGER"),IF('JULIO 2026'!Y89&lt;&gt;"",'JULIO 2026'!Y89,'JULIO 2026'!I89),"")</f>
        <v/>
      </c>
      <c r="C715" s="192" t="str">
        <f aca="false">IF(AND('JULIO 2026'!D89&lt;&gt;"",'JULIO 2026'!Z89="POR RECOGER"),'JULIO 2026'!D89,"")</f>
        <v/>
      </c>
      <c r="D715" s="192" t="str">
        <f aca="false">IF(AND('JULIO 2026'!D89&lt;&gt;"",'JULIO 2026'!Z89="POR RECOGER"),'JULIO 2026'!F89,"")</f>
        <v/>
      </c>
      <c r="E715" s="192" t="str">
        <f aca="false">IF(AND('JULIO 2026'!D89&lt;&gt;"",'JULIO 2026'!Z89="POR RECOGER"),TEXT('JULIO 2026'!G89,"DD/MM/YYYY"),"")</f>
        <v/>
      </c>
      <c r="F715" s="192" t="str">
        <f aca="false">IF(AND('JULIO 2026'!D89&lt;&gt;"",'JULIO 2026'!Z89="POR RECOGER"),'JULIO 2026'!K89,"")</f>
        <v/>
      </c>
      <c r="G715" s="193" t="str">
        <f aca="false">IF(AND('JULIO 2026'!D89&lt;&gt;"",'JULIO 2026'!Z89="POR RECOGER"),'JULIO 2026'!M89,"")</f>
        <v/>
      </c>
      <c r="H715" s="193" t="str">
        <f aca="false">IF(AND('JULIO 2026'!D89&lt;&gt;"",'JULIO 2026'!Z89="POR RECOGER"),'JULIO 2026'!N89,"")</f>
        <v/>
      </c>
      <c r="I715" s="192" t="str">
        <f aca="false">IF(AND('JULIO 2026'!D89&lt;&gt;"",'JULIO 2026'!Z89="POR RECOGER"),'JULIO 2026'!P89,"")</f>
        <v/>
      </c>
      <c r="J715" s="192" t="str">
        <f aca="false">IF(AND('JULIO 2026'!D89&lt;&gt;"",'JULIO 2026'!Z89="POR RECOGER"),'JULIO 2026'!Q89,"")</f>
        <v/>
      </c>
      <c r="K715" s="192" t="str">
        <f aca="false">IF(AND('JULIO 2026'!D89&lt;&gt;"",'JULIO 2026'!Z89="POR RECOGER"),'JULIO 2026'!Y89,"")</f>
        <v/>
      </c>
      <c r="L715" s="192" t="str">
        <f aca="false">IF(AND('JULIO 2026'!D89&lt;&gt;"",'JULIO 2026'!Z89="POR RECOGER"),'JULIO 2026'!I89,"")</f>
        <v/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" hidden="false" customHeight="true" outlineLevel="0" collapsed="false">
      <c r="A716" s="192" t="str">
        <f aca="false">IF(AND('JULIO 2026'!D90&lt;&gt;"",'JULIO 2026'!Z90="POR RECOGER"),"JUL","")</f>
        <v/>
      </c>
      <c r="B716" s="192" t="str">
        <f aca="false">IF(AND('JULIO 2026'!D90&lt;&gt;"",'JULIO 2026'!Z90="POR RECOGER"),IF('JULIO 2026'!Y90&lt;&gt;"",'JULIO 2026'!Y90,'JULIO 2026'!I90),"")</f>
        <v/>
      </c>
      <c r="C716" s="192" t="str">
        <f aca="false">IF(AND('JULIO 2026'!D90&lt;&gt;"",'JULIO 2026'!Z90="POR RECOGER"),'JULIO 2026'!D90,"")</f>
        <v/>
      </c>
      <c r="D716" s="192" t="str">
        <f aca="false">IF(AND('JULIO 2026'!D90&lt;&gt;"",'JULIO 2026'!Z90="POR RECOGER"),'JULIO 2026'!F90,"")</f>
        <v/>
      </c>
      <c r="E716" s="192" t="str">
        <f aca="false">IF(AND('JULIO 2026'!D90&lt;&gt;"",'JULIO 2026'!Z90="POR RECOGER"),TEXT('JULIO 2026'!G90,"DD/MM/YYYY"),"")</f>
        <v/>
      </c>
      <c r="F716" s="192" t="str">
        <f aca="false">IF(AND('JULIO 2026'!D90&lt;&gt;"",'JULIO 2026'!Z90="POR RECOGER"),'JULIO 2026'!K90,"")</f>
        <v/>
      </c>
      <c r="G716" s="193" t="str">
        <f aca="false">IF(AND('JULIO 2026'!D90&lt;&gt;"",'JULIO 2026'!Z90="POR RECOGER"),'JULIO 2026'!M90,"")</f>
        <v/>
      </c>
      <c r="H716" s="193" t="str">
        <f aca="false">IF(AND('JULIO 2026'!D90&lt;&gt;"",'JULIO 2026'!Z90="POR RECOGER"),'JULIO 2026'!N90,"")</f>
        <v/>
      </c>
      <c r="I716" s="192" t="str">
        <f aca="false">IF(AND('JULIO 2026'!D90&lt;&gt;"",'JULIO 2026'!Z90="POR RECOGER"),'JULIO 2026'!P90,"")</f>
        <v/>
      </c>
      <c r="J716" s="192" t="str">
        <f aca="false">IF(AND('JULIO 2026'!D90&lt;&gt;"",'JULIO 2026'!Z90="POR RECOGER"),'JULIO 2026'!Q90,"")</f>
        <v/>
      </c>
      <c r="K716" s="192" t="str">
        <f aca="false">IF(AND('JULIO 2026'!D90&lt;&gt;"",'JULIO 2026'!Z90="POR RECOGER"),'JULIO 2026'!Y90,"")</f>
        <v/>
      </c>
      <c r="L716" s="192" t="str">
        <f aca="false">IF(AND('JULIO 2026'!D90&lt;&gt;"",'JULIO 2026'!Z90="POR RECOGER"),'JULIO 2026'!I90,"")</f>
        <v/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" hidden="false" customHeight="true" outlineLevel="0" collapsed="false">
      <c r="A717" s="192" t="str">
        <f aca="false">IF(AND('JULIO 2026'!D91&lt;&gt;"",'JULIO 2026'!Z91="POR RECOGER"),"JUL","")</f>
        <v/>
      </c>
      <c r="B717" s="192" t="str">
        <f aca="false">IF(AND('JULIO 2026'!D91&lt;&gt;"",'JULIO 2026'!Z91="POR RECOGER"),IF('JULIO 2026'!Y91&lt;&gt;"",'JULIO 2026'!Y91,'JULIO 2026'!I91),"")</f>
        <v/>
      </c>
      <c r="C717" s="192" t="str">
        <f aca="false">IF(AND('JULIO 2026'!D91&lt;&gt;"",'JULIO 2026'!Z91="POR RECOGER"),'JULIO 2026'!D91,"")</f>
        <v/>
      </c>
      <c r="D717" s="192" t="str">
        <f aca="false">IF(AND('JULIO 2026'!D91&lt;&gt;"",'JULIO 2026'!Z91="POR RECOGER"),'JULIO 2026'!F91,"")</f>
        <v/>
      </c>
      <c r="E717" s="192" t="str">
        <f aca="false">IF(AND('JULIO 2026'!D91&lt;&gt;"",'JULIO 2026'!Z91="POR RECOGER"),TEXT('JULIO 2026'!G91,"DD/MM/YYYY"),"")</f>
        <v/>
      </c>
      <c r="F717" s="192" t="str">
        <f aca="false">IF(AND('JULIO 2026'!D91&lt;&gt;"",'JULIO 2026'!Z91="POR RECOGER"),'JULIO 2026'!K91,"")</f>
        <v/>
      </c>
      <c r="G717" s="193" t="str">
        <f aca="false">IF(AND('JULIO 2026'!D91&lt;&gt;"",'JULIO 2026'!Z91="POR RECOGER"),'JULIO 2026'!M91,"")</f>
        <v/>
      </c>
      <c r="H717" s="193" t="str">
        <f aca="false">IF(AND('JULIO 2026'!D91&lt;&gt;"",'JULIO 2026'!Z91="POR RECOGER"),'JULIO 2026'!N91,"")</f>
        <v/>
      </c>
      <c r="I717" s="192" t="str">
        <f aca="false">IF(AND('JULIO 2026'!D91&lt;&gt;"",'JULIO 2026'!Z91="POR RECOGER"),'JULIO 2026'!P91,"")</f>
        <v/>
      </c>
      <c r="J717" s="192" t="str">
        <f aca="false">IF(AND('JULIO 2026'!D91&lt;&gt;"",'JULIO 2026'!Z91="POR RECOGER"),'JULIO 2026'!Q91,"")</f>
        <v/>
      </c>
      <c r="K717" s="192" t="str">
        <f aca="false">IF(AND('JULIO 2026'!D91&lt;&gt;"",'JULIO 2026'!Z91="POR RECOGER"),'JULIO 2026'!Y91,"")</f>
        <v/>
      </c>
      <c r="L717" s="192" t="str">
        <f aca="false">IF(AND('JULIO 2026'!D91&lt;&gt;"",'JULIO 2026'!Z91="POR RECOGER"),'JULIO 2026'!I91,"")</f>
        <v/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" hidden="false" customHeight="true" outlineLevel="0" collapsed="false">
      <c r="A718" s="192" t="str">
        <f aca="false">IF(AND('JULIO 2026'!D92&lt;&gt;"",'JULIO 2026'!Z92="POR RECOGER"),"JUL","")</f>
        <v/>
      </c>
      <c r="B718" s="192" t="str">
        <f aca="false">IF(AND('JULIO 2026'!D92&lt;&gt;"",'JULIO 2026'!Z92="POR RECOGER"),IF('JULIO 2026'!Y92&lt;&gt;"",'JULIO 2026'!Y92,'JULIO 2026'!I92),"")</f>
        <v/>
      </c>
      <c r="C718" s="192" t="str">
        <f aca="false">IF(AND('JULIO 2026'!D92&lt;&gt;"",'JULIO 2026'!Z92="POR RECOGER"),'JULIO 2026'!D92,"")</f>
        <v/>
      </c>
      <c r="D718" s="192" t="str">
        <f aca="false">IF(AND('JULIO 2026'!D92&lt;&gt;"",'JULIO 2026'!Z92="POR RECOGER"),'JULIO 2026'!F92,"")</f>
        <v/>
      </c>
      <c r="E718" s="192" t="str">
        <f aca="false">IF(AND('JULIO 2026'!D92&lt;&gt;"",'JULIO 2026'!Z92="POR RECOGER"),TEXT('JULIO 2026'!G92,"DD/MM/YYYY"),"")</f>
        <v/>
      </c>
      <c r="F718" s="192" t="str">
        <f aca="false">IF(AND('JULIO 2026'!D92&lt;&gt;"",'JULIO 2026'!Z92="POR RECOGER"),'JULIO 2026'!K92,"")</f>
        <v/>
      </c>
      <c r="G718" s="193" t="str">
        <f aca="false">IF(AND('JULIO 2026'!D92&lt;&gt;"",'JULIO 2026'!Z92="POR RECOGER"),'JULIO 2026'!M92,"")</f>
        <v/>
      </c>
      <c r="H718" s="193" t="str">
        <f aca="false">IF(AND('JULIO 2026'!D92&lt;&gt;"",'JULIO 2026'!Z92="POR RECOGER"),'JULIO 2026'!N92,"")</f>
        <v/>
      </c>
      <c r="I718" s="192" t="str">
        <f aca="false">IF(AND('JULIO 2026'!D92&lt;&gt;"",'JULIO 2026'!Z92="POR RECOGER"),'JULIO 2026'!P92,"")</f>
        <v/>
      </c>
      <c r="J718" s="192" t="str">
        <f aca="false">IF(AND('JULIO 2026'!D92&lt;&gt;"",'JULIO 2026'!Z92="POR RECOGER"),'JULIO 2026'!Q92,"")</f>
        <v/>
      </c>
      <c r="K718" s="192" t="str">
        <f aca="false">IF(AND('JULIO 2026'!D92&lt;&gt;"",'JULIO 2026'!Z92="POR RECOGER"),'JULIO 2026'!Y92,"")</f>
        <v/>
      </c>
      <c r="L718" s="192" t="str">
        <f aca="false">IF(AND('JULIO 2026'!D92&lt;&gt;"",'JULIO 2026'!Z92="POR RECOGER"),'JULIO 2026'!I92,"")</f>
        <v/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" hidden="false" customHeight="true" outlineLevel="0" collapsed="false">
      <c r="A719" s="192" t="str">
        <f aca="false">IF(AND('JULIO 2026'!D93&lt;&gt;"",'JULIO 2026'!Z93="POR RECOGER"),"JUL","")</f>
        <v/>
      </c>
      <c r="B719" s="192" t="str">
        <f aca="false">IF(AND('JULIO 2026'!D93&lt;&gt;"",'JULIO 2026'!Z93="POR RECOGER"),IF('JULIO 2026'!Y93&lt;&gt;"",'JULIO 2026'!Y93,'JULIO 2026'!I93),"")</f>
        <v/>
      </c>
      <c r="C719" s="192" t="str">
        <f aca="false">IF(AND('JULIO 2026'!D93&lt;&gt;"",'JULIO 2026'!Z93="POR RECOGER"),'JULIO 2026'!D93,"")</f>
        <v/>
      </c>
      <c r="D719" s="192" t="str">
        <f aca="false">IF(AND('JULIO 2026'!D93&lt;&gt;"",'JULIO 2026'!Z93="POR RECOGER"),'JULIO 2026'!F93,"")</f>
        <v/>
      </c>
      <c r="E719" s="192" t="str">
        <f aca="false">IF(AND('JULIO 2026'!D93&lt;&gt;"",'JULIO 2026'!Z93="POR RECOGER"),TEXT('JULIO 2026'!G93,"DD/MM/YYYY"),"")</f>
        <v/>
      </c>
      <c r="F719" s="192" t="str">
        <f aca="false">IF(AND('JULIO 2026'!D93&lt;&gt;"",'JULIO 2026'!Z93="POR RECOGER"),'JULIO 2026'!K93,"")</f>
        <v/>
      </c>
      <c r="G719" s="193" t="str">
        <f aca="false">IF(AND('JULIO 2026'!D93&lt;&gt;"",'JULIO 2026'!Z93="POR RECOGER"),'JULIO 2026'!M93,"")</f>
        <v/>
      </c>
      <c r="H719" s="193" t="str">
        <f aca="false">IF(AND('JULIO 2026'!D93&lt;&gt;"",'JULIO 2026'!Z93="POR RECOGER"),'JULIO 2026'!N93,"")</f>
        <v/>
      </c>
      <c r="I719" s="192" t="str">
        <f aca="false">IF(AND('JULIO 2026'!D93&lt;&gt;"",'JULIO 2026'!Z93="POR RECOGER"),'JULIO 2026'!P93,"")</f>
        <v/>
      </c>
      <c r="J719" s="192" t="str">
        <f aca="false">IF(AND('JULIO 2026'!D93&lt;&gt;"",'JULIO 2026'!Z93="POR RECOGER"),'JULIO 2026'!Q93,"")</f>
        <v/>
      </c>
      <c r="K719" s="192" t="str">
        <f aca="false">IF(AND('JULIO 2026'!D93&lt;&gt;"",'JULIO 2026'!Z93="POR RECOGER"),'JULIO 2026'!Y93,"")</f>
        <v/>
      </c>
      <c r="L719" s="192" t="str">
        <f aca="false">IF(AND('JULIO 2026'!D93&lt;&gt;"",'JULIO 2026'!Z93="POR RECOGER"),'JULIO 2026'!I93,"")</f>
        <v/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" hidden="false" customHeight="true" outlineLevel="0" collapsed="false">
      <c r="A720" s="192" t="str">
        <f aca="false">IF(AND('JULIO 2026'!D94&lt;&gt;"",'JULIO 2026'!Z94="POR RECOGER"),"JUL","")</f>
        <v/>
      </c>
      <c r="B720" s="192" t="str">
        <f aca="false">IF(AND('JULIO 2026'!D94&lt;&gt;"",'JULIO 2026'!Z94="POR RECOGER"),IF('JULIO 2026'!Y94&lt;&gt;"",'JULIO 2026'!Y94,'JULIO 2026'!I94),"")</f>
        <v/>
      </c>
      <c r="C720" s="192" t="str">
        <f aca="false">IF(AND('JULIO 2026'!D94&lt;&gt;"",'JULIO 2026'!Z94="POR RECOGER"),'JULIO 2026'!D94,"")</f>
        <v/>
      </c>
      <c r="D720" s="192" t="str">
        <f aca="false">IF(AND('JULIO 2026'!D94&lt;&gt;"",'JULIO 2026'!Z94="POR RECOGER"),'JULIO 2026'!F94,"")</f>
        <v/>
      </c>
      <c r="E720" s="192" t="str">
        <f aca="false">IF(AND('JULIO 2026'!D94&lt;&gt;"",'JULIO 2026'!Z94="POR RECOGER"),TEXT('JULIO 2026'!G94,"DD/MM/YYYY"),"")</f>
        <v/>
      </c>
      <c r="F720" s="192" t="str">
        <f aca="false">IF(AND('JULIO 2026'!D94&lt;&gt;"",'JULIO 2026'!Z94="POR RECOGER"),'JULIO 2026'!K94,"")</f>
        <v/>
      </c>
      <c r="G720" s="193" t="str">
        <f aca="false">IF(AND('JULIO 2026'!D94&lt;&gt;"",'JULIO 2026'!Z94="POR RECOGER"),'JULIO 2026'!M94,"")</f>
        <v/>
      </c>
      <c r="H720" s="193" t="str">
        <f aca="false">IF(AND('JULIO 2026'!D94&lt;&gt;"",'JULIO 2026'!Z94="POR RECOGER"),'JULIO 2026'!N94,"")</f>
        <v/>
      </c>
      <c r="I720" s="192" t="str">
        <f aca="false">IF(AND('JULIO 2026'!D94&lt;&gt;"",'JULIO 2026'!Z94="POR RECOGER"),'JULIO 2026'!P94,"")</f>
        <v/>
      </c>
      <c r="J720" s="192" t="str">
        <f aca="false">IF(AND('JULIO 2026'!D94&lt;&gt;"",'JULIO 2026'!Z94="POR RECOGER"),'JULIO 2026'!Q94,"")</f>
        <v/>
      </c>
      <c r="K720" s="192" t="str">
        <f aca="false">IF(AND('JULIO 2026'!D94&lt;&gt;"",'JULIO 2026'!Z94="POR RECOGER"),'JULIO 2026'!Y94,"")</f>
        <v/>
      </c>
      <c r="L720" s="192" t="str">
        <f aca="false">IF(AND('JULIO 2026'!D94&lt;&gt;"",'JULIO 2026'!Z94="POR RECOGER"),'JULIO 2026'!I94,"")</f>
        <v/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" hidden="false" customHeight="true" outlineLevel="0" collapsed="false">
      <c r="A721" s="192" t="str">
        <f aca="false">IF(AND('JULIO 2026'!D95&lt;&gt;"",'JULIO 2026'!Z95="POR RECOGER"),"JUL","")</f>
        <v/>
      </c>
      <c r="B721" s="192" t="str">
        <f aca="false">IF(AND('JULIO 2026'!D95&lt;&gt;"",'JULIO 2026'!Z95="POR RECOGER"),IF('JULIO 2026'!Y95&lt;&gt;"",'JULIO 2026'!Y95,'JULIO 2026'!I95),"")</f>
        <v/>
      </c>
      <c r="C721" s="192" t="str">
        <f aca="false">IF(AND('JULIO 2026'!D95&lt;&gt;"",'JULIO 2026'!Z95="POR RECOGER"),'JULIO 2026'!D95,"")</f>
        <v/>
      </c>
      <c r="D721" s="192" t="str">
        <f aca="false">IF(AND('JULIO 2026'!D95&lt;&gt;"",'JULIO 2026'!Z95="POR RECOGER"),'JULIO 2026'!F95,"")</f>
        <v/>
      </c>
      <c r="E721" s="192" t="str">
        <f aca="false">IF(AND('JULIO 2026'!D95&lt;&gt;"",'JULIO 2026'!Z95="POR RECOGER"),TEXT('JULIO 2026'!G95,"DD/MM/YYYY"),"")</f>
        <v/>
      </c>
      <c r="F721" s="192" t="str">
        <f aca="false">IF(AND('JULIO 2026'!D95&lt;&gt;"",'JULIO 2026'!Z95="POR RECOGER"),'JULIO 2026'!K95,"")</f>
        <v/>
      </c>
      <c r="G721" s="193" t="str">
        <f aca="false">IF(AND('JULIO 2026'!D95&lt;&gt;"",'JULIO 2026'!Z95="POR RECOGER"),'JULIO 2026'!M95,"")</f>
        <v/>
      </c>
      <c r="H721" s="193" t="str">
        <f aca="false">IF(AND('JULIO 2026'!D95&lt;&gt;"",'JULIO 2026'!Z95="POR RECOGER"),'JULIO 2026'!N95,"")</f>
        <v/>
      </c>
      <c r="I721" s="192" t="str">
        <f aca="false">IF(AND('JULIO 2026'!D95&lt;&gt;"",'JULIO 2026'!Z95="POR RECOGER"),'JULIO 2026'!P95,"")</f>
        <v/>
      </c>
      <c r="J721" s="192" t="str">
        <f aca="false">IF(AND('JULIO 2026'!D95&lt;&gt;"",'JULIO 2026'!Z95="POR RECOGER"),'JULIO 2026'!Q95,"")</f>
        <v/>
      </c>
      <c r="K721" s="192" t="str">
        <f aca="false">IF(AND('JULIO 2026'!D95&lt;&gt;"",'JULIO 2026'!Z95="POR RECOGER"),'JULIO 2026'!Y95,"")</f>
        <v/>
      </c>
      <c r="L721" s="192" t="str">
        <f aca="false">IF(AND('JULIO 2026'!D95&lt;&gt;"",'JULIO 2026'!Z95="POR RECOGER"),'JULIO 2026'!I95,"")</f>
        <v/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" hidden="false" customHeight="true" outlineLevel="0" collapsed="false">
      <c r="A722" s="192" t="str">
        <f aca="false">IF(AND('JULIO 2026'!D96&lt;&gt;"",'JULIO 2026'!Z96="POR RECOGER"),"JUL","")</f>
        <v/>
      </c>
      <c r="B722" s="192" t="str">
        <f aca="false">IF(AND('JULIO 2026'!D96&lt;&gt;"",'JULIO 2026'!Z96="POR RECOGER"),IF('JULIO 2026'!Y96&lt;&gt;"",'JULIO 2026'!Y96,'JULIO 2026'!I96),"")</f>
        <v/>
      </c>
      <c r="C722" s="192" t="str">
        <f aca="false">IF(AND('JULIO 2026'!D96&lt;&gt;"",'JULIO 2026'!Z96="POR RECOGER"),'JULIO 2026'!D96,"")</f>
        <v/>
      </c>
      <c r="D722" s="192" t="str">
        <f aca="false">IF(AND('JULIO 2026'!D96&lt;&gt;"",'JULIO 2026'!Z96="POR RECOGER"),'JULIO 2026'!F96,"")</f>
        <v/>
      </c>
      <c r="E722" s="192" t="str">
        <f aca="false">IF(AND('JULIO 2026'!D96&lt;&gt;"",'JULIO 2026'!Z96="POR RECOGER"),TEXT('JULIO 2026'!G96,"DD/MM/YYYY"),"")</f>
        <v/>
      </c>
      <c r="F722" s="192" t="str">
        <f aca="false">IF(AND('JULIO 2026'!D96&lt;&gt;"",'JULIO 2026'!Z96="POR RECOGER"),'JULIO 2026'!K96,"")</f>
        <v/>
      </c>
      <c r="G722" s="193" t="str">
        <f aca="false">IF(AND('JULIO 2026'!D96&lt;&gt;"",'JULIO 2026'!Z96="POR RECOGER"),'JULIO 2026'!M96,"")</f>
        <v/>
      </c>
      <c r="H722" s="193" t="str">
        <f aca="false">IF(AND('JULIO 2026'!D96&lt;&gt;"",'JULIO 2026'!Z96="POR RECOGER"),'JULIO 2026'!N96,"")</f>
        <v/>
      </c>
      <c r="I722" s="192" t="str">
        <f aca="false">IF(AND('JULIO 2026'!D96&lt;&gt;"",'JULIO 2026'!Z96="POR RECOGER"),'JULIO 2026'!P96,"")</f>
        <v/>
      </c>
      <c r="J722" s="192" t="str">
        <f aca="false">IF(AND('JULIO 2026'!D96&lt;&gt;"",'JULIO 2026'!Z96="POR RECOGER"),'JULIO 2026'!Q96,"")</f>
        <v/>
      </c>
      <c r="K722" s="192" t="str">
        <f aca="false">IF(AND('JULIO 2026'!D96&lt;&gt;"",'JULIO 2026'!Z96="POR RECOGER"),'JULIO 2026'!Y96,"")</f>
        <v/>
      </c>
      <c r="L722" s="192" t="str">
        <f aca="false">IF(AND('JULIO 2026'!D96&lt;&gt;"",'JULIO 2026'!Z96="POR RECOGER"),'JULIO 2026'!I96,"")</f>
        <v/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" hidden="false" customHeight="true" outlineLevel="0" collapsed="false">
      <c r="A723" s="192" t="str">
        <f aca="false">IF(AND('JULIO 2026'!D97&lt;&gt;"",'JULIO 2026'!Z97="POR RECOGER"),"JUL","")</f>
        <v/>
      </c>
      <c r="B723" s="192" t="str">
        <f aca="false">IF(AND('JULIO 2026'!D97&lt;&gt;"",'JULIO 2026'!Z97="POR RECOGER"),IF('JULIO 2026'!Y97&lt;&gt;"",'JULIO 2026'!Y97,'JULIO 2026'!I97),"")</f>
        <v/>
      </c>
      <c r="C723" s="192" t="str">
        <f aca="false">IF(AND('JULIO 2026'!D97&lt;&gt;"",'JULIO 2026'!Z97="POR RECOGER"),'JULIO 2026'!D97,"")</f>
        <v/>
      </c>
      <c r="D723" s="192" t="str">
        <f aca="false">IF(AND('JULIO 2026'!D97&lt;&gt;"",'JULIO 2026'!Z97="POR RECOGER"),'JULIO 2026'!F97,"")</f>
        <v/>
      </c>
      <c r="E723" s="192" t="str">
        <f aca="false">IF(AND('JULIO 2026'!D97&lt;&gt;"",'JULIO 2026'!Z97="POR RECOGER"),TEXT('JULIO 2026'!G97,"DD/MM/YYYY"),"")</f>
        <v/>
      </c>
      <c r="F723" s="192" t="str">
        <f aca="false">IF(AND('JULIO 2026'!D97&lt;&gt;"",'JULIO 2026'!Z97="POR RECOGER"),'JULIO 2026'!K97,"")</f>
        <v/>
      </c>
      <c r="G723" s="193" t="str">
        <f aca="false">IF(AND('JULIO 2026'!D97&lt;&gt;"",'JULIO 2026'!Z97="POR RECOGER"),'JULIO 2026'!M97,"")</f>
        <v/>
      </c>
      <c r="H723" s="193" t="str">
        <f aca="false">IF(AND('JULIO 2026'!D97&lt;&gt;"",'JULIO 2026'!Z97="POR RECOGER"),'JULIO 2026'!N97,"")</f>
        <v/>
      </c>
      <c r="I723" s="192" t="str">
        <f aca="false">IF(AND('JULIO 2026'!D97&lt;&gt;"",'JULIO 2026'!Z97="POR RECOGER"),'JULIO 2026'!P97,"")</f>
        <v/>
      </c>
      <c r="J723" s="192" t="str">
        <f aca="false">IF(AND('JULIO 2026'!D97&lt;&gt;"",'JULIO 2026'!Z97="POR RECOGER"),'JULIO 2026'!Q97,"")</f>
        <v/>
      </c>
      <c r="K723" s="192" t="str">
        <f aca="false">IF(AND('JULIO 2026'!D97&lt;&gt;"",'JULIO 2026'!Z97="POR RECOGER"),'JULIO 2026'!Y97,"")</f>
        <v/>
      </c>
      <c r="L723" s="192" t="str">
        <f aca="false">IF(AND('JULIO 2026'!D97&lt;&gt;"",'JULIO 2026'!Z97="POR RECOGER"),'JULIO 2026'!I97,"")</f>
        <v/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" hidden="false" customHeight="true" outlineLevel="0" collapsed="false">
      <c r="A724" s="192" t="str">
        <f aca="false">IF(AND('JULIO 2026'!D98&lt;&gt;"",'JULIO 2026'!Z98="POR RECOGER"),"JUL","")</f>
        <v/>
      </c>
      <c r="B724" s="192" t="str">
        <f aca="false">IF(AND('JULIO 2026'!D98&lt;&gt;"",'JULIO 2026'!Z98="POR RECOGER"),IF('JULIO 2026'!Y98&lt;&gt;"",'JULIO 2026'!Y98,'JULIO 2026'!I98),"")</f>
        <v/>
      </c>
      <c r="C724" s="192" t="str">
        <f aca="false">IF(AND('JULIO 2026'!D98&lt;&gt;"",'JULIO 2026'!Z98="POR RECOGER"),'JULIO 2026'!D98,"")</f>
        <v/>
      </c>
      <c r="D724" s="192" t="str">
        <f aca="false">IF(AND('JULIO 2026'!D98&lt;&gt;"",'JULIO 2026'!Z98="POR RECOGER"),'JULIO 2026'!F98,"")</f>
        <v/>
      </c>
      <c r="E724" s="192" t="str">
        <f aca="false">IF(AND('JULIO 2026'!D98&lt;&gt;"",'JULIO 2026'!Z98="POR RECOGER"),TEXT('JULIO 2026'!G98,"DD/MM/YYYY"),"")</f>
        <v/>
      </c>
      <c r="F724" s="192" t="str">
        <f aca="false">IF(AND('JULIO 2026'!D98&lt;&gt;"",'JULIO 2026'!Z98="POR RECOGER"),'JULIO 2026'!K98,"")</f>
        <v/>
      </c>
      <c r="G724" s="193" t="str">
        <f aca="false">IF(AND('JULIO 2026'!D98&lt;&gt;"",'JULIO 2026'!Z98="POR RECOGER"),'JULIO 2026'!M98,"")</f>
        <v/>
      </c>
      <c r="H724" s="193" t="str">
        <f aca="false">IF(AND('JULIO 2026'!D98&lt;&gt;"",'JULIO 2026'!Z98="POR RECOGER"),'JULIO 2026'!N98,"")</f>
        <v/>
      </c>
      <c r="I724" s="192" t="str">
        <f aca="false">IF(AND('JULIO 2026'!D98&lt;&gt;"",'JULIO 2026'!Z98="POR RECOGER"),'JULIO 2026'!P98,"")</f>
        <v/>
      </c>
      <c r="J724" s="192" t="str">
        <f aca="false">IF(AND('JULIO 2026'!D98&lt;&gt;"",'JULIO 2026'!Z98="POR RECOGER"),'JULIO 2026'!Q98,"")</f>
        <v/>
      </c>
      <c r="K724" s="192" t="str">
        <f aca="false">IF(AND('JULIO 2026'!D98&lt;&gt;"",'JULIO 2026'!Z98="POR RECOGER"),'JULIO 2026'!Y98,"")</f>
        <v/>
      </c>
      <c r="L724" s="192" t="str">
        <f aca="false">IF(AND('JULIO 2026'!D98&lt;&gt;"",'JULIO 2026'!Z98="POR RECOGER"),'JULIO 2026'!I98,"")</f>
        <v/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" hidden="false" customHeight="true" outlineLevel="0" collapsed="false">
      <c r="A725" s="192" t="str">
        <f aca="false">IF(AND('JULIO 2026'!D99&lt;&gt;"",'JULIO 2026'!Z99="POR RECOGER"),"JUL","")</f>
        <v/>
      </c>
      <c r="B725" s="192" t="str">
        <f aca="false">IF(AND('JULIO 2026'!D99&lt;&gt;"",'JULIO 2026'!Z99="POR RECOGER"),IF('JULIO 2026'!Y99&lt;&gt;"",'JULIO 2026'!Y99,'JULIO 2026'!I99),"")</f>
        <v/>
      </c>
      <c r="C725" s="192" t="str">
        <f aca="false">IF(AND('JULIO 2026'!D99&lt;&gt;"",'JULIO 2026'!Z99="POR RECOGER"),'JULIO 2026'!D99,"")</f>
        <v/>
      </c>
      <c r="D725" s="192" t="str">
        <f aca="false">IF(AND('JULIO 2026'!D99&lt;&gt;"",'JULIO 2026'!Z99="POR RECOGER"),'JULIO 2026'!F99,"")</f>
        <v/>
      </c>
      <c r="E725" s="192" t="str">
        <f aca="false">IF(AND('JULIO 2026'!D99&lt;&gt;"",'JULIO 2026'!Z99="POR RECOGER"),TEXT('JULIO 2026'!G99,"DD/MM/YYYY"),"")</f>
        <v/>
      </c>
      <c r="F725" s="192" t="str">
        <f aca="false">IF(AND('JULIO 2026'!D99&lt;&gt;"",'JULIO 2026'!Z99="POR RECOGER"),'JULIO 2026'!K99,"")</f>
        <v/>
      </c>
      <c r="G725" s="193" t="str">
        <f aca="false">IF(AND('JULIO 2026'!D99&lt;&gt;"",'JULIO 2026'!Z99="POR RECOGER"),'JULIO 2026'!M99,"")</f>
        <v/>
      </c>
      <c r="H725" s="193" t="str">
        <f aca="false">IF(AND('JULIO 2026'!D99&lt;&gt;"",'JULIO 2026'!Z99="POR RECOGER"),'JULIO 2026'!N99,"")</f>
        <v/>
      </c>
      <c r="I725" s="192" t="str">
        <f aca="false">IF(AND('JULIO 2026'!D99&lt;&gt;"",'JULIO 2026'!Z99="POR RECOGER"),'JULIO 2026'!P99,"")</f>
        <v/>
      </c>
      <c r="J725" s="192" t="str">
        <f aca="false">IF(AND('JULIO 2026'!D99&lt;&gt;"",'JULIO 2026'!Z99="POR RECOGER"),'JULIO 2026'!Q99,"")</f>
        <v/>
      </c>
      <c r="K725" s="192" t="str">
        <f aca="false">IF(AND('JULIO 2026'!D99&lt;&gt;"",'JULIO 2026'!Z99="POR RECOGER"),'JULIO 2026'!Y99,"")</f>
        <v/>
      </c>
      <c r="L725" s="192" t="str">
        <f aca="false">IF(AND('JULIO 2026'!D99&lt;&gt;"",'JULIO 2026'!Z99="POR RECOGER"),'JULIO 2026'!I99,"")</f>
        <v/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" hidden="false" customHeight="true" outlineLevel="0" collapsed="false">
      <c r="A726" s="192" t="str">
        <f aca="false">IF(AND('JULIO 2026'!D100&lt;&gt;"",'JULIO 2026'!Z100="POR RECOGER"),"JUL","")</f>
        <v/>
      </c>
      <c r="B726" s="192" t="str">
        <f aca="false">IF(AND('JULIO 2026'!D100&lt;&gt;"",'JULIO 2026'!Z100="POR RECOGER"),IF('JULIO 2026'!Y100&lt;&gt;"",'JULIO 2026'!Y100,'JULIO 2026'!I100),"")</f>
        <v/>
      </c>
      <c r="C726" s="192" t="str">
        <f aca="false">IF(AND('JULIO 2026'!D100&lt;&gt;"",'JULIO 2026'!Z100="POR RECOGER"),'JULIO 2026'!D100,"")</f>
        <v/>
      </c>
      <c r="D726" s="192" t="str">
        <f aca="false">IF(AND('JULIO 2026'!D100&lt;&gt;"",'JULIO 2026'!Z100="POR RECOGER"),'JULIO 2026'!F100,"")</f>
        <v/>
      </c>
      <c r="E726" s="192" t="str">
        <f aca="false">IF(AND('JULIO 2026'!D100&lt;&gt;"",'JULIO 2026'!Z100="POR RECOGER"),TEXT('JULIO 2026'!G100,"DD/MM/YYYY"),"")</f>
        <v/>
      </c>
      <c r="F726" s="192" t="str">
        <f aca="false">IF(AND('JULIO 2026'!D100&lt;&gt;"",'JULIO 2026'!Z100="POR RECOGER"),'JULIO 2026'!K100,"")</f>
        <v/>
      </c>
      <c r="G726" s="193" t="str">
        <f aca="false">IF(AND('JULIO 2026'!D100&lt;&gt;"",'JULIO 2026'!Z100="POR RECOGER"),'JULIO 2026'!M100,"")</f>
        <v/>
      </c>
      <c r="H726" s="193" t="str">
        <f aca="false">IF(AND('JULIO 2026'!D100&lt;&gt;"",'JULIO 2026'!Z100="POR RECOGER"),'JULIO 2026'!N100,"")</f>
        <v/>
      </c>
      <c r="I726" s="192" t="str">
        <f aca="false">IF(AND('JULIO 2026'!D100&lt;&gt;"",'JULIO 2026'!Z100="POR RECOGER"),'JULIO 2026'!P100,"")</f>
        <v/>
      </c>
      <c r="J726" s="192" t="str">
        <f aca="false">IF(AND('JULIO 2026'!D100&lt;&gt;"",'JULIO 2026'!Z100="POR RECOGER"),'JULIO 2026'!Q100,"")</f>
        <v/>
      </c>
      <c r="K726" s="192" t="str">
        <f aca="false">IF(AND('JULIO 2026'!D100&lt;&gt;"",'JULIO 2026'!Z100="POR RECOGER"),'JULIO 2026'!Y100,"")</f>
        <v/>
      </c>
      <c r="L726" s="192" t="str">
        <f aca="false">IF(AND('JULIO 2026'!D100&lt;&gt;"",'JULIO 2026'!Z100="POR RECOGER"),'JULIO 2026'!I100,"")</f>
        <v/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" hidden="false" customHeight="true" outlineLevel="0" collapsed="false">
      <c r="A727" s="192" t="str">
        <f aca="false">IF(AND('JULIO 2026'!D101&lt;&gt;"",'JULIO 2026'!Z101="POR RECOGER"),"JUL","")</f>
        <v/>
      </c>
      <c r="B727" s="192" t="str">
        <f aca="false">IF(AND('JULIO 2026'!D101&lt;&gt;"",'JULIO 2026'!Z101="POR RECOGER"),IF('JULIO 2026'!Y101&lt;&gt;"",'JULIO 2026'!Y101,'JULIO 2026'!I101),"")</f>
        <v/>
      </c>
      <c r="C727" s="192" t="str">
        <f aca="false">IF(AND('JULIO 2026'!D101&lt;&gt;"",'JULIO 2026'!Z101="POR RECOGER"),'JULIO 2026'!D101,"")</f>
        <v/>
      </c>
      <c r="D727" s="192" t="str">
        <f aca="false">IF(AND('JULIO 2026'!D101&lt;&gt;"",'JULIO 2026'!Z101="POR RECOGER"),'JULIO 2026'!F101,"")</f>
        <v/>
      </c>
      <c r="E727" s="192" t="str">
        <f aca="false">IF(AND('JULIO 2026'!D101&lt;&gt;"",'JULIO 2026'!Z101="POR RECOGER"),TEXT('JULIO 2026'!G101,"DD/MM/YYYY"),"")</f>
        <v/>
      </c>
      <c r="F727" s="192" t="str">
        <f aca="false">IF(AND('JULIO 2026'!D101&lt;&gt;"",'JULIO 2026'!Z101="POR RECOGER"),'JULIO 2026'!K101,"")</f>
        <v/>
      </c>
      <c r="G727" s="193" t="str">
        <f aca="false">IF(AND('JULIO 2026'!D101&lt;&gt;"",'JULIO 2026'!Z101="POR RECOGER"),'JULIO 2026'!M101,"")</f>
        <v/>
      </c>
      <c r="H727" s="193" t="str">
        <f aca="false">IF(AND('JULIO 2026'!D101&lt;&gt;"",'JULIO 2026'!Z101="POR RECOGER"),'JULIO 2026'!N101,"")</f>
        <v/>
      </c>
      <c r="I727" s="192" t="str">
        <f aca="false">IF(AND('JULIO 2026'!D101&lt;&gt;"",'JULIO 2026'!Z101="POR RECOGER"),'JULIO 2026'!P101,"")</f>
        <v/>
      </c>
      <c r="J727" s="192" t="str">
        <f aca="false">IF(AND('JULIO 2026'!D101&lt;&gt;"",'JULIO 2026'!Z101="POR RECOGER"),'JULIO 2026'!Q101,"")</f>
        <v/>
      </c>
      <c r="K727" s="192" t="str">
        <f aca="false">IF(AND('JULIO 2026'!D101&lt;&gt;"",'JULIO 2026'!Z101="POR RECOGER"),'JULIO 2026'!Y101,"")</f>
        <v/>
      </c>
      <c r="L727" s="192" t="str">
        <f aca="false">IF(AND('JULIO 2026'!D101&lt;&gt;"",'JULIO 2026'!Z101="POR RECOGER"),'JULIO 2026'!I101,"")</f>
        <v/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" hidden="false" customHeight="true" outlineLevel="0" collapsed="false">
      <c r="A728" s="192" t="str">
        <f aca="false">IF(AND('JULIO 2026'!D102&lt;&gt;"",'JULIO 2026'!Z102="POR RECOGER"),"JUL","")</f>
        <v/>
      </c>
      <c r="B728" s="192" t="str">
        <f aca="false">IF(AND('JULIO 2026'!D102&lt;&gt;"",'JULIO 2026'!Z102="POR RECOGER"),IF('JULIO 2026'!Y102&lt;&gt;"",'JULIO 2026'!Y102,'JULIO 2026'!I102),"")</f>
        <v/>
      </c>
      <c r="C728" s="192" t="str">
        <f aca="false">IF(AND('JULIO 2026'!D102&lt;&gt;"",'JULIO 2026'!Z102="POR RECOGER"),'JULIO 2026'!D102,"")</f>
        <v/>
      </c>
      <c r="D728" s="192" t="str">
        <f aca="false">IF(AND('JULIO 2026'!D102&lt;&gt;"",'JULIO 2026'!Z102="POR RECOGER"),'JULIO 2026'!F102,"")</f>
        <v/>
      </c>
      <c r="E728" s="192" t="str">
        <f aca="false">IF(AND('JULIO 2026'!D102&lt;&gt;"",'JULIO 2026'!Z102="POR RECOGER"),TEXT('JULIO 2026'!G102,"DD/MM/YYYY"),"")</f>
        <v/>
      </c>
      <c r="F728" s="192" t="str">
        <f aca="false">IF(AND('JULIO 2026'!D102&lt;&gt;"",'JULIO 2026'!Z102="POR RECOGER"),'JULIO 2026'!K102,"")</f>
        <v/>
      </c>
      <c r="G728" s="193" t="str">
        <f aca="false">IF(AND('JULIO 2026'!D102&lt;&gt;"",'JULIO 2026'!Z102="POR RECOGER"),'JULIO 2026'!M102,"")</f>
        <v/>
      </c>
      <c r="H728" s="193" t="str">
        <f aca="false">IF(AND('JULIO 2026'!D102&lt;&gt;"",'JULIO 2026'!Z102="POR RECOGER"),'JULIO 2026'!N102,"")</f>
        <v/>
      </c>
      <c r="I728" s="192" t="str">
        <f aca="false">IF(AND('JULIO 2026'!D102&lt;&gt;"",'JULIO 2026'!Z102="POR RECOGER"),'JULIO 2026'!P102,"")</f>
        <v/>
      </c>
      <c r="J728" s="192" t="str">
        <f aca="false">IF(AND('JULIO 2026'!D102&lt;&gt;"",'JULIO 2026'!Z102="POR RECOGER"),'JULIO 2026'!Q102,"")</f>
        <v/>
      </c>
      <c r="K728" s="192" t="str">
        <f aca="false">IF(AND('JULIO 2026'!D102&lt;&gt;"",'JULIO 2026'!Z102="POR RECOGER"),'JULIO 2026'!Y102,"")</f>
        <v/>
      </c>
      <c r="L728" s="192" t="str">
        <f aca="false">IF(AND('JULIO 2026'!D102&lt;&gt;"",'JULIO 2026'!Z102="POR RECOGER"),'JULIO 2026'!I102,"")</f>
        <v/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" hidden="false" customHeight="true" outlineLevel="0" collapsed="false">
      <c r="A729" s="192" t="str">
        <f aca="false">IF(AND('JULIO 2026'!D103&lt;&gt;"",'JULIO 2026'!Z103="POR RECOGER"),"JUL","")</f>
        <v/>
      </c>
      <c r="B729" s="192" t="str">
        <f aca="false">IF(AND('JULIO 2026'!D103&lt;&gt;"",'JULIO 2026'!Z103="POR RECOGER"),IF('JULIO 2026'!Y103&lt;&gt;"",'JULIO 2026'!Y103,'JULIO 2026'!I103),"")</f>
        <v/>
      </c>
      <c r="C729" s="192" t="str">
        <f aca="false">IF(AND('JULIO 2026'!D103&lt;&gt;"",'JULIO 2026'!Z103="POR RECOGER"),'JULIO 2026'!D103,"")</f>
        <v/>
      </c>
      <c r="D729" s="192" t="str">
        <f aca="false">IF(AND('JULIO 2026'!D103&lt;&gt;"",'JULIO 2026'!Z103="POR RECOGER"),'JULIO 2026'!F103,"")</f>
        <v/>
      </c>
      <c r="E729" s="192" t="str">
        <f aca="false">IF(AND('JULIO 2026'!D103&lt;&gt;"",'JULIO 2026'!Z103="POR RECOGER"),TEXT('JULIO 2026'!G103,"DD/MM/YYYY"),"")</f>
        <v/>
      </c>
      <c r="F729" s="192" t="str">
        <f aca="false">IF(AND('JULIO 2026'!D103&lt;&gt;"",'JULIO 2026'!Z103="POR RECOGER"),'JULIO 2026'!K103,"")</f>
        <v/>
      </c>
      <c r="G729" s="193" t="str">
        <f aca="false">IF(AND('JULIO 2026'!D103&lt;&gt;"",'JULIO 2026'!Z103="POR RECOGER"),'JULIO 2026'!M103,"")</f>
        <v/>
      </c>
      <c r="H729" s="193" t="str">
        <f aca="false">IF(AND('JULIO 2026'!D103&lt;&gt;"",'JULIO 2026'!Z103="POR RECOGER"),'JULIO 2026'!N103,"")</f>
        <v/>
      </c>
      <c r="I729" s="192" t="str">
        <f aca="false">IF(AND('JULIO 2026'!D103&lt;&gt;"",'JULIO 2026'!Z103="POR RECOGER"),'JULIO 2026'!P103,"")</f>
        <v/>
      </c>
      <c r="J729" s="192" t="str">
        <f aca="false">IF(AND('JULIO 2026'!D103&lt;&gt;"",'JULIO 2026'!Z103="POR RECOGER"),'JULIO 2026'!Q103,"")</f>
        <v/>
      </c>
      <c r="K729" s="192" t="str">
        <f aca="false">IF(AND('JULIO 2026'!D103&lt;&gt;"",'JULIO 2026'!Z103="POR RECOGER"),'JULIO 2026'!Y103,"")</f>
        <v/>
      </c>
      <c r="L729" s="192" t="str">
        <f aca="false">IF(AND('JULIO 2026'!D103&lt;&gt;"",'JULIO 2026'!Z103="POR RECOGER"),'JULIO 2026'!I103,"")</f>
        <v/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" hidden="false" customHeight="true" outlineLevel="0" collapsed="false">
      <c r="A730" s="192" t="str">
        <f aca="false">IF(AND('JULIO 2026'!D104&lt;&gt;"",'JULIO 2026'!Z104="POR RECOGER"),"JUL","")</f>
        <v/>
      </c>
      <c r="B730" s="192" t="str">
        <f aca="false">IF(AND('JULIO 2026'!D104&lt;&gt;"",'JULIO 2026'!Z104="POR RECOGER"),IF('JULIO 2026'!Y104&lt;&gt;"",'JULIO 2026'!Y104,'JULIO 2026'!I104),"")</f>
        <v/>
      </c>
      <c r="C730" s="192" t="str">
        <f aca="false">IF(AND('JULIO 2026'!D104&lt;&gt;"",'JULIO 2026'!Z104="POR RECOGER"),'JULIO 2026'!D104,"")</f>
        <v/>
      </c>
      <c r="D730" s="192" t="str">
        <f aca="false">IF(AND('JULIO 2026'!D104&lt;&gt;"",'JULIO 2026'!Z104="POR RECOGER"),'JULIO 2026'!F104,"")</f>
        <v/>
      </c>
      <c r="E730" s="192" t="str">
        <f aca="false">IF(AND('JULIO 2026'!D104&lt;&gt;"",'JULIO 2026'!Z104="POR RECOGER"),TEXT('JULIO 2026'!G104,"DD/MM/YYYY"),"")</f>
        <v/>
      </c>
      <c r="F730" s="192" t="str">
        <f aca="false">IF(AND('JULIO 2026'!D104&lt;&gt;"",'JULIO 2026'!Z104="POR RECOGER"),'JULIO 2026'!K104,"")</f>
        <v/>
      </c>
      <c r="G730" s="193" t="str">
        <f aca="false">IF(AND('JULIO 2026'!D104&lt;&gt;"",'JULIO 2026'!Z104="POR RECOGER"),'JULIO 2026'!M104,"")</f>
        <v/>
      </c>
      <c r="H730" s="193" t="str">
        <f aca="false">IF(AND('JULIO 2026'!D104&lt;&gt;"",'JULIO 2026'!Z104="POR RECOGER"),'JULIO 2026'!N104,"")</f>
        <v/>
      </c>
      <c r="I730" s="192" t="str">
        <f aca="false">IF(AND('JULIO 2026'!D104&lt;&gt;"",'JULIO 2026'!Z104="POR RECOGER"),'JULIO 2026'!P104,"")</f>
        <v/>
      </c>
      <c r="J730" s="192" t="str">
        <f aca="false">IF(AND('JULIO 2026'!D104&lt;&gt;"",'JULIO 2026'!Z104="POR RECOGER"),'JULIO 2026'!Q104,"")</f>
        <v/>
      </c>
      <c r="K730" s="192" t="str">
        <f aca="false">IF(AND('JULIO 2026'!D104&lt;&gt;"",'JULIO 2026'!Z104="POR RECOGER"),'JULIO 2026'!Y104,"")</f>
        <v/>
      </c>
      <c r="L730" s="192" t="str">
        <f aca="false">IF(AND('JULIO 2026'!D104&lt;&gt;"",'JULIO 2026'!Z104="POR RECOGER"),'JULIO 2026'!I104,"")</f>
        <v/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" hidden="false" customHeight="true" outlineLevel="0" collapsed="false">
      <c r="A731" s="192" t="str">
        <f aca="false">IF(AND('JULIO 2026'!D105&lt;&gt;"",'JULIO 2026'!Z105="POR RECOGER"),"JUL","")</f>
        <v/>
      </c>
      <c r="B731" s="192" t="str">
        <f aca="false">IF(AND('JULIO 2026'!D105&lt;&gt;"",'JULIO 2026'!Z105="POR RECOGER"),IF('JULIO 2026'!Y105&lt;&gt;"",'JULIO 2026'!Y105,'JULIO 2026'!I105),"")</f>
        <v/>
      </c>
      <c r="C731" s="192" t="str">
        <f aca="false">IF(AND('JULIO 2026'!D105&lt;&gt;"",'JULIO 2026'!Z105="POR RECOGER"),'JULIO 2026'!D105,"")</f>
        <v/>
      </c>
      <c r="D731" s="192" t="str">
        <f aca="false">IF(AND('JULIO 2026'!D105&lt;&gt;"",'JULIO 2026'!Z105="POR RECOGER"),'JULIO 2026'!F105,"")</f>
        <v/>
      </c>
      <c r="E731" s="192" t="str">
        <f aca="false">IF(AND('JULIO 2026'!D105&lt;&gt;"",'JULIO 2026'!Z105="POR RECOGER"),TEXT('JULIO 2026'!G105,"DD/MM/YYYY"),"")</f>
        <v/>
      </c>
      <c r="F731" s="192" t="str">
        <f aca="false">IF(AND('JULIO 2026'!D105&lt;&gt;"",'JULIO 2026'!Z105="POR RECOGER"),'JULIO 2026'!K105,"")</f>
        <v/>
      </c>
      <c r="G731" s="193" t="str">
        <f aca="false">IF(AND('JULIO 2026'!D105&lt;&gt;"",'JULIO 2026'!Z105="POR RECOGER"),'JULIO 2026'!M105,"")</f>
        <v/>
      </c>
      <c r="H731" s="193" t="str">
        <f aca="false">IF(AND('JULIO 2026'!D105&lt;&gt;"",'JULIO 2026'!Z105="POR RECOGER"),'JULIO 2026'!N105,"")</f>
        <v/>
      </c>
      <c r="I731" s="192" t="str">
        <f aca="false">IF(AND('JULIO 2026'!D105&lt;&gt;"",'JULIO 2026'!Z105="POR RECOGER"),'JULIO 2026'!P105,"")</f>
        <v/>
      </c>
      <c r="J731" s="192" t="str">
        <f aca="false">IF(AND('JULIO 2026'!D105&lt;&gt;"",'JULIO 2026'!Z105="POR RECOGER"),'JULIO 2026'!Q105,"")</f>
        <v/>
      </c>
      <c r="K731" s="192" t="str">
        <f aca="false">IF(AND('JULIO 2026'!D105&lt;&gt;"",'JULIO 2026'!Z105="POR RECOGER"),'JULIO 2026'!Y105,"")</f>
        <v/>
      </c>
      <c r="L731" s="192" t="str">
        <f aca="false">IF(AND('JULIO 2026'!D105&lt;&gt;"",'JULIO 2026'!Z105="POR RECOGER"),'JULIO 2026'!I105,"")</f>
        <v/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" hidden="false" customHeight="true" outlineLevel="0" collapsed="false">
      <c r="A732" s="192" t="str">
        <f aca="false">IF(AND('JULIO 2026'!D106&lt;&gt;"",'JULIO 2026'!Z106="POR RECOGER"),"JUL","")</f>
        <v/>
      </c>
      <c r="B732" s="192" t="str">
        <f aca="false">IF(AND('JULIO 2026'!D106&lt;&gt;"",'JULIO 2026'!Z106="POR RECOGER"),IF('JULIO 2026'!Y106&lt;&gt;"",'JULIO 2026'!Y106,'JULIO 2026'!I106),"")</f>
        <v/>
      </c>
      <c r="C732" s="192" t="str">
        <f aca="false">IF(AND('JULIO 2026'!D106&lt;&gt;"",'JULIO 2026'!Z106="POR RECOGER"),'JULIO 2026'!D106,"")</f>
        <v/>
      </c>
      <c r="D732" s="192" t="str">
        <f aca="false">IF(AND('JULIO 2026'!D106&lt;&gt;"",'JULIO 2026'!Z106="POR RECOGER"),'JULIO 2026'!F106,"")</f>
        <v/>
      </c>
      <c r="E732" s="192" t="str">
        <f aca="false">IF(AND('JULIO 2026'!D106&lt;&gt;"",'JULIO 2026'!Z106="POR RECOGER"),TEXT('JULIO 2026'!G106,"DD/MM/YYYY"),"")</f>
        <v/>
      </c>
      <c r="F732" s="192" t="str">
        <f aca="false">IF(AND('JULIO 2026'!D106&lt;&gt;"",'JULIO 2026'!Z106="POR RECOGER"),'JULIO 2026'!K106,"")</f>
        <v/>
      </c>
      <c r="G732" s="193" t="str">
        <f aca="false">IF(AND('JULIO 2026'!D106&lt;&gt;"",'JULIO 2026'!Z106="POR RECOGER"),'JULIO 2026'!M106,"")</f>
        <v/>
      </c>
      <c r="H732" s="193" t="str">
        <f aca="false">IF(AND('JULIO 2026'!D106&lt;&gt;"",'JULIO 2026'!Z106="POR RECOGER"),'JULIO 2026'!N106,"")</f>
        <v/>
      </c>
      <c r="I732" s="192" t="str">
        <f aca="false">IF(AND('JULIO 2026'!D106&lt;&gt;"",'JULIO 2026'!Z106="POR RECOGER"),'JULIO 2026'!P106,"")</f>
        <v/>
      </c>
      <c r="J732" s="192" t="str">
        <f aca="false">IF(AND('JULIO 2026'!D106&lt;&gt;"",'JULIO 2026'!Z106="POR RECOGER"),'JULIO 2026'!Q106,"")</f>
        <v/>
      </c>
      <c r="K732" s="192" t="str">
        <f aca="false">IF(AND('JULIO 2026'!D106&lt;&gt;"",'JULIO 2026'!Z106="POR RECOGER"),'JULIO 2026'!Y106,"")</f>
        <v/>
      </c>
      <c r="L732" s="192" t="str">
        <f aca="false">IF(AND('JULIO 2026'!D106&lt;&gt;"",'JULIO 2026'!Z106="POR RECOGER"),'JULIO 2026'!I106,"")</f>
        <v/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" hidden="false" customHeight="true" outlineLevel="0" collapsed="false">
      <c r="A733" s="192" t="str">
        <f aca="false">IF(AND('JULIO 2026'!D107&lt;&gt;"",'JULIO 2026'!Z107="POR RECOGER"),"JUL","")</f>
        <v/>
      </c>
      <c r="B733" s="192" t="str">
        <f aca="false">IF(AND('JULIO 2026'!D107&lt;&gt;"",'JULIO 2026'!Z107="POR RECOGER"),IF('JULIO 2026'!Y107&lt;&gt;"",'JULIO 2026'!Y107,'JULIO 2026'!I107),"")</f>
        <v/>
      </c>
      <c r="C733" s="192" t="str">
        <f aca="false">IF(AND('JULIO 2026'!D107&lt;&gt;"",'JULIO 2026'!Z107="POR RECOGER"),'JULIO 2026'!D107,"")</f>
        <v/>
      </c>
      <c r="D733" s="192" t="str">
        <f aca="false">IF(AND('JULIO 2026'!D107&lt;&gt;"",'JULIO 2026'!Z107="POR RECOGER"),'JULIO 2026'!F107,"")</f>
        <v/>
      </c>
      <c r="E733" s="192" t="str">
        <f aca="false">IF(AND('JULIO 2026'!D107&lt;&gt;"",'JULIO 2026'!Z107="POR RECOGER"),TEXT('JULIO 2026'!G107,"DD/MM/YYYY"),"")</f>
        <v/>
      </c>
      <c r="F733" s="192" t="str">
        <f aca="false">IF(AND('JULIO 2026'!D107&lt;&gt;"",'JULIO 2026'!Z107="POR RECOGER"),'JULIO 2026'!K107,"")</f>
        <v/>
      </c>
      <c r="G733" s="193" t="str">
        <f aca="false">IF(AND('JULIO 2026'!D107&lt;&gt;"",'JULIO 2026'!Z107="POR RECOGER"),'JULIO 2026'!M107,"")</f>
        <v/>
      </c>
      <c r="H733" s="193" t="str">
        <f aca="false">IF(AND('JULIO 2026'!D107&lt;&gt;"",'JULIO 2026'!Z107="POR RECOGER"),'JULIO 2026'!N107,"")</f>
        <v/>
      </c>
      <c r="I733" s="192" t="str">
        <f aca="false">IF(AND('JULIO 2026'!D107&lt;&gt;"",'JULIO 2026'!Z107="POR RECOGER"),'JULIO 2026'!P107,"")</f>
        <v/>
      </c>
      <c r="J733" s="192" t="str">
        <f aca="false">IF(AND('JULIO 2026'!D107&lt;&gt;"",'JULIO 2026'!Z107="POR RECOGER"),'JULIO 2026'!Q107,"")</f>
        <v/>
      </c>
      <c r="K733" s="192" t="str">
        <f aca="false">IF(AND('JULIO 2026'!D107&lt;&gt;"",'JULIO 2026'!Z107="POR RECOGER"),'JULIO 2026'!Y107,"")</f>
        <v/>
      </c>
      <c r="L733" s="192" t="str">
        <f aca="false">IF(AND('JULIO 2026'!D107&lt;&gt;"",'JULIO 2026'!Z107="POR RECOGER"),'JULIO 2026'!I107,"")</f>
        <v/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" hidden="false" customHeight="true" outlineLevel="0" collapsed="false">
      <c r="A734" s="192" t="str">
        <f aca="false">IF(AND('JULIO 2026'!D108&lt;&gt;"",'JULIO 2026'!Z108="POR RECOGER"),"JUL","")</f>
        <v/>
      </c>
      <c r="B734" s="192" t="str">
        <f aca="false">IF(AND('JULIO 2026'!D108&lt;&gt;"",'JULIO 2026'!Z108="POR RECOGER"),IF('JULIO 2026'!Y108&lt;&gt;"",'JULIO 2026'!Y108,'JULIO 2026'!I108),"")</f>
        <v/>
      </c>
      <c r="C734" s="192" t="str">
        <f aca="false">IF(AND('JULIO 2026'!D108&lt;&gt;"",'JULIO 2026'!Z108="POR RECOGER"),'JULIO 2026'!D108,"")</f>
        <v/>
      </c>
      <c r="D734" s="192" t="str">
        <f aca="false">IF(AND('JULIO 2026'!D108&lt;&gt;"",'JULIO 2026'!Z108="POR RECOGER"),'JULIO 2026'!F108,"")</f>
        <v/>
      </c>
      <c r="E734" s="192" t="str">
        <f aca="false">IF(AND('JULIO 2026'!D108&lt;&gt;"",'JULIO 2026'!Z108="POR RECOGER"),TEXT('JULIO 2026'!G108,"DD/MM/YYYY"),"")</f>
        <v/>
      </c>
      <c r="F734" s="192" t="str">
        <f aca="false">IF(AND('JULIO 2026'!D108&lt;&gt;"",'JULIO 2026'!Z108="POR RECOGER"),'JULIO 2026'!K108,"")</f>
        <v/>
      </c>
      <c r="G734" s="193" t="str">
        <f aca="false">IF(AND('JULIO 2026'!D108&lt;&gt;"",'JULIO 2026'!Z108="POR RECOGER"),'JULIO 2026'!M108,"")</f>
        <v/>
      </c>
      <c r="H734" s="193" t="str">
        <f aca="false">IF(AND('JULIO 2026'!D108&lt;&gt;"",'JULIO 2026'!Z108="POR RECOGER"),'JULIO 2026'!N108,"")</f>
        <v/>
      </c>
      <c r="I734" s="192" t="str">
        <f aca="false">IF(AND('JULIO 2026'!D108&lt;&gt;"",'JULIO 2026'!Z108="POR RECOGER"),'JULIO 2026'!P108,"")</f>
        <v/>
      </c>
      <c r="J734" s="192" t="str">
        <f aca="false">IF(AND('JULIO 2026'!D108&lt;&gt;"",'JULIO 2026'!Z108="POR RECOGER"),'JULIO 2026'!Q108,"")</f>
        <v/>
      </c>
      <c r="K734" s="192" t="str">
        <f aca="false">IF(AND('JULIO 2026'!D108&lt;&gt;"",'JULIO 2026'!Z108="POR RECOGER"),'JULIO 2026'!Y108,"")</f>
        <v/>
      </c>
      <c r="L734" s="192" t="str">
        <f aca="false">IF(AND('JULIO 2026'!D108&lt;&gt;"",'JULIO 2026'!Z108="POR RECOGER"),'JULIO 2026'!I108,"")</f>
        <v/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" hidden="false" customHeight="true" outlineLevel="0" collapsed="false">
      <c r="A735" s="192" t="str">
        <f aca="false">IF(AND('JULIO 2026'!D109&lt;&gt;"",'JULIO 2026'!Z109="POR RECOGER"),"JUL","")</f>
        <v/>
      </c>
      <c r="B735" s="192" t="str">
        <f aca="false">IF(AND('JULIO 2026'!D109&lt;&gt;"",'JULIO 2026'!Z109="POR RECOGER"),IF('JULIO 2026'!Y109&lt;&gt;"",'JULIO 2026'!Y109,'JULIO 2026'!I109),"")</f>
        <v/>
      </c>
      <c r="C735" s="192" t="str">
        <f aca="false">IF(AND('JULIO 2026'!D109&lt;&gt;"",'JULIO 2026'!Z109="POR RECOGER"),'JULIO 2026'!D109,"")</f>
        <v/>
      </c>
      <c r="D735" s="192" t="str">
        <f aca="false">IF(AND('JULIO 2026'!D109&lt;&gt;"",'JULIO 2026'!Z109="POR RECOGER"),'JULIO 2026'!F109,"")</f>
        <v/>
      </c>
      <c r="E735" s="192" t="str">
        <f aca="false">IF(AND('JULIO 2026'!D109&lt;&gt;"",'JULIO 2026'!Z109="POR RECOGER"),TEXT('JULIO 2026'!G109,"DD/MM/YYYY"),"")</f>
        <v/>
      </c>
      <c r="F735" s="192" t="str">
        <f aca="false">IF(AND('JULIO 2026'!D109&lt;&gt;"",'JULIO 2026'!Z109="POR RECOGER"),'JULIO 2026'!K109,"")</f>
        <v/>
      </c>
      <c r="G735" s="193" t="str">
        <f aca="false">IF(AND('JULIO 2026'!D109&lt;&gt;"",'JULIO 2026'!Z109="POR RECOGER"),'JULIO 2026'!M109,"")</f>
        <v/>
      </c>
      <c r="H735" s="193" t="str">
        <f aca="false">IF(AND('JULIO 2026'!D109&lt;&gt;"",'JULIO 2026'!Z109="POR RECOGER"),'JULIO 2026'!N109,"")</f>
        <v/>
      </c>
      <c r="I735" s="192" t="str">
        <f aca="false">IF(AND('JULIO 2026'!D109&lt;&gt;"",'JULIO 2026'!Z109="POR RECOGER"),'JULIO 2026'!P109,"")</f>
        <v/>
      </c>
      <c r="J735" s="192" t="str">
        <f aca="false">IF(AND('JULIO 2026'!D109&lt;&gt;"",'JULIO 2026'!Z109="POR RECOGER"),'JULIO 2026'!Q109,"")</f>
        <v/>
      </c>
      <c r="K735" s="192" t="str">
        <f aca="false">IF(AND('JULIO 2026'!D109&lt;&gt;"",'JULIO 2026'!Z109="POR RECOGER"),'JULIO 2026'!Y109,"")</f>
        <v/>
      </c>
      <c r="L735" s="192" t="str">
        <f aca="false">IF(AND('JULIO 2026'!D109&lt;&gt;"",'JULIO 2026'!Z109="POR RECOGER"),'JULIO 2026'!I109,"")</f>
        <v/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" hidden="false" customHeight="true" outlineLevel="0" collapsed="false">
      <c r="A736" s="192" t="str">
        <f aca="false">IF(AND('JULIO 2026'!D110&lt;&gt;"",'JULIO 2026'!Z110="POR RECOGER"),"JUL","")</f>
        <v/>
      </c>
      <c r="B736" s="192" t="str">
        <f aca="false">IF(AND('JULIO 2026'!D110&lt;&gt;"",'JULIO 2026'!Z110="POR RECOGER"),IF('JULIO 2026'!Y110&lt;&gt;"",'JULIO 2026'!Y110,'JULIO 2026'!I110),"")</f>
        <v/>
      </c>
      <c r="C736" s="192" t="str">
        <f aca="false">IF(AND('JULIO 2026'!D110&lt;&gt;"",'JULIO 2026'!Z110="POR RECOGER"),'JULIO 2026'!D110,"")</f>
        <v/>
      </c>
      <c r="D736" s="192" t="str">
        <f aca="false">IF(AND('JULIO 2026'!D110&lt;&gt;"",'JULIO 2026'!Z110="POR RECOGER"),'JULIO 2026'!F110,"")</f>
        <v/>
      </c>
      <c r="E736" s="192" t="str">
        <f aca="false">IF(AND('JULIO 2026'!D110&lt;&gt;"",'JULIO 2026'!Z110="POR RECOGER"),TEXT('JULIO 2026'!G110,"DD/MM/YYYY"),"")</f>
        <v/>
      </c>
      <c r="F736" s="192" t="str">
        <f aca="false">IF(AND('JULIO 2026'!D110&lt;&gt;"",'JULIO 2026'!Z110="POR RECOGER"),'JULIO 2026'!K110,"")</f>
        <v/>
      </c>
      <c r="G736" s="193" t="str">
        <f aca="false">IF(AND('JULIO 2026'!D110&lt;&gt;"",'JULIO 2026'!Z110="POR RECOGER"),'JULIO 2026'!M110,"")</f>
        <v/>
      </c>
      <c r="H736" s="193" t="str">
        <f aca="false">IF(AND('JULIO 2026'!D110&lt;&gt;"",'JULIO 2026'!Z110="POR RECOGER"),'JULIO 2026'!N110,"")</f>
        <v/>
      </c>
      <c r="I736" s="192" t="str">
        <f aca="false">IF(AND('JULIO 2026'!D110&lt;&gt;"",'JULIO 2026'!Z110="POR RECOGER"),'JULIO 2026'!P110,"")</f>
        <v/>
      </c>
      <c r="J736" s="192" t="str">
        <f aca="false">IF(AND('JULIO 2026'!D110&lt;&gt;"",'JULIO 2026'!Z110="POR RECOGER"),'JULIO 2026'!Q110,"")</f>
        <v/>
      </c>
      <c r="K736" s="192" t="str">
        <f aca="false">IF(AND('JULIO 2026'!D110&lt;&gt;"",'JULIO 2026'!Z110="POR RECOGER"),'JULIO 2026'!Y110,"")</f>
        <v/>
      </c>
      <c r="L736" s="192" t="str">
        <f aca="false">IF(AND('JULIO 2026'!D110&lt;&gt;"",'JULIO 2026'!Z110="POR RECOGER"),'JULIO 2026'!I110,"")</f>
        <v/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" hidden="false" customHeight="true" outlineLevel="0" collapsed="false">
      <c r="A737" s="192" t="str">
        <f aca="false">IF(AND('AGOSTO 2026'!D6&lt;&gt;"",'AGOSTO 2026'!Z6="POR RECOGER"),"AGO","")</f>
        <v/>
      </c>
      <c r="B737" s="192" t="str">
        <f aca="false">IF(AND('AGOSTO 2026'!D6&lt;&gt;"",'AGOSTO 2026'!Z6="POR RECOGER"),IF('AGOSTO 2026'!Y6&lt;&gt;"",'AGOSTO 2026'!Y6,'AGOSTO 2026'!I6),"")</f>
        <v/>
      </c>
      <c r="C737" s="192" t="str">
        <f aca="false">IF(AND('AGOSTO 2026'!D6&lt;&gt;"",'AGOSTO 2026'!Z6="POR RECOGER"),'AGOSTO 2026'!D6,"")</f>
        <v/>
      </c>
      <c r="D737" s="192" t="str">
        <f aca="false">IF(AND('AGOSTO 2026'!D6&lt;&gt;"",'AGOSTO 2026'!Z6="POR RECOGER"),'AGOSTO 2026'!F6,"")</f>
        <v/>
      </c>
      <c r="E737" s="192" t="str">
        <f aca="false">IF(AND('AGOSTO 2026'!D6&lt;&gt;"",'AGOSTO 2026'!Z6="POR RECOGER"),TEXT('AGOSTO 2026'!G6,"DD/MM/YYYY"),"")</f>
        <v/>
      </c>
      <c r="F737" s="192" t="str">
        <f aca="false">IF(AND('AGOSTO 2026'!D6&lt;&gt;"",'AGOSTO 2026'!Z6="POR RECOGER"),'AGOSTO 2026'!K6,"")</f>
        <v/>
      </c>
      <c r="G737" s="193" t="str">
        <f aca="false">IF(AND('AGOSTO 2026'!D6&lt;&gt;"",'AGOSTO 2026'!Z6="POR RECOGER"),'AGOSTO 2026'!M6,"")</f>
        <v/>
      </c>
      <c r="H737" s="193" t="str">
        <f aca="false">IF(AND('AGOSTO 2026'!D6&lt;&gt;"",'AGOSTO 2026'!Z6="POR RECOGER"),'AGOSTO 2026'!N6,"")</f>
        <v/>
      </c>
      <c r="I737" s="192" t="str">
        <f aca="false">IF(AND('AGOSTO 2026'!D6&lt;&gt;"",'AGOSTO 2026'!Z6="POR RECOGER"),'AGOSTO 2026'!P6,"")</f>
        <v/>
      </c>
      <c r="J737" s="192" t="str">
        <f aca="false">IF(AND('AGOSTO 2026'!D6&lt;&gt;"",'AGOSTO 2026'!Z6="POR RECOGER"),'AGOSTO 2026'!Q6,"")</f>
        <v/>
      </c>
      <c r="K737" s="192" t="str">
        <f aca="false">IF(AND('AGOSTO 2026'!D6&lt;&gt;"",'AGOSTO 2026'!Z6="POR RECOGER"),'AGOSTO 2026'!Y6,"")</f>
        <v/>
      </c>
      <c r="L737" s="192" t="str">
        <f aca="false">IF(AND('AGOSTO 2026'!D6&lt;&gt;"",'AGOSTO 2026'!Z6="POR RECOGER"),'AGOSTO 2026'!I6,"")</f>
        <v/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" hidden="false" customHeight="true" outlineLevel="0" collapsed="false">
      <c r="A738" s="192" t="str">
        <f aca="false">IF(AND('AGOSTO 2026'!D7&lt;&gt;"",'AGOSTO 2026'!Z7="POR RECOGER"),"AGO","")</f>
        <v/>
      </c>
      <c r="B738" s="192" t="str">
        <f aca="false">IF(AND('AGOSTO 2026'!D7&lt;&gt;"",'AGOSTO 2026'!Z7="POR RECOGER"),IF('AGOSTO 2026'!Y7&lt;&gt;"",'AGOSTO 2026'!Y7,'AGOSTO 2026'!I7),"")</f>
        <v/>
      </c>
      <c r="C738" s="192" t="str">
        <f aca="false">IF(AND('AGOSTO 2026'!D7&lt;&gt;"",'AGOSTO 2026'!Z7="POR RECOGER"),'AGOSTO 2026'!D7,"")</f>
        <v/>
      </c>
      <c r="D738" s="192" t="str">
        <f aca="false">IF(AND('AGOSTO 2026'!D7&lt;&gt;"",'AGOSTO 2026'!Z7="POR RECOGER"),'AGOSTO 2026'!F7,"")</f>
        <v/>
      </c>
      <c r="E738" s="192" t="str">
        <f aca="false">IF(AND('AGOSTO 2026'!D7&lt;&gt;"",'AGOSTO 2026'!Z7="POR RECOGER"),TEXT('AGOSTO 2026'!G7,"DD/MM/YYYY"),"")</f>
        <v/>
      </c>
      <c r="F738" s="192" t="str">
        <f aca="false">IF(AND('AGOSTO 2026'!D7&lt;&gt;"",'AGOSTO 2026'!Z7="POR RECOGER"),'AGOSTO 2026'!K7,"")</f>
        <v/>
      </c>
      <c r="G738" s="193" t="str">
        <f aca="false">IF(AND('AGOSTO 2026'!D7&lt;&gt;"",'AGOSTO 2026'!Z7="POR RECOGER"),'AGOSTO 2026'!M7,"")</f>
        <v/>
      </c>
      <c r="H738" s="193" t="str">
        <f aca="false">IF(AND('AGOSTO 2026'!D7&lt;&gt;"",'AGOSTO 2026'!Z7="POR RECOGER"),'AGOSTO 2026'!N7,"")</f>
        <v/>
      </c>
      <c r="I738" s="192" t="str">
        <f aca="false">IF(AND('AGOSTO 2026'!D7&lt;&gt;"",'AGOSTO 2026'!Z7="POR RECOGER"),'AGOSTO 2026'!P7,"")</f>
        <v/>
      </c>
      <c r="J738" s="192" t="str">
        <f aca="false">IF(AND('AGOSTO 2026'!D7&lt;&gt;"",'AGOSTO 2026'!Z7="POR RECOGER"),'AGOSTO 2026'!Q7,"")</f>
        <v/>
      </c>
      <c r="K738" s="192" t="str">
        <f aca="false">IF(AND('AGOSTO 2026'!D7&lt;&gt;"",'AGOSTO 2026'!Z7="POR RECOGER"),'AGOSTO 2026'!Y7,"")</f>
        <v/>
      </c>
      <c r="L738" s="192" t="str">
        <f aca="false">IF(AND('AGOSTO 2026'!D7&lt;&gt;"",'AGOSTO 2026'!Z7="POR RECOGER"),'AGOSTO 2026'!I7,"")</f>
        <v/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" hidden="false" customHeight="true" outlineLevel="0" collapsed="false">
      <c r="A739" s="192" t="str">
        <f aca="false">IF(AND('AGOSTO 2026'!D8&lt;&gt;"",'AGOSTO 2026'!Z8="POR RECOGER"),"AGO","")</f>
        <v/>
      </c>
      <c r="B739" s="192" t="str">
        <f aca="false">IF(AND('AGOSTO 2026'!D8&lt;&gt;"",'AGOSTO 2026'!Z8="POR RECOGER"),IF('AGOSTO 2026'!Y8&lt;&gt;"",'AGOSTO 2026'!Y8,'AGOSTO 2026'!I8),"")</f>
        <v/>
      </c>
      <c r="C739" s="192" t="str">
        <f aca="false">IF(AND('AGOSTO 2026'!D8&lt;&gt;"",'AGOSTO 2026'!Z8="POR RECOGER"),'AGOSTO 2026'!D8,"")</f>
        <v/>
      </c>
      <c r="D739" s="192" t="str">
        <f aca="false">IF(AND('AGOSTO 2026'!D8&lt;&gt;"",'AGOSTO 2026'!Z8="POR RECOGER"),'AGOSTO 2026'!F8,"")</f>
        <v/>
      </c>
      <c r="E739" s="192" t="str">
        <f aca="false">IF(AND('AGOSTO 2026'!D8&lt;&gt;"",'AGOSTO 2026'!Z8="POR RECOGER"),TEXT('AGOSTO 2026'!G8,"DD/MM/YYYY"),"")</f>
        <v/>
      </c>
      <c r="F739" s="192" t="str">
        <f aca="false">IF(AND('AGOSTO 2026'!D8&lt;&gt;"",'AGOSTO 2026'!Z8="POR RECOGER"),'AGOSTO 2026'!K8,"")</f>
        <v/>
      </c>
      <c r="G739" s="193" t="str">
        <f aca="false">IF(AND('AGOSTO 2026'!D8&lt;&gt;"",'AGOSTO 2026'!Z8="POR RECOGER"),'AGOSTO 2026'!M8,"")</f>
        <v/>
      </c>
      <c r="H739" s="193" t="str">
        <f aca="false">IF(AND('AGOSTO 2026'!D8&lt;&gt;"",'AGOSTO 2026'!Z8="POR RECOGER"),'AGOSTO 2026'!N8,"")</f>
        <v/>
      </c>
      <c r="I739" s="192" t="str">
        <f aca="false">IF(AND('AGOSTO 2026'!D8&lt;&gt;"",'AGOSTO 2026'!Z8="POR RECOGER"),'AGOSTO 2026'!P8,"")</f>
        <v/>
      </c>
      <c r="J739" s="192" t="str">
        <f aca="false">IF(AND('AGOSTO 2026'!D8&lt;&gt;"",'AGOSTO 2026'!Z8="POR RECOGER"),'AGOSTO 2026'!Q8,"")</f>
        <v/>
      </c>
      <c r="K739" s="192" t="str">
        <f aca="false">IF(AND('AGOSTO 2026'!D8&lt;&gt;"",'AGOSTO 2026'!Z8="POR RECOGER"),'AGOSTO 2026'!Y8,"")</f>
        <v/>
      </c>
      <c r="L739" s="192" t="str">
        <f aca="false">IF(AND('AGOSTO 2026'!D8&lt;&gt;"",'AGOSTO 2026'!Z8="POR RECOGER"),'AGOSTO 2026'!I8,"")</f>
        <v/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" hidden="false" customHeight="true" outlineLevel="0" collapsed="false">
      <c r="A740" s="192" t="str">
        <f aca="false">IF(AND('AGOSTO 2026'!D9&lt;&gt;"",'AGOSTO 2026'!Z9="POR RECOGER"),"AGO","")</f>
        <v/>
      </c>
      <c r="B740" s="192" t="str">
        <f aca="false">IF(AND('AGOSTO 2026'!D9&lt;&gt;"",'AGOSTO 2026'!Z9="POR RECOGER"),IF('AGOSTO 2026'!Y9&lt;&gt;"",'AGOSTO 2026'!Y9,'AGOSTO 2026'!I9),"")</f>
        <v/>
      </c>
      <c r="C740" s="192" t="str">
        <f aca="false">IF(AND('AGOSTO 2026'!D9&lt;&gt;"",'AGOSTO 2026'!Z9="POR RECOGER"),'AGOSTO 2026'!D9,"")</f>
        <v/>
      </c>
      <c r="D740" s="192" t="str">
        <f aca="false">IF(AND('AGOSTO 2026'!D9&lt;&gt;"",'AGOSTO 2026'!Z9="POR RECOGER"),'AGOSTO 2026'!F9,"")</f>
        <v/>
      </c>
      <c r="E740" s="192" t="str">
        <f aca="false">IF(AND('AGOSTO 2026'!D9&lt;&gt;"",'AGOSTO 2026'!Z9="POR RECOGER"),TEXT('AGOSTO 2026'!G9,"DD/MM/YYYY"),"")</f>
        <v/>
      </c>
      <c r="F740" s="192" t="str">
        <f aca="false">IF(AND('AGOSTO 2026'!D9&lt;&gt;"",'AGOSTO 2026'!Z9="POR RECOGER"),'AGOSTO 2026'!K9,"")</f>
        <v/>
      </c>
      <c r="G740" s="193" t="str">
        <f aca="false">IF(AND('AGOSTO 2026'!D9&lt;&gt;"",'AGOSTO 2026'!Z9="POR RECOGER"),'AGOSTO 2026'!M9,"")</f>
        <v/>
      </c>
      <c r="H740" s="193" t="str">
        <f aca="false">IF(AND('AGOSTO 2026'!D9&lt;&gt;"",'AGOSTO 2026'!Z9="POR RECOGER"),'AGOSTO 2026'!N9,"")</f>
        <v/>
      </c>
      <c r="I740" s="192" t="str">
        <f aca="false">IF(AND('AGOSTO 2026'!D9&lt;&gt;"",'AGOSTO 2026'!Z9="POR RECOGER"),'AGOSTO 2026'!P9,"")</f>
        <v/>
      </c>
      <c r="J740" s="192" t="str">
        <f aca="false">IF(AND('AGOSTO 2026'!D9&lt;&gt;"",'AGOSTO 2026'!Z9="POR RECOGER"),'AGOSTO 2026'!Q9,"")</f>
        <v/>
      </c>
      <c r="K740" s="192" t="str">
        <f aca="false">IF(AND('AGOSTO 2026'!D9&lt;&gt;"",'AGOSTO 2026'!Z9="POR RECOGER"),'AGOSTO 2026'!Y9,"")</f>
        <v/>
      </c>
      <c r="L740" s="192" t="str">
        <f aca="false">IF(AND('AGOSTO 2026'!D9&lt;&gt;"",'AGOSTO 2026'!Z9="POR RECOGER"),'AGOSTO 2026'!I9,"")</f>
        <v/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" hidden="false" customHeight="true" outlineLevel="0" collapsed="false">
      <c r="A741" s="192" t="str">
        <f aca="false">IF(AND('AGOSTO 2026'!D10&lt;&gt;"",'AGOSTO 2026'!Z10="POR RECOGER"),"AGO","")</f>
        <v/>
      </c>
      <c r="B741" s="192" t="str">
        <f aca="false">IF(AND('AGOSTO 2026'!D10&lt;&gt;"",'AGOSTO 2026'!Z10="POR RECOGER"),IF('AGOSTO 2026'!Y10&lt;&gt;"",'AGOSTO 2026'!Y10,'AGOSTO 2026'!I10),"")</f>
        <v/>
      </c>
      <c r="C741" s="192" t="str">
        <f aca="false">IF(AND('AGOSTO 2026'!D10&lt;&gt;"",'AGOSTO 2026'!Z10="POR RECOGER"),'AGOSTO 2026'!D10,"")</f>
        <v/>
      </c>
      <c r="D741" s="192" t="str">
        <f aca="false">IF(AND('AGOSTO 2026'!D10&lt;&gt;"",'AGOSTO 2026'!Z10="POR RECOGER"),'AGOSTO 2026'!F10,"")</f>
        <v/>
      </c>
      <c r="E741" s="192" t="str">
        <f aca="false">IF(AND('AGOSTO 2026'!D10&lt;&gt;"",'AGOSTO 2026'!Z10="POR RECOGER"),TEXT('AGOSTO 2026'!G10,"DD/MM/YYYY"),"")</f>
        <v/>
      </c>
      <c r="F741" s="192" t="str">
        <f aca="false">IF(AND('AGOSTO 2026'!D10&lt;&gt;"",'AGOSTO 2026'!Z10="POR RECOGER"),'AGOSTO 2026'!K10,"")</f>
        <v/>
      </c>
      <c r="G741" s="193" t="str">
        <f aca="false">IF(AND('AGOSTO 2026'!D10&lt;&gt;"",'AGOSTO 2026'!Z10="POR RECOGER"),'AGOSTO 2026'!M10,"")</f>
        <v/>
      </c>
      <c r="H741" s="193" t="str">
        <f aca="false">IF(AND('AGOSTO 2026'!D10&lt;&gt;"",'AGOSTO 2026'!Z10="POR RECOGER"),'AGOSTO 2026'!N10,"")</f>
        <v/>
      </c>
      <c r="I741" s="192" t="str">
        <f aca="false">IF(AND('AGOSTO 2026'!D10&lt;&gt;"",'AGOSTO 2026'!Z10="POR RECOGER"),'AGOSTO 2026'!P10,"")</f>
        <v/>
      </c>
      <c r="J741" s="192" t="str">
        <f aca="false">IF(AND('AGOSTO 2026'!D10&lt;&gt;"",'AGOSTO 2026'!Z10="POR RECOGER"),'AGOSTO 2026'!Q10,"")</f>
        <v/>
      </c>
      <c r="K741" s="192" t="str">
        <f aca="false">IF(AND('AGOSTO 2026'!D10&lt;&gt;"",'AGOSTO 2026'!Z10="POR RECOGER"),'AGOSTO 2026'!Y10,"")</f>
        <v/>
      </c>
      <c r="L741" s="192" t="str">
        <f aca="false">IF(AND('AGOSTO 2026'!D10&lt;&gt;"",'AGOSTO 2026'!Z10="POR RECOGER"),'AGOSTO 2026'!I10,"")</f>
        <v/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" hidden="false" customHeight="true" outlineLevel="0" collapsed="false">
      <c r="A742" s="192" t="str">
        <f aca="false">IF(AND('AGOSTO 2026'!D11&lt;&gt;"",'AGOSTO 2026'!Z11="POR RECOGER"),"AGO","")</f>
        <v/>
      </c>
      <c r="B742" s="192" t="str">
        <f aca="false">IF(AND('AGOSTO 2026'!D11&lt;&gt;"",'AGOSTO 2026'!Z11="POR RECOGER"),IF('AGOSTO 2026'!Y11&lt;&gt;"",'AGOSTO 2026'!Y11,'AGOSTO 2026'!I11),"")</f>
        <v/>
      </c>
      <c r="C742" s="192" t="str">
        <f aca="false">IF(AND('AGOSTO 2026'!D11&lt;&gt;"",'AGOSTO 2026'!Z11="POR RECOGER"),'AGOSTO 2026'!D11,"")</f>
        <v/>
      </c>
      <c r="D742" s="192" t="str">
        <f aca="false">IF(AND('AGOSTO 2026'!D11&lt;&gt;"",'AGOSTO 2026'!Z11="POR RECOGER"),'AGOSTO 2026'!F11,"")</f>
        <v/>
      </c>
      <c r="E742" s="192" t="str">
        <f aca="false">IF(AND('AGOSTO 2026'!D11&lt;&gt;"",'AGOSTO 2026'!Z11="POR RECOGER"),TEXT('AGOSTO 2026'!G11,"DD/MM/YYYY"),"")</f>
        <v/>
      </c>
      <c r="F742" s="192" t="str">
        <f aca="false">IF(AND('AGOSTO 2026'!D11&lt;&gt;"",'AGOSTO 2026'!Z11="POR RECOGER"),'AGOSTO 2026'!K11,"")</f>
        <v/>
      </c>
      <c r="G742" s="193" t="str">
        <f aca="false">IF(AND('AGOSTO 2026'!D11&lt;&gt;"",'AGOSTO 2026'!Z11="POR RECOGER"),'AGOSTO 2026'!M11,"")</f>
        <v/>
      </c>
      <c r="H742" s="193" t="str">
        <f aca="false">IF(AND('AGOSTO 2026'!D11&lt;&gt;"",'AGOSTO 2026'!Z11="POR RECOGER"),'AGOSTO 2026'!N11,"")</f>
        <v/>
      </c>
      <c r="I742" s="192" t="str">
        <f aca="false">IF(AND('AGOSTO 2026'!D11&lt;&gt;"",'AGOSTO 2026'!Z11="POR RECOGER"),'AGOSTO 2026'!P11,"")</f>
        <v/>
      </c>
      <c r="J742" s="192" t="str">
        <f aca="false">IF(AND('AGOSTO 2026'!D11&lt;&gt;"",'AGOSTO 2026'!Z11="POR RECOGER"),'AGOSTO 2026'!Q11,"")</f>
        <v/>
      </c>
      <c r="K742" s="192" t="str">
        <f aca="false">IF(AND('AGOSTO 2026'!D11&lt;&gt;"",'AGOSTO 2026'!Z11="POR RECOGER"),'AGOSTO 2026'!Y11,"")</f>
        <v/>
      </c>
      <c r="L742" s="192" t="str">
        <f aca="false">IF(AND('AGOSTO 2026'!D11&lt;&gt;"",'AGOSTO 2026'!Z11="POR RECOGER"),'AGOSTO 2026'!I11,"")</f>
        <v/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" hidden="false" customHeight="true" outlineLevel="0" collapsed="false">
      <c r="A743" s="192" t="str">
        <f aca="false">IF(AND('AGOSTO 2026'!D12&lt;&gt;"",'AGOSTO 2026'!Z12="POR RECOGER"),"AGO","")</f>
        <v/>
      </c>
      <c r="B743" s="192" t="str">
        <f aca="false">IF(AND('AGOSTO 2026'!D12&lt;&gt;"",'AGOSTO 2026'!Z12="POR RECOGER"),IF('AGOSTO 2026'!Y12&lt;&gt;"",'AGOSTO 2026'!Y12,'AGOSTO 2026'!I12),"")</f>
        <v/>
      </c>
      <c r="C743" s="192" t="str">
        <f aca="false">IF(AND('AGOSTO 2026'!D12&lt;&gt;"",'AGOSTO 2026'!Z12="POR RECOGER"),'AGOSTO 2026'!D12,"")</f>
        <v/>
      </c>
      <c r="D743" s="192" t="str">
        <f aca="false">IF(AND('AGOSTO 2026'!D12&lt;&gt;"",'AGOSTO 2026'!Z12="POR RECOGER"),'AGOSTO 2026'!F12,"")</f>
        <v/>
      </c>
      <c r="E743" s="192" t="str">
        <f aca="false">IF(AND('AGOSTO 2026'!D12&lt;&gt;"",'AGOSTO 2026'!Z12="POR RECOGER"),TEXT('AGOSTO 2026'!G12,"DD/MM/YYYY"),"")</f>
        <v/>
      </c>
      <c r="F743" s="192" t="str">
        <f aca="false">IF(AND('AGOSTO 2026'!D12&lt;&gt;"",'AGOSTO 2026'!Z12="POR RECOGER"),'AGOSTO 2026'!K12,"")</f>
        <v/>
      </c>
      <c r="G743" s="193" t="str">
        <f aca="false">IF(AND('AGOSTO 2026'!D12&lt;&gt;"",'AGOSTO 2026'!Z12="POR RECOGER"),'AGOSTO 2026'!M12,"")</f>
        <v/>
      </c>
      <c r="H743" s="193" t="str">
        <f aca="false">IF(AND('AGOSTO 2026'!D12&lt;&gt;"",'AGOSTO 2026'!Z12="POR RECOGER"),'AGOSTO 2026'!N12,"")</f>
        <v/>
      </c>
      <c r="I743" s="192" t="str">
        <f aca="false">IF(AND('AGOSTO 2026'!D12&lt;&gt;"",'AGOSTO 2026'!Z12="POR RECOGER"),'AGOSTO 2026'!P12,"")</f>
        <v/>
      </c>
      <c r="J743" s="192" t="str">
        <f aca="false">IF(AND('AGOSTO 2026'!D12&lt;&gt;"",'AGOSTO 2026'!Z12="POR RECOGER"),'AGOSTO 2026'!Q12,"")</f>
        <v/>
      </c>
      <c r="K743" s="192" t="str">
        <f aca="false">IF(AND('AGOSTO 2026'!D12&lt;&gt;"",'AGOSTO 2026'!Z12="POR RECOGER"),'AGOSTO 2026'!Y12,"")</f>
        <v/>
      </c>
      <c r="L743" s="192" t="str">
        <f aca="false">IF(AND('AGOSTO 2026'!D12&lt;&gt;"",'AGOSTO 2026'!Z12="POR RECOGER"),'AGOSTO 2026'!I12,"")</f>
        <v/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" hidden="false" customHeight="true" outlineLevel="0" collapsed="false">
      <c r="A744" s="192" t="str">
        <f aca="false">IF(AND('AGOSTO 2026'!D13&lt;&gt;"",'AGOSTO 2026'!Z13="POR RECOGER"),"AGO","")</f>
        <v/>
      </c>
      <c r="B744" s="192" t="str">
        <f aca="false">IF(AND('AGOSTO 2026'!D13&lt;&gt;"",'AGOSTO 2026'!Z13="POR RECOGER"),IF('AGOSTO 2026'!Y13&lt;&gt;"",'AGOSTO 2026'!Y13,'AGOSTO 2026'!I13),"")</f>
        <v/>
      </c>
      <c r="C744" s="192" t="str">
        <f aca="false">IF(AND('AGOSTO 2026'!D13&lt;&gt;"",'AGOSTO 2026'!Z13="POR RECOGER"),'AGOSTO 2026'!D13,"")</f>
        <v/>
      </c>
      <c r="D744" s="192" t="str">
        <f aca="false">IF(AND('AGOSTO 2026'!D13&lt;&gt;"",'AGOSTO 2026'!Z13="POR RECOGER"),'AGOSTO 2026'!F13,"")</f>
        <v/>
      </c>
      <c r="E744" s="192" t="str">
        <f aca="false">IF(AND('AGOSTO 2026'!D13&lt;&gt;"",'AGOSTO 2026'!Z13="POR RECOGER"),TEXT('AGOSTO 2026'!G13,"DD/MM/YYYY"),"")</f>
        <v/>
      </c>
      <c r="F744" s="192" t="str">
        <f aca="false">IF(AND('AGOSTO 2026'!D13&lt;&gt;"",'AGOSTO 2026'!Z13="POR RECOGER"),'AGOSTO 2026'!K13,"")</f>
        <v/>
      </c>
      <c r="G744" s="193" t="str">
        <f aca="false">IF(AND('AGOSTO 2026'!D13&lt;&gt;"",'AGOSTO 2026'!Z13="POR RECOGER"),'AGOSTO 2026'!M13,"")</f>
        <v/>
      </c>
      <c r="H744" s="193" t="str">
        <f aca="false">IF(AND('AGOSTO 2026'!D13&lt;&gt;"",'AGOSTO 2026'!Z13="POR RECOGER"),'AGOSTO 2026'!N13,"")</f>
        <v/>
      </c>
      <c r="I744" s="192" t="str">
        <f aca="false">IF(AND('AGOSTO 2026'!D13&lt;&gt;"",'AGOSTO 2026'!Z13="POR RECOGER"),'AGOSTO 2026'!P13,"")</f>
        <v/>
      </c>
      <c r="J744" s="192" t="str">
        <f aca="false">IF(AND('AGOSTO 2026'!D13&lt;&gt;"",'AGOSTO 2026'!Z13="POR RECOGER"),'AGOSTO 2026'!Q13,"")</f>
        <v/>
      </c>
      <c r="K744" s="192" t="str">
        <f aca="false">IF(AND('AGOSTO 2026'!D13&lt;&gt;"",'AGOSTO 2026'!Z13="POR RECOGER"),'AGOSTO 2026'!Y13,"")</f>
        <v/>
      </c>
      <c r="L744" s="192" t="str">
        <f aca="false">IF(AND('AGOSTO 2026'!D13&lt;&gt;"",'AGOSTO 2026'!Z13="POR RECOGER"),'AGOSTO 2026'!I13,"")</f>
        <v/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" hidden="false" customHeight="true" outlineLevel="0" collapsed="false">
      <c r="A745" s="192" t="str">
        <f aca="false">IF(AND('AGOSTO 2026'!D14&lt;&gt;"",'AGOSTO 2026'!Z14="POR RECOGER"),"AGO","")</f>
        <v/>
      </c>
      <c r="B745" s="192" t="str">
        <f aca="false">IF(AND('AGOSTO 2026'!D14&lt;&gt;"",'AGOSTO 2026'!Z14="POR RECOGER"),IF('AGOSTO 2026'!Y14&lt;&gt;"",'AGOSTO 2026'!Y14,'AGOSTO 2026'!I14),"")</f>
        <v/>
      </c>
      <c r="C745" s="192" t="str">
        <f aca="false">IF(AND('AGOSTO 2026'!D14&lt;&gt;"",'AGOSTO 2026'!Z14="POR RECOGER"),'AGOSTO 2026'!D14,"")</f>
        <v/>
      </c>
      <c r="D745" s="192" t="str">
        <f aca="false">IF(AND('AGOSTO 2026'!D14&lt;&gt;"",'AGOSTO 2026'!Z14="POR RECOGER"),'AGOSTO 2026'!F14,"")</f>
        <v/>
      </c>
      <c r="E745" s="192" t="str">
        <f aca="false">IF(AND('AGOSTO 2026'!D14&lt;&gt;"",'AGOSTO 2026'!Z14="POR RECOGER"),TEXT('AGOSTO 2026'!G14,"DD/MM/YYYY"),"")</f>
        <v/>
      </c>
      <c r="F745" s="192" t="str">
        <f aca="false">IF(AND('AGOSTO 2026'!D14&lt;&gt;"",'AGOSTO 2026'!Z14="POR RECOGER"),'AGOSTO 2026'!K14,"")</f>
        <v/>
      </c>
      <c r="G745" s="193" t="str">
        <f aca="false">IF(AND('AGOSTO 2026'!D14&lt;&gt;"",'AGOSTO 2026'!Z14="POR RECOGER"),'AGOSTO 2026'!M14,"")</f>
        <v/>
      </c>
      <c r="H745" s="193" t="str">
        <f aca="false">IF(AND('AGOSTO 2026'!D14&lt;&gt;"",'AGOSTO 2026'!Z14="POR RECOGER"),'AGOSTO 2026'!N14,"")</f>
        <v/>
      </c>
      <c r="I745" s="192" t="str">
        <f aca="false">IF(AND('AGOSTO 2026'!D14&lt;&gt;"",'AGOSTO 2026'!Z14="POR RECOGER"),'AGOSTO 2026'!P14,"")</f>
        <v/>
      </c>
      <c r="J745" s="192" t="str">
        <f aca="false">IF(AND('AGOSTO 2026'!D14&lt;&gt;"",'AGOSTO 2026'!Z14="POR RECOGER"),'AGOSTO 2026'!Q14,"")</f>
        <v/>
      </c>
      <c r="K745" s="192" t="str">
        <f aca="false">IF(AND('AGOSTO 2026'!D14&lt;&gt;"",'AGOSTO 2026'!Z14="POR RECOGER"),'AGOSTO 2026'!Y14,"")</f>
        <v/>
      </c>
      <c r="L745" s="192" t="str">
        <f aca="false">IF(AND('AGOSTO 2026'!D14&lt;&gt;"",'AGOSTO 2026'!Z14="POR RECOGER"),'AGOSTO 2026'!I14,"")</f>
        <v/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" hidden="false" customHeight="true" outlineLevel="0" collapsed="false">
      <c r="A746" s="192" t="str">
        <f aca="false">IF(AND('AGOSTO 2026'!D15&lt;&gt;"",'AGOSTO 2026'!Z15="POR RECOGER"),"AGO","")</f>
        <v/>
      </c>
      <c r="B746" s="192" t="str">
        <f aca="false">IF(AND('AGOSTO 2026'!D15&lt;&gt;"",'AGOSTO 2026'!Z15="POR RECOGER"),IF('AGOSTO 2026'!Y15&lt;&gt;"",'AGOSTO 2026'!Y15,'AGOSTO 2026'!I15),"")</f>
        <v/>
      </c>
      <c r="C746" s="192" t="str">
        <f aca="false">IF(AND('AGOSTO 2026'!D15&lt;&gt;"",'AGOSTO 2026'!Z15="POR RECOGER"),'AGOSTO 2026'!D15,"")</f>
        <v/>
      </c>
      <c r="D746" s="192" t="str">
        <f aca="false">IF(AND('AGOSTO 2026'!D15&lt;&gt;"",'AGOSTO 2026'!Z15="POR RECOGER"),'AGOSTO 2026'!F15,"")</f>
        <v/>
      </c>
      <c r="E746" s="192" t="str">
        <f aca="false">IF(AND('AGOSTO 2026'!D15&lt;&gt;"",'AGOSTO 2026'!Z15="POR RECOGER"),TEXT('AGOSTO 2026'!G15,"DD/MM/YYYY"),"")</f>
        <v/>
      </c>
      <c r="F746" s="192" t="str">
        <f aca="false">IF(AND('AGOSTO 2026'!D15&lt;&gt;"",'AGOSTO 2026'!Z15="POR RECOGER"),'AGOSTO 2026'!K15,"")</f>
        <v/>
      </c>
      <c r="G746" s="193" t="str">
        <f aca="false">IF(AND('AGOSTO 2026'!D15&lt;&gt;"",'AGOSTO 2026'!Z15="POR RECOGER"),'AGOSTO 2026'!M15,"")</f>
        <v/>
      </c>
      <c r="H746" s="193" t="str">
        <f aca="false">IF(AND('AGOSTO 2026'!D15&lt;&gt;"",'AGOSTO 2026'!Z15="POR RECOGER"),'AGOSTO 2026'!N15,"")</f>
        <v/>
      </c>
      <c r="I746" s="192" t="str">
        <f aca="false">IF(AND('AGOSTO 2026'!D15&lt;&gt;"",'AGOSTO 2026'!Z15="POR RECOGER"),'AGOSTO 2026'!P15,"")</f>
        <v/>
      </c>
      <c r="J746" s="192" t="str">
        <f aca="false">IF(AND('AGOSTO 2026'!D15&lt;&gt;"",'AGOSTO 2026'!Z15="POR RECOGER"),'AGOSTO 2026'!Q15,"")</f>
        <v/>
      </c>
      <c r="K746" s="192" t="str">
        <f aca="false">IF(AND('AGOSTO 2026'!D15&lt;&gt;"",'AGOSTO 2026'!Z15="POR RECOGER"),'AGOSTO 2026'!Y15,"")</f>
        <v/>
      </c>
      <c r="L746" s="192" t="str">
        <f aca="false">IF(AND('AGOSTO 2026'!D15&lt;&gt;"",'AGOSTO 2026'!Z15="POR RECOGER"),'AGOSTO 2026'!I15,"")</f>
        <v/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" hidden="false" customHeight="true" outlineLevel="0" collapsed="false">
      <c r="A747" s="192" t="str">
        <f aca="false">IF(AND('AGOSTO 2026'!D16&lt;&gt;"",'AGOSTO 2026'!Z16="POR RECOGER"),"AGO","")</f>
        <v/>
      </c>
      <c r="B747" s="192" t="str">
        <f aca="false">IF(AND('AGOSTO 2026'!D16&lt;&gt;"",'AGOSTO 2026'!Z16="POR RECOGER"),IF('AGOSTO 2026'!Y16&lt;&gt;"",'AGOSTO 2026'!Y16,'AGOSTO 2026'!I16),"")</f>
        <v/>
      </c>
      <c r="C747" s="192" t="str">
        <f aca="false">IF(AND('AGOSTO 2026'!D16&lt;&gt;"",'AGOSTO 2026'!Z16="POR RECOGER"),'AGOSTO 2026'!D16,"")</f>
        <v/>
      </c>
      <c r="D747" s="192" t="str">
        <f aca="false">IF(AND('AGOSTO 2026'!D16&lt;&gt;"",'AGOSTO 2026'!Z16="POR RECOGER"),'AGOSTO 2026'!F16,"")</f>
        <v/>
      </c>
      <c r="E747" s="192" t="str">
        <f aca="false">IF(AND('AGOSTO 2026'!D16&lt;&gt;"",'AGOSTO 2026'!Z16="POR RECOGER"),TEXT('AGOSTO 2026'!G16,"DD/MM/YYYY"),"")</f>
        <v/>
      </c>
      <c r="F747" s="192" t="str">
        <f aca="false">IF(AND('AGOSTO 2026'!D16&lt;&gt;"",'AGOSTO 2026'!Z16="POR RECOGER"),'AGOSTO 2026'!K16,"")</f>
        <v/>
      </c>
      <c r="G747" s="193" t="str">
        <f aca="false">IF(AND('AGOSTO 2026'!D16&lt;&gt;"",'AGOSTO 2026'!Z16="POR RECOGER"),'AGOSTO 2026'!M16,"")</f>
        <v/>
      </c>
      <c r="H747" s="193" t="str">
        <f aca="false">IF(AND('AGOSTO 2026'!D16&lt;&gt;"",'AGOSTO 2026'!Z16="POR RECOGER"),'AGOSTO 2026'!N16,"")</f>
        <v/>
      </c>
      <c r="I747" s="192" t="str">
        <f aca="false">IF(AND('AGOSTO 2026'!D16&lt;&gt;"",'AGOSTO 2026'!Z16="POR RECOGER"),'AGOSTO 2026'!P16,"")</f>
        <v/>
      </c>
      <c r="J747" s="192" t="str">
        <f aca="false">IF(AND('AGOSTO 2026'!D16&lt;&gt;"",'AGOSTO 2026'!Z16="POR RECOGER"),'AGOSTO 2026'!Q16,"")</f>
        <v/>
      </c>
      <c r="K747" s="192" t="str">
        <f aca="false">IF(AND('AGOSTO 2026'!D16&lt;&gt;"",'AGOSTO 2026'!Z16="POR RECOGER"),'AGOSTO 2026'!Y16,"")</f>
        <v/>
      </c>
      <c r="L747" s="192" t="str">
        <f aca="false">IF(AND('AGOSTO 2026'!D16&lt;&gt;"",'AGOSTO 2026'!Z16="POR RECOGER"),'AGOSTO 2026'!I16,"")</f>
        <v/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" hidden="false" customHeight="true" outlineLevel="0" collapsed="false">
      <c r="A748" s="192" t="str">
        <f aca="false">IF(AND('AGOSTO 2026'!D17&lt;&gt;"",'AGOSTO 2026'!Z17="POR RECOGER"),"AGO","")</f>
        <v/>
      </c>
      <c r="B748" s="192" t="str">
        <f aca="false">IF(AND('AGOSTO 2026'!D17&lt;&gt;"",'AGOSTO 2026'!Z17="POR RECOGER"),IF('AGOSTO 2026'!Y17&lt;&gt;"",'AGOSTO 2026'!Y17,'AGOSTO 2026'!I17),"")</f>
        <v/>
      </c>
      <c r="C748" s="192" t="str">
        <f aca="false">IF(AND('AGOSTO 2026'!D17&lt;&gt;"",'AGOSTO 2026'!Z17="POR RECOGER"),'AGOSTO 2026'!D17,"")</f>
        <v/>
      </c>
      <c r="D748" s="192" t="str">
        <f aca="false">IF(AND('AGOSTO 2026'!D17&lt;&gt;"",'AGOSTO 2026'!Z17="POR RECOGER"),'AGOSTO 2026'!F17,"")</f>
        <v/>
      </c>
      <c r="E748" s="192" t="str">
        <f aca="false">IF(AND('AGOSTO 2026'!D17&lt;&gt;"",'AGOSTO 2026'!Z17="POR RECOGER"),TEXT('AGOSTO 2026'!G17,"DD/MM/YYYY"),"")</f>
        <v/>
      </c>
      <c r="F748" s="192" t="str">
        <f aca="false">IF(AND('AGOSTO 2026'!D17&lt;&gt;"",'AGOSTO 2026'!Z17="POR RECOGER"),'AGOSTO 2026'!K17,"")</f>
        <v/>
      </c>
      <c r="G748" s="193" t="str">
        <f aca="false">IF(AND('AGOSTO 2026'!D17&lt;&gt;"",'AGOSTO 2026'!Z17="POR RECOGER"),'AGOSTO 2026'!M17,"")</f>
        <v/>
      </c>
      <c r="H748" s="193" t="str">
        <f aca="false">IF(AND('AGOSTO 2026'!D17&lt;&gt;"",'AGOSTO 2026'!Z17="POR RECOGER"),'AGOSTO 2026'!N17,"")</f>
        <v/>
      </c>
      <c r="I748" s="192" t="str">
        <f aca="false">IF(AND('AGOSTO 2026'!D17&lt;&gt;"",'AGOSTO 2026'!Z17="POR RECOGER"),'AGOSTO 2026'!P17,"")</f>
        <v/>
      </c>
      <c r="J748" s="192" t="str">
        <f aca="false">IF(AND('AGOSTO 2026'!D17&lt;&gt;"",'AGOSTO 2026'!Z17="POR RECOGER"),'AGOSTO 2026'!Q17,"")</f>
        <v/>
      </c>
      <c r="K748" s="192" t="str">
        <f aca="false">IF(AND('AGOSTO 2026'!D17&lt;&gt;"",'AGOSTO 2026'!Z17="POR RECOGER"),'AGOSTO 2026'!Y17,"")</f>
        <v/>
      </c>
      <c r="L748" s="192" t="str">
        <f aca="false">IF(AND('AGOSTO 2026'!D17&lt;&gt;"",'AGOSTO 2026'!Z17="POR RECOGER"),'AGOSTO 2026'!I17,"")</f>
        <v/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" hidden="false" customHeight="true" outlineLevel="0" collapsed="false">
      <c r="A749" s="192" t="str">
        <f aca="false">IF(AND('AGOSTO 2026'!D18&lt;&gt;"",'AGOSTO 2026'!Z18="POR RECOGER"),"AGO","")</f>
        <v/>
      </c>
      <c r="B749" s="192" t="str">
        <f aca="false">IF(AND('AGOSTO 2026'!D18&lt;&gt;"",'AGOSTO 2026'!Z18="POR RECOGER"),IF('AGOSTO 2026'!Y18&lt;&gt;"",'AGOSTO 2026'!Y18,'AGOSTO 2026'!I18),"")</f>
        <v/>
      </c>
      <c r="C749" s="192" t="str">
        <f aca="false">IF(AND('AGOSTO 2026'!D18&lt;&gt;"",'AGOSTO 2026'!Z18="POR RECOGER"),'AGOSTO 2026'!D18,"")</f>
        <v/>
      </c>
      <c r="D749" s="192" t="str">
        <f aca="false">IF(AND('AGOSTO 2026'!D18&lt;&gt;"",'AGOSTO 2026'!Z18="POR RECOGER"),'AGOSTO 2026'!F18,"")</f>
        <v/>
      </c>
      <c r="E749" s="192" t="str">
        <f aca="false">IF(AND('AGOSTO 2026'!D18&lt;&gt;"",'AGOSTO 2026'!Z18="POR RECOGER"),TEXT('AGOSTO 2026'!G18,"DD/MM/YYYY"),"")</f>
        <v/>
      </c>
      <c r="F749" s="192" t="str">
        <f aca="false">IF(AND('AGOSTO 2026'!D18&lt;&gt;"",'AGOSTO 2026'!Z18="POR RECOGER"),'AGOSTO 2026'!K18,"")</f>
        <v/>
      </c>
      <c r="G749" s="193" t="str">
        <f aca="false">IF(AND('AGOSTO 2026'!D18&lt;&gt;"",'AGOSTO 2026'!Z18="POR RECOGER"),'AGOSTO 2026'!M18,"")</f>
        <v/>
      </c>
      <c r="H749" s="193" t="str">
        <f aca="false">IF(AND('AGOSTO 2026'!D18&lt;&gt;"",'AGOSTO 2026'!Z18="POR RECOGER"),'AGOSTO 2026'!N18,"")</f>
        <v/>
      </c>
      <c r="I749" s="192" t="str">
        <f aca="false">IF(AND('AGOSTO 2026'!D18&lt;&gt;"",'AGOSTO 2026'!Z18="POR RECOGER"),'AGOSTO 2026'!P18,"")</f>
        <v/>
      </c>
      <c r="J749" s="192" t="str">
        <f aca="false">IF(AND('AGOSTO 2026'!D18&lt;&gt;"",'AGOSTO 2026'!Z18="POR RECOGER"),'AGOSTO 2026'!Q18,"")</f>
        <v/>
      </c>
      <c r="K749" s="192" t="str">
        <f aca="false">IF(AND('AGOSTO 2026'!D18&lt;&gt;"",'AGOSTO 2026'!Z18="POR RECOGER"),'AGOSTO 2026'!Y18,"")</f>
        <v/>
      </c>
      <c r="L749" s="192" t="str">
        <f aca="false">IF(AND('AGOSTO 2026'!D18&lt;&gt;"",'AGOSTO 2026'!Z18="POR RECOGER"),'AGOSTO 2026'!I18,"")</f>
        <v/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" hidden="false" customHeight="true" outlineLevel="0" collapsed="false">
      <c r="A750" s="192" t="str">
        <f aca="false">IF(AND('AGOSTO 2026'!D19&lt;&gt;"",'AGOSTO 2026'!Z19="POR RECOGER"),"AGO","")</f>
        <v/>
      </c>
      <c r="B750" s="192" t="str">
        <f aca="false">IF(AND('AGOSTO 2026'!D19&lt;&gt;"",'AGOSTO 2026'!Z19="POR RECOGER"),IF('AGOSTO 2026'!Y19&lt;&gt;"",'AGOSTO 2026'!Y19,'AGOSTO 2026'!I19),"")</f>
        <v/>
      </c>
      <c r="C750" s="192" t="str">
        <f aca="false">IF(AND('AGOSTO 2026'!D19&lt;&gt;"",'AGOSTO 2026'!Z19="POR RECOGER"),'AGOSTO 2026'!D19,"")</f>
        <v/>
      </c>
      <c r="D750" s="192" t="str">
        <f aca="false">IF(AND('AGOSTO 2026'!D19&lt;&gt;"",'AGOSTO 2026'!Z19="POR RECOGER"),'AGOSTO 2026'!F19,"")</f>
        <v/>
      </c>
      <c r="E750" s="192" t="str">
        <f aca="false">IF(AND('AGOSTO 2026'!D19&lt;&gt;"",'AGOSTO 2026'!Z19="POR RECOGER"),TEXT('AGOSTO 2026'!G19,"DD/MM/YYYY"),"")</f>
        <v/>
      </c>
      <c r="F750" s="192" t="str">
        <f aca="false">IF(AND('AGOSTO 2026'!D19&lt;&gt;"",'AGOSTO 2026'!Z19="POR RECOGER"),'AGOSTO 2026'!K19,"")</f>
        <v/>
      </c>
      <c r="G750" s="193" t="str">
        <f aca="false">IF(AND('AGOSTO 2026'!D19&lt;&gt;"",'AGOSTO 2026'!Z19="POR RECOGER"),'AGOSTO 2026'!M19,"")</f>
        <v/>
      </c>
      <c r="H750" s="193" t="str">
        <f aca="false">IF(AND('AGOSTO 2026'!D19&lt;&gt;"",'AGOSTO 2026'!Z19="POR RECOGER"),'AGOSTO 2026'!N19,"")</f>
        <v/>
      </c>
      <c r="I750" s="192" t="str">
        <f aca="false">IF(AND('AGOSTO 2026'!D19&lt;&gt;"",'AGOSTO 2026'!Z19="POR RECOGER"),'AGOSTO 2026'!P19,"")</f>
        <v/>
      </c>
      <c r="J750" s="192" t="str">
        <f aca="false">IF(AND('AGOSTO 2026'!D19&lt;&gt;"",'AGOSTO 2026'!Z19="POR RECOGER"),'AGOSTO 2026'!Q19,"")</f>
        <v/>
      </c>
      <c r="K750" s="192" t="str">
        <f aca="false">IF(AND('AGOSTO 2026'!D19&lt;&gt;"",'AGOSTO 2026'!Z19="POR RECOGER"),'AGOSTO 2026'!Y19,"")</f>
        <v/>
      </c>
      <c r="L750" s="192" t="str">
        <f aca="false">IF(AND('AGOSTO 2026'!D19&lt;&gt;"",'AGOSTO 2026'!Z19="POR RECOGER"),'AGOSTO 2026'!I19,"")</f>
        <v/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" hidden="false" customHeight="true" outlineLevel="0" collapsed="false">
      <c r="A751" s="192" t="str">
        <f aca="false">IF(AND('AGOSTO 2026'!D20&lt;&gt;"",'AGOSTO 2026'!Z20="POR RECOGER"),"AGO","")</f>
        <v/>
      </c>
      <c r="B751" s="192" t="str">
        <f aca="false">IF(AND('AGOSTO 2026'!D20&lt;&gt;"",'AGOSTO 2026'!Z20="POR RECOGER"),IF('AGOSTO 2026'!Y20&lt;&gt;"",'AGOSTO 2026'!Y20,'AGOSTO 2026'!I20),"")</f>
        <v/>
      </c>
      <c r="C751" s="192" t="str">
        <f aca="false">IF(AND('AGOSTO 2026'!D20&lt;&gt;"",'AGOSTO 2026'!Z20="POR RECOGER"),'AGOSTO 2026'!D20,"")</f>
        <v/>
      </c>
      <c r="D751" s="192" t="str">
        <f aca="false">IF(AND('AGOSTO 2026'!D20&lt;&gt;"",'AGOSTO 2026'!Z20="POR RECOGER"),'AGOSTO 2026'!F20,"")</f>
        <v/>
      </c>
      <c r="E751" s="192" t="str">
        <f aca="false">IF(AND('AGOSTO 2026'!D20&lt;&gt;"",'AGOSTO 2026'!Z20="POR RECOGER"),TEXT('AGOSTO 2026'!G20,"DD/MM/YYYY"),"")</f>
        <v/>
      </c>
      <c r="F751" s="192" t="str">
        <f aca="false">IF(AND('AGOSTO 2026'!D20&lt;&gt;"",'AGOSTO 2026'!Z20="POR RECOGER"),'AGOSTO 2026'!K20,"")</f>
        <v/>
      </c>
      <c r="G751" s="193" t="str">
        <f aca="false">IF(AND('AGOSTO 2026'!D20&lt;&gt;"",'AGOSTO 2026'!Z20="POR RECOGER"),'AGOSTO 2026'!M20,"")</f>
        <v/>
      </c>
      <c r="H751" s="193" t="str">
        <f aca="false">IF(AND('AGOSTO 2026'!D20&lt;&gt;"",'AGOSTO 2026'!Z20="POR RECOGER"),'AGOSTO 2026'!N20,"")</f>
        <v/>
      </c>
      <c r="I751" s="192" t="str">
        <f aca="false">IF(AND('AGOSTO 2026'!D20&lt;&gt;"",'AGOSTO 2026'!Z20="POR RECOGER"),'AGOSTO 2026'!P20,"")</f>
        <v/>
      </c>
      <c r="J751" s="192" t="str">
        <f aca="false">IF(AND('AGOSTO 2026'!D20&lt;&gt;"",'AGOSTO 2026'!Z20="POR RECOGER"),'AGOSTO 2026'!Q20,"")</f>
        <v/>
      </c>
      <c r="K751" s="192" t="str">
        <f aca="false">IF(AND('AGOSTO 2026'!D20&lt;&gt;"",'AGOSTO 2026'!Z20="POR RECOGER"),'AGOSTO 2026'!Y20,"")</f>
        <v/>
      </c>
      <c r="L751" s="192" t="str">
        <f aca="false">IF(AND('AGOSTO 2026'!D20&lt;&gt;"",'AGOSTO 2026'!Z20="POR RECOGER"),'AGOSTO 2026'!I20,"")</f>
        <v/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" hidden="false" customHeight="true" outlineLevel="0" collapsed="false">
      <c r="A752" s="192" t="str">
        <f aca="false">IF(AND('AGOSTO 2026'!D21&lt;&gt;"",'AGOSTO 2026'!Z21="POR RECOGER"),"AGO","")</f>
        <v/>
      </c>
      <c r="B752" s="192" t="str">
        <f aca="false">IF(AND('AGOSTO 2026'!D21&lt;&gt;"",'AGOSTO 2026'!Z21="POR RECOGER"),IF('AGOSTO 2026'!Y21&lt;&gt;"",'AGOSTO 2026'!Y21,'AGOSTO 2026'!I21),"")</f>
        <v/>
      </c>
      <c r="C752" s="192" t="str">
        <f aca="false">IF(AND('AGOSTO 2026'!D21&lt;&gt;"",'AGOSTO 2026'!Z21="POR RECOGER"),'AGOSTO 2026'!D21,"")</f>
        <v/>
      </c>
      <c r="D752" s="192" t="str">
        <f aca="false">IF(AND('AGOSTO 2026'!D21&lt;&gt;"",'AGOSTO 2026'!Z21="POR RECOGER"),'AGOSTO 2026'!F21,"")</f>
        <v/>
      </c>
      <c r="E752" s="192" t="str">
        <f aca="false">IF(AND('AGOSTO 2026'!D21&lt;&gt;"",'AGOSTO 2026'!Z21="POR RECOGER"),TEXT('AGOSTO 2026'!G21,"DD/MM/YYYY"),"")</f>
        <v/>
      </c>
      <c r="F752" s="192" t="str">
        <f aca="false">IF(AND('AGOSTO 2026'!D21&lt;&gt;"",'AGOSTO 2026'!Z21="POR RECOGER"),'AGOSTO 2026'!K21,"")</f>
        <v/>
      </c>
      <c r="G752" s="193" t="str">
        <f aca="false">IF(AND('AGOSTO 2026'!D21&lt;&gt;"",'AGOSTO 2026'!Z21="POR RECOGER"),'AGOSTO 2026'!M21,"")</f>
        <v/>
      </c>
      <c r="H752" s="193" t="str">
        <f aca="false">IF(AND('AGOSTO 2026'!D21&lt;&gt;"",'AGOSTO 2026'!Z21="POR RECOGER"),'AGOSTO 2026'!N21,"")</f>
        <v/>
      </c>
      <c r="I752" s="192" t="str">
        <f aca="false">IF(AND('AGOSTO 2026'!D21&lt;&gt;"",'AGOSTO 2026'!Z21="POR RECOGER"),'AGOSTO 2026'!P21,"")</f>
        <v/>
      </c>
      <c r="J752" s="192" t="str">
        <f aca="false">IF(AND('AGOSTO 2026'!D21&lt;&gt;"",'AGOSTO 2026'!Z21="POR RECOGER"),'AGOSTO 2026'!Q21,"")</f>
        <v/>
      </c>
      <c r="K752" s="192" t="str">
        <f aca="false">IF(AND('AGOSTO 2026'!D21&lt;&gt;"",'AGOSTO 2026'!Z21="POR RECOGER"),'AGOSTO 2026'!Y21,"")</f>
        <v/>
      </c>
      <c r="L752" s="192" t="str">
        <f aca="false">IF(AND('AGOSTO 2026'!D21&lt;&gt;"",'AGOSTO 2026'!Z21="POR RECOGER"),'AGOSTO 2026'!I21,"")</f>
        <v/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" hidden="false" customHeight="true" outlineLevel="0" collapsed="false">
      <c r="A753" s="192" t="str">
        <f aca="false">IF(AND('AGOSTO 2026'!D22&lt;&gt;"",'AGOSTO 2026'!Z22="POR RECOGER"),"AGO","")</f>
        <v/>
      </c>
      <c r="B753" s="192" t="str">
        <f aca="false">IF(AND('AGOSTO 2026'!D22&lt;&gt;"",'AGOSTO 2026'!Z22="POR RECOGER"),IF('AGOSTO 2026'!Y22&lt;&gt;"",'AGOSTO 2026'!Y22,'AGOSTO 2026'!I22),"")</f>
        <v/>
      </c>
      <c r="C753" s="192" t="str">
        <f aca="false">IF(AND('AGOSTO 2026'!D22&lt;&gt;"",'AGOSTO 2026'!Z22="POR RECOGER"),'AGOSTO 2026'!D22,"")</f>
        <v/>
      </c>
      <c r="D753" s="192" t="str">
        <f aca="false">IF(AND('AGOSTO 2026'!D22&lt;&gt;"",'AGOSTO 2026'!Z22="POR RECOGER"),'AGOSTO 2026'!F22,"")</f>
        <v/>
      </c>
      <c r="E753" s="192" t="str">
        <f aca="false">IF(AND('AGOSTO 2026'!D22&lt;&gt;"",'AGOSTO 2026'!Z22="POR RECOGER"),TEXT('AGOSTO 2026'!G22,"DD/MM/YYYY"),"")</f>
        <v/>
      </c>
      <c r="F753" s="192" t="str">
        <f aca="false">IF(AND('AGOSTO 2026'!D22&lt;&gt;"",'AGOSTO 2026'!Z22="POR RECOGER"),'AGOSTO 2026'!K22,"")</f>
        <v/>
      </c>
      <c r="G753" s="193" t="str">
        <f aca="false">IF(AND('AGOSTO 2026'!D22&lt;&gt;"",'AGOSTO 2026'!Z22="POR RECOGER"),'AGOSTO 2026'!M22,"")</f>
        <v/>
      </c>
      <c r="H753" s="193" t="str">
        <f aca="false">IF(AND('AGOSTO 2026'!D22&lt;&gt;"",'AGOSTO 2026'!Z22="POR RECOGER"),'AGOSTO 2026'!N22,"")</f>
        <v/>
      </c>
      <c r="I753" s="192" t="str">
        <f aca="false">IF(AND('AGOSTO 2026'!D22&lt;&gt;"",'AGOSTO 2026'!Z22="POR RECOGER"),'AGOSTO 2026'!P22,"")</f>
        <v/>
      </c>
      <c r="J753" s="192" t="str">
        <f aca="false">IF(AND('AGOSTO 2026'!D22&lt;&gt;"",'AGOSTO 2026'!Z22="POR RECOGER"),'AGOSTO 2026'!Q22,"")</f>
        <v/>
      </c>
      <c r="K753" s="192" t="str">
        <f aca="false">IF(AND('AGOSTO 2026'!D22&lt;&gt;"",'AGOSTO 2026'!Z22="POR RECOGER"),'AGOSTO 2026'!Y22,"")</f>
        <v/>
      </c>
      <c r="L753" s="192" t="str">
        <f aca="false">IF(AND('AGOSTO 2026'!D22&lt;&gt;"",'AGOSTO 2026'!Z22="POR RECOGER"),'AGOSTO 2026'!I22,"")</f>
        <v/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" hidden="false" customHeight="true" outlineLevel="0" collapsed="false">
      <c r="A754" s="192" t="str">
        <f aca="false">IF(AND('AGOSTO 2026'!D23&lt;&gt;"",'AGOSTO 2026'!Z23="POR RECOGER"),"AGO","")</f>
        <v/>
      </c>
      <c r="B754" s="192" t="str">
        <f aca="false">IF(AND('AGOSTO 2026'!D23&lt;&gt;"",'AGOSTO 2026'!Z23="POR RECOGER"),IF('AGOSTO 2026'!Y23&lt;&gt;"",'AGOSTO 2026'!Y23,'AGOSTO 2026'!I23),"")</f>
        <v/>
      </c>
      <c r="C754" s="192" t="str">
        <f aca="false">IF(AND('AGOSTO 2026'!D23&lt;&gt;"",'AGOSTO 2026'!Z23="POR RECOGER"),'AGOSTO 2026'!D23,"")</f>
        <v/>
      </c>
      <c r="D754" s="192" t="str">
        <f aca="false">IF(AND('AGOSTO 2026'!D23&lt;&gt;"",'AGOSTO 2026'!Z23="POR RECOGER"),'AGOSTO 2026'!F23,"")</f>
        <v/>
      </c>
      <c r="E754" s="192" t="str">
        <f aca="false">IF(AND('AGOSTO 2026'!D23&lt;&gt;"",'AGOSTO 2026'!Z23="POR RECOGER"),TEXT('AGOSTO 2026'!G23,"DD/MM/YYYY"),"")</f>
        <v/>
      </c>
      <c r="F754" s="192" t="str">
        <f aca="false">IF(AND('AGOSTO 2026'!D23&lt;&gt;"",'AGOSTO 2026'!Z23="POR RECOGER"),'AGOSTO 2026'!K23,"")</f>
        <v/>
      </c>
      <c r="G754" s="193" t="str">
        <f aca="false">IF(AND('AGOSTO 2026'!D23&lt;&gt;"",'AGOSTO 2026'!Z23="POR RECOGER"),'AGOSTO 2026'!M23,"")</f>
        <v/>
      </c>
      <c r="H754" s="193" t="str">
        <f aca="false">IF(AND('AGOSTO 2026'!D23&lt;&gt;"",'AGOSTO 2026'!Z23="POR RECOGER"),'AGOSTO 2026'!N23,"")</f>
        <v/>
      </c>
      <c r="I754" s="192" t="str">
        <f aca="false">IF(AND('AGOSTO 2026'!D23&lt;&gt;"",'AGOSTO 2026'!Z23="POR RECOGER"),'AGOSTO 2026'!P23,"")</f>
        <v/>
      </c>
      <c r="J754" s="192" t="str">
        <f aca="false">IF(AND('AGOSTO 2026'!D23&lt;&gt;"",'AGOSTO 2026'!Z23="POR RECOGER"),'AGOSTO 2026'!Q23,"")</f>
        <v/>
      </c>
      <c r="K754" s="192" t="str">
        <f aca="false">IF(AND('AGOSTO 2026'!D23&lt;&gt;"",'AGOSTO 2026'!Z23="POR RECOGER"),'AGOSTO 2026'!Y23,"")</f>
        <v/>
      </c>
      <c r="L754" s="192" t="str">
        <f aca="false">IF(AND('AGOSTO 2026'!D23&lt;&gt;"",'AGOSTO 2026'!Z23="POR RECOGER"),'AGOSTO 2026'!I23,"")</f>
        <v/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" hidden="false" customHeight="true" outlineLevel="0" collapsed="false">
      <c r="A755" s="192" t="str">
        <f aca="false">IF(AND('AGOSTO 2026'!D24&lt;&gt;"",'AGOSTO 2026'!Z24="POR RECOGER"),"AGO","")</f>
        <v/>
      </c>
      <c r="B755" s="192" t="str">
        <f aca="false">IF(AND('AGOSTO 2026'!D24&lt;&gt;"",'AGOSTO 2026'!Z24="POR RECOGER"),IF('AGOSTO 2026'!Y24&lt;&gt;"",'AGOSTO 2026'!Y24,'AGOSTO 2026'!I24),"")</f>
        <v/>
      </c>
      <c r="C755" s="192" t="str">
        <f aca="false">IF(AND('AGOSTO 2026'!D24&lt;&gt;"",'AGOSTO 2026'!Z24="POR RECOGER"),'AGOSTO 2026'!D24,"")</f>
        <v/>
      </c>
      <c r="D755" s="192" t="str">
        <f aca="false">IF(AND('AGOSTO 2026'!D24&lt;&gt;"",'AGOSTO 2026'!Z24="POR RECOGER"),'AGOSTO 2026'!F24,"")</f>
        <v/>
      </c>
      <c r="E755" s="192" t="str">
        <f aca="false">IF(AND('AGOSTO 2026'!D24&lt;&gt;"",'AGOSTO 2026'!Z24="POR RECOGER"),TEXT('AGOSTO 2026'!G24,"DD/MM/YYYY"),"")</f>
        <v/>
      </c>
      <c r="F755" s="192" t="str">
        <f aca="false">IF(AND('AGOSTO 2026'!D24&lt;&gt;"",'AGOSTO 2026'!Z24="POR RECOGER"),'AGOSTO 2026'!K24,"")</f>
        <v/>
      </c>
      <c r="G755" s="193" t="str">
        <f aca="false">IF(AND('AGOSTO 2026'!D24&lt;&gt;"",'AGOSTO 2026'!Z24="POR RECOGER"),'AGOSTO 2026'!M24,"")</f>
        <v/>
      </c>
      <c r="H755" s="193" t="str">
        <f aca="false">IF(AND('AGOSTO 2026'!D24&lt;&gt;"",'AGOSTO 2026'!Z24="POR RECOGER"),'AGOSTO 2026'!N24,"")</f>
        <v/>
      </c>
      <c r="I755" s="192" t="str">
        <f aca="false">IF(AND('AGOSTO 2026'!D24&lt;&gt;"",'AGOSTO 2026'!Z24="POR RECOGER"),'AGOSTO 2026'!P24,"")</f>
        <v/>
      </c>
      <c r="J755" s="192" t="str">
        <f aca="false">IF(AND('AGOSTO 2026'!D24&lt;&gt;"",'AGOSTO 2026'!Z24="POR RECOGER"),'AGOSTO 2026'!Q24,"")</f>
        <v/>
      </c>
      <c r="K755" s="192" t="str">
        <f aca="false">IF(AND('AGOSTO 2026'!D24&lt;&gt;"",'AGOSTO 2026'!Z24="POR RECOGER"),'AGOSTO 2026'!Y24,"")</f>
        <v/>
      </c>
      <c r="L755" s="192" t="str">
        <f aca="false">IF(AND('AGOSTO 2026'!D24&lt;&gt;"",'AGOSTO 2026'!Z24="POR RECOGER"),'AGOSTO 2026'!I24,"")</f>
        <v/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" hidden="false" customHeight="true" outlineLevel="0" collapsed="false">
      <c r="A756" s="192" t="str">
        <f aca="false">IF(AND('AGOSTO 2026'!D25&lt;&gt;"",'AGOSTO 2026'!Z25="POR RECOGER"),"AGO","")</f>
        <v/>
      </c>
      <c r="B756" s="192" t="str">
        <f aca="false">IF(AND('AGOSTO 2026'!D25&lt;&gt;"",'AGOSTO 2026'!Z25="POR RECOGER"),IF('AGOSTO 2026'!Y25&lt;&gt;"",'AGOSTO 2026'!Y25,'AGOSTO 2026'!I25),"")</f>
        <v/>
      </c>
      <c r="C756" s="192" t="str">
        <f aca="false">IF(AND('AGOSTO 2026'!D25&lt;&gt;"",'AGOSTO 2026'!Z25="POR RECOGER"),'AGOSTO 2026'!D25,"")</f>
        <v/>
      </c>
      <c r="D756" s="192" t="str">
        <f aca="false">IF(AND('AGOSTO 2026'!D25&lt;&gt;"",'AGOSTO 2026'!Z25="POR RECOGER"),'AGOSTO 2026'!F25,"")</f>
        <v/>
      </c>
      <c r="E756" s="192" t="str">
        <f aca="false">IF(AND('AGOSTO 2026'!D25&lt;&gt;"",'AGOSTO 2026'!Z25="POR RECOGER"),TEXT('AGOSTO 2026'!G25,"DD/MM/YYYY"),"")</f>
        <v/>
      </c>
      <c r="F756" s="192" t="str">
        <f aca="false">IF(AND('AGOSTO 2026'!D25&lt;&gt;"",'AGOSTO 2026'!Z25="POR RECOGER"),'AGOSTO 2026'!K25,"")</f>
        <v/>
      </c>
      <c r="G756" s="193" t="str">
        <f aca="false">IF(AND('AGOSTO 2026'!D25&lt;&gt;"",'AGOSTO 2026'!Z25="POR RECOGER"),'AGOSTO 2026'!M25,"")</f>
        <v/>
      </c>
      <c r="H756" s="193" t="str">
        <f aca="false">IF(AND('AGOSTO 2026'!D25&lt;&gt;"",'AGOSTO 2026'!Z25="POR RECOGER"),'AGOSTO 2026'!N25,"")</f>
        <v/>
      </c>
      <c r="I756" s="192" t="str">
        <f aca="false">IF(AND('AGOSTO 2026'!D25&lt;&gt;"",'AGOSTO 2026'!Z25="POR RECOGER"),'AGOSTO 2026'!P25,"")</f>
        <v/>
      </c>
      <c r="J756" s="192" t="str">
        <f aca="false">IF(AND('AGOSTO 2026'!D25&lt;&gt;"",'AGOSTO 2026'!Z25="POR RECOGER"),'AGOSTO 2026'!Q25,"")</f>
        <v/>
      </c>
      <c r="K756" s="192" t="str">
        <f aca="false">IF(AND('AGOSTO 2026'!D25&lt;&gt;"",'AGOSTO 2026'!Z25="POR RECOGER"),'AGOSTO 2026'!Y25,"")</f>
        <v/>
      </c>
      <c r="L756" s="192" t="str">
        <f aca="false">IF(AND('AGOSTO 2026'!D25&lt;&gt;"",'AGOSTO 2026'!Z25="POR RECOGER"),'AGOSTO 2026'!I25,"")</f>
        <v/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" hidden="false" customHeight="true" outlineLevel="0" collapsed="false">
      <c r="A757" s="192" t="str">
        <f aca="false">IF(AND('AGOSTO 2026'!D26&lt;&gt;"",'AGOSTO 2026'!Z26="POR RECOGER"),"AGO","")</f>
        <v/>
      </c>
      <c r="B757" s="192" t="str">
        <f aca="false">IF(AND('AGOSTO 2026'!D26&lt;&gt;"",'AGOSTO 2026'!Z26="POR RECOGER"),IF('AGOSTO 2026'!Y26&lt;&gt;"",'AGOSTO 2026'!Y26,'AGOSTO 2026'!I26),"")</f>
        <v/>
      </c>
      <c r="C757" s="192" t="str">
        <f aca="false">IF(AND('AGOSTO 2026'!D26&lt;&gt;"",'AGOSTO 2026'!Z26="POR RECOGER"),'AGOSTO 2026'!D26,"")</f>
        <v/>
      </c>
      <c r="D757" s="192" t="str">
        <f aca="false">IF(AND('AGOSTO 2026'!D26&lt;&gt;"",'AGOSTO 2026'!Z26="POR RECOGER"),'AGOSTO 2026'!F26,"")</f>
        <v/>
      </c>
      <c r="E757" s="192" t="str">
        <f aca="false">IF(AND('AGOSTO 2026'!D26&lt;&gt;"",'AGOSTO 2026'!Z26="POR RECOGER"),TEXT('AGOSTO 2026'!G26,"DD/MM/YYYY"),"")</f>
        <v/>
      </c>
      <c r="F757" s="192" t="str">
        <f aca="false">IF(AND('AGOSTO 2026'!D26&lt;&gt;"",'AGOSTO 2026'!Z26="POR RECOGER"),'AGOSTO 2026'!K26,"")</f>
        <v/>
      </c>
      <c r="G757" s="193" t="str">
        <f aca="false">IF(AND('AGOSTO 2026'!D26&lt;&gt;"",'AGOSTO 2026'!Z26="POR RECOGER"),'AGOSTO 2026'!M26,"")</f>
        <v/>
      </c>
      <c r="H757" s="193" t="str">
        <f aca="false">IF(AND('AGOSTO 2026'!D26&lt;&gt;"",'AGOSTO 2026'!Z26="POR RECOGER"),'AGOSTO 2026'!N26,"")</f>
        <v/>
      </c>
      <c r="I757" s="192" t="str">
        <f aca="false">IF(AND('AGOSTO 2026'!D26&lt;&gt;"",'AGOSTO 2026'!Z26="POR RECOGER"),'AGOSTO 2026'!P26,"")</f>
        <v/>
      </c>
      <c r="J757" s="192" t="str">
        <f aca="false">IF(AND('AGOSTO 2026'!D26&lt;&gt;"",'AGOSTO 2026'!Z26="POR RECOGER"),'AGOSTO 2026'!Q26,"")</f>
        <v/>
      </c>
      <c r="K757" s="192" t="str">
        <f aca="false">IF(AND('AGOSTO 2026'!D26&lt;&gt;"",'AGOSTO 2026'!Z26="POR RECOGER"),'AGOSTO 2026'!Y26,"")</f>
        <v/>
      </c>
      <c r="L757" s="192" t="str">
        <f aca="false">IF(AND('AGOSTO 2026'!D26&lt;&gt;"",'AGOSTO 2026'!Z26="POR RECOGER"),'AGOSTO 2026'!I26,"")</f>
        <v/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" hidden="false" customHeight="true" outlineLevel="0" collapsed="false">
      <c r="A758" s="192" t="str">
        <f aca="false">IF(AND('AGOSTO 2026'!D27&lt;&gt;"",'AGOSTO 2026'!Z27="POR RECOGER"),"AGO","")</f>
        <v/>
      </c>
      <c r="B758" s="192" t="str">
        <f aca="false">IF(AND('AGOSTO 2026'!D27&lt;&gt;"",'AGOSTO 2026'!Z27="POR RECOGER"),IF('AGOSTO 2026'!Y27&lt;&gt;"",'AGOSTO 2026'!Y27,'AGOSTO 2026'!I27),"")</f>
        <v/>
      </c>
      <c r="C758" s="192" t="str">
        <f aca="false">IF(AND('AGOSTO 2026'!D27&lt;&gt;"",'AGOSTO 2026'!Z27="POR RECOGER"),'AGOSTO 2026'!D27,"")</f>
        <v/>
      </c>
      <c r="D758" s="192" t="str">
        <f aca="false">IF(AND('AGOSTO 2026'!D27&lt;&gt;"",'AGOSTO 2026'!Z27="POR RECOGER"),'AGOSTO 2026'!F27,"")</f>
        <v/>
      </c>
      <c r="E758" s="192" t="str">
        <f aca="false">IF(AND('AGOSTO 2026'!D27&lt;&gt;"",'AGOSTO 2026'!Z27="POR RECOGER"),TEXT('AGOSTO 2026'!G27,"DD/MM/YYYY"),"")</f>
        <v/>
      </c>
      <c r="F758" s="192" t="str">
        <f aca="false">IF(AND('AGOSTO 2026'!D27&lt;&gt;"",'AGOSTO 2026'!Z27="POR RECOGER"),'AGOSTO 2026'!K27,"")</f>
        <v/>
      </c>
      <c r="G758" s="193" t="str">
        <f aca="false">IF(AND('AGOSTO 2026'!D27&lt;&gt;"",'AGOSTO 2026'!Z27="POR RECOGER"),'AGOSTO 2026'!M27,"")</f>
        <v/>
      </c>
      <c r="H758" s="193" t="str">
        <f aca="false">IF(AND('AGOSTO 2026'!D27&lt;&gt;"",'AGOSTO 2026'!Z27="POR RECOGER"),'AGOSTO 2026'!N27,"")</f>
        <v/>
      </c>
      <c r="I758" s="192" t="str">
        <f aca="false">IF(AND('AGOSTO 2026'!D27&lt;&gt;"",'AGOSTO 2026'!Z27="POR RECOGER"),'AGOSTO 2026'!P27,"")</f>
        <v/>
      </c>
      <c r="J758" s="192" t="str">
        <f aca="false">IF(AND('AGOSTO 2026'!D27&lt;&gt;"",'AGOSTO 2026'!Z27="POR RECOGER"),'AGOSTO 2026'!Q27,"")</f>
        <v/>
      </c>
      <c r="K758" s="192" t="str">
        <f aca="false">IF(AND('AGOSTO 2026'!D27&lt;&gt;"",'AGOSTO 2026'!Z27="POR RECOGER"),'AGOSTO 2026'!Y27,"")</f>
        <v/>
      </c>
      <c r="L758" s="192" t="str">
        <f aca="false">IF(AND('AGOSTO 2026'!D27&lt;&gt;"",'AGOSTO 2026'!Z27="POR RECOGER"),'AGOSTO 2026'!I27,"")</f>
        <v/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" hidden="false" customHeight="true" outlineLevel="0" collapsed="false">
      <c r="A759" s="192" t="str">
        <f aca="false">IF(AND('AGOSTO 2026'!D28&lt;&gt;"",'AGOSTO 2026'!Z28="POR RECOGER"),"AGO","")</f>
        <v/>
      </c>
      <c r="B759" s="192" t="str">
        <f aca="false">IF(AND('AGOSTO 2026'!D28&lt;&gt;"",'AGOSTO 2026'!Z28="POR RECOGER"),IF('AGOSTO 2026'!Y28&lt;&gt;"",'AGOSTO 2026'!Y28,'AGOSTO 2026'!I28),"")</f>
        <v/>
      </c>
      <c r="C759" s="192" t="str">
        <f aca="false">IF(AND('AGOSTO 2026'!D28&lt;&gt;"",'AGOSTO 2026'!Z28="POR RECOGER"),'AGOSTO 2026'!D28,"")</f>
        <v/>
      </c>
      <c r="D759" s="192" t="str">
        <f aca="false">IF(AND('AGOSTO 2026'!D28&lt;&gt;"",'AGOSTO 2026'!Z28="POR RECOGER"),'AGOSTO 2026'!F28,"")</f>
        <v/>
      </c>
      <c r="E759" s="192" t="str">
        <f aca="false">IF(AND('AGOSTO 2026'!D28&lt;&gt;"",'AGOSTO 2026'!Z28="POR RECOGER"),TEXT('AGOSTO 2026'!G28,"DD/MM/YYYY"),"")</f>
        <v/>
      </c>
      <c r="F759" s="192" t="str">
        <f aca="false">IF(AND('AGOSTO 2026'!D28&lt;&gt;"",'AGOSTO 2026'!Z28="POR RECOGER"),'AGOSTO 2026'!K28,"")</f>
        <v/>
      </c>
      <c r="G759" s="193" t="str">
        <f aca="false">IF(AND('AGOSTO 2026'!D28&lt;&gt;"",'AGOSTO 2026'!Z28="POR RECOGER"),'AGOSTO 2026'!M28,"")</f>
        <v/>
      </c>
      <c r="H759" s="193" t="str">
        <f aca="false">IF(AND('AGOSTO 2026'!D28&lt;&gt;"",'AGOSTO 2026'!Z28="POR RECOGER"),'AGOSTO 2026'!N28,"")</f>
        <v/>
      </c>
      <c r="I759" s="192" t="str">
        <f aca="false">IF(AND('AGOSTO 2026'!D28&lt;&gt;"",'AGOSTO 2026'!Z28="POR RECOGER"),'AGOSTO 2026'!P28,"")</f>
        <v/>
      </c>
      <c r="J759" s="192" t="str">
        <f aca="false">IF(AND('AGOSTO 2026'!D28&lt;&gt;"",'AGOSTO 2026'!Z28="POR RECOGER"),'AGOSTO 2026'!Q28,"")</f>
        <v/>
      </c>
      <c r="K759" s="192" t="str">
        <f aca="false">IF(AND('AGOSTO 2026'!D28&lt;&gt;"",'AGOSTO 2026'!Z28="POR RECOGER"),'AGOSTO 2026'!Y28,"")</f>
        <v/>
      </c>
      <c r="L759" s="192" t="str">
        <f aca="false">IF(AND('AGOSTO 2026'!D28&lt;&gt;"",'AGOSTO 2026'!Z28="POR RECOGER"),'AGOSTO 2026'!I28,"")</f>
        <v/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" hidden="false" customHeight="true" outlineLevel="0" collapsed="false">
      <c r="A760" s="192" t="str">
        <f aca="false">IF(AND('AGOSTO 2026'!D29&lt;&gt;"",'AGOSTO 2026'!Z29="POR RECOGER"),"AGO","")</f>
        <v/>
      </c>
      <c r="B760" s="192" t="str">
        <f aca="false">IF(AND('AGOSTO 2026'!D29&lt;&gt;"",'AGOSTO 2026'!Z29="POR RECOGER"),IF('AGOSTO 2026'!Y29&lt;&gt;"",'AGOSTO 2026'!Y29,'AGOSTO 2026'!I29),"")</f>
        <v/>
      </c>
      <c r="C760" s="192" t="str">
        <f aca="false">IF(AND('AGOSTO 2026'!D29&lt;&gt;"",'AGOSTO 2026'!Z29="POR RECOGER"),'AGOSTO 2026'!D29,"")</f>
        <v/>
      </c>
      <c r="D760" s="192" t="str">
        <f aca="false">IF(AND('AGOSTO 2026'!D29&lt;&gt;"",'AGOSTO 2026'!Z29="POR RECOGER"),'AGOSTO 2026'!F29,"")</f>
        <v/>
      </c>
      <c r="E760" s="192" t="str">
        <f aca="false">IF(AND('AGOSTO 2026'!D29&lt;&gt;"",'AGOSTO 2026'!Z29="POR RECOGER"),TEXT('AGOSTO 2026'!G29,"DD/MM/YYYY"),"")</f>
        <v/>
      </c>
      <c r="F760" s="192" t="str">
        <f aca="false">IF(AND('AGOSTO 2026'!D29&lt;&gt;"",'AGOSTO 2026'!Z29="POR RECOGER"),'AGOSTO 2026'!K29,"")</f>
        <v/>
      </c>
      <c r="G760" s="193" t="str">
        <f aca="false">IF(AND('AGOSTO 2026'!D29&lt;&gt;"",'AGOSTO 2026'!Z29="POR RECOGER"),'AGOSTO 2026'!M29,"")</f>
        <v/>
      </c>
      <c r="H760" s="193" t="str">
        <f aca="false">IF(AND('AGOSTO 2026'!D29&lt;&gt;"",'AGOSTO 2026'!Z29="POR RECOGER"),'AGOSTO 2026'!N29,"")</f>
        <v/>
      </c>
      <c r="I760" s="192" t="str">
        <f aca="false">IF(AND('AGOSTO 2026'!D29&lt;&gt;"",'AGOSTO 2026'!Z29="POR RECOGER"),'AGOSTO 2026'!P29,"")</f>
        <v/>
      </c>
      <c r="J760" s="192" t="str">
        <f aca="false">IF(AND('AGOSTO 2026'!D29&lt;&gt;"",'AGOSTO 2026'!Z29="POR RECOGER"),'AGOSTO 2026'!Q29,"")</f>
        <v/>
      </c>
      <c r="K760" s="192" t="str">
        <f aca="false">IF(AND('AGOSTO 2026'!D29&lt;&gt;"",'AGOSTO 2026'!Z29="POR RECOGER"),'AGOSTO 2026'!Y29,"")</f>
        <v/>
      </c>
      <c r="L760" s="192" t="str">
        <f aca="false">IF(AND('AGOSTO 2026'!D29&lt;&gt;"",'AGOSTO 2026'!Z29="POR RECOGER"),'AGOSTO 2026'!I29,"")</f>
        <v/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" hidden="false" customHeight="true" outlineLevel="0" collapsed="false">
      <c r="A761" s="192" t="str">
        <f aca="false">IF(AND('AGOSTO 2026'!D30&lt;&gt;"",'AGOSTO 2026'!Z30="POR RECOGER"),"AGO","")</f>
        <v/>
      </c>
      <c r="B761" s="192" t="str">
        <f aca="false">IF(AND('AGOSTO 2026'!D30&lt;&gt;"",'AGOSTO 2026'!Z30="POR RECOGER"),IF('AGOSTO 2026'!Y30&lt;&gt;"",'AGOSTO 2026'!Y30,'AGOSTO 2026'!I30),"")</f>
        <v/>
      </c>
      <c r="C761" s="192" t="str">
        <f aca="false">IF(AND('AGOSTO 2026'!D30&lt;&gt;"",'AGOSTO 2026'!Z30="POR RECOGER"),'AGOSTO 2026'!D30,"")</f>
        <v/>
      </c>
      <c r="D761" s="192" t="str">
        <f aca="false">IF(AND('AGOSTO 2026'!D30&lt;&gt;"",'AGOSTO 2026'!Z30="POR RECOGER"),'AGOSTO 2026'!F30,"")</f>
        <v/>
      </c>
      <c r="E761" s="192" t="str">
        <f aca="false">IF(AND('AGOSTO 2026'!D30&lt;&gt;"",'AGOSTO 2026'!Z30="POR RECOGER"),TEXT('AGOSTO 2026'!G30,"DD/MM/YYYY"),"")</f>
        <v/>
      </c>
      <c r="F761" s="192" t="str">
        <f aca="false">IF(AND('AGOSTO 2026'!D30&lt;&gt;"",'AGOSTO 2026'!Z30="POR RECOGER"),'AGOSTO 2026'!K30,"")</f>
        <v/>
      </c>
      <c r="G761" s="193" t="str">
        <f aca="false">IF(AND('AGOSTO 2026'!D30&lt;&gt;"",'AGOSTO 2026'!Z30="POR RECOGER"),'AGOSTO 2026'!M30,"")</f>
        <v/>
      </c>
      <c r="H761" s="193" t="str">
        <f aca="false">IF(AND('AGOSTO 2026'!D30&lt;&gt;"",'AGOSTO 2026'!Z30="POR RECOGER"),'AGOSTO 2026'!N30,"")</f>
        <v/>
      </c>
      <c r="I761" s="192" t="str">
        <f aca="false">IF(AND('AGOSTO 2026'!D30&lt;&gt;"",'AGOSTO 2026'!Z30="POR RECOGER"),'AGOSTO 2026'!P30,"")</f>
        <v/>
      </c>
      <c r="J761" s="192" t="str">
        <f aca="false">IF(AND('AGOSTO 2026'!D30&lt;&gt;"",'AGOSTO 2026'!Z30="POR RECOGER"),'AGOSTO 2026'!Q30,"")</f>
        <v/>
      </c>
      <c r="K761" s="192" t="str">
        <f aca="false">IF(AND('AGOSTO 2026'!D30&lt;&gt;"",'AGOSTO 2026'!Z30="POR RECOGER"),'AGOSTO 2026'!Y30,"")</f>
        <v/>
      </c>
      <c r="L761" s="192" t="str">
        <f aca="false">IF(AND('AGOSTO 2026'!D30&lt;&gt;"",'AGOSTO 2026'!Z30="POR RECOGER"),'AGOSTO 2026'!I30,"")</f>
        <v/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" hidden="false" customHeight="true" outlineLevel="0" collapsed="false">
      <c r="A762" s="192" t="str">
        <f aca="false">IF(AND('AGOSTO 2026'!D31&lt;&gt;"",'AGOSTO 2026'!Z31="POR RECOGER"),"AGO","")</f>
        <v/>
      </c>
      <c r="B762" s="192" t="str">
        <f aca="false">IF(AND('AGOSTO 2026'!D31&lt;&gt;"",'AGOSTO 2026'!Z31="POR RECOGER"),IF('AGOSTO 2026'!Y31&lt;&gt;"",'AGOSTO 2026'!Y31,'AGOSTO 2026'!I31),"")</f>
        <v/>
      </c>
      <c r="C762" s="192" t="str">
        <f aca="false">IF(AND('AGOSTO 2026'!D31&lt;&gt;"",'AGOSTO 2026'!Z31="POR RECOGER"),'AGOSTO 2026'!D31,"")</f>
        <v/>
      </c>
      <c r="D762" s="192" t="str">
        <f aca="false">IF(AND('AGOSTO 2026'!D31&lt;&gt;"",'AGOSTO 2026'!Z31="POR RECOGER"),'AGOSTO 2026'!F31,"")</f>
        <v/>
      </c>
      <c r="E762" s="192" t="str">
        <f aca="false">IF(AND('AGOSTO 2026'!D31&lt;&gt;"",'AGOSTO 2026'!Z31="POR RECOGER"),TEXT('AGOSTO 2026'!G31,"DD/MM/YYYY"),"")</f>
        <v/>
      </c>
      <c r="F762" s="192" t="str">
        <f aca="false">IF(AND('AGOSTO 2026'!D31&lt;&gt;"",'AGOSTO 2026'!Z31="POR RECOGER"),'AGOSTO 2026'!K31,"")</f>
        <v/>
      </c>
      <c r="G762" s="193" t="str">
        <f aca="false">IF(AND('AGOSTO 2026'!D31&lt;&gt;"",'AGOSTO 2026'!Z31="POR RECOGER"),'AGOSTO 2026'!M31,"")</f>
        <v/>
      </c>
      <c r="H762" s="193" t="str">
        <f aca="false">IF(AND('AGOSTO 2026'!D31&lt;&gt;"",'AGOSTO 2026'!Z31="POR RECOGER"),'AGOSTO 2026'!N31,"")</f>
        <v/>
      </c>
      <c r="I762" s="192" t="str">
        <f aca="false">IF(AND('AGOSTO 2026'!D31&lt;&gt;"",'AGOSTO 2026'!Z31="POR RECOGER"),'AGOSTO 2026'!P31,"")</f>
        <v/>
      </c>
      <c r="J762" s="192" t="str">
        <f aca="false">IF(AND('AGOSTO 2026'!D31&lt;&gt;"",'AGOSTO 2026'!Z31="POR RECOGER"),'AGOSTO 2026'!Q31,"")</f>
        <v/>
      </c>
      <c r="K762" s="192" t="str">
        <f aca="false">IF(AND('AGOSTO 2026'!D31&lt;&gt;"",'AGOSTO 2026'!Z31="POR RECOGER"),'AGOSTO 2026'!Y31,"")</f>
        <v/>
      </c>
      <c r="L762" s="192" t="str">
        <f aca="false">IF(AND('AGOSTO 2026'!D31&lt;&gt;"",'AGOSTO 2026'!Z31="POR RECOGER"),'AGOSTO 2026'!I31,"")</f>
        <v/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" hidden="false" customHeight="true" outlineLevel="0" collapsed="false">
      <c r="A763" s="192" t="str">
        <f aca="false">IF(AND('AGOSTO 2026'!D32&lt;&gt;"",'AGOSTO 2026'!Z32="POR RECOGER"),"AGO","")</f>
        <v/>
      </c>
      <c r="B763" s="192" t="str">
        <f aca="false">IF(AND('AGOSTO 2026'!D32&lt;&gt;"",'AGOSTO 2026'!Z32="POR RECOGER"),IF('AGOSTO 2026'!Y32&lt;&gt;"",'AGOSTO 2026'!Y32,'AGOSTO 2026'!I32),"")</f>
        <v/>
      </c>
      <c r="C763" s="192" t="str">
        <f aca="false">IF(AND('AGOSTO 2026'!D32&lt;&gt;"",'AGOSTO 2026'!Z32="POR RECOGER"),'AGOSTO 2026'!D32,"")</f>
        <v/>
      </c>
      <c r="D763" s="192" t="str">
        <f aca="false">IF(AND('AGOSTO 2026'!D32&lt;&gt;"",'AGOSTO 2026'!Z32="POR RECOGER"),'AGOSTO 2026'!F32,"")</f>
        <v/>
      </c>
      <c r="E763" s="192" t="str">
        <f aca="false">IF(AND('AGOSTO 2026'!D32&lt;&gt;"",'AGOSTO 2026'!Z32="POR RECOGER"),TEXT('AGOSTO 2026'!G32,"DD/MM/YYYY"),"")</f>
        <v/>
      </c>
      <c r="F763" s="192" t="str">
        <f aca="false">IF(AND('AGOSTO 2026'!D32&lt;&gt;"",'AGOSTO 2026'!Z32="POR RECOGER"),'AGOSTO 2026'!K32,"")</f>
        <v/>
      </c>
      <c r="G763" s="193" t="str">
        <f aca="false">IF(AND('AGOSTO 2026'!D32&lt;&gt;"",'AGOSTO 2026'!Z32="POR RECOGER"),'AGOSTO 2026'!M32,"")</f>
        <v/>
      </c>
      <c r="H763" s="193" t="str">
        <f aca="false">IF(AND('AGOSTO 2026'!D32&lt;&gt;"",'AGOSTO 2026'!Z32="POR RECOGER"),'AGOSTO 2026'!N32,"")</f>
        <v/>
      </c>
      <c r="I763" s="192" t="str">
        <f aca="false">IF(AND('AGOSTO 2026'!D32&lt;&gt;"",'AGOSTO 2026'!Z32="POR RECOGER"),'AGOSTO 2026'!P32,"")</f>
        <v/>
      </c>
      <c r="J763" s="192" t="str">
        <f aca="false">IF(AND('AGOSTO 2026'!D32&lt;&gt;"",'AGOSTO 2026'!Z32="POR RECOGER"),'AGOSTO 2026'!Q32,"")</f>
        <v/>
      </c>
      <c r="K763" s="192" t="str">
        <f aca="false">IF(AND('AGOSTO 2026'!D32&lt;&gt;"",'AGOSTO 2026'!Z32="POR RECOGER"),'AGOSTO 2026'!Y32,"")</f>
        <v/>
      </c>
      <c r="L763" s="192" t="str">
        <f aca="false">IF(AND('AGOSTO 2026'!D32&lt;&gt;"",'AGOSTO 2026'!Z32="POR RECOGER"),'AGOSTO 2026'!I32,"")</f>
        <v/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" hidden="false" customHeight="true" outlineLevel="0" collapsed="false">
      <c r="A764" s="192" t="str">
        <f aca="false">IF(AND('AGOSTO 2026'!D33&lt;&gt;"",'AGOSTO 2026'!Z33="POR RECOGER"),"AGO","")</f>
        <v/>
      </c>
      <c r="B764" s="192" t="str">
        <f aca="false">IF(AND('AGOSTO 2026'!D33&lt;&gt;"",'AGOSTO 2026'!Z33="POR RECOGER"),IF('AGOSTO 2026'!Y33&lt;&gt;"",'AGOSTO 2026'!Y33,'AGOSTO 2026'!I33),"")</f>
        <v/>
      </c>
      <c r="C764" s="192" t="str">
        <f aca="false">IF(AND('AGOSTO 2026'!D33&lt;&gt;"",'AGOSTO 2026'!Z33="POR RECOGER"),'AGOSTO 2026'!D33,"")</f>
        <v/>
      </c>
      <c r="D764" s="192" t="str">
        <f aca="false">IF(AND('AGOSTO 2026'!D33&lt;&gt;"",'AGOSTO 2026'!Z33="POR RECOGER"),'AGOSTO 2026'!F33,"")</f>
        <v/>
      </c>
      <c r="E764" s="192" t="str">
        <f aca="false">IF(AND('AGOSTO 2026'!D33&lt;&gt;"",'AGOSTO 2026'!Z33="POR RECOGER"),TEXT('AGOSTO 2026'!G33,"DD/MM/YYYY"),"")</f>
        <v/>
      </c>
      <c r="F764" s="192" t="str">
        <f aca="false">IF(AND('AGOSTO 2026'!D33&lt;&gt;"",'AGOSTO 2026'!Z33="POR RECOGER"),'AGOSTO 2026'!K33,"")</f>
        <v/>
      </c>
      <c r="G764" s="193" t="str">
        <f aca="false">IF(AND('AGOSTO 2026'!D33&lt;&gt;"",'AGOSTO 2026'!Z33="POR RECOGER"),'AGOSTO 2026'!M33,"")</f>
        <v/>
      </c>
      <c r="H764" s="193" t="str">
        <f aca="false">IF(AND('AGOSTO 2026'!D33&lt;&gt;"",'AGOSTO 2026'!Z33="POR RECOGER"),'AGOSTO 2026'!N33,"")</f>
        <v/>
      </c>
      <c r="I764" s="192" t="str">
        <f aca="false">IF(AND('AGOSTO 2026'!D33&lt;&gt;"",'AGOSTO 2026'!Z33="POR RECOGER"),'AGOSTO 2026'!P33,"")</f>
        <v/>
      </c>
      <c r="J764" s="192" t="str">
        <f aca="false">IF(AND('AGOSTO 2026'!D33&lt;&gt;"",'AGOSTO 2026'!Z33="POR RECOGER"),'AGOSTO 2026'!Q33,"")</f>
        <v/>
      </c>
      <c r="K764" s="192" t="str">
        <f aca="false">IF(AND('AGOSTO 2026'!D33&lt;&gt;"",'AGOSTO 2026'!Z33="POR RECOGER"),'AGOSTO 2026'!Y33,"")</f>
        <v/>
      </c>
      <c r="L764" s="192" t="str">
        <f aca="false">IF(AND('AGOSTO 2026'!D33&lt;&gt;"",'AGOSTO 2026'!Z33="POR RECOGER"),'AGOSTO 2026'!I33,"")</f>
        <v/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" hidden="false" customHeight="true" outlineLevel="0" collapsed="false">
      <c r="A765" s="192" t="str">
        <f aca="false">IF(AND('AGOSTO 2026'!D34&lt;&gt;"",'AGOSTO 2026'!Z34="POR RECOGER"),"AGO","")</f>
        <v/>
      </c>
      <c r="B765" s="192" t="str">
        <f aca="false">IF(AND('AGOSTO 2026'!D34&lt;&gt;"",'AGOSTO 2026'!Z34="POR RECOGER"),IF('AGOSTO 2026'!Y34&lt;&gt;"",'AGOSTO 2026'!Y34,'AGOSTO 2026'!I34),"")</f>
        <v/>
      </c>
      <c r="C765" s="192" t="str">
        <f aca="false">IF(AND('AGOSTO 2026'!D34&lt;&gt;"",'AGOSTO 2026'!Z34="POR RECOGER"),'AGOSTO 2026'!D34,"")</f>
        <v/>
      </c>
      <c r="D765" s="192" t="str">
        <f aca="false">IF(AND('AGOSTO 2026'!D34&lt;&gt;"",'AGOSTO 2026'!Z34="POR RECOGER"),'AGOSTO 2026'!F34,"")</f>
        <v/>
      </c>
      <c r="E765" s="192" t="str">
        <f aca="false">IF(AND('AGOSTO 2026'!D34&lt;&gt;"",'AGOSTO 2026'!Z34="POR RECOGER"),TEXT('AGOSTO 2026'!G34,"DD/MM/YYYY"),"")</f>
        <v/>
      </c>
      <c r="F765" s="192" t="str">
        <f aca="false">IF(AND('AGOSTO 2026'!D34&lt;&gt;"",'AGOSTO 2026'!Z34="POR RECOGER"),'AGOSTO 2026'!K34,"")</f>
        <v/>
      </c>
      <c r="G765" s="193" t="str">
        <f aca="false">IF(AND('AGOSTO 2026'!D34&lt;&gt;"",'AGOSTO 2026'!Z34="POR RECOGER"),'AGOSTO 2026'!M34,"")</f>
        <v/>
      </c>
      <c r="H765" s="193" t="str">
        <f aca="false">IF(AND('AGOSTO 2026'!D34&lt;&gt;"",'AGOSTO 2026'!Z34="POR RECOGER"),'AGOSTO 2026'!N34,"")</f>
        <v/>
      </c>
      <c r="I765" s="192" t="str">
        <f aca="false">IF(AND('AGOSTO 2026'!D34&lt;&gt;"",'AGOSTO 2026'!Z34="POR RECOGER"),'AGOSTO 2026'!P34,"")</f>
        <v/>
      </c>
      <c r="J765" s="192" t="str">
        <f aca="false">IF(AND('AGOSTO 2026'!D34&lt;&gt;"",'AGOSTO 2026'!Z34="POR RECOGER"),'AGOSTO 2026'!Q34,"")</f>
        <v/>
      </c>
      <c r="K765" s="192" t="str">
        <f aca="false">IF(AND('AGOSTO 2026'!D34&lt;&gt;"",'AGOSTO 2026'!Z34="POR RECOGER"),'AGOSTO 2026'!Y34,"")</f>
        <v/>
      </c>
      <c r="L765" s="192" t="str">
        <f aca="false">IF(AND('AGOSTO 2026'!D34&lt;&gt;"",'AGOSTO 2026'!Z34="POR RECOGER"),'AGOSTO 2026'!I34,"")</f>
        <v/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" hidden="false" customHeight="true" outlineLevel="0" collapsed="false">
      <c r="A766" s="192" t="str">
        <f aca="false">IF(AND('AGOSTO 2026'!D35&lt;&gt;"",'AGOSTO 2026'!Z35="POR RECOGER"),"AGO","")</f>
        <v/>
      </c>
      <c r="B766" s="192" t="str">
        <f aca="false">IF(AND('AGOSTO 2026'!D35&lt;&gt;"",'AGOSTO 2026'!Z35="POR RECOGER"),IF('AGOSTO 2026'!Y35&lt;&gt;"",'AGOSTO 2026'!Y35,'AGOSTO 2026'!I35),"")</f>
        <v/>
      </c>
      <c r="C766" s="192" t="str">
        <f aca="false">IF(AND('AGOSTO 2026'!D35&lt;&gt;"",'AGOSTO 2026'!Z35="POR RECOGER"),'AGOSTO 2026'!D35,"")</f>
        <v/>
      </c>
      <c r="D766" s="192" t="str">
        <f aca="false">IF(AND('AGOSTO 2026'!D35&lt;&gt;"",'AGOSTO 2026'!Z35="POR RECOGER"),'AGOSTO 2026'!F35,"")</f>
        <v/>
      </c>
      <c r="E766" s="192" t="str">
        <f aca="false">IF(AND('AGOSTO 2026'!D35&lt;&gt;"",'AGOSTO 2026'!Z35="POR RECOGER"),TEXT('AGOSTO 2026'!G35,"DD/MM/YYYY"),"")</f>
        <v/>
      </c>
      <c r="F766" s="192" t="str">
        <f aca="false">IF(AND('AGOSTO 2026'!D35&lt;&gt;"",'AGOSTO 2026'!Z35="POR RECOGER"),'AGOSTO 2026'!K35,"")</f>
        <v/>
      </c>
      <c r="G766" s="193" t="str">
        <f aca="false">IF(AND('AGOSTO 2026'!D35&lt;&gt;"",'AGOSTO 2026'!Z35="POR RECOGER"),'AGOSTO 2026'!M35,"")</f>
        <v/>
      </c>
      <c r="H766" s="193" t="str">
        <f aca="false">IF(AND('AGOSTO 2026'!D35&lt;&gt;"",'AGOSTO 2026'!Z35="POR RECOGER"),'AGOSTO 2026'!N35,"")</f>
        <v/>
      </c>
      <c r="I766" s="192" t="str">
        <f aca="false">IF(AND('AGOSTO 2026'!D35&lt;&gt;"",'AGOSTO 2026'!Z35="POR RECOGER"),'AGOSTO 2026'!P35,"")</f>
        <v/>
      </c>
      <c r="J766" s="192" t="str">
        <f aca="false">IF(AND('AGOSTO 2026'!D35&lt;&gt;"",'AGOSTO 2026'!Z35="POR RECOGER"),'AGOSTO 2026'!Q35,"")</f>
        <v/>
      </c>
      <c r="K766" s="192" t="str">
        <f aca="false">IF(AND('AGOSTO 2026'!D35&lt;&gt;"",'AGOSTO 2026'!Z35="POR RECOGER"),'AGOSTO 2026'!Y35,"")</f>
        <v/>
      </c>
      <c r="L766" s="192" t="str">
        <f aca="false">IF(AND('AGOSTO 2026'!D35&lt;&gt;"",'AGOSTO 2026'!Z35="POR RECOGER"),'AGOSTO 2026'!I35,"")</f>
        <v/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" hidden="false" customHeight="true" outlineLevel="0" collapsed="false">
      <c r="A767" s="192" t="str">
        <f aca="false">IF(AND('AGOSTO 2026'!D36&lt;&gt;"",'AGOSTO 2026'!Z36="POR RECOGER"),"AGO","")</f>
        <v/>
      </c>
      <c r="B767" s="192" t="str">
        <f aca="false">IF(AND('AGOSTO 2026'!D36&lt;&gt;"",'AGOSTO 2026'!Z36="POR RECOGER"),IF('AGOSTO 2026'!Y36&lt;&gt;"",'AGOSTO 2026'!Y36,'AGOSTO 2026'!I36),"")</f>
        <v/>
      </c>
      <c r="C767" s="192" t="str">
        <f aca="false">IF(AND('AGOSTO 2026'!D36&lt;&gt;"",'AGOSTO 2026'!Z36="POR RECOGER"),'AGOSTO 2026'!D36,"")</f>
        <v/>
      </c>
      <c r="D767" s="192" t="str">
        <f aca="false">IF(AND('AGOSTO 2026'!D36&lt;&gt;"",'AGOSTO 2026'!Z36="POR RECOGER"),'AGOSTO 2026'!F36,"")</f>
        <v/>
      </c>
      <c r="E767" s="192" t="str">
        <f aca="false">IF(AND('AGOSTO 2026'!D36&lt;&gt;"",'AGOSTO 2026'!Z36="POR RECOGER"),TEXT('AGOSTO 2026'!G36,"DD/MM/YYYY"),"")</f>
        <v/>
      </c>
      <c r="F767" s="192" t="str">
        <f aca="false">IF(AND('AGOSTO 2026'!D36&lt;&gt;"",'AGOSTO 2026'!Z36="POR RECOGER"),'AGOSTO 2026'!K36,"")</f>
        <v/>
      </c>
      <c r="G767" s="193" t="str">
        <f aca="false">IF(AND('AGOSTO 2026'!D36&lt;&gt;"",'AGOSTO 2026'!Z36="POR RECOGER"),'AGOSTO 2026'!M36,"")</f>
        <v/>
      </c>
      <c r="H767" s="193" t="str">
        <f aca="false">IF(AND('AGOSTO 2026'!D36&lt;&gt;"",'AGOSTO 2026'!Z36="POR RECOGER"),'AGOSTO 2026'!N36,"")</f>
        <v/>
      </c>
      <c r="I767" s="192" t="str">
        <f aca="false">IF(AND('AGOSTO 2026'!D36&lt;&gt;"",'AGOSTO 2026'!Z36="POR RECOGER"),'AGOSTO 2026'!P36,"")</f>
        <v/>
      </c>
      <c r="J767" s="192" t="str">
        <f aca="false">IF(AND('AGOSTO 2026'!D36&lt;&gt;"",'AGOSTO 2026'!Z36="POR RECOGER"),'AGOSTO 2026'!Q36,"")</f>
        <v/>
      </c>
      <c r="K767" s="192" t="str">
        <f aca="false">IF(AND('AGOSTO 2026'!D36&lt;&gt;"",'AGOSTO 2026'!Z36="POR RECOGER"),'AGOSTO 2026'!Y36,"")</f>
        <v/>
      </c>
      <c r="L767" s="192" t="str">
        <f aca="false">IF(AND('AGOSTO 2026'!D36&lt;&gt;"",'AGOSTO 2026'!Z36="POR RECOGER"),'AGOSTO 2026'!I36,"")</f>
        <v/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" hidden="false" customHeight="true" outlineLevel="0" collapsed="false">
      <c r="A768" s="192" t="str">
        <f aca="false">IF(AND('AGOSTO 2026'!D37&lt;&gt;"",'AGOSTO 2026'!Z37="POR RECOGER"),"AGO","")</f>
        <v/>
      </c>
      <c r="B768" s="192" t="str">
        <f aca="false">IF(AND('AGOSTO 2026'!D37&lt;&gt;"",'AGOSTO 2026'!Z37="POR RECOGER"),IF('AGOSTO 2026'!Y37&lt;&gt;"",'AGOSTO 2026'!Y37,'AGOSTO 2026'!I37),"")</f>
        <v/>
      </c>
      <c r="C768" s="192" t="str">
        <f aca="false">IF(AND('AGOSTO 2026'!D37&lt;&gt;"",'AGOSTO 2026'!Z37="POR RECOGER"),'AGOSTO 2026'!D37,"")</f>
        <v/>
      </c>
      <c r="D768" s="192" t="str">
        <f aca="false">IF(AND('AGOSTO 2026'!D37&lt;&gt;"",'AGOSTO 2026'!Z37="POR RECOGER"),'AGOSTO 2026'!F37,"")</f>
        <v/>
      </c>
      <c r="E768" s="192" t="str">
        <f aca="false">IF(AND('AGOSTO 2026'!D37&lt;&gt;"",'AGOSTO 2026'!Z37="POR RECOGER"),TEXT('AGOSTO 2026'!G37,"DD/MM/YYYY"),"")</f>
        <v/>
      </c>
      <c r="F768" s="192" t="str">
        <f aca="false">IF(AND('AGOSTO 2026'!D37&lt;&gt;"",'AGOSTO 2026'!Z37="POR RECOGER"),'AGOSTO 2026'!K37,"")</f>
        <v/>
      </c>
      <c r="G768" s="193" t="str">
        <f aca="false">IF(AND('AGOSTO 2026'!D37&lt;&gt;"",'AGOSTO 2026'!Z37="POR RECOGER"),'AGOSTO 2026'!M37,"")</f>
        <v/>
      </c>
      <c r="H768" s="193" t="str">
        <f aca="false">IF(AND('AGOSTO 2026'!D37&lt;&gt;"",'AGOSTO 2026'!Z37="POR RECOGER"),'AGOSTO 2026'!N37,"")</f>
        <v/>
      </c>
      <c r="I768" s="192" t="str">
        <f aca="false">IF(AND('AGOSTO 2026'!D37&lt;&gt;"",'AGOSTO 2026'!Z37="POR RECOGER"),'AGOSTO 2026'!P37,"")</f>
        <v/>
      </c>
      <c r="J768" s="192" t="str">
        <f aca="false">IF(AND('AGOSTO 2026'!D37&lt;&gt;"",'AGOSTO 2026'!Z37="POR RECOGER"),'AGOSTO 2026'!Q37,"")</f>
        <v/>
      </c>
      <c r="K768" s="192" t="str">
        <f aca="false">IF(AND('AGOSTO 2026'!D37&lt;&gt;"",'AGOSTO 2026'!Z37="POR RECOGER"),'AGOSTO 2026'!Y37,"")</f>
        <v/>
      </c>
      <c r="L768" s="192" t="str">
        <f aca="false">IF(AND('AGOSTO 2026'!D37&lt;&gt;"",'AGOSTO 2026'!Z37="POR RECOGER"),'AGOSTO 2026'!I37,"")</f>
        <v/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" hidden="false" customHeight="true" outlineLevel="0" collapsed="false">
      <c r="A769" s="192" t="str">
        <f aca="false">IF(AND('AGOSTO 2026'!D38&lt;&gt;"",'AGOSTO 2026'!Z38="POR RECOGER"),"AGO","")</f>
        <v/>
      </c>
      <c r="B769" s="192" t="str">
        <f aca="false">IF(AND('AGOSTO 2026'!D38&lt;&gt;"",'AGOSTO 2026'!Z38="POR RECOGER"),IF('AGOSTO 2026'!Y38&lt;&gt;"",'AGOSTO 2026'!Y38,'AGOSTO 2026'!I38),"")</f>
        <v/>
      </c>
      <c r="C769" s="192" t="str">
        <f aca="false">IF(AND('AGOSTO 2026'!D38&lt;&gt;"",'AGOSTO 2026'!Z38="POR RECOGER"),'AGOSTO 2026'!D38,"")</f>
        <v/>
      </c>
      <c r="D769" s="192" t="str">
        <f aca="false">IF(AND('AGOSTO 2026'!D38&lt;&gt;"",'AGOSTO 2026'!Z38="POR RECOGER"),'AGOSTO 2026'!F38,"")</f>
        <v/>
      </c>
      <c r="E769" s="192" t="str">
        <f aca="false">IF(AND('AGOSTO 2026'!D38&lt;&gt;"",'AGOSTO 2026'!Z38="POR RECOGER"),TEXT('AGOSTO 2026'!G38,"DD/MM/YYYY"),"")</f>
        <v/>
      </c>
      <c r="F769" s="192" t="str">
        <f aca="false">IF(AND('AGOSTO 2026'!D38&lt;&gt;"",'AGOSTO 2026'!Z38="POR RECOGER"),'AGOSTO 2026'!K38,"")</f>
        <v/>
      </c>
      <c r="G769" s="193" t="str">
        <f aca="false">IF(AND('AGOSTO 2026'!D38&lt;&gt;"",'AGOSTO 2026'!Z38="POR RECOGER"),'AGOSTO 2026'!M38,"")</f>
        <v/>
      </c>
      <c r="H769" s="193" t="str">
        <f aca="false">IF(AND('AGOSTO 2026'!D38&lt;&gt;"",'AGOSTO 2026'!Z38="POR RECOGER"),'AGOSTO 2026'!N38,"")</f>
        <v/>
      </c>
      <c r="I769" s="192" t="str">
        <f aca="false">IF(AND('AGOSTO 2026'!D38&lt;&gt;"",'AGOSTO 2026'!Z38="POR RECOGER"),'AGOSTO 2026'!P38,"")</f>
        <v/>
      </c>
      <c r="J769" s="192" t="str">
        <f aca="false">IF(AND('AGOSTO 2026'!D38&lt;&gt;"",'AGOSTO 2026'!Z38="POR RECOGER"),'AGOSTO 2026'!Q38,"")</f>
        <v/>
      </c>
      <c r="K769" s="192" t="str">
        <f aca="false">IF(AND('AGOSTO 2026'!D38&lt;&gt;"",'AGOSTO 2026'!Z38="POR RECOGER"),'AGOSTO 2026'!Y38,"")</f>
        <v/>
      </c>
      <c r="L769" s="192" t="str">
        <f aca="false">IF(AND('AGOSTO 2026'!D38&lt;&gt;"",'AGOSTO 2026'!Z38="POR RECOGER"),'AGOSTO 2026'!I38,"")</f>
        <v/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" hidden="false" customHeight="true" outlineLevel="0" collapsed="false">
      <c r="A770" s="192" t="str">
        <f aca="false">IF(AND('AGOSTO 2026'!D39&lt;&gt;"",'AGOSTO 2026'!Z39="POR RECOGER"),"AGO","")</f>
        <v/>
      </c>
      <c r="B770" s="192" t="str">
        <f aca="false">IF(AND('AGOSTO 2026'!D39&lt;&gt;"",'AGOSTO 2026'!Z39="POR RECOGER"),IF('AGOSTO 2026'!Y39&lt;&gt;"",'AGOSTO 2026'!Y39,'AGOSTO 2026'!I39),"")</f>
        <v/>
      </c>
      <c r="C770" s="192" t="str">
        <f aca="false">IF(AND('AGOSTO 2026'!D39&lt;&gt;"",'AGOSTO 2026'!Z39="POR RECOGER"),'AGOSTO 2026'!D39,"")</f>
        <v/>
      </c>
      <c r="D770" s="192" t="str">
        <f aca="false">IF(AND('AGOSTO 2026'!D39&lt;&gt;"",'AGOSTO 2026'!Z39="POR RECOGER"),'AGOSTO 2026'!F39,"")</f>
        <v/>
      </c>
      <c r="E770" s="192" t="str">
        <f aca="false">IF(AND('AGOSTO 2026'!D39&lt;&gt;"",'AGOSTO 2026'!Z39="POR RECOGER"),TEXT('AGOSTO 2026'!G39,"DD/MM/YYYY"),"")</f>
        <v/>
      </c>
      <c r="F770" s="192" t="str">
        <f aca="false">IF(AND('AGOSTO 2026'!D39&lt;&gt;"",'AGOSTO 2026'!Z39="POR RECOGER"),'AGOSTO 2026'!K39,"")</f>
        <v/>
      </c>
      <c r="G770" s="193" t="str">
        <f aca="false">IF(AND('AGOSTO 2026'!D39&lt;&gt;"",'AGOSTO 2026'!Z39="POR RECOGER"),'AGOSTO 2026'!M39,"")</f>
        <v/>
      </c>
      <c r="H770" s="193" t="str">
        <f aca="false">IF(AND('AGOSTO 2026'!D39&lt;&gt;"",'AGOSTO 2026'!Z39="POR RECOGER"),'AGOSTO 2026'!N39,"")</f>
        <v/>
      </c>
      <c r="I770" s="192" t="str">
        <f aca="false">IF(AND('AGOSTO 2026'!D39&lt;&gt;"",'AGOSTO 2026'!Z39="POR RECOGER"),'AGOSTO 2026'!P39,"")</f>
        <v/>
      </c>
      <c r="J770" s="192" t="str">
        <f aca="false">IF(AND('AGOSTO 2026'!D39&lt;&gt;"",'AGOSTO 2026'!Z39="POR RECOGER"),'AGOSTO 2026'!Q39,"")</f>
        <v/>
      </c>
      <c r="K770" s="192" t="str">
        <f aca="false">IF(AND('AGOSTO 2026'!D39&lt;&gt;"",'AGOSTO 2026'!Z39="POR RECOGER"),'AGOSTO 2026'!Y39,"")</f>
        <v/>
      </c>
      <c r="L770" s="192" t="str">
        <f aca="false">IF(AND('AGOSTO 2026'!D39&lt;&gt;"",'AGOSTO 2026'!Z39="POR RECOGER"),'AGOSTO 2026'!I39,"")</f>
        <v/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" hidden="false" customHeight="true" outlineLevel="0" collapsed="false">
      <c r="A771" s="192" t="str">
        <f aca="false">IF(AND('AGOSTO 2026'!D40&lt;&gt;"",'AGOSTO 2026'!Z40="POR RECOGER"),"AGO","")</f>
        <v/>
      </c>
      <c r="B771" s="192" t="str">
        <f aca="false">IF(AND('AGOSTO 2026'!D40&lt;&gt;"",'AGOSTO 2026'!Z40="POR RECOGER"),IF('AGOSTO 2026'!Y40&lt;&gt;"",'AGOSTO 2026'!Y40,'AGOSTO 2026'!I40),"")</f>
        <v/>
      </c>
      <c r="C771" s="192" t="str">
        <f aca="false">IF(AND('AGOSTO 2026'!D40&lt;&gt;"",'AGOSTO 2026'!Z40="POR RECOGER"),'AGOSTO 2026'!D40,"")</f>
        <v/>
      </c>
      <c r="D771" s="192" t="str">
        <f aca="false">IF(AND('AGOSTO 2026'!D40&lt;&gt;"",'AGOSTO 2026'!Z40="POR RECOGER"),'AGOSTO 2026'!F40,"")</f>
        <v/>
      </c>
      <c r="E771" s="192" t="str">
        <f aca="false">IF(AND('AGOSTO 2026'!D40&lt;&gt;"",'AGOSTO 2026'!Z40="POR RECOGER"),TEXT('AGOSTO 2026'!G40,"DD/MM/YYYY"),"")</f>
        <v/>
      </c>
      <c r="F771" s="192" t="str">
        <f aca="false">IF(AND('AGOSTO 2026'!D40&lt;&gt;"",'AGOSTO 2026'!Z40="POR RECOGER"),'AGOSTO 2026'!K40,"")</f>
        <v/>
      </c>
      <c r="G771" s="193" t="str">
        <f aca="false">IF(AND('AGOSTO 2026'!D40&lt;&gt;"",'AGOSTO 2026'!Z40="POR RECOGER"),'AGOSTO 2026'!M40,"")</f>
        <v/>
      </c>
      <c r="H771" s="193" t="str">
        <f aca="false">IF(AND('AGOSTO 2026'!D40&lt;&gt;"",'AGOSTO 2026'!Z40="POR RECOGER"),'AGOSTO 2026'!N40,"")</f>
        <v/>
      </c>
      <c r="I771" s="192" t="str">
        <f aca="false">IF(AND('AGOSTO 2026'!D40&lt;&gt;"",'AGOSTO 2026'!Z40="POR RECOGER"),'AGOSTO 2026'!P40,"")</f>
        <v/>
      </c>
      <c r="J771" s="192" t="str">
        <f aca="false">IF(AND('AGOSTO 2026'!D40&lt;&gt;"",'AGOSTO 2026'!Z40="POR RECOGER"),'AGOSTO 2026'!Q40,"")</f>
        <v/>
      </c>
      <c r="K771" s="192" t="str">
        <f aca="false">IF(AND('AGOSTO 2026'!D40&lt;&gt;"",'AGOSTO 2026'!Z40="POR RECOGER"),'AGOSTO 2026'!Y40,"")</f>
        <v/>
      </c>
      <c r="L771" s="192" t="str">
        <f aca="false">IF(AND('AGOSTO 2026'!D40&lt;&gt;"",'AGOSTO 2026'!Z40="POR RECOGER"),'AGOSTO 2026'!I40,"")</f>
        <v/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" hidden="false" customHeight="true" outlineLevel="0" collapsed="false">
      <c r="A772" s="192" t="str">
        <f aca="false">IF(AND('AGOSTO 2026'!D41&lt;&gt;"",'AGOSTO 2026'!Z41="POR RECOGER"),"AGO","")</f>
        <v/>
      </c>
      <c r="B772" s="192" t="str">
        <f aca="false">IF(AND('AGOSTO 2026'!D41&lt;&gt;"",'AGOSTO 2026'!Z41="POR RECOGER"),IF('AGOSTO 2026'!Y41&lt;&gt;"",'AGOSTO 2026'!Y41,'AGOSTO 2026'!I41),"")</f>
        <v/>
      </c>
      <c r="C772" s="192" t="str">
        <f aca="false">IF(AND('AGOSTO 2026'!D41&lt;&gt;"",'AGOSTO 2026'!Z41="POR RECOGER"),'AGOSTO 2026'!D41,"")</f>
        <v/>
      </c>
      <c r="D772" s="192" t="str">
        <f aca="false">IF(AND('AGOSTO 2026'!D41&lt;&gt;"",'AGOSTO 2026'!Z41="POR RECOGER"),'AGOSTO 2026'!F41,"")</f>
        <v/>
      </c>
      <c r="E772" s="192" t="str">
        <f aca="false">IF(AND('AGOSTO 2026'!D41&lt;&gt;"",'AGOSTO 2026'!Z41="POR RECOGER"),TEXT('AGOSTO 2026'!G41,"DD/MM/YYYY"),"")</f>
        <v/>
      </c>
      <c r="F772" s="192" t="str">
        <f aca="false">IF(AND('AGOSTO 2026'!D41&lt;&gt;"",'AGOSTO 2026'!Z41="POR RECOGER"),'AGOSTO 2026'!K41,"")</f>
        <v/>
      </c>
      <c r="G772" s="193" t="str">
        <f aca="false">IF(AND('AGOSTO 2026'!D41&lt;&gt;"",'AGOSTO 2026'!Z41="POR RECOGER"),'AGOSTO 2026'!M41,"")</f>
        <v/>
      </c>
      <c r="H772" s="193" t="str">
        <f aca="false">IF(AND('AGOSTO 2026'!D41&lt;&gt;"",'AGOSTO 2026'!Z41="POR RECOGER"),'AGOSTO 2026'!N41,"")</f>
        <v/>
      </c>
      <c r="I772" s="192" t="str">
        <f aca="false">IF(AND('AGOSTO 2026'!D41&lt;&gt;"",'AGOSTO 2026'!Z41="POR RECOGER"),'AGOSTO 2026'!P41,"")</f>
        <v/>
      </c>
      <c r="J772" s="192" t="str">
        <f aca="false">IF(AND('AGOSTO 2026'!D41&lt;&gt;"",'AGOSTO 2026'!Z41="POR RECOGER"),'AGOSTO 2026'!Q41,"")</f>
        <v/>
      </c>
      <c r="K772" s="192" t="str">
        <f aca="false">IF(AND('AGOSTO 2026'!D41&lt;&gt;"",'AGOSTO 2026'!Z41="POR RECOGER"),'AGOSTO 2026'!Y41,"")</f>
        <v/>
      </c>
      <c r="L772" s="192" t="str">
        <f aca="false">IF(AND('AGOSTO 2026'!D41&lt;&gt;"",'AGOSTO 2026'!Z41="POR RECOGER"),'AGOSTO 2026'!I41,"")</f>
        <v/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" hidden="false" customHeight="true" outlineLevel="0" collapsed="false">
      <c r="A773" s="192" t="str">
        <f aca="false">IF(AND('AGOSTO 2026'!D42&lt;&gt;"",'AGOSTO 2026'!Z42="POR RECOGER"),"AGO","")</f>
        <v/>
      </c>
      <c r="B773" s="192" t="str">
        <f aca="false">IF(AND('AGOSTO 2026'!D42&lt;&gt;"",'AGOSTO 2026'!Z42="POR RECOGER"),IF('AGOSTO 2026'!Y42&lt;&gt;"",'AGOSTO 2026'!Y42,'AGOSTO 2026'!I42),"")</f>
        <v/>
      </c>
      <c r="C773" s="192" t="str">
        <f aca="false">IF(AND('AGOSTO 2026'!D42&lt;&gt;"",'AGOSTO 2026'!Z42="POR RECOGER"),'AGOSTO 2026'!D42,"")</f>
        <v/>
      </c>
      <c r="D773" s="192" t="str">
        <f aca="false">IF(AND('AGOSTO 2026'!D42&lt;&gt;"",'AGOSTO 2026'!Z42="POR RECOGER"),'AGOSTO 2026'!F42,"")</f>
        <v/>
      </c>
      <c r="E773" s="192" t="str">
        <f aca="false">IF(AND('AGOSTO 2026'!D42&lt;&gt;"",'AGOSTO 2026'!Z42="POR RECOGER"),TEXT('AGOSTO 2026'!G42,"DD/MM/YYYY"),"")</f>
        <v/>
      </c>
      <c r="F773" s="192" t="str">
        <f aca="false">IF(AND('AGOSTO 2026'!D42&lt;&gt;"",'AGOSTO 2026'!Z42="POR RECOGER"),'AGOSTO 2026'!K42,"")</f>
        <v/>
      </c>
      <c r="G773" s="193" t="str">
        <f aca="false">IF(AND('AGOSTO 2026'!D42&lt;&gt;"",'AGOSTO 2026'!Z42="POR RECOGER"),'AGOSTO 2026'!M42,"")</f>
        <v/>
      </c>
      <c r="H773" s="193" t="str">
        <f aca="false">IF(AND('AGOSTO 2026'!D42&lt;&gt;"",'AGOSTO 2026'!Z42="POR RECOGER"),'AGOSTO 2026'!N42,"")</f>
        <v/>
      </c>
      <c r="I773" s="192" t="str">
        <f aca="false">IF(AND('AGOSTO 2026'!D42&lt;&gt;"",'AGOSTO 2026'!Z42="POR RECOGER"),'AGOSTO 2026'!P42,"")</f>
        <v/>
      </c>
      <c r="J773" s="192" t="str">
        <f aca="false">IF(AND('AGOSTO 2026'!D42&lt;&gt;"",'AGOSTO 2026'!Z42="POR RECOGER"),'AGOSTO 2026'!Q42,"")</f>
        <v/>
      </c>
      <c r="K773" s="192" t="str">
        <f aca="false">IF(AND('AGOSTO 2026'!D42&lt;&gt;"",'AGOSTO 2026'!Z42="POR RECOGER"),'AGOSTO 2026'!Y42,"")</f>
        <v/>
      </c>
      <c r="L773" s="192" t="str">
        <f aca="false">IF(AND('AGOSTO 2026'!D42&lt;&gt;"",'AGOSTO 2026'!Z42="POR RECOGER"),'AGOSTO 2026'!I42,"")</f>
        <v/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" hidden="false" customHeight="true" outlineLevel="0" collapsed="false">
      <c r="A774" s="192" t="str">
        <f aca="false">IF(AND('AGOSTO 2026'!D43&lt;&gt;"",'AGOSTO 2026'!Z43="POR RECOGER"),"AGO","")</f>
        <v/>
      </c>
      <c r="B774" s="192" t="str">
        <f aca="false">IF(AND('AGOSTO 2026'!D43&lt;&gt;"",'AGOSTO 2026'!Z43="POR RECOGER"),IF('AGOSTO 2026'!Y43&lt;&gt;"",'AGOSTO 2026'!Y43,'AGOSTO 2026'!I43),"")</f>
        <v/>
      </c>
      <c r="C774" s="192" t="str">
        <f aca="false">IF(AND('AGOSTO 2026'!D43&lt;&gt;"",'AGOSTO 2026'!Z43="POR RECOGER"),'AGOSTO 2026'!D43,"")</f>
        <v/>
      </c>
      <c r="D774" s="192" t="str">
        <f aca="false">IF(AND('AGOSTO 2026'!D43&lt;&gt;"",'AGOSTO 2026'!Z43="POR RECOGER"),'AGOSTO 2026'!F43,"")</f>
        <v/>
      </c>
      <c r="E774" s="192" t="str">
        <f aca="false">IF(AND('AGOSTO 2026'!D43&lt;&gt;"",'AGOSTO 2026'!Z43="POR RECOGER"),TEXT('AGOSTO 2026'!G43,"DD/MM/YYYY"),"")</f>
        <v/>
      </c>
      <c r="F774" s="192" t="str">
        <f aca="false">IF(AND('AGOSTO 2026'!D43&lt;&gt;"",'AGOSTO 2026'!Z43="POR RECOGER"),'AGOSTO 2026'!K43,"")</f>
        <v/>
      </c>
      <c r="G774" s="193" t="str">
        <f aca="false">IF(AND('AGOSTO 2026'!D43&lt;&gt;"",'AGOSTO 2026'!Z43="POR RECOGER"),'AGOSTO 2026'!M43,"")</f>
        <v/>
      </c>
      <c r="H774" s="193" t="str">
        <f aca="false">IF(AND('AGOSTO 2026'!D43&lt;&gt;"",'AGOSTO 2026'!Z43="POR RECOGER"),'AGOSTO 2026'!N43,"")</f>
        <v/>
      </c>
      <c r="I774" s="192" t="str">
        <f aca="false">IF(AND('AGOSTO 2026'!D43&lt;&gt;"",'AGOSTO 2026'!Z43="POR RECOGER"),'AGOSTO 2026'!P43,"")</f>
        <v/>
      </c>
      <c r="J774" s="192" t="str">
        <f aca="false">IF(AND('AGOSTO 2026'!D43&lt;&gt;"",'AGOSTO 2026'!Z43="POR RECOGER"),'AGOSTO 2026'!Q43,"")</f>
        <v/>
      </c>
      <c r="K774" s="192" t="str">
        <f aca="false">IF(AND('AGOSTO 2026'!D43&lt;&gt;"",'AGOSTO 2026'!Z43="POR RECOGER"),'AGOSTO 2026'!Y43,"")</f>
        <v/>
      </c>
      <c r="L774" s="192" t="str">
        <f aca="false">IF(AND('AGOSTO 2026'!D43&lt;&gt;"",'AGOSTO 2026'!Z43="POR RECOGER"),'AGOSTO 2026'!I43,"")</f>
        <v/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" hidden="false" customHeight="true" outlineLevel="0" collapsed="false">
      <c r="A775" s="192" t="str">
        <f aca="false">IF(AND('AGOSTO 2026'!D44&lt;&gt;"",'AGOSTO 2026'!Z44="POR RECOGER"),"AGO","")</f>
        <v/>
      </c>
      <c r="B775" s="192" t="str">
        <f aca="false">IF(AND('AGOSTO 2026'!D44&lt;&gt;"",'AGOSTO 2026'!Z44="POR RECOGER"),IF('AGOSTO 2026'!Y44&lt;&gt;"",'AGOSTO 2026'!Y44,'AGOSTO 2026'!I44),"")</f>
        <v/>
      </c>
      <c r="C775" s="192" t="str">
        <f aca="false">IF(AND('AGOSTO 2026'!D44&lt;&gt;"",'AGOSTO 2026'!Z44="POR RECOGER"),'AGOSTO 2026'!D44,"")</f>
        <v/>
      </c>
      <c r="D775" s="192" t="str">
        <f aca="false">IF(AND('AGOSTO 2026'!D44&lt;&gt;"",'AGOSTO 2026'!Z44="POR RECOGER"),'AGOSTO 2026'!F44,"")</f>
        <v/>
      </c>
      <c r="E775" s="192" t="str">
        <f aca="false">IF(AND('AGOSTO 2026'!D44&lt;&gt;"",'AGOSTO 2026'!Z44="POR RECOGER"),TEXT('AGOSTO 2026'!G44,"DD/MM/YYYY"),"")</f>
        <v/>
      </c>
      <c r="F775" s="192" t="str">
        <f aca="false">IF(AND('AGOSTO 2026'!D44&lt;&gt;"",'AGOSTO 2026'!Z44="POR RECOGER"),'AGOSTO 2026'!K44,"")</f>
        <v/>
      </c>
      <c r="G775" s="193" t="str">
        <f aca="false">IF(AND('AGOSTO 2026'!D44&lt;&gt;"",'AGOSTO 2026'!Z44="POR RECOGER"),'AGOSTO 2026'!M44,"")</f>
        <v/>
      </c>
      <c r="H775" s="193" t="str">
        <f aca="false">IF(AND('AGOSTO 2026'!D44&lt;&gt;"",'AGOSTO 2026'!Z44="POR RECOGER"),'AGOSTO 2026'!N44,"")</f>
        <v/>
      </c>
      <c r="I775" s="192" t="str">
        <f aca="false">IF(AND('AGOSTO 2026'!D44&lt;&gt;"",'AGOSTO 2026'!Z44="POR RECOGER"),'AGOSTO 2026'!P44,"")</f>
        <v/>
      </c>
      <c r="J775" s="192" t="str">
        <f aca="false">IF(AND('AGOSTO 2026'!D44&lt;&gt;"",'AGOSTO 2026'!Z44="POR RECOGER"),'AGOSTO 2026'!Q44,"")</f>
        <v/>
      </c>
      <c r="K775" s="192" t="str">
        <f aca="false">IF(AND('AGOSTO 2026'!D44&lt;&gt;"",'AGOSTO 2026'!Z44="POR RECOGER"),'AGOSTO 2026'!Y44,"")</f>
        <v/>
      </c>
      <c r="L775" s="192" t="str">
        <f aca="false">IF(AND('AGOSTO 2026'!D44&lt;&gt;"",'AGOSTO 2026'!Z44="POR RECOGER"),'AGOSTO 2026'!I44,"")</f>
        <v/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" hidden="false" customHeight="true" outlineLevel="0" collapsed="false">
      <c r="A776" s="192" t="str">
        <f aca="false">IF(AND('AGOSTO 2026'!D45&lt;&gt;"",'AGOSTO 2026'!Z45="POR RECOGER"),"AGO","")</f>
        <v/>
      </c>
      <c r="B776" s="192" t="str">
        <f aca="false">IF(AND('AGOSTO 2026'!D45&lt;&gt;"",'AGOSTO 2026'!Z45="POR RECOGER"),IF('AGOSTO 2026'!Y45&lt;&gt;"",'AGOSTO 2026'!Y45,'AGOSTO 2026'!I45),"")</f>
        <v/>
      </c>
      <c r="C776" s="192" t="str">
        <f aca="false">IF(AND('AGOSTO 2026'!D45&lt;&gt;"",'AGOSTO 2026'!Z45="POR RECOGER"),'AGOSTO 2026'!D45,"")</f>
        <v/>
      </c>
      <c r="D776" s="192" t="str">
        <f aca="false">IF(AND('AGOSTO 2026'!D45&lt;&gt;"",'AGOSTO 2026'!Z45="POR RECOGER"),'AGOSTO 2026'!F45,"")</f>
        <v/>
      </c>
      <c r="E776" s="192" t="str">
        <f aca="false">IF(AND('AGOSTO 2026'!D45&lt;&gt;"",'AGOSTO 2026'!Z45="POR RECOGER"),TEXT('AGOSTO 2026'!G45,"DD/MM/YYYY"),"")</f>
        <v/>
      </c>
      <c r="F776" s="192" t="str">
        <f aca="false">IF(AND('AGOSTO 2026'!D45&lt;&gt;"",'AGOSTO 2026'!Z45="POR RECOGER"),'AGOSTO 2026'!K45,"")</f>
        <v/>
      </c>
      <c r="G776" s="193" t="str">
        <f aca="false">IF(AND('AGOSTO 2026'!D45&lt;&gt;"",'AGOSTO 2026'!Z45="POR RECOGER"),'AGOSTO 2026'!M45,"")</f>
        <v/>
      </c>
      <c r="H776" s="193" t="str">
        <f aca="false">IF(AND('AGOSTO 2026'!D45&lt;&gt;"",'AGOSTO 2026'!Z45="POR RECOGER"),'AGOSTO 2026'!N45,"")</f>
        <v/>
      </c>
      <c r="I776" s="192" t="str">
        <f aca="false">IF(AND('AGOSTO 2026'!D45&lt;&gt;"",'AGOSTO 2026'!Z45="POR RECOGER"),'AGOSTO 2026'!P45,"")</f>
        <v/>
      </c>
      <c r="J776" s="192" t="str">
        <f aca="false">IF(AND('AGOSTO 2026'!D45&lt;&gt;"",'AGOSTO 2026'!Z45="POR RECOGER"),'AGOSTO 2026'!Q45,"")</f>
        <v/>
      </c>
      <c r="K776" s="192" t="str">
        <f aca="false">IF(AND('AGOSTO 2026'!D45&lt;&gt;"",'AGOSTO 2026'!Z45="POR RECOGER"),'AGOSTO 2026'!Y45,"")</f>
        <v/>
      </c>
      <c r="L776" s="192" t="str">
        <f aca="false">IF(AND('AGOSTO 2026'!D45&lt;&gt;"",'AGOSTO 2026'!Z45="POR RECOGER"),'AGOSTO 2026'!I45,"")</f>
        <v/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" hidden="false" customHeight="true" outlineLevel="0" collapsed="false">
      <c r="A777" s="192" t="str">
        <f aca="false">IF(AND('AGOSTO 2026'!D46&lt;&gt;"",'AGOSTO 2026'!Z46="POR RECOGER"),"AGO","")</f>
        <v/>
      </c>
      <c r="B777" s="192" t="str">
        <f aca="false">IF(AND('AGOSTO 2026'!D46&lt;&gt;"",'AGOSTO 2026'!Z46="POR RECOGER"),IF('AGOSTO 2026'!Y46&lt;&gt;"",'AGOSTO 2026'!Y46,'AGOSTO 2026'!I46),"")</f>
        <v/>
      </c>
      <c r="C777" s="192" t="str">
        <f aca="false">IF(AND('AGOSTO 2026'!D46&lt;&gt;"",'AGOSTO 2026'!Z46="POR RECOGER"),'AGOSTO 2026'!D46,"")</f>
        <v/>
      </c>
      <c r="D777" s="192" t="str">
        <f aca="false">IF(AND('AGOSTO 2026'!D46&lt;&gt;"",'AGOSTO 2026'!Z46="POR RECOGER"),'AGOSTO 2026'!F46,"")</f>
        <v/>
      </c>
      <c r="E777" s="192" t="str">
        <f aca="false">IF(AND('AGOSTO 2026'!D46&lt;&gt;"",'AGOSTO 2026'!Z46="POR RECOGER"),TEXT('AGOSTO 2026'!G46,"DD/MM/YYYY"),"")</f>
        <v/>
      </c>
      <c r="F777" s="192" t="str">
        <f aca="false">IF(AND('AGOSTO 2026'!D46&lt;&gt;"",'AGOSTO 2026'!Z46="POR RECOGER"),'AGOSTO 2026'!K46,"")</f>
        <v/>
      </c>
      <c r="G777" s="193" t="str">
        <f aca="false">IF(AND('AGOSTO 2026'!D46&lt;&gt;"",'AGOSTO 2026'!Z46="POR RECOGER"),'AGOSTO 2026'!M46,"")</f>
        <v/>
      </c>
      <c r="H777" s="193" t="str">
        <f aca="false">IF(AND('AGOSTO 2026'!D46&lt;&gt;"",'AGOSTO 2026'!Z46="POR RECOGER"),'AGOSTO 2026'!N46,"")</f>
        <v/>
      </c>
      <c r="I777" s="192" t="str">
        <f aca="false">IF(AND('AGOSTO 2026'!D46&lt;&gt;"",'AGOSTO 2026'!Z46="POR RECOGER"),'AGOSTO 2026'!P46,"")</f>
        <v/>
      </c>
      <c r="J777" s="192" t="str">
        <f aca="false">IF(AND('AGOSTO 2026'!D46&lt;&gt;"",'AGOSTO 2026'!Z46="POR RECOGER"),'AGOSTO 2026'!Q46,"")</f>
        <v/>
      </c>
      <c r="K777" s="192" t="str">
        <f aca="false">IF(AND('AGOSTO 2026'!D46&lt;&gt;"",'AGOSTO 2026'!Z46="POR RECOGER"),'AGOSTO 2026'!Y46,"")</f>
        <v/>
      </c>
      <c r="L777" s="192" t="str">
        <f aca="false">IF(AND('AGOSTO 2026'!D46&lt;&gt;"",'AGOSTO 2026'!Z46="POR RECOGER"),'AGOSTO 2026'!I46,"")</f>
        <v/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" hidden="false" customHeight="true" outlineLevel="0" collapsed="false">
      <c r="A778" s="192" t="str">
        <f aca="false">IF(AND('AGOSTO 2026'!D47&lt;&gt;"",'AGOSTO 2026'!Z47="POR RECOGER"),"AGO","")</f>
        <v/>
      </c>
      <c r="B778" s="192" t="str">
        <f aca="false">IF(AND('AGOSTO 2026'!D47&lt;&gt;"",'AGOSTO 2026'!Z47="POR RECOGER"),IF('AGOSTO 2026'!Y47&lt;&gt;"",'AGOSTO 2026'!Y47,'AGOSTO 2026'!I47),"")</f>
        <v/>
      </c>
      <c r="C778" s="192" t="str">
        <f aca="false">IF(AND('AGOSTO 2026'!D47&lt;&gt;"",'AGOSTO 2026'!Z47="POR RECOGER"),'AGOSTO 2026'!D47,"")</f>
        <v/>
      </c>
      <c r="D778" s="192" t="str">
        <f aca="false">IF(AND('AGOSTO 2026'!D47&lt;&gt;"",'AGOSTO 2026'!Z47="POR RECOGER"),'AGOSTO 2026'!F47,"")</f>
        <v/>
      </c>
      <c r="E778" s="192" t="str">
        <f aca="false">IF(AND('AGOSTO 2026'!D47&lt;&gt;"",'AGOSTO 2026'!Z47="POR RECOGER"),TEXT('AGOSTO 2026'!G47,"DD/MM/YYYY"),"")</f>
        <v/>
      </c>
      <c r="F778" s="192" t="str">
        <f aca="false">IF(AND('AGOSTO 2026'!D47&lt;&gt;"",'AGOSTO 2026'!Z47="POR RECOGER"),'AGOSTO 2026'!K47,"")</f>
        <v/>
      </c>
      <c r="G778" s="193" t="str">
        <f aca="false">IF(AND('AGOSTO 2026'!D47&lt;&gt;"",'AGOSTO 2026'!Z47="POR RECOGER"),'AGOSTO 2026'!M47,"")</f>
        <v/>
      </c>
      <c r="H778" s="193" t="str">
        <f aca="false">IF(AND('AGOSTO 2026'!D47&lt;&gt;"",'AGOSTO 2026'!Z47="POR RECOGER"),'AGOSTO 2026'!N47,"")</f>
        <v/>
      </c>
      <c r="I778" s="192" t="str">
        <f aca="false">IF(AND('AGOSTO 2026'!D47&lt;&gt;"",'AGOSTO 2026'!Z47="POR RECOGER"),'AGOSTO 2026'!P47,"")</f>
        <v/>
      </c>
      <c r="J778" s="192" t="str">
        <f aca="false">IF(AND('AGOSTO 2026'!D47&lt;&gt;"",'AGOSTO 2026'!Z47="POR RECOGER"),'AGOSTO 2026'!Q47,"")</f>
        <v/>
      </c>
      <c r="K778" s="192" t="str">
        <f aca="false">IF(AND('AGOSTO 2026'!D47&lt;&gt;"",'AGOSTO 2026'!Z47="POR RECOGER"),'AGOSTO 2026'!Y47,"")</f>
        <v/>
      </c>
      <c r="L778" s="192" t="str">
        <f aca="false">IF(AND('AGOSTO 2026'!D47&lt;&gt;"",'AGOSTO 2026'!Z47="POR RECOGER"),'AGOSTO 2026'!I47,"")</f>
        <v/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" hidden="false" customHeight="true" outlineLevel="0" collapsed="false">
      <c r="A779" s="192" t="str">
        <f aca="false">IF(AND('AGOSTO 2026'!D48&lt;&gt;"",'AGOSTO 2026'!Z48="POR RECOGER"),"AGO","")</f>
        <v/>
      </c>
      <c r="B779" s="192" t="str">
        <f aca="false">IF(AND('AGOSTO 2026'!D48&lt;&gt;"",'AGOSTO 2026'!Z48="POR RECOGER"),IF('AGOSTO 2026'!Y48&lt;&gt;"",'AGOSTO 2026'!Y48,'AGOSTO 2026'!I48),"")</f>
        <v/>
      </c>
      <c r="C779" s="192" t="str">
        <f aca="false">IF(AND('AGOSTO 2026'!D48&lt;&gt;"",'AGOSTO 2026'!Z48="POR RECOGER"),'AGOSTO 2026'!D48,"")</f>
        <v/>
      </c>
      <c r="D779" s="192" t="str">
        <f aca="false">IF(AND('AGOSTO 2026'!D48&lt;&gt;"",'AGOSTO 2026'!Z48="POR RECOGER"),'AGOSTO 2026'!F48,"")</f>
        <v/>
      </c>
      <c r="E779" s="192" t="str">
        <f aca="false">IF(AND('AGOSTO 2026'!D48&lt;&gt;"",'AGOSTO 2026'!Z48="POR RECOGER"),TEXT('AGOSTO 2026'!G48,"DD/MM/YYYY"),"")</f>
        <v/>
      </c>
      <c r="F779" s="192" t="str">
        <f aca="false">IF(AND('AGOSTO 2026'!D48&lt;&gt;"",'AGOSTO 2026'!Z48="POR RECOGER"),'AGOSTO 2026'!K48,"")</f>
        <v/>
      </c>
      <c r="G779" s="193" t="str">
        <f aca="false">IF(AND('AGOSTO 2026'!D48&lt;&gt;"",'AGOSTO 2026'!Z48="POR RECOGER"),'AGOSTO 2026'!M48,"")</f>
        <v/>
      </c>
      <c r="H779" s="193" t="str">
        <f aca="false">IF(AND('AGOSTO 2026'!D48&lt;&gt;"",'AGOSTO 2026'!Z48="POR RECOGER"),'AGOSTO 2026'!N48,"")</f>
        <v/>
      </c>
      <c r="I779" s="192" t="str">
        <f aca="false">IF(AND('AGOSTO 2026'!D48&lt;&gt;"",'AGOSTO 2026'!Z48="POR RECOGER"),'AGOSTO 2026'!P48,"")</f>
        <v/>
      </c>
      <c r="J779" s="192" t="str">
        <f aca="false">IF(AND('AGOSTO 2026'!D48&lt;&gt;"",'AGOSTO 2026'!Z48="POR RECOGER"),'AGOSTO 2026'!Q48,"")</f>
        <v/>
      </c>
      <c r="K779" s="192" t="str">
        <f aca="false">IF(AND('AGOSTO 2026'!D48&lt;&gt;"",'AGOSTO 2026'!Z48="POR RECOGER"),'AGOSTO 2026'!Y48,"")</f>
        <v/>
      </c>
      <c r="L779" s="192" t="str">
        <f aca="false">IF(AND('AGOSTO 2026'!D48&lt;&gt;"",'AGOSTO 2026'!Z48="POR RECOGER"),'AGOSTO 2026'!I48,"")</f>
        <v/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" hidden="false" customHeight="true" outlineLevel="0" collapsed="false">
      <c r="A780" s="192" t="str">
        <f aca="false">IF(AND('AGOSTO 2026'!D49&lt;&gt;"",'AGOSTO 2026'!Z49="POR RECOGER"),"AGO","")</f>
        <v/>
      </c>
      <c r="B780" s="192" t="str">
        <f aca="false">IF(AND('AGOSTO 2026'!D49&lt;&gt;"",'AGOSTO 2026'!Z49="POR RECOGER"),IF('AGOSTO 2026'!Y49&lt;&gt;"",'AGOSTO 2026'!Y49,'AGOSTO 2026'!I49),"")</f>
        <v/>
      </c>
      <c r="C780" s="192" t="str">
        <f aca="false">IF(AND('AGOSTO 2026'!D49&lt;&gt;"",'AGOSTO 2026'!Z49="POR RECOGER"),'AGOSTO 2026'!D49,"")</f>
        <v/>
      </c>
      <c r="D780" s="192" t="str">
        <f aca="false">IF(AND('AGOSTO 2026'!D49&lt;&gt;"",'AGOSTO 2026'!Z49="POR RECOGER"),'AGOSTO 2026'!F49,"")</f>
        <v/>
      </c>
      <c r="E780" s="192" t="str">
        <f aca="false">IF(AND('AGOSTO 2026'!D49&lt;&gt;"",'AGOSTO 2026'!Z49="POR RECOGER"),TEXT('AGOSTO 2026'!G49,"DD/MM/YYYY"),"")</f>
        <v/>
      </c>
      <c r="F780" s="192" t="str">
        <f aca="false">IF(AND('AGOSTO 2026'!D49&lt;&gt;"",'AGOSTO 2026'!Z49="POR RECOGER"),'AGOSTO 2026'!K49,"")</f>
        <v/>
      </c>
      <c r="G780" s="193" t="str">
        <f aca="false">IF(AND('AGOSTO 2026'!D49&lt;&gt;"",'AGOSTO 2026'!Z49="POR RECOGER"),'AGOSTO 2026'!M49,"")</f>
        <v/>
      </c>
      <c r="H780" s="193" t="str">
        <f aca="false">IF(AND('AGOSTO 2026'!D49&lt;&gt;"",'AGOSTO 2026'!Z49="POR RECOGER"),'AGOSTO 2026'!N49,"")</f>
        <v/>
      </c>
      <c r="I780" s="192" t="str">
        <f aca="false">IF(AND('AGOSTO 2026'!D49&lt;&gt;"",'AGOSTO 2026'!Z49="POR RECOGER"),'AGOSTO 2026'!P49,"")</f>
        <v/>
      </c>
      <c r="J780" s="192" t="str">
        <f aca="false">IF(AND('AGOSTO 2026'!D49&lt;&gt;"",'AGOSTO 2026'!Z49="POR RECOGER"),'AGOSTO 2026'!Q49,"")</f>
        <v/>
      </c>
      <c r="K780" s="192" t="str">
        <f aca="false">IF(AND('AGOSTO 2026'!D49&lt;&gt;"",'AGOSTO 2026'!Z49="POR RECOGER"),'AGOSTO 2026'!Y49,"")</f>
        <v/>
      </c>
      <c r="L780" s="192" t="str">
        <f aca="false">IF(AND('AGOSTO 2026'!D49&lt;&gt;"",'AGOSTO 2026'!Z49="POR RECOGER"),'AGOSTO 2026'!I49,"")</f>
        <v/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" hidden="false" customHeight="true" outlineLevel="0" collapsed="false">
      <c r="A781" s="192" t="str">
        <f aca="false">IF(AND('AGOSTO 2026'!D50&lt;&gt;"",'AGOSTO 2026'!Z50="POR RECOGER"),"AGO","")</f>
        <v/>
      </c>
      <c r="B781" s="192" t="str">
        <f aca="false">IF(AND('AGOSTO 2026'!D50&lt;&gt;"",'AGOSTO 2026'!Z50="POR RECOGER"),IF('AGOSTO 2026'!Y50&lt;&gt;"",'AGOSTO 2026'!Y50,'AGOSTO 2026'!I50),"")</f>
        <v/>
      </c>
      <c r="C781" s="192" t="str">
        <f aca="false">IF(AND('AGOSTO 2026'!D50&lt;&gt;"",'AGOSTO 2026'!Z50="POR RECOGER"),'AGOSTO 2026'!D50,"")</f>
        <v/>
      </c>
      <c r="D781" s="192" t="str">
        <f aca="false">IF(AND('AGOSTO 2026'!D50&lt;&gt;"",'AGOSTO 2026'!Z50="POR RECOGER"),'AGOSTO 2026'!F50,"")</f>
        <v/>
      </c>
      <c r="E781" s="192" t="str">
        <f aca="false">IF(AND('AGOSTO 2026'!D50&lt;&gt;"",'AGOSTO 2026'!Z50="POR RECOGER"),TEXT('AGOSTO 2026'!G50,"DD/MM/YYYY"),"")</f>
        <v/>
      </c>
      <c r="F781" s="192" t="str">
        <f aca="false">IF(AND('AGOSTO 2026'!D50&lt;&gt;"",'AGOSTO 2026'!Z50="POR RECOGER"),'AGOSTO 2026'!K50,"")</f>
        <v/>
      </c>
      <c r="G781" s="193" t="str">
        <f aca="false">IF(AND('AGOSTO 2026'!D50&lt;&gt;"",'AGOSTO 2026'!Z50="POR RECOGER"),'AGOSTO 2026'!M50,"")</f>
        <v/>
      </c>
      <c r="H781" s="193" t="str">
        <f aca="false">IF(AND('AGOSTO 2026'!D50&lt;&gt;"",'AGOSTO 2026'!Z50="POR RECOGER"),'AGOSTO 2026'!N50,"")</f>
        <v/>
      </c>
      <c r="I781" s="192" t="str">
        <f aca="false">IF(AND('AGOSTO 2026'!D50&lt;&gt;"",'AGOSTO 2026'!Z50="POR RECOGER"),'AGOSTO 2026'!P50,"")</f>
        <v/>
      </c>
      <c r="J781" s="192" t="str">
        <f aca="false">IF(AND('AGOSTO 2026'!D50&lt;&gt;"",'AGOSTO 2026'!Z50="POR RECOGER"),'AGOSTO 2026'!Q50,"")</f>
        <v/>
      </c>
      <c r="K781" s="192" t="str">
        <f aca="false">IF(AND('AGOSTO 2026'!D50&lt;&gt;"",'AGOSTO 2026'!Z50="POR RECOGER"),'AGOSTO 2026'!Y50,"")</f>
        <v/>
      </c>
      <c r="L781" s="192" t="str">
        <f aca="false">IF(AND('AGOSTO 2026'!D50&lt;&gt;"",'AGOSTO 2026'!Z50="POR RECOGER"),'AGOSTO 2026'!I50,"")</f>
        <v/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" hidden="false" customHeight="true" outlineLevel="0" collapsed="false">
      <c r="A782" s="192" t="str">
        <f aca="false">IF(AND('AGOSTO 2026'!D51&lt;&gt;"",'AGOSTO 2026'!Z51="POR RECOGER"),"AGO","")</f>
        <v/>
      </c>
      <c r="B782" s="192" t="str">
        <f aca="false">IF(AND('AGOSTO 2026'!D51&lt;&gt;"",'AGOSTO 2026'!Z51="POR RECOGER"),IF('AGOSTO 2026'!Y51&lt;&gt;"",'AGOSTO 2026'!Y51,'AGOSTO 2026'!I51),"")</f>
        <v/>
      </c>
      <c r="C782" s="192" t="str">
        <f aca="false">IF(AND('AGOSTO 2026'!D51&lt;&gt;"",'AGOSTO 2026'!Z51="POR RECOGER"),'AGOSTO 2026'!D51,"")</f>
        <v/>
      </c>
      <c r="D782" s="192" t="str">
        <f aca="false">IF(AND('AGOSTO 2026'!D51&lt;&gt;"",'AGOSTO 2026'!Z51="POR RECOGER"),'AGOSTO 2026'!F51,"")</f>
        <v/>
      </c>
      <c r="E782" s="192" t="str">
        <f aca="false">IF(AND('AGOSTO 2026'!D51&lt;&gt;"",'AGOSTO 2026'!Z51="POR RECOGER"),TEXT('AGOSTO 2026'!G51,"DD/MM/YYYY"),"")</f>
        <v/>
      </c>
      <c r="F782" s="192" t="str">
        <f aca="false">IF(AND('AGOSTO 2026'!D51&lt;&gt;"",'AGOSTO 2026'!Z51="POR RECOGER"),'AGOSTO 2026'!K51,"")</f>
        <v/>
      </c>
      <c r="G782" s="193" t="str">
        <f aca="false">IF(AND('AGOSTO 2026'!D51&lt;&gt;"",'AGOSTO 2026'!Z51="POR RECOGER"),'AGOSTO 2026'!M51,"")</f>
        <v/>
      </c>
      <c r="H782" s="193" t="str">
        <f aca="false">IF(AND('AGOSTO 2026'!D51&lt;&gt;"",'AGOSTO 2026'!Z51="POR RECOGER"),'AGOSTO 2026'!N51,"")</f>
        <v/>
      </c>
      <c r="I782" s="192" t="str">
        <f aca="false">IF(AND('AGOSTO 2026'!D51&lt;&gt;"",'AGOSTO 2026'!Z51="POR RECOGER"),'AGOSTO 2026'!P51,"")</f>
        <v/>
      </c>
      <c r="J782" s="192" t="str">
        <f aca="false">IF(AND('AGOSTO 2026'!D51&lt;&gt;"",'AGOSTO 2026'!Z51="POR RECOGER"),'AGOSTO 2026'!Q51,"")</f>
        <v/>
      </c>
      <c r="K782" s="192" t="str">
        <f aca="false">IF(AND('AGOSTO 2026'!D51&lt;&gt;"",'AGOSTO 2026'!Z51="POR RECOGER"),'AGOSTO 2026'!Y51,"")</f>
        <v/>
      </c>
      <c r="L782" s="192" t="str">
        <f aca="false">IF(AND('AGOSTO 2026'!D51&lt;&gt;"",'AGOSTO 2026'!Z51="POR RECOGER"),'AGOSTO 2026'!I51,"")</f>
        <v/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" hidden="false" customHeight="true" outlineLevel="0" collapsed="false">
      <c r="A783" s="192" t="str">
        <f aca="false">IF(AND('AGOSTO 2026'!D52&lt;&gt;"",'AGOSTO 2026'!Z52="POR RECOGER"),"AGO","")</f>
        <v/>
      </c>
      <c r="B783" s="192" t="str">
        <f aca="false">IF(AND('AGOSTO 2026'!D52&lt;&gt;"",'AGOSTO 2026'!Z52="POR RECOGER"),IF('AGOSTO 2026'!Y52&lt;&gt;"",'AGOSTO 2026'!Y52,'AGOSTO 2026'!I52),"")</f>
        <v/>
      </c>
      <c r="C783" s="192" t="str">
        <f aca="false">IF(AND('AGOSTO 2026'!D52&lt;&gt;"",'AGOSTO 2026'!Z52="POR RECOGER"),'AGOSTO 2026'!D52,"")</f>
        <v/>
      </c>
      <c r="D783" s="192" t="str">
        <f aca="false">IF(AND('AGOSTO 2026'!D52&lt;&gt;"",'AGOSTO 2026'!Z52="POR RECOGER"),'AGOSTO 2026'!F52,"")</f>
        <v/>
      </c>
      <c r="E783" s="192" t="str">
        <f aca="false">IF(AND('AGOSTO 2026'!D52&lt;&gt;"",'AGOSTO 2026'!Z52="POR RECOGER"),TEXT('AGOSTO 2026'!G52,"DD/MM/YYYY"),"")</f>
        <v/>
      </c>
      <c r="F783" s="192" t="str">
        <f aca="false">IF(AND('AGOSTO 2026'!D52&lt;&gt;"",'AGOSTO 2026'!Z52="POR RECOGER"),'AGOSTO 2026'!K52,"")</f>
        <v/>
      </c>
      <c r="G783" s="193" t="str">
        <f aca="false">IF(AND('AGOSTO 2026'!D52&lt;&gt;"",'AGOSTO 2026'!Z52="POR RECOGER"),'AGOSTO 2026'!M52,"")</f>
        <v/>
      </c>
      <c r="H783" s="193" t="str">
        <f aca="false">IF(AND('AGOSTO 2026'!D52&lt;&gt;"",'AGOSTO 2026'!Z52="POR RECOGER"),'AGOSTO 2026'!N52,"")</f>
        <v/>
      </c>
      <c r="I783" s="192" t="str">
        <f aca="false">IF(AND('AGOSTO 2026'!D52&lt;&gt;"",'AGOSTO 2026'!Z52="POR RECOGER"),'AGOSTO 2026'!P52,"")</f>
        <v/>
      </c>
      <c r="J783" s="192" t="str">
        <f aca="false">IF(AND('AGOSTO 2026'!D52&lt;&gt;"",'AGOSTO 2026'!Z52="POR RECOGER"),'AGOSTO 2026'!Q52,"")</f>
        <v/>
      </c>
      <c r="K783" s="192" t="str">
        <f aca="false">IF(AND('AGOSTO 2026'!D52&lt;&gt;"",'AGOSTO 2026'!Z52="POR RECOGER"),'AGOSTO 2026'!Y52,"")</f>
        <v/>
      </c>
      <c r="L783" s="192" t="str">
        <f aca="false">IF(AND('AGOSTO 2026'!D52&lt;&gt;"",'AGOSTO 2026'!Z52="POR RECOGER"),'AGOSTO 2026'!I52,"")</f>
        <v/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" hidden="false" customHeight="true" outlineLevel="0" collapsed="false">
      <c r="A784" s="192" t="str">
        <f aca="false">IF(AND('AGOSTO 2026'!D53&lt;&gt;"",'AGOSTO 2026'!Z53="POR RECOGER"),"AGO","")</f>
        <v/>
      </c>
      <c r="B784" s="192" t="str">
        <f aca="false">IF(AND('AGOSTO 2026'!D53&lt;&gt;"",'AGOSTO 2026'!Z53="POR RECOGER"),IF('AGOSTO 2026'!Y53&lt;&gt;"",'AGOSTO 2026'!Y53,'AGOSTO 2026'!I53),"")</f>
        <v/>
      </c>
      <c r="C784" s="192" t="str">
        <f aca="false">IF(AND('AGOSTO 2026'!D53&lt;&gt;"",'AGOSTO 2026'!Z53="POR RECOGER"),'AGOSTO 2026'!D53,"")</f>
        <v/>
      </c>
      <c r="D784" s="192" t="str">
        <f aca="false">IF(AND('AGOSTO 2026'!D53&lt;&gt;"",'AGOSTO 2026'!Z53="POR RECOGER"),'AGOSTO 2026'!F53,"")</f>
        <v/>
      </c>
      <c r="E784" s="192" t="str">
        <f aca="false">IF(AND('AGOSTO 2026'!D53&lt;&gt;"",'AGOSTO 2026'!Z53="POR RECOGER"),TEXT('AGOSTO 2026'!G53,"DD/MM/YYYY"),"")</f>
        <v/>
      </c>
      <c r="F784" s="192" t="str">
        <f aca="false">IF(AND('AGOSTO 2026'!D53&lt;&gt;"",'AGOSTO 2026'!Z53="POR RECOGER"),'AGOSTO 2026'!K53,"")</f>
        <v/>
      </c>
      <c r="G784" s="193" t="str">
        <f aca="false">IF(AND('AGOSTO 2026'!D53&lt;&gt;"",'AGOSTO 2026'!Z53="POR RECOGER"),'AGOSTO 2026'!M53,"")</f>
        <v/>
      </c>
      <c r="H784" s="193" t="str">
        <f aca="false">IF(AND('AGOSTO 2026'!D53&lt;&gt;"",'AGOSTO 2026'!Z53="POR RECOGER"),'AGOSTO 2026'!N53,"")</f>
        <v/>
      </c>
      <c r="I784" s="192" t="str">
        <f aca="false">IF(AND('AGOSTO 2026'!D53&lt;&gt;"",'AGOSTO 2026'!Z53="POR RECOGER"),'AGOSTO 2026'!P53,"")</f>
        <v/>
      </c>
      <c r="J784" s="192" t="str">
        <f aca="false">IF(AND('AGOSTO 2026'!D53&lt;&gt;"",'AGOSTO 2026'!Z53="POR RECOGER"),'AGOSTO 2026'!Q53,"")</f>
        <v/>
      </c>
      <c r="K784" s="192" t="str">
        <f aca="false">IF(AND('AGOSTO 2026'!D53&lt;&gt;"",'AGOSTO 2026'!Z53="POR RECOGER"),'AGOSTO 2026'!Y53,"")</f>
        <v/>
      </c>
      <c r="L784" s="192" t="str">
        <f aca="false">IF(AND('AGOSTO 2026'!D53&lt;&gt;"",'AGOSTO 2026'!Z53="POR RECOGER"),'AGOSTO 2026'!I53,"")</f>
        <v/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" hidden="false" customHeight="true" outlineLevel="0" collapsed="false">
      <c r="A785" s="192" t="str">
        <f aca="false">IF(AND('AGOSTO 2026'!D54&lt;&gt;"",'AGOSTO 2026'!Z54="POR RECOGER"),"AGO","")</f>
        <v/>
      </c>
      <c r="B785" s="192" t="str">
        <f aca="false">IF(AND('AGOSTO 2026'!D54&lt;&gt;"",'AGOSTO 2026'!Z54="POR RECOGER"),IF('AGOSTO 2026'!Y54&lt;&gt;"",'AGOSTO 2026'!Y54,'AGOSTO 2026'!I54),"")</f>
        <v/>
      </c>
      <c r="C785" s="192" t="str">
        <f aca="false">IF(AND('AGOSTO 2026'!D54&lt;&gt;"",'AGOSTO 2026'!Z54="POR RECOGER"),'AGOSTO 2026'!D54,"")</f>
        <v/>
      </c>
      <c r="D785" s="192" t="str">
        <f aca="false">IF(AND('AGOSTO 2026'!D54&lt;&gt;"",'AGOSTO 2026'!Z54="POR RECOGER"),'AGOSTO 2026'!F54,"")</f>
        <v/>
      </c>
      <c r="E785" s="192" t="str">
        <f aca="false">IF(AND('AGOSTO 2026'!D54&lt;&gt;"",'AGOSTO 2026'!Z54="POR RECOGER"),TEXT('AGOSTO 2026'!G54,"DD/MM/YYYY"),"")</f>
        <v/>
      </c>
      <c r="F785" s="192" t="str">
        <f aca="false">IF(AND('AGOSTO 2026'!D54&lt;&gt;"",'AGOSTO 2026'!Z54="POR RECOGER"),'AGOSTO 2026'!K54,"")</f>
        <v/>
      </c>
      <c r="G785" s="193" t="str">
        <f aca="false">IF(AND('AGOSTO 2026'!D54&lt;&gt;"",'AGOSTO 2026'!Z54="POR RECOGER"),'AGOSTO 2026'!M54,"")</f>
        <v/>
      </c>
      <c r="H785" s="193" t="str">
        <f aca="false">IF(AND('AGOSTO 2026'!D54&lt;&gt;"",'AGOSTO 2026'!Z54="POR RECOGER"),'AGOSTO 2026'!N54,"")</f>
        <v/>
      </c>
      <c r="I785" s="192" t="str">
        <f aca="false">IF(AND('AGOSTO 2026'!D54&lt;&gt;"",'AGOSTO 2026'!Z54="POR RECOGER"),'AGOSTO 2026'!P54,"")</f>
        <v/>
      </c>
      <c r="J785" s="192" t="str">
        <f aca="false">IF(AND('AGOSTO 2026'!D54&lt;&gt;"",'AGOSTO 2026'!Z54="POR RECOGER"),'AGOSTO 2026'!Q54,"")</f>
        <v/>
      </c>
      <c r="K785" s="192" t="str">
        <f aca="false">IF(AND('AGOSTO 2026'!D54&lt;&gt;"",'AGOSTO 2026'!Z54="POR RECOGER"),'AGOSTO 2026'!Y54,"")</f>
        <v/>
      </c>
      <c r="L785" s="192" t="str">
        <f aca="false">IF(AND('AGOSTO 2026'!D54&lt;&gt;"",'AGOSTO 2026'!Z54="POR RECOGER"),'AGOSTO 2026'!I54,"")</f>
        <v/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" hidden="false" customHeight="true" outlineLevel="0" collapsed="false">
      <c r="A786" s="192" t="str">
        <f aca="false">IF(AND('AGOSTO 2026'!D55&lt;&gt;"",'AGOSTO 2026'!Z55="POR RECOGER"),"AGO","")</f>
        <v/>
      </c>
      <c r="B786" s="192" t="str">
        <f aca="false">IF(AND('AGOSTO 2026'!D55&lt;&gt;"",'AGOSTO 2026'!Z55="POR RECOGER"),IF('AGOSTO 2026'!Y55&lt;&gt;"",'AGOSTO 2026'!Y55,'AGOSTO 2026'!I55),"")</f>
        <v/>
      </c>
      <c r="C786" s="192" t="str">
        <f aca="false">IF(AND('AGOSTO 2026'!D55&lt;&gt;"",'AGOSTO 2026'!Z55="POR RECOGER"),'AGOSTO 2026'!D55,"")</f>
        <v/>
      </c>
      <c r="D786" s="192" t="str">
        <f aca="false">IF(AND('AGOSTO 2026'!D55&lt;&gt;"",'AGOSTO 2026'!Z55="POR RECOGER"),'AGOSTO 2026'!F55,"")</f>
        <v/>
      </c>
      <c r="E786" s="192" t="str">
        <f aca="false">IF(AND('AGOSTO 2026'!D55&lt;&gt;"",'AGOSTO 2026'!Z55="POR RECOGER"),TEXT('AGOSTO 2026'!G55,"DD/MM/YYYY"),"")</f>
        <v/>
      </c>
      <c r="F786" s="192" t="str">
        <f aca="false">IF(AND('AGOSTO 2026'!D55&lt;&gt;"",'AGOSTO 2026'!Z55="POR RECOGER"),'AGOSTO 2026'!K55,"")</f>
        <v/>
      </c>
      <c r="G786" s="193" t="str">
        <f aca="false">IF(AND('AGOSTO 2026'!D55&lt;&gt;"",'AGOSTO 2026'!Z55="POR RECOGER"),'AGOSTO 2026'!M55,"")</f>
        <v/>
      </c>
      <c r="H786" s="193" t="str">
        <f aca="false">IF(AND('AGOSTO 2026'!D55&lt;&gt;"",'AGOSTO 2026'!Z55="POR RECOGER"),'AGOSTO 2026'!N55,"")</f>
        <v/>
      </c>
      <c r="I786" s="192" t="str">
        <f aca="false">IF(AND('AGOSTO 2026'!D55&lt;&gt;"",'AGOSTO 2026'!Z55="POR RECOGER"),'AGOSTO 2026'!P55,"")</f>
        <v/>
      </c>
      <c r="J786" s="192" t="str">
        <f aca="false">IF(AND('AGOSTO 2026'!D55&lt;&gt;"",'AGOSTO 2026'!Z55="POR RECOGER"),'AGOSTO 2026'!Q55,"")</f>
        <v/>
      </c>
      <c r="K786" s="192" t="str">
        <f aca="false">IF(AND('AGOSTO 2026'!D55&lt;&gt;"",'AGOSTO 2026'!Z55="POR RECOGER"),'AGOSTO 2026'!Y55,"")</f>
        <v/>
      </c>
      <c r="L786" s="192" t="str">
        <f aca="false">IF(AND('AGOSTO 2026'!D55&lt;&gt;"",'AGOSTO 2026'!Z55="POR RECOGER"),'AGOSTO 2026'!I55,"")</f>
        <v/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" hidden="false" customHeight="true" outlineLevel="0" collapsed="false">
      <c r="A787" s="192" t="str">
        <f aca="false">IF(AND('AGOSTO 2026'!D56&lt;&gt;"",'AGOSTO 2026'!Z56="POR RECOGER"),"AGO","")</f>
        <v/>
      </c>
      <c r="B787" s="192" t="str">
        <f aca="false">IF(AND('AGOSTO 2026'!D56&lt;&gt;"",'AGOSTO 2026'!Z56="POR RECOGER"),IF('AGOSTO 2026'!Y56&lt;&gt;"",'AGOSTO 2026'!Y56,'AGOSTO 2026'!I56),"")</f>
        <v/>
      </c>
      <c r="C787" s="192" t="str">
        <f aca="false">IF(AND('AGOSTO 2026'!D56&lt;&gt;"",'AGOSTO 2026'!Z56="POR RECOGER"),'AGOSTO 2026'!D56,"")</f>
        <v/>
      </c>
      <c r="D787" s="192" t="str">
        <f aca="false">IF(AND('AGOSTO 2026'!D56&lt;&gt;"",'AGOSTO 2026'!Z56="POR RECOGER"),'AGOSTO 2026'!F56,"")</f>
        <v/>
      </c>
      <c r="E787" s="192" t="str">
        <f aca="false">IF(AND('AGOSTO 2026'!D56&lt;&gt;"",'AGOSTO 2026'!Z56="POR RECOGER"),TEXT('AGOSTO 2026'!G56,"DD/MM/YYYY"),"")</f>
        <v/>
      </c>
      <c r="F787" s="192" t="str">
        <f aca="false">IF(AND('AGOSTO 2026'!D56&lt;&gt;"",'AGOSTO 2026'!Z56="POR RECOGER"),'AGOSTO 2026'!K56,"")</f>
        <v/>
      </c>
      <c r="G787" s="193" t="str">
        <f aca="false">IF(AND('AGOSTO 2026'!D56&lt;&gt;"",'AGOSTO 2026'!Z56="POR RECOGER"),'AGOSTO 2026'!M56,"")</f>
        <v/>
      </c>
      <c r="H787" s="193" t="str">
        <f aca="false">IF(AND('AGOSTO 2026'!D56&lt;&gt;"",'AGOSTO 2026'!Z56="POR RECOGER"),'AGOSTO 2026'!N56,"")</f>
        <v/>
      </c>
      <c r="I787" s="192" t="str">
        <f aca="false">IF(AND('AGOSTO 2026'!D56&lt;&gt;"",'AGOSTO 2026'!Z56="POR RECOGER"),'AGOSTO 2026'!P56,"")</f>
        <v/>
      </c>
      <c r="J787" s="192" t="str">
        <f aca="false">IF(AND('AGOSTO 2026'!D56&lt;&gt;"",'AGOSTO 2026'!Z56="POR RECOGER"),'AGOSTO 2026'!Q56,"")</f>
        <v/>
      </c>
      <c r="K787" s="192" t="str">
        <f aca="false">IF(AND('AGOSTO 2026'!D56&lt;&gt;"",'AGOSTO 2026'!Z56="POR RECOGER"),'AGOSTO 2026'!Y56,"")</f>
        <v/>
      </c>
      <c r="L787" s="192" t="str">
        <f aca="false">IF(AND('AGOSTO 2026'!D56&lt;&gt;"",'AGOSTO 2026'!Z56="POR RECOGER"),'AGOSTO 2026'!I56,"")</f>
        <v/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" hidden="false" customHeight="true" outlineLevel="0" collapsed="false">
      <c r="A788" s="192" t="str">
        <f aca="false">IF(AND('AGOSTO 2026'!D57&lt;&gt;"",'AGOSTO 2026'!Z57="POR RECOGER"),"AGO","")</f>
        <v/>
      </c>
      <c r="B788" s="192" t="str">
        <f aca="false">IF(AND('AGOSTO 2026'!D57&lt;&gt;"",'AGOSTO 2026'!Z57="POR RECOGER"),IF('AGOSTO 2026'!Y57&lt;&gt;"",'AGOSTO 2026'!Y57,'AGOSTO 2026'!I57),"")</f>
        <v/>
      </c>
      <c r="C788" s="192" t="str">
        <f aca="false">IF(AND('AGOSTO 2026'!D57&lt;&gt;"",'AGOSTO 2026'!Z57="POR RECOGER"),'AGOSTO 2026'!D57,"")</f>
        <v/>
      </c>
      <c r="D788" s="192" t="str">
        <f aca="false">IF(AND('AGOSTO 2026'!D57&lt;&gt;"",'AGOSTO 2026'!Z57="POR RECOGER"),'AGOSTO 2026'!F57,"")</f>
        <v/>
      </c>
      <c r="E788" s="192" t="str">
        <f aca="false">IF(AND('AGOSTO 2026'!D57&lt;&gt;"",'AGOSTO 2026'!Z57="POR RECOGER"),TEXT('AGOSTO 2026'!G57,"DD/MM/YYYY"),"")</f>
        <v/>
      </c>
      <c r="F788" s="192" t="str">
        <f aca="false">IF(AND('AGOSTO 2026'!D57&lt;&gt;"",'AGOSTO 2026'!Z57="POR RECOGER"),'AGOSTO 2026'!K57,"")</f>
        <v/>
      </c>
      <c r="G788" s="193" t="str">
        <f aca="false">IF(AND('AGOSTO 2026'!D57&lt;&gt;"",'AGOSTO 2026'!Z57="POR RECOGER"),'AGOSTO 2026'!M57,"")</f>
        <v/>
      </c>
      <c r="H788" s="193" t="str">
        <f aca="false">IF(AND('AGOSTO 2026'!D57&lt;&gt;"",'AGOSTO 2026'!Z57="POR RECOGER"),'AGOSTO 2026'!N57,"")</f>
        <v/>
      </c>
      <c r="I788" s="192" t="str">
        <f aca="false">IF(AND('AGOSTO 2026'!D57&lt;&gt;"",'AGOSTO 2026'!Z57="POR RECOGER"),'AGOSTO 2026'!P57,"")</f>
        <v/>
      </c>
      <c r="J788" s="192" t="str">
        <f aca="false">IF(AND('AGOSTO 2026'!D57&lt;&gt;"",'AGOSTO 2026'!Z57="POR RECOGER"),'AGOSTO 2026'!Q57,"")</f>
        <v/>
      </c>
      <c r="K788" s="192" t="str">
        <f aca="false">IF(AND('AGOSTO 2026'!D57&lt;&gt;"",'AGOSTO 2026'!Z57="POR RECOGER"),'AGOSTO 2026'!Y57,"")</f>
        <v/>
      </c>
      <c r="L788" s="192" t="str">
        <f aca="false">IF(AND('AGOSTO 2026'!D57&lt;&gt;"",'AGOSTO 2026'!Z57="POR RECOGER"),'AGOSTO 2026'!I57,"")</f>
        <v/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" hidden="false" customHeight="true" outlineLevel="0" collapsed="false">
      <c r="A789" s="192" t="str">
        <f aca="false">IF(AND('AGOSTO 2026'!D58&lt;&gt;"",'AGOSTO 2026'!Z58="POR RECOGER"),"AGO","")</f>
        <v/>
      </c>
      <c r="B789" s="192" t="str">
        <f aca="false">IF(AND('AGOSTO 2026'!D58&lt;&gt;"",'AGOSTO 2026'!Z58="POR RECOGER"),IF('AGOSTO 2026'!Y58&lt;&gt;"",'AGOSTO 2026'!Y58,'AGOSTO 2026'!I58),"")</f>
        <v/>
      </c>
      <c r="C789" s="192" t="str">
        <f aca="false">IF(AND('AGOSTO 2026'!D58&lt;&gt;"",'AGOSTO 2026'!Z58="POR RECOGER"),'AGOSTO 2026'!D58,"")</f>
        <v/>
      </c>
      <c r="D789" s="192" t="str">
        <f aca="false">IF(AND('AGOSTO 2026'!D58&lt;&gt;"",'AGOSTO 2026'!Z58="POR RECOGER"),'AGOSTO 2026'!F58,"")</f>
        <v/>
      </c>
      <c r="E789" s="192" t="str">
        <f aca="false">IF(AND('AGOSTO 2026'!D58&lt;&gt;"",'AGOSTO 2026'!Z58="POR RECOGER"),TEXT('AGOSTO 2026'!G58,"DD/MM/YYYY"),"")</f>
        <v/>
      </c>
      <c r="F789" s="192" t="str">
        <f aca="false">IF(AND('AGOSTO 2026'!D58&lt;&gt;"",'AGOSTO 2026'!Z58="POR RECOGER"),'AGOSTO 2026'!K58,"")</f>
        <v/>
      </c>
      <c r="G789" s="193" t="str">
        <f aca="false">IF(AND('AGOSTO 2026'!D58&lt;&gt;"",'AGOSTO 2026'!Z58="POR RECOGER"),'AGOSTO 2026'!M58,"")</f>
        <v/>
      </c>
      <c r="H789" s="193" t="str">
        <f aca="false">IF(AND('AGOSTO 2026'!D58&lt;&gt;"",'AGOSTO 2026'!Z58="POR RECOGER"),'AGOSTO 2026'!N58,"")</f>
        <v/>
      </c>
      <c r="I789" s="192" t="str">
        <f aca="false">IF(AND('AGOSTO 2026'!D58&lt;&gt;"",'AGOSTO 2026'!Z58="POR RECOGER"),'AGOSTO 2026'!P58,"")</f>
        <v/>
      </c>
      <c r="J789" s="192" t="str">
        <f aca="false">IF(AND('AGOSTO 2026'!D58&lt;&gt;"",'AGOSTO 2026'!Z58="POR RECOGER"),'AGOSTO 2026'!Q58,"")</f>
        <v/>
      </c>
      <c r="K789" s="192" t="str">
        <f aca="false">IF(AND('AGOSTO 2026'!D58&lt;&gt;"",'AGOSTO 2026'!Z58="POR RECOGER"),'AGOSTO 2026'!Y58,"")</f>
        <v/>
      </c>
      <c r="L789" s="192" t="str">
        <f aca="false">IF(AND('AGOSTO 2026'!D58&lt;&gt;"",'AGOSTO 2026'!Z58="POR RECOGER"),'AGOSTO 2026'!I58,"")</f>
        <v/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" hidden="false" customHeight="true" outlineLevel="0" collapsed="false">
      <c r="A790" s="192" t="str">
        <f aca="false">IF(AND('AGOSTO 2026'!D59&lt;&gt;"",'AGOSTO 2026'!Z59="POR RECOGER"),"AGO","")</f>
        <v/>
      </c>
      <c r="B790" s="192" t="str">
        <f aca="false">IF(AND('AGOSTO 2026'!D59&lt;&gt;"",'AGOSTO 2026'!Z59="POR RECOGER"),IF('AGOSTO 2026'!Y59&lt;&gt;"",'AGOSTO 2026'!Y59,'AGOSTO 2026'!I59),"")</f>
        <v/>
      </c>
      <c r="C790" s="192" t="str">
        <f aca="false">IF(AND('AGOSTO 2026'!D59&lt;&gt;"",'AGOSTO 2026'!Z59="POR RECOGER"),'AGOSTO 2026'!D59,"")</f>
        <v/>
      </c>
      <c r="D790" s="192" t="str">
        <f aca="false">IF(AND('AGOSTO 2026'!D59&lt;&gt;"",'AGOSTO 2026'!Z59="POR RECOGER"),'AGOSTO 2026'!F59,"")</f>
        <v/>
      </c>
      <c r="E790" s="192" t="str">
        <f aca="false">IF(AND('AGOSTO 2026'!D59&lt;&gt;"",'AGOSTO 2026'!Z59="POR RECOGER"),TEXT('AGOSTO 2026'!G59,"DD/MM/YYYY"),"")</f>
        <v/>
      </c>
      <c r="F790" s="192" t="str">
        <f aca="false">IF(AND('AGOSTO 2026'!D59&lt;&gt;"",'AGOSTO 2026'!Z59="POR RECOGER"),'AGOSTO 2026'!K59,"")</f>
        <v/>
      </c>
      <c r="G790" s="193" t="str">
        <f aca="false">IF(AND('AGOSTO 2026'!D59&lt;&gt;"",'AGOSTO 2026'!Z59="POR RECOGER"),'AGOSTO 2026'!M59,"")</f>
        <v/>
      </c>
      <c r="H790" s="193" t="str">
        <f aca="false">IF(AND('AGOSTO 2026'!D59&lt;&gt;"",'AGOSTO 2026'!Z59="POR RECOGER"),'AGOSTO 2026'!N59,"")</f>
        <v/>
      </c>
      <c r="I790" s="192" t="str">
        <f aca="false">IF(AND('AGOSTO 2026'!D59&lt;&gt;"",'AGOSTO 2026'!Z59="POR RECOGER"),'AGOSTO 2026'!P59,"")</f>
        <v/>
      </c>
      <c r="J790" s="192" t="str">
        <f aca="false">IF(AND('AGOSTO 2026'!D59&lt;&gt;"",'AGOSTO 2026'!Z59="POR RECOGER"),'AGOSTO 2026'!Q59,"")</f>
        <v/>
      </c>
      <c r="K790" s="192" t="str">
        <f aca="false">IF(AND('AGOSTO 2026'!D59&lt;&gt;"",'AGOSTO 2026'!Z59="POR RECOGER"),'AGOSTO 2026'!Y59,"")</f>
        <v/>
      </c>
      <c r="L790" s="192" t="str">
        <f aca="false">IF(AND('AGOSTO 2026'!D59&lt;&gt;"",'AGOSTO 2026'!Z59="POR RECOGER"),'AGOSTO 2026'!I59,"")</f>
        <v/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" hidden="false" customHeight="true" outlineLevel="0" collapsed="false">
      <c r="A791" s="192" t="str">
        <f aca="false">IF(AND('AGOSTO 2026'!D60&lt;&gt;"",'AGOSTO 2026'!Z60="POR RECOGER"),"AGO","")</f>
        <v/>
      </c>
      <c r="B791" s="192" t="str">
        <f aca="false">IF(AND('AGOSTO 2026'!D60&lt;&gt;"",'AGOSTO 2026'!Z60="POR RECOGER"),IF('AGOSTO 2026'!Y60&lt;&gt;"",'AGOSTO 2026'!Y60,'AGOSTO 2026'!I60),"")</f>
        <v/>
      </c>
      <c r="C791" s="192" t="str">
        <f aca="false">IF(AND('AGOSTO 2026'!D60&lt;&gt;"",'AGOSTO 2026'!Z60="POR RECOGER"),'AGOSTO 2026'!D60,"")</f>
        <v/>
      </c>
      <c r="D791" s="192" t="str">
        <f aca="false">IF(AND('AGOSTO 2026'!D60&lt;&gt;"",'AGOSTO 2026'!Z60="POR RECOGER"),'AGOSTO 2026'!F60,"")</f>
        <v/>
      </c>
      <c r="E791" s="192" t="str">
        <f aca="false">IF(AND('AGOSTO 2026'!D60&lt;&gt;"",'AGOSTO 2026'!Z60="POR RECOGER"),TEXT('AGOSTO 2026'!G60,"DD/MM/YYYY"),"")</f>
        <v/>
      </c>
      <c r="F791" s="192" t="str">
        <f aca="false">IF(AND('AGOSTO 2026'!D60&lt;&gt;"",'AGOSTO 2026'!Z60="POR RECOGER"),'AGOSTO 2026'!K60,"")</f>
        <v/>
      </c>
      <c r="G791" s="193" t="str">
        <f aca="false">IF(AND('AGOSTO 2026'!D60&lt;&gt;"",'AGOSTO 2026'!Z60="POR RECOGER"),'AGOSTO 2026'!M60,"")</f>
        <v/>
      </c>
      <c r="H791" s="193" t="str">
        <f aca="false">IF(AND('AGOSTO 2026'!D60&lt;&gt;"",'AGOSTO 2026'!Z60="POR RECOGER"),'AGOSTO 2026'!N60,"")</f>
        <v/>
      </c>
      <c r="I791" s="192" t="str">
        <f aca="false">IF(AND('AGOSTO 2026'!D60&lt;&gt;"",'AGOSTO 2026'!Z60="POR RECOGER"),'AGOSTO 2026'!P60,"")</f>
        <v/>
      </c>
      <c r="J791" s="192" t="str">
        <f aca="false">IF(AND('AGOSTO 2026'!D60&lt;&gt;"",'AGOSTO 2026'!Z60="POR RECOGER"),'AGOSTO 2026'!Q60,"")</f>
        <v/>
      </c>
      <c r="K791" s="192" t="str">
        <f aca="false">IF(AND('AGOSTO 2026'!D60&lt;&gt;"",'AGOSTO 2026'!Z60="POR RECOGER"),'AGOSTO 2026'!Y60,"")</f>
        <v/>
      </c>
      <c r="L791" s="192" t="str">
        <f aca="false">IF(AND('AGOSTO 2026'!D60&lt;&gt;"",'AGOSTO 2026'!Z60="POR RECOGER"),'AGOSTO 2026'!I60,"")</f>
        <v/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" hidden="false" customHeight="true" outlineLevel="0" collapsed="false">
      <c r="A792" s="192" t="str">
        <f aca="false">IF(AND('AGOSTO 2026'!D61&lt;&gt;"",'AGOSTO 2026'!Z61="POR RECOGER"),"AGO","")</f>
        <v/>
      </c>
      <c r="B792" s="192" t="str">
        <f aca="false">IF(AND('AGOSTO 2026'!D61&lt;&gt;"",'AGOSTO 2026'!Z61="POR RECOGER"),IF('AGOSTO 2026'!Y61&lt;&gt;"",'AGOSTO 2026'!Y61,'AGOSTO 2026'!I61),"")</f>
        <v/>
      </c>
      <c r="C792" s="192" t="str">
        <f aca="false">IF(AND('AGOSTO 2026'!D61&lt;&gt;"",'AGOSTO 2026'!Z61="POR RECOGER"),'AGOSTO 2026'!D61,"")</f>
        <v/>
      </c>
      <c r="D792" s="192" t="str">
        <f aca="false">IF(AND('AGOSTO 2026'!D61&lt;&gt;"",'AGOSTO 2026'!Z61="POR RECOGER"),'AGOSTO 2026'!F61,"")</f>
        <v/>
      </c>
      <c r="E792" s="192" t="str">
        <f aca="false">IF(AND('AGOSTO 2026'!D61&lt;&gt;"",'AGOSTO 2026'!Z61="POR RECOGER"),TEXT('AGOSTO 2026'!G61,"DD/MM/YYYY"),"")</f>
        <v/>
      </c>
      <c r="F792" s="192" t="str">
        <f aca="false">IF(AND('AGOSTO 2026'!D61&lt;&gt;"",'AGOSTO 2026'!Z61="POR RECOGER"),'AGOSTO 2026'!K61,"")</f>
        <v/>
      </c>
      <c r="G792" s="193" t="str">
        <f aca="false">IF(AND('AGOSTO 2026'!D61&lt;&gt;"",'AGOSTO 2026'!Z61="POR RECOGER"),'AGOSTO 2026'!M61,"")</f>
        <v/>
      </c>
      <c r="H792" s="193" t="str">
        <f aca="false">IF(AND('AGOSTO 2026'!D61&lt;&gt;"",'AGOSTO 2026'!Z61="POR RECOGER"),'AGOSTO 2026'!N61,"")</f>
        <v/>
      </c>
      <c r="I792" s="192" t="str">
        <f aca="false">IF(AND('AGOSTO 2026'!D61&lt;&gt;"",'AGOSTO 2026'!Z61="POR RECOGER"),'AGOSTO 2026'!P61,"")</f>
        <v/>
      </c>
      <c r="J792" s="192" t="str">
        <f aca="false">IF(AND('AGOSTO 2026'!D61&lt;&gt;"",'AGOSTO 2026'!Z61="POR RECOGER"),'AGOSTO 2026'!Q61,"")</f>
        <v/>
      </c>
      <c r="K792" s="192" t="str">
        <f aca="false">IF(AND('AGOSTO 2026'!D61&lt;&gt;"",'AGOSTO 2026'!Z61="POR RECOGER"),'AGOSTO 2026'!Y61,"")</f>
        <v/>
      </c>
      <c r="L792" s="192" t="str">
        <f aca="false">IF(AND('AGOSTO 2026'!D61&lt;&gt;"",'AGOSTO 2026'!Z61="POR RECOGER"),'AGOSTO 2026'!I61,"")</f>
        <v/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" hidden="false" customHeight="true" outlineLevel="0" collapsed="false">
      <c r="A793" s="192" t="str">
        <f aca="false">IF(AND('AGOSTO 2026'!D62&lt;&gt;"",'AGOSTO 2026'!Z62="POR RECOGER"),"AGO","")</f>
        <v/>
      </c>
      <c r="B793" s="192" t="str">
        <f aca="false">IF(AND('AGOSTO 2026'!D62&lt;&gt;"",'AGOSTO 2026'!Z62="POR RECOGER"),IF('AGOSTO 2026'!Y62&lt;&gt;"",'AGOSTO 2026'!Y62,'AGOSTO 2026'!I62),"")</f>
        <v/>
      </c>
      <c r="C793" s="192" t="str">
        <f aca="false">IF(AND('AGOSTO 2026'!D62&lt;&gt;"",'AGOSTO 2026'!Z62="POR RECOGER"),'AGOSTO 2026'!D62,"")</f>
        <v/>
      </c>
      <c r="D793" s="192" t="str">
        <f aca="false">IF(AND('AGOSTO 2026'!D62&lt;&gt;"",'AGOSTO 2026'!Z62="POR RECOGER"),'AGOSTO 2026'!F62,"")</f>
        <v/>
      </c>
      <c r="E793" s="192" t="str">
        <f aca="false">IF(AND('AGOSTO 2026'!D62&lt;&gt;"",'AGOSTO 2026'!Z62="POR RECOGER"),TEXT('AGOSTO 2026'!G62,"DD/MM/YYYY"),"")</f>
        <v/>
      </c>
      <c r="F793" s="192" t="str">
        <f aca="false">IF(AND('AGOSTO 2026'!D62&lt;&gt;"",'AGOSTO 2026'!Z62="POR RECOGER"),'AGOSTO 2026'!K62,"")</f>
        <v/>
      </c>
      <c r="G793" s="193" t="str">
        <f aca="false">IF(AND('AGOSTO 2026'!D62&lt;&gt;"",'AGOSTO 2026'!Z62="POR RECOGER"),'AGOSTO 2026'!M62,"")</f>
        <v/>
      </c>
      <c r="H793" s="193" t="str">
        <f aca="false">IF(AND('AGOSTO 2026'!D62&lt;&gt;"",'AGOSTO 2026'!Z62="POR RECOGER"),'AGOSTO 2026'!N62,"")</f>
        <v/>
      </c>
      <c r="I793" s="192" t="str">
        <f aca="false">IF(AND('AGOSTO 2026'!D62&lt;&gt;"",'AGOSTO 2026'!Z62="POR RECOGER"),'AGOSTO 2026'!P62,"")</f>
        <v/>
      </c>
      <c r="J793" s="192" t="str">
        <f aca="false">IF(AND('AGOSTO 2026'!D62&lt;&gt;"",'AGOSTO 2026'!Z62="POR RECOGER"),'AGOSTO 2026'!Q62,"")</f>
        <v/>
      </c>
      <c r="K793" s="192" t="str">
        <f aca="false">IF(AND('AGOSTO 2026'!D62&lt;&gt;"",'AGOSTO 2026'!Z62="POR RECOGER"),'AGOSTO 2026'!Y62,"")</f>
        <v/>
      </c>
      <c r="L793" s="192" t="str">
        <f aca="false">IF(AND('AGOSTO 2026'!D62&lt;&gt;"",'AGOSTO 2026'!Z62="POR RECOGER"),'AGOSTO 2026'!I62,"")</f>
        <v/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" hidden="false" customHeight="true" outlineLevel="0" collapsed="false">
      <c r="A794" s="192" t="str">
        <f aca="false">IF(AND('AGOSTO 2026'!D63&lt;&gt;"",'AGOSTO 2026'!Z63="POR RECOGER"),"AGO","")</f>
        <v/>
      </c>
      <c r="B794" s="192" t="str">
        <f aca="false">IF(AND('AGOSTO 2026'!D63&lt;&gt;"",'AGOSTO 2026'!Z63="POR RECOGER"),IF('AGOSTO 2026'!Y63&lt;&gt;"",'AGOSTO 2026'!Y63,'AGOSTO 2026'!I63),"")</f>
        <v/>
      </c>
      <c r="C794" s="192" t="str">
        <f aca="false">IF(AND('AGOSTO 2026'!D63&lt;&gt;"",'AGOSTO 2026'!Z63="POR RECOGER"),'AGOSTO 2026'!D63,"")</f>
        <v/>
      </c>
      <c r="D794" s="192" t="str">
        <f aca="false">IF(AND('AGOSTO 2026'!D63&lt;&gt;"",'AGOSTO 2026'!Z63="POR RECOGER"),'AGOSTO 2026'!F63,"")</f>
        <v/>
      </c>
      <c r="E794" s="192" t="str">
        <f aca="false">IF(AND('AGOSTO 2026'!D63&lt;&gt;"",'AGOSTO 2026'!Z63="POR RECOGER"),TEXT('AGOSTO 2026'!G63,"DD/MM/YYYY"),"")</f>
        <v/>
      </c>
      <c r="F794" s="192" t="str">
        <f aca="false">IF(AND('AGOSTO 2026'!D63&lt;&gt;"",'AGOSTO 2026'!Z63="POR RECOGER"),'AGOSTO 2026'!K63,"")</f>
        <v/>
      </c>
      <c r="G794" s="193" t="str">
        <f aca="false">IF(AND('AGOSTO 2026'!D63&lt;&gt;"",'AGOSTO 2026'!Z63="POR RECOGER"),'AGOSTO 2026'!M63,"")</f>
        <v/>
      </c>
      <c r="H794" s="193" t="str">
        <f aca="false">IF(AND('AGOSTO 2026'!D63&lt;&gt;"",'AGOSTO 2026'!Z63="POR RECOGER"),'AGOSTO 2026'!N63,"")</f>
        <v/>
      </c>
      <c r="I794" s="192" t="str">
        <f aca="false">IF(AND('AGOSTO 2026'!D63&lt;&gt;"",'AGOSTO 2026'!Z63="POR RECOGER"),'AGOSTO 2026'!P63,"")</f>
        <v/>
      </c>
      <c r="J794" s="192" t="str">
        <f aca="false">IF(AND('AGOSTO 2026'!D63&lt;&gt;"",'AGOSTO 2026'!Z63="POR RECOGER"),'AGOSTO 2026'!Q63,"")</f>
        <v/>
      </c>
      <c r="K794" s="192" t="str">
        <f aca="false">IF(AND('AGOSTO 2026'!D63&lt;&gt;"",'AGOSTO 2026'!Z63="POR RECOGER"),'AGOSTO 2026'!Y63,"")</f>
        <v/>
      </c>
      <c r="L794" s="192" t="str">
        <f aca="false">IF(AND('AGOSTO 2026'!D63&lt;&gt;"",'AGOSTO 2026'!Z63="POR RECOGER"),'AGOSTO 2026'!I63,"")</f>
        <v/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" hidden="false" customHeight="true" outlineLevel="0" collapsed="false">
      <c r="A795" s="192" t="str">
        <f aca="false">IF(AND('AGOSTO 2026'!D64&lt;&gt;"",'AGOSTO 2026'!Z64="POR RECOGER"),"AGO","")</f>
        <v/>
      </c>
      <c r="B795" s="192" t="str">
        <f aca="false">IF(AND('AGOSTO 2026'!D64&lt;&gt;"",'AGOSTO 2026'!Z64="POR RECOGER"),IF('AGOSTO 2026'!Y64&lt;&gt;"",'AGOSTO 2026'!Y64,'AGOSTO 2026'!I64),"")</f>
        <v/>
      </c>
      <c r="C795" s="192" t="str">
        <f aca="false">IF(AND('AGOSTO 2026'!D64&lt;&gt;"",'AGOSTO 2026'!Z64="POR RECOGER"),'AGOSTO 2026'!D64,"")</f>
        <v/>
      </c>
      <c r="D795" s="192" t="str">
        <f aca="false">IF(AND('AGOSTO 2026'!D64&lt;&gt;"",'AGOSTO 2026'!Z64="POR RECOGER"),'AGOSTO 2026'!F64,"")</f>
        <v/>
      </c>
      <c r="E795" s="192" t="str">
        <f aca="false">IF(AND('AGOSTO 2026'!D64&lt;&gt;"",'AGOSTO 2026'!Z64="POR RECOGER"),TEXT('AGOSTO 2026'!G64,"DD/MM/YYYY"),"")</f>
        <v/>
      </c>
      <c r="F795" s="192" t="str">
        <f aca="false">IF(AND('AGOSTO 2026'!D64&lt;&gt;"",'AGOSTO 2026'!Z64="POR RECOGER"),'AGOSTO 2026'!K64,"")</f>
        <v/>
      </c>
      <c r="G795" s="193" t="str">
        <f aca="false">IF(AND('AGOSTO 2026'!D64&lt;&gt;"",'AGOSTO 2026'!Z64="POR RECOGER"),'AGOSTO 2026'!M64,"")</f>
        <v/>
      </c>
      <c r="H795" s="193" t="str">
        <f aca="false">IF(AND('AGOSTO 2026'!D64&lt;&gt;"",'AGOSTO 2026'!Z64="POR RECOGER"),'AGOSTO 2026'!N64,"")</f>
        <v/>
      </c>
      <c r="I795" s="192" t="str">
        <f aca="false">IF(AND('AGOSTO 2026'!D64&lt;&gt;"",'AGOSTO 2026'!Z64="POR RECOGER"),'AGOSTO 2026'!P64,"")</f>
        <v/>
      </c>
      <c r="J795" s="192" t="str">
        <f aca="false">IF(AND('AGOSTO 2026'!D64&lt;&gt;"",'AGOSTO 2026'!Z64="POR RECOGER"),'AGOSTO 2026'!Q64,"")</f>
        <v/>
      </c>
      <c r="K795" s="192" t="str">
        <f aca="false">IF(AND('AGOSTO 2026'!D64&lt;&gt;"",'AGOSTO 2026'!Z64="POR RECOGER"),'AGOSTO 2026'!Y64,"")</f>
        <v/>
      </c>
      <c r="L795" s="192" t="str">
        <f aca="false">IF(AND('AGOSTO 2026'!D64&lt;&gt;"",'AGOSTO 2026'!Z64="POR RECOGER"),'AGOSTO 2026'!I64,"")</f>
        <v/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" hidden="false" customHeight="true" outlineLevel="0" collapsed="false">
      <c r="A796" s="192" t="str">
        <f aca="false">IF(AND('AGOSTO 2026'!D65&lt;&gt;"",'AGOSTO 2026'!Z65="POR RECOGER"),"AGO","")</f>
        <v/>
      </c>
      <c r="B796" s="192" t="str">
        <f aca="false">IF(AND('AGOSTO 2026'!D65&lt;&gt;"",'AGOSTO 2026'!Z65="POR RECOGER"),IF('AGOSTO 2026'!Y65&lt;&gt;"",'AGOSTO 2026'!Y65,'AGOSTO 2026'!I65),"")</f>
        <v/>
      </c>
      <c r="C796" s="192" t="str">
        <f aca="false">IF(AND('AGOSTO 2026'!D65&lt;&gt;"",'AGOSTO 2026'!Z65="POR RECOGER"),'AGOSTO 2026'!D65,"")</f>
        <v/>
      </c>
      <c r="D796" s="192" t="str">
        <f aca="false">IF(AND('AGOSTO 2026'!D65&lt;&gt;"",'AGOSTO 2026'!Z65="POR RECOGER"),'AGOSTO 2026'!F65,"")</f>
        <v/>
      </c>
      <c r="E796" s="192" t="str">
        <f aca="false">IF(AND('AGOSTO 2026'!D65&lt;&gt;"",'AGOSTO 2026'!Z65="POR RECOGER"),TEXT('AGOSTO 2026'!G65,"DD/MM/YYYY"),"")</f>
        <v/>
      </c>
      <c r="F796" s="192" t="str">
        <f aca="false">IF(AND('AGOSTO 2026'!D65&lt;&gt;"",'AGOSTO 2026'!Z65="POR RECOGER"),'AGOSTO 2026'!K65,"")</f>
        <v/>
      </c>
      <c r="G796" s="193" t="str">
        <f aca="false">IF(AND('AGOSTO 2026'!D65&lt;&gt;"",'AGOSTO 2026'!Z65="POR RECOGER"),'AGOSTO 2026'!M65,"")</f>
        <v/>
      </c>
      <c r="H796" s="193" t="str">
        <f aca="false">IF(AND('AGOSTO 2026'!D65&lt;&gt;"",'AGOSTO 2026'!Z65="POR RECOGER"),'AGOSTO 2026'!N65,"")</f>
        <v/>
      </c>
      <c r="I796" s="192" t="str">
        <f aca="false">IF(AND('AGOSTO 2026'!D65&lt;&gt;"",'AGOSTO 2026'!Z65="POR RECOGER"),'AGOSTO 2026'!P65,"")</f>
        <v/>
      </c>
      <c r="J796" s="192" t="str">
        <f aca="false">IF(AND('AGOSTO 2026'!D65&lt;&gt;"",'AGOSTO 2026'!Z65="POR RECOGER"),'AGOSTO 2026'!Q65,"")</f>
        <v/>
      </c>
      <c r="K796" s="192" t="str">
        <f aca="false">IF(AND('AGOSTO 2026'!D65&lt;&gt;"",'AGOSTO 2026'!Z65="POR RECOGER"),'AGOSTO 2026'!Y65,"")</f>
        <v/>
      </c>
      <c r="L796" s="192" t="str">
        <f aca="false">IF(AND('AGOSTO 2026'!D65&lt;&gt;"",'AGOSTO 2026'!Z65="POR RECOGER"),'AGOSTO 2026'!I65,"")</f>
        <v/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" hidden="false" customHeight="true" outlineLevel="0" collapsed="false">
      <c r="A797" s="192" t="str">
        <f aca="false">IF(AND('AGOSTO 2026'!D66&lt;&gt;"",'AGOSTO 2026'!Z66="POR RECOGER"),"AGO","")</f>
        <v/>
      </c>
      <c r="B797" s="192" t="str">
        <f aca="false">IF(AND('AGOSTO 2026'!D66&lt;&gt;"",'AGOSTO 2026'!Z66="POR RECOGER"),IF('AGOSTO 2026'!Y66&lt;&gt;"",'AGOSTO 2026'!Y66,'AGOSTO 2026'!I66),"")</f>
        <v/>
      </c>
      <c r="C797" s="192" t="str">
        <f aca="false">IF(AND('AGOSTO 2026'!D66&lt;&gt;"",'AGOSTO 2026'!Z66="POR RECOGER"),'AGOSTO 2026'!D66,"")</f>
        <v/>
      </c>
      <c r="D797" s="192" t="str">
        <f aca="false">IF(AND('AGOSTO 2026'!D66&lt;&gt;"",'AGOSTO 2026'!Z66="POR RECOGER"),'AGOSTO 2026'!F66,"")</f>
        <v/>
      </c>
      <c r="E797" s="192" t="str">
        <f aca="false">IF(AND('AGOSTO 2026'!D66&lt;&gt;"",'AGOSTO 2026'!Z66="POR RECOGER"),TEXT('AGOSTO 2026'!G66,"DD/MM/YYYY"),"")</f>
        <v/>
      </c>
      <c r="F797" s="192" t="str">
        <f aca="false">IF(AND('AGOSTO 2026'!D66&lt;&gt;"",'AGOSTO 2026'!Z66="POR RECOGER"),'AGOSTO 2026'!K66,"")</f>
        <v/>
      </c>
      <c r="G797" s="193" t="str">
        <f aca="false">IF(AND('AGOSTO 2026'!D66&lt;&gt;"",'AGOSTO 2026'!Z66="POR RECOGER"),'AGOSTO 2026'!M66,"")</f>
        <v/>
      </c>
      <c r="H797" s="193" t="str">
        <f aca="false">IF(AND('AGOSTO 2026'!D66&lt;&gt;"",'AGOSTO 2026'!Z66="POR RECOGER"),'AGOSTO 2026'!N66,"")</f>
        <v/>
      </c>
      <c r="I797" s="192" t="str">
        <f aca="false">IF(AND('AGOSTO 2026'!D66&lt;&gt;"",'AGOSTO 2026'!Z66="POR RECOGER"),'AGOSTO 2026'!P66,"")</f>
        <v/>
      </c>
      <c r="J797" s="192" t="str">
        <f aca="false">IF(AND('AGOSTO 2026'!D66&lt;&gt;"",'AGOSTO 2026'!Z66="POR RECOGER"),'AGOSTO 2026'!Q66,"")</f>
        <v/>
      </c>
      <c r="K797" s="192" t="str">
        <f aca="false">IF(AND('AGOSTO 2026'!D66&lt;&gt;"",'AGOSTO 2026'!Z66="POR RECOGER"),'AGOSTO 2026'!Y66,"")</f>
        <v/>
      </c>
      <c r="L797" s="192" t="str">
        <f aca="false">IF(AND('AGOSTO 2026'!D66&lt;&gt;"",'AGOSTO 2026'!Z66="POR RECOGER"),'AGOSTO 2026'!I66,"")</f>
        <v/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" hidden="false" customHeight="true" outlineLevel="0" collapsed="false">
      <c r="A798" s="192" t="str">
        <f aca="false">IF(AND('AGOSTO 2026'!D67&lt;&gt;"",'AGOSTO 2026'!Z67="POR RECOGER"),"AGO","")</f>
        <v/>
      </c>
      <c r="B798" s="192" t="str">
        <f aca="false">IF(AND('AGOSTO 2026'!D67&lt;&gt;"",'AGOSTO 2026'!Z67="POR RECOGER"),IF('AGOSTO 2026'!Y67&lt;&gt;"",'AGOSTO 2026'!Y67,'AGOSTO 2026'!I67),"")</f>
        <v/>
      </c>
      <c r="C798" s="192" t="str">
        <f aca="false">IF(AND('AGOSTO 2026'!D67&lt;&gt;"",'AGOSTO 2026'!Z67="POR RECOGER"),'AGOSTO 2026'!D67,"")</f>
        <v/>
      </c>
      <c r="D798" s="192" t="str">
        <f aca="false">IF(AND('AGOSTO 2026'!D67&lt;&gt;"",'AGOSTO 2026'!Z67="POR RECOGER"),'AGOSTO 2026'!F67,"")</f>
        <v/>
      </c>
      <c r="E798" s="192" t="str">
        <f aca="false">IF(AND('AGOSTO 2026'!D67&lt;&gt;"",'AGOSTO 2026'!Z67="POR RECOGER"),TEXT('AGOSTO 2026'!G67,"DD/MM/YYYY"),"")</f>
        <v/>
      </c>
      <c r="F798" s="192" t="str">
        <f aca="false">IF(AND('AGOSTO 2026'!D67&lt;&gt;"",'AGOSTO 2026'!Z67="POR RECOGER"),'AGOSTO 2026'!K67,"")</f>
        <v/>
      </c>
      <c r="G798" s="193" t="str">
        <f aca="false">IF(AND('AGOSTO 2026'!D67&lt;&gt;"",'AGOSTO 2026'!Z67="POR RECOGER"),'AGOSTO 2026'!M67,"")</f>
        <v/>
      </c>
      <c r="H798" s="193" t="str">
        <f aca="false">IF(AND('AGOSTO 2026'!D67&lt;&gt;"",'AGOSTO 2026'!Z67="POR RECOGER"),'AGOSTO 2026'!N67,"")</f>
        <v/>
      </c>
      <c r="I798" s="192" t="str">
        <f aca="false">IF(AND('AGOSTO 2026'!D67&lt;&gt;"",'AGOSTO 2026'!Z67="POR RECOGER"),'AGOSTO 2026'!P67,"")</f>
        <v/>
      </c>
      <c r="J798" s="192" t="str">
        <f aca="false">IF(AND('AGOSTO 2026'!D67&lt;&gt;"",'AGOSTO 2026'!Z67="POR RECOGER"),'AGOSTO 2026'!Q67,"")</f>
        <v/>
      </c>
      <c r="K798" s="192" t="str">
        <f aca="false">IF(AND('AGOSTO 2026'!D67&lt;&gt;"",'AGOSTO 2026'!Z67="POR RECOGER"),'AGOSTO 2026'!Y67,"")</f>
        <v/>
      </c>
      <c r="L798" s="192" t="str">
        <f aca="false">IF(AND('AGOSTO 2026'!D67&lt;&gt;"",'AGOSTO 2026'!Z67="POR RECOGER"),'AGOSTO 2026'!I67,"")</f>
        <v/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" hidden="false" customHeight="true" outlineLevel="0" collapsed="false">
      <c r="A799" s="192" t="str">
        <f aca="false">IF(AND('AGOSTO 2026'!D68&lt;&gt;"",'AGOSTO 2026'!Z68="POR RECOGER"),"AGO","")</f>
        <v/>
      </c>
      <c r="B799" s="192" t="str">
        <f aca="false">IF(AND('AGOSTO 2026'!D68&lt;&gt;"",'AGOSTO 2026'!Z68="POR RECOGER"),IF('AGOSTO 2026'!Y68&lt;&gt;"",'AGOSTO 2026'!Y68,'AGOSTO 2026'!I68),"")</f>
        <v/>
      </c>
      <c r="C799" s="192" t="str">
        <f aca="false">IF(AND('AGOSTO 2026'!D68&lt;&gt;"",'AGOSTO 2026'!Z68="POR RECOGER"),'AGOSTO 2026'!D68,"")</f>
        <v/>
      </c>
      <c r="D799" s="192" t="str">
        <f aca="false">IF(AND('AGOSTO 2026'!D68&lt;&gt;"",'AGOSTO 2026'!Z68="POR RECOGER"),'AGOSTO 2026'!F68,"")</f>
        <v/>
      </c>
      <c r="E799" s="192" t="str">
        <f aca="false">IF(AND('AGOSTO 2026'!D68&lt;&gt;"",'AGOSTO 2026'!Z68="POR RECOGER"),TEXT('AGOSTO 2026'!G68,"DD/MM/YYYY"),"")</f>
        <v/>
      </c>
      <c r="F799" s="192" t="str">
        <f aca="false">IF(AND('AGOSTO 2026'!D68&lt;&gt;"",'AGOSTO 2026'!Z68="POR RECOGER"),'AGOSTO 2026'!K68,"")</f>
        <v/>
      </c>
      <c r="G799" s="193" t="str">
        <f aca="false">IF(AND('AGOSTO 2026'!D68&lt;&gt;"",'AGOSTO 2026'!Z68="POR RECOGER"),'AGOSTO 2026'!M68,"")</f>
        <v/>
      </c>
      <c r="H799" s="193" t="str">
        <f aca="false">IF(AND('AGOSTO 2026'!D68&lt;&gt;"",'AGOSTO 2026'!Z68="POR RECOGER"),'AGOSTO 2026'!N68,"")</f>
        <v/>
      </c>
      <c r="I799" s="192" t="str">
        <f aca="false">IF(AND('AGOSTO 2026'!D68&lt;&gt;"",'AGOSTO 2026'!Z68="POR RECOGER"),'AGOSTO 2026'!P68,"")</f>
        <v/>
      </c>
      <c r="J799" s="192" t="str">
        <f aca="false">IF(AND('AGOSTO 2026'!D68&lt;&gt;"",'AGOSTO 2026'!Z68="POR RECOGER"),'AGOSTO 2026'!Q68,"")</f>
        <v/>
      </c>
      <c r="K799" s="192" t="str">
        <f aca="false">IF(AND('AGOSTO 2026'!D68&lt;&gt;"",'AGOSTO 2026'!Z68="POR RECOGER"),'AGOSTO 2026'!Y68,"")</f>
        <v/>
      </c>
      <c r="L799" s="192" t="str">
        <f aca="false">IF(AND('AGOSTO 2026'!D68&lt;&gt;"",'AGOSTO 2026'!Z68="POR RECOGER"),'AGOSTO 2026'!I68,"")</f>
        <v/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" hidden="false" customHeight="true" outlineLevel="0" collapsed="false">
      <c r="A800" s="192" t="str">
        <f aca="false">IF(AND('AGOSTO 2026'!D69&lt;&gt;"",'AGOSTO 2026'!Z69="POR RECOGER"),"AGO","")</f>
        <v/>
      </c>
      <c r="B800" s="192" t="str">
        <f aca="false">IF(AND('AGOSTO 2026'!D69&lt;&gt;"",'AGOSTO 2026'!Z69="POR RECOGER"),IF('AGOSTO 2026'!Y69&lt;&gt;"",'AGOSTO 2026'!Y69,'AGOSTO 2026'!I69),"")</f>
        <v/>
      </c>
      <c r="C800" s="192" t="str">
        <f aca="false">IF(AND('AGOSTO 2026'!D69&lt;&gt;"",'AGOSTO 2026'!Z69="POR RECOGER"),'AGOSTO 2026'!D69,"")</f>
        <v/>
      </c>
      <c r="D800" s="192" t="str">
        <f aca="false">IF(AND('AGOSTO 2026'!D69&lt;&gt;"",'AGOSTO 2026'!Z69="POR RECOGER"),'AGOSTO 2026'!F69,"")</f>
        <v/>
      </c>
      <c r="E800" s="192" t="str">
        <f aca="false">IF(AND('AGOSTO 2026'!D69&lt;&gt;"",'AGOSTO 2026'!Z69="POR RECOGER"),TEXT('AGOSTO 2026'!G69,"DD/MM/YYYY"),"")</f>
        <v/>
      </c>
      <c r="F800" s="192" t="str">
        <f aca="false">IF(AND('AGOSTO 2026'!D69&lt;&gt;"",'AGOSTO 2026'!Z69="POR RECOGER"),'AGOSTO 2026'!K69,"")</f>
        <v/>
      </c>
      <c r="G800" s="193" t="str">
        <f aca="false">IF(AND('AGOSTO 2026'!D69&lt;&gt;"",'AGOSTO 2026'!Z69="POR RECOGER"),'AGOSTO 2026'!M69,"")</f>
        <v/>
      </c>
      <c r="H800" s="193" t="str">
        <f aca="false">IF(AND('AGOSTO 2026'!D69&lt;&gt;"",'AGOSTO 2026'!Z69="POR RECOGER"),'AGOSTO 2026'!N69,"")</f>
        <v/>
      </c>
      <c r="I800" s="192" t="str">
        <f aca="false">IF(AND('AGOSTO 2026'!D69&lt;&gt;"",'AGOSTO 2026'!Z69="POR RECOGER"),'AGOSTO 2026'!P69,"")</f>
        <v/>
      </c>
      <c r="J800" s="192" t="str">
        <f aca="false">IF(AND('AGOSTO 2026'!D69&lt;&gt;"",'AGOSTO 2026'!Z69="POR RECOGER"),'AGOSTO 2026'!Q69,"")</f>
        <v/>
      </c>
      <c r="K800" s="192" t="str">
        <f aca="false">IF(AND('AGOSTO 2026'!D69&lt;&gt;"",'AGOSTO 2026'!Z69="POR RECOGER"),'AGOSTO 2026'!Y69,"")</f>
        <v/>
      </c>
      <c r="L800" s="192" t="str">
        <f aca="false">IF(AND('AGOSTO 2026'!D69&lt;&gt;"",'AGOSTO 2026'!Z69="POR RECOGER"),'AGOSTO 2026'!I69,"")</f>
        <v/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" hidden="false" customHeight="true" outlineLevel="0" collapsed="false">
      <c r="A801" s="192" t="str">
        <f aca="false">IF(AND('AGOSTO 2026'!D70&lt;&gt;"",'AGOSTO 2026'!Z70="POR RECOGER"),"AGO","")</f>
        <v/>
      </c>
      <c r="B801" s="192" t="str">
        <f aca="false">IF(AND('AGOSTO 2026'!D70&lt;&gt;"",'AGOSTO 2026'!Z70="POR RECOGER"),IF('AGOSTO 2026'!Y70&lt;&gt;"",'AGOSTO 2026'!Y70,'AGOSTO 2026'!I70),"")</f>
        <v/>
      </c>
      <c r="C801" s="192" t="str">
        <f aca="false">IF(AND('AGOSTO 2026'!D70&lt;&gt;"",'AGOSTO 2026'!Z70="POR RECOGER"),'AGOSTO 2026'!D70,"")</f>
        <v/>
      </c>
      <c r="D801" s="192" t="str">
        <f aca="false">IF(AND('AGOSTO 2026'!D70&lt;&gt;"",'AGOSTO 2026'!Z70="POR RECOGER"),'AGOSTO 2026'!F70,"")</f>
        <v/>
      </c>
      <c r="E801" s="192" t="str">
        <f aca="false">IF(AND('AGOSTO 2026'!D70&lt;&gt;"",'AGOSTO 2026'!Z70="POR RECOGER"),TEXT('AGOSTO 2026'!G70,"DD/MM/YYYY"),"")</f>
        <v/>
      </c>
      <c r="F801" s="192" t="str">
        <f aca="false">IF(AND('AGOSTO 2026'!D70&lt;&gt;"",'AGOSTO 2026'!Z70="POR RECOGER"),'AGOSTO 2026'!K70,"")</f>
        <v/>
      </c>
      <c r="G801" s="193" t="str">
        <f aca="false">IF(AND('AGOSTO 2026'!D70&lt;&gt;"",'AGOSTO 2026'!Z70="POR RECOGER"),'AGOSTO 2026'!M70,"")</f>
        <v/>
      </c>
      <c r="H801" s="193" t="str">
        <f aca="false">IF(AND('AGOSTO 2026'!D70&lt;&gt;"",'AGOSTO 2026'!Z70="POR RECOGER"),'AGOSTO 2026'!N70,"")</f>
        <v/>
      </c>
      <c r="I801" s="192" t="str">
        <f aca="false">IF(AND('AGOSTO 2026'!D70&lt;&gt;"",'AGOSTO 2026'!Z70="POR RECOGER"),'AGOSTO 2026'!P70,"")</f>
        <v/>
      </c>
      <c r="J801" s="192" t="str">
        <f aca="false">IF(AND('AGOSTO 2026'!D70&lt;&gt;"",'AGOSTO 2026'!Z70="POR RECOGER"),'AGOSTO 2026'!Q70,"")</f>
        <v/>
      </c>
      <c r="K801" s="192" t="str">
        <f aca="false">IF(AND('AGOSTO 2026'!D70&lt;&gt;"",'AGOSTO 2026'!Z70="POR RECOGER"),'AGOSTO 2026'!Y70,"")</f>
        <v/>
      </c>
      <c r="L801" s="192" t="str">
        <f aca="false">IF(AND('AGOSTO 2026'!D70&lt;&gt;"",'AGOSTO 2026'!Z70="POR RECOGER"),'AGOSTO 2026'!I70,"")</f>
        <v/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" hidden="false" customHeight="true" outlineLevel="0" collapsed="false">
      <c r="A802" s="192" t="str">
        <f aca="false">IF(AND('AGOSTO 2026'!D71&lt;&gt;"",'AGOSTO 2026'!Z71="POR RECOGER"),"AGO","")</f>
        <v/>
      </c>
      <c r="B802" s="192" t="str">
        <f aca="false">IF(AND('AGOSTO 2026'!D71&lt;&gt;"",'AGOSTO 2026'!Z71="POR RECOGER"),IF('AGOSTO 2026'!Y71&lt;&gt;"",'AGOSTO 2026'!Y71,'AGOSTO 2026'!I71),"")</f>
        <v/>
      </c>
      <c r="C802" s="192" t="str">
        <f aca="false">IF(AND('AGOSTO 2026'!D71&lt;&gt;"",'AGOSTO 2026'!Z71="POR RECOGER"),'AGOSTO 2026'!D71,"")</f>
        <v/>
      </c>
      <c r="D802" s="192" t="str">
        <f aca="false">IF(AND('AGOSTO 2026'!D71&lt;&gt;"",'AGOSTO 2026'!Z71="POR RECOGER"),'AGOSTO 2026'!F71,"")</f>
        <v/>
      </c>
      <c r="E802" s="192" t="str">
        <f aca="false">IF(AND('AGOSTO 2026'!D71&lt;&gt;"",'AGOSTO 2026'!Z71="POR RECOGER"),TEXT('AGOSTO 2026'!G71,"DD/MM/YYYY"),"")</f>
        <v/>
      </c>
      <c r="F802" s="192" t="str">
        <f aca="false">IF(AND('AGOSTO 2026'!D71&lt;&gt;"",'AGOSTO 2026'!Z71="POR RECOGER"),'AGOSTO 2026'!K71,"")</f>
        <v/>
      </c>
      <c r="G802" s="193" t="str">
        <f aca="false">IF(AND('AGOSTO 2026'!D71&lt;&gt;"",'AGOSTO 2026'!Z71="POR RECOGER"),'AGOSTO 2026'!M71,"")</f>
        <v/>
      </c>
      <c r="H802" s="193" t="str">
        <f aca="false">IF(AND('AGOSTO 2026'!D71&lt;&gt;"",'AGOSTO 2026'!Z71="POR RECOGER"),'AGOSTO 2026'!N71,"")</f>
        <v/>
      </c>
      <c r="I802" s="192" t="str">
        <f aca="false">IF(AND('AGOSTO 2026'!D71&lt;&gt;"",'AGOSTO 2026'!Z71="POR RECOGER"),'AGOSTO 2026'!P71,"")</f>
        <v/>
      </c>
      <c r="J802" s="192" t="str">
        <f aca="false">IF(AND('AGOSTO 2026'!D71&lt;&gt;"",'AGOSTO 2026'!Z71="POR RECOGER"),'AGOSTO 2026'!Q71,"")</f>
        <v/>
      </c>
      <c r="K802" s="192" t="str">
        <f aca="false">IF(AND('AGOSTO 2026'!D71&lt;&gt;"",'AGOSTO 2026'!Z71="POR RECOGER"),'AGOSTO 2026'!Y71,"")</f>
        <v/>
      </c>
      <c r="L802" s="192" t="str">
        <f aca="false">IF(AND('AGOSTO 2026'!D71&lt;&gt;"",'AGOSTO 2026'!Z71="POR RECOGER"),'AGOSTO 2026'!I71,"")</f>
        <v/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" hidden="false" customHeight="true" outlineLevel="0" collapsed="false">
      <c r="A803" s="192" t="str">
        <f aca="false">IF(AND('AGOSTO 2026'!D72&lt;&gt;"",'AGOSTO 2026'!Z72="POR RECOGER"),"AGO","")</f>
        <v/>
      </c>
      <c r="B803" s="192" t="str">
        <f aca="false">IF(AND('AGOSTO 2026'!D72&lt;&gt;"",'AGOSTO 2026'!Z72="POR RECOGER"),IF('AGOSTO 2026'!Y72&lt;&gt;"",'AGOSTO 2026'!Y72,'AGOSTO 2026'!I72),"")</f>
        <v/>
      </c>
      <c r="C803" s="192" t="str">
        <f aca="false">IF(AND('AGOSTO 2026'!D72&lt;&gt;"",'AGOSTO 2026'!Z72="POR RECOGER"),'AGOSTO 2026'!D72,"")</f>
        <v/>
      </c>
      <c r="D803" s="192" t="str">
        <f aca="false">IF(AND('AGOSTO 2026'!D72&lt;&gt;"",'AGOSTO 2026'!Z72="POR RECOGER"),'AGOSTO 2026'!F72,"")</f>
        <v/>
      </c>
      <c r="E803" s="192" t="str">
        <f aca="false">IF(AND('AGOSTO 2026'!D72&lt;&gt;"",'AGOSTO 2026'!Z72="POR RECOGER"),TEXT('AGOSTO 2026'!G72,"DD/MM/YYYY"),"")</f>
        <v/>
      </c>
      <c r="F803" s="192" t="str">
        <f aca="false">IF(AND('AGOSTO 2026'!D72&lt;&gt;"",'AGOSTO 2026'!Z72="POR RECOGER"),'AGOSTO 2026'!K72,"")</f>
        <v/>
      </c>
      <c r="G803" s="193" t="str">
        <f aca="false">IF(AND('AGOSTO 2026'!D72&lt;&gt;"",'AGOSTO 2026'!Z72="POR RECOGER"),'AGOSTO 2026'!M72,"")</f>
        <v/>
      </c>
      <c r="H803" s="193" t="str">
        <f aca="false">IF(AND('AGOSTO 2026'!D72&lt;&gt;"",'AGOSTO 2026'!Z72="POR RECOGER"),'AGOSTO 2026'!N72,"")</f>
        <v/>
      </c>
      <c r="I803" s="192" t="str">
        <f aca="false">IF(AND('AGOSTO 2026'!D72&lt;&gt;"",'AGOSTO 2026'!Z72="POR RECOGER"),'AGOSTO 2026'!P72,"")</f>
        <v/>
      </c>
      <c r="J803" s="192" t="str">
        <f aca="false">IF(AND('AGOSTO 2026'!D72&lt;&gt;"",'AGOSTO 2026'!Z72="POR RECOGER"),'AGOSTO 2026'!Q72,"")</f>
        <v/>
      </c>
      <c r="K803" s="192" t="str">
        <f aca="false">IF(AND('AGOSTO 2026'!D72&lt;&gt;"",'AGOSTO 2026'!Z72="POR RECOGER"),'AGOSTO 2026'!Y72,"")</f>
        <v/>
      </c>
      <c r="L803" s="192" t="str">
        <f aca="false">IF(AND('AGOSTO 2026'!D72&lt;&gt;"",'AGOSTO 2026'!Z72="POR RECOGER"),'AGOSTO 2026'!I72,"")</f>
        <v/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" hidden="false" customHeight="true" outlineLevel="0" collapsed="false">
      <c r="A804" s="192" t="str">
        <f aca="false">IF(AND('AGOSTO 2026'!D73&lt;&gt;"",'AGOSTO 2026'!Z73="POR RECOGER"),"AGO","")</f>
        <v/>
      </c>
      <c r="B804" s="192" t="str">
        <f aca="false">IF(AND('AGOSTO 2026'!D73&lt;&gt;"",'AGOSTO 2026'!Z73="POR RECOGER"),IF('AGOSTO 2026'!Y73&lt;&gt;"",'AGOSTO 2026'!Y73,'AGOSTO 2026'!I73),"")</f>
        <v/>
      </c>
      <c r="C804" s="192" t="str">
        <f aca="false">IF(AND('AGOSTO 2026'!D73&lt;&gt;"",'AGOSTO 2026'!Z73="POR RECOGER"),'AGOSTO 2026'!D73,"")</f>
        <v/>
      </c>
      <c r="D804" s="192" t="str">
        <f aca="false">IF(AND('AGOSTO 2026'!D73&lt;&gt;"",'AGOSTO 2026'!Z73="POR RECOGER"),'AGOSTO 2026'!F73,"")</f>
        <v/>
      </c>
      <c r="E804" s="192" t="str">
        <f aca="false">IF(AND('AGOSTO 2026'!D73&lt;&gt;"",'AGOSTO 2026'!Z73="POR RECOGER"),TEXT('AGOSTO 2026'!G73,"DD/MM/YYYY"),"")</f>
        <v/>
      </c>
      <c r="F804" s="192" t="str">
        <f aca="false">IF(AND('AGOSTO 2026'!D73&lt;&gt;"",'AGOSTO 2026'!Z73="POR RECOGER"),'AGOSTO 2026'!K73,"")</f>
        <v/>
      </c>
      <c r="G804" s="193" t="str">
        <f aca="false">IF(AND('AGOSTO 2026'!D73&lt;&gt;"",'AGOSTO 2026'!Z73="POR RECOGER"),'AGOSTO 2026'!M73,"")</f>
        <v/>
      </c>
      <c r="H804" s="193" t="str">
        <f aca="false">IF(AND('AGOSTO 2026'!D73&lt;&gt;"",'AGOSTO 2026'!Z73="POR RECOGER"),'AGOSTO 2026'!N73,"")</f>
        <v/>
      </c>
      <c r="I804" s="192" t="str">
        <f aca="false">IF(AND('AGOSTO 2026'!D73&lt;&gt;"",'AGOSTO 2026'!Z73="POR RECOGER"),'AGOSTO 2026'!P73,"")</f>
        <v/>
      </c>
      <c r="J804" s="192" t="str">
        <f aca="false">IF(AND('AGOSTO 2026'!D73&lt;&gt;"",'AGOSTO 2026'!Z73="POR RECOGER"),'AGOSTO 2026'!Q73,"")</f>
        <v/>
      </c>
      <c r="K804" s="192" t="str">
        <f aca="false">IF(AND('AGOSTO 2026'!D73&lt;&gt;"",'AGOSTO 2026'!Z73="POR RECOGER"),'AGOSTO 2026'!Y73,"")</f>
        <v/>
      </c>
      <c r="L804" s="192" t="str">
        <f aca="false">IF(AND('AGOSTO 2026'!D73&lt;&gt;"",'AGOSTO 2026'!Z73="POR RECOGER"),'AGOSTO 2026'!I73,"")</f>
        <v/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" hidden="false" customHeight="true" outlineLevel="0" collapsed="false">
      <c r="A805" s="192" t="str">
        <f aca="false">IF(AND('AGOSTO 2026'!D74&lt;&gt;"",'AGOSTO 2026'!Z74="POR RECOGER"),"AGO","")</f>
        <v/>
      </c>
      <c r="B805" s="192" t="str">
        <f aca="false">IF(AND('AGOSTO 2026'!D74&lt;&gt;"",'AGOSTO 2026'!Z74="POR RECOGER"),IF('AGOSTO 2026'!Y74&lt;&gt;"",'AGOSTO 2026'!Y74,'AGOSTO 2026'!I74),"")</f>
        <v/>
      </c>
      <c r="C805" s="192" t="str">
        <f aca="false">IF(AND('AGOSTO 2026'!D74&lt;&gt;"",'AGOSTO 2026'!Z74="POR RECOGER"),'AGOSTO 2026'!D74,"")</f>
        <v/>
      </c>
      <c r="D805" s="192" t="str">
        <f aca="false">IF(AND('AGOSTO 2026'!D74&lt;&gt;"",'AGOSTO 2026'!Z74="POR RECOGER"),'AGOSTO 2026'!F74,"")</f>
        <v/>
      </c>
      <c r="E805" s="192" t="str">
        <f aca="false">IF(AND('AGOSTO 2026'!D74&lt;&gt;"",'AGOSTO 2026'!Z74="POR RECOGER"),TEXT('AGOSTO 2026'!G74,"DD/MM/YYYY"),"")</f>
        <v/>
      </c>
      <c r="F805" s="192" t="str">
        <f aca="false">IF(AND('AGOSTO 2026'!D74&lt;&gt;"",'AGOSTO 2026'!Z74="POR RECOGER"),'AGOSTO 2026'!K74,"")</f>
        <v/>
      </c>
      <c r="G805" s="193" t="str">
        <f aca="false">IF(AND('AGOSTO 2026'!D74&lt;&gt;"",'AGOSTO 2026'!Z74="POR RECOGER"),'AGOSTO 2026'!M74,"")</f>
        <v/>
      </c>
      <c r="H805" s="193" t="str">
        <f aca="false">IF(AND('AGOSTO 2026'!D74&lt;&gt;"",'AGOSTO 2026'!Z74="POR RECOGER"),'AGOSTO 2026'!N74,"")</f>
        <v/>
      </c>
      <c r="I805" s="192" t="str">
        <f aca="false">IF(AND('AGOSTO 2026'!D74&lt;&gt;"",'AGOSTO 2026'!Z74="POR RECOGER"),'AGOSTO 2026'!P74,"")</f>
        <v/>
      </c>
      <c r="J805" s="192" t="str">
        <f aca="false">IF(AND('AGOSTO 2026'!D74&lt;&gt;"",'AGOSTO 2026'!Z74="POR RECOGER"),'AGOSTO 2026'!Q74,"")</f>
        <v/>
      </c>
      <c r="K805" s="192" t="str">
        <f aca="false">IF(AND('AGOSTO 2026'!D74&lt;&gt;"",'AGOSTO 2026'!Z74="POR RECOGER"),'AGOSTO 2026'!Y74,"")</f>
        <v/>
      </c>
      <c r="L805" s="192" t="str">
        <f aca="false">IF(AND('AGOSTO 2026'!D74&lt;&gt;"",'AGOSTO 2026'!Z74="POR RECOGER"),'AGOSTO 2026'!I74,"")</f>
        <v/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" hidden="false" customHeight="true" outlineLevel="0" collapsed="false">
      <c r="A806" s="192" t="str">
        <f aca="false">IF(AND('AGOSTO 2026'!D75&lt;&gt;"",'AGOSTO 2026'!Z75="POR RECOGER"),"AGO","")</f>
        <v/>
      </c>
      <c r="B806" s="192" t="str">
        <f aca="false">IF(AND('AGOSTO 2026'!D75&lt;&gt;"",'AGOSTO 2026'!Z75="POR RECOGER"),IF('AGOSTO 2026'!Y75&lt;&gt;"",'AGOSTO 2026'!Y75,'AGOSTO 2026'!I75),"")</f>
        <v/>
      </c>
      <c r="C806" s="192" t="str">
        <f aca="false">IF(AND('AGOSTO 2026'!D75&lt;&gt;"",'AGOSTO 2026'!Z75="POR RECOGER"),'AGOSTO 2026'!D75,"")</f>
        <v/>
      </c>
      <c r="D806" s="192" t="str">
        <f aca="false">IF(AND('AGOSTO 2026'!D75&lt;&gt;"",'AGOSTO 2026'!Z75="POR RECOGER"),'AGOSTO 2026'!F75,"")</f>
        <v/>
      </c>
      <c r="E806" s="192" t="str">
        <f aca="false">IF(AND('AGOSTO 2026'!D75&lt;&gt;"",'AGOSTO 2026'!Z75="POR RECOGER"),TEXT('AGOSTO 2026'!G75,"DD/MM/YYYY"),"")</f>
        <v/>
      </c>
      <c r="F806" s="192" t="str">
        <f aca="false">IF(AND('AGOSTO 2026'!D75&lt;&gt;"",'AGOSTO 2026'!Z75="POR RECOGER"),'AGOSTO 2026'!K75,"")</f>
        <v/>
      </c>
      <c r="G806" s="193" t="str">
        <f aca="false">IF(AND('AGOSTO 2026'!D75&lt;&gt;"",'AGOSTO 2026'!Z75="POR RECOGER"),'AGOSTO 2026'!M75,"")</f>
        <v/>
      </c>
      <c r="H806" s="193" t="str">
        <f aca="false">IF(AND('AGOSTO 2026'!D75&lt;&gt;"",'AGOSTO 2026'!Z75="POR RECOGER"),'AGOSTO 2026'!N75,"")</f>
        <v/>
      </c>
      <c r="I806" s="192" t="str">
        <f aca="false">IF(AND('AGOSTO 2026'!D75&lt;&gt;"",'AGOSTO 2026'!Z75="POR RECOGER"),'AGOSTO 2026'!P75,"")</f>
        <v/>
      </c>
      <c r="J806" s="192" t="str">
        <f aca="false">IF(AND('AGOSTO 2026'!D75&lt;&gt;"",'AGOSTO 2026'!Z75="POR RECOGER"),'AGOSTO 2026'!Q75,"")</f>
        <v/>
      </c>
      <c r="K806" s="192" t="str">
        <f aca="false">IF(AND('AGOSTO 2026'!D75&lt;&gt;"",'AGOSTO 2026'!Z75="POR RECOGER"),'AGOSTO 2026'!Y75,"")</f>
        <v/>
      </c>
      <c r="L806" s="192" t="str">
        <f aca="false">IF(AND('AGOSTO 2026'!D75&lt;&gt;"",'AGOSTO 2026'!Z75="POR RECOGER"),'AGOSTO 2026'!I75,"")</f>
        <v/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" hidden="false" customHeight="true" outlineLevel="0" collapsed="false">
      <c r="A807" s="192" t="str">
        <f aca="false">IF(AND('AGOSTO 2026'!D76&lt;&gt;"",'AGOSTO 2026'!Z76="POR RECOGER"),"AGO","")</f>
        <v/>
      </c>
      <c r="B807" s="192" t="str">
        <f aca="false">IF(AND('AGOSTO 2026'!D76&lt;&gt;"",'AGOSTO 2026'!Z76="POR RECOGER"),IF('AGOSTO 2026'!Y76&lt;&gt;"",'AGOSTO 2026'!Y76,'AGOSTO 2026'!I76),"")</f>
        <v/>
      </c>
      <c r="C807" s="192" t="str">
        <f aca="false">IF(AND('AGOSTO 2026'!D76&lt;&gt;"",'AGOSTO 2026'!Z76="POR RECOGER"),'AGOSTO 2026'!D76,"")</f>
        <v/>
      </c>
      <c r="D807" s="192" t="str">
        <f aca="false">IF(AND('AGOSTO 2026'!D76&lt;&gt;"",'AGOSTO 2026'!Z76="POR RECOGER"),'AGOSTO 2026'!F76,"")</f>
        <v/>
      </c>
      <c r="E807" s="192" t="str">
        <f aca="false">IF(AND('AGOSTO 2026'!D76&lt;&gt;"",'AGOSTO 2026'!Z76="POR RECOGER"),TEXT('AGOSTO 2026'!G76,"DD/MM/YYYY"),"")</f>
        <v/>
      </c>
      <c r="F807" s="192" t="str">
        <f aca="false">IF(AND('AGOSTO 2026'!D76&lt;&gt;"",'AGOSTO 2026'!Z76="POR RECOGER"),'AGOSTO 2026'!K76,"")</f>
        <v/>
      </c>
      <c r="G807" s="193" t="str">
        <f aca="false">IF(AND('AGOSTO 2026'!D76&lt;&gt;"",'AGOSTO 2026'!Z76="POR RECOGER"),'AGOSTO 2026'!M76,"")</f>
        <v/>
      </c>
      <c r="H807" s="193" t="str">
        <f aca="false">IF(AND('AGOSTO 2026'!D76&lt;&gt;"",'AGOSTO 2026'!Z76="POR RECOGER"),'AGOSTO 2026'!N76,"")</f>
        <v/>
      </c>
      <c r="I807" s="192" t="str">
        <f aca="false">IF(AND('AGOSTO 2026'!D76&lt;&gt;"",'AGOSTO 2026'!Z76="POR RECOGER"),'AGOSTO 2026'!P76,"")</f>
        <v/>
      </c>
      <c r="J807" s="192" t="str">
        <f aca="false">IF(AND('AGOSTO 2026'!D76&lt;&gt;"",'AGOSTO 2026'!Z76="POR RECOGER"),'AGOSTO 2026'!Q76,"")</f>
        <v/>
      </c>
      <c r="K807" s="192" t="str">
        <f aca="false">IF(AND('AGOSTO 2026'!D76&lt;&gt;"",'AGOSTO 2026'!Z76="POR RECOGER"),'AGOSTO 2026'!Y76,"")</f>
        <v/>
      </c>
      <c r="L807" s="192" t="str">
        <f aca="false">IF(AND('AGOSTO 2026'!D76&lt;&gt;"",'AGOSTO 2026'!Z76="POR RECOGER"),'AGOSTO 2026'!I76,"")</f>
        <v/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" hidden="false" customHeight="true" outlineLevel="0" collapsed="false">
      <c r="A808" s="192" t="str">
        <f aca="false">IF(AND('AGOSTO 2026'!D77&lt;&gt;"",'AGOSTO 2026'!Z77="POR RECOGER"),"AGO","")</f>
        <v/>
      </c>
      <c r="B808" s="192" t="str">
        <f aca="false">IF(AND('AGOSTO 2026'!D77&lt;&gt;"",'AGOSTO 2026'!Z77="POR RECOGER"),IF('AGOSTO 2026'!Y77&lt;&gt;"",'AGOSTO 2026'!Y77,'AGOSTO 2026'!I77),"")</f>
        <v/>
      </c>
      <c r="C808" s="192" t="str">
        <f aca="false">IF(AND('AGOSTO 2026'!D77&lt;&gt;"",'AGOSTO 2026'!Z77="POR RECOGER"),'AGOSTO 2026'!D77,"")</f>
        <v/>
      </c>
      <c r="D808" s="192" t="str">
        <f aca="false">IF(AND('AGOSTO 2026'!D77&lt;&gt;"",'AGOSTO 2026'!Z77="POR RECOGER"),'AGOSTO 2026'!F77,"")</f>
        <v/>
      </c>
      <c r="E808" s="192" t="str">
        <f aca="false">IF(AND('AGOSTO 2026'!D77&lt;&gt;"",'AGOSTO 2026'!Z77="POR RECOGER"),TEXT('AGOSTO 2026'!G77,"DD/MM/YYYY"),"")</f>
        <v/>
      </c>
      <c r="F808" s="192" t="str">
        <f aca="false">IF(AND('AGOSTO 2026'!D77&lt;&gt;"",'AGOSTO 2026'!Z77="POR RECOGER"),'AGOSTO 2026'!K77,"")</f>
        <v/>
      </c>
      <c r="G808" s="193" t="str">
        <f aca="false">IF(AND('AGOSTO 2026'!D77&lt;&gt;"",'AGOSTO 2026'!Z77="POR RECOGER"),'AGOSTO 2026'!M77,"")</f>
        <v/>
      </c>
      <c r="H808" s="193" t="str">
        <f aca="false">IF(AND('AGOSTO 2026'!D77&lt;&gt;"",'AGOSTO 2026'!Z77="POR RECOGER"),'AGOSTO 2026'!N77,"")</f>
        <v/>
      </c>
      <c r="I808" s="192" t="str">
        <f aca="false">IF(AND('AGOSTO 2026'!D77&lt;&gt;"",'AGOSTO 2026'!Z77="POR RECOGER"),'AGOSTO 2026'!P77,"")</f>
        <v/>
      </c>
      <c r="J808" s="192" t="str">
        <f aca="false">IF(AND('AGOSTO 2026'!D77&lt;&gt;"",'AGOSTO 2026'!Z77="POR RECOGER"),'AGOSTO 2026'!Q77,"")</f>
        <v/>
      </c>
      <c r="K808" s="192" t="str">
        <f aca="false">IF(AND('AGOSTO 2026'!D77&lt;&gt;"",'AGOSTO 2026'!Z77="POR RECOGER"),'AGOSTO 2026'!Y77,"")</f>
        <v/>
      </c>
      <c r="L808" s="192" t="str">
        <f aca="false">IF(AND('AGOSTO 2026'!D77&lt;&gt;"",'AGOSTO 2026'!Z77="POR RECOGER"),'AGOSTO 2026'!I77,"")</f>
        <v/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" hidden="false" customHeight="true" outlineLevel="0" collapsed="false">
      <c r="A809" s="192" t="str">
        <f aca="false">IF(AND('AGOSTO 2026'!D78&lt;&gt;"",'AGOSTO 2026'!Z78="POR RECOGER"),"AGO","")</f>
        <v/>
      </c>
      <c r="B809" s="192" t="str">
        <f aca="false">IF(AND('AGOSTO 2026'!D78&lt;&gt;"",'AGOSTO 2026'!Z78="POR RECOGER"),IF('AGOSTO 2026'!Y78&lt;&gt;"",'AGOSTO 2026'!Y78,'AGOSTO 2026'!I78),"")</f>
        <v/>
      </c>
      <c r="C809" s="192" t="str">
        <f aca="false">IF(AND('AGOSTO 2026'!D78&lt;&gt;"",'AGOSTO 2026'!Z78="POR RECOGER"),'AGOSTO 2026'!D78,"")</f>
        <v/>
      </c>
      <c r="D809" s="192" t="str">
        <f aca="false">IF(AND('AGOSTO 2026'!D78&lt;&gt;"",'AGOSTO 2026'!Z78="POR RECOGER"),'AGOSTO 2026'!F78,"")</f>
        <v/>
      </c>
      <c r="E809" s="192" t="str">
        <f aca="false">IF(AND('AGOSTO 2026'!D78&lt;&gt;"",'AGOSTO 2026'!Z78="POR RECOGER"),TEXT('AGOSTO 2026'!G78,"DD/MM/YYYY"),"")</f>
        <v/>
      </c>
      <c r="F809" s="192" t="str">
        <f aca="false">IF(AND('AGOSTO 2026'!D78&lt;&gt;"",'AGOSTO 2026'!Z78="POR RECOGER"),'AGOSTO 2026'!K78,"")</f>
        <v/>
      </c>
      <c r="G809" s="193" t="str">
        <f aca="false">IF(AND('AGOSTO 2026'!D78&lt;&gt;"",'AGOSTO 2026'!Z78="POR RECOGER"),'AGOSTO 2026'!M78,"")</f>
        <v/>
      </c>
      <c r="H809" s="193" t="str">
        <f aca="false">IF(AND('AGOSTO 2026'!D78&lt;&gt;"",'AGOSTO 2026'!Z78="POR RECOGER"),'AGOSTO 2026'!N78,"")</f>
        <v/>
      </c>
      <c r="I809" s="192" t="str">
        <f aca="false">IF(AND('AGOSTO 2026'!D78&lt;&gt;"",'AGOSTO 2026'!Z78="POR RECOGER"),'AGOSTO 2026'!P78,"")</f>
        <v/>
      </c>
      <c r="J809" s="192" t="str">
        <f aca="false">IF(AND('AGOSTO 2026'!D78&lt;&gt;"",'AGOSTO 2026'!Z78="POR RECOGER"),'AGOSTO 2026'!Q78,"")</f>
        <v/>
      </c>
      <c r="K809" s="192" t="str">
        <f aca="false">IF(AND('AGOSTO 2026'!D78&lt;&gt;"",'AGOSTO 2026'!Z78="POR RECOGER"),'AGOSTO 2026'!Y78,"")</f>
        <v/>
      </c>
      <c r="L809" s="192" t="str">
        <f aca="false">IF(AND('AGOSTO 2026'!D78&lt;&gt;"",'AGOSTO 2026'!Z78="POR RECOGER"),'AGOSTO 2026'!I78,"")</f>
        <v/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" hidden="false" customHeight="true" outlineLevel="0" collapsed="false">
      <c r="A810" s="192" t="str">
        <f aca="false">IF(AND('AGOSTO 2026'!D79&lt;&gt;"",'AGOSTO 2026'!Z79="POR RECOGER"),"AGO","")</f>
        <v/>
      </c>
      <c r="B810" s="192" t="str">
        <f aca="false">IF(AND('AGOSTO 2026'!D79&lt;&gt;"",'AGOSTO 2026'!Z79="POR RECOGER"),IF('AGOSTO 2026'!Y79&lt;&gt;"",'AGOSTO 2026'!Y79,'AGOSTO 2026'!I79),"")</f>
        <v/>
      </c>
      <c r="C810" s="192" t="str">
        <f aca="false">IF(AND('AGOSTO 2026'!D79&lt;&gt;"",'AGOSTO 2026'!Z79="POR RECOGER"),'AGOSTO 2026'!D79,"")</f>
        <v/>
      </c>
      <c r="D810" s="192" t="str">
        <f aca="false">IF(AND('AGOSTO 2026'!D79&lt;&gt;"",'AGOSTO 2026'!Z79="POR RECOGER"),'AGOSTO 2026'!F79,"")</f>
        <v/>
      </c>
      <c r="E810" s="192" t="str">
        <f aca="false">IF(AND('AGOSTO 2026'!D79&lt;&gt;"",'AGOSTO 2026'!Z79="POR RECOGER"),TEXT('AGOSTO 2026'!G79,"DD/MM/YYYY"),"")</f>
        <v/>
      </c>
      <c r="F810" s="192" t="str">
        <f aca="false">IF(AND('AGOSTO 2026'!D79&lt;&gt;"",'AGOSTO 2026'!Z79="POR RECOGER"),'AGOSTO 2026'!K79,"")</f>
        <v/>
      </c>
      <c r="G810" s="193" t="str">
        <f aca="false">IF(AND('AGOSTO 2026'!D79&lt;&gt;"",'AGOSTO 2026'!Z79="POR RECOGER"),'AGOSTO 2026'!M79,"")</f>
        <v/>
      </c>
      <c r="H810" s="193" t="str">
        <f aca="false">IF(AND('AGOSTO 2026'!D79&lt;&gt;"",'AGOSTO 2026'!Z79="POR RECOGER"),'AGOSTO 2026'!N79,"")</f>
        <v/>
      </c>
      <c r="I810" s="192" t="str">
        <f aca="false">IF(AND('AGOSTO 2026'!D79&lt;&gt;"",'AGOSTO 2026'!Z79="POR RECOGER"),'AGOSTO 2026'!P79,"")</f>
        <v/>
      </c>
      <c r="J810" s="192" t="str">
        <f aca="false">IF(AND('AGOSTO 2026'!D79&lt;&gt;"",'AGOSTO 2026'!Z79="POR RECOGER"),'AGOSTO 2026'!Q79,"")</f>
        <v/>
      </c>
      <c r="K810" s="192" t="str">
        <f aca="false">IF(AND('AGOSTO 2026'!D79&lt;&gt;"",'AGOSTO 2026'!Z79="POR RECOGER"),'AGOSTO 2026'!Y79,"")</f>
        <v/>
      </c>
      <c r="L810" s="192" t="str">
        <f aca="false">IF(AND('AGOSTO 2026'!D79&lt;&gt;"",'AGOSTO 2026'!Z79="POR RECOGER"),'AGOSTO 2026'!I79,"")</f>
        <v/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" hidden="false" customHeight="true" outlineLevel="0" collapsed="false">
      <c r="A811" s="192" t="str">
        <f aca="false">IF(AND('AGOSTO 2026'!D80&lt;&gt;"",'AGOSTO 2026'!Z80="POR RECOGER"),"AGO","")</f>
        <v/>
      </c>
      <c r="B811" s="192" t="str">
        <f aca="false">IF(AND('AGOSTO 2026'!D80&lt;&gt;"",'AGOSTO 2026'!Z80="POR RECOGER"),IF('AGOSTO 2026'!Y80&lt;&gt;"",'AGOSTO 2026'!Y80,'AGOSTO 2026'!I80),"")</f>
        <v/>
      </c>
      <c r="C811" s="192" t="str">
        <f aca="false">IF(AND('AGOSTO 2026'!D80&lt;&gt;"",'AGOSTO 2026'!Z80="POR RECOGER"),'AGOSTO 2026'!D80,"")</f>
        <v/>
      </c>
      <c r="D811" s="192" t="str">
        <f aca="false">IF(AND('AGOSTO 2026'!D80&lt;&gt;"",'AGOSTO 2026'!Z80="POR RECOGER"),'AGOSTO 2026'!F80,"")</f>
        <v/>
      </c>
      <c r="E811" s="192" t="str">
        <f aca="false">IF(AND('AGOSTO 2026'!D80&lt;&gt;"",'AGOSTO 2026'!Z80="POR RECOGER"),TEXT('AGOSTO 2026'!G80,"DD/MM/YYYY"),"")</f>
        <v/>
      </c>
      <c r="F811" s="192" t="str">
        <f aca="false">IF(AND('AGOSTO 2026'!D80&lt;&gt;"",'AGOSTO 2026'!Z80="POR RECOGER"),'AGOSTO 2026'!K80,"")</f>
        <v/>
      </c>
      <c r="G811" s="193" t="str">
        <f aca="false">IF(AND('AGOSTO 2026'!D80&lt;&gt;"",'AGOSTO 2026'!Z80="POR RECOGER"),'AGOSTO 2026'!M80,"")</f>
        <v/>
      </c>
      <c r="H811" s="193" t="str">
        <f aca="false">IF(AND('AGOSTO 2026'!D80&lt;&gt;"",'AGOSTO 2026'!Z80="POR RECOGER"),'AGOSTO 2026'!N80,"")</f>
        <v/>
      </c>
      <c r="I811" s="192" t="str">
        <f aca="false">IF(AND('AGOSTO 2026'!D80&lt;&gt;"",'AGOSTO 2026'!Z80="POR RECOGER"),'AGOSTO 2026'!P80,"")</f>
        <v/>
      </c>
      <c r="J811" s="192" t="str">
        <f aca="false">IF(AND('AGOSTO 2026'!D80&lt;&gt;"",'AGOSTO 2026'!Z80="POR RECOGER"),'AGOSTO 2026'!Q80,"")</f>
        <v/>
      </c>
      <c r="K811" s="192" t="str">
        <f aca="false">IF(AND('AGOSTO 2026'!D80&lt;&gt;"",'AGOSTO 2026'!Z80="POR RECOGER"),'AGOSTO 2026'!Y80,"")</f>
        <v/>
      </c>
      <c r="L811" s="192" t="str">
        <f aca="false">IF(AND('AGOSTO 2026'!D80&lt;&gt;"",'AGOSTO 2026'!Z80="POR RECOGER"),'AGOSTO 2026'!I80,"")</f>
        <v/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" hidden="false" customHeight="true" outlineLevel="0" collapsed="false">
      <c r="A812" s="192" t="str">
        <f aca="false">IF(AND('AGOSTO 2026'!D81&lt;&gt;"",'AGOSTO 2026'!Z81="POR RECOGER"),"AGO","")</f>
        <v/>
      </c>
      <c r="B812" s="192" t="str">
        <f aca="false">IF(AND('AGOSTO 2026'!D81&lt;&gt;"",'AGOSTO 2026'!Z81="POR RECOGER"),IF('AGOSTO 2026'!Y81&lt;&gt;"",'AGOSTO 2026'!Y81,'AGOSTO 2026'!I81),"")</f>
        <v/>
      </c>
      <c r="C812" s="192" t="str">
        <f aca="false">IF(AND('AGOSTO 2026'!D81&lt;&gt;"",'AGOSTO 2026'!Z81="POR RECOGER"),'AGOSTO 2026'!D81,"")</f>
        <v/>
      </c>
      <c r="D812" s="192" t="str">
        <f aca="false">IF(AND('AGOSTO 2026'!D81&lt;&gt;"",'AGOSTO 2026'!Z81="POR RECOGER"),'AGOSTO 2026'!F81,"")</f>
        <v/>
      </c>
      <c r="E812" s="192" t="str">
        <f aca="false">IF(AND('AGOSTO 2026'!D81&lt;&gt;"",'AGOSTO 2026'!Z81="POR RECOGER"),TEXT('AGOSTO 2026'!G81,"DD/MM/YYYY"),"")</f>
        <v/>
      </c>
      <c r="F812" s="192" t="str">
        <f aca="false">IF(AND('AGOSTO 2026'!D81&lt;&gt;"",'AGOSTO 2026'!Z81="POR RECOGER"),'AGOSTO 2026'!K81,"")</f>
        <v/>
      </c>
      <c r="G812" s="193" t="str">
        <f aca="false">IF(AND('AGOSTO 2026'!D81&lt;&gt;"",'AGOSTO 2026'!Z81="POR RECOGER"),'AGOSTO 2026'!M81,"")</f>
        <v/>
      </c>
      <c r="H812" s="193" t="str">
        <f aca="false">IF(AND('AGOSTO 2026'!D81&lt;&gt;"",'AGOSTO 2026'!Z81="POR RECOGER"),'AGOSTO 2026'!N81,"")</f>
        <v/>
      </c>
      <c r="I812" s="192" t="str">
        <f aca="false">IF(AND('AGOSTO 2026'!D81&lt;&gt;"",'AGOSTO 2026'!Z81="POR RECOGER"),'AGOSTO 2026'!P81,"")</f>
        <v/>
      </c>
      <c r="J812" s="192" t="str">
        <f aca="false">IF(AND('AGOSTO 2026'!D81&lt;&gt;"",'AGOSTO 2026'!Z81="POR RECOGER"),'AGOSTO 2026'!Q81,"")</f>
        <v/>
      </c>
      <c r="K812" s="192" t="str">
        <f aca="false">IF(AND('AGOSTO 2026'!D81&lt;&gt;"",'AGOSTO 2026'!Z81="POR RECOGER"),'AGOSTO 2026'!Y81,"")</f>
        <v/>
      </c>
      <c r="L812" s="192" t="str">
        <f aca="false">IF(AND('AGOSTO 2026'!D81&lt;&gt;"",'AGOSTO 2026'!Z81="POR RECOGER"),'AGOSTO 2026'!I81,"")</f>
        <v/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" hidden="false" customHeight="true" outlineLevel="0" collapsed="false">
      <c r="A813" s="192" t="str">
        <f aca="false">IF(AND('AGOSTO 2026'!D82&lt;&gt;"",'AGOSTO 2026'!Z82="POR RECOGER"),"AGO","")</f>
        <v/>
      </c>
      <c r="B813" s="192" t="str">
        <f aca="false">IF(AND('AGOSTO 2026'!D82&lt;&gt;"",'AGOSTO 2026'!Z82="POR RECOGER"),IF('AGOSTO 2026'!Y82&lt;&gt;"",'AGOSTO 2026'!Y82,'AGOSTO 2026'!I82),"")</f>
        <v/>
      </c>
      <c r="C813" s="192" t="str">
        <f aca="false">IF(AND('AGOSTO 2026'!D82&lt;&gt;"",'AGOSTO 2026'!Z82="POR RECOGER"),'AGOSTO 2026'!D82,"")</f>
        <v/>
      </c>
      <c r="D813" s="192" t="str">
        <f aca="false">IF(AND('AGOSTO 2026'!D82&lt;&gt;"",'AGOSTO 2026'!Z82="POR RECOGER"),'AGOSTO 2026'!F82,"")</f>
        <v/>
      </c>
      <c r="E813" s="192" t="str">
        <f aca="false">IF(AND('AGOSTO 2026'!D82&lt;&gt;"",'AGOSTO 2026'!Z82="POR RECOGER"),TEXT('AGOSTO 2026'!G82,"DD/MM/YYYY"),"")</f>
        <v/>
      </c>
      <c r="F813" s="192" t="str">
        <f aca="false">IF(AND('AGOSTO 2026'!D82&lt;&gt;"",'AGOSTO 2026'!Z82="POR RECOGER"),'AGOSTO 2026'!K82,"")</f>
        <v/>
      </c>
      <c r="G813" s="193" t="str">
        <f aca="false">IF(AND('AGOSTO 2026'!D82&lt;&gt;"",'AGOSTO 2026'!Z82="POR RECOGER"),'AGOSTO 2026'!M82,"")</f>
        <v/>
      </c>
      <c r="H813" s="193" t="str">
        <f aca="false">IF(AND('AGOSTO 2026'!D82&lt;&gt;"",'AGOSTO 2026'!Z82="POR RECOGER"),'AGOSTO 2026'!N82,"")</f>
        <v/>
      </c>
      <c r="I813" s="192" t="str">
        <f aca="false">IF(AND('AGOSTO 2026'!D82&lt;&gt;"",'AGOSTO 2026'!Z82="POR RECOGER"),'AGOSTO 2026'!P82,"")</f>
        <v/>
      </c>
      <c r="J813" s="192" t="str">
        <f aca="false">IF(AND('AGOSTO 2026'!D82&lt;&gt;"",'AGOSTO 2026'!Z82="POR RECOGER"),'AGOSTO 2026'!Q82,"")</f>
        <v/>
      </c>
      <c r="K813" s="192" t="str">
        <f aca="false">IF(AND('AGOSTO 2026'!D82&lt;&gt;"",'AGOSTO 2026'!Z82="POR RECOGER"),'AGOSTO 2026'!Y82,"")</f>
        <v/>
      </c>
      <c r="L813" s="192" t="str">
        <f aca="false">IF(AND('AGOSTO 2026'!D82&lt;&gt;"",'AGOSTO 2026'!Z82="POR RECOGER"),'AGOSTO 2026'!I82,"")</f>
        <v/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" hidden="false" customHeight="true" outlineLevel="0" collapsed="false">
      <c r="A814" s="192" t="str">
        <f aca="false">IF(AND('AGOSTO 2026'!D83&lt;&gt;"",'AGOSTO 2026'!Z83="POR RECOGER"),"AGO","")</f>
        <v/>
      </c>
      <c r="B814" s="192" t="str">
        <f aca="false">IF(AND('AGOSTO 2026'!D83&lt;&gt;"",'AGOSTO 2026'!Z83="POR RECOGER"),IF('AGOSTO 2026'!Y83&lt;&gt;"",'AGOSTO 2026'!Y83,'AGOSTO 2026'!I83),"")</f>
        <v/>
      </c>
      <c r="C814" s="192" t="str">
        <f aca="false">IF(AND('AGOSTO 2026'!D83&lt;&gt;"",'AGOSTO 2026'!Z83="POR RECOGER"),'AGOSTO 2026'!D83,"")</f>
        <v/>
      </c>
      <c r="D814" s="192" t="str">
        <f aca="false">IF(AND('AGOSTO 2026'!D83&lt;&gt;"",'AGOSTO 2026'!Z83="POR RECOGER"),'AGOSTO 2026'!F83,"")</f>
        <v/>
      </c>
      <c r="E814" s="192" t="str">
        <f aca="false">IF(AND('AGOSTO 2026'!D83&lt;&gt;"",'AGOSTO 2026'!Z83="POR RECOGER"),TEXT('AGOSTO 2026'!G83,"DD/MM/YYYY"),"")</f>
        <v/>
      </c>
      <c r="F814" s="192" t="str">
        <f aca="false">IF(AND('AGOSTO 2026'!D83&lt;&gt;"",'AGOSTO 2026'!Z83="POR RECOGER"),'AGOSTO 2026'!K83,"")</f>
        <v/>
      </c>
      <c r="G814" s="193" t="str">
        <f aca="false">IF(AND('AGOSTO 2026'!D83&lt;&gt;"",'AGOSTO 2026'!Z83="POR RECOGER"),'AGOSTO 2026'!M83,"")</f>
        <v/>
      </c>
      <c r="H814" s="193" t="str">
        <f aca="false">IF(AND('AGOSTO 2026'!D83&lt;&gt;"",'AGOSTO 2026'!Z83="POR RECOGER"),'AGOSTO 2026'!N83,"")</f>
        <v/>
      </c>
      <c r="I814" s="192" t="str">
        <f aca="false">IF(AND('AGOSTO 2026'!D83&lt;&gt;"",'AGOSTO 2026'!Z83="POR RECOGER"),'AGOSTO 2026'!P83,"")</f>
        <v/>
      </c>
      <c r="J814" s="192" t="str">
        <f aca="false">IF(AND('AGOSTO 2026'!D83&lt;&gt;"",'AGOSTO 2026'!Z83="POR RECOGER"),'AGOSTO 2026'!Q83,"")</f>
        <v/>
      </c>
      <c r="K814" s="192" t="str">
        <f aca="false">IF(AND('AGOSTO 2026'!D83&lt;&gt;"",'AGOSTO 2026'!Z83="POR RECOGER"),'AGOSTO 2026'!Y83,"")</f>
        <v/>
      </c>
      <c r="L814" s="192" t="str">
        <f aca="false">IF(AND('AGOSTO 2026'!D83&lt;&gt;"",'AGOSTO 2026'!Z83="POR RECOGER"),'AGOSTO 2026'!I83,"")</f>
        <v/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" hidden="false" customHeight="true" outlineLevel="0" collapsed="false">
      <c r="A815" s="192" t="str">
        <f aca="false">IF(AND('AGOSTO 2026'!D84&lt;&gt;"",'AGOSTO 2026'!Z84="POR RECOGER"),"AGO","")</f>
        <v/>
      </c>
      <c r="B815" s="192" t="str">
        <f aca="false">IF(AND('AGOSTO 2026'!D84&lt;&gt;"",'AGOSTO 2026'!Z84="POR RECOGER"),IF('AGOSTO 2026'!Y84&lt;&gt;"",'AGOSTO 2026'!Y84,'AGOSTO 2026'!I84),"")</f>
        <v/>
      </c>
      <c r="C815" s="192" t="str">
        <f aca="false">IF(AND('AGOSTO 2026'!D84&lt;&gt;"",'AGOSTO 2026'!Z84="POR RECOGER"),'AGOSTO 2026'!D84,"")</f>
        <v/>
      </c>
      <c r="D815" s="192" t="str">
        <f aca="false">IF(AND('AGOSTO 2026'!D84&lt;&gt;"",'AGOSTO 2026'!Z84="POR RECOGER"),'AGOSTO 2026'!F84,"")</f>
        <v/>
      </c>
      <c r="E815" s="192" t="str">
        <f aca="false">IF(AND('AGOSTO 2026'!D84&lt;&gt;"",'AGOSTO 2026'!Z84="POR RECOGER"),TEXT('AGOSTO 2026'!G84,"DD/MM/YYYY"),"")</f>
        <v/>
      </c>
      <c r="F815" s="192" t="str">
        <f aca="false">IF(AND('AGOSTO 2026'!D84&lt;&gt;"",'AGOSTO 2026'!Z84="POR RECOGER"),'AGOSTO 2026'!K84,"")</f>
        <v/>
      </c>
      <c r="G815" s="193" t="str">
        <f aca="false">IF(AND('AGOSTO 2026'!D84&lt;&gt;"",'AGOSTO 2026'!Z84="POR RECOGER"),'AGOSTO 2026'!M84,"")</f>
        <v/>
      </c>
      <c r="H815" s="193" t="str">
        <f aca="false">IF(AND('AGOSTO 2026'!D84&lt;&gt;"",'AGOSTO 2026'!Z84="POR RECOGER"),'AGOSTO 2026'!N84,"")</f>
        <v/>
      </c>
      <c r="I815" s="192" t="str">
        <f aca="false">IF(AND('AGOSTO 2026'!D84&lt;&gt;"",'AGOSTO 2026'!Z84="POR RECOGER"),'AGOSTO 2026'!P84,"")</f>
        <v/>
      </c>
      <c r="J815" s="192" t="str">
        <f aca="false">IF(AND('AGOSTO 2026'!D84&lt;&gt;"",'AGOSTO 2026'!Z84="POR RECOGER"),'AGOSTO 2026'!Q84,"")</f>
        <v/>
      </c>
      <c r="K815" s="192" t="str">
        <f aca="false">IF(AND('AGOSTO 2026'!D84&lt;&gt;"",'AGOSTO 2026'!Z84="POR RECOGER"),'AGOSTO 2026'!Y84,"")</f>
        <v/>
      </c>
      <c r="L815" s="192" t="str">
        <f aca="false">IF(AND('AGOSTO 2026'!D84&lt;&gt;"",'AGOSTO 2026'!Z84="POR RECOGER"),'AGOSTO 2026'!I84,"")</f>
        <v/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" hidden="false" customHeight="true" outlineLevel="0" collapsed="false">
      <c r="A816" s="192" t="str">
        <f aca="false">IF(AND('AGOSTO 2026'!D85&lt;&gt;"",'AGOSTO 2026'!Z85="POR RECOGER"),"AGO","")</f>
        <v/>
      </c>
      <c r="B816" s="192" t="str">
        <f aca="false">IF(AND('AGOSTO 2026'!D85&lt;&gt;"",'AGOSTO 2026'!Z85="POR RECOGER"),IF('AGOSTO 2026'!Y85&lt;&gt;"",'AGOSTO 2026'!Y85,'AGOSTO 2026'!I85),"")</f>
        <v/>
      </c>
      <c r="C816" s="192" t="str">
        <f aca="false">IF(AND('AGOSTO 2026'!D85&lt;&gt;"",'AGOSTO 2026'!Z85="POR RECOGER"),'AGOSTO 2026'!D85,"")</f>
        <v/>
      </c>
      <c r="D816" s="192" t="str">
        <f aca="false">IF(AND('AGOSTO 2026'!D85&lt;&gt;"",'AGOSTO 2026'!Z85="POR RECOGER"),'AGOSTO 2026'!F85,"")</f>
        <v/>
      </c>
      <c r="E816" s="192" t="str">
        <f aca="false">IF(AND('AGOSTO 2026'!D85&lt;&gt;"",'AGOSTO 2026'!Z85="POR RECOGER"),TEXT('AGOSTO 2026'!G85,"DD/MM/YYYY"),"")</f>
        <v/>
      </c>
      <c r="F816" s="192" t="str">
        <f aca="false">IF(AND('AGOSTO 2026'!D85&lt;&gt;"",'AGOSTO 2026'!Z85="POR RECOGER"),'AGOSTO 2026'!K85,"")</f>
        <v/>
      </c>
      <c r="G816" s="193" t="str">
        <f aca="false">IF(AND('AGOSTO 2026'!D85&lt;&gt;"",'AGOSTO 2026'!Z85="POR RECOGER"),'AGOSTO 2026'!M85,"")</f>
        <v/>
      </c>
      <c r="H816" s="193" t="str">
        <f aca="false">IF(AND('AGOSTO 2026'!D85&lt;&gt;"",'AGOSTO 2026'!Z85="POR RECOGER"),'AGOSTO 2026'!N85,"")</f>
        <v/>
      </c>
      <c r="I816" s="192" t="str">
        <f aca="false">IF(AND('AGOSTO 2026'!D85&lt;&gt;"",'AGOSTO 2026'!Z85="POR RECOGER"),'AGOSTO 2026'!P85,"")</f>
        <v/>
      </c>
      <c r="J816" s="192" t="str">
        <f aca="false">IF(AND('AGOSTO 2026'!D85&lt;&gt;"",'AGOSTO 2026'!Z85="POR RECOGER"),'AGOSTO 2026'!Q85,"")</f>
        <v/>
      </c>
      <c r="K816" s="192" t="str">
        <f aca="false">IF(AND('AGOSTO 2026'!D85&lt;&gt;"",'AGOSTO 2026'!Z85="POR RECOGER"),'AGOSTO 2026'!Y85,"")</f>
        <v/>
      </c>
      <c r="L816" s="192" t="str">
        <f aca="false">IF(AND('AGOSTO 2026'!D85&lt;&gt;"",'AGOSTO 2026'!Z85="POR RECOGER"),'AGOSTO 2026'!I85,"")</f>
        <v/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" hidden="false" customHeight="true" outlineLevel="0" collapsed="false">
      <c r="A817" s="192" t="str">
        <f aca="false">IF(AND('AGOSTO 2026'!D86&lt;&gt;"",'AGOSTO 2026'!Z86="POR RECOGER"),"AGO","")</f>
        <v/>
      </c>
      <c r="B817" s="192" t="str">
        <f aca="false">IF(AND('AGOSTO 2026'!D86&lt;&gt;"",'AGOSTO 2026'!Z86="POR RECOGER"),IF('AGOSTO 2026'!Y86&lt;&gt;"",'AGOSTO 2026'!Y86,'AGOSTO 2026'!I86),"")</f>
        <v/>
      </c>
      <c r="C817" s="192" t="str">
        <f aca="false">IF(AND('AGOSTO 2026'!D86&lt;&gt;"",'AGOSTO 2026'!Z86="POR RECOGER"),'AGOSTO 2026'!D86,"")</f>
        <v/>
      </c>
      <c r="D817" s="192" t="str">
        <f aca="false">IF(AND('AGOSTO 2026'!D86&lt;&gt;"",'AGOSTO 2026'!Z86="POR RECOGER"),'AGOSTO 2026'!F86,"")</f>
        <v/>
      </c>
      <c r="E817" s="192" t="str">
        <f aca="false">IF(AND('AGOSTO 2026'!D86&lt;&gt;"",'AGOSTO 2026'!Z86="POR RECOGER"),TEXT('AGOSTO 2026'!G86,"DD/MM/YYYY"),"")</f>
        <v/>
      </c>
      <c r="F817" s="192" t="str">
        <f aca="false">IF(AND('AGOSTO 2026'!D86&lt;&gt;"",'AGOSTO 2026'!Z86="POR RECOGER"),'AGOSTO 2026'!K86,"")</f>
        <v/>
      </c>
      <c r="G817" s="193" t="str">
        <f aca="false">IF(AND('AGOSTO 2026'!D86&lt;&gt;"",'AGOSTO 2026'!Z86="POR RECOGER"),'AGOSTO 2026'!M86,"")</f>
        <v/>
      </c>
      <c r="H817" s="193" t="str">
        <f aca="false">IF(AND('AGOSTO 2026'!D86&lt;&gt;"",'AGOSTO 2026'!Z86="POR RECOGER"),'AGOSTO 2026'!N86,"")</f>
        <v/>
      </c>
      <c r="I817" s="192" t="str">
        <f aca="false">IF(AND('AGOSTO 2026'!D86&lt;&gt;"",'AGOSTO 2026'!Z86="POR RECOGER"),'AGOSTO 2026'!P86,"")</f>
        <v/>
      </c>
      <c r="J817" s="192" t="str">
        <f aca="false">IF(AND('AGOSTO 2026'!D86&lt;&gt;"",'AGOSTO 2026'!Z86="POR RECOGER"),'AGOSTO 2026'!Q86,"")</f>
        <v/>
      </c>
      <c r="K817" s="192" t="str">
        <f aca="false">IF(AND('AGOSTO 2026'!D86&lt;&gt;"",'AGOSTO 2026'!Z86="POR RECOGER"),'AGOSTO 2026'!Y86,"")</f>
        <v/>
      </c>
      <c r="L817" s="192" t="str">
        <f aca="false">IF(AND('AGOSTO 2026'!D86&lt;&gt;"",'AGOSTO 2026'!Z86="POR RECOGER"),'AGOSTO 2026'!I86,"")</f>
        <v/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" hidden="false" customHeight="true" outlineLevel="0" collapsed="false">
      <c r="A818" s="192" t="str">
        <f aca="false">IF(AND('AGOSTO 2026'!D87&lt;&gt;"",'AGOSTO 2026'!Z87="POR RECOGER"),"AGO","")</f>
        <v/>
      </c>
      <c r="B818" s="192" t="str">
        <f aca="false">IF(AND('AGOSTO 2026'!D87&lt;&gt;"",'AGOSTO 2026'!Z87="POR RECOGER"),IF('AGOSTO 2026'!Y87&lt;&gt;"",'AGOSTO 2026'!Y87,'AGOSTO 2026'!I87),"")</f>
        <v/>
      </c>
      <c r="C818" s="192" t="str">
        <f aca="false">IF(AND('AGOSTO 2026'!D87&lt;&gt;"",'AGOSTO 2026'!Z87="POR RECOGER"),'AGOSTO 2026'!D87,"")</f>
        <v/>
      </c>
      <c r="D818" s="192" t="str">
        <f aca="false">IF(AND('AGOSTO 2026'!D87&lt;&gt;"",'AGOSTO 2026'!Z87="POR RECOGER"),'AGOSTO 2026'!F87,"")</f>
        <v/>
      </c>
      <c r="E818" s="192" t="str">
        <f aca="false">IF(AND('AGOSTO 2026'!D87&lt;&gt;"",'AGOSTO 2026'!Z87="POR RECOGER"),TEXT('AGOSTO 2026'!G87,"DD/MM/YYYY"),"")</f>
        <v/>
      </c>
      <c r="F818" s="192" t="str">
        <f aca="false">IF(AND('AGOSTO 2026'!D87&lt;&gt;"",'AGOSTO 2026'!Z87="POR RECOGER"),'AGOSTO 2026'!K87,"")</f>
        <v/>
      </c>
      <c r="G818" s="193" t="str">
        <f aca="false">IF(AND('AGOSTO 2026'!D87&lt;&gt;"",'AGOSTO 2026'!Z87="POR RECOGER"),'AGOSTO 2026'!M87,"")</f>
        <v/>
      </c>
      <c r="H818" s="193" t="str">
        <f aca="false">IF(AND('AGOSTO 2026'!D87&lt;&gt;"",'AGOSTO 2026'!Z87="POR RECOGER"),'AGOSTO 2026'!N87,"")</f>
        <v/>
      </c>
      <c r="I818" s="192" t="str">
        <f aca="false">IF(AND('AGOSTO 2026'!D87&lt;&gt;"",'AGOSTO 2026'!Z87="POR RECOGER"),'AGOSTO 2026'!P87,"")</f>
        <v/>
      </c>
      <c r="J818" s="192" t="str">
        <f aca="false">IF(AND('AGOSTO 2026'!D87&lt;&gt;"",'AGOSTO 2026'!Z87="POR RECOGER"),'AGOSTO 2026'!Q87,"")</f>
        <v/>
      </c>
      <c r="K818" s="192" t="str">
        <f aca="false">IF(AND('AGOSTO 2026'!D87&lt;&gt;"",'AGOSTO 2026'!Z87="POR RECOGER"),'AGOSTO 2026'!Y87,"")</f>
        <v/>
      </c>
      <c r="L818" s="192" t="str">
        <f aca="false">IF(AND('AGOSTO 2026'!D87&lt;&gt;"",'AGOSTO 2026'!Z87="POR RECOGER"),'AGOSTO 2026'!I87,"")</f>
        <v/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" hidden="false" customHeight="true" outlineLevel="0" collapsed="false">
      <c r="A819" s="192" t="str">
        <f aca="false">IF(AND('AGOSTO 2026'!D88&lt;&gt;"",'AGOSTO 2026'!Z88="POR RECOGER"),"AGO","")</f>
        <v/>
      </c>
      <c r="B819" s="192" t="str">
        <f aca="false">IF(AND('AGOSTO 2026'!D88&lt;&gt;"",'AGOSTO 2026'!Z88="POR RECOGER"),IF('AGOSTO 2026'!Y88&lt;&gt;"",'AGOSTO 2026'!Y88,'AGOSTO 2026'!I88),"")</f>
        <v/>
      </c>
      <c r="C819" s="192" t="str">
        <f aca="false">IF(AND('AGOSTO 2026'!D88&lt;&gt;"",'AGOSTO 2026'!Z88="POR RECOGER"),'AGOSTO 2026'!D88,"")</f>
        <v/>
      </c>
      <c r="D819" s="192" t="str">
        <f aca="false">IF(AND('AGOSTO 2026'!D88&lt;&gt;"",'AGOSTO 2026'!Z88="POR RECOGER"),'AGOSTO 2026'!F88,"")</f>
        <v/>
      </c>
      <c r="E819" s="192" t="str">
        <f aca="false">IF(AND('AGOSTO 2026'!D88&lt;&gt;"",'AGOSTO 2026'!Z88="POR RECOGER"),TEXT('AGOSTO 2026'!G88,"DD/MM/YYYY"),"")</f>
        <v/>
      </c>
      <c r="F819" s="192" t="str">
        <f aca="false">IF(AND('AGOSTO 2026'!D88&lt;&gt;"",'AGOSTO 2026'!Z88="POR RECOGER"),'AGOSTO 2026'!K88,"")</f>
        <v/>
      </c>
      <c r="G819" s="193" t="str">
        <f aca="false">IF(AND('AGOSTO 2026'!D88&lt;&gt;"",'AGOSTO 2026'!Z88="POR RECOGER"),'AGOSTO 2026'!M88,"")</f>
        <v/>
      </c>
      <c r="H819" s="193" t="str">
        <f aca="false">IF(AND('AGOSTO 2026'!D88&lt;&gt;"",'AGOSTO 2026'!Z88="POR RECOGER"),'AGOSTO 2026'!N88,"")</f>
        <v/>
      </c>
      <c r="I819" s="192" t="str">
        <f aca="false">IF(AND('AGOSTO 2026'!D88&lt;&gt;"",'AGOSTO 2026'!Z88="POR RECOGER"),'AGOSTO 2026'!P88,"")</f>
        <v/>
      </c>
      <c r="J819" s="192" t="str">
        <f aca="false">IF(AND('AGOSTO 2026'!D88&lt;&gt;"",'AGOSTO 2026'!Z88="POR RECOGER"),'AGOSTO 2026'!Q88,"")</f>
        <v/>
      </c>
      <c r="K819" s="192" t="str">
        <f aca="false">IF(AND('AGOSTO 2026'!D88&lt;&gt;"",'AGOSTO 2026'!Z88="POR RECOGER"),'AGOSTO 2026'!Y88,"")</f>
        <v/>
      </c>
      <c r="L819" s="192" t="str">
        <f aca="false">IF(AND('AGOSTO 2026'!D88&lt;&gt;"",'AGOSTO 2026'!Z88="POR RECOGER"),'AGOSTO 2026'!I88,"")</f>
        <v/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" hidden="false" customHeight="true" outlineLevel="0" collapsed="false">
      <c r="A820" s="192" t="str">
        <f aca="false">IF(AND('AGOSTO 2026'!D89&lt;&gt;"",'AGOSTO 2026'!Z89="POR RECOGER"),"AGO","")</f>
        <v/>
      </c>
      <c r="B820" s="192" t="str">
        <f aca="false">IF(AND('AGOSTO 2026'!D89&lt;&gt;"",'AGOSTO 2026'!Z89="POR RECOGER"),IF('AGOSTO 2026'!Y89&lt;&gt;"",'AGOSTO 2026'!Y89,'AGOSTO 2026'!I89),"")</f>
        <v/>
      </c>
      <c r="C820" s="192" t="str">
        <f aca="false">IF(AND('AGOSTO 2026'!D89&lt;&gt;"",'AGOSTO 2026'!Z89="POR RECOGER"),'AGOSTO 2026'!D89,"")</f>
        <v/>
      </c>
      <c r="D820" s="192" t="str">
        <f aca="false">IF(AND('AGOSTO 2026'!D89&lt;&gt;"",'AGOSTO 2026'!Z89="POR RECOGER"),'AGOSTO 2026'!F89,"")</f>
        <v/>
      </c>
      <c r="E820" s="192" t="str">
        <f aca="false">IF(AND('AGOSTO 2026'!D89&lt;&gt;"",'AGOSTO 2026'!Z89="POR RECOGER"),TEXT('AGOSTO 2026'!G89,"DD/MM/YYYY"),"")</f>
        <v/>
      </c>
      <c r="F820" s="192" t="str">
        <f aca="false">IF(AND('AGOSTO 2026'!D89&lt;&gt;"",'AGOSTO 2026'!Z89="POR RECOGER"),'AGOSTO 2026'!K89,"")</f>
        <v/>
      </c>
      <c r="G820" s="193" t="str">
        <f aca="false">IF(AND('AGOSTO 2026'!D89&lt;&gt;"",'AGOSTO 2026'!Z89="POR RECOGER"),'AGOSTO 2026'!M89,"")</f>
        <v/>
      </c>
      <c r="H820" s="193" t="str">
        <f aca="false">IF(AND('AGOSTO 2026'!D89&lt;&gt;"",'AGOSTO 2026'!Z89="POR RECOGER"),'AGOSTO 2026'!N89,"")</f>
        <v/>
      </c>
      <c r="I820" s="192" t="str">
        <f aca="false">IF(AND('AGOSTO 2026'!D89&lt;&gt;"",'AGOSTO 2026'!Z89="POR RECOGER"),'AGOSTO 2026'!P89,"")</f>
        <v/>
      </c>
      <c r="J820" s="192" t="str">
        <f aca="false">IF(AND('AGOSTO 2026'!D89&lt;&gt;"",'AGOSTO 2026'!Z89="POR RECOGER"),'AGOSTO 2026'!Q89,"")</f>
        <v/>
      </c>
      <c r="K820" s="192" t="str">
        <f aca="false">IF(AND('AGOSTO 2026'!D89&lt;&gt;"",'AGOSTO 2026'!Z89="POR RECOGER"),'AGOSTO 2026'!Y89,"")</f>
        <v/>
      </c>
      <c r="L820" s="192" t="str">
        <f aca="false">IF(AND('AGOSTO 2026'!D89&lt;&gt;"",'AGOSTO 2026'!Z89="POR RECOGER"),'AGOSTO 2026'!I89,"")</f>
        <v/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" hidden="false" customHeight="true" outlineLevel="0" collapsed="false">
      <c r="A821" s="192" t="str">
        <f aca="false">IF(AND('AGOSTO 2026'!D90&lt;&gt;"",'AGOSTO 2026'!Z90="POR RECOGER"),"AGO","")</f>
        <v/>
      </c>
      <c r="B821" s="192" t="str">
        <f aca="false">IF(AND('AGOSTO 2026'!D90&lt;&gt;"",'AGOSTO 2026'!Z90="POR RECOGER"),IF('AGOSTO 2026'!Y90&lt;&gt;"",'AGOSTO 2026'!Y90,'AGOSTO 2026'!I90),"")</f>
        <v/>
      </c>
      <c r="C821" s="192" t="str">
        <f aca="false">IF(AND('AGOSTO 2026'!D90&lt;&gt;"",'AGOSTO 2026'!Z90="POR RECOGER"),'AGOSTO 2026'!D90,"")</f>
        <v/>
      </c>
      <c r="D821" s="192" t="str">
        <f aca="false">IF(AND('AGOSTO 2026'!D90&lt;&gt;"",'AGOSTO 2026'!Z90="POR RECOGER"),'AGOSTO 2026'!F90,"")</f>
        <v/>
      </c>
      <c r="E821" s="192" t="str">
        <f aca="false">IF(AND('AGOSTO 2026'!D90&lt;&gt;"",'AGOSTO 2026'!Z90="POR RECOGER"),TEXT('AGOSTO 2026'!G90,"DD/MM/YYYY"),"")</f>
        <v/>
      </c>
      <c r="F821" s="192" t="str">
        <f aca="false">IF(AND('AGOSTO 2026'!D90&lt;&gt;"",'AGOSTO 2026'!Z90="POR RECOGER"),'AGOSTO 2026'!K90,"")</f>
        <v/>
      </c>
      <c r="G821" s="193" t="str">
        <f aca="false">IF(AND('AGOSTO 2026'!D90&lt;&gt;"",'AGOSTO 2026'!Z90="POR RECOGER"),'AGOSTO 2026'!M90,"")</f>
        <v/>
      </c>
      <c r="H821" s="193" t="str">
        <f aca="false">IF(AND('AGOSTO 2026'!D90&lt;&gt;"",'AGOSTO 2026'!Z90="POR RECOGER"),'AGOSTO 2026'!N90,"")</f>
        <v/>
      </c>
      <c r="I821" s="192" t="str">
        <f aca="false">IF(AND('AGOSTO 2026'!D90&lt;&gt;"",'AGOSTO 2026'!Z90="POR RECOGER"),'AGOSTO 2026'!P90,"")</f>
        <v/>
      </c>
      <c r="J821" s="192" t="str">
        <f aca="false">IF(AND('AGOSTO 2026'!D90&lt;&gt;"",'AGOSTO 2026'!Z90="POR RECOGER"),'AGOSTO 2026'!Q90,"")</f>
        <v/>
      </c>
      <c r="K821" s="192" t="str">
        <f aca="false">IF(AND('AGOSTO 2026'!D90&lt;&gt;"",'AGOSTO 2026'!Z90="POR RECOGER"),'AGOSTO 2026'!Y90,"")</f>
        <v/>
      </c>
      <c r="L821" s="192" t="str">
        <f aca="false">IF(AND('AGOSTO 2026'!D90&lt;&gt;"",'AGOSTO 2026'!Z90="POR RECOGER"),'AGOSTO 2026'!I90,"")</f>
        <v/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" hidden="false" customHeight="true" outlineLevel="0" collapsed="false">
      <c r="A822" s="192" t="str">
        <f aca="false">IF(AND('AGOSTO 2026'!D91&lt;&gt;"",'AGOSTO 2026'!Z91="POR RECOGER"),"AGO","")</f>
        <v/>
      </c>
      <c r="B822" s="192" t="str">
        <f aca="false">IF(AND('AGOSTO 2026'!D91&lt;&gt;"",'AGOSTO 2026'!Z91="POR RECOGER"),IF('AGOSTO 2026'!Y91&lt;&gt;"",'AGOSTO 2026'!Y91,'AGOSTO 2026'!I91),"")</f>
        <v/>
      </c>
      <c r="C822" s="192" t="str">
        <f aca="false">IF(AND('AGOSTO 2026'!D91&lt;&gt;"",'AGOSTO 2026'!Z91="POR RECOGER"),'AGOSTO 2026'!D91,"")</f>
        <v/>
      </c>
      <c r="D822" s="192" t="str">
        <f aca="false">IF(AND('AGOSTO 2026'!D91&lt;&gt;"",'AGOSTO 2026'!Z91="POR RECOGER"),'AGOSTO 2026'!F91,"")</f>
        <v/>
      </c>
      <c r="E822" s="192" t="str">
        <f aca="false">IF(AND('AGOSTO 2026'!D91&lt;&gt;"",'AGOSTO 2026'!Z91="POR RECOGER"),TEXT('AGOSTO 2026'!G91,"DD/MM/YYYY"),"")</f>
        <v/>
      </c>
      <c r="F822" s="192" t="str">
        <f aca="false">IF(AND('AGOSTO 2026'!D91&lt;&gt;"",'AGOSTO 2026'!Z91="POR RECOGER"),'AGOSTO 2026'!K91,"")</f>
        <v/>
      </c>
      <c r="G822" s="193" t="str">
        <f aca="false">IF(AND('AGOSTO 2026'!D91&lt;&gt;"",'AGOSTO 2026'!Z91="POR RECOGER"),'AGOSTO 2026'!M91,"")</f>
        <v/>
      </c>
      <c r="H822" s="193" t="str">
        <f aca="false">IF(AND('AGOSTO 2026'!D91&lt;&gt;"",'AGOSTO 2026'!Z91="POR RECOGER"),'AGOSTO 2026'!N91,"")</f>
        <v/>
      </c>
      <c r="I822" s="192" t="str">
        <f aca="false">IF(AND('AGOSTO 2026'!D91&lt;&gt;"",'AGOSTO 2026'!Z91="POR RECOGER"),'AGOSTO 2026'!P91,"")</f>
        <v/>
      </c>
      <c r="J822" s="192" t="str">
        <f aca="false">IF(AND('AGOSTO 2026'!D91&lt;&gt;"",'AGOSTO 2026'!Z91="POR RECOGER"),'AGOSTO 2026'!Q91,"")</f>
        <v/>
      </c>
      <c r="K822" s="192" t="str">
        <f aca="false">IF(AND('AGOSTO 2026'!D91&lt;&gt;"",'AGOSTO 2026'!Z91="POR RECOGER"),'AGOSTO 2026'!Y91,"")</f>
        <v/>
      </c>
      <c r="L822" s="192" t="str">
        <f aca="false">IF(AND('AGOSTO 2026'!D91&lt;&gt;"",'AGOSTO 2026'!Z91="POR RECOGER"),'AGOSTO 2026'!I91,"")</f>
        <v/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" hidden="false" customHeight="true" outlineLevel="0" collapsed="false">
      <c r="A823" s="192" t="str">
        <f aca="false">IF(AND('AGOSTO 2026'!D92&lt;&gt;"",'AGOSTO 2026'!Z92="POR RECOGER"),"AGO","")</f>
        <v/>
      </c>
      <c r="B823" s="192" t="str">
        <f aca="false">IF(AND('AGOSTO 2026'!D92&lt;&gt;"",'AGOSTO 2026'!Z92="POR RECOGER"),IF('AGOSTO 2026'!Y92&lt;&gt;"",'AGOSTO 2026'!Y92,'AGOSTO 2026'!I92),"")</f>
        <v/>
      </c>
      <c r="C823" s="192" t="str">
        <f aca="false">IF(AND('AGOSTO 2026'!D92&lt;&gt;"",'AGOSTO 2026'!Z92="POR RECOGER"),'AGOSTO 2026'!D92,"")</f>
        <v/>
      </c>
      <c r="D823" s="192" t="str">
        <f aca="false">IF(AND('AGOSTO 2026'!D92&lt;&gt;"",'AGOSTO 2026'!Z92="POR RECOGER"),'AGOSTO 2026'!F92,"")</f>
        <v/>
      </c>
      <c r="E823" s="192" t="str">
        <f aca="false">IF(AND('AGOSTO 2026'!D92&lt;&gt;"",'AGOSTO 2026'!Z92="POR RECOGER"),TEXT('AGOSTO 2026'!G92,"DD/MM/YYYY"),"")</f>
        <v/>
      </c>
      <c r="F823" s="192" t="str">
        <f aca="false">IF(AND('AGOSTO 2026'!D92&lt;&gt;"",'AGOSTO 2026'!Z92="POR RECOGER"),'AGOSTO 2026'!K92,"")</f>
        <v/>
      </c>
      <c r="G823" s="193" t="str">
        <f aca="false">IF(AND('AGOSTO 2026'!D92&lt;&gt;"",'AGOSTO 2026'!Z92="POR RECOGER"),'AGOSTO 2026'!M92,"")</f>
        <v/>
      </c>
      <c r="H823" s="193" t="str">
        <f aca="false">IF(AND('AGOSTO 2026'!D92&lt;&gt;"",'AGOSTO 2026'!Z92="POR RECOGER"),'AGOSTO 2026'!N92,"")</f>
        <v/>
      </c>
      <c r="I823" s="192" t="str">
        <f aca="false">IF(AND('AGOSTO 2026'!D92&lt;&gt;"",'AGOSTO 2026'!Z92="POR RECOGER"),'AGOSTO 2026'!P92,"")</f>
        <v/>
      </c>
      <c r="J823" s="192" t="str">
        <f aca="false">IF(AND('AGOSTO 2026'!D92&lt;&gt;"",'AGOSTO 2026'!Z92="POR RECOGER"),'AGOSTO 2026'!Q92,"")</f>
        <v/>
      </c>
      <c r="K823" s="192" t="str">
        <f aca="false">IF(AND('AGOSTO 2026'!D92&lt;&gt;"",'AGOSTO 2026'!Z92="POR RECOGER"),'AGOSTO 2026'!Y92,"")</f>
        <v/>
      </c>
      <c r="L823" s="192" t="str">
        <f aca="false">IF(AND('AGOSTO 2026'!D92&lt;&gt;"",'AGOSTO 2026'!Z92="POR RECOGER"),'AGOSTO 2026'!I92,"")</f>
        <v/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" hidden="false" customHeight="true" outlineLevel="0" collapsed="false">
      <c r="A824" s="192" t="str">
        <f aca="false">IF(AND('AGOSTO 2026'!D93&lt;&gt;"",'AGOSTO 2026'!Z93="POR RECOGER"),"AGO","")</f>
        <v/>
      </c>
      <c r="B824" s="192" t="str">
        <f aca="false">IF(AND('AGOSTO 2026'!D93&lt;&gt;"",'AGOSTO 2026'!Z93="POR RECOGER"),IF('AGOSTO 2026'!Y93&lt;&gt;"",'AGOSTO 2026'!Y93,'AGOSTO 2026'!I93),"")</f>
        <v/>
      </c>
      <c r="C824" s="192" t="str">
        <f aca="false">IF(AND('AGOSTO 2026'!D93&lt;&gt;"",'AGOSTO 2026'!Z93="POR RECOGER"),'AGOSTO 2026'!D93,"")</f>
        <v/>
      </c>
      <c r="D824" s="192" t="str">
        <f aca="false">IF(AND('AGOSTO 2026'!D93&lt;&gt;"",'AGOSTO 2026'!Z93="POR RECOGER"),'AGOSTO 2026'!F93,"")</f>
        <v/>
      </c>
      <c r="E824" s="192" t="str">
        <f aca="false">IF(AND('AGOSTO 2026'!D93&lt;&gt;"",'AGOSTO 2026'!Z93="POR RECOGER"),TEXT('AGOSTO 2026'!G93,"DD/MM/YYYY"),"")</f>
        <v/>
      </c>
      <c r="F824" s="192" t="str">
        <f aca="false">IF(AND('AGOSTO 2026'!D93&lt;&gt;"",'AGOSTO 2026'!Z93="POR RECOGER"),'AGOSTO 2026'!K93,"")</f>
        <v/>
      </c>
      <c r="G824" s="193" t="str">
        <f aca="false">IF(AND('AGOSTO 2026'!D93&lt;&gt;"",'AGOSTO 2026'!Z93="POR RECOGER"),'AGOSTO 2026'!M93,"")</f>
        <v/>
      </c>
      <c r="H824" s="193" t="str">
        <f aca="false">IF(AND('AGOSTO 2026'!D93&lt;&gt;"",'AGOSTO 2026'!Z93="POR RECOGER"),'AGOSTO 2026'!N93,"")</f>
        <v/>
      </c>
      <c r="I824" s="192" t="str">
        <f aca="false">IF(AND('AGOSTO 2026'!D93&lt;&gt;"",'AGOSTO 2026'!Z93="POR RECOGER"),'AGOSTO 2026'!P93,"")</f>
        <v/>
      </c>
      <c r="J824" s="192" t="str">
        <f aca="false">IF(AND('AGOSTO 2026'!D93&lt;&gt;"",'AGOSTO 2026'!Z93="POR RECOGER"),'AGOSTO 2026'!Q93,"")</f>
        <v/>
      </c>
      <c r="K824" s="192" t="str">
        <f aca="false">IF(AND('AGOSTO 2026'!D93&lt;&gt;"",'AGOSTO 2026'!Z93="POR RECOGER"),'AGOSTO 2026'!Y93,"")</f>
        <v/>
      </c>
      <c r="L824" s="192" t="str">
        <f aca="false">IF(AND('AGOSTO 2026'!D93&lt;&gt;"",'AGOSTO 2026'!Z93="POR RECOGER"),'AGOSTO 2026'!I93,"")</f>
        <v/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" hidden="false" customHeight="true" outlineLevel="0" collapsed="false">
      <c r="A825" s="192" t="str">
        <f aca="false">IF(AND('AGOSTO 2026'!D94&lt;&gt;"",'AGOSTO 2026'!Z94="POR RECOGER"),"AGO","")</f>
        <v/>
      </c>
      <c r="B825" s="192" t="str">
        <f aca="false">IF(AND('AGOSTO 2026'!D94&lt;&gt;"",'AGOSTO 2026'!Z94="POR RECOGER"),IF('AGOSTO 2026'!Y94&lt;&gt;"",'AGOSTO 2026'!Y94,'AGOSTO 2026'!I94),"")</f>
        <v/>
      </c>
      <c r="C825" s="192" t="str">
        <f aca="false">IF(AND('AGOSTO 2026'!D94&lt;&gt;"",'AGOSTO 2026'!Z94="POR RECOGER"),'AGOSTO 2026'!D94,"")</f>
        <v/>
      </c>
      <c r="D825" s="192" t="str">
        <f aca="false">IF(AND('AGOSTO 2026'!D94&lt;&gt;"",'AGOSTO 2026'!Z94="POR RECOGER"),'AGOSTO 2026'!F94,"")</f>
        <v/>
      </c>
      <c r="E825" s="192" t="str">
        <f aca="false">IF(AND('AGOSTO 2026'!D94&lt;&gt;"",'AGOSTO 2026'!Z94="POR RECOGER"),TEXT('AGOSTO 2026'!G94,"DD/MM/YYYY"),"")</f>
        <v/>
      </c>
      <c r="F825" s="192" t="str">
        <f aca="false">IF(AND('AGOSTO 2026'!D94&lt;&gt;"",'AGOSTO 2026'!Z94="POR RECOGER"),'AGOSTO 2026'!K94,"")</f>
        <v/>
      </c>
      <c r="G825" s="193" t="str">
        <f aca="false">IF(AND('AGOSTO 2026'!D94&lt;&gt;"",'AGOSTO 2026'!Z94="POR RECOGER"),'AGOSTO 2026'!M94,"")</f>
        <v/>
      </c>
      <c r="H825" s="193" t="str">
        <f aca="false">IF(AND('AGOSTO 2026'!D94&lt;&gt;"",'AGOSTO 2026'!Z94="POR RECOGER"),'AGOSTO 2026'!N94,"")</f>
        <v/>
      </c>
      <c r="I825" s="192" t="str">
        <f aca="false">IF(AND('AGOSTO 2026'!D94&lt;&gt;"",'AGOSTO 2026'!Z94="POR RECOGER"),'AGOSTO 2026'!P94,"")</f>
        <v/>
      </c>
      <c r="J825" s="192" t="str">
        <f aca="false">IF(AND('AGOSTO 2026'!D94&lt;&gt;"",'AGOSTO 2026'!Z94="POR RECOGER"),'AGOSTO 2026'!Q94,"")</f>
        <v/>
      </c>
      <c r="K825" s="192" t="str">
        <f aca="false">IF(AND('AGOSTO 2026'!D94&lt;&gt;"",'AGOSTO 2026'!Z94="POR RECOGER"),'AGOSTO 2026'!Y94,"")</f>
        <v/>
      </c>
      <c r="L825" s="192" t="str">
        <f aca="false">IF(AND('AGOSTO 2026'!D94&lt;&gt;"",'AGOSTO 2026'!Z94="POR RECOGER"),'AGOSTO 2026'!I94,"")</f>
        <v/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" hidden="false" customHeight="true" outlineLevel="0" collapsed="false">
      <c r="A826" s="192" t="str">
        <f aca="false">IF(AND('AGOSTO 2026'!D95&lt;&gt;"",'AGOSTO 2026'!Z95="POR RECOGER"),"AGO","")</f>
        <v/>
      </c>
      <c r="B826" s="192" t="str">
        <f aca="false">IF(AND('AGOSTO 2026'!D95&lt;&gt;"",'AGOSTO 2026'!Z95="POR RECOGER"),IF('AGOSTO 2026'!Y95&lt;&gt;"",'AGOSTO 2026'!Y95,'AGOSTO 2026'!I95),"")</f>
        <v/>
      </c>
      <c r="C826" s="192" t="str">
        <f aca="false">IF(AND('AGOSTO 2026'!D95&lt;&gt;"",'AGOSTO 2026'!Z95="POR RECOGER"),'AGOSTO 2026'!D95,"")</f>
        <v/>
      </c>
      <c r="D826" s="192" t="str">
        <f aca="false">IF(AND('AGOSTO 2026'!D95&lt;&gt;"",'AGOSTO 2026'!Z95="POR RECOGER"),'AGOSTO 2026'!F95,"")</f>
        <v/>
      </c>
      <c r="E826" s="192" t="str">
        <f aca="false">IF(AND('AGOSTO 2026'!D95&lt;&gt;"",'AGOSTO 2026'!Z95="POR RECOGER"),TEXT('AGOSTO 2026'!G95,"DD/MM/YYYY"),"")</f>
        <v/>
      </c>
      <c r="F826" s="192" t="str">
        <f aca="false">IF(AND('AGOSTO 2026'!D95&lt;&gt;"",'AGOSTO 2026'!Z95="POR RECOGER"),'AGOSTO 2026'!K95,"")</f>
        <v/>
      </c>
      <c r="G826" s="193" t="str">
        <f aca="false">IF(AND('AGOSTO 2026'!D95&lt;&gt;"",'AGOSTO 2026'!Z95="POR RECOGER"),'AGOSTO 2026'!M95,"")</f>
        <v/>
      </c>
      <c r="H826" s="193" t="str">
        <f aca="false">IF(AND('AGOSTO 2026'!D95&lt;&gt;"",'AGOSTO 2026'!Z95="POR RECOGER"),'AGOSTO 2026'!N95,"")</f>
        <v/>
      </c>
      <c r="I826" s="192" t="str">
        <f aca="false">IF(AND('AGOSTO 2026'!D95&lt;&gt;"",'AGOSTO 2026'!Z95="POR RECOGER"),'AGOSTO 2026'!P95,"")</f>
        <v/>
      </c>
      <c r="J826" s="192" t="str">
        <f aca="false">IF(AND('AGOSTO 2026'!D95&lt;&gt;"",'AGOSTO 2026'!Z95="POR RECOGER"),'AGOSTO 2026'!Q95,"")</f>
        <v/>
      </c>
      <c r="K826" s="192" t="str">
        <f aca="false">IF(AND('AGOSTO 2026'!D95&lt;&gt;"",'AGOSTO 2026'!Z95="POR RECOGER"),'AGOSTO 2026'!Y95,"")</f>
        <v/>
      </c>
      <c r="L826" s="192" t="str">
        <f aca="false">IF(AND('AGOSTO 2026'!D95&lt;&gt;"",'AGOSTO 2026'!Z95="POR RECOGER"),'AGOSTO 2026'!I95,"")</f>
        <v/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" hidden="false" customHeight="true" outlineLevel="0" collapsed="false">
      <c r="A827" s="192" t="str">
        <f aca="false">IF(AND('AGOSTO 2026'!D96&lt;&gt;"",'AGOSTO 2026'!Z96="POR RECOGER"),"AGO","")</f>
        <v/>
      </c>
      <c r="B827" s="192" t="str">
        <f aca="false">IF(AND('AGOSTO 2026'!D96&lt;&gt;"",'AGOSTO 2026'!Z96="POR RECOGER"),IF('AGOSTO 2026'!Y96&lt;&gt;"",'AGOSTO 2026'!Y96,'AGOSTO 2026'!I96),"")</f>
        <v/>
      </c>
      <c r="C827" s="192" t="str">
        <f aca="false">IF(AND('AGOSTO 2026'!D96&lt;&gt;"",'AGOSTO 2026'!Z96="POR RECOGER"),'AGOSTO 2026'!D96,"")</f>
        <v/>
      </c>
      <c r="D827" s="192" t="str">
        <f aca="false">IF(AND('AGOSTO 2026'!D96&lt;&gt;"",'AGOSTO 2026'!Z96="POR RECOGER"),'AGOSTO 2026'!F96,"")</f>
        <v/>
      </c>
      <c r="E827" s="192" t="str">
        <f aca="false">IF(AND('AGOSTO 2026'!D96&lt;&gt;"",'AGOSTO 2026'!Z96="POR RECOGER"),TEXT('AGOSTO 2026'!G96,"DD/MM/YYYY"),"")</f>
        <v/>
      </c>
      <c r="F827" s="192" t="str">
        <f aca="false">IF(AND('AGOSTO 2026'!D96&lt;&gt;"",'AGOSTO 2026'!Z96="POR RECOGER"),'AGOSTO 2026'!K96,"")</f>
        <v/>
      </c>
      <c r="G827" s="193" t="str">
        <f aca="false">IF(AND('AGOSTO 2026'!D96&lt;&gt;"",'AGOSTO 2026'!Z96="POR RECOGER"),'AGOSTO 2026'!M96,"")</f>
        <v/>
      </c>
      <c r="H827" s="193" t="str">
        <f aca="false">IF(AND('AGOSTO 2026'!D96&lt;&gt;"",'AGOSTO 2026'!Z96="POR RECOGER"),'AGOSTO 2026'!N96,"")</f>
        <v/>
      </c>
      <c r="I827" s="192" t="str">
        <f aca="false">IF(AND('AGOSTO 2026'!D96&lt;&gt;"",'AGOSTO 2026'!Z96="POR RECOGER"),'AGOSTO 2026'!P96,"")</f>
        <v/>
      </c>
      <c r="J827" s="192" t="str">
        <f aca="false">IF(AND('AGOSTO 2026'!D96&lt;&gt;"",'AGOSTO 2026'!Z96="POR RECOGER"),'AGOSTO 2026'!Q96,"")</f>
        <v/>
      </c>
      <c r="K827" s="192" t="str">
        <f aca="false">IF(AND('AGOSTO 2026'!D96&lt;&gt;"",'AGOSTO 2026'!Z96="POR RECOGER"),'AGOSTO 2026'!Y96,"")</f>
        <v/>
      </c>
      <c r="L827" s="192" t="str">
        <f aca="false">IF(AND('AGOSTO 2026'!D96&lt;&gt;"",'AGOSTO 2026'!Z96="POR RECOGER"),'AGOSTO 2026'!I96,"")</f>
        <v/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" hidden="false" customHeight="true" outlineLevel="0" collapsed="false">
      <c r="A828" s="192" t="str">
        <f aca="false">IF(AND('AGOSTO 2026'!D97&lt;&gt;"",'AGOSTO 2026'!Z97="POR RECOGER"),"AGO","")</f>
        <v/>
      </c>
      <c r="B828" s="192" t="str">
        <f aca="false">IF(AND('AGOSTO 2026'!D97&lt;&gt;"",'AGOSTO 2026'!Z97="POR RECOGER"),IF('AGOSTO 2026'!Y97&lt;&gt;"",'AGOSTO 2026'!Y97,'AGOSTO 2026'!I97),"")</f>
        <v/>
      </c>
      <c r="C828" s="192" t="str">
        <f aca="false">IF(AND('AGOSTO 2026'!D97&lt;&gt;"",'AGOSTO 2026'!Z97="POR RECOGER"),'AGOSTO 2026'!D97,"")</f>
        <v/>
      </c>
      <c r="D828" s="192" t="str">
        <f aca="false">IF(AND('AGOSTO 2026'!D97&lt;&gt;"",'AGOSTO 2026'!Z97="POR RECOGER"),'AGOSTO 2026'!F97,"")</f>
        <v/>
      </c>
      <c r="E828" s="192" t="str">
        <f aca="false">IF(AND('AGOSTO 2026'!D97&lt;&gt;"",'AGOSTO 2026'!Z97="POR RECOGER"),TEXT('AGOSTO 2026'!G97,"DD/MM/YYYY"),"")</f>
        <v/>
      </c>
      <c r="F828" s="192" t="str">
        <f aca="false">IF(AND('AGOSTO 2026'!D97&lt;&gt;"",'AGOSTO 2026'!Z97="POR RECOGER"),'AGOSTO 2026'!K97,"")</f>
        <v/>
      </c>
      <c r="G828" s="193" t="str">
        <f aca="false">IF(AND('AGOSTO 2026'!D97&lt;&gt;"",'AGOSTO 2026'!Z97="POR RECOGER"),'AGOSTO 2026'!M97,"")</f>
        <v/>
      </c>
      <c r="H828" s="193" t="str">
        <f aca="false">IF(AND('AGOSTO 2026'!D97&lt;&gt;"",'AGOSTO 2026'!Z97="POR RECOGER"),'AGOSTO 2026'!N97,"")</f>
        <v/>
      </c>
      <c r="I828" s="192" t="str">
        <f aca="false">IF(AND('AGOSTO 2026'!D97&lt;&gt;"",'AGOSTO 2026'!Z97="POR RECOGER"),'AGOSTO 2026'!P97,"")</f>
        <v/>
      </c>
      <c r="J828" s="192" t="str">
        <f aca="false">IF(AND('AGOSTO 2026'!D97&lt;&gt;"",'AGOSTO 2026'!Z97="POR RECOGER"),'AGOSTO 2026'!Q97,"")</f>
        <v/>
      </c>
      <c r="K828" s="192" t="str">
        <f aca="false">IF(AND('AGOSTO 2026'!D97&lt;&gt;"",'AGOSTO 2026'!Z97="POR RECOGER"),'AGOSTO 2026'!Y97,"")</f>
        <v/>
      </c>
      <c r="L828" s="192" t="str">
        <f aca="false">IF(AND('AGOSTO 2026'!D97&lt;&gt;"",'AGOSTO 2026'!Z97="POR RECOGER"),'AGOSTO 2026'!I97,"")</f>
        <v/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" hidden="false" customHeight="true" outlineLevel="0" collapsed="false">
      <c r="A829" s="192" t="str">
        <f aca="false">IF(AND('AGOSTO 2026'!D98&lt;&gt;"",'AGOSTO 2026'!Z98="POR RECOGER"),"AGO","")</f>
        <v/>
      </c>
      <c r="B829" s="192" t="str">
        <f aca="false">IF(AND('AGOSTO 2026'!D98&lt;&gt;"",'AGOSTO 2026'!Z98="POR RECOGER"),IF('AGOSTO 2026'!Y98&lt;&gt;"",'AGOSTO 2026'!Y98,'AGOSTO 2026'!I98),"")</f>
        <v/>
      </c>
      <c r="C829" s="192" t="str">
        <f aca="false">IF(AND('AGOSTO 2026'!D98&lt;&gt;"",'AGOSTO 2026'!Z98="POR RECOGER"),'AGOSTO 2026'!D98,"")</f>
        <v/>
      </c>
      <c r="D829" s="192" t="str">
        <f aca="false">IF(AND('AGOSTO 2026'!D98&lt;&gt;"",'AGOSTO 2026'!Z98="POR RECOGER"),'AGOSTO 2026'!F98,"")</f>
        <v/>
      </c>
      <c r="E829" s="192" t="str">
        <f aca="false">IF(AND('AGOSTO 2026'!D98&lt;&gt;"",'AGOSTO 2026'!Z98="POR RECOGER"),TEXT('AGOSTO 2026'!G98,"DD/MM/YYYY"),"")</f>
        <v/>
      </c>
      <c r="F829" s="192" t="str">
        <f aca="false">IF(AND('AGOSTO 2026'!D98&lt;&gt;"",'AGOSTO 2026'!Z98="POR RECOGER"),'AGOSTO 2026'!K98,"")</f>
        <v/>
      </c>
      <c r="G829" s="193" t="str">
        <f aca="false">IF(AND('AGOSTO 2026'!D98&lt;&gt;"",'AGOSTO 2026'!Z98="POR RECOGER"),'AGOSTO 2026'!M98,"")</f>
        <v/>
      </c>
      <c r="H829" s="193" t="str">
        <f aca="false">IF(AND('AGOSTO 2026'!D98&lt;&gt;"",'AGOSTO 2026'!Z98="POR RECOGER"),'AGOSTO 2026'!N98,"")</f>
        <v/>
      </c>
      <c r="I829" s="192" t="str">
        <f aca="false">IF(AND('AGOSTO 2026'!D98&lt;&gt;"",'AGOSTO 2026'!Z98="POR RECOGER"),'AGOSTO 2026'!P98,"")</f>
        <v/>
      </c>
      <c r="J829" s="192" t="str">
        <f aca="false">IF(AND('AGOSTO 2026'!D98&lt;&gt;"",'AGOSTO 2026'!Z98="POR RECOGER"),'AGOSTO 2026'!Q98,"")</f>
        <v/>
      </c>
      <c r="K829" s="192" t="str">
        <f aca="false">IF(AND('AGOSTO 2026'!D98&lt;&gt;"",'AGOSTO 2026'!Z98="POR RECOGER"),'AGOSTO 2026'!Y98,"")</f>
        <v/>
      </c>
      <c r="L829" s="192" t="str">
        <f aca="false">IF(AND('AGOSTO 2026'!D98&lt;&gt;"",'AGOSTO 2026'!Z98="POR RECOGER"),'AGOSTO 2026'!I98,"")</f>
        <v/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" hidden="false" customHeight="true" outlineLevel="0" collapsed="false">
      <c r="A830" s="192" t="str">
        <f aca="false">IF(AND('AGOSTO 2026'!D99&lt;&gt;"",'AGOSTO 2026'!Z99="POR RECOGER"),"AGO","")</f>
        <v/>
      </c>
      <c r="B830" s="192" t="str">
        <f aca="false">IF(AND('AGOSTO 2026'!D99&lt;&gt;"",'AGOSTO 2026'!Z99="POR RECOGER"),IF('AGOSTO 2026'!Y99&lt;&gt;"",'AGOSTO 2026'!Y99,'AGOSTO 2026'!I99),"")</f>
        <v/>
      </c>
      <c r="C830" s="192" t="str">
        <f aca="false">IF(AND('AGOSTO 2026'!D99&lt;&gt;"",'AGOSTO 2026'!Z99="POR RECOGER"),'AGOSTO 2026'!D99,"")</f>
        <v/>
      </c>
      <c r="D830" s="192" t="str">
        <f aca="false">IF(AND('AGOSTO 2026'!D99&lt;&gt;"",'AGOSTO 2026'!Z99="POR RECOGER"),'AGOSTO 2026'!F99,"")</f>
        <v/>
      </c>
      <c r="E830" s="192" t="str">
        <f aca="false">IF(AND('AGOSTO 2026'!D99&lt;&gt;"",'AGOSTO 2026'!Z99="POR RECOGER"),TEXT('AGOSTO 2026'!G99,"DD/MM/YYYY"),"")</f>
        <v/>
      </c>
      <c r="F830" s="192" t="str">
        <f aca="false">IF(AND('AGOSTO 2026'!D99&lt;&gt;"",'AGOSTO 2026'!Z99="POR RECOGER"),'AGOSTO 2026'!K99,"")</f>
        <v/>
      </c>
      <c r="G830" s="193" t="str">
        <f aca="false">IF(AND('AGOSTO 2026'!D99&lt;&gt;"",'AGOSTO 2026'!Z99="POR RECOGER"),'AGOSTO 2026'!M99,"")</f>
        <v/>
      </c>
      <c r="H830" s="193" t="str">
        <f aca="false">IF(AND('AGOSTO 2026'!D99&lt;&gt;"",'AGOSTO 2026'!Z99="POR RECOGER"),'AGOSTO 2026'!N99,"")</f>
        <v/>
      </c>
      <c r="I830" s="192" t="str">
        <f aca="false">IF(AND('AGOSTO 2026'!D99&lt;&gt;"",'AGOSTO 2026'!Z99="POR RECOGER"),'AGOSTO 2026'!P99,"")</f>
        <v/>
      </c>
      <c r="J830" s="192" t="str">
        <f aca="false">IF(AND('AGOSTO 2026'!D99&lt;&gt;"",'AGOSTO 2026'!Z99="POR RECOGER"),'AGOSTO 2026'!Q99,"")</f>
        <v/>
      </c>
      <c r="K830" s="192" t="str">
        <f aca="false">IF(AND('AGOSTO 2026'!D99&lt;&gt;"",'AGOSTO 2026'!Z99="POR RECOGER"),'AGOSTO 2026'!Y99,"")</f>
        <v/>
      </c>
      <c r="L830" s="192" t="str">
        <f aca="false">IF(AND('AGOSTO 2026'!D99&lt;&gt;"",'AGOSTO 2026'!Z99="POR RECOGER"),'AGOSTO 2026'!I99,"")</f>
        <v/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" hidden="false" customHeight="true" outlineLevel="0" collapsed="false">
      <c r="A831" s="192" t="str">
        <f aca="false">IF(AND('AGOSTO 2026'!D100&lt;&gt;"",'AGOSTO 2026'!Z100="POR RECOGER"),"AGO","")</f>
        <v/>
      </c>
      <c r="B831" s="192" t="str">
        <f aca="false">IF(AND('AGOSTO 2026'!D100&lt;&gt;"",'AGOSTO 2026'!Z100="POR RECOGER"),IF('AGOSTO 2026'!Y100&lt;&gt;"",'AGOSTO 2026'!Y100,'AGOSTO 2026'!I100),"")</f>
        <v/>
      </c>
      <c r="C831" s="192" t="str">
        <f aca="false">IF(AND('AGOSTO 2026'!D100&lt;&gt;"",'AGOSTO 2026'!Z100="POR RECOGER"),'AGOSTO 2026'!D100,"")</f>
        <v/>
      </c>
      <c r="D831" s="192" t="str">
        <f aca="false">IF(AND('AGOSTO 2026'!D100&lt;&gt;"",'AGOSTO 2026'!Z100="POR RECOGER"),'AGOSTO 2026'!F100,"")</f>
        <v/>
      </c>
      <c r="E831" s="192" t="str">
        <f aca="false">IF(AND('AGOSTO 2026'!D100&lt;&gt;"",'AGOSTO 2026'!Z100="POR RECOGER"),TEXT('AGOSTO 2026'!G100,"DD/MM/YYYY"),"")</f>
        <v/>
      </c>
      <c r="F831" s="192" t="str">
        <f aca="false">IF(AND('AGOSTO 2026'!D100&lt;&gt;"",'AGOSTO 2026'!Z100="POR RECOGER"),'AGOSTO 2026'!K100,"")</f>
        <v/>
      </c>
      <c r="G831" s="193" t="str">
        <f aca="false">IF(AND('AGOSTO 2026'!D100&lt;&gt;"",'AGOSTO 2026'!Z100="POR RECOGER"),'AGOSTO 2026'!M100,"")</f>
        <v/>
      </c>
      <c r="H831" s="193" t="str">
        <f aca="false">IF(AND('AGOSTO 2026'!D100&lt;&gt;"",'AGOSTO 2026'!Z100="POR RECOGER"),'AGOSTO 2026'!N100,"")</f>
        <v/>
      </c>
      <c r="I831" s="192" t="str">
        <f aca="false">IF(AND('AGOSTO 2026'!D100&lt;&gt;"",'AGOSTO 2026'!Z100="POR RECOGER"),'AGOSTO 2026'!P100,"")</f>
        <v/>
      </c>
      <c r="J831" s="192" t="str">
        <f aca="false">IF(AND('AGOSTO 2026'!D100&lt;&gt;"",'AGOSTO 2026'!Z100="POR RECOGER"),'AGOSTO 2026'!Q100,"")</f>
        <v/>
      </c>
      <c r="K831" s="192" t="str">
        <f aca="false">IF(AND('AGOSTO 2026'!D100&lt;&gt;"",'AGOSTO 2026'!Z100="POR RECOGER"),'AGOSTO 2026'!Y100,"")</f>
        <v/>
      </c>
      <c r="L831" s="192" t="str">
        <f aca="false">IF(AND('AGOSTO 2026'!D100&lt;&gt;"",'AGOSTO 2026'!Z100="POR RECOGER"),'AGOSTO 2026'!I100,"")</f>
        <v/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" hidden="false" customHeight="true" outlineLevel="0" collapsed="false">
      <c r="A832" s="192" t="str">
        <f aca="false">IF(AND('AGOSTO 2026'!D101&lt;&gt;"",'AGOSTO 2026'!Z101="POR RECOGER"),"AGO","")</f>
        <v/>
      </c>
      <c r="B832" s="192" t="str">
        <f aca="false">IF(AND('AGOSTO 2026'!D101&lt;&gt;"",'AGOSTO 2026'!Z101="POR RECOGER"),IF('AGOSTO 2026'!Y101&lt;&gt;"",'AGOSTO 2026'!Y101,'AGOSTO 2026'!I101),"")</f>
        <v/>
      </c>
      <c r="C832" s="192" t="str">
        <f aca="false">IF(AND('AGOSTO 2026'!D101&lt;&gt;"",'AGOSTO 2026'!Z101="POR RECOGER"),'AGOSTO 2026'!D101,"")</f>
        <v/>
      </c>
      <c r="D832" s="192" t="str">
        <f aca="false">IF(AND('AGOSTO 2026'!D101&lt;&gt;"",'AGOSTO 2026'!Z101="POR RECOGER"),'AGOSTO 2026'!F101,"")</f>
        <v/>
      </c>
      <c r="E832" s="192" t="str">
        <f aca="false">IF(AND('AGOSTO 2026'!D101&lt;&gt;"",'AGOSTO 2026'!Z101="POR RECOGER"),TEXT('AGOSTO 2026'!G101,"DD/MM/YYYY"),"")</f>
        <v/>
      </c>
      <c r="F832" s="192" t="str">
        <f aca="false">IF(AND('AGOSTO 2026'!D101&lt;&gt;"",'AGOSTO 2026'!Z101="POR RECOGER"),'AGOSTO 2026'!K101,"")</f>
        <v/>
      </c>
      <c r="G832" s="193" t="str">
        <f aca="false">IF(AND('AGOSTO 2026'!D101&lt;&gt;"",'AGOSTO 2026'!Z101="POR RECOGER"),'AGOSTO 2026'!M101,"")</f>
        <v/>
      </c>
      <c r="H832" s="193" t="str">
        <f aca="false">IF(AND('AGOSTO 2026'!D101&lt;&gt;"",'AGOSTO 2026'!Z101="POR RECOGER"),'AGOSTO 2026'!N101,"")</f>
        <v/>
      </c>
      <c r="I832" s="192" t="str">
        <f aca="false">IF(AND('AGOSTO 2026'!D101&lt;&gt;"",'AGOSTO 2026'!Z101="POR RECOGER"),'AGOSTO 2026'!P101,"")</f>
        <v/>
      </c>
      <c r="J832" s="192" t="str">
        <f aca="false">IF(AND('AGOSTO 2026'!D101&lt;&gt;"",'AGOSTO 2026'!Z101="POR RECOGER"),'AGOSTO 2026'!Q101,"")</f>
        <v/>
      </c>
      <c r="K832" s="192" t="str">
        <f aca="false">IF(AND('AGOSTO 2026'!D101&lt;&gt;"",'AGOSTO 2026'!Z101="POR RECOGER"),'AGOSTO 2026'!Y101,"")</f>
        <v/>
      </c>
      <c r="L832" s="192" t="str">
        <f aca="false">IF(AND('AGOSTO 2026'!D101&lt;&gt;"",'AGOSTO 2026'!Z101="POR RECOGER"),'AGOSTO 2026'!I101,"")</f>
        <v/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" hidden="false" customHeight="true" outlineLevel="0" collapsed="false">
      <c r="A833" s="192" t="str">
        <f aca="false">IF(AND('AGOSTO 2026'!D102&lt;&gt;"",'AGOSTO 2026'!Z102="POR RECOGER"),"AGO","")</f>
        <v/>
      </c>
      <c r="B833" s="192" t="str">
        <f aca="false">IF(AND('AGOSTO 2026'!D102&lt;&gt;"",'AGOSTO 2026'!Z102="POR RECOGER"),IF('AGOSTO 2026'!Y102&lt;&gt;"",'AGOSTO 2026'!Y102,'AGOSTO 2026'!I102),"")</f>
        <v/>
      </c>
      <c r="C833" s="192" t="str">
        <f aca="false">IF(AND('AGOSTO 2026'!D102&lt;&gt;"",'AGOSTO 2026'!Z102="POR RECOGER"),'AGOSTO 2026'!D102,"")</f>
        <v/>
      </c>
      <c r="D833" s="192" t="str">
        <f aca="false">IF(AND('AGOSTO 2026'!D102&lt;&gt;"",'AGOSTO 2026'!Z102="POR RECOGER"),'AGOSTO 2026'!F102,"")</f>
        <v/>
      </c>
      <c r="E833" s="192" t="str">
        <f aca="false">IF(AND('AGOSTO 2026'!D102&lt;&gt;"",'AGOSTO 2026'!Z102="POR RECOGER"),TEXT('AGOSTO 2026'!G102,"DD/MM/YYYY"),"")</f>
        <v/>
      </c>
      <c r="F833" s="192" t="str">
        <f aca="false">IF(AND('AGOSTO 2026'!D102&lt;&gt;"",'AGOSTO 2026'!Z102="POR RECOGER"),'AGOSTO 2026'!K102,"")</f>
        <v/>
      </c>
      <c r="G833" s="193" t="str">
        <f aca="false">IF(AND('AGOSTO 2026'!D102&lt;&gt;"",'AGOSTO 2026'!Z102="POR RECOGER"),'AGOSTO 2026'!M102,"")</f>
        <v/>
      </c>
      <c r="H833" s="193" t="str">
        <f aca="false">IF(AND('AGOSTO 2026'!D102&lt;&gt;"",'AGOSTO 2026'!Z102="POR RECOGER"),'AGOSTO 2026'!N102,"")</f>
        <v/>
      </c>
      <c r="I833" s="192" t="str">
        <f aca="false">IF(AND('AGOSTO 2026'!D102&lt;&gt;"",'AGOSTO 2026'!Z102="POR RECOGER"),'AGOSTO 2026'!P102,"")</f>
        <v/>
      </c>
      <c r="J833" s="192" t="str">
        <f aca="false">IF(AND('AGOSTO 2026'!D102&lt;&gt;"",'AGOSTO 2026'!Z102="POR RECOGER"),'AGOSTO 2026'!Q102,"")</f>
        <v/>
      </c>
      <c r="K833" s="192" t="str">
        <f aca="false">IF(AND('AGOSTO 2026'!D102&lt;&gt;"",'AGOSTO 2026'!Z102="POR RECOGER"),'AGOSTO 2026'!Y102,"")</f>
        <v/>
      </c>
      <c r="L833" s="192" t="str">
        <f aca="false">IF(AND('AGOSTO 2026'!D102&lt;&gt;"",'AGOSTO 2026'!Z102="POR RECOGER"),'AGOSTO 2026'!I102,"")</f>
        <v/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" hidden="false" customHeight="true" outlineLevel="0" collapsed="false">
      <c r="A834" s="192" t="str">
        <f aca="false">IF(AND('AGOSTO 2026'!D103&lt;&gt;"",'AGOSTO 2026'!Z103="POR RECOGER"),"AGO","")</f>
        <v/>
      </c>
      <c r="B834" s="192" t="str">
        <f aca="false">IF(AND('AGOSTO 2026'!D103&lt;&gt;"",'AGOSTO 2026'!Z103="POR RECOGER"),IF('AGOSTO 2026'!Y103&lt;&gt;"",'AGOSTO 2026'!Y103,'AGOSTO 2026'!I103),"")</f>
        <v/>
      </c>
      <c r="C834" s="192" t="str">
        <f aca="false">IF(AND('AGOSTO 2026'!D103&lt;&gt;"",'AGOSTO 2026'!Z103="POR RECOGER"),'AGOSTO 2026'!D103,"")</f>
        <v/>
      </c>
      <c r="D834" s="192" t="str">
        <f aca="false">IF(AND('AGOSTO 2026'!D103&lt;&gt;"",'AGOSTO 2026'!Z103="POR RECOGER"),'AGOSTO 2026'!F103,"")</f>
        <v/>
      </c>
      <c r="E834" s="192" t="str">
        <f aca="false">IF(AND('AGOSTO 2026'!D103&lt;&gt;"",'AGOSTO 2026'!Z103="POR RECOGER"),TEXT('AGOSTO 2026'!G103,"DD/MM/YYYY"),"")</f>
        <v/>
      </c>
      <c r="F834" s="192" t="str">
        <f aca="false">IF(AND('AGOSTO 2026'!D103&lt;&gt;"",'AGOSTO 2026'!Z103="POR RECOGER"),'AGOSTO 2026'!K103,"")</f>
        <v/>
      </c>
      <c r="G834" s="193" t="str">
        <f aca="false">IF(AND('AGOSTO 2026'!D103&lt;&gt;"",'AGOSTO 2026'!Z103="POR RECOGER"),'AGOSTO 2026'!M103,"")</f>
        <v/>
      </c>
      <c r="H834" s="193" t="str">
        <f aca="false">IF(AND('AGOSTO 2026'!D103&lt;&gt;"",'AGOSTO 2026'!Z103="POR RECOGER"),'AGOSTO 2026'!N103,"")</f>
        <v/>
      </c>
      <c r="I834" s="192" t="str">
        <f aca="false">IF(AND('AGOSTO 2026'!D103&lt;&gt;"",'AGOSTO 2026'!Z103="POR RECOGER"),'AGOSTO 2026'!P103,"")</f>
        <v/>
      </c>
      <c r="J834" s="192" t="str">
        <f aca="false">IF(AND('AGOSTO 2026'!D103&lt;&gt;"",'AGOSTO 2026'!Z103="POR RECOGER"),'AGOSTO 2026'!Q103,"")</f>
        <v/>
      </c>
      <c r="K834" s="192" t="str">
        <f aca="false">IF(AND('AGOSTO 2026'!D103&lt;&gt;"",'AGOSTO 2026'!Z103="POR RECOGER"),'AGOSTO 2026'!Y103,"")</f>
        <v/>
      </c>
      <c r="L834" s="192" t="str">
        <f aca="false">IF(AND('AGOSTO 2026'!D103&lt;&gt;"",'AGOSTO 2026'!Z103="POR RECOGER"),'AGOSTO 2026'!I103,"")</f>
        <v/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" hidden="false" customHeight="true" outlineLevel="0" collapsed="false">
      <c r="A835" s="192" t="str">
        <f aca="false">IF(AND('AGOSTO 2026'!D104&lt;&gt;"",'AGOSTO 2026'!Z104="POR RECOGER"),"AGO","")</f>
        <v/>
      </c>
      <c r="B835" s="192" t="str">
        <f aca="false">IF(AND('AGOSTO 2026'!D104&lt;&gt;"",'AGOSTO 2026'!Z104="POR RECOGER"),IF('AGOSTO 2026'!Y104&lt;&gt;"",'AGOSTO 2026'!Y104,'AGOSTO 2026'!I104),"")</f>
        <v/>
      </c>
      <c r="C835" s="192" t="str">
        <f aca="false">IF(AND('AGOSTO 2026'!D104&lt;&gt;"",'AGOSTO 2026'!Z104="POR RECOGER"),'AGOSTO 2026'!D104,"")</f>
        <v/>
      </c>
      <c r="D835" s="192" t="str">
        <f aca="false">IF(AND('AGOSTO 2026'!D104&lt;&gt;"",'AGOSTO 2026'!Z104="POR RECOGER"),'AGOSTO 2026'!F104,"")</f>
        <v/>
      </c>
      <c r="E835" s="192" t="str">
        <f aca="false">IF(AND('AGOSTO 2026'!D104&lt;&gt;"",'AGOSTO 2026'!Z104="POR RECOGER"),TEXT('AGOSTO 2026'!G104,"DD/MM/YYYY"),"")</f>
        <v/>
      </c>
      <c r="F835" s="192" t="str">
        <f aca="false">IF(AND('AGOSTO 2026'!D104&lt;&gt;"",'AGOSTO 2026'!Z104="POR RECOGER"),'AGOSTO 2026'!K104,"")</f>
        <v/>
      </c>
      <c r="G835" s="193" t="str">
        <f aca="false">IF(AND('AGOSTO 2026'!D104&lt;&gt;"",'AGOSTO 2026'!Z104="POR RECOGER"),'AGOSTO 2026'!M104,"")</f>
        <v/>
      </c>
      <c r="H835" s="193" t="str">
        <f aca="false">IF(AND('AGOSTO 2026'!D104&lt;&gt;"",'AGOSTO 2026'!Z104="POR RECOGER"),'AGOSTO 2026'!N104,"")</f>
        <v/>
      </c>
      <c r="I835" s="192" t="str">
        <f aca="false">IF(AND('AGOSTO 2026'!D104&lt;&gt;"",'AGOSTO 2026'!Z104="POR RECOGER"),'AGOSTO 2026'!P104,"")</f>
        <v/>
      </c>
      <c r="J835" s="192" t="str">
        <f aca="false">IF(AND('AGOSTO 2026'!D104&lt;&gt;"",'AGOSTO 2026'!Z104="POR RECOGER"),'AGOSTO 2026'!Q104,"")</f>
        <v/>
      </c>
      <c r="K835" s="192" t="str">
        <f aca="false">IF(AND('AGOSTO 2026'!D104&lt;&gt;"",'AGOSTO 2026'!Z104="POR RECOGER"),'AGOSTO 2026'!Y104,"")</f>
        <v/>
      </c>
      <c r="L835" s="192" t="str">
        <f aca="false">IF(AND('AGOSTO 2026'!D104&lt;&gt;"",'AGOSTO 2026'!Z104="POR RECOGER"),'AGOSTO 2026'!I104,"")</f>
        <v/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" hidden="false" customHeight="true" outlineLevel="0" collapsed="false">
      <c r="A836" s="192" t="str">
        <f aca="false">IF(AND('AGOSTO 2026'!D105&lt;&gt;"",'AGOSTO 2026'!Z105="POR RECOGER"),"AGO","")</f>
        <v/>
      </c>
      <c r="B836" s="192" t="str">
        <f aca="false">IF(AND('AGOSTO 2026'!D105&lt;&gt;"",'AGOSTO 2026'!Z105="POR RECOGER"),IF('AGOSTO 2026'!Y105&lt;&gt;"",'AGOSTO 2026'!Y105,'AGOSTO 2026'!I105),"")</f>
        <v/>
      </c>
      <c r="C836" s="192" t="str">
        <f aca="false">IF(AND('AGOSTO 2026'!D105&lt;&gt;"",'AGOSTO 2026'!Z105="POR RECOGER"),'AGOSTO 2026'!D105,"")</f>
        <v/>
      </c>
      <c r="D836" s="192" t="str">
        <f aca="false">IF(AND('AGOSTO 2026'!D105&lt;&gt;"",'AGOSTO 2026'!Z105="POR RECOGER"),'AGOSTO 2026'!F105,"")</f>
        <v/>
      </c>
      <c r="E836" s="192" t="str">
        <f aca="false">IF(AND('AGOSTO 2026'!D105&lt;&gt;"",'AGOSTO 2026'!Z105="POR RECOGER"),TEXT('AGOSTO 2026'!G105,"DD/MM/YYYY"),"")</f>
        <v/>
      </c>
      <c r="F836" s="192" t="str">
        <f aca="false">IF(AND('AGOSTO 2026'!D105&lt;&gt;"",'AGOSTO 2026'!Z105="POR RECOGER"),'AGOSTO 2026'!K105,"")</f>
        <v/>
      </c>
      <c r="G836" s="193" t="str">
        <f aca="false">IF(AND('AGOSTO 2026'!D105&lt;&gt;"",'AGOSTO 2026'!Z105="POR RECOGER"),'AGOSTO 2026'!M105,"")</f>
        <v/>
      </c>
      <c r="H836" s="193" t="str">
        <f aca="false">IF(AND('AGOSTO 2026'!D105&lt;&gt;"",'AGOSTO 2026'!Z105="POR RECOGER"),'AGOSTO 2026'!N105,"")</f>
        <v/>
      </c>
      <c r="I836" s="192" t="str">
        <f aca="false">IF(AND('AGOSTO 2026'!D105&lt;&gt;"",'AGOSTO 2026'!Z105="POR RECOGER"),'AGOSTO 2026'!P105,"")</f>
        <v/>
      </c>
      <c r="J836" s="192" t="str">
        <f aca="false">IF(AND('AGOSTO 2026'!D105&lt;&gt;"",'AGOSTO 2026'!Z105="POR RECOGER"),'AGOSTO 2026'!Q105,"")</f>
        <v/>
      </c>
      <c r="K836" s="192" t="str">
        <f aca="false">IF(AND('AGOSTO 2026'!D105&lt;&gt;"",'AGOSTO 2026'!Z105="POR RECOGER"),'AGOSTO 2026'!Y105,"")</f>
        <v/>
      </c>
      <c r="L836" s="192" t="str">
        <f aca="false">IF(AND('AGOSTO 2026'!D105&lt;&gt;"",'AGOSTO 2026'!Z105="POR RECOGER"),'AGOSTO 2026'!I105,"")</f>
        <v/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" hidden="false" customHeight="true" outlineLevel="0" collapsed="false">
      <c r="A837" s="192" t="str">
        <f aca="false">IF(AND('AGOSTO 2026'!D106&lt;&gt;"",'AGOSTO 2026'!Z106="POR RECOGER"),"AGO","")</f>
        <v/>
      </c>
      <c r="B837" s="192" t="str">
        <f aca="false">IF(AND('AGOSTO 2026'!D106&lt;&gt;"",'AGOSTO 2026'!Z106="POR RECOGER"),IF('AGOSTO 2026'!Y106&lt;&gt;"",'AGOSTO 2026'!Y106,'AGOSTO 2026'!I106),"")</f>
        <v/>
      </c>
      <c r="C837" s="192" t="str">
        <f aca="false">IF(AND('AGOSTO 2026'!D106&lt;&gt;"",'AGOSTO 2026'!Z106="POR RECOGER"),'AGOSTO 2026'!D106,"")</f>
        <v/>
      </c>
      <c r="D837" s="192" t="str">
        <f aca="false">IF(AND('AGOSTO 2026'!D106&lt;&gt;"",'AGOSTO 2026'!Z106="POR RECOGER"),'AGOSTO 2026'!F106,"")</f>
        <v/>
      </c>
      <c r="E837" s="192" t="str">
        <f aca="false">IF(AND('AGOSTO 2026'!D106&lt;&gt;"",'AGOSTO 2026'!Z106="POR RECOGER"),TEXT('AGOSTO 2026'!G106,"DD/MM/YYYY"),"")</f>
        <v/>
      </c>
      <c r="F837" s="192" t="str">
        <f aca="false">IF(AND('AGOSTO 2026'!D106&lt;&gt;"",'AGOSTO 2026'!Z106="POR RECOGER"),'AGOSTO 2026'!K106,"")</f>
        <v/>
      </c>
      <c r="G837" s="193" t="str">
        <f aca="false">IF(AND('AGOSTO 2026'!D106&lt;&gt;"",'AGOSTO 2026'!Z106="POR RECOGER"),'AGOSTO 2026'!M106,"")</f>
        <v/>
      </c>
      <c r="H837" s="193" t="str">
        <f aca="false">IF(AND('AGOSTO 2026'!D106&lt;&gt;"",'AGOSTO 2026'!Z106="POR RECOGER"),'AGOSTO 2026'!N106,"")</f>
        <v/>
      </c>
      <c r="I837" s="192" t="str">
        <f aca="false">IF(AND('AGOSTO 2026'!D106&lt;&gt;"",'AGOSTO 2026'!Z106="POR RECOGER"),'AGOSTO 2026'!P106,"")</f>
        <v/>
      </c>
      <c r="J837" s="192" t="str">
        <f aca="false">IF(AND('AGOSTO 2026'!D106&lt;&gt;"",'AGOSTO 2026'!Z106="POR RECOGER"),'AGOSTO 2026'!Q106,"")</f>
        <v/>
      </c>
      <c r="K837" s="192" t="str">
        <f aca="false">IF(AND('AGOSTO 2026'!D106&lt;&gt;"",'AGOSTO 2026'!Z106="POR RECOGER"),'AGOSTO 2026'!Y106,"")</f>
        <v/>
      </c>
      <c r="L837" s="192" t="str">
        <f aca="false">IF(AND('AGOSTO 2026'!D106&lt;&gt;"",'AGOSTO 2026'!Z106="POR RECOGER"),'AGOSTO 2026'!I106,"")</f>
        <v/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" hidden="false" customHeight="true" outlineLevel="0" collapsed="false">
      <c r="A838" s="192" t="str">
        <f aca="false">IF(AND('AGOSTO 2026'!D107&lt;&gt;"",'AGOSTO 2026'!Z107="POR RECOGER"),"AGO","")</f>
        <v/>
      </c>
      <c r="B838" s="192" t="str">
        <f aca="false">IF(AND('AGOSTO 2026'!D107&lt;&gt;"",'AGOSTO 2026'!Z107="POR RECOGER"),IF('AGOSTO 2026'!Y107&lt;&gt;"",'AGOSTO 2026'!Y107,'AGOSTO 2026'!I107),"")</f>
        <v/>
      </c>
      <c r="C838" s="192" t="str">
        <f aca="false">IF(AND('AGOSTO 2026'!D107&lt;&gt;"",'AGOSTO 2026'!Z107="POR RECOGER"),'AGOSTO 2026'!D107,"")</f>
        <v/>
      </c>
      <c r="D838" s="192" t="str">
        <f aca="false">IF(AND('AGOSTO 2026'!D107&lt;&gt;"",'AGOSTO 2026'!Z107="POR RECOGER"),'AGOSTO 2026'!F107,"")</f>
        <v/>
      </c>
      <c r="E838" s="192" t="str">
        <f aca="false">IF(AND('AGOSTO 2026'!D107&lt;&gt;"",'AGOSTO 2026'!Z107="POR RECOGER"),TEXT('AGOSTO 2026'!G107,"DD/MM/YYYY"),"")</f>
        <v/>
      </c>
      <c r="F838" s="192" t="str">
        <f aca="false">IF(AND('AGOSTO 2026'!D107&lt;&gt;"",'AGOSTO 2026'!Z107="POR RECOGER"),'AGOSTO 2026'!K107,"")</f>
        <v/>
      </c>
      <c r="G838" s="193" t="str">
        <f aca="false">IF(AND('AGOSTO 2026'!D107&lt;&gt;"",'AGOSTO 2026'!Z107="POR RECOGER"),'AGOSTO 2026'!M107,"")</f>
        <v/>
      </c>
      <c r="H838" s="193" t="str">
        <f aca="false">IF(AND('AGOSTO 2026'!D107&lt;&gt;"",'AGOSTO 2026'!Z107="POR RECOGER"),'AGOSTO 2026'!N107,"")</f>
        <v/>
      </c>
      <c r="I838" s="192" t="str">
        <f aca="false">IF(AND('AGOSTO 2026'!D107&lt;&gt;"",'AGOSTO 2026'!Z107="POR RECOGER"),'AGOSTO 2026'!P107,"")</f>
        <v/>
      </c>
      <c r="J838" s="192" t="str">
        <f aca="false">IF(AND('AGOSTO 2026'!D107&lt;&gt;"",'AGOSTO 2026'!Z107="POR RECOGER"),'AGOSTO 2026'!Q107,"")</f>
        <v/>
      </c>
      <c r="K838" s="192" t="str">
        <f aca="false">IF(AND('AGOSTO 2026'!D107&lt;&gt;"",'AGOSTO 2026'!Z107="POR RECOGER"),'AGOSTO 2026'!Y107,"")</f>
        <v/>
      </c>
      <c r="L838" s="192" t="str">
        <f aca="false">IF(AND('AGOSTO 2026'!D107&lt;&gt;"",'AGOSTO 2026'!Z107="POR RECOGER"),'AGOSTO 2026'!I107,"")</f>
        <v/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" hidden="false" customHeight="true" outlineLevel="0" collapsed="false">
      <c r="A839" s="192" t="str">
        <f aca="false">IF(AND('AGOSTO 2026'!D108&lt;&gt;"",'AGOSTO 2026'!Z108="POR RECOGER"),"AGO","")</f>
        <v/>
      </c>
      <c r="B839" s="192" t="str">
        <f aca="false">IF(AND('AGOSTO 2026'!D108&lt;&gt;"",'AGOSTO 2026'!Z108="POR RECOGER"),IF('AGOSTO 2026'!Y108&lt;&gt;"",'AGOSTO 2026'!Y108,'AGOSTO 2026'!I108),"")</f>
        <v/>
      </c>
      <c r="C839" s="192" t="str">
        <f aca="false">IF(AND('AGOSTO 2026'!D108&lt;&gt;"",'AGOSTO 2026'!Z108="POR RECOGER"),'AGOSTO 2026'!D108,"")</f>
        <v/>
      </c>
      <c r="D839" s="192" t="str">
        <f aca="false">IF(AND('AGOSTO 2026'!D108&lt;&gt;"",'AGOSTO 2026'!Z108="POR RECOGER"),'AGOSTO 2026'!F108,"")</f>
        <v/>
      </c>
      <c r="E839" s="192" t="str">
        <f aca="false">IF(AND('AGOSTO 2026'!D108&lt;&gt;"",'AGOSTO 2026'!Z108="POR RECOGER"),TEXT('AGOSTO 2026'!G108,"DD/MM/YYYY"),"")</f>
        <v/>
      </c>
      <c r="F839" s="192" t="str">
        <f aca="false">IF(AND('AGOSTO 2026'!D108&lt;&gt;"",'AGOSTO 2026'!Z108="POR RECOGER"),'AGOSTO 2026'!K108,"")</f>
        <v/>
      </c>
      <c r="G839" s="193" t="str">
        <f aca="false">IF(AND('AGOSTO 2026'!D108&lt;&gt;"",'AGOSTO 2026'!Z108="POR RECOGER"),'AGOSTO 2026'!M108,"")</f>
        <v/>
      </c>
      <c r="H839" s="193" t="str">
        <f aca="false">IF(AND('AGOSTO 2026'!D108&lt;&gt;"",'AGOSTO 2026'!Z108="POR RECOGER"),'AGOSTO 2026'!N108,"")</f>
        <v/>
      </c>
      <c r="I839" s="192" t="str">
        <f aca="false">IF(AND('AGOSTO 2026'!D108&lt;&gt;"",'AGOSTO 2026'!Z108="POR RECOGER"),'AGOSTO 2026'!P108,"")</f>
        <v/>
      </c>
      <c r="J839" s="192" t="str">
        <f aca="false">IF(AND('AGOSTO 2026'!D108&lt;&gt;"",'AGOSTO 2026'!Z108="POR RECOGER"),'AGOSTO 2026'!Q108,"")</f>
        <v/>
      </c>
      <c r="K839" s="192" t="str">
        <f aca="false">IF(AND('AGOSTO 2026'!D108&lt;&gt;"",'AGOSTO 2026'!Z108="POR RECOGER"),'AGOSTO 2026'!Y108,"")</f>
        <v/>
      </c>
      <c r="L839" s="192" t="str">
        <f aca="false">IF(AND('AGOSTO 2026'!D108&lt;&gt;"",'AGOSTO 2026'!Z108="POR RECOGER"),'AGOSTO 2026'!I108,"")</f>
        <v/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" hidden="false" customHeight="true" outlineLevel="0" collapsed="false">
      <c r="A840" s="192" t="str">
        <f aca="false">IF(AND('AGOSTO 2026'!D109&lt;&gt;"",'AGOSTO 2026'!Z109="POR RECOGER"),"AGO","")</f>
        <v/>
      </c>
      <c r="B840" s="192" t="str">
        <f aca="false">IF(AND('AGOSTO 2026'!D109&lt;&gt;"",'AGOSTO 2026'!Z109="POR RECOGER"),IF('AGOSTO 2026'!Y109&lt;&gt;"",'AGOSTO 2026'!Y109,'AGOSTO 2026'!I109),"")</f>
        <v/>
      </c>
      <c r="C840" s="192" t="str">
        <f aca="false">IF(AND('AGOSTO 2026'!D109&lt;&gt;"",'AGOSTO 2026'!Z109="POR RECOGER"),'AGOSTO 2026'!D109,"")</f>
        <v/>
      </c>
      <c r="D840" s="192" t="str">
        <f aca="false">IF(AND('AGOSTO 2026'!D109&lt;&gt;"",'AGOSTO 2026'!Z109="POR RECOGER"),'AGOSTO 2026'!F109,"")</f>
        <v/>
      </c>
      <c r="E840" s="192" t="str">
        <f aca="false">IF(AND('AGOSTO 2026'!D109&lt;&gt;"",'AGOSTO 2026'!Z109="POR RECOGER"),TEXT('AGOSTO 2026'!G109,"DD/MM/YYYY"),"")</f>
        <v/>
      </c>
      <c r="F840" s="192" t="str">
        <f aca="false">IF(AND('AGOSTO 2026'!D109&lt;&gt;"",'AGOSTO 2026'!Z109="POR RECOGER"),'AGOSTO 2026'!K109,"")</f>
        <v/>
      </c>
      <c r="G840" s="193" t="str">
        <f aca="false">IF(AND('AGOSTO 2026'!D109&lt;&gt;"",'AGOSTO 2026'!Z109="POR RECOGER"),'AGOSTO 2026'!M109,"")</f>
        <v/>
      </c>
      <c r="H840" s="193" t="str">
        <f aca="false">IF(AND('AGOSTO 2026'!D109&lt;&gt;"",'AGOSTO 2026'!Z109="POR RECOGER"),'AGOSTO 2026'!N109,"")</f>
        <v/>
      </c>
      <c r="I840" s="192" t="str">
        <f aca="false">IF(AND('AGOSTO 2026'!D109&lt;&gt;"",'AGOSTO 2026'!Z109="POR RECOGER"),'AGOSTO 2026'!P109,"")</f>
        <v/>
      </c>
      <c r="J840" s="192" t="str">
        <f aca="false">IF(AND('AGOSTO 2026'!D109&lt;&gt;"",'AGOSTO 2026'!Z109="POR RECOGER"),'AGOSTO 2026'!Q109,"")</f>
        <v/>
      </c>
      <c r="K840" s="192" t="str">
        <f aca="false">IF(AND('AGOSTO 2026'!D109&lt;&gt;"",'AGOSTO 2026'!Z109="POR RECOGER"),'AGOSTO 2026'!Y109,"")</f>
        <v/>
      </c>
      <c r="L840" s="192" t="str">
        <f aca="false">IF(AND('AGOSTO 2026'!D109&lt;&gt;"",'AGOSTO 2026'!Z109="POR RECOGER"),'AGOSTO 2026'!I109,"")</f>
        <v/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" hidden="false" customHeight="true" outlineLevel="0" collapsed="false">
      <c r="A841" s="192" t="str">
        <f aca="false">IF(AND('AGOSTO 2026'!D110&lt;&gt;"",'AGOSTO 2026'!Z110="POR RECOGER"),"AGO","")</f>
        <v/>
      </c>
      <c r="B841" s="192" t="str">
        <f aca="false">IF(AND('AGOSTO 2026'!D110&lt;&gt;"",'AGOSTO 2026'!Z110="POR RECOGER"),IF('AGOSTO 2026'!Y110&lt;&gt;"",'AGOSTO 2026'!Y110,'AGOSTO 2026'!I110),"")</f>
        <v/>
      </c>
      <c r="C841" s="192" t="str">
        <f aca="false">IF(AND('AGOSTO 2026'!D110&lt;&gt;"",'AGOSTO 2026'!Z110="POR RECOGER"),'AGOSTO 2026'!D110,"")</f>
        <v/>
      </c>
      <c r="D841" s="192" t="str">
        <f aca="false">IF(AND('AGOSTO 2026'!D110&lt;&gt;"",'AGOSTO 2026'!Z110="POR RECOGER"),'AGOSTO 2026'!F110,"")</f>
        <v/>
      </c>
      <c r="E841" s="192" t="str">
        <f aca="false">IF(AND('AGOSTO 2026'!D110&lt;&gt;"",'AGOSTO 2026'!Z110="POR RECOGER"),TEXT('AGOSTO 2026'!G110,"DD/MM/YYYY"),"")</f>
        <v/>
      </c>
      <c r="F841" s="192" t="str">
        <f aca="false">IF(AND('AGOSTO 2026'!D110&lt;&gt;"",'AGOSTO 2026'!Z110="POR RECOGER"),'AGOSTO 2026'!K110,"")</f>
        <v/>
      </c>
      <c r="G841" s="193" t="str">
        <f aca="false">IF(AND('AGOSTO 2026'!D110&lt;&gt;"",'AGOSTO 2026'!Z110="POR RECOGER"),'AGOSTO 2026'!M110,"")</f>
        <v/>
      </c>
      <c r="H841" s="193" t="str">
        <f aca="false">IF(AND('AGOSTO 2026'!D110&lt;&gt;"",'AGOSTO 2026'!Z110="POR RECOGER"),'AGOSTO 2026'!N110,"")</f>
        <v/>
      </c>
      <c r="I841" s="192" t="str">
        <f aca="false">IF(AND('AGOSTO 2026'!D110&lt;&gt;"",'AGOSTO 2026'!Z110="POR RECOGER"),'AGOSTO 2026'!P110,"")</f>
        <v/>
      </c>
      <c r="J841" s="192" t="str">
        <f aca="false">IF(AND('AGOSTO 2026'!D110&lt;&gt;"",'AGOSTO 2026'!Z110="POR RECOGER"),'AGOSTO 2026'!Q110,"")</f>
        <v/>
      </c>
      <c r="K841" s="192" t="str">
        <f aca="false">IF(AND('AGOSTO 2026'!D110&lt;&gt;"",'AGOSTO 2026'!Z110="POR RECOGER"),'AGOSTO 2026'!Y110,"")</f>
        <v/>
      </c>
      <c r="L841" s="192" t="str">
        <f aca="false">IF(AND('AGOSTO 2026'!D110&lt;&gt;"",'AGOSTO 2026'!Z110="POR RECOGER"),'AGOSTO 2026'!I110,"")</f>
        <v/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" hidden="false" customHeight="true" outlineLevel="0" collapsed="false">
      <c r="A842" s="192" t="str">
        <f aca="false">IF(AND('SETIEMBRE 2026'!D6&lt;&gt;"",'SETIEMBRE 2026'!Z6="POR RECOGER"),"SET","")</f>
        <v/>
      </c>
      <c r="B842" s="192" t="str">
        <f aca="false">IF(AND('SETIEMBRE 2026'!D6&lt;&gt;"",'SETIEMBRE 2026'!Z6="POR RECOGER"),IF('SETIEMBRE 2026'!Y6&lt;&gt;"",'SETIEMBRE 2026'!Y6,'SETIEMBRE 2026'!I6),"")</f>
        <v/>
      </c>
      <c r="C842" s="192" t="str">
        <f aca="false">IF(AND('SETIEMBRE 2026'!D6&lt;&gt;"",'SETIEMBRE 2026'!Z6="POR RECOGER"),'SETIEMBRE 2026'!D6,"")</f>
        <v/>
      </c>
      <c r="D842" s="192" t="str">
        <f aca="false">IF(AND('SETIEMBRE 2026'!D6&lt;&gt;"",'SETIEMBRE 2026'!Z6="POR RECOGER"),'SETIEMBRE 2026'!F6,"")</f>
        <v/>
      </c>
      <c r="E842" s="192" t="str">
        <f aca="false">IF(AND('SETIEMBRE 2026'!D6&lt;&gt;"",'SETIEMBRE 2026'!Z6="POR RECOGER"),TEXT('SETIEMBRE 2026'!G6,"DD/MM/YYYY"),"")</f>
        <v/>
      </c>
      <c r="F842" s="192" t="str">
        <f aca="false">IF(AND('SETIEMBRE 2026'!D6&lt;&gt;"",'SETIEMBRE 2026'!Z6="POR RECOGER"),'SETIEMBRE 2026'!K6,"")</f>
        <v/>
      </c>
      <c r="G842" s="193" t="str">
        <f aca="false">IF(AND('SETIEMBRE 2026'!D6&lt;&gt;"",'SETIEMBRE 2026'!Z6="POR RECOGER"),'SETIEMBRE 2026'!M6,"")</f>
        <v/>
      </c>
      <c r="H842" s="193" t="str">
        <f aca="false">IF(AND('SETIEMBRE 2026'!D6&lt;&gt;"",'SETIEMBRE 2026'!Z6="POR RECOGER"),'SETIEMBRE 2026'!N6,"")</f>
        <v/>
      </c>
      <c r="I842" s="192" t="str">
        <f aca="false">IF(AND('SETIEMBRE 2026'!D6&lt;&gt;"",'SETIEMBRE 2026'!Z6="POR RECOGER"),'SETIEMBRE 2026'!P6,"")</f>
        <v/>
      </c>
      <c r="J842" s="192" t="str">
        <f aca="false">IF(AND('SETIEMBRE 2026'!D6&lt;&gt;"",'SETIEMBRE 2026'!Z6="POR RECOGER"),'SETIEMBRE 2026'!Q6,"")</f>
        <v/>
      </c>
      <c r="K842" s="192" t="str">
        <f aca="false">IF(AND('SETIEMBRE 2026'!D6&lt;&gt;"",'SETIEMBRE 2026'!Z6="POR RECOGER"),'SETIEMBRE 2026'!Y6,"")</f>
        <v/>
      </c>
      <c r="L842" s="192" t="str">
        <f aca="false">IF(AND('SETIEMBRE 2026'!D6&lt;&gt;"",'SETIEMBRE 2026'!Z6="POR RECOGER"),'SETIEMBRE 2026'!I6,"")</f>
        <v/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" hidden="false" customHeight="true" outlineLevel="0" collapsed="false">
      <c r="A843" s="192" t="str">
        <f aca="false">IF(AND('SETIEMBRE 2026'!D7&lt;&gt;"",'SETIEMBRE 2026'!Z7="POR RECOGER"),"SET","")</f>
        <v/>
      </c>
      <c r="B843" s="192" t="str">
        <f aca="false">IF(AND('SETIEMBRE 2026'!D7&lt;&gt;"",'SETIEMBRE 2026'!Z7="POR RECOGER"),IF('SETIEMBRE 2026'!Y7&lt;&gt;"",'SETIEMBRE 2026'!Y7,'SETIEMBRE 2026'!I7),"")</f>
        <v/>
      </c>
      <c r="C843" s="192" t="str">
        <f aca="false">IF(AND('SETIEMBRE 2026'!D7&lt;&gt;"",'SETIEMBRE 2026'!Z7="POR RECOGER"),'SETIEMBRE 2026'!D7,"")</f>
        <v/>
      </c>
      <c r="D843" s="192" t="str">
        <f aca="false">IF(AND('SETIEMBRE 2026'!D7&lt;&gt;"",'SETIEMBRE 2026'!Z7="POR RECOGER"),'SETIEMBRE 2026'!F7,"")</f>
        <v/>
      </c>
      <c r="E843" s="192" t="str">
        <f aca="false">IF(AND('SETIEMBRE 2026'!D7&lt;&gt;"",'SETIEMBRE 2026'!Z7="POR RECOGER"),TEXT('SETIEMBRE 2026'!G7,"DD/MM/YYYY"),"")</f>
        <v/>
      </c>
      <c r="F843" s="192" t="str">
        <f aca="false">IF(AND('SETIEMBRE 2026'!D7&lt;&gt;"",'SETIEMBRE 2026'!Z7="POR RECOGER"),'SETIEMBRE 2026'!K7,"")</f>
        <v/>
      </c>
      <c r="G843" s="193" t="str">
        <f aca="false">IF(AND('SETIEMBRE 2026'!D7&lt;&gt;"",'SETIEMBRE 2026'!Z7="POR RECOGER"),'SETIEMBRE 2026'!M7,"")</f>
        <v/>
      </c>
      <c r="H843" s="193" t="str">
        <f aca="false">IF(AND('SETIEMBRE 2026'!D7&lt;&gt;"",'SETIEMBRE 2026'!Z7="POR RECOGER"),'SETIEMBRE 2026'!N7,"")</f>
        <v/>
      </c>
      <c r="I843" s="192" t="str">
        <f aca="false">IF(AND('SETIEMBRE 2026'!D7&lt;&gt;"",'SETIEMBRE 2026'!Z7="POR RECOGER"),'SETIEMBRE 2026'!P7,"")</f>
        <v/>
      </c>
      <c r="J843" s="192" t="str">
        <f aca="false">IF(AND('SETIEMBRE 2026'!D7&lt;&gt;"",'SETIEMBRE 2026'!Z7="POR RECOGER"),'SETIEMBRE 2026'!Q7,"")</f>
        <v/>
      </c>
      <c r="K843" s="192" t="str">
        <f aca="false">IF(AND('SETIEMBRE 2026'!D7&lt;&gt;"",'SETIEMBRE 2026'!Z7="POR RECOGER"),'SETIEMBRE 2026'!Y7,"")</f>
        <v/>
      </c>
      <c r="L843" s="192" t="str">
        <f aca="false">IF(AND('SETIEMBRE 2026'!D7&lt;&gt;"",'SETIEMBRE 2026'!Z7="POR RECOGER"),'SETIEMBRE 2026'!I7,"")</f>
        <v/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" hidden="false" customHeight="true" outlineLevel="0" collapsed="false">
      <c r="A844" s="192" t="str">
        <f aca="false">IF(AND('SETIEMBRE 2026'!D8&lt;&gt;"",'SETIEMBRE 2026'!Z8="POR RECOGER"),"SET","")</f>
        <v/>
      </c>
      <c r="B844" s="192" t="str">
        <f aca="false">IF(AND('SETIEMBRE 2026'!D8&lt;&gt;"",'SETIEMBRE 2026'!Z8="POR RECOGER"),IF('SETIEMBRE 2026'!Y8&lt;&gt;"",'SETIEMBRE 2026'!Y8,'SETIEMBRE 2026'!I8),"")</f>
        <v/>
      </c>
      <c r="C844" s="192" t="str">
        <f aca="false">IF(AND('SETIEMBRE 2026'!D8&lt;&gt;"",'SETIEMBRE 2026'!Z8="POR RECOGER"),'SETIEMBRE 2026'!D8,"")</f>
        <v/>
      </c>
      <c r="D844" s="192" t="str">
        <f aca="false">IF(AND('SETIEMBRE 2026'!D8&lt;&gt;"",'SETIEMBRE 2026'!Z8="POR RECOGER"),'SETIEMBRE 2026'!F8,"")</f>
        <v/>
      </c>
      <c r="E844" s="192" t="str">
        <f aca="false">IF(AND('SETIEMBRE 2026'!D8&lt;&gt;"",'SETIEMBRE 2026'!Z8="POR RECOGER"),TEXT('SETIEMBRE 2026'!G8,"DD/MM/YYYY"),"")</f>
        <v/>
      </c>
      <c r="F844" s="192" t="str">
        <f aca="false">IF(AND('SETIEMBRE 2026'!D8&lt;&gt;"",'SETIEMBRE 2026'!Z8="POR RECOGER"),'SETIEMBRE 2026'!K8,"")</f>
        <v/>
      </c>
      <c r="G844" s="193" t="str">
        <f aca="false">IF(AND('SETIEMBRE 2026'!D8&lt;&gt;"",'SETIEMBRE 2026'!Z8="POR RECOGER"),'SETIEMBRE 2026'!M8,"")</f>
        <v/>
      </c>
      <c r="H844" s="193" t="str">
        <f aca="false">IF(AND('SETIEMBRE 2026'!D8&lt;&gt;"",'SETIEMBRE 2026'!Z8="POR RECOGER"),'SETIEMBRE 2026'!N8,"")</f>
        <v/>
      </c>
      <c r="I844" s="192" t="str">
        <f aca="false">IF(AND('SETIEMBRE 2026'!D8&lt;&gt;"",'SETIEMBRE 2026'!Z8="POR RECOGER"),'SETIEMBRE 2026'!P8,"")</f>
        <v/>
      </c>
      <c r="J844" s="192" t="str">
        <f aca="false">IF(AND('SETIEMBRE 2026'!D8&lt;&gt;"",'SETIEMBRE 2026'!Z8="POR RECOGER"),'SETIEMBRE 2026'!Q8,"")</f>
        <v/>
      </c>
      <c r="K844" s="192" t="str">
        <f aca="false">IF(AND('SETIEMBRE 2026'!D8&lt;&gt;"",'SETIEMBRE 2026'!Z8="POR RECOGER"),'SETIEMBRE 2026'!Y8,"")</f>
        <v/>
      </c>
      <c r="L844" s="192" t="str">
        <f aca="false">IF(AND('SETIEMBRE 2026'!D8&lt;&gt;"",'SETIEMBRE 2026'!Z8="POR RECOGER"),'SETIEMBRE 2026'!I8,"")</f>
        <v/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" hidden="false" customHeight="true" outlineLevel="0" collapsed="false">
      <c r="A845" s="192" t="str">
        <f aca="false">IF(AND('SETIEMBRE 2026'!D9&lt;&gt;"",'SETIEMBRE 2026'!Z9="POR RECOGER"),"SET","")</f>
        <v/>
      </c>
      <c r="B845" s="192" t="str">
        <f aca="false">IF(AND('SETIEMBRE 2026'!D9&lt;&gt;"",'SETIEMBRE 2026'!Z9="POR RECOGER"),IF('SETIEMBRE 2026'!Y9&lt;&gt;"",'SETIEMBRE 2026'!Y9,'SETIEMBRE 2026'!I9),"")</f>
        <v/>
      </c>
      <c r="C845" s="192" t="str">
        <f aca="false">IF(AND('SETIEMBRE 2026'!D9&lt;&gt;"",'SETIEMBRE 2026'!Z9="POR RECOGER"),'SETIEMBRE 2026'!D9,"")</f>
        <v/>
      </c>
      <c r="D845" s="192" t="str">
        <f aca="false">IF(AND('SETIEMBRE 2026'!D9&lt;&gt;"",'SETIEMBRE 2026'!Z9="POR RECOGER"),'SETIEMBRE 2026'!F9,"")</f>
        <v/>
      </c>
      <c r="E845" s="192" t="str">
        <f aca="false">IF(AND('SETIEMBRE 2026'!D9&lt;&gt;"",'SETIEMBRE 2026'!Z9="POR RECOGER"),TEXT('SETIEMBRE 2026'!G9,"DD/MM/YYYY"),"")</f>
        <v/>
      </c>
      <c r="F845" s="192" t="str">
        <f aca="false">IF(AND('SETIEMBRE 2026'!D9&lt;&gt;"",'SETIEMBRE 2026'!Z9="POR RECOGER"),'SETIEMBRE 2026'!K9,"")</f>
        <v/>
      </c>
      <c r="G845" s="193" t="str">
        <f aca="false">IF(AND('SETIEMBRE 2026'!D9&lt;&gt;"",'SETIEMBRE 2026'!Z9="POR RECOGER"),'SETIEMBRE 2026'!M9,"")</f>
        <v/>
      </c>
      <c r="H845" s="193" t="str">
        <f aca="false">IF(AND('SETIEMBRE 2026'!D9&lt;&gt;"",'SETIEMBRE 2026'!Z9="POR RECOGER"),'SETIEMBRE 2026'!N9,"")</f>
        <v/>
      </c>
      <c r="I845" s="192" t="str">
        <f aca="false">IF(AND('SETIEMBRE 2026'!D9&lt;&gt;"",'SETIEMBRE 2026'!Z9="POR RECOGER"),'SETIEMBRE 2026'!P9,"")</f>
        <v/>
      </c>
      <c r="J845" s="192" t="str">
        <f aca="false">IF(AND('SETIEMBRE 2026'!D9&lt;&gt;"",'SETIEMBRE 2026'!Z9="POR RECOGER"),'SETIEMBRE 2026'!Q9,"")</f>
        <v/>
      </c>
      <c r="K845" s="192" t="str">
        <f aca="false">IF(AND('SETIEMBRE 2026'!D9&lt;&gt;"",'SETIEMBRE 2026'!Z9="POR RECOGER"),'SETIEMBRE 2026'!Y9,"")</f>
        <v/>
      </c>
      <c r="L845" s="192" t="str">
        <f aca="false">IF(AND('SETIEMBRE 2026'!D9&lt;&gt;"",'SETIEMBRE 2026'!Z9="POR RECOGER"),'SETIEMBRE 2026'!I9,"")</f>
        <v/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" hidden="false" customHeight="true" outlineLevel="0" collapsed="false">
      <c r="A846" s="192" t="str">
        <f aca="false">IF(AND('SETIEMBRE 2026'!D10&lt;&gt;"",'SETIEMBRE 2026'!Z10="POR RECOGER"),"SET","")</f>
        <v/>
      </c>
      <c r="B846" s="192" t="str">
        <f aca="false">IF(AND('SETIEMBRE 2026'!D10&lt;&gt;"",'SETIEMBRE 2026'!Z10="POR RECOGER"),IF('SETIEMBRE 2026'!Y10&lt;&gt;"",'SETIEMBRE 2026'!Y10,'SETIEMBRE 2026'!I10),"")</f>
        <v/>
      </c>
      <c r="C846" s="192" t="str">
        <f aca="false">IF(AND('SETIEMBRE 2026'!D10&lt;&gt;"",'SETIEMBRE 2026'!Z10="POR RECOGER"),'SETIEMBRE 2026'!D10,"")</f>
        <v/>
      </c>
      <c r="D846" s="192" t="str">
        <f aca="false">IF(AND('SETIEMBRE 2026'!D10&lt;&gt;"",'SETIEMBRE 2026'!Z10="POR RECOGER"),'SETIEMBRE 2026'!F10,"")</f>
        <v/>
      </c>
      <c r="E846" s="192" t="str">
        <f aca="false">IF(AND('SETIEMBRE 2026'!D10&lt;&gt;"",'SETIEMBRE 2026'!Z10="POR RECOGER"),TEXT('SETIEMBRE 2026'!G10,"DD/MM/YYYY"),"")</f>
        <v/>
      </c>
      <c r="F846" s="192" t="str">
        <f aca="false">IF(AND('SETIEMBRE 2026'!D10&lt;&gt;"",'SETIEMBRE 2026'!Z10="POR RECOGER"),'SETIEMBRE 2026'!K10,"")</f>
        <v/>
      </c>
      <c r="G846" s="193" t="str">
        <f aca="false">IF(AND('SETIEMBRE 2026'!D10&lt;&gt;"",'SETIEMBRE 2026'!Z10="POR RECOGER"),'SETIEMBRE 2026'!M10,"")</f>
        <v/>
      </c>
      <c r="H846" s="193" t="str">
        <f aca="false">IF(AND('SETIEMBRE 2026'!D10&lt;&gt;"",'SETIEMBRE 2026'!Z10="POR RECOGER"),'SETIEMBRE 2026'!N10,"")</f>
        <v/>
      </c>
      <c r="I846" s="192" t="str">
        <f aca="false">IF(AND('SETIEMBRE 2026'!D10&lt;&gt;"",'SETIEMBRE 2026'!Z10="POR RECOGER"),'SETIEMBRE 2026'!P10,"")</f>
        <v/>
      </c>
      <c r="J846" s="192" t="str">
        <f aca="false">IF(AND('SETIEMBRE 2026'!D10&lt;&gt;"",'SETIEMBRE 2026'!Z10="POR RECOGER"),'SETIEMBRE 2026'!Q10,"")</f>
        <v/>
      </c>
      <c r="K846" s="192" t="str">
        <f aca="false">IF(AND('SETIEMBRE 2026'!D10&lt;&gt;"",'SETIEMBRE 2026'!Z10="POR RECOGER"),'SETIEMBRE 2026'!Y10,"")</f>
        <v/>
      </c>
      <c r="L846" s="192" t="str">
        <f aca="false">IF(AND('SETIEMBRE 2026'!D10&lt;&gt;"",'SETIEMBRE 2026'!Z10="POR RECOGER"),'SETIEMBRE 2026'!I10,"")</f>
        <v/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" hidden="false" customHeight="true" outlineLevel="0" collapsed="false">
      <c r="A847" s="192" t="str">
        <f aca="false">IF(AND('SETIEMBRE 2026'!D11&lt;&gt;"",'SETIEMBRE 2026'!Z11="POR RECOGER"),"SET","")</f>
        <v/>
      </c>
      <c r="B847" s="192" t="str">
        <f aca="false">IF(AND('SETIEMBRE 2026'!D11&lt;&gt;"",'SETIEMBRE 2026'!Z11="POR RECOGER"),IF('SETIEMBRE 2026'!Y11&lt;&gt;"",'SETIEMBRE 2026'!Y11,'SETIEMBRE 2026'!I11),"")</f>
        <v/>
      </c>
      <c r="C847" s="192" t="str">
        <f aca="false">IF(AND('SETIEMBRE 2026'!D11&lt;&gt;"",'SETIEMBRE 2026'!Z11="POR RECOGER"),'SETIEMBRE 2026'!D11,"")</f>
        <v/>
      </c>
      <c r="D847" s="192" t="str">
        <f aca="false">IF(AND('SETIEMBRE 2026'!D11&lt;&gt;"",'SETIEMBRE 2026'!Z11="POR RECOGER"),'SETIEMBRE 2026'!F11,"")</f>
        <v/>
      </c>
      <c r="E847" s="192" t="str">
        <f aca="false">IF(AND('SETIEMBRE 2026'!D11&lt;&gt;"",'SETIEMBRE 2026'!Z11="POR RECOGER"),TEXT('SETIEMBRE 2026'!G11,"DD/MM/YYYY"),"")</f>
        <v/>
      </c>
      <c r="F847" s="192" t="str">
        <f aca="false">IF(AND('SETIEMBRE 2026'!D11&lt;&gt;"",'SETIEMBRE 2026'!Z11="POR RECOGER"),'SETIEMBRE 2026'!K11,"")</f>
        <v/>
      </c>
      <c r="G847" s="193" t="str">
        <f aca="false">IF(AND('SETIEMBRE 2026'!D11&lt;&gt;"",'SETIEMBRE 2026'!Z11="POR RECOGER"),'SETIEMBRE 2026'!M11,"")</f>
        <v/>
      </c>
      <c r="H847" s="193" t="str">
        <f aca="false">IF(AND('SETIEMBRE 2026'!D11&lt;&gt;"",'SETIEMBRE 2026'!Z11="POR RECOGER"),'SETIEMBRE 2026'!N11,"")</f>
        <v/>
      </c>
      <c r="I847" s="192" t="str">
        <f aca="false">IF(AND('SETIEMBRE 2026'!D11&lt;&gt;"",'SETIEMBRE 2026'!Z11="POR RECOGER"),'SETIEMBRE 2026'!P11,"")</f>
        <v/>
      </c>
      <c r="J847" s="192" t="str">
        <f aca="false">IF(AND('SETIEMBRE 2026'!D11&lt;&gt;"",'SETIEMBRE 2026'!Z11="POR RECOGER"),'SETIEMBRE 2026'!Q11,"")</f>
        <v/>
      </c>
      <c r="K847" s="192" t="str">
        <f aca="false">IF(AND('SETIEMBRE 2026'!D11&lt;&gt;"",'SETIEMBRE 2026'!Z11="POR RECOGER"),'SETIEMBRE 2026'!Y11,"")</f>
        <v/>
      </c>
      <c r="L847" s="192" t="str">
        <f aca="false">IF(AND('SETIEMBRE 2026'!D11&lt;&gt;"",'SETIEMBRE 2026'!Z11="POR RECOGER"),'SETIEMBRE 2026'!I11,"")</f>
        <v/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" hidden="false" customHeight="true" outlineLevel="0" collapsed="false">
      <c r="A848" s="192" t="str">
        <f aca="false">IF(AND('SETIEMBRE 2026'!D12&lt;&gt;"",'SETIEMBRE 2026'!Z12="POR RECOGER"),"SET","")</f>
        <v/>
      </c>
      <c r="B848" s="192" t="str">
        <f aca="false">IF(AND('SETIEMBRE 2026'!D12&lt;&gt;"",'SETIEMBRE 2026'!Z12="POR RECOGER"),IF('SETIEMBRE 2026'!Y12&lt;&gt;"",'SETIEMBRE 2026'!Y12,'SETIEMBRE 2026'!I12),"")</f>
        <v/>
      </c>
      <c r="C848" s="192" t="str">
        <f aca="false">IF(AND('SETIEMBRE 2026'!D12&lt;&gt;"",'SETIEMBRE 2026'!Z12="POR RECOGER"),'SETIEMBRE 2026'!D12,"")</f>
        <v/>
      </c>
      <c r="D848" s="192" t="str">
        <f aca="false">IF(AND('SETIEMBRE 2026'!D12&lt;&gt;"",'SETIEMBRE 2026'!Z12="POR RECOGER"),'SETIEMBRE 2026'!F12,"")</f>
        <v/>
      </c>
      <c r="E848" s="192" t="str">
        <f aca="false">IF(AND('SETIEMBRE 2026'!D12&lt;&gt;"",'SETIEMBRE 2026'!Z12="POR RECOGER"),TEXT('SETIEMBRE 2026'!G12,"DD/MM/YYYY"),"")</f>
        <v/>
      </c>
      <c r="F848" s="192" t="str">
        <f aca="false">IF(AND('SETIEMBRE 2026'!D12&lt;&gt;"",'SETIEMBRE 2026'!Z12="POR RECOGER"),'SETIEMBRE 2026'!K12,"")</f>
        <v/>
      </c>
      <c r="G848" s="193" t="str">
        <f aca="false">IF(AND('SETIEMBRE 2026'!D12&lt;&gt;"",'SETIEMBRE 2026'!Z12="POR RECOGER"),'SETIEMBRE 2026'!M12,"")</f>
        <v/>
      </c>
      <c r="H848" s="193" t="str">
        <f aca="false">IF(AND('SETIEMBRE 2026'!D12&lt;&gt;"",'SETIEMBRE 2026'!Z12="POR RECOGER"),'SETIEMBRE 2026'!N12,"")</f>
        <v/>
      </c>
      <c r="I848" s="192" t="str">
        <f aca="false">IF(AND('SETIEMBRE 2026'!D12&lt;&gt;"",'SETIEMBRE 2026'!Z12="POR RECOGER"),'SETIEMBRE 2026'!P12,"")</f>
        <v/>
      </c>
      <c r="J848" s="192" t="str">
        <f aca="false">IF(AND('SETIEMBRE 2026'!D12&lt;&gt;"",'SETIEMBRE 2026'!Z12="POR RECOGER"),'SETIEMBRE 2026'!Q12,"")</f>
        <v/>
      </c>
      <c r="K848" s="192" t="str">
        <f aca="false">IF(AND('SETIEMBRE 2026'!D12&lt;&gt;"",'SETIEMBRE 2026'!Z12="POR RECOGER"),'SETIEMBRE 2026'!Y12,"")</f>
        <v/>
      </c>
      <c r="L848" s="192" t="str">
        <f aca="false">IF(AND('SETIEMBRE 2026'!D12&lt;&gt;"",'SETIEMBRE 2026'!Z12="POR RECOGER"),'SETIEMBRE 2026'!I12,"")</f>
        <v/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" hidden="false" customHeight="true" outlineLevel="0" collapsed="false">
      <c r="A849" s="192" t="str">
        <f aca="false">IF(AND('SETIEMBRE 2026'!D13&lt;&gt;"",'SETIEMBRE 2026'!Z13="POR RECOGER"),"SET","")</f>
        <v/>
      </c>
      <c r="B849" s="192" t="str">
        <f aca="false">IF(AND('SETIEMBRE 2026'!D13&lt;&gt;"",'SETIEMBRE 2026'!Z13="POR RECOGER"),IF('SETIEMBRE 2026'!Y13&lt;&gt;"",'SETIEMBRE 2026'!Y13,'SETIEMBRE 2026'!I13),"")</f>
        <v/>
      </c>
      <c r="C849" s="192" t="str">
        <f aca="false">IF(AND('SETIEMBRE 2026'!D13&lt;&gt;"",'SETIEMBRE 2026'!Z13="POR RECOGER"),'SETIEMBRE 2026'!D13,"")</f>
        <v/>
      </c>
      <c r="D849" s="192" t="str">
        <f aca="false">IF(AND('SETIEMBRE 2026'!D13&lt;&gt;"",'SETIEMBRE 2026'!Z13="POR RECOGER"),'SETIEMBRE 2026'!F13,"")</f>
        <v/>
      </c>
      <c r="E849" s="192" t="str">
        <f aca="false">IF(AND('SETIEMBRE 2026'!D13&lt;&gt;"",'SETIEMBRE 2026'!Z13="POR RECOGER"),TEXT('SETIEMBRE 2026'!G13,"DD/MM/YYYY"),"")</f>
        <v/>
      </c>
      <c r="F849" s="192" t="str">
        <f aca="false">IF(AND('SETIEMBRE 2026'!D13&lt;&gt;"",'SETIEMBRE 2026'!Z13="POR RECOGER"),'SETIEMBRE 2026'!K13,"")</f>
        <v/>
      </c>
      <c r="G849" s="193" t="str">
        <f aca="false">IF(AND('SETIEMBRE 2026'!D13&lt;&gt;"",'SETIEMBRE 2026'!Z13="POR RECOGER"),'SETIEMBRE 2026'!M13,"")</f>
        <v/>
      </c>
      <c r="H849" s="193" t="str">
        <f aca="false">IF(AND('SETIEMBRE 2026'!D13&lt;&gt;"",'SETIEMBRE 2026'!Z13="POR RECOGER"),'SETIEMBRE 2026'!N13,"")</f>
        <v/>
      </c>
      <c r="I849" s="192" t="str">
        <f aca="false">IF(AND('SETIEMBRE 2026'!D13&lt;&gt;"",'SETIEMBRE 2026'!Z13="POR RECOGER"),'SETIEMBRE 2026'!P13,"")</f>
        <v/>
      </c>
      <c r="J849" s="192" t="str">
        <f aca="false">IF(AND('SETIEMBRE 2026'!D13&lt;&gt;"",'SETIEMBRE 2026'!Z13="POR RECOGER"),'SETIEMBRE 2026'!Q13,"")</f>
        <v/>
      </c>
      <c r="K849" s="192" t="str">
        <f aca="false">IF(AND('SETIEMBRE 2026'!D13&lt;&gt;"",'SETIEMBRE 2026'!Z13="POR RECOGER"),'SETIEMBRE 2026'!Y13,"")</f>
        <v/>
      </c>
      <c r="L849" s="192" t="str">
        <f aca="false">IF(AND('SETIEMBRE 2026'!D13&lt;&gt;"",'SETIEMBRE 2026'!Z13="POR RECOGER"),'SETIEMBRE 2026'!I13,"")</f>
        <v/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" hidden="false" customHeight="true" outlineLevel="0" collapsed="false">
      <c r="A850" s="192" t="str">
        <f aca="false">IF(AND('SETIEMBRE 2026'!D14&lt;&gt;"",'SETIEMBRE 2026'!Z14="POR RECOGER"),"SET","")</f>
        <v/>
      </c>
      <c r="B850" s="192" t="str">
        <f aca="false">IF(AND('SETIEMBRE 2026'!D14&lt;&gt;"",'SETIEMBRE 2026'!Z14="POR RECOGER"),IF('SETIEMBRE 2026'!Y14&lt;&gt;"",'SETIEMBRE 2026'!Y14,'SETIEMBRE 2026'!I14),"")</f>
        <v/>
      </c>
      <c r="C850" s="192" t="str">
        <f aca="false">IF(AND('SETIEMBRE 2026'!D14&lt;&gt;"",'SETIEMBRE 2026'!Z14="POR RECOGER"),'SETIEMBRE 2026'!D14,"")</f>
        <v/>
      </c>
      <c r="D850" s="192" t="str">
        <f aca="false">IF(AND('SETIEMBRE 2026'!D14&lt;&gt;"",'SETIEMBRE 2026'!Z14="POR RECOGER"),'SETIEMBRE 2026'!F14,"")</f>
        <v/>
      </c>
      <c r="E850" s="192" t="str">
        <f aca="false">IF(AND('SETIEMBRE 2026'!D14&lt;&gt;"",'SETIEMBRE 2026'!Z14="POR RECOGER"),TEXT('SETIEMBRE 2026'!G14,"DD/MM/YYYY"),"")</f>
        <v/>
      </c>
      <c r="F850" s="192" t="str">
        <f aca="false">IF(AND('SETIEMBRE 2026'!D14&lt;&gt;"",'SETIEMBRE 2026'!Z14="POR RECOGER"),'SETIEMBRE 2026'!K14,"")</f>
        <v/>
      </c>
      <c r="G850" s="193" t="str">
        <f aca="false">IF(AND('SETIEMBRE 2026'!D14&lt;&gt;"",'SETIEMBRE 2026'!Z14="POR RECOGER"),'SETIEMBRE 2026'!M14,"")</f>
        <v/>
      </c>
      <c r="H850" s="193" t="str">
        <f aca="false">IF(AND('SETIEMBRE 2026'!D14&lt;&gt;"",'SETIEMBRE 2026'!Z14="POR RECOGER"),'SETIEMBRE 2026'!N14,"")</f>
        <v/>
      </c>
      <c r="I850" s="192" t="str">
        <f aca="false">IF(AND('SETIEMBRE 2026'!D14&lt;&gt;"",'SETIEMBRE 2026'!Z14="POR RECOGER"),'SETIEMBRE 2026'!P14,"")</f>
        <v/>
      </c>
      <c r="J850" s="192" t="str">
        <f aca="false">IF(AND('SETIEMBRE 2026'!D14&lt;&gt;"",'SETIEMBRE 2026'!Z14="POR RECOGER"),'SETIEMBRE 2026'!Q14,"")</f>
        <v/>
      </c>
      <c r="K850" s="192" t="str">
        <f aca="false">IF(AND('SETIEMBRE 2026'!D14&lt;&gt;"",'SETIEMBRE 2026'!Z14="POR RECOGER"),'SETIEMBRE 2026'!Y14,"")</f>
        <v/>
      </c>
      <c r="L850" s="192" t="str">
        <f aca="false">IF(AND('SETIEMBRE 2026'!D14&lt;&gt;"",'SETIEMBRE 2026'!Z14="POR RECOGER"),'SETIEMBRE 2026'!I14,"")</f>
        <v/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" hidden="false" customHeight="true" outlineLevel="0" collapsed="false">
      <c r="A851" s="192" t="str">
        <f aca="false">IF(AND('SETIEMBRE 2026'!D15&lt;&gt;"",'SETIEMBRE 2026'!Z15="POR RECOGER"),"SET","")</f>
        <v/>
      </c>
      <c r="B851" s="192" t="str">
        <f aca="false">IF(AND('SETIEMBRE 2026'!D15&lt;&gt;"",'SETIEMBRE 2026'!Z15="POR RECOGER"),IF('SETIEMBRE 2026'!Y15&lt;&gt;"",'SETIEMBRE 2026'!Y15,'SETIEMBRE 2026'!I15),"")</f>
        <v/>
      </c>
      <c r="C851" s="192" t="str">
        <f aca="false">IF(AND('SETIEMBRE 2026'!D15&lt;&gt;"",'SETIEMBRE 2026'!Z15="POR RECOGER"),'SETIEMBRE 2026'!D15,"")</f>
        <v/>
      </c>
      <c r="D851" s="192" t="str">
        <f aca="false">IF(AND('SETIEMBRE 2026'!D15&lt;&gt;"",'SETIEMBRE 2026'!Z15="POR RECOGER"),'SETIEMBRE 2026'!F15,"")</f>
        <v/>
      </c>
      <c r="E851" s="192" t="str">
        <f aca="false">IF(AND('SETIEMBRE 2026'!D15&lt;&gt;"",'SETIEMBRE 2026'!Z15="POR RECOGER"),TEXT('SETIEMBRE 2026'!G15,"DD/MM/YYYY"),"")</f>
        <v/>
      </c>
      <c r="F851" s="192" t="str">
        <f aca="false">IF(AND('SETIEMBRE 2026'!D15&lt;&gt;"",'SETIEMBRE 2026'!Z15="POR RECOGER"),'SETIEMBRE 2026'!K15,"")</f>
        <v/>
      </c>
      <c r="G851" s="193" t="str">
        <f aca="false">IF(AND('SETIEMBRE 2026'!D15&lt;&gt;"",'SETIEMBRE 2026'!Z15="POR RECOGER"),'SETIEMBRE 2026'!M15,"")</f>
        <v/>
      </c>
      <c r="H851" s="193" t="str">
        <f aca="false">IF(AND('SETIEMBRE 2026'!D15&lt;&gt;"",'SETIEMBRE 2026'!Z15="POR RECOGER"),'SETIEMBRE 2026'!N15,"")</f>
        <v/>
      </c>
      <c r="I851" s="192" t="str">
        <f aca="false">IF(AND('SETIEMBRE 2026'!D15&lt;&gt;"",'SETIEMBRE 2026'!Z15="POR RECOGER"),'SETIEMBRE 2026'!P15,"")</f>
        <v/>
      </c>
      <c r="J851" s="192" t="str">
        <f aca="false">IF(AND('SETIEMBRE 2026'!D15&lt;&gt;"",'SETIEMBRE 2026'!Z15="POR RECOGER"),'SETIEMBRE 2026'!Q15,"")</f>
        <v/>
      </c>
      <c r="K851" s="192" t="str">
        <f aca="false">IF(AND('SETIEMBRE 2026'!D15&lt;&gt;"",'SETIEMBRE 2026'!Z15="POR RECOGER"),'SETIEMBRE 2026'!Y15,"")</f>
        <v/>
      </c>
      <c r="L851" s="192" t="str">
        <f aca="false">IF(AND('SETIEMBRE 2026'!D15&lt;&gt;"",'SETIEMBRE 2026'!Z15="POR RECOGER"),'SETIEMBRE 2026'!I15,"")</f>
        <v/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" hidden="false" customHeight="true" outlineLevel="0" collapsed="false">
      <c r="A852" s="192" t="str">
        <f aca="false">IF(AND('SETIEMBRE 2026'!D16&lt;&gt;"",'SETIEMBRE 2026'!Z16="POR RECOGER"),"SET","")</f>
        <v/>
      </c>
      <c r="B852" s="192" t="str">
        <f aca="false">IF(AND('SETIEMBRE 2026'!D16&lt;&gt;"",'SETIEMBRE 2026'!Z16="POR RECOGER"),IF('SETIEMBRE 2026'!Y16&lt;&gt;"",'SETIEMBRE 2026'!Y16,'SETIEMBRE 2026'!I16),"")</f>
        <v/>
      </c>
      <c r="C852" s="192" t="str">
        <f aca="false">IF(AND('SETIEMBRE 2026'!D16&lt;&gt;"",'SETIEMBRE 2026'!Z16="POR RECOGER"),'SETIEMBRE 2026'!D16,"")</f>
        <v/>
      </c>
      <c r="D852" s="192" t="str">
        <f aca="false">IF(AND('SETIEMBRE 2026'!D16&lt;&gt;"",'SETIEMBRE 2026'!Z16="POR RECOGER"),'SETIEMBRE 2026'!F16,"")</f>
        <v/>
      </c>
      <c r="E852" s="192" t="str">
        <f aca="false">IF(AND('SETIEMBRE 2026'!D16&lt;&gt;"",'SETIEMBRE 2026'!Z16="POR RECOGER"),TEXT('SETIEMBRE 2026'!G16,"DD/MM/YYYY"),"")</f>
        <v/>
      </c>
      <c r="F852" s="192" t="str">
        <f aca="false">IF(AND('SETIEMBRE 2026'!D16&lt;&gt;"",'SETIEMBRE 2026'!Z16="POR RECOGER"),'SETIEMBRE 2026'!K16,"")</f>
        <v/>
      </c>
      <c r="G852" s="193" t="str">
        <f aca="false">IF(AND('SETIEMBRE 2026'!D16&lt;&gt;"",'SETIEMBRE 2026'!Z16="POR RECOGER"),'SETIEMBRE 2026'!M16,"")</f>
        <v/>
      </c>
      <c r="H852" s="193" t="str">
        <f aca="false">IF(AND('SETIEMBRE 2026'!D16&lt;&gt;"",'SETIEMBRE 2026'!Z16="POR RECOGER"),'SETIEMBRE 2026'!N16,"")</f>
        <v/>
      </c>
      <c r="I852" s="192" t="str">
        <f aca="false">IF(AND('SETIEMBRE 2026'!D16&lt;&gt;"",'SETIEMBRE 2026'!Z16="POR RECOGER"),'SETIEMBRE 2026'!P16,"")</f>
        <v/>
      </c>
      <c r="J852" s="192" t="str">
        <f aca="false">IF(AND('SETIEMBRE 2026'!D16&lt;&gt;"",'SETIEMBRE 2026'!Z16="POR RECOGER"),'SETIEMBRE 2026'!Q16,"")</f>
        <v/>
      </c>
      <c r="K852" s="192" t="str">
        <f aca="false">IF(AND('SETIEMBRE 2026'!D16&lt;&gt;"",'SETIEMBRE 2026'!Z16="POR RECOGER"),'SETIEMBRE 2026'!Y16,"")</f>
        <v/>
      </c>
      <c r="L852" s="192" t="str">
        <f aca="false">IF(AND('SETIEMBRE 2026'!D16&lt;&gt;"",'SETIEMBRE 2026'!Z16="POR RECOGER"),'SETIEMBRE 2026'!I16,"")</f>
        <v/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" hidden="false" customHeight="true" outlineLevel="0" collapsed="false">
      <c r="A853" s="192" t="str">
        <f aca="false">IF(AND('SETIEMBRE 2026'!D17&lt;&gt;"",'SETIEMBRE 2026'!Z17="POR RECOGER"),"SET","")</f>
        <v/>
      </c>
      <c r="B853" s="192" t="str">
        <f aca="false">IF(AND('SETIEMBRE 2026'!D17&lt;&gt;"",'SETIEMBRE 2026'!Z17="POR RECOGER"),IF('SETIEMBRE 2026'!Y17&lt;&gt;"",'SETIEMBRE 2026'!Y17,'SETIEMBRE 2026'!I17),"")</f>
        <v/>
      </c>
      <c r="C853" s="192" t="str">
        <f aca="false">IF(AND('SETIEMBRE 2026'!D17&lt;&gt;"",'SETIEMBRE 2026'!Z17="POR RECOGER"),'SETIEMBRE 2026'!D17,"")</f>
        <v/>
      </c>
      <c r="D853" s="192" t="str">
        <f aca="false">IF(AND('SETIEMBRE 2026'!D17&lt;&gt;"",'SETIEMBRE 2026'!Z17="POR RECOGER"),'SETIEMBRE 2026'!F17,"")</f>
        <v/>
      </c>
      <c r="E853" s="192" t="str">
        <f aca="false">IF(AND('SETIEMBRE 2026'!D17&lt;&gt;"",'SETIEMBRE 2026'!Z17="POR RECOGER"),TEXT('SETIEMBRE 2026'!G17,"DD/MM/YYYY"),"")</f>
        <v/>
      </c>
      <c r="F853" s="192" t="str">
        <f aca="false">IF(AND('SETIEMBRE 2026'!D17&lt;&gt;"",'SETIEMBRE 2026'!Z17="POR RECOGER"),'SETIEMBRE 2026'!K17,"")</f>
        <v/>
      </c>
      <c r="G853" s="193" t="str">
        <f aca="false">IF(AND('SETIEMBRE 2026'!D17&lt;&gt;"",'SETIEMBRE 2026'!Z17="POR RECOGER"),'SETIEMBRE 2026'!M17,"")</f>
        <v/>
      </c>
      <c r="H853" s="193" t="str">
        <f aca="false">IF(AND('SETIEMBRE 2026'!D17&lt;&gt;"",'SETIEMBRE 2026'!Z17="POR RECOGER"),'SETIEMBRE 2026'!N17,"")</f>
        <v/>
      </c>
      <c r="I853" s="192" t="str">
        <f aca="false">IF(AND('SETIEMBRE 2026'!D17&lt;&gt;"",'SETIEMBRE 2026'!Z17="POR RECOGER"),'SETIEMBRE 2026'!P17,"")</f>
        <v/>
      </c>
      <c r="J853" s="192" t="str">
        <f aca="false">IF(AND('SETIEMBRE 2026'!D17&lt;&gt;"",'SETIEMBRE 2026'!Z17="POR RECOGER"),'SETIEMBRE 2026'!Q17,"")</f>
        <v/>
      </c>
      <c r="K853" s="192" t="str">
        <f aca="false">IF(AND('SETIEMBRE 2026'!D17&lt;&gt;"",'SETIEMBRE 2026'!Z17="POR RECOGER"),'SETIEMBRE 2026'!Y17,"")</f>
        <v/>
      </c>
      <c r="L853" s="192" t="str">
        <f aca="false">IF(AND('SETIEMBRE 2026'!D17&lt;&gt;"",'SETIEMBRE 2026'!Z17="POR RECOGER"),'SETIEMBRE 2026'!I17,"")</f>
        <v/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" hidden="false" customHeight="true" outlineLevel="0" collapsed="false">
      <c r="A854" s="192" t="str">
        <f aca="false">IF(AND('SETIEMBRE 2026'!D18&lt;&gt;"",'SETIEMBRE 2026'!Z18="POR RECOGER"),"SET","")</f>
        <v/>
      </c>
      <c r="B854" s="192" t="str">
        <f aca="false">IF(AND('SETIEMBRE 2026'!D18&lt;&gt;"",'SETIEMBRE 2026'!Z18="POR RECOGER"),IF('SETIEMBRE 2026'!Y18&lt;&gt;"",'SETIEMBRE 2026'!Y18,'SETIEMBRE 2026'!I18),"")</f>
        <v/>
      </c>
      <c r="C854" s="192" t="str">
        <f aca="false">IF(AND('SETIEMBRE 2026'!D18&lt;&gt;"",'SETIEMBRE 2026'!Z18="POR RECOGER"),'SETIEMBRE 2026'!D18,"")</f>
        <v/>
      </c>
      <c r="D854" s="192" t="str">
        <f aca="false">IF(AND('SETIEMBRE 2026'!D18&lt;&gt;"",'SETIEMBRE 2026'!Z18="POR RECOGER"),'SETIEMBRE 2026'!F18,"")</f>
        <v/>
      </c>
      <c r="E854" s="192" t="str">
        <f aca="false">IF(AND('SETIEMBRE 2026'!D18&lt;&gt;"",'SETIEMBRE 2026'!Z18="POR RECOGER"),TEXT('SETIEMBRE 2026'!G18,"DD/MM/YYYY"),"")</f>
        <v/>
      </c>
      <c r="F854" s="192" t="str">
        <f aca="false">IF(AND('SETIEMBRE 2026'!D18&lt;&gt;"",'SETIEMBRE 2026'!Z18="POR RECOGER"),'SETIEMBRE 2026'!K18,"")</f>
        <v/>
      </c>
      <c r="G854" s="193" t="str">
        <f aca="false">IF(AND('SETIEMBRE 2026'!D18&lt;&gt;"",'SETIEMBRE 2026'!Z18="POR RECOGER"),'SETIEMBRE 2026'!M18,"")</f>
        <v/>
      </c>
      <c r="H854" s="193" t="str">
        <f aca="false">IF(AND('SETIEMBRE 2026'!D18&lt;&gt;"",'SETIEMBRE 2026'!Z18="POR RECOGER"),'SETIEMBRE 2026'!N18,"")</f>
        <v/>
      </c>
      <c r="I854" s="192" t="str">
        <f aca="false">IF(AND('SETIEMBRE 2026'!D18&lt;&gt;"",'SETIEMBRE 2026'!Z18="POR RECOGER"),'SETIEMBRE 2026'!P18,"")</f>
        <v/>
      </c>
      <c r="J854" s="192" t="str">
        <f aca="false">IF(AND('SETIEMBRE 2026'!D18&lt;&gt;"",'SETIEMBRE 2026'!Z18="POR RECOGER"),'SETIEMBRE 2026'!Q18,"")</f>
        <v/>
      </c>
      <c r="K854" s="192" t="str">
        <f aca="false">IF(AND('SETIEMBRE 2026'!D18&lt;&gt;"",'SETIEMBRE 2026'!Z18="POR RECOGER"),'SETIEMBRE 2026'!Y18,"")</f>
        <v/>
      </c>
      <c r="L854" s="192" t="str">
        <f aca="false">IF(AND('SETIEMBRE 2026'!D18&lt;&gt;"",'SETIEMBRE 2026'!Z18="POR RECOGER"),'SETIEMBRE 2026'!I18,"")</f>
        <v/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" hidden="false" customHeight="true" outlineLevel="0" collapsed="false">
      <c r="A855" s="192" t="str">
        <f aca="false">IF(AND('SETIEMBRE 2026'!D19&lt;&gt;"",'SETIEMBRE 2026'!Z19="POR RECOGER"),"SET","")</f>
        <v/>
      </c>
      <c r="B855" s="192" t="str">
        <f aca="false">IF(AND('SETIEMBRE 2026'!D19&lt;&gt;"",'SETIEMBRE 2026'!Z19="POR RECOGER"),IF('SETIEMBRE 2026'!Y19&lt;&gt;"",'SETIEMBRE 2026'!Y19,'SETIEMBRE 2026'!I19),"")</f>
        <v/>
      </c>
      <c r="C855" s="192" t="str">
        <f aca="false">IF(AND('SETIEMBRE 2026'!D19&lt;&gt;"",'SETIEMBRE 2026'!Z19="POR RECOGER"),'SETIEMBRE 2026'!D19,"")</f>
        <v/>
      </c>
      <c r="D855" s="192" t="str">
        <f aca="false">IF(AND('SETIEMBRE 2026'!D19&lt;&gt;"",'SETIEMBRE 2026'!Z19="POR RECOGER"),'SETIEMBRE 2026'!F19,"")</f>
        <v/>
      </c>
      <c r="E855" s="192" t="str">
        <f aca="false">IF(AND('SETIEMBRE 2026'!D19&lt;&gt;"",'SETIEMBRE 2026'!Z19="POR RECOGER"),TEXT('SETIEMBRE 2026'!G19,"DD/MM/YYYY"),"")</f>
        <v/>
      </c>
      <c r="F855" s="192" t="str">
        <f aca="false">IF(AND('SETIEMBRE 2026'!D19&lt;&gt;"",'SETIEMBRE 2026'!Z19="POR RECOGER"),'SETIEMBRE 2026'!K19,"")</f>
        <v/>
      </c>
      <c r="G855" s="193" t="str">
        <f aca="false">IF(AND('SETIEMBRE 2026'!D19&lt;&gt;"",'SETIEMBRE 2026'!Z19="POR RECOGER"),'SETIEMBRE 2026'!M19,"")</f>
        <v/>
      </c>
      <c r="H855" s="193" t="str">
        <f aca="false">IF(AND('SETIEMBRE 2026'!D19&lt;&gt;"",'SETIEMBRE 2026'!Z19="POR RECOGER"),'SETIEMBRE 2026'!N19,"")</f>
        <v/>
      </c>
      <c r="I855" s="192" t="str">
        <f aca="false">IF(AND('SETIEMBRE 2026'!D19&lt;&gt;"",'SETIEMBRE 2026'!Z19="POR RECOGER"),'SETIEMBRE 2026'!P19,"")</f>
        <v/>
      </c>
      <c r="J855" s="192" t="str">
        <f aca="false">IF(AND('SETIEMBRE 2026'!D19&lt;&gt;"",'SETIEMBRE 2026'!Z19="POR RECOGER"),'SETIEMBRE 2026'!Q19,"")</f>
        <v/>
      </c>
      <c r="K855" s="192" t="str">
        <f aca="false">IF(AND('SETIEMBRE 2026'!D19&lt;&gt;"",'SETIEMBRE 2026'!Z19="POR RECOGER"),'SETIEMBRE 2026'!Y19,"")</f>
        <v/>
      </c>
      <c r="L855" s="192" t="str">
        <f aca="false">IF(AND('SETIEMBRE 2026'!D19&lt;&gt;"",'SETIEMBRE 2026'!Z19="POR RECOGER"),'SETIEMBRE 2026'!I19,"")</f>
        <v/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" hidden="false" customHeight="true" outlineLevel="0" collapsed="false">
      <c r="A856" s="192" t="str">
        <f aca="false">IF(AND('SETIEMBRE 2026'!D20&lt;&gt;"",'SETIEMBRE 2026'!Z20="POR RECOGER"),"SET","")</f>
        <v/>
      </c>
      <c r="B856" s="192" t="str">
        <f aca="false">IF(AND('SETIEMBRE 2026'!D20&lt;&gt;"",'SETIEMBRE 2026'!Z20="POR RECOGER"),IF('SETIEMBRE 2026'!Y20&lt;&gt;"",'SETIEMBRE 2026'!Y20,'SETIEMBRE 2026'!I20),"")</f>
        <v/>
      </c>
      <c r="C856" s="192" t="str">
        <f aca="false">IF(AND('SETIEMBRE 2026'!D20&lt;&gt;"",'SETIEMBRE 2026'!Z20="POR RECOGER"),'SETIEMBRE 2026'!D20,"")</f>
        <v/>
      </c>
      <c r="D856" s="192" t="str">
        <f aca="false">IF(AND('SETIEMBRE 2026'!D20&lt;&gt;"",'SETIEMBRE 2026'!Z20="POR RECOGER"),'SETIEMBRE 2026'!F20,"")</f>
        <v/>
      </c>
      <c r="E856" s="192" t="str">
        <f aca="false">IF(AND('SETIEMBRE 2026'!D20&lt;&gt;"",'SETIEMBRE 2026'!Z20="POR RECOGER"),TEXT('SETIEMBRE 2026'!G20,"DD/MM/YYYY"),"")</f>
        <v/>
      </c>
      <c r="F856" s="192" t="str">
        <f aca="false">IF(AND('SETIEMBRE 2026'!D20&lt;&gt;"",'SETIEMBRE 2026'!Z20="POR RECOGER"),'SETIEMBRE 2026'!K20,"")</f>
        <v/>
      </c>
      <c r="G856" s="193" t="str">
        <f aca="false">IF(AND('SETIEMBRE 2026'!D20&lt;&gt;"",'SETIEMBRE 2026'!Z20="POR RECOGER"),'SETIEMBRE 2026'!M20,"")</f>
        <v/>
      </c>
      <c r="H856" s="193" t="str">
        <f aca="false">IF(AND('SETIEMBRE 2026'!D20&lt;&gt;"",'SETIEMBRE 2026'!Z20="POR RECOGER"),'SETIEMBRE 2026'!N20,"")</f>
        <v/>
      </c>
      <c r="I856" s="192" t="str">
        <f aca="false">IF(AND('SETIEMBRE 2026'!D20&lt;&gt;"",'SETIEMBRE 2026'!Z20="POR RECOGER"),'SETIEMBRE 2026'!P20,"")</f>
        <v/>
      </c>
      <c r="J856" s="192" t="str">
        <f aca="false">IF(AND('SETIEMBRE 2026'!D20&lt;&gt;"",'SETIEMBRE 2026'!Z20="POR RECOGER"),'SETIEMBRE 2026'!Q20,"")</f>
        <v/>
      </c>
      <c r="K856" s="192" t="str">
        <f aca="false">IF(AND('SETIEMBRE 2026'!D20&lt;&gt;"",'SETIEMBRE 2026'!Z20="POR RECOGER"),'SETIEMBRE 2026'!Y20,"")</f>
        <v/>
      </c>
      <c r="L856" s="192" t="str">
        <f aca="false">IF(AND('SETIEMBRE 2026'!D20&lt;&gt;"",'SETIEMBRE 2026'!Z20="POR RECOGER"),'SETIEMBRE 2026'!I20,"")</f>
        <v/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" hidden="false" customHeight="true" outlineLevel="0" collapsed="false">
      <c r="A857" s="192" t="str">
        <f aca="false">IF(AND('SETIEMBRE 2026'!D21&lt;&gt;"",'SETIEMBRE 2026'!Z21="POR RECOGER"),"SET","")</f>
        <v/>
      </c>
      <c r="B857" s="192" t="str">
        <f aca="false">IF(AND('SETIEMBRE 2026'!D21&lt;&gt;"",'SETIEMBRE 2026'!Z21="POR RECOGER"),IF('SETIEMBRE 2026'!Y21&lt;&gt;"",'SETIEMBRE 2026'!Y21,'SETIEMBRE 2026'!I21),"")</f>
        <v/>
      </c>
      <c r="C857" s="192" t="str">
        <f aca="false">IF(AND('SETIEMBRE 2026'!D21&lt;&gt;"",'SETIEMBRE 2026'!Z21="POR RECOGER"),'SETIEMBRE 2026'!D21,"")</f>
        <v/>
      </c>
      <c r="D857" s="192" t="str">
        <f aca="false">IF(AND('SETIEMBRE 2026'!D21&lt;&gt;"",'SETIEMBRE 2026'!Z21="POR RECOGER"),'SETIEMBRE 2026'!F21,"")</f>
        <v/>
      </c>
      <c r="E857" s="192" t="str">
        <f aca="false">IF(AND('SETIEMBRE 2026'!D21&lt;&gt;"",'SETIEMBRE 2026'!Z21="POR RECOGER"),TEXT('SETIEMBRE 2026'!G21,"DD/MM/YYYY"),"")</f>
        <v/>
      </c>
      <c r="F857" s="192" t="str">
        <f aca="false">IF(AND('SETIEMBRE 2026'!D21&lt;&gt;"",'SETIEMBRE 2026'!Z21="POR RECOGER"),'SETIEMBRE 2026'!K21,"")</f>
        <v/>
      </c>
      <c r="G857" s="193" t="str">
        <f aca="false">IF(AND('SETIEMBRE 2026'!D21&lt;&gt;"",'SETIEMBRE 2026'!Z21="POR RECOGER"),'SETIEMBRE 2026'!M21,"")</f>
        <v/>
      </c>
      <c r="H857" s="193" t="str">
        <f aca="false">IF(AND('SETIEMBRE 2026'!D21&lt;&gt;"",'SETIEMBRE 2026'!Z21="POR RECOGER"),'SETIEMBRE 2026'!N21,"")</f>
        <v/>
      </c>
      <c r="I857" s="192" t="str">
        <f aca="false">IF(AND('SETIEMBRE 2026'!D21&lt;&gt;"",'SETIEMBRE 2026'!Z21="POR RECOGER"),'SETIEMBRE 2026'!P21,"")</f>
        <v/>
      </c>
      <c r="J857" s="192" t="str">
        <f aca="false">IF(AND('SETIEMBRE 2026'!D21&lt;&gt;"",'SETIEMBRE 2026'!Z21="POR RECOGER"),'SETIEMBRE 2026'!Q21,"")</f>
        <v/>
      </c>
      <c r="K857" s="192" t="str">
        <f aca="false">IF(AND('SETIEMBRE 2026'!D21&lt;&gt;"",'SETIEMBRE 2026'!Z21="POR RECOGER"),'SETIEMBRE 2026'!Y21,"")</f>
        <v/>
      </c>
      <c r="L857" s="192" t="str">
        <f aca="false">IF(AND('SETIEMBRE 2026'!D21&lt;&gt;"",'SETIEMBRE 2026'!Z21="POR RECOGER"),'SETIEMBRE 2026'!I21,"")</f>
        <v/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" hidden="false" customHeight="true" outlineLevel="0" collapsed="false">
      <c r="A858" s="192" t="str">
        <f aca="false">IF(AND('SETIEMBRE 2026'!D22&lt;&gt;"",'SETIEMBRE 2026'!Z22="POR RECOGER"),"SET","")</f>
        <v/>
      </c>
      <c r="B858" s="192" t="str">
        <f aca="false">IF(AND('SETIEMBRE 2026'!D22&lt;&gt;"",'SETIEMBRE 2026'!Z22="POR RECOGER"),IF('SETIEMBRE 2026'!Y22&lt;&gt;"",'SETIEMBRE 2026'!Y22,'SETIEMBRE 2026'!I22),"")</f>
        <v/>
      </c>
      <c r="C858" s="192" t="str">
        <f aca="false">IF(AND('SETIEMBRE 2026'!D22&lt;&gt;"",'SETIEMBRE 2026'!Z22="POR RECOGER"),'SETIEMBRE 2026'!D22,"")</f>
        <v/>
      </c>
      <c r="D858" s="192" t="str">
        <f aca="false">IF(AND('SETIEMBRE 2026'!D22&lt;&gt;"",'SETIEMBRE 2026'!Z22="POR RECOGER"),'SETIEMBRE 2026'!F22,"")</f>
        <v/>
      </c>
      <c r="E858" s="192" t="str">
        <f aca="false">IF(AND('SETIEMBRE 2026'!D22&lt;&gt;"",'SETIEMBRE 2026'!Z22="POR RECOGER"),TEXT('SETIEMBRE 2026'!G22,"DD/MM/YYYY"),"")</f>
        <v/>
      </c>
      <c r="F858" s="192" t="str">
        <f aca="false">IF(AND('SETIEMBRE 2026'!D22&lt;&gt;"",'SETIEMBRE 2026'!Z22="POR RECOGER"),'SETIEMBRE 2026'!K22,"")</f>
        <v/>
      </c>
      <c r="G858" s="193" t="str">
        <f aca="false">IF(AND('SETIEMBRE 2026'!D22&lt;&gt;"",'SETIEMBRE 2026'!Z22="POR RECOGER"),'SETIEMBRE 2026'!M22,"")</f>
        <v/>
      </c>
      <c r="H858" s="193" t="str">
        <f aca="false">IF(AND('SETIEMBRE 2026'!D22&lt;&gt;"",'SETIEMBRE 2026'!Z22="POR RECOGER"),'SETIEMBRE 2026'!N22,"")</f>
        <v/>
      </c>
      <c r="I858" s="192" t="str">
        <f aca="false">IF(AND('SETIEMBRE 2026'!D22&lt;&gt;"",'SETIEMBRE 2026'!Z22="POR RECOGER"),'SETIEMBRE 2026'!P22,"")</f>
        <v/>
      </c>
      <c r="J858" s="192" t="str">
        <f aca="false">IF(AND('SETIEMBRE 2026'!D22&lt;&gt;"",'SETIEMBRE 2026'!Z22="POR RECOGER"),'SETIEMBRE 2026'!Q22,"")</f>
        <v/>
      </c>
      <c r="K858" s="192" t="str">
        <f aca="false">IF(AND('SETIEMBRE 2026'!D22&lt;&gt;"",'SETIEMBRE 2026'!Z22="POR RECOGER"),'SETIEMBRE 2026'!Y22,"")</f>
        <v/>
      </c>
      <c r="L858" s="192" t="str">
        <f aca="false">IF(AND('SETIEMBRE 2026'!D22&lt;&gt;"",'SETIEMBRE 2026'!Z22="POR RECOGER"),'SETIEMBRE 2026'!I22,"")</f>
        <v/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" hidden="false" customHeight="true" outlineLevel="0" collapsed="false">
      <c r="A859" s="192" t="str">
        <f aca="false">IF(AND('SETIEMBRE 2026'!D23&lt;&gt;"",'SETIEMBRE 2026'!Z23="POR RECOGER"),"SET","")</f>
        <v/>
      </c>
      <c r="B859" s="192" t="str">
        <f aca="false">IF(AND('SETIEMBRE 2026'!D23&lt;&gt;"",'SETIEMBRE 2026'!Z23="POR RECOGER"),IF('SETIEMBRE 2026'!Y23&lt;&gt;"",'SETIEMBRE 2026'!Y23,'SETIEMBRE 2026'!I23),"")</f>
        <v/>
      </c>
      <c r="C859" s="192" t="str">
        <f aca="false">IF(AND('SETIEMBRE 2026'!D23&lt;&gt;"",'SETIEMBRE 2026'!Z23="POR RECOGER"),'SETIEMBRE 2026'!D23,"")</f>
        <v/>
      </c>
      <c r="D859" s="192" t="str">
        <f aca="false">IF(AND('SETIEMBRE 2026'!D23&lt;&gt;"",'SETIEMBRE 2026'!Z23="POR RECOGER"),'SETIEMBRE 2026'!F23,"")</f>
        <v/>
      </c>
      <c r="E859" s="192" t="str">
        <f aca="false">IF(AND('SETIEMBRE 2026'!D23&lt;&gt;"",'SETIEMBRE 2026'!Z23="POR RECOGER"),TEXT('SETIEMBRE 2026'!G23,"DD/MM/YYYY"),"")</f>
        <v/>
      </c>
      <c r="F859" s="192" t="str">
        <f aca="false">IF(AND('SETIEMBRE 2026'!D23&lt;&gt;"",'SETIEMBRE 2026'!Z23="POR RECOGER"),'SETIEMBRE 2026'!K23,"")</f>
        <v/>
      </c>
      <c r="G859" s="193" t="str">
        <f aca="false">IF(AND('SETIEMBRE 2026'!D23&lt;&gt;"",'SETIEMBRE 2026'!Z23="POR RECOGER"),'SETIEMBRE 2026'!M23,"")</f>
        <v/>
      </c>
      <c r="H859" s="193" t="str">
        <f aca="false">IF(AND('SETIEMBRE 2026'!D23&lt;&gt;"",'SETIEMBRE 2026'!Z23="POR RECOGER"),'SETIEMBRE 2026'!N23,"")</f>
        <v/>
      </c>
      <c r="I859" s="192" t="str">
        <f aca="false">IF(AND('SETIEMBRE 2026'!D23&lt;&gt;"",'SETIEMBRE 2026'!Z23="POR RECOGER"),'SETIEMBRE 2026'!P23,"")</f>
        <v/>
      </c>
      <c r="J859" s="192" t="str">
        <f aca="false">IF(AND('SETIEMBRE 2026'!D23&lt;&gt;"",'SETIEMBRE 2026'!Z23="POR RECOGER"),'SETIEMBRE 2026'!Q23,"")</f>
        <v/>
      </c>
      <c r="K859" s="192" t="str">
        <f aca="false">IF(AND('SETIEMBRE 2026'!D23&lt;&gt;"",'SETIEMBRE 2026'!Z23="POR RECOGER"),'SETIEMBRE 2026'!Y23,"")</f>
        <v/>
      </c>
      <c r="L859" s="192" t="str">
        <f aca="false">IF(AND('SETIEMBRE 2026'!D23&lt;&gt;"",'SETIEMBRE 2026'!Z23="POR RECOGER"),'SETIEMBRE 2026'!I23,"")</f>
        <v/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" hidden="false" customHeight="true" outlineLevel="0" collapsed="false">
      <c r="A860" s="192" t="str">
        <f aca="false">IF(AND('SETIEMBRE 2026'!D24&lt;&gt;"",'SETIEMBRE 2026'!Z24="POR RECOGER"),"SET","")</f>
        <v/>
      </c>
      <c r="B860" s="192" t="str">
        <f aca="false">IF(AND('SETIEMBRE 2026'!D24&lt;&gt;"",'SETIEMBRE 2026'!Z24="POR RECOGER"),IF('SETIEMBRE 2026'!Y24&lt;&gt;"",'SETIEMBRE 2026'!Y24,'SETIEMBRE 2026'!I24),"")</f>
        <v/>
      </c>
      <c r="C860" s="192" t="str">
        <f aca="false">IF(AND('SETIEMBRE 2026'!D24&lt;&gt;"",'SETIEMBRE 2026'!Z24="POR RECOGER"),'SETIEMBRE 2026'!D24,"")</f>
        <v/>
      </c>
      <c r="D860" s="192" t="str">
        <f aca="false">IF(AND('SETIEMBRE 2026'!D24&lt;&gt;"",'SETIEMBRE 2026'!Z24="POR RECOGER"),'SETIEMBRE 2026'!F24,"")</f>
        <v/>
      </c>
      <c r="E860" s="192" t="str">
        <f aca="false">IF(AND('SETIEMBRE 2026'!D24&lt;&gt;"",'SETIEMBRE 2026'!Z24="POR RECOGER"),TEXT('SETIEMBRE 2026'!G24,"DD/MM/YYYY"),"")</f>
        <v/>
      </c>
      <c r="F860" s="192" t="str">
        <f aca="false">IF(AND('SETIEMBRE 2026'!D24&lt;&gt;"",'SETIEMBRE 2026'!Z24="POR RECOGER"),'SETIEMBRE 2026'!K24,"")</f>
        <v/>
      </c>
      <c r="G860" s="193" t="str">
        <f aca="false">IF(AND('SETIEMBRE 2026'!D24&lt;&gt;"",'SETIEMBRE 2026'!Z24="POR RECOGER"),'SETIEMBRE 2026'!M24,"")</f>
        <v/>
      </c>
      <c r="H860" s="193" t="str">
        <f aca="false">IF(AND('SETIEMBRE 2026'!D24&lt;&gt;"",'SETIEMBRE 2026'!Z24="POR RECOGER"),'SETIEMBRE 2026'!N24,"")</f>
        <v/>
      </c>
      <c r="I860" s="192" t="str">
        <f aca="false">IF(AND('SETIEMBRE 2026'!D24&lt;&gt;"",'SETIEMBRE 2026'!Z24="POR RECOGER"),'SETIEMBRE 2026'!P24,"")</f>
        <v/>
      </c>
      <c r="J860" s="192" t="str">
        <f aca="false">IF(AND('SETIEMBRE 2026'!D24&lt;&gt;"",'SETIEMBRE 2026'!Z24="POR RECOGER"),'SETIEMBRE 2026'!Q24,"")</f>
        <v/>
      </c>
      <c r="K860" s="192" t="str">
        <f aca="false">IF(AND('SETIEMBRE 2026'!D24&lt;&gt;"",'SETIEMBRE 2026'!Z24="POR RECOGER"),'SETIEMBRE 2026'!Y24,"")</f>
        <v/>
      </c>
      <c r="L860" s="192" t="str">
        <f aca="false">IF(AND('SETIEMBRE 2026'!D24&lt;&gt;"",'SETIEMBRE 2026'!Z24="POR RECOGER"),'SETIEMBRE 2026'!I24,"")</f>
        <v/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" hidden="false" customHeight="true" outlineLevel="0" collapsed="false">
      <c r="A861" s="192" t="str">
        <f aca="false">IF(AND('SETIEMBRE 2026'!D25&lt;&gt;"",'SETIEMBRE 2026'!Z25="POR RECOGER"),"SET","")</f>
        <v/>
      </c>
      <c r="B861" s="192" t="str">
        <f aca="false">IF(AND('SETIEMBRE 2026'!D25&lt;&gt;"",'SETIEMBRE 2026'!Z25="POR RECOGER"),IF('SETIEMBRE 2026'!Y25&lt;&gt;"",'SETIEMBRE 2026'!Y25,'SETIEMBRE 2026'!I25),"")</f>
        <v/>
      </c>
      <c r="C861" s="192" t="str">
        <f aca="false">IF(AND('SETIEMBRE 2026'!D25&lt;&gt;"",'SETIEMBRE 2026'!Z25="POR RECOGER"),'SETIEMBRE 2026'!D25,"")</f>
        <v/>
      </c>
      <c r="D861" s="192" t="str">
        <f aca="false">IF(AND('SETIEMBRE 2026'!D25&lt;&gt;"",'SETIEMBRE 2026'!Z25="POR RECOGER"),'SETIEMBRE 2026'!F25,"")</f>
        <v/>
      </c>
      <c r="E861" s="192" t="str">
        <f aca="false">IF(AND('SETIEMBRE 2026'!D25&lt;&gt;"",'SETIEMBRE 2026'!Z25="POR RECOGER"),TEXT('SETIEMBRE 2026'!G25,"DD/MM/YYYY"),"")</f>
        <v/>
      </c>
      <c r="F861" s="192" t="str">
        <f aca="false">IF(AND('SETIEMBRE 2026'!D25&lt;&gt;"",'SETIEMBRE 2026'!Z25="POR RECOGER"),'SETIEMBRE 2026'!K25,"")</f>
        <v/>
      </c>
      <c r="G861" s="193" t="str">
        <f aca="false">IF(AND('SETIEMBRE 2026'!D25&lt;&gt;"",'SETIEMBRE 2026'!Z25="POR RECOGER"),'SETIEMBRE 2026'!M25,"")</f>
        <v/>
      </c>
      <c r="H861" s="193" t="str">
        <f aca="false">IF(AND('SETIEMBRE 2026'!D25&lt;&gt;"",'SETIEMBRE 2026'!Z25="POR RECOGER"),'SETIEMBRE 2026'!N25,"")</f>
        <v/>
      </c>
      <c r="I861" s="192" t="str">
        <f aca="false">IF(AND('SETIEMBRE 2026'!D25&lt;&gt;"",'SETIEMBRE 2026'!Z25="POR RECOGER"),'SETIEMBRE 2026'!P25,"")</f>
        <v/>
      </c>
      <c r="J861" s="192" t="str">
        <f aca="false">IF(AND('SETIEMBRE 2026'!D25&lt;&gt;"",'SETIEMBRE 2026'!Z25="POR RECOGER"),'SETIEMBRE 2026'!Q25,"")</f>
        <v/>
      </c>
      <c r="K861" s="192" t="str">
        <f aca="false">IF(AND('SETIEMBRE 2026'!D25&lt;&gt;"",'SETIEMBRE 2026'!Z25="POR RECOGER"),'SETIEMBRE 2026'!Y25,"")</f>
        <v/>
      </c>
      <c r="L861" s="192" t="str">
        <f aca="false">IF(AND('SETIEMBRE 2026'!D25&lt;&gt;"",'SETIEMBRE 2026'!Z25="POR RECOGER"),'SETIEMBRE 2026'!I25,"")</f>
        <v/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" hidden="false" customHeight="true" outlineLevel="0" collapsed="false">
      <c r="A862" s="192" t="str">
        <f aca="false">IF(AND('SETIEMBRE 2026'!D26&lt;&gt;"",'SETIEMBRE 2026'!Z26="POR RECOGER"),"SET","")</f>
        <v/>
      </c>
      <c r="B862" s="192" t="str">
        <f aca="false">IF(AND('SETIEMBRE 2026'!D26&lt;&gt;"",'SETIEMBRE 2026'!Z26="POR RECOGER"),IF('SETIEMBRE 2026'!Y26&lt;&gt;"",'SETIEMBRE 2026'!Y26,'SETIEMBRE 2026'!I26),"")</f>
        <v/>
      </c>
      <c r="C862" s="192" t="str">
        <f aca="false">IF(AND('SETIEMBRE 2026'!D26&lt;&gt;"",'SETIEMBRE 2026'!Z26="POR RECOGER"),'SETIEMBRE 2026'!D26,"")</f>
        <v/>
      </c>
      <c r="D862" s="192" t="str">
        <f aca="false">IF(AND('SETIEMBRE 2026'!D26&lt;&gt;"",'SETIEMBRE 2026'!Z26="POR RECOGER"),'SETIEMBRE 2026'!F26,"")</f>
        <v/>
      </c>
      <c r="E862" s="192" t="str">
        <f aca="false">IF(AND('SETIEMBRE 2026'!D26&lt;&gt;"",'SETIEMBRE 2026'!Z26="POR RECOGER"),TEXT('SETIEMBRE 2026'!G26,"DD/MM/YYYY"),"")</f>
        <v/>
      </c>
      <c r="F862" s="192" t="str">
        <f aca="false">IF(AND('SETIEMBRE 2026'!D26&lt;&gt;"",'SETIEMBRE 2026'!Z26="POR RECOGER"),'SETIEMBRE 2026'!K26,"")</f>
        <v/>
      </c>
      <c r="G862" s="193" t="str">
        <f aca="false">IF(AND('SETIEMBRE 2026'!D26&lt;&gt;"",'SETIEMBRE 2026'!Z26="POR RECOGER"),'SETIEMBRE 2026'!M26,"")</f>
        <v/>
      </c>
      <c r="H862" s="193" t="str">
        <f aca="false">IF(AND('SETIEMBRE 2026'!D26&lt;&gt;"",'SETIEMBRE 2026'!Z26="POR RECOGER"),'SETIEMBRE 2026'!N26,"")</f>
        <v/>
      </c>
      <c r="I862" s="192" t="str">
        <f aca="false">IF(AND('SETIEMBRE 2026'!D26&lt;&gt;"",'SETIEMBRE 2026'!Z26="POR RECOGER"),'SETIEMBRE 2026'!P26,"")</f>
        <v/>
      </c>
      <c r="J862" s="192" t="str">
        <f aca="false">IF(AND('SETIEMBRE 2026'!D26&lt;&gt;"",'SETIEMBRE 2026'!Z26="POR RECOGER"),'SETIEMBRE 2026'!Q26,"")</f>
        <v/>
      </c>
      <c r="K862" s="192" t="str">
        <f aca="false">IF(AND('SETIEMBRE 2026'!D26&lt;&gt;"",'SETIEMBRE 2026'!Z26="POR RECOGER"),'SETIEMBRE 2026'!Y26,"")</f>
        <v/>
      </c>
      <c r="L862" s="192" t="str">
        <f aca="false">IF(AND('SETIEMBRE 2026'!D26&lt;&gt;"",'SETIEMBRE 2026'!Z26="POR RECOGER"),'SETIEMBRE 2026'!I26,"")</f>
        <v/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" hidden="false" customHeight="true" outlineLevel="0" collapsed="false">
      <c r="A863" s="192" t="str">
        <f aca="false">IF(AND('SETIEMBRE 2026'!D27&lt;&gt;"",'SETIEMBRE 2026'!Z27="POR RECOGER"),"SET","")</f>
        <v/>
      </c>
      <c r="B863" s="192" t="str">
        <f aca="false">IF(AND('SETIEMBRE 2026'!D27&lt;&gt;"",'SETIEMBRE 2026'!Z27="POR RECOGER"),IF('SETIEMBRE 2026'!Y27&lt;&gt;"",'SETIEMBRE 2026'!Y27,'SETIEMBRE 2026'!I27),"")</f>
        <v/>
      </c>
      <c r="C863" s="192" t="str">
        <f aca="false">IF(AND('SETIEMBRE 2026'!D27&lt;&gt;"",'SETIEMBRE 2026'!Z27="POR RECOGER"),'SETIEMBRE 2026'!D27,"")</f>
        <v/>
      </c>
      <c r="D863" s="192" t="str">
        <f aca="false">IF(AND('SETIEMBRE 2026'!D27&lt;&gt;"",'SETIEMBRE 2026'!Z27="POR RECOGER"),'SETIEMBRE 2026'!F27,"")</f>
        <v/>
      </c>
      <c r="E863" s="192" t="str">
        <f aca="false">IF(AND('SETIEMBRE 2026'!D27&lt;&gt;"",'SETIEMBRE 2026'!Z27="POR RECOGER"),TEXT('SETIEMBRE 2026'!G27,"DD/MM/YYYY"),"")</f>
        <v/>
      </c>
      <c r="F863" s="192" t="str">
        <f aca="false">IF(AND('SETIEMBRE 2026'!D27&lt;&gt;"",'SETIEMBRE 2026'!Z27="POR RECOGER"),'SETIEMBRE 2026'!K27,"")</f>
        <v/>
      </c>
      <c r="G863" s="193" t="str">
        <f aca="false">IF(AND('SETIEMBRE 2026'!D27&lt;&gt;"",'SETIEMBRE 2026'!Z27="POR RECOGER"),'SETIEMBRE 2026'!M27,"")</f>
        <v/>
      </c>
      <c r="H863" s="193" t="str">
        <f aca="false">IF(AND('SETIEMBRE 2026'!D27&lt;&gt;"",'SETIEMBRE 2026'!Z27="POR RECOGER"),'SETIEMBRE 2026'!N27,"")</f>
        <v/>
      </c>
      <c r="I863" s="192" t="str">
        <f aca="false">IF(AND('SETIEMBRE 2026'!D27&lt;&gt;"",'SETIEMBRE 2026'!Z27="POR RECOGER"),'SETIEMBRE 2026'!P27,"")</f>
        <v/>
      </c>
      <c r="J863" s="192" t="str">
        <f aca="false">IF(AND('SETIEMBRE 2026'!D27&lt;&gt;"",'SETIEMBRE 2026'!Z27="POR RECOGER"),'SETIEMBRE 2026'!Q27,"")</f>
        <v/>
      </c>
      <c r="K863" s="192" t="str">
        <f aca="false">IF(AND('SETIEMBRE 2026'!D27&lt;&gt;"",'SETIEMBRE 2026'!Z27="POR RECOGER"),'SETIEMBRE 2026'!Y27,"")</f>
        <v/>
      </c>
      <c r="L863" s="192" t="str">
        <f aca="false">IF(AND('SETIEMBRE 2026'!D27&lt;&gt;"",'SETIEMBRE 2026'!Z27="POR RECOGER"),'SETIEMBRE 2026'!I27,"")</f>
        <v/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" hidden="false" customHeight="true" outlineLevel="0" collapsed="false">
      <c r="A864" s="192" t="str">
        <f aca="false">IF(AND('SETIEMBRE 2026'!D28&lt;&gt;"",'SETIEMBRE 2026'!Z28="POR RECOGER"),"SET","")</f>
        <v/>
      </c>
      <c r="B864" s="192" t="str">
        <f aca="false">IF(AND('SETIEMBRE 2026'!D28&lt;&gt;"",'SETIEMBRE 2026'!Z28="POR RECOGER"),IF('SETIEMBRE 2026'!Y28&lt;&gt;"",'SETIEMBRE 2026'!Y28,'SETIEMBRE 2026'!I28),"")</f>
        <v/>
      </c>
      <c r="C864" s="192" t="str">
        <f aca="false">IF(AND('SETIEMBRE 2026'!D28&lt;&gt;"",'SETIEMBRE 2026'!Z28="POR RECOGER"),'SETIEMBRE 2026'!D28,"")</f>
        <v/>
      </c>
      <c r="D864" s="192" t="str">
        <f aca="false">IF(AND('SETIEMBRE 2026'!D28&lt;&gt;"",'SETIEMBRE 2026'!Z28="POR RECOGER"),'SETIEMBRE 2026'!F28,"")</f>
        <v/>
      </c>
      <c r="E864" s="192" t="str">
        <f aca="false">IF(AND('SETIEMBRE 2026'!D28&lt;&gt;"",'SETIEMBRE 2026'!Z28="POR RECOGER"),TEXT('SETIEMBRE 2026'!G28,"DD/MM/YYYY"),"")</f>
        <v/>
      </c>
      <c r="F864" s="192" t="str">
        <f aca="false">IF(AND('SETIEMBRE 2026'!D28&lt;&gt;"",'SETIEMBRE 2026'!Z28="POR RECOGER"),'SETIEMBRE 2026'!K28,"")</f>
        <v/>
      </c>
      <c r="G864" s="193" t="str">
        <f aca="false">IF(AND('SETIEMBRE 2026'!D28&lt;&gt;"",'SETIEMBRE 2026'!Z28="POR RECOGER"),'SETIEMBRE 2026'!M28,"")</f>
        <v/>
      </c>
      <c r="H864" s="193" t="str">
        <f aca="false">IF(AND('SETIEMBRE 2026'!D28&lt;&gt;"",'SETIEMBRE 2026'!Z28="POR RECOGER"),'SETIEMBRE 2026'!N28,"")</f>
        <v/>
      </c>
      <c r="I864" s="192" t="str">
        <f aca="false">IF(AND('SETIEMBRE 2026'!D28&lt;&gt;"",'SETIEMBRE 2026'!Z28="POR RECOGER"),'SETIEMBRE 2026'!P28,"")</f>
        <v/>
      </c>
      <c r="J864" s="192" t="str">
        <f aca="false">IF(AND('SETIEMBRE 2026'!D28&lt;&gt;"",'SETIEMBRE 2026'!Z28="POR RECOGER"),'SETIEMBRE 2026'!Q28,"")</f>
        <v/>
      </c>
      <c r="K864" s="192" t="str">
        <f aca="false">IF(AND('SETIEMBRE 2026'!D28&lt;&gt;"",'SETIEMBRE 2026'!Z28="POR RECOGER"),'SETIEMBRE 2026'!Y28,"")</f>
        <v/>
      </c>
      <c r="L864" s="192" t="str">
        <f aca="false">IF(AND('SETIEMBRE 2026'!D28&lt;&gt;"",'SETIEMBRE 2026'!Z28="POR RECOGER"),'SETIEMBRE 2026'!I28,"")</f>
        <v/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" hidden="false" customHeight="true" outlineLevel="0" collapsed="false">
      <c r="A865" s="192" t="str">
        <f aca="false">IF(AND('SETIEMBRE 2026'!D29&lt;&gt;"",'SETIEMBRE 2026'!Z29="POR RECOGER"),"SET","")</f>
        <v/>
      </c>
      <c r="B865" s="192" t="str">
        <f aca="false">IF(AND('SETIEMBRE 2026'!D29&lt;&gt;"",'SETIEMBRE 2026'!Z29="POR RECOGER"),IF('SETIEMBRE 2026'!Y29&lt;&gt;"",'SETIEMBRE 2026'!Y29,'SETIEMBRE 2026'!I29),"")</f>
        <v/>
      </c>
      <c r="C865" s="192" t="str">
        <f aca="false">IF(AND('SETIEMBRE 2026'!D29&lt;&gt;"",'SETIEMBRE 2026'!Z29="POR RECOGER"),'SETIEMBRE 2026'!D29,"")</f>
        <v/>
      </c>
      <c r="D865" s="192" t="str">
        <f aca="false">IF(AND('SETIEMBRE 2026'!D29&lt;&gt;"",'SETIEMBRE 2026'!Z29="POR RECOGER"),'SETIEMBRE 2026'!F29,"")</f>
        <v/>
      </c>
      <c r="E865" s="192" t="str">
        <f aca="false">IF(AND('SETIEMBRE 2026'!D29&lt;&gt;"",'SETIEMBRE 2026'!Z29="POR RECOGER"),TEXT('SETIEMBRE 2026'!G29,"DD/MM/YYYY"),"")</f>
        <v/>
      </c>
      <c r="F865" s="192" t="str">
        <f aca="false">IF(AND('SETIEMBRE 2026'!D29&lt;&gt;"",'SETIEMBRE 2026'!Z29="POR RECOGER"),'SETIEMBRE 2026'!K29,"")</f>
        <v/>
      </c>
      <c r="G865" s="193" t="str">
        <f aca="false">IF(AND('SETIEMBRE 2026'!D29&lt;&gt;"",'SETIEMBRE 2026'!Z29="POR RECOGER"),'SETIEMBRE 2026'!M29,"")</f>
        <v/>
      </c>
      <c r="H865" s="193" t="str">
        <f aca="false">IF(AND('SETIEMBRE 2026'!D29&lt;&gt;"",'SETIEMBRE 2026'!Z29="POR RECOGER"),'SETIEMBRE 2026'!N29,"")</f>
        <v/>
      </c>
      <c r="I865" s="192" t="str">
        <f aca="false">IF(AND('SETIEMBRE 2026'!D29&lt;&gt;"",'SETIEMBRE 2026'!Z29="POR RECOGER"),'SETIEMBRE 2026'!P29,"")</f>
        <v/>
      </c>
      <c r="J865" s="192" t="str">
        <f aca="false">IF(AND('SETIEMBRE 2026'!D29&lt;&gt;"",'SETIEMBRE 2026'!Z29="POR RECOGER"),'SETIEMBRE 2026'!Q29,"")</f>
        <v/>
      </c>
      <c r="K865" s="192" t="str">
        <f aca="false">IF(AND('SETIEMBRE 2026'!D29&lt;&gt;"",'SETIEMBRE 2026'!Z29="POR RECOGER"),'SETIEMBRE 2026'!Y29,"")</f>
        <v/>
      </c>
      <c r="L865" s="192" t="str">
        <f aca="false">IF(AND('SETIEMBRE 2026'!D29&lt;&gt;"",'SETIEMBRE 2026'!Z29="POR RECOGER"),'SETIEMBRE 2026'!I29,"")</f>
        <v/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" hidden="false" customHeight="true" outlineLevel="0" collapsed="false">
      <c r="A866" s="192" t="str">
        <f aca="false">IF(AND('SETIEMBRE 2026'!D30&lt;&gt;"",'SETIEMBRE 2026'!Z30="POR RECOGER"),"SET","")</f>
        <v/>
      </c>
      <c r="B866" s="192" t="str">
        <f aca="false">IF(AND('SETIEMBRE 2026'!D30&lt;&gt;"",'SETIEMBRE 2026'!Z30="POR RECOGER"),IF('SETIEMBRE 2026'!Y30&lt;&gt;"",'SETIEMBRE 2026'!Y30,'SETIEMBRE 2026'!I30),"")</f>
        <v/>
      </c>
      <c r="C866" s="192" t="str">
        <f aca="false">IF(AND('SETIEMBRE 2026'!D30&lt;&gt;"",'SETIEMBRE 2026'!Z30="POR RECOGER"),'SETIEMBRE 2026'!D30,"")</f>
        <v/>
      </c>
      <c r="D866" s="192" t="str">
        <f aca="false">IF(AND('SETIEMBRE 2026'!D30&lt;&gt;"",'SETIEMBRE 2026'!Z30="POR RECOGER"),'SETIEMBRE 2026'!F30,"")</f>
        <v/>
      </c>
      <c r="E866" s="192" t="str">
        <f aca="false">IF(AND('SETIEMBRE 2026'!D30&lt;&gt;"",'SETIEMBRE 2026'!Z30="POR RECOGER"),TEXT('SETIEMBRE 2026'!G30,"DD/MM/YYYY"),"")</f>
        <v/>
      </c>
      <c r="F866" s="192" t="str">
        <f aca="false">IF(AND('SETIEMBRE 2026'!D30&lt;&gt;"",'SETIEMBRE 2026'!Z30="POR RECOGER"),'SETIEMBRE 2026'!K30,"")</f>
        <v/>
      </c>
      <c r="G866" s="193" t="str">
        <f aca="false">IF(AND('SETIEMBRE 2026'!D30&lt;&gt;"",'SETIEMBRE 2026'!Z30="POR RECOGER"),'SETIEMBRE 2026'!M30,"")</f>
        <v/>
      </c>
      <c r="H866" s="193" t="str">
        <f aca="false">IF(AND('SETIEMBRE 2026'!D30&lt;&gt;"",'SETIEMBRE 2026'!Z30="POR RECOGER"),'SETIEMBRE 2026'!N30,"")</f>
        <v/>
      </c>
      <c r="I866" s="192" t="str">
        <f aca="false">IF(AND('SETIEMBRE 2026'!D30&lt;&gt;"",'SETIEMBRE 2026'!Z30="POR RECOGER"),'SETIEMBRE 2026'!P30,"")</f>
        <v/>
      </c>
      <c r="J866" s="192" t="str">
        <f aca="false">IF(AND('SETIEMBRE 2026'!D30&lt;&gt;"",'SETIEMBRE 2026'!Z30="POR RECOGER"),'SETIEMBRE 2026'!Q30,"")</f>
        <v/>
      </c>
      <c r="K866" s="192" t="str">
        <f aca="false">IF(AND('SETIEMBRE 2026'!D30&lt;&gt;"",'SETIEMBRE 2026'!Z30="POR RECOGER"),'SETIEMBRE 2026'!Y30,"")</f>
        <v/>
      </c>
      <c r="L866" s="192" t="str">
        <f aca="false">IF(AND('SETIEMBRE 2026'!D30&lt;&gt;"",'SETIEMBRE 2026'!Z30="POR RECOGER"),'SETIEMBRE 2026'!I30,"")</f>
        <v/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" hidden="false" customHeight="true" outlineLevel="0" collapsed="false">
      <c r="A867" s="192" t="str">
        <f aca="false">IF(AND('SETIEMBRE 2026'!D31&lt;&gt;"",'SETIEMBRE 2026'!Z31="POR RECOGER"),"SET","")</f>
        <v/>
      </c>
      <c r="B867" s="192" t="str">
        <f aca="false">IF(AND('SETIEMBRE 2026'!D31&lt;&gt;"",'SETIEMBRE 2026'!Z31="POR RECOGER"),IF('SETIEMBRE 2026'!Y31&lt;&gt;"",'SETIEMBRE 2026'!Y31,'SETIEMBRE 2026'!I31),"")</f>
        <v/>
      </c>
      <c r="C867" s="192" t="str">
        <f aca="false">IF(AND('SETIEMBRE 2026'!D31&lt;&gt;"",'SETIEMBRE 2026'!Z31="POR RECOGER"),'SETIEMBRE 2026'!D31,"")</f>
        <v/>
      </c>
      <c r="D867" s="192" t="str">
        <f aca="false">IF(AND('SETIEMBRE 2026'!D31&lt;&gt;"",'SETIEMBRE 2026'!Z31="POR RECOGER"),'SETIEMBRE 2026'!F31,"")</f>
        <v/>
      </c>
      <c r="E867" s="192" t="str">
        <f aca="false">IF(AND('SETIEMBRE 2026'!D31&lt;&gt;"",'SETIEMBRE 2026'!Z31="POR RECOGER"),TEXT('SETIEMBRE 2026'!G31,"DD/MM/YYYY"),"")</f>
        <v/>
      </c>
      <c r="F867" s="192" t="str">
        <f aca="false">IF(AND('SETIEMBRE 2026'!D31&lt;&gt;"",'SETIEMBRE 2026'!Z31="POR RECOGER"),'SETIEMBRE 2026'!K31,"")</f>
        <v/>
      </c>
      <c r="G867" s="193" t="str">
        <f aca="false">IF(AND('SETIEMBRE 2026'!D31&lt;&gt;"",'SETIEMBRE 2026'!Z31="POR RECOGER"),'SETIEMBRE 2026'!M31,"")</f>
        <v/>
      </c>
      <c r="H867" s="193" t="str">
        <f aca="false">IF(AND('SETIEMBRE 2026'!D31&lt;&gt;"",'SETIEMBRE 2026'!Z31="POR RECOGER"),'SETIEMBRE 2026'!N31,"")</f>
        <v/>
      </c>
      <c r="I867" s="192" t="str">
        <f aca="false">IF(AND('SETIEMBRE 2026'!D31&lt;&gt;"",'SETIEMBRE 2026'!Z31="POR RECOGER"),'SETIEMBRE 2026'!P31,"")</f>
        <v/>
      </c>
      <c r="J867" s="192" t="str">
        <f aca="false">IF(AND('SETIEMBRE 2026'!D31&lt;&gt;"",'SETIEMBRE 2026'!Z31="POR RECOGER"),'SETIEMBRE 2026'!Q31,"")</f>
        <v/>
      </c>
      <c r="K867" s="192" t="str">
        <f aca="false">IF(AND('SETIEMBRE 2026'!D31&lt;&gt;"",'SETIEMBRE 2026'!Z31="POR RECOGER"),'SETIEMBRE 2026'!Y31,"")</f>
        <v/>
      </c>
      <c r="L867" s="192" t="str">
        <f aca="false">IF(AND('SETIEMBRE 2026'!D31&lt;&gt;"",'SETIEMBRE 2026'!Z31="POR RECOGER"),'SETIEMBRE 2026'!I31,"")</f>
        <v/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" hidden="false" customHeight="true" outlineLevel="0" collapsed="false">
      <c r="A868" s="192" t="str">
        <f aca="false">IF(AND('SETIEMBRE 2026'!D32&lt;&gt;"",'SETIEMBRE 2026'!Z32="POR RECOGER"),"SET","")</f>
        <v/>
      </c>
      <c r="B868" s="192" t="str">
        <f aca="false">IF(AND('SETIEMBRE 2026'!D32&lt;&gt;"",'SETIEMBRE 2026'!Z32="POR RECOGER"),IF('SETIEMBRE 2026'!Y32&lt;&gt;"",'SETIEMBRE 2026'!Y32,'SETIEMBRE 2026'!I32),"")</f>
        <v/>
      </c>
      <c r="C868" s="192" t="str">
        <f aca="false">IF(AND('SETIEMBRE 2026'!D32&lt;&gt;"",'SETIEMBRE 2026'!Z32="POR RECOGER"),'SETIEMBRE 2026'!D32,"")</f>
        <v/>
      </c>
      <c r="D868" s="192" t="str">
        <f aca="false">IF(AND('SETIEMBRE 2026'!D32&lt;&gt;"",'SETIEMBRE 2026'!Z32="POR RECOGER"),'SETIEMBRE 2026'!F32,"")</f>
        <v/>
      </c>
      <c r="E868" s="192" t="str">
        <f aca="false">IF(AND('SETIEMBRE 2026'!D32&lt;&gt;"",'SETIEMBRE 2026'!Z32="POR RECOGER"),TEXT('SETIEMBRE 2026'!G32,"DD/MM/YYYY"),"")</f>
        <v/>
      </c>
      <c r="F868" s="192" t="str">
        <f aca="false">IF(AND('SETIEMBRE 2026'!D32&lt;&gt;"",'SETIEMBRE 2026'!Z32="POR RECOGER"),'SETIEMBRE 2026'!K32,"")</f>
        <v/>
      </c>
      <c r="G868" s="193" t="str">
        <f aca="false">IF(AND('SETIEMBRE 2026'!D32&lt;&gt;"",'SETIEMBRE 2026'!Z32="POR RECOGER"),'SETIEMBRE 2026'!M32,"")</f>
        <v/>
      </c>
      <c r="H868" s="193" t="str">
        <f aca="false">IF(AND('SETIEMBRE 2026'!D32&lt;&gt;"",'SETIEMBRE 2026'!Z32="POR RECOGER"),'SETIEMBRE 2026'!N32,"")</f>
        <v/>
      </c>
      <c r="I868" s="192" t="str">
        <f aca="false">IF(AND('SETIEMBRE 2026'!D32&lt;&gt;"",'SETIEMBRE 2026'!Z32="POR RECOGER"),'SETIEMBRE 2026'!P32,"")</f>
        <v/>
      </c>
      <c r="J868" s="192" t="str">
        <f aca="false">IF(AND('SETIEMBRE 2026'!D32&lt;&gt;"",'SETIEMBRE 2026'!Z32="POR RECOGER"),'SETIEMBRE 2026'!Q32,"")</f>
        <v/>
      </c>
      <c r="K868" s="192" t="str">
        <f aca="false">IF(AND('SETIEMBRE 2026'!D32&lt;&gt;"",'SETIEMBRE 2026'!Z32="POR RECOGER"),'SETIEMBRE 2026'!Y32,"")</f>
        <v/>
      </c>
      <c r="L868" s="192" t="str">
        <f aca="false">IF(AND('SETIEMBRE 2026'!D32&lt;&gt;"",'SETIEMBRE 2026'!Z32="POR RECOGER"),'SETIEMBRE 2026'!I32,"")</f>
        <v/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" hidden="false" customHeight="true" outlineLevel="0" collapsed="false">
      <c r="A869" s="192" t="str">
        <f aca="false">IF(AND('SETIEMBRE 2026'!D33&lt;&gt;"",'SETIEMBRE 2026'!Z33="POR RECOGER"),"SET","")</f>
        <v/>
      </c>
      <c r="B869" s="192" t="str">
        <f aca="false">IF(AND('SETIEMBRE 2026'!D33&lt;&gt;"",'SETIEMBRE 2026'!Z33="POR RECOGER"),IF('SETIEMBRE 2026'!Y33&lt;&gt;"",'SETIEMBRE 2026'!Y33,'SETIEMBRE 2026'!I33),"")</f>
        <v/>
      </c>
      <c r="C869" s="192" t="str">
        <f aca="false">IF(AND('SETIEMBRE 2026'!D33&lt;&gt;"",'SETIEMBRE 2026'!Z33="POR RECOGER"),'SETIEMBRE 2026'!D33,"")</f>
        <v/>
      </c>
      <c r="D869" s="192" t="str">
        <f aca="false">IF(AND('SETIEMBRE 2026'!D33&lt;&gt;"",'SETIEMBRE 2026'!Z33="POR RECOGER"),'SETIEMBRE 2026'!F33,"")</f>
        <v/>
      </c>
      <c r="E869" s="192" t="str">
        <f aca="false">IF(AND('SETIEMBRE 2026'!D33&lt;&gt;"",'SETIEMBRE 2026'!Z33="POR RECOGER"),TEXT('SETIEMBRE 2026'!G33,"DD/MM/YYYY"),"")</f>
        <v/>
      </c>
      <c r="F869" s="192" t="str">
        <f aca="false">IF(AND('SETIEMBRE 2026'!D33&lt;&gt;"",'SETIEMBRE 2026'!Z33="POR RECOGER"),'SETIEMBRE 2026'!K33,"")</f>
        <v/>
      </c>
      <c r="G869" s="193" t="str">
        <f aca="false">IF(AND('SETIEMBRE 2026'!D33&lt;&gt;"",'SETIEMBRE 2026'!Z33="POR RECOGER"),'SETIEMBRE 2026'!M33,"")</f>
        <v/>
      </c>
      <c r="H869" s="193" t="str">
        <f aca="false">IF(AND('SETIEMBRE 2026'!D33&lt;&gt;"",'SETIEMBRE 2026'!Z33="POR RECOGER"),'SETIEMBRE 2026'!N33,"")</f>
        <v/>
      </c>
      <c r="I869" s="192" t="str">
        <f aca="false">IF(AND('SETIEMBRE 2026'!D33&lt;&gt;"",'SETIEMBRE 2026'!Z33="POR RECOGER"),'SETIEMBRE 2026'!P33,"")</f>
        <v/>
      </c>
      <c r="J869" s="192" t="str">
        <f aca="false">IF(AND('SETIEMBRE 2026'!D33&lt;&gt;"",'SETIEMBRE 2026'!Z33="POR RECOGER"),'SETIEMBRE 2026'!Q33,"")</f>
        <v/>
      </c>
      <c r="K869" s="192" t="str">
        <f aca="false">IF(AND('SETIEMBRE 2026'!D33&lt;&gt;"",'SETIEMBRE 2026'!Z33="POR RECOGER"),'SETIEMBRE 2026'!Y33,"")</f>
        <v/>
      </c>
      <c r="L869" s="192" t="str">
        <f aca="false">IF(AND('SETIEMBRE 2026'!D33&lt;&gt;"",'SETIEMBRE 2026'!Z33="POR RECOGER"),'SETIEMBRE 2026'!I33,"")</f>
        <v/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" hidden="false" customHeight="true" outlineLevel="0" collapsed="false">
      <c r="A870" s="192" t="str">
        <f aca="false">IF(AND('SETIEMBRE 2026'!D34&lt;&gt;"",'SETIEMBRE 2026'!Z34="POR RECOGER"),"SET","")</f>
        <v/>
      </c>
      <c r="B870" s="192" t="str">
        <f aca="false">IF(AND('SETIEMBRE 2026'!D34&lt;&gt;"",'SETIEMBRE 2026'!Z34="POR RECOGER"),IF('SETIEMBRE 2026'!Y34&lt;&gt;"",'SETIEMBRE 2026'!Y34,'SETIEMBRE 2026'!I34),"")</f>
        <v/>
      </c>
      <c r="C870" s="192" t="str">
        <f aca="false">IF(AND('SETIEMBRE 2026'!D34&lt;&gt;"",'SETIEMBRE 2026'!Z34="POR RECOGER"),'SETIEMBRE 2026'!D34,"")</f>
        <v/>
      </c>
      <c r="D870" s="192" t="str">
        <f aca="false">IF(AND('SETIEMBRE 2026'!D34&lt;&gt;"",'SETIEMBRE 2026'!Z34="POR RECOGER"),'SETIEMBRE 2026'!F34,"")</f>
        <v/>
      </c>
      <c r="E870" s="192" t="str">
        <f aca="false">IF(AND('SETIEMBRE 2026'!D34&lt;&gt;"",'SETIEMBRE 2026'!Z34="POR RECOGER"),TEXT('SETIEMBRE 2026'!G34,"DD/MM/YYYY"),"")</f>
        <v/>
      </c>
      <c r="F870" s="192" t="str">
        <f aca="false">IF(AND('SETIEMBRE 2026'!D34&lt;&gt;"",'SETIEMBRE 2026'!Z34="POR RECOGER"),'SETIEMBRE 2026'!K34,"")</f>
        <v/>
      </c>
      <c r="G870" s="193" t="str">
        <f aca="false">IF(AND('SETIEMBRE 2026'!D34&lt;&gt;"",'SETIEMBRE 2026'!Z34="POR RECOGER"),'SETIEMBRE 2026'!M34,"")</f>
        <v/>
      </c>
      <c r="H870" s="193" t="str">
        <f aca="false">IF(AND('SETIEMBRE 2026'!D34&lt;&gt;"",'SETIEMBRE 2026'!Z34="POR RECOGER"),'SETIEMBRE 2026'!N34,"")</f>
        <v/>
      </c>
      <c r="I870" s="192" t="str">
        <f aca="false">IF(AND('SETIEMBRE 2026'!D34&lt;&gt;"",'SETIEMBRE 2026'!Z34="POR RECOGER"),'SETIEMBRE 2026'!P34,"")</f>
        <v/>
      </c>
      <c r="J870" s="192" t="str">
        <f aca="false">IF(AND('SETIEMBRE 2026'!D34&lt;&gt;"",'SETIEMBRE 2026'!Z34="POR RECOGER"),'SETIEMBRE 2026'!Q34,"")</f>
        <v/>
      </c>
      <c r="K870" s="192" t="str">
        <f aca="false">IF(AND('SETIEMBRE 2026'!D34&lt;&gt;"",'SETIEMBRE 2026'!Z34="POR RECOGER"),'SETIEMBRE 2026'!Y34,"")</f>
        <v/>
      </c>
      <c r="L870" s="192" t="str">
        <f aca="false">IF(AND('SETIEMBRE 2026'!D34&lt;&gt;"",'SETIEMBRE 2026'!Z34="POR RECOGER"),'SETIEMBRE 2026'!I34,"")</f>
        <v/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" hidden="false" customHeight="true" outlineLevel="0" collapsed="false">
      <c r="A871" s="192" t="str">
        <f aca="false">IF(AND('SETIEMBRE 2026'!D35&lt;&gt;"",'SETIEMBRE 2026'!Z35="POR RECOGER"),"SET","")</f>
        <v/>
      </c>
      <c r="B871" s="192" t="str">
        <f aca="false">IF(AND('SETIEMBRE 2026'!D35&lt;&gt;"",'SETIEMBRE 2026'!Z35="POR RECOGER"),IF('SETIEMBRE 2026'!Y35&lt;&gt;"",'SETIEMBRE 2026'!Y35,'SETIEMBRE 2026'!I35),"")</f>
        <v/>
      </c>
      <c r="C871" s="192" t="str">
        <f aca="false">IF(AND('SETIEMBRE 2026'!D35&lt;&gt;"",'SETIEMBRE 2026'!Z35="POR RECOGER"),'SETIEMBRE 2026'!D35,"")</f>
        <v/>
      </c>
      <c r="D871" s="192" t="str">
        <f aca="false">IF(AND('SETIEMBRE 2026'!D35&lt;&gt;"",'SETIEMBRE 2026'!Z35="POR RECOGER"),'SETIEMBRE 2026'!F35,"")</f>
        <v/>
      </c>
      <c r="E871" s="192" t="str">
        <f aca="false">IF(AND('SETIEMBRE 2026'!D35&lt;&gt;"",'SETIEMBRE 2026'!Z35="POR RECOGER"),TEXT('SETIEMBRE 2026'!G35,"DD/MM/YYYY"),"")</f>
        <v/>
      </c>
      <c r="F871" s="192" t="str">
        <f aca="false">IF(AND('SETIEMBRE 2026'!D35&lt;&gt;"",'SETIEMBRE 2026'!Z35="POR RECOGER"),'SETIEMBRE 2026'!K35,"")</f>
        <v/>
      </c>
      <c r="G871" s="193" t="str">
        <f aca="false">IF(AND('SETIEMBRE 2026'!D35&lt;&gt;"",'SETIEMBRE 2026'!Z35="POR RECOGER"),'SETIEMBRE 2026'!M35,"")</f>
        <v/>
      </c>
      <c r="H871" s="193" t="str">
        <f aca="false">IF(AND('SETIEMBRE 2026'!D35&lt;&gt;"",'SETIEMBRE 2026'!Z35="POR RECOGER"),'SETIEMBRE 2026'!N35,"")</f>
        <v/>
      </c>
      <c r="I871" s="192" t="str">
        <f aca="false">IF(AND('SETIEMBRE 2026'!D35&lt;&gt;"",'SETIEMBRE 2026'!Z35="POR RECOGER"),'SETIEMBRE 2026'!P35,"")</f>
        <v/>
      </c>
      <c r="J871" s="192" t="str">
        <f aca="false">IF(AND('SETIEMBRE 2026'!D35&lt;&gt;"",'SETIEMBRE 2026'!Z35="POR RECOGER"),'SETIEMBRE 2026'!Q35,"")</f>
        <v/>
      </c>
      <c r="K871" s="192" t="str">
        <f aca="false">IF(AND('SETIEMBRE 2026'!D35&lt;&gt;"",'SETIEMBRE 2026'!Z35="POR RECOGER"),'SETIEMBRE 2026'!Y35,"")</f>
        <v/>
      </c>
      <c r="L871" s="192" t="str">
        <f aca="false">IF(AND('SETIEMBRE 2026'!D35&lt;&gt;"",'SETIEMBRE 2026'!Z35="POR RECOGER"),'SETIEMBRE 2026'!I35,"")</f>
        <v/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" hidden="false" customHeight="true" outlineLevel="0" collapsed="false">
      <c r="A872" s="192" t="str">
        <f aca="false">IF(AND('SETIEMBRE 2026'!D36&lt;&gt;"",'SETIEMBRE 2026'!Z36="POR RECOGER"),"SET","")</f>
        <v/>
      </c>
      <c r="B872" s="192" t="str">
        <f aca="false">IF(AND('SETIEMBRE 2026'!D36&lt;&gt;"",'SETIEMBRE 2026'!Z36="POR RECOGER"),IF('SETIEMBRE 2026'!Y36&lt;&gt;"",'SETIEMBRE 2026'!Y36,'SETIEMBRE 2026'!I36),"")</f>
        <v/>
      </c>
      <c r="C872" s="192" t="str">
        <f aca="false">IF(AND('SETIEMBRE 2026'!D36&lt;&gt;"",'SETIEMBRE 2026'!Z36="POR RECOGER"),'SETIEMBRE 2026'!D36,"")</f>
        <v/>
      </c>
      <c r="D872" s="192" t="str">
        <f aca="false">IF(AND('SETIEMBRE 2026'!D36&lt;&gt;"",'SETIEMBRE 2026'!Z36="POR RECOGER"),'SETIEMBRE 2026'!F36,"")</f>
        <v/>
      </c>
      <c r="E872" s="192" t="str">
        <f aca="false">IF(AND('SETIEMBRE 2026'!D36&lt;&gt;"",'SETIEMBRE 2026'!Z36="POR RECOGER"),TEXT('SETIEMBRE 2026'!G36,"DD/MM/YYYY"),"")</f>
        <v/>
      </c>
      <c r="F872" s="192" t="str">
        <f aca="false">IF(AND('SETIEMBRE 2026'!D36&lt;&gt;"",'SETIEMBRE 2026'!Z36="POR RECOGER"),'SETIEMBRE 2026'!K36,"")</f>
        <v/>
      </c>
      <c r="G872" s="193" t="str">
        <f aca="false">IF(AND('SETIEMBRE 2026'!D36&lt;&gt;"",'SETIEMBRE 2026'!Z36="POR RECOGER"),'SETIEMBRE 2026'!M36,"")</f>
        <v/>
      </c>
      <c r="H872" s="193" t="str">
        <f aca="false">IF(AND('SETIEMBRE 2026'!D36&lt;&gt;"",'SETIEMBRE 2026'!Z36="POR RECOGER"),'SETIEMBRE 2026'!N36,"")</f>
        <v/>
      </c>
      <c r="I872" s="192" t="str">
        <f aca="false">IF(AND('SETIEMBRE 2026'!D36&lt;&gt;"",'SETIEMBRE 2026'!Z36="POR RECOGER"),'SETIEMBRE 2026'!P36,"")</f>
        <v/>
      </c>
      <c r="J872" s="192" t="str">
        <f aca="false">IF(AND('SETIEMBRE 2026'!D36&lt;&gt;"",'SETIEMBRE 2026'!Z36="POR RECOGER"),'SETIEMBRE 2026'!Q36,"")</f>
        <v/>
      </c>
      <c r="K872" s="192" t="str">
        <f aca="false">IF(AND('SETIEMBRE 2026'!D36&lt;&gt;"",'SETIEMBRE 2026'!Z36="POR RECOGER"),'SETIEMBRE 2026'!Y36,"")</f>
        <v/>
      </c>
      <c r="L872" s="192" t="str">
        <f aca="false">IF(AND('SETIEMBRE 2026'!D36&lt;&gt;"",'SETIEMBRE 2026'!Z36="POR RECOGER"),'SETIEMBRE 2026'!I36,"")</f>
        <v/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" hidden="false" customHeight="true" outlineLevel="0" collapsed="false">
      <c r="A873" s="192" t="str">
        <f aca="false">IF(AND('SETIEMBRE 2026'!D37&lt;&gt;"",'SETIEMBRE 2026'!Z37="POR RECOGER"),"SET","")</f>
        <v/>
      </c>
      <c r="B873" s="192" t="str">
        <f aca="false">IF(AND('SETIEMBRE 2026'!D37&lt;&gt;"",'SETIEMBRE 2026'!Z37="POR RECOGER"),IF('SETIEMBRE 2026'!Y37&lt;&gt;"",'SETIEMBRE 2026'!Y37,'SETIEMBRE 2026'!I37),"")</f>
        <v/>
      </c>
      <c r="C873" s="192" t="str">
        <f aca="false">IF(AND('SETIEMBRE 2026'!D37&lt;&gt;"",'SETIEMBRE 2026'!Z37="POR RECOGER"),'SETIEMBRE 2026'!D37,"")</f>
        <v/>
      </c>
      <c r="D873" s="192" t="str">
        <f aca="false">IF(AND('SETIEMBRE 2026'!D37&lt;&gt;"",'SETIEMBRE 2026'!Z37="POR RECOGER"),'SETIEMBRE 2026'!F37,"")</f>
        <v/>
      </c>
      <c r="E873" s="192" t="str">
        <f aca="false">IF(AND('SETIEMBRE 2026'!D37&lt;&gt;"",'SETIEMBRE 2026'!Z37="POR RECOGER"),TEXT('SETIEMBRE 2026'!G37,"DD/MM/YYYY"),"")</f>
        <v/>
      </c>
      <c r="F873" s="192" t="str">
        <f aca="false">IF(AND('SETIEMBRE 2026'!D37&lt;&gt;"",'SETIEMBRE 2026'!Z37="POR RECOGER"),'SETIEMBRE 2026'!K37,"")</f>
        <v/>
      </c>
      <c r="G873" s="193" t="str">
        <f aca="false">IF(AND('SETIEMBRE 2026'!D37&lt;&gt;"",'SETIEMBRE 2026'!Z37="POR RECOGER"),'SETIEMBRE 2026'!M37,"")</f>
        <v/>
      </c>
      <c r="H873" s="193" t="str">
        <f aca="false">IF(AND('SETIEMBRE 2026'!D37&lt;&gt;"",'SETIEMBRE 2026'!Z37="POR RECOGER"),'SETIEMBRE 2026'!N37,"")</f>
        <v/>
      </c>
      <c r="I873" s="192" t="str">
        <f aca="false">IF(AND('SETIEMBRE 2026'!D37&lt;&gt;"",'SETIEMBRE 2026'!Z37="POR RECOGER"),'SETIEMBRE 2026'!P37,"")</f>
        <v/>
      </c>
      <c r="J873" s="192" t="str">
        <f aca="false">IF(AND('SETIEMBRE 2026'!D37&lt;&gt;"",'SETIEMBRE 2026'!Z37="POR RECOGER"),'SETIEMBRE 2026'!Q37,"")</f>
        <v/>
      </c>
      <c r="K873" s="192" t="str">
        <f aca="false">IF(AND('SETIEMBRE 2026'!D37&lt;&gt;"",'SETIEMBRE 2026'!Z37="POR RECOGER"),'SETIEMBRE 2026'!Y37,"")</f>
        <v/>
      </c>
      <c r="L873" s="192" t="str">
        <f aca="false">IF(AND('SETIEMBRE 2026'!D37&lt;&gt;"",'SETIEMBRE 2026'!Z37="POR RECOGER"),'SETIEMBRE 2026'!I37,"")</f>
        <v/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" hidden="false" customHeight="true" outlineLevel="0" collapsed="false">
      <c r="A874" s="192" t="str">
        <f aca="false">IF(AND('SETIEMBRE 2026'!D38&lt;&gt;"",'SETIEMBRE 2026'!Z38="POR RECOGER"),"SET","")</f>
        <v/>
      </c>
      <c r="B874" s="192" t="str">
        <f aca="false">IF(AND('SETIEMBRE 2026'!D38&lt;&gt;"",'SETIEMBRE 2026'!Z38="POR RECOGER"),IF('SETIEMBRE 2026'!Y38&lt;&gt;"",'SETIEMBRE 2026'!Y38,'SETIEMBRE 2026'!I38),"")</f>
        <v/>
      </c>
      <c r="C874" s="192" t="str">
        <f aca="false">IF(AND('SETIEMBRE 2026'!D38&lt;&gt;"",'SETIEMBRE 2026'!Z38="POR RECOGER"),'SETIEMBRE 2026'!D38,"")</f>
        <v/>
      </c>
      <c r="D874" s="192" t="str">
        <f aca="false">IF(AND('SETIEMBRE 2026'!D38&lt;&gt;"",'SETIEMBRE 2026'!Z38="POR RECOGER"),'SETIEMBRE 2026'!F38,"")</f>
        <v/>
      </c>
      <c r="E874" s="192" t="str">
        <f aca="false">IF(AND('SETIEMBRE 2026'!D38&lt;&gt;"",'SETIEMBRE 2026'!Z38="POR RECOGER"),TEXT('SETIEMBRE 2026'!G38,"DD/MM/YYYY"),"")</f>
        <v/>
      </c>
      <c r="F874" s="192" t="str">
        <f aca="false">IF(AND('SETIEMBRE 2026'!D38&lt;&gt;"",'SETIEMBRE 2026'!Z38="POR RECOGER"),'SETIEMBRE 2026'!K38,"")</f>
        <v/>
      </c>
      <c r="G874" s="193" t="str">
        <f aca="false">IF(AND('SETIEMBRE 2026'!D38&lt;&gt;"",'SETIEMBRE 2026'!Z38="POR RECOGER"),'SETIEMBRE 2026'!M38,"")</f>
        <v/>
      </c>
      <c r="H874" s="193" t="str">
        <f aca="false">IF(AND('SETIEMBRE 2026'!D38&lt;&gt;"",'SETIEMBRE 2026'!Z38="POR RECOGER"),'SETIEMBRE 2026'!N38,"")</f>
        <v/>
      </c>
      <c r="I874" s="192" t="str">
        <f aca="false">IF(AND('SETIEMBRE 2026'!D38&lt;&gt;"",'SETIEMBRE 2026'!Z38="POR RECOGER"),'SETIEMBRE 2026'!P38,"")</f>
        <v/>
      </c>
      <c r="J874" s="192" t="str">
        <f aca="false">IF(AND('SETIEMBRE 2026'!D38&lt;&gt;"",'SETIEMBRE 2026'!Z38="POR RECOGER"),'SETIEMBRE 2026'!Q38,"")</f>
        <v/>
      </c>
      <c r="K874" s="192" t="str">
        <f aca="false">IF(AND('SETIEMBRE 2026'!D38&lt;&gt;"",'SETIEMBRE 2026'!Z38="POR RECOGER"),'SETIEMBRE 2026'!Y38,"")</f>
        <v/>
      </c>
      <c r="L874" s="192" t="str">
        <f aca="false">IF(AND('SETIEMBRE 2026'!D38&lt;&gt;"",'SETIEMBRE 2026'!Z38="POR RECOGER"),'SETIEMBRE 2026'!I38,"")</f>
        <v/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" hidden="false" customHeight="true" outlineLevel="0" collapsed="false">
      <c r="A875" s="192" t="str">
        <f aca="false">IF(AND('SETIEMBRE 2026'!D39&lt;&gt;"",'SETIEMBRE 2026'!Z39="POR RECOGER"),"SET","")</f>
        <v/>
      </c>
      <c r="B875" s="192" t="str">
        <f aca="false">IF(AND('SETIEMBRE 2026'!D39&lt;&gt;"",'SETIEMBRE 2026'!Z39="POR RECOGER"),IF('SETIEMBRE 2026'!Y39&lt;&gt;"",'SETIEMBRE 2026'!Y39,'SETIEMBRE 2026'!I39),"")</f>
        <v/>
      </c>
      <c r="C875" s="192" t="str">
        <f aca="false">IF(AND('SETIEMBRE 2026'!D39&lt;&gt;"",'SETIEMBRE 2026'!Z39="POR RECOGER"),'SETIEMBRE 2026'!D39,"")</f>
        <v/>
      </c>
      <c r="D875" s="192" t="str">
        <f aca="false">IF(AND('SETIEMBRE 2026'!D39&lt;&gt;"",'SETIEMBRE 2026'!Z39="POR RECOGER"),'SETIEMBRE 2026'!F39,"")</f>
        <v/>
      </c>
      <c r="E875" s="192" t="str">
        <f aca="false">IF(AND('SETIEMBRE 2026'!D39&lt;&gt;"",'SETIEMBRE 2026'!Z39="POR RECOGER"),TEXT('SETIEMBRE 2026'!G39,"DD/MM/YYYY"),"")</f>
        <v/>
      </c>
      <c r="F875" s="192" t="str">
        <f aca="false">IF(AND('SETIEMBRE 2026'!D39&lt;&gt;"",'SETIEMBRE 2026'!Z39="POR RECOGER"),'SETIEMBRE 2026'!K39,"")</f>
        <v/>
      </c>
      <c r="G875" s="193" t="str">
        <f aca="false">IF(AND('SETIEMBRE 2026'!D39&lt;&gt;"",'SETIEMBRE 2026'!Z39="POR RECOGER"),'SETIEMBRE 2026'!M39,"")</f>
        <v/>
      </c>
      <c r="H875" s="193" t="str">
        <f aca="false">IF(AND('SETIEMBRE 2026'!D39&lt;&gt;"",'SETIEMBRE 2026'!Z39="POR RECOGER"),'SETIEMBRE 2026'!N39,"")</f>
        <v/>
      </c>
      <c r="I875" s="192" t="str">
        <f aca="false">IF(AND('SETIEMBRE 2026'!D39&lt;&gt;"",'SETIEMBRE 2026'!Z39="POR RECOGER"),'SETIEMBRE 2026'!P39,"")</f>
        <v/>
      </c>
      <c r="J875" s="192" t="str">
        <f aca="false">IF(AND('SETIEMBRE 2026'!D39&lt;&gt;"",'SETIEMBRE 2026'!Z39="POR RECOGER"),'SETIEMBRE 2026'!Q39,"")</f>
        <v/>
      </c>
      <c r="K875" s="192" t="str">
        <f aca="false">IF(AND('SETIEMBRE 2026'!D39&lt;&gt;"",'SETIEMBRE 2026'!Z39="POR RECOGER"),'SETIEMBRE 2026'!Y39,"")</f>
        <v/>
      </c>
      <c r="L875" s="192" t="str">
        <f aca="false">IF(AND('SETIEMBRE 2026'!D39&lt;&gt;"",'SETIEMBRE 2026'!Z39="POR RECOGER"),'SETIEMBRE 2026'!I39,"")</f>
        <v/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" hidden="false" customHeight="true" outlineLevel="0" collapsed="false">
      <c r="A876" s="192" t="str">
        <f aca="false">IF(AND('SETIEMBRE 2026'!D40&lt;&gt;"",'SETIEMBRE 2026'!Z40="POR RECOGER"),"SET","")</f>
        <v/>
      </c>
      <c r="B876" s="192" t="str">
        <f aca="false">IF(AND('SETIEMBRE 2026'!D40&lt;&gt;"",'SETIEMBRE 2026'!Z40="POR RECOGER"),IF('SETIEMBRE 2026'!Y40&lt;&gt;"",'SETIEMBRE 2026'!Y40,'SETIEMBRE 2026'!I40),"")</f>
        <v/>
      </c>
      <c r="C876" s="192" t="str">
        <f aca="false">IF(AND('SETIEMBRE 2026'!D40&lt;&gt;"",'SETIEMBRE 2026'!Z40="POR RECOGER"),'SETIEMBRE 2026'!D40,"")</f>
        <v/>
      </c>
      <c r="D876" s="192" t="str">
        <f aca="false">IF(AND('SETIEMBRE 2026'!D40&lt;&gt;"",'SETIEMBRE 2026'!Z40="POR RECOGER"),'SETIEMBRE 2026'!F40,"")</f>
        <v/>
      </c>
      <c r="E876" s="192" t="str">
        <f aca="false">IF(AND('SETIEMBRE 2026'!D40&lt;&gt;"",'SETIEMBRE 2026'!Z40="POR RECOGER"),TEXT('SETIEMBRE 2026'!G40,"DD/MM/YYYY"),"")</f>
        <v/>
      </c>
      <c r="F876" s="192" t="str">
        <f aca="false">IF(AND('SETIEMBRE 2026'!D40&lt;&gt;"",'SETIEMBRE 2026'!Z40="POR RECOGER"),'SETIEMBRE 2026'!K40,"")</f>
        <v/>
      </c>
      <c r="G876" s="193" t="str">
        <f aca="false">IF(AND('SETIEMBRE 2026'!D40&lt;&gt;"",'SETIEMBRE 2026'!Z40="POR RECOGER"),'SETIEMBRE 2026'!M40,"")</f>
        <v/>
      </c>
      <c r="H876" s="193" t="str">
        <f aca="false">IF(AND('SETIEMBRE 2026'!D40&lt;&gt;"",'SETIEMBRE 2026'!Z40="POR RECOGER"),'SETIEMBRE 2026'!N40,"")</f>
        <v/>
      </c>
      <c r="I876" s="192" t="str">
        <f aca="false">IF(AND('SETIEMBRE 2026'!D40&lt;&gt;"",'SETIEMBRE 2026'!Z40="POR RECOGER"),'SETIEMBRE 2026'!P40,"")</f>
        <v/>
      </c>
      <c r="J876" s="192" t="str">
        <f aca="false">IF(AND('SETIEMBRE 2026'!D40&lt;&gt;"",'SETIEMBRE 2026'!Z40="POR RECOGER"),'SETIEMBRE 2026'!Q40,"")</f>
        <v/>
      </c>
      <c r="K876" s="192" t="str">
        <f aca="false">IF(AND('SETIEMBRE 2026'!D40&lt;&gt;"",'SETIEMBRE 2026'!Z40="POR RECOGER"),'SETIEMBRE 2026'!Y40,"")</f>
        <v/>
      </c>
      <c r="L876" s="192" t="str">
        <f aca="false">IF(AND('SETIEMBRE 2026'!D40&lt;&gt;"",'SETIEMBRE 2026'!Z40="POR RECOGER"),'SETIEMBRE 2026'!I40,"")</f>
        <v/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" hidden="false" customHeight="true" outlineLevel="0" collapsed="false">
      <c r="A877" s="192" t="str">
        <f aca="false">IF(AND('SETIEMBRE 2026'!D41&lt;&gt;"",'SETIEMBRE 2026'!Z41="POR RECOGER"),"SET","")</f>
        <v/>
      </c>
      <c r="B877" s="192" t="str">
        <f aca="false">IF(AND('SETIEMBRE 2026'!D41&lt;&gt;"",'SETIEMBRE 2026'!Z41="POR RECOGER"),IF('SETIEMBRE 2026'!Y41&lt;&gt;"",'SETIEMBRE 2026'!Y41,'SETIEMBRE 2026'!I41),"")</f>
        <v/>
      </c>
      <c r="C877" s="192" t="str">
        <f aca="false">IF(AND('SETIEMBRE 2026'!D41&lt;&gt;"",'SETIEMBRE 2026'!Z41="POR RECOGER"),'SETIEMBRE 2026'!D41,"")</f>
        <v/>
      </c>
      <c r="D877" s="192" t="str">
        <f aca="false">IF(AND('SETIEMBRE 2026'!D41&lt;&gt;"",'SETIEMBRE 2026'!Z41="POR RECOGER"),'SETIEMBRE 2026'!F41,"")</f>
        <v/>
      </c>
      <c r="E877" s="192" t="str">
        <f aca="false">IF(AND('SETIEMBRE 2026'!D41&lt;&gt;"",'SETIEMBRE 2026'!Z41="POR RECOGER"),TEXT('SETIEMBRE 2026'!G41,"DD/MM/YYYY"),"")</f>
        <v/>
      </c>
      <c r="F877" s="192" t="str">
        <f aca="false">IF(AND('SETIEMBRE 2026'!D41&lt;&gt;"",'SETIEMBRE 2026'!Z41="POR RECOGER"),'SETIEMBRE 2026'!K41,"")</f>
        <v/>
      </c>
      <c r="G877" s="193" t="str">
        <f aca="false">IF(AND('SETIEMBRE 2026'!D41&lt;&gt;"",'SETIEMBRE 2026'!Z41="POR RECOGER"),'SETIEMBRE 2026'!M41,"")</f>
        <v/>
      </c>
      <c r="H877" s="193" t="str">
        <f aca="false">IF(AND('SETIEMBRE 2026'!D41&lt;&gt;"",'SETIEMBRE 2026'!Z41="POR RECOGER"),'SETIEMBRE 2026'!N41,"")</f>
        <v/>
      </c>
      <c r="I877" s="192" t="str">
        <f aca="false">IF(AND('SETIEMBRE 2026'!D41&lt;&gt;"",'SETIEMBRE 2026'!Z41="POR RECOGER"),'SETIEMBRE 2026'!P41,"")</f>
        <v/>
      </c>
      <c r="J877" s="192" t="str">
        <f aca="false">IF(AND('SETIEMBRE 2026'!D41&lt;&gt;"",'SETIEMBRE 2026'!Z41="POR RECOGER"),'SETIEMBRE 2026'!Q41,"")</f>
        <v/>
      </c>
      <c r="K877" s="192" t="str">
        <f aca="false">IF(AND('SETIEMBRE 2026'!D41&lt;&gt;"",'SETIEMBRE 2026'!Z41="POR RECOGER"),'SETIEMBRE 2026'!Y41,"")</f>
        <v/>
      </c>
      <c r="L877" s="192" t="str">
        <f aca="false">IF(AND('SETIEMBRE 2026'!D41&lt;&gt;"",'SETIEMBRE 2026'!Z41="POR RECOGER"),'SETIEMBRE 2026'!I41,"")</f>
        <v/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" hidden="false" customHeight="true" outlineLevel="0" collapsed="false">
      <c r="A878" s="192" t="str">
        <f aca="false">IF(AND('SETIEMBRE 2026'!D42&lt;&gt;"",'SETIEMBRE 2026'!Z42="POR RECOGER"),"SET","")</f>
        <v/>
      </c>
      <c r="B878" s="192" t="str">
        <f aca="false">IF(AND('SETIEMBRE 2026'!D42&lt;&gt;"",'SETIEMBRE 2026'!Z42="POR RECOGER"),IF('SETIEMBRE 2026'!Y42&lt;&gt;"",'SETIEMBRE 2026'!Y42,'SETIEMBRE 2026'!I42),"")</f>
        <v/>
      </c>
      <c r="C878" s="192" t="str">
        <f aca="false">IF(AND('SETIEMBRE 2026'!D42&lt;&gt;"",'SETIEMBRE 2026'!Z42="POR RECOGER"),'SETIEMBRE 2026'!D42,"")</f>
        <v/>
      </c>
      <c r="D878" s="192" t="str">
        <f aca="false">IF(AND('SETIEMBRE 2026'!D42&lt;&gt;"",'SETIEMBRE 2026'!Z42="POR RECOGER"),'SETIEMBRE 2026'!F42,"")</f>
        <v/>
      </c>
      <c r="E878" s="192" t="str">
        <f aca="false">IF(AND('SETIEMBRE 2026'!D42&lt;&gt;"",'SETIEMBRE 2026'!Z42="POR RECOGER"),TEXT('SETIEMBRE 2026'!G42,"DD/MM/YYYY"),"")</f>
        <v/>
      </c>
      <c r="F878" s="192" t="str">
        <f aca="false">IF(AND('SETIEMBRE 2026'!D42&lt;&gt;"",'SETIEMBRE 2026'!Z42="POR RECOGER"),'SETIEMBRE 2026'!K42,"")</f>
        <v/>
      </c>
      <c r="G878" s="193" t="str">
        <f aca="false">IF(AND('SETIEMBRE 2026'!D42&lt;&gt;"",'SETIEMBRE 2026'!Z42="POR RECOGER"),'SETIEMBRE 2026'!M42,"")</f>
        <v/>
      </c>
      <c r="H878" s="193" t="str">
        <f aca="false">IF(AND('SETIEMBRE 2026'!D42&lt;&gt;"",'SETIEMBRE 2026'!Z42="POR RECOGER"),'SETIEMBRE 2026'!N42,"")</f>
        <v/>
      </c>
      <c r="I878" s="192" t="str">
        <f aca="false">IF(AND('SETIEMBRE 2026'!D42&lt;&gt;"",'SETIEMBRE 2026'!Z42="POR RECOGER"),'SETIEMBRE 2026'!P42,"")</f>
        <v/>
      </c>
      <c r="J878" s="192" t="str">
        <f aca="false">IF(AND('SETIEMBRE 2026'!D42&lt;&gt;"",'SETIEMBRE 2026'!Z42="POR RECOGER"),'SETIEMBRE 2026'!Q42,"")</f>
        <v/>
      </c>
      <c r="K878" s="192" t="str">
        <f aca="false">IF(AND('SETIEMBRE 2026'!D42&lt;&gt;"",'SETIEMBRE 2026'!Z42="POR RECOGER"),'SETIEMBRE 2026'!Y42,"")</f>
        <v/>
      </c>
      <c r="L878" s="192" t="str">
        <f aca="false">IF(AND('SETIEMBRE 2026'!D42&lt;&gt;"",'SETIEMBRE 2026'!Z42="POR RECOGER"),'SETIEMBRE 2026'!I42,"")</f>
        <v/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" hidden="false" customHeight="true" outlineLevel="0" collapsed="false">
      <c r="A879" s="192" t="str">
        <f aca="false">IF(AND('SETIEMBRE 2026'!D43&lt;&gt;"",'SETIEMBRE 2026'!Z43="POR RECOGER"),"SET","")</f>
        <v/>
      </c>
      <c r="B879" s="192" t="str">
        <f aca="false">IF(AND('SETIEMBRE 2026'!D43&lt;&gt;"",'SETIEMBRE 2026'!Z43="POR RECOGER"),IF('SETIEMBRE 2026'!Y43&lt;&gt;"",'SETIEMBRE 2026'!Y43,'SETIEMBRE 2026'!I43),"")</f>
        <v/>
      </c>
      <c r="C879" s="192" t="str">
        <f aca="false">IF(AND('SETIEMBRE 2026'!D43&lt;&gt;"",'SETIEMBRE 2026'!Z43="POR RECOGER"),'SETIEMBRE 2026'!D43,"")</f>
        <v/>
      </c>
      <c r="D879" s="192" t="str">
        <f aca="false">IF(AND('SETIEMBRE 2026'!D43&lt;&gt;"",'SETIEMBRE 2026'!Z43="POR RECOGER"),'SETIEMBRE 2026'!F43,"")</f>
        <v/>
      </c>
      <c r="E879" s="192" t="str">
        <f aca="false">IF(AND('SETIEMBRE 2026'!D43&lt;&gt;"",'SETIEMBRE 2026'!Z43="POR RECOGER"),TEXT('SETIEMBRE 2026'!G43,"DD/MM/YYYY"),"")</f>
        <v/>
      </c>
      <c r="F879" s="192" t="str">
        <f aca="false">IF(AND('SETIEMBRE 2026'!D43&lt;&gt;"",'SETIEMBRE 2026'!Z43="POR RECOGER"),'SETIEMBRE 2026'!K43,"")</f>
        <v/>
      </c>
      <c r="G879" s="193" t="str">
        <f aca="false">IF(AND('SETIEMBRE 2026'!D43&lt;&gt;"",'SETIEMBRE 2026'!Z43="POR RECOGER"),'SETIEMBRE 2026'!M43,"")</f>
        <v/>
      </c>
      <c r="H879" s="193" t="str">
        <f aca="false">IF(AND('SETIEMBRE 2026'!D43&lt;&gt;"",'SETIEMBRE 2026'!Z43="POR RECOGER"),'SETIEMBRE 2026'!N43,"")</f>
        <v/>
      </c>
      <c r="I879" s="192" t="str">
        <f aca="false">IF(AND('SETIEMBRE 2026'!D43&lt;&gt;"",'SETIEMBRE 2026'!Z43="POR RECOGER"),'SETIEMBRE 2026'!P43,"")</f>
        <v/>
      </c>
      <c r="J879" s="192" t="str">
        <f aca="false">IF(AND('SETIEMBRE 2026'!D43&lt;&gt;"",'SETIEMBRE 2026'!Z43="POR RECOGER"),'SETIEMBRE 2026'!Q43,"")</f>
        <v/>
      </c>
      <c r="K879" s="192" t="str">
        <f aca="false">IF(AND('SETIEMBRE 2026'!D43&lt;&gt;"",'SETIEMBRE 2026'!Z43="POR RECOGER"),'SETIEMBRE 2026'!Y43,"")</f>
        <v/>
      </c>
      <c r="L879" s="192" t="str">
        <f aca="false">IF(AND('SETIEMBRE 2026'!D43&lt;&gt;"",'SETIEMBRE 2026'!Z43="POR RECOGER"),'SETIEMBRE 2026'!I43,"")</f>
        <v/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" hidden="false" customHeight="true" outlineLevel="0" collapsed="false">
      <c r="A880" s="192" t="str">
        <f aca="false">IF(AND('SETIEMBRE 2026'!D44&lt;&gt;"",'SETIEMBRE 2026'!Z44="POR RECOGER"),"SET","")</f>
        <v/>
      </c>
      <c r="B880" s="192" t="str">
        <f aca="false">IF(AND('SETIEMBRE 2026'!D44&lt;&gt;"",'SETIEMBRE 2026'!Z44="POR RECOGER"),IF('SETIEMBRE 2026'!Y44&lt;&gt;"",'SETIEMBRE 2026'!Y44,'SETIEMBRE 2026'!I44),"")</f>
        <v/>
      </c>
      <c r="C880" s="192" t="str">
        <f aca="false">IF(AND('SETIEMBRE 2026'!D44&lt;&gt;"",'SETIEMBRE 2026'!Z44="POR RECOGER"),'SETIEMBRE 2026'!D44,"")</f>
        <v/>
      </c>
      <c r="D880" s="192" t="str">
        <f aca="false">IF(AND('SETIEMBRE 2026'!D44&lt;&gt;"",'SETIEMBRE 2026'!Z44="POR RECOGER"),'SETIEMBRE 2026'!F44,"")</f>
        <v/>
      </c>
      <c r="E880" s="192" t="str">
        <f aca="false">IF(AND('SETIEMBRE 2026'!D44&lt;&gt;"",'SETIEMBRE 2026'!Z44="POR RECOGER"),TEXT('SETIEMBRE 2026'!G44,"DD/MM/YYYY"),"")</f>
        <v/>
      </c>
      <c r="F880" s="192" t="str">
        <f aca="false">IF(AND('SETIEMBRE 2026'!D44&lt;&gt;"",'SETIEMBRE 2026'!Z44="POR RECOGER"),'SETIEMBRE 2026'!K44,"")</f>
        <v/>
      </c>
      <c r="G880" s="193" t="str">
        <f aca="false">IF(AND('SETIEMBRE 2026'!D44&lt;&gt;"",'SETIEMBRE 2026'!Z44="POR RECOGER"),'SETIEMBRE 2026'!M44,"")</f>
        <v/>
      </c>
      <c r="H880" s="193" t="str">
        <f aca="false">IF(AND('SETIEMBRE 2026'!D44&lt;&gt;"",'SETIEMBRE 2026'!Z44="POR RECOGER"),'SETIEMBRE 2026'!N44,"")</f>
        <v/>
      </c>
      <c r="I880" s="192" t="str">
        <f aca="false">IF(AND('SETIEMBRE 2026'!D44&lt;&gt;"",'SETIEMBRE 2026'!Z44="POR RECOGER"),'SETIEMBRE 2026'!P44,"")</f>
        <v/>
      </c>
      <c r="J880" s="192" t="str">
        <f aca="false">IF(AND('SETIEMBRE 2026'!D44&lt;&gt;"",'SETIEMBRE 2026'!Z44="POR RECOGER"),'SETIEMBRE 2026'!Q44,"")</f>
        <v/>
      </c>
      <c r="K880" s="192" t="str">
        <f aca="false">IF(AND('SETIEMBRE 2026'!D44&lt;&gt;"",'SETIEMBRE 2026'!Z44="POR RECOGER"),'SETIEMBRE 2026'!Y44,"")</f>
        <v/>
      </c>
      <c r="L880" s="192" t="str">
        <f aca="false">IF(AND('SETIEMBRE 2026'!D44&lt;&gt;"",'SETIEMBRE 2026'!Z44="POR RECOGER"),'SETIEMBRE 2026'!I44,"")</f>
        <v/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" hidden="false" customHeight="true" outlineLevel="0" collapsed="false">
      <c r="A881" s="192" t="str">
        <f aca="false">IF(AND('SETIEMBRE 2026'!D45&lt;&gt;"",'SETIEMBRE 2026'!Z45="POR RECOGER"),"SET","")</f>
        <v/>
      </c>
      <c r="B881" s="192" t="str">
        <f aca="false">IF(AND('SETIEMBRE 2026'!D45&lt;&gt;"",'SETIEMBRE 2026'!Z45="POR RECOGER"),IF('SETIEMBRE 2026'!Y45&lt;&gt;"",'SETIEMBRE 2026'!Y45,'SETIEMBRE 2026'!I45),"")</f>
        <v/>
      </c>
      <c r="C881" s="192" t="str">
        <f aca="false">IF(AND('SETIEMBRE 2026'!D45&lt;&gt;"",'SETIEMBRE 2026'!Z45="POR RECOGER"),'SETIEMBRE 2026'!D45,"")</f>
        <v/>
      </c>
      <c r="D881" s="192" t="str">
        <f aca="false">IF(AND('SETIEMBRE 2026'!D45&lt;&gt;"",'SETIEMBRE 2026'!Z45="POR RECOGER"),'SETIEMBRE 2026'!F45,"")</f>
        <v/>
      </c>
      <c r="E881" s="192" t="str">
        <f aca="false">IF(AND('SETIEMBRE 2026'!D45&lt;&gt;"",'SETIEMBRE 2026'!Z45="POR RECOGER"),TEXT('SETIEMBRE 2026'!G45,"DD/MM/YYYY"),"")</f>
        <v/>
      </c>
      <c r="F881" s="192" t="str">
        <f aca="false">IF(AND('SETIEMBRE 2026'!D45&lt;&gt;"",'SETIEMBRE 2026'!Z45="POR RECOGER"),'SETIEMBRE 2026'!K45,"")</f>
        <v/>
      </c>
      <c r="G881" s="193" t="str">
        <f aca="false">IF(AND('SETIEMBRE 2026'!D45&lt;&gt;"",'SETIEMBRE 2026'!Z45="POR RECOGER"),'SETIEMBRE 2026'!M45,"")</f>
        <v/>
      </c>
      <c r="H881" s="193" t="str">
        <f aca="false">IF(AND('SETIEMBRE 2026'!D45&lt;&gt;"",'SETIEMBRE 2026'!Z45="POR RECOGER"),'SETIEMBRE 2026'!N45,"")</f>
        <v/>
      </c>
      <c r="I881" s="192" t="str">
        <f aca="false">IF(AND('SETIEMBRE 2026'!D45&lt;&gt;"",'SETIEMBRE 2026'!Z45="POR RECOGER"),'SETIEMBRE 2026'!P45,"")</f>
        <v/>
      </c>
      <c r="J881" s="192" t="str">
        <f aca="false">IF(AND('SETIEMBRE 2026'!D45&lt;&gt;"",'SETIEMBRE 2026'!Z45="POR RECOGER"),'SETIEMBRE 2026'!Q45,"")</f>
        <v/>
      </c>
      <c r="K881" s="192" t="str">
        <f aca="false">IF(AND('SETIEMBRE 2026'!D45&lt;&gt;"",'SETIEMBRE 2026'!Z45="POR RECOGER"),'SETIEMBRE 2026'!Y45,"")</f>
        <v/>
      </c>
      <c r="L881" s="192" t="str">
        <f aca="false">IF(AND('SETIEMBRE 2026'!D45&lt;&gt;"",'SETIEMBRE 2026'!Z45="POR RECOGER"),'SETIEMBRE 2026'!I45,"")</f>
        <v/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" hidden="false" customHeight="true" outlineLevel="0" collapsed="false">
      <c r="A882" s="192" t="str">
        <f aca="false">IF(AND('SETIEMBRE 2026'!D46&lt;&gt;"",'SETIEMBRE 2026'!Z46="POR RECOGER"),"SET","")</f>
        <v/>
      </c>
      <c r="B882" s="192" t="str">
        <f aca="false">IF(AND('SETIEMBRE 2026'!D46&lt;&gt;"",'SETIEMBRE 2026'!Z46="POR RECOGER"),IF('SETIEMBRE 2026'!Y46&lt;&gt;"",'SETIEMBRE 2026'!Y46,'SETIEMBRE 2026'!I46),"")</f>
        <v/>
      </c>
      <c r="C882" s="192" t="str">
        <f aca="false">IF(AND('SETIEMBRE 2026'!D46&lt;&gt;"",'SETIEMBRE 2026'!Z46="POR RECOGER"),'SETIEMBRE 2026'!D46,"")</f>
        <v/>
      </c>
      <c r="D882" s="192" t="str">
        <f aca="false">IF(AND('SETIEMBRE 2026'!D46&lt;&gt;"",'SETIEMBRE 2026'!Z46="POR RECOGER"),'SETIEMBRE 2026'!F46,"")</f>
        <v/>
      </c>
      <c r="E882" s="192" t="str">
        <f aca="false">IF(AND('SETIEMBRE 2026'!D46&lt;&gt;"",'SETIEMBRE 2026'!Z46="POR RECOGER"),TEXT('SETIEMBRE 2026'!G46,"DD/MM/YYYY"),"")</f>
        <v/>
      </c>
      <c r="F882" s="192" t="str">
        <f aca="false">IF(AND('SETIEMBRE 2026'!D46&lt;&gt;"",'SETIEMBRE 2026'!Z46="POR RECOGER"),'SETIEMBRE 2026'!K46,"")</f>
        <v/>
      </c>
      <c r="G882" s="193" t="str">
        <f aca="false">IF(AND('SETIEMBRE 2026'!D46&lt;&gt;"",'SETIEMBRE 2026'!Z46="POR RECOGER"),'SETIEMBRE 2026'!M46,"")</f>
        <v/>
      </c>
      <c r="H882" s="193" t="str">
        <f aca="false">IF(AND('SETIEMBRE 2026'!D46&lt;&gt;"",'SETIEMBRE 2026'!Z46="POR RECOGER"),'SETIEMBRE 2026'!N46,"")</f>
        <v/>
      </c>
      <c r="I882" s="192" t="str">
        <f aca="false">IF(AND('SETIEMBRE 2026'!D46&lt;&gt;"",'SETIEMBRE 2026'!Z46="POR RECOGER"),'SETIEMBRE 2026'!P46,"")</f>
        <v/>
      </c>
      <c r="J882" s="192" t="str">
        <f aca="false">IF(AND('SETIEMBRE 2026'!D46&lt;&gt;"",'SETIEMBRE 2026'!Z46="POR RECOGER"),'SETIEMBRE 2026'!Q46,"")</f>
        <v/>
      </c>
      <c r="K882" s="192" t="str">
        <f aca="false">IF(AND('SETIEMBRE 2026'!D46&lt;&gt;"",'SETIEMBRE 2026'!Z46="POR RECOGER"),'SETIEMBRE 2026'!Y46,"")</f>
        <v/>
      </c>
      <c r="L882" s="192" t="str">
        <f aca="false">IF(AND('SETIEMBRE 2026'!D46&lt;&gt;"",'SETIEMBRE 2026'!Z46="POR RECOGER"),'SETIEMBRE 2026'!I46,"")</f>
        <v/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" hidden="false" customHeight="true" outlineLevel="0" collapsed="false">
      <c r="A883" s="192" t="str">
        <f aca="false">IF(AND('SETIEMBRE 2026'!D47&lt;&gt;"",'SETIEMBRE 2026'!Z47="POR RECOGER"),"SET","")</f>
        <v/>
      </c>
      <c r="B883" s="192" t="str">
        <f aca="false">IF(AND('SETIEMBRE 2026'!D47&lt;&gt;"",'SETIEMBRE 2026'!Z47="POR RECOGER"),IF('SETIEMBRE 2026'!Y47&lt;&gt;"",'SETIEMBRE 2026'!Y47,'SETIEMBRE 2026'!I47),"")</f>
        <v/>
      </c>
      <c r="C883" s="192" t="str">
        <f aca="false">IF(AND('SETIEMBRE 2026'!D47&lt;&gt;"",'SETIEMBRE 2026'!Z47="POR RECOGER"),'SETIEMBRE 2026'!D47,"")</f>
        <v/>
      </c>
      <c r="D883" s="192" t="str">
        <f aca="false">IF(AND('SETIEMBRE 2026'!D47&lt;&gt;"",'SETIEMBRE 2026'!Z47="POR RECOGER"),'SETIEMBRE 2026'!F47,"")</f>
        <v/>
      </c>
      <c r="E883" s="192" t="str">
        <f aca="false">IF(AND('SETIEMBRE 2026'!D47&lt;&gt;"",'SETIEMBRE 2026'!Z47="POR RECOGER"),TEXT('SETIEMBRE 2026'!G47,"DD/MM/YYYY"),"")</f>
        <v/>
      </c>
      <c r="F883" s="192" t="str">
        <f aca="false">IF(AND('SETIEMBRE 2026'!D47&lt;&gt;"",'SETIEMBRE 2026'!Z47="POR RECOGER"),'SETIEMBRE 2026'!K47,"")</f>
        <v/>
      </c>
      <c r="G883" s="193" t="str">
        <f aca="false">IF(AND('SETIEMBRE 2026'!D47&lt;&gt;"",'SETIEMBRE 2026'!Z47="POR RECOGER"),'SETIEMBRE 2026'!M47,"")</f>
        <v/>
      </c>
      <c r="H883" s="193" t="str">
        <f aca="false">IF(AND('SETIEMBRE 2026'!D47&lt;&gt;"",'SETIEMBRE 2026'!Z47="POR RECOGER"),'SETIEMBRE 2026'!N47,"")</f>
        <v/>
      </c>
      <c r="I883" s="192" t="str">
        <f aca="false">IF(AND('SETIEMBRE 2026'!D47&lt;&gt;"",'SETIEMBRE 2026'!Z47="POR RECOGER"),'SETIEMBRE 2026'!P47,"")</f>
        <v/>
      </c>
      <c r="J883" s="192" t="str">
        <f aca="false">IF(AND('SETIEMBRE 2026'!D47&lt;&gt;"",'SETIEMBRE 2026'!Z47="POR RECOGER"),'SETIEMBRE 2026'!Q47,"")</f>
        <v/>
      </c>
      <c r="K883" s="192" t="str">
        <f aca="false">IF(AND('SETIEMBRE 2026'!D47&lt;&gt;"",'SETIEMBRE 2026'!Z47="POR RECOGER"),'SETIEMBRE 2026'!Y47,"")</f>
        <v/>
      </c>
      <c r="L883" s="192" t="str">
        <f aca="false">IF(AND('SETIEMBRE 2026'!D47&lt;&gt;"",'SETIEMBRE 2026'!Z47="POR RECOGER"),'SETIEMBRE 2026'!I47,"")</f>
        <v/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" hidden="false" customHeight="true" outlineLevel="0" collapsed="false">
      <c r="A884" s="192" t="str">
        <f aca="false">IF(AND('SETIEMBRE 2026'!D48&lt;&gt;"",'SETIEMBRE 2026'!Z48="POR RECOGER"),"SET","")</f>
        <v/>
      </c>
      <c r="B884" s="192" t="str">
        <f aca="false">IF(AND('SETIEMBRE 2026'!D48&lt;&gt;"",'SETIEMBRE 2026'!Z48="POR RECOGER"),IF('SETIEMBRE 2026'!Y48&lt;&gt;"",'SETIEMBRE 2026'!Y48,'SETIEMBRE 2026'!I48),"")</f>
        <v/>
      </c>
      <c r="C884" s="192" t="str">
        <f aca="false">IF(AND('SETIEMBRE 2026'!D48&lt;&gt;"",'SETIEMBRE 2026'!Z48="POR RECOGER"),'SETIEMBRE 2026'!D48,"")</f>
        <v/>
      </c>
      <c r="D884" s="192" t="str">
        <f aca="false">IF(AND('SETIEMBRE 2026'!D48&lt;&gt;"",'SETIEMBRE 2026'!Z48="POR RECOGER"),'SETIEMBRE 2026'!F48,"")</f>
        <v/>
      </c>
      <c r="E884" s="192" t="str">
        <f aca="false">IF(AND('SETIEMBRE 2026'!D48&lt;&gt;"",'SETIEMBRE 2026'!Z48="POR RECOGER"),TEXT('SETIEMBRE 2026'!G48,"DD/MM/YYYY"),"")</f>
        <v/>
      </c>
      <c r="F884" s="192" t="str">
        <f aca="false">IF(AND('SETIEMBRE 2026'!D48&lt;&gt;"",'SETIEMBRE 2026'!Z48="POR RECOGER"),'SETIEMBRE 2026'!K48,"")</f>
        <v/>
      </c>
      <c r="G884" s="193" t="str">
        <f aca="false">IF(AND('SETIEMBRE 2026'!D48&lt;&gt;"",'SETIEMBRE 2026'!Z48="POR RECOGER"),'SETIEMBRE 2026'!M48,"")</f>
        <v/>
      </c>
      <c r="H884" s="193" t="str">
        <f aca="false">IF(AND('SETIEMBRE 2026'!D48&lt;&gt;"",'SETIEMBRE 2026'!Z48="POR RECOGER"),'SETIEMBRE 2026'!N48,"")</f>
        <v/>
      </c>
      <c r="I884" s="192" t="str">
        <f aca="false">IF(AND('SETIEMBRE 2026'!D48&lt;&gt;"",'SETIEMBRE 2026'!Z48="POR RECOGER"),'SETIEMBRE 2026'!P48,"")</f>
        <v/>
      </c>
      <c r="J884" s="192" t="str">
        <f aca="false">IF(AND('SETIEMBRE 2026'!D48&lt;&gt;"",'SETIEMBRE 2026'!Z48="POR RECOGER"),'SETIEMBRE 2026'!Q48,"")</f>
        <v/>
      </c>
      <c r="K884" s="192" t="str">
        <f aca="false">IF(AND('SETIEMBRE 2026'!D48&lt;&gt;"",'SETIEMBRE 2026'!Z48="POR RECOGER"),'SETIEMBRE 2026'!Y48,"")</f>
        <v/>
      </c>
      <c r="L884" s="192" t="str">
        <f aca="false">IF(AND('SETIEMBRE 2026'!D48&lt;&gt;"",'SETIEMBRE 2026'!Z48="POR RECOGER"),'SETIEMBRE 2026'!I48,"")</f>
        <v/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" hidden="false" customHeight="true" outlineLevel="0" collapsed="false">
      <c r="A885" s="192" t="str">
        <f aca="false">IF(AND('SETIEMBRE 2026'!D49&lt;&gt;"",'SETIEMBRE 2026'!Z49="POR RECOGER"),"SET","")</f>
        <v/>
      </c>
      <c r="B885" s="192" t="str">
        <f aca="false">IF(AND('SETIEMBRE 2026'!D49&lt;&gt;"",'SETIEMBRE 2026'!Z49="POR RECOGER"),IF('SETIEMBRE 2026'!Y49&lt;&gt;"",'SETIEMBRE 2026'!Y49,'SETIEMBRE 2026'!I49),"")</f>
        <v/>
      </c>
      <c r="C885" s="192" t="str">
        <f aca="false">IF(AND('SETIEMBRE 2026'!D49&lt;&gt;"",'SETIEMBRE 2026'!Z49="POR RECOGER"),'SETIEMBRE 2026'!D49,"")</f>
        <v/>
      </c>
      <c r="D885" s="192" t="str">
        <f aca="false">IF(AND('SETIEMBRE 2026'!D49&lt;&gt;"",'SETIEMBRE 2026'!Z49="POR RECOGER"),'SETIEMBRE 2026'!F49,"")</f>
        <v/>
      </c>
      <c r="E885" s="192" t="str">
        <f aca="false">IF(AND('SETIEMBRE 2026'!D49&lt;&gt;"",'SETIEMBRE 2026'!Z49="POR RECOGER"),TEXT('SETIEMBRE 2026'!G49,"DD/MM/YYYY"),"")</f>
        <v/>
      </c>
      <c r="F885" s="192" t="str">
        <f aca="false">IF(AND('SETIEMBRE 2026'!D49&lt;&gt;"",'SETIEMBRE 2026'!Z49="POR RECOGER"),'SETIEMBRE 2026'!K49,"")</f>
        <v/>
      </c>
      <c r="G885" s="193" t="str">
        <f aca="false">IF(AND('SETIEMBRE 2026'!D49&lt;&gt;"",'SETIEMBRE 2026'!Z49="POR RECOGER"),'SETIEMBRE 2026'!M49,"")</f>
        <v/>
      </c>
      <c r="H885" s="193" t="str">
        <f aca="false">IF(AND('SETIEMBRE 2026'!D49&lt;&gt;"",'SETIEMBRE 2026'!Z49="POR RECOGER"),'SETIEMBRE 2026'!N49,"")</f>
        <v/>
      </c>
      <c r="I885" s="192" t="str">
        <f aca="false">IF(AND('SETIEMBRE 2026'!D49&lt;&gt;"",'SETIEMBRE 2026'!Z49="POR RECOGER"),'SETIEMBRE 2026'!P49,"")</f>
        <v/>
      </c>
      <c r="J885" s="192" t="str">
        <f aca="false">IF(AND('SETIEMBRE 2026'!D49&lt;&gt;"",'SETIEMBRE 2026'!Z49="POR RECOGER"),'SETIEMBRE 2026'!Q49,"")</f>
        <v/>
      </c>
      <c r="K885" s="192" t="str">
        <f aca="false">IF(AND('SETIEMBRE 2026'!D49&lt;&gt;"",'SETIEMBRE 2026'!Z49="POR RECOGER"),'SETIEMBRE 2026'!Y49,"")</f>
        <v/>
      </c>
      <c r="L885" s="192" t="str">
        <f aca="false">IF(AND('SETIEMBRE 2026'!D49&lt;&gt;"",'SETIEMBRE 2026'!Z49="POR RECOGER"),'SETIEMBRE 2026'!I49,"")</f>
        <v/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" hidden="false" customHeight="true" outlineLevel="0" collapsed="false">
      <c r="A886" s="192" t="str">
        <f aca="false">IF(AND('SETIEMBRE 2026'!D50&lt;&gt;"",'SETIEMBRE 2026'!Z50="POR RECOGER"),"SET","")</f>
        <v/>
      </c>
      <c r="B886" s="192" t="str">
        <f aca="false">IF(AND('SETIEMBRE 2026'!D50&lt;&gt;"",'SETIEMBRE 2026'!Z50="POR RECOGER"),IF('SETIEMBRE 2026'!Y50&lt;&gt;"",'SETIEMBRE 2026'!Y50,'SETIEMBRE 2026'!I50),"")</f>
        <v/>
      </c>
      <c r="C886" s="192" t="str">
        <f aca="false">IF(AND('SETIEMBRE 2026'!D50&lt;&gt;"",'SETIEMBRE 2026'!Z50="POR RECOGER"),'SETIEMBRE 2026'!D50,"")</f>
        <v/>
      </c>
      <c r="D886" s="192" t="str">
        <f aca="false">IF(AND('SETIEMBRE 2026'!D50&lt;&gt;"",'SETIEMBRE 2026'!Z50="POR RECOGER"),'SETIEMBRE 2026'!F50,"")</f>
        <v/>
      </c>
      <c r="E886" s="192" t="str">
        <f aca="false">IF(AND('SETIEMBRE 2026'!D50&lt;&gt;"",'SETIEMBRE 2026'!Z50="POR RECOGER"),TEXT('SETIEMBRE 2026'!G50,"DD/MM/YYYY"),"")</f>
        <v/>
      </c>
      <c r="F886" s="192" t="str">
        <f aca="false">IF(AND('SETIEMBRE 2026'!D50&lt;&gt;"",'SETIEMBRE 2026'!Z50="POR RECOGER"),'SETIEMBRE 2026'!K50,"")</f>
        <v/>
      </c>
      <c r="G886" s="193" t="str">
        <f aca="false">IF(AND('SETIEMBRE 2026'!D50&lt;&gt;"",'SETIEMBRE 2026'!Z50="POR RECOGER"),'SETIEMBRE 2026'!M50,"")</f>
        <v/>
      </c>
      <c r="H886" s="193" t="str">
        <f aca="false">IF(AND('SETIEMBRE 2026'!D50&lt;&gt;"",'SETIEMBRE 2026'!Z50="POR RECOGER"),'SETIEMBRE 2026'!N50,"")</f>
        <v/>
      </c>
      <c r="I886" s="192" t="str">
        <f aca="false">IF(AND('SETIEMBRE 2026'!D50&lt;&gt;"",'SETIEMBRE 2026'!Z50="POR RECOGER"),'SETIEMBRE 2026'!P50,"")</f>
        <v/>
      </c>
      <c r="J886" s="192" t="str">
        <f aca="false">IF(AND('SETIEMBRE 2026'!D50&lt;&gt;"",'SETIEMBRE 2026'!Z50="POR RECOGER"),'SETIEMBRE 2026'!Q50,"")</f>
        <v/>
      </c>
      <c r="K886" s="192" t="str">
        <f aca="false">IF(AND('SETIEMBRE 2026'!D50&lt;&gt;"",'SETIEMBRE 2026'!Z50="POR RECOGER"),'SETIEMBRE 2026'!Y50,"")</f>
        <v/>
      </c>
      <c r="L886" s="192" t="str">
        <f aca="false">IF(AND('SETIEMBRE 2026'!D50&lt;&gt;"",'SETIEMBRE 2026'!Z50="POR RECOGER"),'SETIEMBRE 2026'!I50,"")</f>
        <v/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" hidden="false" customHeight="true" outlineLevel="0" collapsed="false">
      <c r="A887" s="192" t="str">
        <f aca="false">IF(AND('SETIEMBRE 2026'!D51&lt;&gt;"",'SETIEMBRE 2026'!Z51="POR RECOGER"),"SET","")</f>
        <v/>
      </c>
      <c r="B887" s="192" t="str">
        <f aca="false">IF(AND('SETIEMBRE 2026'!D51&lt;&gt;"",'SETIEMBRE 2026'!Z51="POR RECOGER"),IF('SETIEMBRE 2026'!Y51&lt;&gt;"",'SETIEMBRE 2026'!Y51,'SETIEMBRE 2026'!I51),"")</f>
        <v/>
      </c>
      <c r="C887" s="192" t="str">
        <f aca="false">IF(AND('SETIEMBRE 2026'!D51&lt;&gt;"",'SETIEMBRE 2026'!Z51="POR RECOGER"),'SETIEMBRE 2026'!D51,"")</f>
        <v/>
      </c>
      <c r="D887" s="192" t="str">
        <f aca="false">IF(AND('SETIEMBRE 2026'!D51&lt;&gt;"",'SETIEMBRE 2026'!Z51="POR RECOGER"),'SETIEMBRE 2026'!F51,"")</f>
        <v/>
      </c>
      <c r="E887" s="192" t="str">
        <f aca="false">IF(AND('SETIEMBRE 2026'!D51&lt;&gt;"",'SETIEMBRE 2026'!Z51="POR RECOGER"),TEXT('SETIEMBRE 2026'!G51,"DD/MM/YYYY"),"")</f>
        <v/>
      </c>
      <c r="F887" s="192" t="str">
        <f aca="false">IF(AND('SETIEMBRE 2026'!D51&lt;&gt;"",'SETIEMBRE 2026'!Z51="POR RECOGER"),'SETIEMBRE 2026'!K51,"")</f>
        <v/>
      </c>
      <c r="G887" s="193" t="str">
        <f aca="false">IF(AND('SETIEMBRE 2026'!D51&lt;&gt;"",'SETIEMBRE 2026'!Z51="POR RECOGER"),'SETIEMBRE 2026'!M51,"")</f>
        <v/>
      </c>
      <c r="H887" s="193" t="str">
        <f aca="false">IF(AND('SETIEMBRE 2026'!D51&lt;&gt;"",'SETIEMBRE 2026'!Z51="POR RECOGER"),'SETIEMBRE 2026'!N51,"")</f>
        <v/>
      </c>
      <c r="I887" s="192" t="str">
        <f aca="false">IF(AND('SETIEMBRE 2026'!D51&lt;&gt;"",'SETIEMBRE 2026'!Z51="POR RECOGER"),'SETIEMBRE 2026'!P51,"")</f>
        <v/>
      </c>
      <c r="J887" s="192" t="str">
        <f aca="false">IF(AND('SETIEMBRE 2026'!D51&lt;&gt;"",'SETIEMBRE 2026'!Z51="POR RECOGER"),'SETIEMBRE 2026'!Q51,"")</f>
        <v/>
      </c>
      <c r="K887" s="192" t="str">
        <f aca="false">IF(AND('SETIEMBRE 2026'!D51&lt;&gt;"",'SETIEMBRE 2026'!Z51="POR RECOGER"),'SETIEMBRE 2026'!Y51,"")</f>
        <v/>
      </c>
      <c r="L887" s="192" t="str">
        <f aca="false">IF(AND('SETIEMBRE 2026'!D51&lt;&gt;"",'SETIEMBRE 2026'!Z51="POR RECOGER"),'SETIEMBRE 2026'!I51,"")</f>
        <v/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" hidden="false" customHeight="true" outlineLevel="0" collapsed="false">
      <c r="A888" s="192" t="str">
        <f aca="false">IF(AND('SETIEMBRE 2026'!D52&lt;&gt;"",'SETIEMBRE 2026'!Z52="POR RECOGER"),"SET","")</f>
        <v/>
      </c>
      <c r="B888" s="192" t="str">
        <f aca="false">IF(AND('SETIEMBRE 2026'!D52&lt;&gt;"",'SETIEMBRE 2026'!Z52="POR RECOGER"),IF('SETIEMBRE 2026'!Y52&lt;&gt;"",'SETIEMBRE 2026'!Y52,'SETIEMBRE 2026'!I52),"")</f>
        <v/>
      </c>
      <c r="C888" s="192" t="str">
        <f aca="false">IF(AND('SETIEMBRE 2026'!D52&lt;&gt;"",'SETIEMBRE 2026'!Z52="POR RECOGER"),'SETIEMBRE 2026'!D52,"")</f>
        <v/>
      </c>
      <c r="D888" s="192" t="str">
        <f aca="false">IF(AND('SETIEMBRE 2026'!D52&lt;&gt;"",'SETIEMBRE 2026'!Z52="POR RECOGER"),'SETIEMBRE 2026'!F52,"")</f>
        <v/>
      </c>
      <c r="E888" s="192" t="str">
        <f aca="false">IF(AND('SETIEMBRE 2026'!D52&lt;&gt;"",'SETIEMBRE 2026'!Z52="POR RECOGER"),TEXT('SETIEMBRE 2026'!G52,"DD/MM/YYYY"),"")</f>
        <v/>
      </c>
      <c r="F888" s="192" t="str">
        <f aca="false">IF(AND('SETIEMBRE 2026'!D52&lt;&gt;"",'SETIEMBRE 2026'!Z52="POR RECOGER"),'SETIEMBRE 2026'!K52,"")</f>
        <v/>
      </c>
      <c r="G888" s="193" t="str">
        <f aca="false">IF(AND('SETIEMBRE 2026'!D52&lt;&gt;"",'SETIEMBRE 2026'!Z52="POR RECOGER"),'SETIEMBRE 2026'!M52,"")</f>
        <v/>
      </c>
      <c r="H888" s="193" t="str">
        <f aca="false">IF(AND('SETIEMBRE 2026'!D52&lt;&gt;"",'SETIEMBRE 2026'!Z52="POR RECOGER"),'SETIEMBRE 2026'!N52,"")</f>
        <v/>
      </c>
      <c r="I888" s="192" t="str">
        <f aca="false">IF(AND('SETIEMBRE 2026'!D52&lt;&gt;"",'SETIEMBRE 2026'!Z52="POR RECOGER"),'SETIEMBRE 2026'!P52,"")</f>
        <v/>
      </c>
      <c r="J888" s="192" t="str">
        <f aca="false">IF(AND('SETIEMBRE 2026'!D52&lt;&gt;"",'SETIEMBRE 2026'!Z52="POR RECOGER"),'SETIEMBRE 2026'!Q52,"")</f>
        <v/>
      </c>
      <c r="K888" s="192" t="str">
        <f aca="false">IF(AND('SETIEMBRE 2026'!D52&lt;&gt;"",'SETIEMBRE 2026'!Z52="POR RECOGER"),'SETIEMBRE 2026'!Y52,"")</f>
        <v/>
      </c>
      <c r="L888" s="192" t="str">
        <f aca="false">IF(AND('SETIEMBRE 2026'!D52&lt;&gt;"",'SETIEMBRE 2026'!Z52="POR RECOGER"),'SETIEMBRE 2026'!I52,"")</f>
        <v/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" hidden="false" customHeight="true" outlineLevel="0" collapsed="false">
      <c r="A889" s="192" t="str">
        <f aca="false">IF(AND('SETIEMBRE 2026'!D53&lt;&gt;"",'SETIEMBRE 2026'!Z53="POR RECOGER"),"SET","")</f>
        <v/>
      </c>
      <c r="B889" s="192" t="str">
        <f aca="false">IF(AND('SETIEMBRE 2026'!D53&lt;&gt;"",'SETIEMBRE 2026'!Z53="POR RECOGER"),IF('SETIEMBRE 2026'!Y53&lt;&gt;"",'SETIEMBRE 2026'!Y53,'SETIEMBRE 2026'!I53),"")</f>
        <v/>
      </c>
      <c r="C889" s="192" t="str">
        <f aca="false">IF(AND('SETIEMBRE 2026'!D53&lt;&gt;"",'SETIEMBRE 2026'!Z53="POR RECOGER"),'SETIEMBRE 2026'!D53,"")</f>
        <v/>
      </c>
      <c r="D889" s="192" t="str">
        <f aca="false">IF(AND('SETIEMBRE 2026'!D53&lt;&gt;"",'SETIEMBRE 2026'!Z53="POR RECOGER"),'SETIEMBRE 2026'!F53,"")</f>
        <v/>
      </c>
      <c r="E889" s="192" t="str">
        <f aca="false">IF(AND('SETIEMBRE 2026'!D53&lt;&gt;"",'SETIEMBRE 2026'!Z53="POR RECOGER"),TEXT('SETIEMBRE 2026'!G53,"DD/MM/YYYY"),"")</f>
        <v/>
      </c>
      <c r="F889" s="192" t="str">
        <f aca="false">IF(AND('SETIEMBRE 2026'!D53&lt;&gt;"",'SETIEMBRE 2026'!Z53="POR RECOGER"),'SETIEMBRE 2026'!K53,"")</f>
        <v/>
      </c>
      <c r="G889" s="193" t="str">
        <f aca="false">IF(AND('SETIEMBRE 2026'!D53&lt;&gt;"",'SETIEMBRE 2026'!Z53="POR RECOGER"),'SETIEMBRE 2026'!M53,"")</f>
        <v/>
      </c>
      <c r="H889" s="193" t="str">
        <f aca="false">IF(AND('SETIEMBRE 2026'!D53&lt;&gt;"",'SETIEMBRE 2026'!Z53="POR RECOGER"),'SETIEMBRE 2026'!N53,"")</f>
        <v/>
      </c>
      <c r="I889" s="192" t="str">
        <f aca="false">IF(AND('SETIEMBRE 2026'!D53&lt;&gt;"",'SETIEMBRE 2026'!Z53="POR RECOGER"),'SETIEMBRE 2026'!P53,"")</f>
        <v/>
      </c>
      <c r="J889" s="192" t="str">
        <f aca="false">IF(AND('SETIEMBRE 2026'!D53&lt;&gt;"",'SETIEMBRE 2026'!Z53="POR RECOGER"),'SETIEMBRE 2026'!Q53,"")</f>
        <v/>
      </c>
      <c r="K889" s="192" t="str">
        <f aca="false">IF(AND('SETIEMBRE 2026'!D53&lt;&gt;"",'SETIEMBRE 2026'!Z53="POR RECOGER"),'SETIEMBRE 2026'!Y53,"")</f>
        <v/>
      </c>
      <c r="L889" s="192" t="str">
        <f aca="false">IF(AND('SETIEMBRE 2026'!D53&lt;&gt;"",'SETIEMBRE 2026'!Z53="POR RECOGER"),'SETIEMBRE 2026'!I53,"")</f>
        <v/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" hidden="false" customHeight="true" outlineLevel="0" collapsed="false">
      <c r="A890" s="192" t="str">
        <f aca="false">IF(AND('SETIEMBRE 2026'!D54&lt;&gt;"",'SETIEMBRE 2026'!Z54="POR RECOGER"),"SET","")</f>
        <v/>
      </c>
      <c r="B890" s="192" t="str">
        <f aca="false">IF(AND('SETIEMBRE 2026'!D54&lt;&gt;"",'SETIEMBRE 2026'!Z54="POR RECOGER"),IF('SETIEMBRE 2026'!Y54&lt;&gt;"",'SETIEMBRE 2026'!Y54,'SETIEMBRE 2026'!I54),"")</f>
        <v/>
      </c>
      <c r="C890" s="192" t="str">
        <f aca="false">IF(AND('SETIEMBRE 2026'!D54&lt;&gt;"",'SETIEMBRE 2026'!Z54="POR RECOGER"),'SETIEMBRE 2026'!D54,"")</f>
        <v/>
      </c>
      <c r="D890" s="192" t="str">
        <f aca="false">IF(AND('SETIEMBRE 2026'!D54&lt;&gt;"",'SETIEMBRE 2026'!Z54="POR RECOGER"),'SETIEMBRE 2026'!F54,"")</f>
        <v/>
      </c>
      <c r="E890" s="192" t="str">
        <f aca="false">IF(AND('SETIEMBRE 2026'!D54&lt;&gt;"",'SETIEMBRE 2026'!Z54="POR RECOGER"),TEXT('SETIEMBRE 2026'!G54,"DD/MM/YYYY"),"")</f>
        <v/>
      </c>
      <c r="F890" s="192" t="str">
        <f aca="false">IF(AND('SETIEMBRE 2026'!D54&lt;&gt;"",'SETIEMBRE 2026'!Z54="POR RECOGER"),'SETIEMBRE 2026'!K54,"")</f>
        <v/>
      </c>
      <c r="G890" s="193" t="str">
        <f aca="false">IF(AND('SETIEMBRE 2026'!D54&lt;&gt;"",'SETIEMBRE 2026'!Z54="POR RECOGER"),'SETIEMBRE 2026'!M54,"")</f>
        <v/>
      </c>
      <c r="H890" s="193" t="str">
        <f aca="false">IF(AND('SETIEMBRE 2026'!D54&lt;&gt;"",'SETIEMBRE 2026'!Z54="POR RECOGER"),'SETIEMBRE 2026'!N54,"")</f>
        <v/>
      </c>
      <c r="I890" s="192" t="str">
        <f aca="false">IF(AND('SETIEMBRE 2026'!D54&lt;&gt;"",'SETIEMBRE 2026'!Z54="POR RECOGER"),'SETIEMBRE 2026'!P54,"")</f>
        <v/>
      </c>
      <c r="J890" s="192" t="str">
        <f aca="false">IF(AND('SETIEMBRE 2026'!D54&lt;&gt;"",'SETIEMBRE 2026'!Z54="POR RECOGER"),'SETIEMBRE 2026'!Q54,"")</f>
        <v/>
      </c>
      <c r="K890" s="192" t="str">
        <f aca="false">IF(AND('SETIEMBRE 2026'!D54&lt;&gt;"",'SETIEMBRE 2026'!Z54="POR RECOGER"),'SETIEMBRE 2026'!Y54,"")</f>
        <v/>
      </c>
      <c r="L890" s="192" t="str">
        <f aca="false">IF(AND('SETIEMBRE 2026'!D54&lt;&gt;"",'SETIEMBRE 2026'!Z54="POR RECOGER"),'SETIEMBRE 2026'!I54,"")</f>
        <v/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" hidden="false" customHeight="true" outlineLevel="0" collapsed="false">
      <c r="A891" s="192" t="str">
        <f aca="false">IF(AND('SETIEMBRE 2026'!D55&lt;&gt;"",'SETIEMBRE 2026'!Z55="POR RECOGER"),"SET","")</f>
        <v/>
      </c>
      <c r="B891" s="192" t="str">
        <f aca="false">IF(AND('SETIEMBRE 2026'!D55&lt;&gt;"",'SETIEMBRE 2026'!Z55="POR RECOGER"),IF('SETIEMBRE 2026'!Y55&lt;&gt;"",'SETIEMBRE 2026'!Y55,'SETIEMBRE 2026'!I55),"")</f>
        <v/>
      </c>
      <c r="C891" s="192" t="str">
        <f aca="false">IF(AND('SETIEMBRE 2026'!D55&lt;&gt;"",'SETIEMBRE 2026'!Z55="POR RECOGER"),'SETIEMBRE 2026'!D55,"")</f>
        <v/>
      </c>
      <c r="D891" s="192" t="str">
        <f aca="false">IF(AND('SETIEMBRE 2026'!D55&lt;&gt;"",'SETIEMBRE 2026'!Z55="POR RECOGER"),'SETIEMBRE 2026'!F55,"")</f>
        <v/>
      </c>
      <c r="E891" s="192" t="str">
        <f aca="false">IF(AND('SETIEMBRE 2026'!D55&lt;&gt;"",'SETIEMBRE 2026'!Z55="POR RECOGER"),TEXT('SETIEMBRE 2026'!G55,"DD/MM/YYYY"),"")</f>
        <v/>
      </c>
      <c r="F891" s="192" t="str">
        <f aca="false">IF(AND('SETIEMBRE 2026'!D55&lt;&gt;"",'SETIEMBRE 2026'!Z55="POR RECOGER"),'SETIEMBRE 2026'!K55,"")</f>
        <v/>
      </c>
      <c r="G891" s="193" t="str">
        <f aca="false">IF(AND('SETIEMBRE 2026'!D55&lt;&gt;"",'SETIEMBRE 2026'!Z55="POR RECOGER"),'SETIEMBRE 2026'!M55,"")</f>
        <v/>
      </c>
      <c r="H891" s="193" t="str">
        <f aca="false">IF(AND('SETIEMBRE 2026'!D55&lt;&gt;"",'SETIEMBRE 2026'!Z55="POR RECOGER"),'SETIEMBRE 2026'!N55,"")</f>
        <v/>
      </c>
      <c r="I891" s="192" t="str">
        <f aca="false">IF(AND('SETIEMBRE 2026'!D55&lt;&gt;"",'SETIEMBRE 2026'!Z55="POR RECOGER"),'SETIEMBRE 2026'!P55,"")</f>
        <v/>
      </c>
      <c r="J891" s="192" t="str">
        <f aca="false">IF(AND('SETIEMBRE 2026'!D55&lt;&gt;"",'SETIEMBRE 2026'!Z55="POR RECOGER"),'SETIEMBRE 2026'!Q55,"")</f>
        <v/>
      </c>
      <c r="K891" s="192" t="str">
        <f aca="false">IF(AND('SETIEMBRE 2026'!D55&lt;&gt;"",'SETIEMBRE 2026'!Z55="POR RECOGER"),'SETIEMBRE 2026'!Y55,"")</f>
        <v/>
      </c>
      <c r="L891" s="192" t="str">
        <f aca="false">IF(AND('SETIEMBRE 2026'!D55&lt;&gt;"",'SETIEMBRE 2026'!Z55="POR RECOGER"),'SETIEMBRE 2026'!I55,"")</f>
        <v/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" hidden="false" customHeight="true" outlineLevel="0" collapsed="false">
      <c r="A892" s="192" t="str">
        <f aca="false">IF(AND('SETIEMBRE 2026'!D56&lt;&gt;"",'SETIEMBRE 2026'!Z56="POR RECOGER"),"SET","")</f>
        <v/>
      </c>
      <c r="B892" s="192" t="str">
        <f aca="false">IF(AND('SETIEMBRE 2026'!D56&lt;&gt;"",'SETIEMBRE 2026'!Z56="POR RECOGER"),IF('SETIEMBRE 2026'!Y56&lt;&gt;"",'SETIEMBRE 2026'!Y56,'SETIEMBRE 2026'!I56),"")</f>
        <v/>
      </c>
      <c r="C892" s="192" t="str">
        <f aca="false">IF(AND('SETIEMBRE 2026'!D56&lt;&gt;"",'SETIEMBRE 2026'!Z56="POR RECOGER"),'SETIEMBRE 2026'!D56,"")</f>
        <v/>
      </c>
      <c r="D892" s="192" t="str">
        <f aca="false">IF(AND('SETIEMBRE 2026'!D56&lt;&gt;"",'SETIEMBRE 2026'!Z56="POR RECOGER"),'SETIEMBRE 2026'!F56,"")</f>
        <v/>
      </c>
      <c r="E892" s="192" t="str">
        <f aca="false">IF(AND('SETIEMBRE 2026'!D56&lt;&gt;"",'SETIEMBRE 2026'!Z56="POR RECOGER"),TEXT('SETIEMBRE 2026'!G56,"DD/MM/YYYY"),"")</f>
        <v/>
      </c>
      <c r="F892" s="192" t="str">
        <f aca="false">IF(AND('SETIEMBRE 2026'!D56&lt;&gt;"",'SETIEMBRE 2026'!Z56="POR RECOGER"),'SETIEMBRE 2026'!K56,"")</f>
        <v/>
      </c>
      <c r="G892" s="193" t="str">
        <f aca="false">IF(AND('SETIEMBRE 2026'!D56&lt;&gt;"",'SETIEMBRE 2026'!Z56="POR RECOGER"),'SETIEMBRE 2026'!M56,"")</f>
        <v/>
      </c>
      <c r="H892" s="193" t="str">
        <f aca="false">IF(AND('SETIEMBRE 2026'!D56&lt;&gt;"",'SETIEMBRE 2026'!Z56="POR RECOGER"),'SETIEMBRE 2026'!N56,"")</f>
        <v/>
      </c>
      <c r="I892" s="192" t="str">
        <f aca="false">IF(AND('SETIEMBRE 2026'!D56&lt;&gt;"",'SETIEMBRE 2026'!Z56="POR RECOGER"),'SETIEMBRE 2026'!P56,"")</f>
        <v/>
      </c>
      <c r="J892" s="192" t="str">
        <f aca="false">IF(AND('SETIEMBRE 2026'!D56&lt;&gt;"",'SETIEMBRE 2026'!Z56="POR RECOGER"),'SETIEMBRE 2026'!Q56,"")</f>
        <v/>
      </c>
      <c r="K892" s="192" t="str">
        <f aca="false">IF(AND('SETIEMBRE 2026'!D56&lt;&gt;"",'SETIEMBRE 2026'!Z56="POR RECOGER"),'SETIEMBRE 2026'!Y56,"")</f>
        <v/>
      </c>
      <c r="L892" s="192" t="str">
        <f aca="false">IF(AND('SETIEMBRE 2026'!D56&lt;&gt;"",'SETIEMBRE 2026'!Z56="POR RECOGER"),'SETIEMBRE 2026'!I56,"")</f>
        <v/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" hidden="false" customHeight="true" outlineLevel="0" collapsed="false">
      <c r="A893" s="192" t="str">
        <f aca="false">IF(AND('SETIEMBRE 2026'!D57&lt;&gt;"",'SETIEMBRE 2026'!Z57="POR RECOGER"),"SET","")</f>
        <v/>
      </c>
      <c r="B893" s="192" t="str">
        <f aca="false">IF(AND('SETIEMBRE 2026'!D57&lt;&gt;"",'SETIEMBRE 2026'!Z57="POR RECOGER"),IF('SETIEMBRE 2026'!Y57&lt;&gt;"",'SETIEMBRE 2026'!Y57,'SETIEMBRE 2026'!I57),"")</f>
        <v/>
      </c>
      <c r="C893" s="192" t="str">
        <f aca="false">IF(AND('SETIEMBRE 2026'!D57&lt;&gt;"",'SETIEMBRE 2026'!Z57="POR RECOGER"),'SETIEMBRE 2026'!D57,"")</f>
        <v/>
      </c>
      <c r="D893" s="192" t="str">
        <f aca="false">IF(AND('SETIEMBRE 2026'!D57&lt;&gt;"",'SETIEMBRE 2026'!Z57="POR RECOGER"),'SETIEMBRE 2026'!F57,"")</f>
        <v/>
      </c>
      <c r="E893" s="192" t="str">
        <f aca="false">IF(AND('SETIEMBRE 2026'!D57&lt;&gt;"",'SETIEMBRE 2026'!Z57="POR RECOGER"),TEXT('SETIEMBRE 2026'!G57,"DD/MM/YYYY"),"")</f>
        <v/>
      </c>
      <c r="F893" s="192" t="str">
        <f aca="false">IF(AND('SETIEMBRE 2026'!D57&lt;&gt;"",'SETIEMBRE 2026'!Z57="POR RECOGER"),'SETIEMBRE 2026'!K57,"")</f>
        <v/>
      </c>
      <c r="G893" s="193" t="str">
        <f aca="false">IF(AND('SETIEMBRE 2026'!D57&lt;&gt;"",'SETIEMBRE 2026'!Z57="POR RECOGER"),'SETIEMBRE 2026'!M57,"")</f>
        <v/>
      </c>
      <c r="H893" s="193" t="str">
        <f aca="false">IF(AND('SETIEMBRE 2026'!D57&lt;&gt;"",'SETIEMBRE 2026'!Z57="POR RECOGER"),'SETIEMBRE 2026'!N57,"")</f>
        <v/>
      </c>
      <c r="I893" s="192" t="str">
        <f aca="false">IF(AND('SETIEMBRE 2026'!D57&lt;&gt;"",'SETIEMBRE 2026'!Z57="POR RECOGER"),'SETIEMBRE 2026'!P57,"")</f>
        <v/>
      </c>
      <c r="J893" s="192" t="str">
        <f aca="false">IF(AND('SETIEMBRE 2026'!D57&lt;&gt;"",'SETIEMBRE 2026'!Z57="POR RECOGER"),'SETIEMBRE 2026'!Q57,"")</f>
        <v/>
      </c>
      <c r="K893" s="192" t="str">
        <f aca="false">IF(AND('SETIEMBRE 2026'!D57&lt;&gt;"",'SETIEMBRE 2026'!Z57="POR RECOGER"),'SETIEMBRE 2026'!Y57,"")</f>
        <v/>
      </c>
      <c r="L893" s="192" t="str">
        <f aca="false">IF(AND('SETIEMBRE 2026'!D57&lt;&gt;"",'SETIEMBRE 2026'!Z57="POR RECOGER"),'SETIEMBRE 2026'!I57,"")</f>
        <v/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" hidden="false" customHeight="true" outlineLevel="0" collapsed="false">
      <c r="A894" s="192" t="str">
        <f aca="false">IF(AND('SETIEMBRE 2026'!D58&lt;&gt;"",'SETIEMBRE 2026'!Z58="POR RECOGER"),"SET","")</f>
        <v/>
      </c>
      <c r="B894" s="192" t="str">
        <f aca="false">IF(AND('SETIEMBRE 2026'!D58&lt;&gt;"",'SETIEMBRE 2026'!Z58="POR RECOGER"),IF('SETIEMBRE 2026'!Y58&lt;&gt;"",'SETIEMBRE 2026'!Y58,'SETIEMBRE 2026'!I58),"")</f>
        <v/>
      </c>
      <c r="C894" s="192" t="str">
        <f aca="false">IF(AND('SETIEMBRE 2026'!D58&lt;&gt;"",'SETIEMBRE 2026'!Z58="POR RECOGER"),'SETIEMBRE 2026'!D58,"")</f>
        <v/>
      </c>
      <c r="D894" s="192" t="str">
        <f aca="false">IF(AND('SETIEMBRE 2026'!D58&lt;&gt;"",'SETIEMBRE 2026'!Z58="POR RECOGER"),'SETIEMBRE 2026'!F58,"")</f>
        <v/>
      </c>
      <c r="E894" s="192" t="str">
        <f aca="false">IF(AND('SETIEMBRE 2026'!D58&lt;&gt;"",'SETIEMBRE 2026'!Z58="POR RECOGER"),TEXT('SETIEMBRE 2026'!G58,"DD/MM/YYYY"),"")</f>
        <v/>
      </c>
      <c r="F894" s="192" t="str">
        <f aca="false">IF(AND('SETIEMBRE 2026'!D58&lt;&gt;"",'SETIEMBRE 2026'!Z58="POR RECOGER"),'SETIEMBRE 2026'!K58,"")</f>
        <v/>
      </c>
      <c r="G894" s="193" t="str">
        <f aca="false">IF(AND('SETIEMBRE 2026'!D58&lt;&gt;"",'SETIEMBRE 2026'!Z58="POR RECOGER"),'SETIEMBRE 2026'!M58,"")</f>
        <v/>
      </c>
      <c r="H894" s="193" t="str">
        <f aca="false">IF(AND('SETIEMBRE 2026'!D58&lt;&gt;"",'SETIEMBRE 2026'!Z58="POR RECOGER"),'SETIEMBRE 2026'!N58,"")</f>
        <v/>
      </c>
      <c r="I894" s="192" t="str">
        <f aca="false">IF(AND('SETIEMBRE 2026'!D58&lt;&gt;"",'SETIEMBRE 2026'!Z58="POR RECOGER"),'SETIEMBRE 2026'!P58,"")</f>
        <v/>
      </c>
      <c r="J894" s="192" t="str">
        <f aca="false">IF(AND('SETIEMBRE 2026'!D58&lt;&gt;"",'SETIEMBRE 2026'!Z58="POR RECOGER"),'SETIEMBRE 2026'!Q58,"")</f>
        <v/>
      </c>
      <c r="K894" s="192" t="str">
        <f aca="false">IF(AND('SETIEMBRE 2026'!D58&lt;&gt;"",'SETIEMBRE 2026'!Z58="POR RECOGER"),'SETIEMBRE 2026'!Y58,"")</f>
        <v/>
      </c>
      <c r="L894" s="192" t="str">
        <f aca="false">IF(AND('SETIEMBRE 2026'!D58&lt;&gt;"",'SETIEMBRE 2026'!Z58="POR RECOGER"),'SETIEMBRE 2026'!I58,"")</f>
        <v/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" hidden="false" customHeight="true" outlineLevel="0" collapsed="false">
      <c r="A895" s="192" t="str">
        <f aca="false">IF(AND('SETIEMBRE 2026'!D59&lt;&gt;"",'SETIEMBRE 2026'!Z59="POR RECOGER"),"SET","")</f>
        <v/>
      </c>
      <c r="B895" s="192" t="str">
        <f aca="false">IF(AND('SETIEMBRE 2026'!D59&lt;&gt;"",'SETIEMBRE 2026'!Z59="POR RECOGER"),IF('SETIEMBRE 2026'!Y59&lt;&gt;"",'SETIEMBRE 2026'!Y59,'SETIEMBRE 2026'!I59),"")</f>
        <v/>
      </c>
      <c r="C895" s="192" t="str">
        <f aca="false">IF(AND('SETIEMBRE 2026'!D59&lt;&gt;"",'SETIEMBRE 2026'!Z59="POR RECOGER"),'SETIEMBRE 2026'!D59,"")</f>
        <v/>
      </c>
      <c r="D895" s="192" t="str">
        <f aca="false">IF(AND('SETIEMBRE 2026'!D59&lt;&gt;"",'SETIEMBRE 2026'!Z59="POR RECOGER"),'SETIEMBRE 2026'!F59,"")</f>
        <v/>
      </c>
      <c r="E895" s="192" t="str">
        <f aca="false">IF(AND('SETIEMBRE 2026'!D59&lt;&gt;"",'SETIEMBRE 2026'!Z59="POR RECOGER"),TEXT('SETIEMBRE 2026'!G59,"DD/MM/YYYY"),"")</f>
        <v/>
      </c>
      <c r="F895" s="192" t="str">
        <f aca="false">IF(AND('SETIEMBRE 2026'!D59&lt;&gt;"",'SETIEMBRE 2026'!Z59="POR RECOGER"),'SETIEMBRE 2026'!K59,"")</f>
        <v/>
      </c>
      <c r="G895" s="193" t="str">
        <f aca="false">IF(AND('SETIEMBRE 2026'!D59&lt;&gt;"",'SETIEMBRE 2026'!Z59="POR RECOGER"),'SETIEMBRE 2026'!M59,"")</f>
        <v/>
      </c>
      <c r="H895" s="193" t="str">
        <f aca="false">IF(AND('SETIEMBRE 2026'!D59&lt;&gt;"",'SETIEMBRE 2026'!Z59="POR RECOGER"),'SETIEMBRE 2026'!N59,"")</f>
        <v/>
      </c>
      <c r="I895" s="192" t="str">
        <f aca="false">IF(AND('SETIEMBRE 2026'!D59&lt;&gt;"",'SETIEMBRE 2026'!Z59="POR RECOGER"),'SETIEMBRE 2026'!P59,"")</f>
        <v/>
      </c>
      <c r="J895" s="192" t="str">
        <f aca="false">IF(AND('SETIEMBRE 2026'!D59&lt;&gt;"",'SETIEMBRE 2026'!Z59="POR RECOGER"),'SETIEMBRE 2026'!Q59,"")</f>
        <v/>
      </c>
      <c r="K895" s="192" t="str">
        <f aca="false">IF(AND('SETIEMBRE 2026'!D59&lt;&gt;"",'SETIEMBRE 2026'!Z59="POR RECOGER"),'SETIEMBRE 2026'!Y59,"")</f>
        <v/>
      </c>
      <c r="L895" s="192" t="str">
        <f aca="false">IF(AND('SETIEMBRE 2026'!D59&lt;&gt;"",'SETIEMBRE 2026'!Z59="POR RECOGER"),'SETIEMBRE 2026'!I59,"")</f>
        <v/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" hidden="false" customHeight="true" outlineLevel="0" collapsed="false">
      <c r="A896" s="192" t="str">
        <f aca="false">IF(AND('SETIEMBRE 2026'!D60&lt;&gt;"",'SETIEMBRE 2026'!Z60="POR RECOGER"),"SET","")</f>
        <v/>
      </c>
      <c r="B896" s="192" t="str">
        <f aca="false">IF(AND('SETIEMBRE 2026'!D60&lt;&gt;"",'SETIEMBRE 2026'!Z60="POR RECOGER"),IF('SETIEMBRE 2026'!Y60&lt;&gt;"",'SETIEMBRE 2026'!Y60,'SETIEMBRE 2026'!I60),"")</f>
        <v/>
      </c>
      <c r="C896" s="192" t="str">
        <f aca="false">IF(AND('SETIEMBRE 2026'!D60&lt;&gt;"",'SETIEMBRE 2026'!Z60="POR RECOGER"),'SETIEMBRE 2026'!D60,"")</f>
        <v/>
      </c>
      <c r="D896" s="192" t="str">
        <f aca="false">IF(AND('SETIEMBRE 2026'!D60&lt;&gt;"",'SETIEMBRE 2026'!Z60="POR RECOGER"),'SETIEMBRE 2026'!F60,"")</f>
        <v/>
      </c>
      <c r="E896" s="192" t="str">
        <f aca="false">IF(AND('SETIEMBRE 2026'!D60&lt;&gt;"",'SETIEMBRE 2026'!Z60="POR RECOGER"),TEXT('SETIEMBRE 2026'!G60,"DD/MM/YYYY"),"")</f>
        <v/>
      </c>
      <c r="F896" s="192" t="str">
        <f aca="false">IF(AND('SETIEMBRE 2026'!D60&lt;&gt;"",'SETIEMBRE 2026'!Z60="POR RECOGER"),'SETIEMBRE 2026'!K60,"")</f>
        <v/>
      </c>
      <c r="G896" s="193" t="str">
        <f aca="false">IF(AND('SETIEMBRE 2026'!D60&lt;&gt;"",'SETIEMBRE 2026'!Z60="POR RECOGER"),'SETIEMBRE 2026'!M60,"")</f>
        <v/>
      </c>
      <c r="H896" s="193" t="str">
        <f aca="false">IF(AND('SETIEMBRE 2026'!D60&lt;&gt;"",'SETIEMBRE 2026'!Z60="POR RECOGER"),'SETIEMBRE 2026'!N60,"")</f>
        <v/>
      </c>
      <c r="I896" s="192" t="str">
        <f aca="false">IF(AND('SETIEMBRE 2026'!D60&lt;&gt;"",'SETIEMBRE 2026'!Z60="POR RECOGER"),'SETIEMBRE 2026'!P60,"")</f>
        <v/>
      </c>
      <c r="J896" s="192" t="str">
        <f aca="false">IF(AND('SETIEMBRE 2026'!D60&lt;&gt;"",'SETIEMBRE 2026'!Z60="POR RECOGER"),'SETIEMBRE 2026'!Q60,"")</f>
        <v/>
      </c>
      <c r="K896" s="192" t="str">
        <f aca="false">IF(AND('SETIEMBRE 2026'!D60&lt;&gt;"",'SETIEMBRE 2026'!Z60="POR RECOGER"),'SETIEMBRE 2026'!Y60,"")</f>
        <v/>
      </c>
      <c r="L896" s="192" t="str">
        <f aca="false">IF(AND('SETIEMBRE 2026'!D60&lt;&gt;"",'SETIEMBRE 2026'!Z60="POR RECOGER"),'SETIEMBRE 2026'!I60,"")</f>
        <v/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" hidden="false" customHeight="true" outlineLevel="0" collapsed="false">
      <c r="A897" s="192" t="str">
        <f aca="false">IF(AND('SETIEMBRE 2026'!D61&lt;&gt;"",'SETIEMBRE 2026'!Z61="POR RECOGER"),"SET","")</f>
        <v/>
      </c>
      <c r="B897" s="192" t="str">
        <f aca="false">IF(AND('SETIEMBRE 2026'!D61&lt;&gt;"",'SETIEMBRE 2026'!Z61="POR RECOGER"),IF('SETIEMBRE 2026'!Y61&lt;&gt;"",'SETIEMBRE 2026'!Y61,'SETIEMBRE 2026'!I61),"")</f>
        <v/>
      </c>
      <c r="C897" s="192" t="str">
        <f aca="false">IF(AND('SETIEMBRE 2026'!D61&lt;&gt;"",'SETIEMBRE 2026'!Z61="POR RECOGER"),'SETIEMBRE 2026'!D61,"")</f>
        <v/>
      </c>
      <c r="D897" s="192" t="str">
        <f aca="false">IF(AND('SETIEMBRE 2026'!D61&lt;&gt;"",'SETIEMBRE 2026'!Z61="POR RECOGER"),'SETIEMBRE 2026'!F61,"")</f>
        <v/>
      </c>
      <c r="E897" s="192" t="str">
        <f aca="false">IF(AND('SETIEMBRE 2026'!D61&lt;&gt;"",'SETIEMBRE 2026'!Z61="POR RECOGER"),TEXT('SETIEMBRE 2026'!G61,"DD/MM/YYYY"),"")</f>
        <v/>
      </c>
      <c r="F897" s="192" t="str">
        <f aca="false">IF(AND('SETIEMBRE 2026'!D61&lt;&gt;"",'SETIEMBRE 2026'!Z61="POR RECOGER"),'SETIEMBRE 2026'!K61,"")</f>
        <v/>
      </c>
      <c r="G897" s="193" t="str">
        <f aca="false">IF(AND('SETIEMBRE 2026'!D61&lt;&gt;"",'SETIEMBRE 2026'!Z61="POR RECOGER"),'SETIEMBRE 2026'!M61,"")</f>
        <v/>
      </c>
      <c r="H897" s="193" t="str">
        <f aca="false">IF(AND('SETIEMBRE 2026'!D61&lt;&gt;"",'SETIEMBRE 2026'!Z61="POR RECOGER"),'SETIEMBRE 2026'!N61,"")</f>
        <v/>
      </c>
      <c r="I897" s="192" t="str">
        <f aca="false">IF(AND('SETIEMBRE 2026'!D61&lt;&gt;"",'SETIEMBRE 2026'!Z61="POR RECOGER"),'SETIEMBRE 2026'!P61,"")</f>
        <v/>
      </c>
      <c r="J897" s="192" t="str">
        <f aca="false">IF(AND('SETIEMBRE 2026'!D61&lt;&gt;"",'SETIEMBRE 2026'!Z61="POR RECOGER"),'SETIEMBRE 2026'!Q61,"")</f>
        <v/>
      </c>
      <c r="K897" s="192" t="str">
        <f aca="false">IF(AND('SETIEMBRE 2026'!D61&lt;&gt;"",'SETIEMBRE 2026'!Z61="POR RECOGER"),'SETIEMBRE 2026'!Y61,"")</f>
        <v/>
      </c>
      <c r="L897" s="192" t="str">
        <f aca="false">IF(AND('SETIEMBRE 2026'!D61&lt;&gt;"",'SETIEMBRE 2026'!Z61="POR RECOGER"),'SETIEMBRE 2026'!I61,"")</f>
        <v/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" hidden="false" customHeight="true" outlineLevel="0" collapsed="false">
      <c r="A898" s="192" t="str">
        <f aca="false">IF(AND('SETIEMBRE 2026'!D62&lt;&gt;"",'SETIEMBRE 2026'!Z62="POR RECOGER"),"SET","")</f>
        <v/>
      </c>
      <c r="B898" s="192" t="str">
        <f aca="false">IF(AND('SETIEMBRE 2026'!D62&lt;&gt;"",'SETIEMBRE 2026'!Z62="POR RECOGER"),IF('SETIEMBRE 2026'!Y62&lt;&gt;"",'SETIEMBRE 2026'!Y62,'SETIEMBRE 2026'!I62),"")</f>
        <v/>
      </c>
      <c r="C898" s="192" t="str">
        <f aca="false">IF(AND('SETIEMBRE 2026'!D62&lt;&gt;"",'SETIEMBRE 2026'!Z62="POR RECOGER"),'SETIEMBRE 2026'!D62,"")</f>
        <v/>
      </c>
      <c r="D898" s="192" t="str">
        <f aca="false">IF(AND('SETIEMBRE 2026'!D62&lt;&gt;"",'SETIEMBRE 2026'!Z62="POR RECOGER"),'SETIEMBRE 2026'!F62,"")</f>
        <v/>
      </c>
      <c r="E898" s="192" t="str">
        <f aca="false">IF(AND('SETIEMBRE 2026'!D62&lt;&gt;"",'SETIEMBRE 2026'!Z62="POR RECOGER"),TEXT('SETIEMBRE 2026'!G62,"DD/MM/YYYY"),"")</f>
        <v/>
      </c>
      <c r="F898" s="192" t="str">
        <f aca="false">IF(AND('SETIEMBRE 2026'!D62&lt;&gt;"",'SETIEMBRE 2026'!Z62="POR RECOGER"),'SETIEMBRE 2026'!K62,"")</f>
        <v/>
      </c>
      <c r="G898" s="193" t="str">
        <f aca="false">IF(AND('SETIEMBRE 2026'!D62&lt;&gt;"",'SETIEMBRE 2026'!Z62="POR RECOGER"),'SETIEMBRE 2026'!M62,"")</f>
        <v/>
      </c>
      <c r="H898" s="193" t="str">
        <f aca="false">IF(AND('SETIEMBRE 2026'!D62&lt;&gt;"",'SETIEMBRE 2026'!Z62="POR RECOGER"),'SETIEMBRE 2026'!N62,"")</f>
        <v/>
      </c>
      <c r="I898" s="192" t="str">
        <f aca="false">IF(AND('SETIEMBRE 2026'!D62&lt;&gt;"",'SETIEMBRE 2026'!Z62="POR RECOGER"),'SETIEMBRE 2026'!P62,"")</f>
        <v/>
      </c>
      <c r="J898" s="192" t="str">
        <f aca="false">IF(AND('SETIEMBRE 2026'!D62&lt;&gt;"",'SETIEMBRE 2026'!Z62="POR RECOGER"),'SETIEMBRE 2026'!Q62,"")</f>
        <v/>
      </c>
      <c r="K898" s="192" t="str">
        <f aca="false">IF(AND('SETIEMBRE 2026'!D62&lt;&gt;"",'SETIEMBRE 2026'!Z62="POR RECOGER"),'SETIEMBRE 2026'!Y62,"")</f>
        <v/>
      </c>
      <c r="L898" s="192" t="str">
        <f aca="false">IF(AND('SETIEMBRE 2026'!D62&lt;&gt;"",'SETIEMBRE 2026'!Z62="POR RECOGER"),'SETIEMBRE 2026'!I62,"")</f>
        <v/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" hidden="false" customHeight="true" outlineLevel="0" collapsed="false">
      <c r="A899" s="192" t="str">
        <f aca="false">IF(AND('SETIEMBRE 2026'!D63&lt;&gt;"",'SETIEMBRE 2026'!Z63="POR RECOGER"),"SET","")</f>
        <v/>
      </c>
      <c r="B899" s="192" t="str">
        <f aca="false">IF(AND('SETIEMBRE 2026'!D63&lt;&gt;"",'SETIEMBRE 2026'!Z63="POR RECOGER"),IF('SETIEMBRE 2026'!Y63&lt;&gt;"",'SETIEMBRE 2026'!Y63,'SETIEMBRE 2026'!I63),"")</f>
        <v/>
      </c>
      <c r="C899" s="192" t="str">
        <f aca="false">IF(AND('SETIEMBRE 2026'!D63&lt;&gt;"",'SETIEMBRE 2026'!Z63="POR RECOGER"),'SETIEMBRE 2026'!D63,"")</f>
        <v/>
      </c>
      <c r="D899" s="192" t="str">
        <f aca="false">IF(AND('SETIEMBRE 2026'!D63&lt;&gt;"",'SETIEMBRE 2026'!Z63="POR RECOGER"),'SETIEMBRE 2026'!F63,"")</f>
        <v/>
      </c>
      <c r="E899" s="192" t="str">
        <f aca="false">IF(AND('SETIEMBRE 2026'!D63&lt;&gt;"",'SETIEMBRE 2026'!Z63="POR RECOGER"),TEXT('SETIEMBRE 2026'!G63,"DD/MM/YYYY"),"")</f>
        <v/>
      </c>
      <c r="F899" s="192" t="str">
        <f aca="false">IF(AND('SETIEMBRE 2026'!D63&lt;&gt;"",'SETIEMBRE 2026'!Z63="POR RECOGER"),'SETIEMBRE 2026'!K63,"")</f>
        <v/>
      </c>
      <c r="G899" s="193" t="str">
        <f aca="false">IF(AND('SETIEMBRE 2026'!D63&lt;&gt;"",'SETIEMBRE 2026'!Z63="POR RECOGER"),'SETIEMBRE 2026'!M63,"")</f>
        <v/>
      </c>
      <c r="H899" s="193" t="str">
        <f aca="false">IF(AND('SETIEMBRE 2026'!D63&lt;&gt;"",'SETIEMBRE 2026'!Z63="POR RECOGER"),'SETIEMBRE 2026'!N63,"")</f>
        <v/>
      </c>
      <c r="I899" s="192" t="str">
        <f aca="false">IF(AND('SETIEMBRE 2026'!D63&lt;&gt;"",'SETIEMBRE 2026'!Z63="POR RECOGER"),'SETIEMBRE 2026'!P63,"")</f>
        <v/>
      </c>
      <c r="J899" s="192" t="str">
        <f aca="false">IF(AND('SETIEMBRE 2026'!D63&lt;&gt;"",'SETIEMBRE 2026'!Z63="POR RECOGER"),'SETIEMBRE 2026'!Q63,"")</f>
        <v/>
      </c>
      <c r="K899" s="192" t="str">
        <f aca="false">IF(AND('SETIEMBRE 2026'!D63&lt;&gt;"",'SETIEMBRE 2026'!Z63="POR RECOGER"),'SETIEMBRE 2026'!Y63,"")</f>
        <v/>
      </c>
      <c r="L899" s="192" t="str">
        <f aca="false">IF(AND('SETIEMBRE 2026'!D63&lt;&gt;"",'SETIEMBRE 2026'!Z63="POR RECOGER"),'SETIEMBRE 2026'!I63,"")</f>
        <v/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" hidden="false" customHeight="true" outlineLevel="0" collapsed="false">
      <c r="A900" s="192" t="str">
        <f aca="false">IF(AND('SETIEMBRE 2026'!D64&lt;&gt;"",'SETIEMBRE 2026'!Z64="POR RECOGER"),"SET","")</f>
        <v/>
      </c>
      <c r="B900" s="192" t="str">
        <f aca="false">IF(AND('SETIEMBRE 2026'!D64&lt;&gt;"",'SETIEMBRE 2026'!Z64="POR RECOGER"),IF('SETIEMBRE 2026'!Y64&lt;&gt;"",'SETIEMBRE 2026'!Y64,'SETIEMBRE 2026'!I64),"")</f>
        <v/>
      </c>
      <c r="C900" s="192" t="str">
        <f aca="false">IF(AND('SETIEMBRE 2026'!D64&lt;&gt;"",'SETIEMBRE 2026'!Z64="POR RECOGER"),'SETIEMBRE 2026'!D64,"")</f>
        <v/>
      </c>
      <c r="D900" s="192" t="str">
        <f aca="false">IF(AND('SETIEMBRE 2026'!D64&lt;&gt;"",'SETIEMBRE 2026'!Z64="POR RECOGER"),'SETIEMBRE 2026'!F64,"")</f>
        <v/>
      </c>
      <c r="E900" s="192" t="str">
        <f aca="false">IF(AND('SETIEMBRE 2026'!D64&lt;&gt;"",'SETIEMBRE 2026'!Z64="POR RECOGER"),TEXT('SETIEMBRE 2026'!G64,"DD/MM/YYYY"),"")</f>
        <v/>
      </c>
      <c r="F900" s="192" t="str">
        <f aca="false">IF(AND('SETIEMBRE 2026'!D64&lt;&gt;"",'SETIEMBRE 2026'!Z64="POR RECOGER"),'SETIEMBRE 2026'!K64,"")</f>
        <v/>
      </c>
      <c r="G900" s="193" t="str">
        <f aca="false">IF(AND('SETIEMBRE 2026'!D64&lt;&gt;"",'SETIEMBRE 2026'!Z64="POR RECOGER"),'SETIEMBRE 2026'!M64,"")</f>
        <v/>
      </c>
      <c r="H900" s="193" t="str">
        <f aca="false">IF(AND('SETIEMBRE 2026'!D64&lt;&gt;"",'SETIEMBRE 2026'!Z64="POR RECOGER"),'SETIEMBRE 2026'!N64,"")</f>
        <v/>
      </c>
      <c r="I900" s="192" t="str">
        <f aca="false">IF(AND('SETIEMBRE 2026'!D64&lt;&gt;"",'SETIEMBRE 2026'!Z64="POR RECOGER"),'SETIEMBRE 2026'!P64,"")</f>
        <v/>
      </c>
      <c r="J900" s="192" t="str">
        <f aca="false">IF(AND('SETIEMBRE 2026'!D64&lt;&gt;"",'SETIEMBRE 2026'!Z64="POR RECOGER"),'SETIEMBRE 2026'!Q64,"")</f>
        <v/>
      </c>
      <c r="K900" s="192" t="str">
        <f aca="false">IF(AND('SETIEMBRE 2026'!D64&lt;&gt;"",'SETIEMBRE 2026'!Z64="POR RECOGER"),'SETIEMBRE 2026'!Y64,"")</f>
        <v/>
      </c>
      <c r="L900" s="192" t="str">
        <f aca="false">IF(AND('SETIEMBRE 2026'!D64&lt;&gt;"",'SETIEMBRE 2026'!Z64="POR RECOGER"),'SETIEMBRE 2026'!I64,"")</f>
        <v/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" hidden="false" customHeight="true" outlineLevel="0" collapsed="false">
      <c r="A901" s="192" t="str">
        <f aca="false">IF(AND('SETIEMBRE 2026'!D65&lt;&gt;"",'SETIEMBRE 2026'!Z65="POR RECOGER"),"SET","")</f>
        <v/>
      </c>
      <c r="B901" s="192" t="str">
        <f aca="false">IF(AND('SETIEMBRE 2026'!D65&lt;&gt;"",'SETIEMBRE 2026'!Z65="POR RECOGER"),IF('SETIEMBRE 2026'!Y65&lt;&gt;"",'SETIEMBRE 2026'!Y65,'SETIEMBRE 2026'!I65),"")</f>
        <v/>
      </c>
      <c r="C901" s="192" t="str">
        <f aca="false">IF(AND('SETIEMBRE 2026'!D65&lt;&gt;"",'SETIEMBRE 2026'!Z65="POR RECOGER"),'SETIEMBRE 2026'!D65,"")</f>
        <v/>
      </c>
      <c r="D901" s="192" t="str">
        <f aca="false">IF(AND('SETIEMBRE 2026'!D65&lt;&gt;"",'SETIEMBRE 2026'!Z65="POR RECOGER"),'SETIEMBRE 2026'!F65,"")</f>
        <v/>
      </c>
      <c r="E901" s="192" t="str">
        <f aca="false">IF(AND('SETIEMBRE 2026'!D65&lt;&gt;"",'SETIEMBRE 2026'!Z65="POR RECOGER"),TEXT('SETIEMBRE 2026'!G65,"DD/MM/YYYY"),"")</f>
        <v/>
      </c>
      <c r="F901" s="192" t="str">
        <f aca="false">IF(AND('SETIEMBRE 2026'!D65&lt;&gt;"",'SETIEMBRE 2026'!Z65="POR RECOGER"),'SETIEMBRE 2026'!K65,"")</f>
        <v/>
      </c>
      <c r="G901" s="193" t="str">
        <f aca="false">IF(AND('SETIEMBRE 2026'!D65&lt;&gt;"",'SETIEMBRE 2026'!Z65="POR RECOGER"),'SETIEMBRE 2026'!M65,"")</f>
        <v/>
      </c>
      <c r="H901" s="193" t="str">
        <f aca="false">IF(AND('SETIEMBRE 2026'!D65&lt;&gt;"",'SETIEMBRE 2026'!Z65="POR RECOGER"),'SETIEMBRE 2026'!N65,"")</f>
        <v/>
      </c>
      <c r="I901" s="192" t="str">
        <f aca="false">IF(AND('SETIEMBRE 2026'!D65&lt;&gt;"",'SETIEMBRE 2026'!Z65="POR RECOGER"),'SETIEMBRE 2026'!P65,"")</f>
        <v/>
      </c>
      <c r="J901" s="192" t="str">
        <f aca="false">IF(AND('SETIEMBRE 2026'!D65&lt;&gt;"",'SETIEMBRE 2026'!Z65="POR RECOGER"),'SETIEMBRE 2026'!Q65,"")</f>
        <v/>
      </c>
      <c r="K901" s="192" t="str">
        <f aca="false">IF(AND('SETIEMBRE 2026'!D65&lt;&gt;"",'SETIEMBRE 2026'!Z65="POR RECOGER"),'SETIEMBRE 2026'!Y65,"")</f>
        <v/>
      </c>
      <c r="L901" s="192" t="str">
        <f aca="false">IF(AND('SETIEMBRE 2026'!D65&lt;&gt;"",'SETIEMBRE 2026'!Z65="POR RECOGER"),'SETIEMBRE 2026'!I65,"")</f>
        <v/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" hidden="false" customHeight="true" outlineLevel="0" collapsed="false">
      <c r="A902" s="192" t="str">
        <f aca="false">IF(AND('SETIEMBRE 2026'!D66&lt;&gt;"",'SETIEMBRE 2026'!Z66="POR RECOGER"),"SET","")</f>
        <v/>
      </c>
      <c r="B902" s="192" t="str">
        <f aca="false">IF(AND('SETIEMBRE 2026'!D66&lt;&gt;"",'SETIEMBRE 2026'!Z66="POR RECOGER"),IF('SETIEMBRE 2026'!Y66&lt;&gt;"",'SETIEMBRE 2026'!Y66,'SETIEMBRE 2026'!I66),"")</f>
        <v/>
      </c>
      <c r="C902" s="192" t="str">
        <f aca="false">IF(AND('SETIEMBRE 2026'!D66&lt;&gt;"",'SETIEMBRE 2026'!Z66="POR RECOGER"),'SETIEMBRE 2026'!D66,"")</f>
        <v/>
      </c>
      <c r="D902" s="192" t="str">
        <f aca="false">IF(AND('SETIEMBRE 2026'!D66&lt;&gt;"",'SETIEMBRE 2026'!Z66="POR RECOGER"),'SETIEMBRE 2026'!F66,"")</f>
        <v/>
      </c>
      <c r="E902" s="192" t="str">
        <f aca="false">IF(AND('SETIEMBRE 2026'!D66&lt;&gt;"",'SETIEMBRE 2026'!Z66="POR RECOGER"),TEXT('SETIEMBRE 2026'!G66,"DD/MM/YYYY"),"")</f>
        <v/>
      </c>
      <c r="F902" s="192" t="str">
        <f aca="false">IF(AND('SETIEMBRE 2026'!D66&lt;&gt;"",'SETIEMBRE 2026'!Z66="POR RECOGER"),'SETIEMBRE 2026'!K66,"")</f>
        <v/>
      </c>
      <c r="G902" s="193" t="str">
        <f aca="false">IF(AND('SETIEMBRE 2026'!D66&lt;&gt;"",'SETIEMBRE 2026'!Z66="POR RECOGER"),'SETIEMBRE 2026'!M66,"")</f>
        <v/>
      </c>
      <c r="H902" s="193" t="str">
        <f aca="false">IF(AND('SETIEMBRE 2026'!D66&lt;&gt;"",'SETIEMBRE 2026'!Z66="POR RECOGER"),'SETIEMBRE 2026'!N66,"")</f>
        <v/>
      </c>
      <c r="I902" s="192" t="str">
        <f aca="false">IF(AND('SETIEMBRE 2026'!D66&lt;&gt;"",'SETIEMBRE 2026'!Z66="POR RECOGER"),'SETIEMBRE 2026'!P66,"")</f>
        <v/>
      </c>
      <c r="J902" s="192" t="str">
        <f aca="false">IF(AND('SETIEMBRE 2026'!D66&lt;&gt;"",'SETIEMBRE 2026'!Z66="POR RECOGER"),'SETIEMBRE 2026'!Q66,"")</f>
        <v/>
      </c>
      <c r="K902" s="192" t="str">
        <f aca="false">IF(AND('SETIEMBRE 2026'!D66&lt;&gt;"",'SETIEMBRE 2026'!Z66="POR RECOGER"),'SETIEMBRE 2026'!Y66,"")</f>
        <v/>
      </c>
      <c r="L902" s="192" t="str">
        <f aca="false">IF(AND('SETIEMBRE 2026'!D66&lt;&gt;"",'SETIEMBRE 2026'!Z66="POR RECOGER"),'SETIEMBRE 2026'!I66,"")</f>
        <v/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" hidden="false" customHeight="true" outlineLevel="0" collapsed="false">
      <c r="A903" s="192" t="str">
        <f aca="false">IF(AND('SETIEMBRE 2026'!D67&lt;&gt;"",'SETIEMBRE 2026'!Z67="POR RECOGER"),"SET","")</f>
        <v/>
      </c>
      <c r="B903" s="192" t="str">
        <f aca="false">IF(AND('SETIEMBRE 2026'!D67&lt;&gt;"",'SETIEMBRE 2026'!Z67="POR RECOGER"),IF('SETIEMBRE 2026'!Y67&lt;&gt;"",'SETIEMBRE 2026'!Y67,'SETIEMBRE 2026'!I67),"")</f>
        <v/>
      </c>
      <c r="C903" s="192" t="str">
        <f aca="false">IF(AND('SETIEMBRE 2026'!D67&lt;&gt;"",'SETIEMBRE 2026'!Z67="POR RECOGER"),'SETIEMBRE 2026'!D67,"")</f>
        <v/>
      </c>
      <c r="D903" s="192" t="str">
        <f aca="false">IF(AND('SETIEMBRE 2026'!D67&lt;&gt;"",'SETIEMBRE 2026'!Z67="POR RECOGER"),'SETIEMBRE 2026'!F67,"")</f>
        <v/>
      </c>
      <c r="E903" s="192" t="str">
        <f aca="false">IF(AND('SETIEMBRE 2026'!D67&lt;&gt;"",'SETIEMBRE 2026'!Z67="POR RECOGER"),TEXT('SETIEMBRE 2026'!G67,"DD/MM/YYYY"),"")</f>
        <v/>
      </c>
      <c r="F903" s="192" t="str">
        <f aca="false">IF(AND('SETIEMBRE 2026'!D67&lt;&gt;"",'SETIEMBRE 2026'!Z67="POR RECOGER"),'SETIEMBRE 2026'!K67,"")</f>
        <v/>
      </c>
      <c r="G903" s="193" t="str">
        <f aca="false">IF(AND('SETIEMBRE 2026'!D67&lt;&gt;"",'SETIEMBRE 2026'!Z67="POR RECOGER"),'SETIEMBRE 2026'!M67,"")</f>
        <v/>
      </c>
      <c r="H903" s="193" t="str">
        <f aca="false">IF(AND('SETIEMBRE 2026'!D67&lt;&gt;"",'SETIEMBRE 2026'!Z67="POR RECOGER"),'SETIEMBRE 2026'!N67,"")</f>
        <v/>
      </c>
      <c r="I903" s="192" t="str">
        <f aca="false">IF(AND('SETIEMBRE 2026'!D67&lt;&gt;"",'SETIEMBRE 2026'!Z67="POR RECOGER"),'SETIEMBRE 2026'!P67,"")</f>
        <v/>
      </c>
      <c r="J903" s="192" t="str">
        <f aca="false">IF(AND('SETIEMBRE 2026'!D67&lt;&gt;"",'SETIEMBRE 2026'!Z67="POR RECOGER"),'SETIEMBRE 2026'!Q67,"")</f>
        <v/>
      </c>
      <c r="K903" s="192" t="str">
        <f aca="false">IF(AND('SETIEMBRE 2026'!D67&lt;&gt;"",'SETIEMBRE 2026'!Z67="POR RECOGER"),'SETIEMBRE 2026'!Y67,"")</f>
        <v/>
      </c>
      <c r="L903" s="192" t="str">
        <f aca="false">IF(AND('SETIEMBRE 2026'!D67&lt;&gt;"",'SETIEMBRE 2026'!Z67="POR RECOGER"),'SETIEMBRE 2026'!I67,"")</f>
        <v/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" hidden="false" customHeight="true" outlineLevel="0" collapsed="false">
      <c r="A904" s="192" t="str">
        <f aca="false">IF(AND('SETIEMBRE 2026'!D68&lt;&gt;"",'SETIEMBRE 2026'!Z68="POR RECOGER"),"SET","")</f>
        <v/>
      </c>
      <c r="B904" s="192" t="str">
        <f aca="false">IF(AND('SETIEMBRE 2026'!D68&lt;&gt;"",'SETIEMBRE 2026'!Z68="POR RECOGER"),IF('SETIEMBRE 2026'!Y68&lt;&gt;"",'SETIEMBRE 2026'!Y68,'SETIEMBRE 2026'!I68),"")</f>
        <v/>
      </c>
      <c r="C904" s="192" t="str">
        <f aca="false">IF(AND('SETIEMBRE 2026'!D68&lt;&gt;"",'SETIEMBRE 2026'!Z68="POR RECOGER"),'SETIEMBRE 2026'!D68,"")</f>
        <v/>
      </c>
      <c r="D904" s="192" t="str">
        <f aca="false">IF(AND('SETIEMBRE 2026'!D68&lt;&gt;"",'SETIEMBRE 2026'!Z68="POR RECOGER"),'SETIEMBRE 2026'!F68,"")</f>
        <v/>
      </c>
      <c r="E904" s="192" t="str">
        <f aca="false">IF(AND('SETIEMBRE 2026'!D68&lt;&gt;"",'SETIEMBRE 2026'!Z68="POR RECOGER"),TEXT('SETIEMBRE 2026'!G68,"DD/MM/YYYY"),"")</f>
        <v/>
      </c>
      <c r="F904" s="192" t="str">
        <f aca="false">IF(AND('SETIEMBRE 2026'!D68&lt;&gt;"",'SETIEMBRE 2026'!Z68="POR RECOGER"),'SETIEMBRE 2026'!K68,"")</f>
        <v/>
      </c>
      <c r="G904" s="193" t="str">
        <f aca="false">IF(AND('SETIEMBRE 2026'!D68&lt;&gt;"",'SETIEMBRE 2026'!Z68="POR RECOGER"),'SETIEMBRE 2026'!M68,"")</f>
        <v/>
      </c>
      <c r="H904" s="193" t="str">
        <f aca="false">IF(AND('SETIEMBRE 2026'!D68&lt;&gt;"",'SETIEMBRE 2026'!Z68="POR RECOGER"),'SETIEMBRE 2026'!N68,"")</f>
        <v/>
      </c>
      <c r="I904" s="192" t="str">
        <f aca="false">IF(AND('SETIEMBRE 2026'!D68&lt;&gt;"",'SETIEMBRE 2026'!Z68="POR RECOGER"),'SETIEMBRE 2026'!P68,"")</f>
        <v/>
      </c>
      <c r="J904" s="192" t="str">
        <f aca="false">IF(AND('SETIEMBRE 2026'!D68&lt;&gt;"",'SETIEMBRE 2026'!Z68="POR RECOGER"),'SETIEMBRE 2026'!Q68,"")</f>
        <v/>
      </c>
      <c r="K904" s="192" t="str">
        <f aca="false">IF(AND('SETIEMBRE 2026'!D68&lt;&gt;"",'SETIEMBRE 2026'!Z68="POR RECOGER"),'SETIEMBRE 2026'!Y68,"")</f>
        <v/>
      </c>
      <c r="L904" s="192" t="str">
        <f aca="false">IF(AND('SETIEMBRE 2026'!D68&lt;&gt;"",'SETIEMBRE 2026'!Z68="POR RECOGER"),'SETIEMBRE 2026'!I68,"")</f>
        <v/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" hidden="false" customHeight="true" outlineLevel="0" collapsed="false">
      <c r="A905" s="192" t="str">
        <f aca="false">IF(AND('SETIEMBRE 2026'!D69&lt;&gt;"",'SETIEMBRE 2026'!Z69="POR RECOGER"),"SET","")</f>
        <v/>
      </c>
      <c r="B905" s="192" t="str">
        <f aca="false">IF(AND('SETIEMBRE 2026'!D69&lt;&gt;"",'SETIEMBRE 2026'!Z69="POR RECOGER"),IF('SETIEMBRE 2026'!Y69&lt;&gt;"",'SETIEMBRE 2026'!Y69,'SETIEMBRE 2026'!I69),"")</f>
        <v/>
      </c>
      <c r="C905" s="192" t="str">
        <f aca="false">IF(AND('SETIEMBRE 2026'!D69&lt;&gt;"",'SETIEMBRE 2026'!Z69="POR RECOGER"),'SETIEMBRE 2026'!D69,"")</f>
        <v/>
      </c>
      <c r="D905" s="192" t="str">
        <f aca="false">IF(AND('SETIEMBRE 2026'!D69&lt;&gt;"",'SETIEMBRE 2026'!Z69="POR RECOGER"),'SETIEMBRE 2026'!F69,"")</f>
        <v/>
      </c>
      <c r="E905" s="192" t="str">
        <f aca="false">IF(AND('SETIEMBRE 2026'!D69&lt;&gt;"",'SETIEMBRE 2026'!Z69="POR RECOGER"),TEXT('SETIEMBRE 2026'!G69,"DD/MM/YYYY"),"")</f>
        <v/>
      </c>
      <c r="F905" s="192" t="str">
        <f aca="false">IF(AND('SETIEMBRE 2026'!D69&lt;&gt;"",'SETIEMBRE 2026'!Z69="POR RECOGER"),'SETIEMBRE 2026'!K69,"")</f>
        <v/>
      </c>
      <c r="G905" s="193" t="str">
        <f aca="false">IF(AND('SETIEMBRE 2026'!D69&lt;&gt;"",'SETIEMBRE 2026'!Z69="POR RECOGER"),'SETIEMBRE 2026'!M69,"")</f>
        <v/>
      </c>
      <c r="H905" s="193" t="str">
        <f aca="false">IF(AND('SETIEMBRE 2026'!D69&lt;&gt;"",'SETIEMBRE 2026'!Z69="POR RECOGER"),'SETIEMBRE 2026'!N69,"")</f>
        <v/>
      </c>
      <c r="I905" s="192" t="str">
        <f aca="false">IF(AND('SETIEMBRE 2026'!D69&lt;&gt;"",'SETIEMBRE 2026'!Z69="POR RECOGER"),'SETIEMBRE 2026'!P69,"")</f>
        <v/>
      </c>
      <c r="J905" s="192" t="str">
        <f aca="false">IF(AND('SETIEMBRE 2026'!D69&lt;&gt;"",'SETIEMBRE 2026'!Z69="POR RECOGER"),'SETIEMBRE 2026'!Q69,"")</f>
        <v/>
      </c>
      <c r="K905" s="192" t="str">
        <f aca="false">IF(AND('SETIEMBRE 2026'!D69&lt;&gt;"",'SETIEMBRE 2026'!Z69="POR RECOGER"),'SETIEMBRE 2026'!Y69,"")</f>
        <v/>
      </c>
      <c r="L905" s="192" t="str">
        <f aca="false">IF(AND('SETIEMBRE 2026'!D69&lt;&gt;"",'SETIEMBRE 2026'!Z69="POR RECOGER"),'SETIEMBRE 2026'!I69,"")</f>
        <v/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" hidden="false" customHeight="true" outlineLevel="0" collapsed="false">
      <c r="A906" s="192" t="str">
        <f aca="false">IF(AND('SETIEMBRE 2026'!D70&lt;&gt;"",'SETIEMBRE 2026'!Z70="POR RECOGER"),"SET","")</f>
        <v/>
      </c>
      <c r="B906" s="192" t="str">
        <f aca="false">IF(AND('SETIEMBRE 2026'!D70&lt;&gt;"",'SETIEMBRE 2026'!Z70="POR RECOGER"),IF('SETIEMBRE 2026'!Y70&lt;&gt;"",'SETIEMBRE 2026'!Y70,'SETIEMBRE 2026'!I70),"")</f>
        <v/>
      </c>
      <c r="C906" s="192" t="str">
        <f aca="false">IF(AND('SETIEMBRE 2026'!D70&lt;&gt;"",'SETIEMBRE 2026'!Z70="POR RECOGER"),'SETIEMBRE 2026'!D70,"")</f>
        <v/>
      </c>
      <c r="D906" s="192" t="str">
        <f aca="false">IF(AND('SETIEMBRE 2026'!D70&lt;&gt;"",'SETIEMBRE 2026'!Z70="POR RECOGER"),'SETIEMBRE 2026'!F70,"")</f>
        <v/>
      </c>
      <c r="E906" s="192" t="str">
        <f aca="false">IF(AND('SETIEMBRE 2026'!D70&lt;&gt;"",'SETIEMBRE 2026'!Z70="POR RECOGER"),TEXT('SETIEMBRE 2026'!G70,"DD/MM/YYYY"),"")</f>
        <v/>
      </c>
      <c r="F906" s="192" t="str">
        <f aca="false">IF(AND('SETIEMBRE 2026'!D70&lt;&gt;"",'SETIEMBRE 2026'!Z70="POR RECOGER"),'SETIEMBRE 2026'!K70,"")</f>
        <v/>
      </c>
      <c r="G906" s="193" t="str">
        <f aca="false">IF(AND('SETIEMBRE 2026'!D70&lt;&gt;"",'SETIEMBRE 2026'!Z70="POR RECOGER"),'SETIEMBRE 2026'!M70,"")</f>
        <v/>
      </c>
      <c r="H906" s="193" t="str">
        <f aca="false">IF(AND('SETIEMBRE 2026'!D70&lt;&gt;"",'SETIEMBRE 2026'!Z70="POR RECOGER"),'SETIEMBRE 2026'!N70,"")</f>
        <v/>
      </c>
      <c r="I906" s="192" t="str">
        <f aca="false">IF(AND('SETIEMBRE 2026'!D70&lt;&gt;"",'SETIEMBRE 2026'!Z70="POR RECOGER"),'SETIEMBRE 2026'!P70,"")</f>
        <v/>
      </c>
      <c r="J906" s="192" t="str">
        <f aca="false">IF(AND('SETIEMBRE 2026'!D70&lt;&gt;"",'SETIEMBRE 2026'!Z70="POR RECOGER"),'SETIEMBRE 2026'!Q70,"")</f>
        <v/>
      </c>
      <c r="K906" s="192" t="str">
        <f aca="false">IF(AND('SETIEMBRE 2026'!D70&lt;&gt;"",'SETIEMBRE 2026'!Z70="POR RECOGER"),'SETIEMBRE 2026'!Y70,"")</f>
        <v/>
      </c>
      <c r="L906" s="192" t="str">
        <f aca="false">IF(AND('SETIEMBRE 2026'!D70&lt;&gt;"",'SETIEMBRE 2026'!Z70="POR RECOGER"),'SETIEMBRE 2026'!I70,"")</f>
        <v/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" hidden="false" customHeight="true" outlineLevel="0" collapsed="false">
      <c r="A907" s="192" t="str">
        <f aca="false">IF(AND('SETIEMBRE 2026'!D71&lt;&gt;"",'SETIEMBRE 2026'!Z71="POR RECOGER"),"SET","")</f>
        <v/>
      </c>
      <c r="B907" s="192" t="str">
        <f aca="false">IF(AND('SETIEMBRE 2026'!D71&lt;&gt;"",'SETIEMBRE 2026'!Z71="POR RECOGER"),IF('SETIEMBRE 2026'!Y71&lt;&gt;"",'SETIEMBRE 2026'!Y71,'SETIEMBRE 2026'!I71),"")</f>
        <v/>
      </c>
      <c r="C907" s="192" t="str">
        <f aca="false">IF(AND('SETIEMBRE 2026'!D71&lt;&gt;"",'SETIEMBRE 2026'!Z71="POR RECOGER"),'SETIEMBRE 2026'!D71,"")</f>
        <v/>
      </c>
      <c r="D907" s="192" t="str">
        <f aca="false">IF(AND('SETIEMBRE 2026'!D71&lt;&gt;"",'SETIEMBRE 2026'!Z71="POR RECOGER"),'SETIEMBRE 2026'!F71,"")</f>
        <v/>
      </c>
      <c r="E907" s="192" t="str">
        <f aca="false">IF(AND('SETIEMBRE 2026'!D71&lt;&gt;"",'SETIEMBRE 2026'!Z71="POR RECOGER"),TEXT('SETIEMBRE 2026'!G71,"DD/MM/YYYY"),"")</f>
        <v/>
      </c>
      <c r="F907" s="192" t="str">
        <f aca="false">IF(AND('SETIEMBRE 2026'!D71&lt;&gt;"",'SETIEMBRE 2026'!Z71="POR RECOGER"),'SETIEMBRE 2026'!K71,"")</f>
        <v/>
      </c>
      <c r="G907" s="193" t="str">
        <f aca="false">IF(AND('SETIEMBRE 2026'!D71&lt;&gt;"",'SETIEMBRE 2026'!Z71="POR RECOGER"),'SETIEMBRE 2026'!M71,"")</f>
        <v/>
      </c>
      <c r="H907" s="193" t="str">
        <f aca="false">IF(AND('SETIEMBRE 2026'!D71&lt;&gt;"",'SETIEMBRE 2026'!Z71="POR RECOGER"),'SETIEMBRE 2026'!N71,"")</f>
        <v/>
      </c>
      <c r="I907" s="192" t="str">
        <f aca="false">IF(AND('SETIEMBRE 2026'!D71&lt;&gt;"",'SETIEMBRE 2026'!Z71="POR RECOGER"),'SETIEMBRE 2026'!P71,"")</f>
        <v/>
      </c>
      <c r="J907" s="192" t="str">
        <f aca="false">IF(AND('SETIEMBRE 2026'!D71&lt;&gt;"",'SETIEMBRE 2026'!Z71="POR RECOGER"),'SETIEMBRE 2026'!Q71,"")</f>
        <v/>
      </c>
      <c r="K907" s="192" t="str">
        <f aca="false">IF(AND('SETIEMBRE 2026'!D71&lt;&gt;"",'SETIEMBRE 2026'!Z71="POR RECOGER"),'SETIEMBRE 2026'!Y71,"")</f>
        <v/>
      </c>
      <c r="L907" s="192" t="str">
        <f aca="false">IF(AND('SETIEMBRE 2026'!D71&lt;&gt;"",'SETIEMBRE 2026'!Z71="POR RECOGER"),'SETIEMBRE 2026'!I71,"")</f>
        <v/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" hidden="false" customHeight="true" outlineLevel="0" collapsed="false">
      <c r="A908" s="192" t="str">
        <f aca="false">IF(AND('SETIEMBRE 2026'!D72&lt;&gt;"",'SETIEMBRE 2026'!Z72="POR RECOGER"),"SET","")</f>
        <v/>
      </c>
      <c r="B908" s="192" t="str">
        <f aca="false">IF(AND('SETIEMBRE 2026'!D72&lt;&gt;"",'SETIEMBRE 2026'!Z72="POR RECOGER"),IF('SETIEMBRE 2026'!Y72&lt;&gt;"",'SETIEMBRE 2026'!Y72,'SETIEMBRE 2026'!I72),"")</f>
        <v/>
      </c>
      <c r="C908" s="192" t="str">
        <f aca="false">IF(AND('SETIEMBRE 2026'!D72&lt;&gt;"",'SETIEMBRE 2026'!Z72="POR RECOGER"),'SETIEMBRE 2026'!D72,"")</f>
        <v/>
      </c>
      <c r="D908" s="192" t="str">
        <f aca="false">IF(AND('SETIEMBRE 2026'!D72&lt;&gt;"",'SETIEMBRE 2026'!Z72="POR RECOGER"),'SETIEMBRE 2026'!F72,"")</f>
        <v/>
      </c>
      <c r="E908" s="192" t="str">
        <f aca="false">IF(AND('SETIEMBRE 2026'!D72&lt;&gt;"",'SETIEMBRE 2026'!Z72="POR RECOGER"),TEXT('SETIEMBRE 2026'!G72,"DD/MM/YYYY"),"")</f>
        <v/>
      </c>
      <c r="F908" s="192" t="str">
        <f aca="false">IF(AND('SETIEMBRE 2026'!D72&lt;&gt;"",'SETIEMBRE 2026'!Z72="POR RECOGER"),'SETIEMBRE 2026'!K72,"")</f>
        <v/>
      </c>
      <c r="G908" s="193" t="str">
        <f aca="false">IF(AND('SETIEMBRE 2026'!D72&lt;&gt;"",'SETIEMBRE 2026'!Z72="POR RECOGER"),'SETIEMBRE 2026'!M72,"")</f>
        <v/>
      </c>
      <c r="H908" s="193" t="str">
        <f aca="false">IF(AND('SETIEMBRE 2026'!D72&lt;&gt;"",'SETIEMBRE 2026'!Z72="POR RECOGER"),'SETIEMBRE 2026'!N72,"")</f>
        <v/>
      </c>
      <c r="I908" s="192" t="str">
        <f aca="false">IF(AND('SETIEMBRE 2026'!D72&lt;&gt;"",'SETIEMBRE 2026'!Z72="POR RECOGER"),'SETIEMBRE 2026'!P72,"")</f>
        <v/>
      </c>
      <c r="J908" s="192" t="str">
        <f aca="false">IF(AND('SETIEMBRE 2026'!D72&lt;&gt;"",'SETIEMBRE 2026'!Z72="POR RECOGER"),'SETIEMBRE 2026'!Q72,"")</f>
        <v/>
      </c>
      <c r="K908" s="192" t="str">
        <f aca="false">IF(AND('SETIEMBRE 2026'!D72&lt;&gt;"",'SETIEMBRE 2026'!Z72="POR RECOGER"),'SETIEMBRE 2026'!Y72,"")</f>
        <v/>
      </c>
      <c r="L908" s="192" t="str">
        <f aca="false">IF(AND('SETIEMBRE 2026'!D72&lt;&gt;"",'SETIEMBRE 2026'!Z72="POR RECOGER"),'SETIEMBRE 2026'!I72,"")</f>
        <v/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" hidden="false" customHeight="true" outlineLevel="0" collapsed="false">
      <c r="A909" s="192" t="str">
        <f aca="false">IF(AND('SETIEMBRE 2026'!D73&lt;&gt;"",'SETIEMBRE 2026'!Z73="POR RECOGER"),"SET","")</f>
        <v/>
      </c>
      <c r="B909" s="192" t="str">
        <f aca="false">IF(AND('SETIEMBRE 2026'!D73&lt;&gt;"",'SETIEMBRE 2026'!Z73="POR RECOGER"),IF('SETIEMBRE 2026'!Y73&lt;&gt;"",'SETIEMBRE 2026'!Y73,'SETIEMBRE 2026'!I73),"")</f>
        <v/>
      </c>
      <c r="C909" s="192" t="str">
        <f aca="false">IF(AND('SETIEMBRE 2026'!D73&lt;&gt;"",'SETIEMBRE 2026'!Z73="POR RECOGER"),'SETIEMBRE 2026'!D73,"")</f>
        <v/>
      </c>
      <c r="D909" s="192" t="str">
        <f aca="false">IF(AND('SETIEMBRE 2026'!D73&lt;&gt;"",'SETIEMBRE 2026'!Z73="POR RECOGER"),'SETIEMBRE 2026'!F73,"")</f>
        <v/>
      </c>
      <c r="E909" s="192" t="str">
        <f aca="false">IF(AND('SETIEMBRE 2026'!D73&lt;&gt;"",'SETIEMBRE 2026'!Z73="POR RECOGER"),TEXT('SETIEMBRE 2026'!G73,"DD/MM/YYYY"),"")</f>
        <v/>
      </c>
      <c r="F909" s="192" t="str">
        <f aca="false">IF(AND('SETIEMBRE 2026'!D73&lt;&gt;"",'SETIEMBRE 2026'!Z73="POR RECOGER"),'SETIEMBRE 2026'!K73,"")</f>
        <v/>
      </c>
      <c r="G909" s="193" t="str">
        <f aca="false">IF(AND('SETIEMBRE 2026'!D73&lt;&gt;"",'SETIEMBRE 2026'!Z73="POR RECOGER"),'SETIEMBRE 2026'!M73,"")</f>
        <v/>
      </c>
      <c r="H909" s="193" t="str">
        <f aca="false">IF(AND('SETIEMBRE 2026'!D73&lt;&gt;"",'SETIEMBRE 2026'!Z73="POR RECOGER"),'SETIEMBRE 2026'!N73,"")</f>
        <v/>
      </c>
      <c r="I909" s="192" t="str">
        <f aca="false">IF(AND('SETIEMBRE 2026'!D73&lt;&gt;"",'SETIEMBRE 2026'!Z73="POR RECOGER"),'SETIEMBRE 2026'!P73,"")</f>
        <v/>
      </c>
      <c r="J909" s="192" t="str">
        <f aca="false">IF(AND('SETIEMBRE 2026'!D73&lt;&gt;"",'SETIEMBRE 2026'!Z73="POR RECOGER"),'SETIEMBRE 2026'!Q73,"")</f>
        <v/>
      </c>
      <c r="K909" s="192" t="str">
        <f aca="false">IF(AND('SETIEMBRE 2026'!D73&lt;&gt;"",'SETIEMBRE 2026'!Z73="POR RECOGER"),'SETIEMBRE 2026'!Y73,"")</f>
        <v/>
      </c>
      <c r="L909" s="192" t="str">
        <f aca="false">IF(AND('SETIEMBRE 2026'!D73&lt;&gt;"",'SETIEMBRE 2026'!Z73="POR RECOGER"),'SETIEMBRE 2026'!I73,"")</f>
        <v/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" hidden="false" customHeight="true" outlineLevel="0" collapsed="false">
      <c r="A910" s="192" t="str">
        <f aca="false">IF(AND('SETIEMBRE 2026'!D74&lt;&gt;"",'SETIEMBRE 2026'!Z74="POR RECOGER"),"SET","")</f>
        <v/>
      </c>
      <c r="B910" s="192" t="str">
        <f aca="false">IF(AND('SETIEMBRE 2026'!D74&lt;&gt;"",'SETIEMBRE 2026'!Z74="POR RECOGER"),IF('SETIEMBRE 2026'!Y74&lt;&gt;"",'SETIEMBRE 2026'!Y74,'SETIEMBRE 2026'!I74),"")</f>
        <v/>
      </c>
      <c r="C910" s="192" t="str">
        <f aca="false">IF(AND('SETIEMBRE 2026'!D74&lt;&gt;"",'SETIEMBRE 2026'!Z74="POR RECOGER"),'SETIEMBRE 2026'!D74,"")</f>
        <v/>
      </c>
      <c r="D910" s="192" t="str">
        <f aca="false">IF(AND('SETIEMBRE 2026'!D74&lt;&gt;"",'SETIEMBRE 2026'!Z74="POR RECOGER"),'SETIEMBRE 2026'!F74,"")</f>
        <v/>
      </c>
      <c r="E910" s="192" t="str">
        <f aca="false">IF(AND('SETIEMBRE 2026'!D74&lt;&gt;"",'SETIEMBRE 2026'!Z74="POR RECOGER"),TEXT('SETIEMBRE 2026'!G74,"DD/MM/YYYY"),"")</f>
        <v/>
      </c>
      <c r="F910" s="192" t="str">
        <f aca="false">IF(AND('SETIEMBRE 2026'!D74&lt;&gt;"",'SETIEMBRE 2026'!Z74="POR RECOGER"),'SETIEMBRE 2026'!K74,"")</f>
        <v/>
      </c>
      <c r="G910" s="193" t="str">
        <f aca="false">IF(AND('SETIEMBRE 2026'!D74&lt;&gt;"",'SETIEMBRE 2026'!Z74="POR RECOGER"),'SETIEMBRE 2026'!M74,"")</f>
        <v/>
      </c>
      <c r="H910" s="193" t="str">
        <f aca="false">IF(AND('SETIEMBRE 2026'!D74&lt;&gt;"",'SETIEMBRE 2026'!Z74="POR RECOGER"),'SETIEMBRE 2026'!N74,"")</f>
        <v/>
      </c>
      <c r="I910" s="192" t="str">
        <f aca="false">IF(AND('SETIEMBRE 2026'!D74&lt;&gt;"",'SETIEMBRE 2026'!Z74="POR RECOGER"),'SETIEMBRE 2026'!P74,"")</f>
        <v/>
      </c>
      <c r="J910" s="192" t="str">
        <f aca="false">IF(AND('SETIEMBRE 2026'!D74&lt;&gt;"",'SETIEMBRE 2026'!Z74="POR RECOGER"),'SETIEMBRE 2026'!Q74,"")</f>
        <v/>
      </c>
      <c r="K910" s="192" t="str">
        <f aca="false">IF(AND('SETIEMBRE 2026'!D74&lt;&gt;"",'SETIEMBRE 2026'!Z74="POR RECOGER"),'SETIEMBRE 2026'!Y74,"")</f>
        <v/>
      </c>
      <c r="L910" s="192" t="str">
        <f aca="false">IF(AND('SETIEMBRE 2026'!D74&lt;&gt;"",'SETIEMBRE 2026'!Z74="POR RECOGER"),'SETIEMBRE 2026'!I74,"")</f>
        <v/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" hidden="false" customHeight="true" outlineLevel="0" collapsed="false">
      <c r="A911" s="192" t="str">
        <f aca="false">IF(AND('SETIEMBRE 2026'!D75&lt;&gt;"",'SETIEMBRE 2026'!Z75="POR RECOGER"),"SET","")</f>
        <v/>
      </c>
      <c r="B911" s="192" t="str">
        <f aca="false">IF(AND('SETIEMBRE 2026'!D75&lt;&gt;"",'SETIEMBRE 2026'!Z75="POR RECOGER"),IF('SETIEMBRE 2026'!Y75&lt;&gt;"",'SETIEMBRE 2026'!Y75,'SETIEMBRE 2026'!I75),"")</f>
        <v/>
      </c>
      <c r="C911" s="192" t="str">
        <f aca="false">IF(AND('SETIEMBRE 2026'!D75&lt;&gt;"",'SETIEMBRE 2026'!Z75="POR RECOGER"),'SETIEMBRE 2026'!D75,"")</f>
        <v/>
      </c>
      <c r="D911" s="192" t="str">
        <f aca="false">IF(AND('SETIEMBRE 2026'!D75&lt;&gt;"",'SETIEMBRE 2026'!Z75="POR RECOGER"),'SETIEMBRE 2026'!F75,"")</f>
        <v/>
      </c>
      <c r="E911" s="192" t="str">
        <f aca="false">IF(AND('SETIEMBRE 2026'!D75&lt;&gt;"",'SETIEMBRE 2026'!Z75="POR RECOGER"),TEXT('SETIEMBRE 2026'!G75,"DD/MM/YYYY"),"")</f>
        <v/>
      </c>
      <c r="F911" s="192" t="str">
        <f aca="false">IF(AND('SETIEMBRE 2026'!D75&lt;&gt;"",'SETIEMBRE 2026'!Z75="POR RECOGER"),'SETIEMBRE 2026'!K75,"")</f>
        <v/>
      </c>
      <c r="G911" s="193" t="str">
        <f aca="false">IF(AND('SETIEMBRE 2026'!D75&lt;&gt;"",'SETIEMBRE 2026'!Z75="POR RECOGER"),'SETIEMBRE 2026'!M75,"")</f>
        <v/>
      </c>
      <c r="H911" s="193" t="str">
        <f aca="false">IF(AND('SETIEMBRE 2026'!D75&lt;&gt;"",'SETIEMBRE 2026'!Z75="POR RECOGER"),'SETIEMBRE 2026'!N75,"")</f>
        <v/>
      </c>
      <c r="I911" s="192" t="str">
        <f aca="false">IF(AND('SETIEMBRE 2026'!D75&lt;&gt;"",'SETIEMBRE 2026'!Z75="POR RECOGER"),'SETIEMBRE 2026'!P75,"")</f>
        <v/>
      </c>
      <c r="J911" s="192" t="str">
        <f aca="false">IF(AND('SETIEMBRE 2026'!D75&lt;&gt;"",'SETIEMBRE 2026'!Z75="POR RECOGER"),'SETIEMBRE 2026'!Q75,"")</f>
        <v/>
      </c>
      <c r="K911" s="192" t="str">
        <f aca="false">IF(AND('SETIEMBRE 2026'!D75&lt;&gt;"",'SETIEMBRE 2026'!Z75="POR RECOGER"),'SETIEMBRE 2026'!Y75,"")</f>
        <v/>
      </c>
      <c r="L911" s="192" t="str">
        <f aca="false">IF(AND('SETIEMBRE 2026'!D75&lt;&gt;"",'SETIEMBRE 2026'!Z75="POR RECOGER"),'SETIEMBRE 2026'!I75,"")</f>
        <v/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" hidden="false" customHeight="true" outlineLevel="0" collapsed="false">
      <c r="A912" s="192" t="str">
        <f aca="false">IF(AND('SETIEMBRE 2026'!D76&lt;&gt;"",'SETIEMBRE 2026'!Z76="POR RECOGER"),"SET","")</f>
        <v/>
      </c>
      <c r="B912" s="192" t="str">
        <f aca="false">IF(AND('SETIEMBRE 2026'!D76&lt;&gt;"",'SETIEMBRE 2026'!Z76="POR RECOGER"),IF('SETIEMBRE 2026'!Y76&lt;&gt;"",'SETIEMBRE 2026'!Y76,'SETIEMBRE 2026'!I76),"")</f>
        <v/>
      </c>
      <c r="C912" s="192" t="str">
        <f aca="false">IF(AND('SETIEMBRE 2026'!D76&lt;&gt;"",'SETIEMBRE 2026'!Z76="POR RECOGER"),'SETIEMBRE 2026'!D76,"")</f>
        <v/>
      </c>
      <c r="D912" s="192" t="str">
        <f aca="false">IF(AND('SETIEMBRE 2026'!D76&lt;&gt;"",'SETIEMBRE 2026'!Z76="POR RECOGER"),'SETIEMBRE 2026'!F76,"")</f>
        <v/>
      </c>
      <c r="E912" s="192" t="str">
        <f aca="false">IF(AND('SETIEMBRE 2026'!D76&lt;&gt;"",'SETIEMBRE 2026'!Z76="POR RECOGER"),TEXT('SETIEMBRE 2026'!G76,"DD/MM/YYYY"),"")</f>
        <v/>
      </c>
      <c r="F912" s="192" t="str">
        <f aca="false">IF(AND('SETIEMBRE 2026'!D76&lt;&gt;"",'SETIEMBRE 2026'!Z76="POR RECOGER"),'SETIEMBRE 2026'!K76,"")</f>
        <v/>
      </c>
      <c r="G912" s="193" t="str">
        <f aca="false">IF(AND('SETIEMBRE 2026'!D76&lt;&gt;"",'SETIEMBRE 2026'!Z76="POR RECOGER"),'SETIEMBRE 2026'!M76,"")</f>
        <v/>
      </c>
      <c r="H912" s="193" t="str">
        <f aca="false">IF(AND('SETIEMBRE 2026'!D76&lt;&gt;"",'SETIEMBRE 2026'!Z76="POR RECOGER"),'SETIEMBRE 2026'!N76,"")</f>
        <v/>
      </c>
      <c r="I912" s="192" t="str">
        <f aca="false">IF(AND('SETIEMBRE 2026'!D76&lt;&gt;"",'SETIEMBRE 2026'!Z76="POR RECOGER"),'SETIEMBRE 2026'!P76,"")</f>
        <v/>
      </c>
      <c r="J912" s="192" t="str">
        <f aca="false">IF(AND('SETIEMBRE 2026'!D76&lt;&gt;"",'SETIEMBRE 2026'!Z76="POR RECOGER"),'SETIEMBRE 2026'!Q76,"")</f>
        <v/>
      </c>
      <c r="K912" s="192" t="str">
        <f aca="false">IF(AND('SETIEMBRE 2026'!D76&lt;&gt;"",'SETIEMBRE 2026'!Z76="POR RECOGER"),'SETIEMBRE 2026'!Y76,"")</f>
        <v/>
      </c>
      <c r="L912" s="192" t="str">
        <f aca="false">IF(AND('SETIEMBRE 2026'!D76&lt;&gt;"",'SETIEMBRE 2026'!Z76="POR RECOGER"),'SETIEMBRE 2026'!I76,"")</f>
        <v/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" hidden="false" customHeight="true" outlineLevel="0" collapsed="false">
      <c r="A913" s="192" t="str">
        <f aca="false">IF(AND('SETIEMBRE 2026'!D77&lt;&gt;"",'SETIEMBRE 2026'!Z77="POR RECOGER"),"SET","")</f>
        <v/>
      </c>
      <c r="B913" s="192" t="str">
        <f aca="false">IF(AND('SETIEMBRE 2026'!D77&lt;&gt;"",'SETIEMBRE 2026'!Z77="POR RECOGER"),IF('SETIEMBRE 2026'!Y77&lt;&gt;"",'SETIEMBRE 2026'!Y77,'SETIEMBRE 2026'!I77),"")</f>
        <v/>
      </c>
      <c r="C913" s="192" t="str">
        <f aca="false">IF(AND('SETIEMBRE 2026'!D77&lt;&gt;"",'SETIEMBRE 2026'!Z77="POR RECOGER"),'SETIEMBRE 2026'!D77,"")</f>
        <v/>
      </c>
      <c r="D913" s="192" t="str">
        <f aca="false">IF(AND('SETIEMBRE 2026'!D77&lt;&gt;"",'SETIEMBRE 2026'!Z77="POR RECOGER"),'SETIEMBRE 2026'!F77,"")</f>
        <v/>
      </c>
      <c r="E913" s="192" t="str">
        <f aca="false">IF(AND('SETIEMBRE 2026'!D77&lt;&gt;"",'SETIEMBRE 2026'!Z77="POR RECOGER"),TEXT('SETIEMBRE 2026'!G77,"DD/MM/YYYY"),"")</f>
        <v/>
      </c>
      <c r="F913" s="192" t="str">
        <f aca="false">IF(AND('SETIEMBRE 2026'!D77&lt;&gt;"",'SETIEMBRE 2026'!Z77="POR RECOGER"),'SETIEMBRE 2026'!K77,"")</f>
        <v/>
      </c>
      <c r="G913" s="193" t="str">
        <f aca="false">IF(AND('SETIEMBRE 2026'!D77&lt;&gt;"",'SETIEMBRE 2026'!Z77="POR RECOGER"),'SETIEMBRE 2026'!M77,"")</f>
        <v/>
      </c>
      <c r="H913" s="193" t="str">
        <f aca="false">IF(AND('SETIEMBRE 2026'!D77&lt;&gt;"",'SETIEMBRE 2026'!Z77="POR RECOGER"),'SETIEMBRE 2026'!N77,"")</f>
        <v/>
      </c>
      <c r="I913" s="192" t="str">
        <f aca="false">IF(AND('SETIEMBRE 2026'!D77&lt;&gt;"",'SETIEMBRE 2026'!Z77="POR RECOGER"),'SETIEMBRE 2026'!P77,"")</f>
        <v/>
      </c>
      <c r="J913" s="192" t="str">
        <f aca="false">IF(AND('SETIEMBRE 2026'!D77&lt;&gt;"",'SETIEMBRE 2026'!Z77="POR RECOGER"),'SETIEMBRE 2026'!Q77,"")</f>
        <v/>
      </c>
      <c r="K913" s="192" t="str">
        <f aca="false">IF(AND('SETIEMBRE 2026'!D77&lt;&gt;"",'SETIEMBRE 2026'!Z77="POR RECOGER"),'SETIEMBRE 2026'!Y77,"")</f>
        <v/>
      </c>
      <c r="L913" s="192" t="str">
        <f aca="false">IF(AND('SETIEMBRE 2026'!D77&lt;&gt;"",'SETIEMBRE 2026'!Z77="POR RECOGER"),'SETIEMBRE 2026'!I77,"")</f>
        <v/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" hidden="false" customHeight="true" outlineLevel="0" collapsed="false">
      <c r="A914" s="192" t="str">
        <f aca="false">IF(AND('SETIEMBRE 2026'!D78&lt;&gt;"",'SETIEMBRE 2026'!Z78="POR RECOGER"),"SET","")</f>
        <v/>
      </c>
      <c r="B914" s="192" t="str">
        <f aca="false">IF(AND('SETIEMBRE 2026'!D78&lt;&gt;"",'SETIEMBRE 2026'!Z78="POR RECOGER"),IF('SETIEMBRE 2026'!Y78&lt;&gt;"",'SETIEMBRE 2026'!Y78,'SETIEMBRE 2026'!I78),"")</f>
        <v/>
      </c>
      <c r="C914" s="192" t="str">
        <f aca="false">IF(AND('SETIEMBRE 2026'!D78&lt;&gt;"",'SETIEMBRE 2026'!Z78="POR RECOGER"),'SETIEMBRE 2026'!D78,"")</f>
        <v/>
      </c>
      <c r="D914" s="192" t="str">
        <f aca="false">IF(AND('SETIEMBRE 2026'!D78&lt;&gt;"",'SETIEMBRE 2026'!Z78="POR RECOGER"),'SETIEMBRE 2026'!F78,"")</f>
        <v/>
      </c>
      <c r="E914" s="192" t="str">
        <f aca="false">IF(AND('SETIEMBRE 2026'!D78&lt;&gt;"",'SETIEMBRE 2026'!Z78="POR RECOGER"),TEXT('SETIEMBRE 2026'!G78,"DD/MM/YYYY"),"")</f>
        <v/>
      </c>
      <c r="F914" s="192" t="str">
        <f aca="false">IF(AND('SETIEMBRE 2026'!D78&lt;&gt;"",'SETIEMBRE 2026'!Z78="POR RECOGER"),'SETIEMBRE 2026'!K78,"")</f>
        <v/>
      </c>
      <c r="G914" s="193" t="str">
        <f aca="false">IF(AND('SETIEMBRE 2026'!D78&lt;&gt;"",'SETIEMBRE 2026'!Z78="POR RECOGER"),'SETIEMBRE 2026'!M78,"")</f>
        <v/>
      </c>
      <c r="H914" s="193" t="str">
        <f aca="false">IF(AND('SETIEMBRE 2026'!D78&lt;&gt;"",'SETIEMBRE 2026'!Z78="POR RECOGER"),'SETIEMBRE 2026'!N78,"")</f>
        <v/>
      </c>
      <c r="I914" s="192" t="str">
        <f aca="false">IF(AND('SETIEMBRE 2026'!D78&lt;&gt;"",'SETIEMBRE 2026'!Z78="POR RECOGER"),'SETIEMBRE 2026'!P78,"")</f>
        <v/>
      </c>
      <c r="J914" s="192" t="str">
        <f aca="false">IF(AND('SETIEMBRE 2026'!D78&lt;&gt;"",'SETIEMBRE 2026'!Z78="POR RECOGER"),'SETIEMBRE 2026'!Q78,"")</f>
        <v/>
      </c>
      <c r="K914" s="192" t="str">
        <f aca="false">IF(AND('SETIEMBRE 2026'!D78&lt;&gt;"",'SETIEMBRE 2026'!Z78="POR RECOGER"),'SETIEMBRE 2026'!Y78,"")</f>
        <v/>
      </c>
      <c r="L914" s="192" t="str">
        <f aca="false">IF(AND('SETIEMBRE 2026'!D78&lt;&gt;"",'SETIEMBRE 2026'!Z78="POR RECOGER"),'SETIEMBRE 2026'!I78,"")</f>
        <v/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" hidden="false" customHeight="true" outlineLevel="0" collapsed="false">
      <c r="A915" s="192" t="str">
        <f aca="false">IF(AND('SETIEMBRE 2026'!D79&lt;&gt;"",'SETIEMBRE 2026'!Z79="POR RECOGER"),"SET","")</f>
        <v/>
      </c>
      <c r="B915" s="192" t="str">
        <f aca="false">IF(AND('SETIEMBRE 2026'!D79&lt;&gt;"",'SETIEMBRE 2026'!Z79="POR RECOGER"),IF('SETIEMBRE 2026'!Y79&lt;&gt;"",'SETIEMBRE 2026'!Y79,'SETIEMBRE 2026'!I79),"")</f>
        <v/>
      </c>
      <c r="C915" s="192" t="str">
        <f aca="false">IF(AND('SETIEMBRE 2026'!D79&lt;&gt;"",'SETIEMBRE 2026'!Z79="POR RECOGER"),'SETIEMBRE 2026'!D79,"")</f>
        <v/>
      </c>
      <c r="D915" s="192" t="str">
        <f aca="false">IF(AND('SETIEMBRE 2026'!D79&lt;&gt;"",'SETIEMBRE 2026'!Z79="POR RECOGER"),'SETIEMBRE 2026'!F79,"")</f>
        <v/>
      </c>
      <c r="E915" s="192" t="str">
        <f aca="false">IF(AND('SETIEMBRE 2026'!D79&lt;&gt;"",'SETIEMBRE 2026'!Z79="POR RECOGER"),TEXT('SETIEMBRE 2026'!G79,"DD/MM/YYYY"),"")</f>
        <v/>
      </c>
      <c r="F915" s="192" t="str">
        <f aca="false">IF(AND('SETIEMBRE 2026'!D79&lt;&gt;"",'SETIEMBRE 2026'!Z79="POR RECOGER"),'SETIEMBRE 2026'!K79,"")</f>
        <v/>
      </c>
      <c r="G915" s="193" t="str">
        <f aca="false">IF(AND('SETIEMBRE 2026'!D79&lt;&gt;"",'SETIEMBRE 2026'!Z79="POR RECOGER"),'SETIEMBRE 2026'!M79,"")</f>
        <v/>
      </c>
      <c r="H915" s="193" t="str">
        <f aca="false">IF(AND('SETIEMBRE 2026'!D79&lt;&gt;"",'SETIEMBRE 2026'!Z79="POR RECOGER"),'SETIEMBRE 2026'!N79,"")</f>
        <v/>
      </c>
      <c r="I915" s="192" t="str">
        <f aca="false">IF(AND('SETIEMBRE 2026'!D79&lt;&gt;"",'SETIEMBRE 2026'!Z79="POR RECOGER"),'SETIEMBRE 2026'!P79,"")</f>
        <v/>
      </c>
      <c r="J915" s="192" t="str">
        <f aca="false">IF(AND('SETIEMBRE 2026'!D79&lt;&gt;"",'SETIEMBRE 2026'!Z79="POR RECOGER"),'SETIEMBRE 2026'!Q79,"")</f>
        <v/>
      </c>
      <c r="K915" s="192" t="str">
        <f aca="false">IF(AND('SETIEMBRE 2026'!D79&lt;&gt;"",'SETIEMBRE 2026'!Z79="POR RECOGER"),'SETIEMBRE 2026'!Y79,"")</f>
        <v/>
      </c>
      <c r="L915" s="192" t="str">
        <f aca="false">IF(AND('SETIEMBRE 2026'!D79&lt;&gt;"",'SETIEMBRE 2026'!Z79="POR RECOGER"),'SETIEMBRE 2026'!I79,"")</f>
        <v/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" hidden="false" customHeight="true" outlineLevel="0" collapsed="false">
      <c r="A916" s="192" t="str">
        <f aca="false">IF(AND('SETIEMBRE 2026'!D80&lt;&gt;"",'SETIEMBRE 2026'!Z80="POR RECOGER"),"SET","")</f>
        <v/>
      </c>
      <c r="B916" s="192" t="str">
        <f aca="false">IF(AND('SETIEMBRE 2026'!D80&lt;&gt;"",'SETIEMBRE 2026'!Z80="POR RECOGER"),IF('SETIEMBRE 2026'!Y80&lt;&gt;"",'SETIEMBRE 2026'!Y80,'SETIEMBRE 2026'!I80),"")</f>
        <v/>
      </c>
      <c r="C916" s="192" t="str">
        <f aca="false">IF(AND('SETIEMBRE 2026'!D80&lt;&gt;"",'SETIEMBRE 2026'!Z80="POR RECOGER"),'SETIEMBRE 2026'!D80,"")</f>
        <v/>
      </c>
      <c r="D916" s="192" t="str">
        <f aca="false">IF(AND('SETIEMBRE 2026'!D80&lt;&gt;"",'SETIEMBRE 2026'!Z80="POR RECOGER"),'SETIEMBRE 2026'!F80,"")</f>
        <v/>
      </c>
      <c r="E916" s="192" t="str">
        <f aca="false">IF(AND('SETIEMBRE 2026'!D80&lt;&gt;"",'SETIEMBRE 2026'!Z80="POR RECOGER"),TEXT('SETIEMBRE 2026'!G80,"DD/MM/YYYY"),"")</f>
        <v/>
      </c>
      <c r="F916" s="192" t="str">
        <f aca="false">IF(AND('SETIEMBRE 2026'!D80&lt;&gt;"",'SETIEMBRE 2026'!Z80="POR RECOGER"),'SETIEMBRE 2026'!K80,"")</f>
        <v/>
      </c>
      <c r="G916" s="193" t="str">
        <f aca="false">IF(AND('SETIEMBRE 2026'!D80&lt;&gt;"",'SETIEMBRE 2026'!Z80="POR RECOGER"),'SETIEMBRE 2026'!M80,"")</f>
        <v/>
      </c>
      <c r="H916" s="193" t="str">
        <f aca="false">IF(AND('SETIEMBRE 2026'!D80&lt;&gt;"",'SETIEMBRE 2026'!Z80="POR RECOGER"),'SETIEMBRE 2026'!N80,"")</f>
        <v/>
      </c>
      <c r="I916" s="192" t="str">
        <f aca="false">IF(AND('SETIEMBRE 2026'!D80&lt;&gt;"",'SETIEMBRE 2026'!Z80="POR RECOGER"),'SETIEMBRE 2026'!P80,"")</f>
        <v/>
      </c>
      <c r="J916" s="192" t="str">
        <f aca="false">IF(AND('SETIEMBRE 2026'!D80&lt;&gt;"",'SETIEMBRE 2026'!Z80="POR RECOGER"),'SETIEMBRE 2026'!Q80,"")</f>
        <v/>
      </c>
      <c r="K916" s="192" t="str">
        <f aca="false">IF(AND('SETIEMBRE 2026'!D80&lt;&gt;"",'SETIEMBRE 2026'!Z80="POR RECOGER"),'SETIEMBRE 2026'!Y80,"")</f>
        <v/>
      </c>
      <c r="L916" s="192" t="str">
        <f aca="false">IF(AND('SETIEMBRE 2026'!D80&lt;&gt;"",'SETIEMBRE 2026'!Z80="POR RECOGER"),'SETIEMBRE 2026'!I80,"")</f>
        <v/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" hidden="false" customHeight="true" outlineLevel="0" collapsed="false">
      <c r="A917" s="192" t="str">
        <f aca="false">IF(AND('SETIEMBRE 2026'!D81&lt;&gt;"",'SETIEMBRE 2026'!Z81="POR RECOGER"),"SET","")</f>
        <v/>
      </c>
      <c r="B917" s="192" t="str">
        <f aca="false">IF(AND('SETIEMBRE 2026'!D81&lt;&gt;"",'SETIEMBRE 2026'!Z81="POR RECOGER"),IF('SETIEMBRE 2026'!Y81&lt;&gt;"",'SETIEMBRE 2026'!Y81,'SETIEMBRE 2026'!I81),"")</f>
        <v/>
      </c>
      <c r="C917" s="192" t="str">
        <f aca="false">IF(AND('SETIEMBRE 2026'!D81&lt;&gt;"",'SETIEMBRE 2026'!Z81="POR RECOGER"),'SETIEMBRE 2026'!D81,"")</f>
        <v/>
      </c>
      <c r="D917" s="192" t="str">
        <f aca="false">IF(AND('SETIEMBRE 2026'!D81&lt;&gt;"",'SETIEMBRE 2026'!Z81="POR RECOGER"),'SETIEMBRE 2026'!F81,"")</f>
        <v/>
      </c>
      <c r="E917" s="192" t="str">
        <f aca="false">IF(AND('SETIEMBRE 2026'!D81&lt;&gt;"",'SETIEMBRE 2026'!Z81="POR RECOGER"),TEXT('SETIEMBRE 2026'!G81,"DD/MM/YYYY"),"")</f>
        <v/>
      </c>
      <c r="F917" s="192" t="str">
        <f aca="false">IF(AND('SETIEMBRE 2026'!D81&lt;&gt;"",'SETIEMBRE 2026'!Z81="POR RECOGER"),'SETIEMBRE 2026'!K81,"")</f>
        <v/>
      </c>
      <c r="G917" s="193" t="str">
        <f aca="false">IF(AND('SETIEMBRE 2026'!D81&lt;&gt;"",'SETIEMBRE 2026'!Z81="POR RECOGER"),'SETIEMBRE 2026'!M81,"")</f>
        <v/>
      </c>
      <c r="H917" s="193" t="str">
        <f aca="false">IF(AND('SETIEMBRE 2026'!D81&lt;&gt;"",'SETIEMBRE 2026'!Z81="POR RECOGER"),'SETIEMBRE 2026'!N81,"")</f>
        <v/>
      </c>
      <c r="I917" s="192" t="str">
        <f aca="false">IF(AND('SETIEMBRE 2026'!D81&lt;&gt;"",'SETIEMBRE 2026'!Z81="POR RECOGER"),'SETIEMBRE 2026'!P81,"")</f>
        <v/>
      </c>
      <c r="J917" s="192" t="str">
        <f aca="false">IF(AND('SETIEMBRE 2026'!D81&lt;&gt;"",'SETIEMBRE 2026'!Z81="POR RECOGER"),'SETIEMBRE 2026'!Q81,"")</f>
        <v/>
      </c>
      <c r="K917" s="192" t="str">
        <f aca="false">IF(AND('SETIEMBRE 2026'!D81&lt;&gt;"",'SETIEMBRE 2026'!Z81="POR RECOGER"),'SETIEMBRE 2026'!Y81,"")</f>
        <v/>
      </c>
      <c r="L917" s="192" t="str">
        <f aca="false">IF(AND('SETIEMBRE 2026'!D81&lt;&gt;"",'SETIEMBRE 2026'!Z81="POR RECOGER"),'SETIEMBRE 2026'!I81,"")</f>
        <v/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" hidden="false" customHeight="true" outlineLevel="0" collapsed="false">
      <c r="A918" s="192" t="str">
        <f aca="false">IF(AND('SETIEMBRE 2026'!D82&lt;&gt;"",'SETIEMBRE 2026'!Z82="POR RECOGER"),"SET","")</f>
        <v/>
      </c>
      <c r="B918" s="192" t="str">
        <f aca="false">IF(AND('SETIEMBRE 2026'!D82&lt;&gt;"",'SETIEMBRE 2026'!Z82="POR RECOGER"),IF('SETIEMBRE 2026'!Y82&lt;&gt;"",'SETIEMBRE 2026'!Y82,'SETIEMBRE 2026'!I82),"")</f>
        <v/>
      </c>
      <c r="C918" s="192" t="str">
        <f aca="false">IF(AND('SETIEMBRE 2026'!D82&lt;&gt;"",'SETIEMBRE 2026'!Z82="POR RECOGER"),'SETIEMBRE 2026'!D82,"")</f>
        <v/>
      </c>
      <c r="D918" s="192" t="str">
        <f aca="false">IF(AND('SETIEMBRE 2026'!D82&lt;&gt;"",'SETIEMBRE 2026'!Z82="POR RECOGER"),'SETIEMBRE 2026'!F82,"")</f>
        <v/>
      </c>
      <c r="E918" s="192" t="str">
        <f aca="false">IF(AND('SETIEMBRE 2026'!D82&lt;&gt;"",'SETIEMBRE 2026'!Z82="POR RECOGER"),TEXT('SETIEMBRE 2026'!G82,"DD/MM/YYYY"),"")</f>
        <v/>
      </c>
      <c r="F918" s="192" t="str">
        <f aca="false">IF(AND('SETIEMBRE 2026'!D82&lt;&gt;"",'SETIEMBRE 2026'!Z82="POR RECOGER"),'SETIEMBRE 2026'!K82,"")</f>
        <v/>
      </c>
      <c r="G918" s="193" t="str">
        <f aca="false">IF(AND('SETIEMBRE 2026'!D82&lt;&gt;"",'SETIEMBRE 2026'!Z82="POR RECOGER"),'SETIEMBRE 2026'!M82,"")</f>
        <v/>
      </c>
      <c r="H918" s="193" t="str">
        <f aca="false">IF(AND('SETIEMBRE 2026'!D82&lt;&gt;"",'SETIEMBRE 2026'!Z82="POR RECOGER"),'SETIEMBRE 2026'!N82,"")</f>
        <v/>
      </c>
      <c r="I918" s="192" t="str">
        <f aca="false">IF(AND('SETIEMBRE 2026'!D82&lt;&gt;"",'SETIEMBRE 2026'!Z82="POR RECOGER"),'SETIEMBRE 2026'!P82,"")</f>
        <v/>
      </c>
      <c r="J918" s="192" t="str">
        <f aca="false">IF(AND('SETIEMBRE 2026'!D82&lt;&gt;"",'SETIEMBRE 2026'!Z82="POR RECOGER"),'SETIEMBRE 2026'!Q82,"")</f>
        <v/>
      </c>
      <c r="K918" s="192" t="str">
        <f aca="false">IF(AND('SETIEMBRE 2026'!D82&lt;&gt;"",'SETIEMBRE 2026'!Z82="POR RECOGER"),'SETIEMBRE 2026'!Y82,"")</f>
        <v/>
      </c>
      <c r="L918" s="192" t="str">
        <f aca="false">IF(AND('SETIEMBRE 2026'!D82&lt;&gt;"",'SETIEMBRE 2026'!Z82="POR RECOGER"),'SETIEMBRE 2026'!I82,"")</f>
        <v/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" hidden="false" customHeight="true" outlineLevel="0" collapsed="false">
      <c r="A919" s="192" t="str">
        <f aca="false">IF(AND('SETIEMBRE 2026'!D83&lt;&gt;"",'SETIEMBRE 2026'!Z83="POR RECOGER"),"SET","")</f>
        <v/>
      </c>
      <c r="B919" s="192" t="str">
        <f aca="false">IF(AND('SETIEMBRE 2026'!D83&lt;&gt;"",'SETIEMBRE 2026'!Z83="POR RECOGER"),IF('SETIEMBRE 2026'!Y83&lt;&gt;"",'SETIEMBRE 2026'!Y83,'SETIEMBRE 2026'!I83),"")</f>
        <v/>
      </c>
      <c r="C919" s="192" t="str">
        <f aca="false">IF(AND('SETIEMBRE 2026'!D83&lt;&gt;"",'SETIEMBRE 2026'!Z83="POR RECOGER"),'SETIEMBRE 2026'!D83,"")</f>
        <v/>
      </c>
      <c r="D919" s="192" t="str">
        <f aca="false">IF(AND('SETIEMBRE 2026'!D83&lt;&gt;"",'SETIEMBRE 2026'!Z83="POR RECOGER"),'SETIEMBRE 2026'!F83,"")</f>
        <v/>
      </c>
      <c r="E919" s="192" t="str">
        <f aca="false">IF(AND('SETIEMBRE 2026'!D83&lt;&gt;"",'SETIEMBRE 2026'!Z83="POR RECOGER"),TEXT('SETIEMBRE 2026'!G83,"DD/MM/YYYY"),"")</f>
        <v/>
      </c>
      <c r="F919" s="192" t="str">
        <f aca="false">IF(AND('SETIEMBRE 2026'!D83&lt;&gt;"",'SETIEMBRE 2026'!Z83="POR RECOGER"),'SETIEMBRE 2026'!K83,"")</f>
        <v/>
      </c>
      <c r="G919" s="193" t="str">
        <f aca="false">IF(AND('SETIEMBRE 2026'!D83&lt;&gt;"",'SETIEMBRE 2026'!Z83="POR RECOGER"),'SETIEMBRE 2026'!M83,"")</f>
        <v/>
      </c>
      <c r="H919" s="193" t="str">
        <f aca="false">IF(AND('SETIEMBRE 2026'!D83&lt;&gt;"",'SETIEMBRE 2026'!Z83="POR RECOGER"),'SETIEMBRE 2026'!N83,"")</f>
        <v/>
      </c>
      <c r="I919" s="192" t="str">
        <f aca="false">IF(AND('SETIEMBRE 2026'!D83&lt;&gt;"",'SETIEMBRE 2026'!Z83="POR RECOGER"),'SETIEMBRE 2026'!P83,"")</f>
        <v/>
      </c>
      <c r="J919" s="192" t="str">
        <f aca="false">IF(AND('SETIEMBRE 2026'!D83&lt;&gt;"",'SETIEMBRE 2026'!Z83="POR RECOGER"),'SETIEMBRE 2026'!Q83,"")</f>
        <v/>
      </c>
      <c r="K919" s="192" t="str">
        <f aca="false">IF(AND('SETIEMBRE 2026'!D83&lt;&gt;"",'SETIEMBRE 2026'!Z83="POR RECOGER"),'SETIEMBRE 2026'!Y83,"")</f>
        <v/>
      </c>
      <c r="L919" s="192" t="str">
        <f aca="false">IF(AND('SETIEMBRE 2026'!D83&lt;&gt;"",'SETIEMBRE 2026'!Z83="POR RECOGER"),'SETIEMBRE 2026'!I83,"")</f>
        <v/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" hidden="false" customHeight="true" outlineLevel="0" collapsed="false">
      <c r="A920" s="192" t="str">
        <f aca="false">IF(AND('SETIEMBRE 2026'!D84&lt;&gt;"",'SETIEMBRE 2026'!Z84="POR RECOGER"),"SET","")</f>
        <v/>
      </c>
      <c r="B920" s="192" t="str">
        <f aca="false">IF(AND('SETIEMBRE 2026'!D84&lt;&gt;"",'SETIEMBRE 2026'!Z84="POR RECOGER"),IF('SETIEMBRE 2026'!Y84&lt;&gt;"",'SETIEMBRE 2026'!Y84,'SETIEMBRE 2026'!I84),"")</f>
        <v/>
      </c>
      <c r="C920" s="192" t="str">
        <f aca="false">IF(AND('SETIEMBRE 2026'!D84&lt;&gt;"",'SETIEMBRE 2026'!Z84="POR RECOGER"),'SETIEMBRE 2026'!D84,"")</f>
        <v/>
      </c>
      <c r="D920" s="192" t="str">
        <f aca="false">IF(AND('SETIEMBRE 2026'!D84&lt;&gt;"",'SETIEMBRE 2026'!Z84="POR RECOGER"),'SETIEMBRE 2026'!F84,"")</f>
        <v/>
      </c>
      <c r="E920" s="192" t="str">
        <f aca="false">IF(AND('SETIEMBRE 2026'!D84&lt;&gt;"",'SETIEMBRE 2026'!Z84="POR RECOGER"),TEXT('SETIEMBRE 2026'!G84,"DD/MM/YYYY"),"")</f>
        <v/>
      </c>
      <c r="F920" s="192" t="str">
        <f aca="false">IF(AND('SETIEMBRE 2026'!D84&lt;&gt;"",'SETIEMBRE 2026'!Z84="POR RECOGER"),'SETIEMBRE 2026'!K84,"")</f>
        <v/>
      </c>
      <c r="G920" s="193" t="str">
        <f aca="false">IF(AND('SETIEMBRE 2026'!D84&lt;&gt;"",'SETIEMBRE 2026'!Z84="POR RECOGER"),'SETIEMBRE 2026'!M84,"")</f>
        <v/>
      </c>
      <c r="H920" s="193" t="str">
        <f aca="false">IF(AND('SETIEMBRE 2026'!D84&lt;&gt;"",'SETIEMBRE 2026'!Z84="POR RECOGER"),'SETIEMBRE 2026'!N84,"")</f>
        <v/>
      </c>
      <c r="I920" s="192" t="str">
        <f aca="false">IF(AND('SETIEMBRE 2026'!D84&lt;&gt;"",'SETIEMBRE 2026'!Z84="POR RECOGER"),'SETIEMBRE 2026'!P84,"")</f>
        <v/>
      </c>
      <c r="J920" s="192" t="str">
        <f aca="false">IF(AND('SETIEMBRE 2026'!D84&lt;&gt;"",'SETIEMBRE 2026'!Z84="POR RECOGER"),'SETIEMBRE 2026'!Q84,"")</f>
        <v/>
      </c>
      <c r="K920" s="192" t="str">
        <f aca="false">IF(AND('SETIEMBRE 2026'!D84&lt;&gt;"",'SETIEMBRE 2026'!Z84="POR RECOGER"),'SETIEMBRE 2026'!Y84,"")</f>
        <v/>
      </c>
      <c r="L920" s="192" t="str">
        <f aca="false">IF(AND('SETIEMBRE 2026'!D84&lt;&gt;"",'SETIEMBRE 2026'!Z84="POR RECOGER"),'SETIEMBRE 2026'!I84,"")</f>
        <v/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" hidden="false" customHeight="true" outlineLevel="0" collapsed="false">
      <c r="A921" s="192" t="str">
        <f aca="false">IF(AND('SETIEMBRE 2026'!D85&lt;&gt;"",'SETIEMBRE 2026'!Z85="POR RECOGER"),"SET","")</f>
        <v/>
      </c>
      <c r="B921" s="192" t="str">
        <f aca="false">IF(AND('SETIEMBRE 2026'!D85&lt;&gt;"",'SETIEMBRE 2026'!Z85="POR RECOGER"),IF('SETIEMBRE 2026'!Y85&lt;&gt;"",'SETIEMBRE 2026'!Y85,'SETIEMBRE 2026'!I85),"")</f>
        <v/>
      </c>
      <c r="C921" s="192" t="str">
        <f aca="false">IF(AND('SETIEMBRE 2026'!D85&lt;&gt;"",'SETIEMBRE 2026'!Z85="POR RECOGER"),'SETIEMBRE 2026'!D85,"")</f>
        <v/>
      </c>
      <c r="D921" s="192" t="str">
        <f aca="false">IF(AND('SETIEMBRE 2026'!D85&lt;&gt;"",'SETIEMBRE 2026'!Z85="POR RECOGER"),'SETIEMBRE 2026'!F85,"")</f>
        <v/>
      </c>
      <c r="E921" s="192" t="str">
        <f aca="false">IF(AND('SETIEMBRE 2026'!D85&lt;&gt;"",'SETIEMBRE 2026'!Z85="POR RECOGER"),TEXT('SETIEMBRE 2026'!G85,"DD/MM/YYYY"),"")</f>
        <v/>
      </c>
      <c r="F921" s="192" t="str">
        <f aca="false">IF(AND('SETIEMBRE 2026'!D85&lt;&gt;"",'SETIEMBRE 2026'!Z85="POR RECOGER"),'SETIEMBRE 2026'!K85,"")</f>
        <v/>
      </c>
      <c r="G921" s="193" t="str">
        <f aca="false">IF(AND('SETIEMBRE 2026'!D85&lt;&gt;"",'SETIEMBRE 2026'!Z85="POR RECOGER"),'SETIEMBRE 2026'!M85,"")</f>
        <v/>
      </c>
      <c r="H921" s="193" t="str">
        <f aca="false">IF(AND('SETIEMBRE 2026'!D85&lt;&gt;"",'SETIEMBRE 2026'!Z85="POR RECOGER"),'SETIEMBRE 2026'!N85,"")</f>
        <v/>
      </c>
      <c r="I921" s="192" t="str">
        <f aca="false">IF(AND('SETIEMBRE 2026'!D85&lt;&gt;"",'SETIEMBRE 2026'!Z85="POR RECOGER"),'SETIEMBRE 2026'!P85,"")</f>
        <v/>
      </c>
      <c r="J921" s="192" t="str">
        <f aca="false">IF(AND('SETIEMBRE 2026'!D85&lt;&gt;"",'SETIEMBRE 2026'!Z85="POR RECOGER"),'SETIEMBRE 2026'!Q85,"")</f>
        <v/>
      </c>
      <c r="K921" s="192" t="str">
        <f aca="false">IF(AND('SETIEMBRE 2026'!D85&lt;&gt;"",'SETIEMBRE 2026'!Z85="POR RECOGER"),'SETIEMBRE 2026'!Y85,"")</f>
        <v/>
      </c>
      <c r="L921" s="192" t="str">
        <f aca="false">IF(AND('SETIEMBRE 2026'!D85&lt;&gt;"",'SETIEMBRE 2026'!Z85="POR RECOGER"),'SETIEMBRE 2026'!I85,"")</f>
        <v/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" hidden="false" customHeight="true" outlineLevel="0" collapsed="false">
      <c r="A922" s="192" t="str">
        <f aca="false">IF(AND('SETIEMBRE 2026'!D86&lt;&gt;"",'SETIEMBRE 2026'!Z86="POR RECOGER"),"SET","")</f>
        <v/>
      </c>
      <c r="B922" s="192" t="str">
        <f aca="false">IF(AND('SETIEMBRE 2026'!D86&lt;&gt;"",'SETIEMBRE 2026'!Z86="POR RECOGER"),IF('SETIEMBRE 2026'!Y86&lt;&gt;"",'SETIEMBRE 2026'!Y86,'SETIEMBRE 2026'!I86),"")</f>
        <v/>
      </c>
      <c r="C922" s="192" t="str">
        <f aca="false">IF(AND('SETIEMBRE 2026'!D86&lt;&gt;"",'SETIEMBRE 2026'!Z86="POR RECOGER"),'SETIEMBRE 2026'!D86,"")</f>
        <v/>
      </c>
      <c r="D922" s="192" t="str">
        <f aca="false">IF(AND('SETIEMBRE 2026'!D86&lt;&gt;"",'SETIEMBRE 2026'!Z86="POR RECOGER"),'SETIEMBRE 2026'!F86,"")</f>
        <v/>
      </c>
      <c r="E922" s="192" t="str">
        <f aca="false">IF(AND('SETIEMBRE 2026'!D86&lt;&gt;"",'SETIEMBRE 2026'!Z86="POR RECOGER"),TEXT('SETIEMBRE 2026'!G86,"DD/MM/YYYY"),"")</f>
        <v/>
      </c>
      <c r="F922" s="192" t="str">
        <f aca="false">IF(AND('SETIEMBRE 2026'!D86&lt;&gt;"",'SETIEMBRE 2026'!Z86="POR RECOGER"),'SETIEMBRE 2026'!K86,"")</f>
        <v/>
      </c>
      <c r="G922" s="193" t="str">
        <f aca="false">IF(AND('SETIEMBRE 2026'!D86&lt;&gt;"",'SETIEMBRE 2026'!Z86="POR RECOGER"),'SETIEMBRE 2026'!M86,"")</f>
        <v/>
      </c>
      <c r="H922" s="193" t="str">
        <f aca="false">IF(AND('SETIEMBRE 2026'!D86&lt;&gt;"",'SETIEMBRE 2026'!Z86="POR RECOGER"),'SETIEMBRE 2026'!N86,"")</f>
        <v/>
      </c>
      <c r="I922" s="192" t="str">
        <f aca="false">IF(AND('SETIEMBRE 2026'!D86&lt;&gt;"",'SETIEMBRE 2026'!Z86="POR RECOGER"),'SETIEMBRE 2026'!P86,"")</f>
        <v/>
      </c>
      <c r="J922" s="192" t="str">
        <f aca="false">IF(AND('SETIEMBRE 2026'!D86&lt;&gt;"",'SETIEMBRE 2026'!Z86="POR RECOGER"),'SETIEMBRE 2026'!Q86,"")</f>
        <v/>
      </c>
      <c r="K922" s="192" t="str">
        <f aca="false">IF(AND('SETIEMBRE 2026'!D86&lt;&gt;"",'SETIEMBRE 2026'!Z86="POR RECOGER"),'SETIEMBRE 2026'!Y86,"")</f>
        <v/>
      </c>
      <c r="L922" s="192" t="str">
        <f aca="false">IF(AND('SETIEMBRE 2026'!D86&lt;&gt;"",'SETIEMBRE 2026'!Z86="POR RECOGER"),'SETIEMBRE 2026'!I86,"")</f>
        <v/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" hidden="false" customHeight="true" outlineLevel="0" collapsed="false">
      <c r="A923" s="192" t="str">
        <f aca="false">IF(AND('SETIEMBRE 2026'!D87&lt;&gt;"",'SETIEMBRE 2026'!Z87="POR RECOGER"),"SET","")</f>
        <v/>
      </c>
      <c r="B923" s="192" t="str">
        <f aca="false">IF(AND('SETIEMBRE 2026'!D87&lt;&gt;"",'SETIEMBRE 2026'!Z87="POR RECOGER"),IF('SETIEMBRE 2026'!Y87&lt;&gt;"",'SETIEMBRE 2026'!Y87,'SETIEMBRE 2026'!I87),"")</f>
        <v/>
      </c>
      <c r="C923" s="192" t="str">
        <f aca="false">IF(AND('SETIEMBRE 2026'!D87&lt;&gt;"",'SETIEMBRE 2026'!Z87="POR RECOGER"),'SETIEMBRE 2026'!D87,"")</f>
        <v/>
      </c>
      <c r="D923" s="192" t="str">
        <f aca="false">IF(AND('SETIEMBRE 2026'!D87&lt;&gt;"",'SETIEMBRE 2026'!Z87="POR RECOGER"),'SETIEMBRE 2026'!F87,"")</f>
        <v/>
      </c>
      <c r="E923" s="192" t="str">
        <f aca="false">IF(AND('SETIEMBRE 2026'!D87&lt;&gt;"",'SETIEMBRE 2026'!Z87="POR RECOGER"),TEXT('SETIEMBRE 2026'!G87,"DD/MM/YYYY"),"")</f>
        <v/>
      </c>
      <c r="F923" s="192" t="str">
        <f aca="false">IF(AND('SETIEMBRE 2026'!D87&lt;&gt;"",'SETIEMBRE 2026'!Z87="POR RECOGER"),'SETIEMBRE 2026'!K87,"")</f>
        <v/>
      </c>
      <c r="G923" s="193" t="str">
        <f aca="false">IF(AND('SETIEMBRE 2026'!D87&lt;&gt;"",'SETIEMBRE 2026'!Z87="POR RECOGER"),'SETIEMBRE 2026'!M87,"")</f>
        <v/>
      </c>
      <c r="H923" s="193" t="str">
        <f aca="false">IF(AND('SETIEMBRE 2026'!D87&lt;&gt;"",'SETIEMBRE 2026'!Z87="POR RECOGER"),'SETIEMBRE 2026'!N87,"")</f>
        <v/>
      </c>
      <c r="I923" s="192" t="str">
        <f aca="false">IF(AND('SETIEMBRE 2026'!D87&lt;&gt;"",'SETIEMBRE 2026'!Z87="POR RECOGER"),'SETIEMBRE 2026'!P87,"")</f>
        <v/>
      </c>
      <c r="J923" s="192" t="str">
        <f aca="false">IF(AND('SETIEMBRE 2026'!D87&lt;&gt;"",'SETIEMBRE 2026'!Z87="POR RECOGER"),'SETIEMBRE 2026'!Q87,"")</f>
        <v/>
      </c>
      <c r="K923" s="192" t="str">
        <f aca="false">IF(AND('SETIEMBRE 2026'!D87&lt;&gt;"",'SETIEMBRE 2026'!Z87="POR RECOGER"),'SETIEMBRE 2026'!Y87,"")</f>
        <v/>
      </c>
      <c r="L923" s="192" t="str">
        <f aca="false">IF(AND('SETIEMBRE 2026'!D87&lt;&gt;"",'SETIEMBRE 2026'!Z87="POR RECOGER"),'SETIEMBRE 2026'!I87,"")</f>
        <v/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" hidden="false" customHeight="true" outlineLevel="0" collapsed="false">
      <c r="A924" s="192" t="str">
        <f aca="false">IF(AND('SETIEMBRE 2026'!D88&lt;&gt;"",'SETIEMBRE 2026'!Z88="POR RECOGER"),"SET","")</f>
        <v/>
      </c>
      <c r="B924" s="192" t="str">
        <f aca="false">IF(AND('SETIEMBRE 2026'!D88&lt;&gt;"",'SETIEMBRE 2026'!Z88="POR RECOGER"),IF('SETIEMBRE 2026'!Y88&lt;&gt;"",'SETIEMBRE 2026'!Y88,'SETIEMBRE 2026'!I88),"")</f>
        <v/>
      </c>
      <c r="C924" s="192" t="str">
        <f aca="false">IF(AND('SETIEMBRE 2026'!D88&lt;&gt;"",'SETIEMBRE 2026'!Z88="POR RECOGER"),'SETIEMBRE 2026'!D88,"")</f>
        <v/>
      </c>
      <c r="D924" s="192" t="str">
        <f aca="false">IF(AND('SETIEMBRE 2026'!D88&lt;&gt;"",'SETIEMBRE 2026'!Z88="POR RECOGER"),'SETIEMBRE 2026'!F88,"")</f>
        <v/>
      </c>
      <c r="E924" s="192" t="str">
        <f aca="false">IF(AND('SETIEMBRE 2026'!D88&lt;&gt;"",'SETIEMBRE 2026'!Z88="POR RECOGER"),TEXT('SETIEMBRE 2026'!G88,"DD/MM/YYYY"),"")</f>
        <v/>
      </c>
      <c r="F924" s="192" t="str">
        <f aca="false">IF(AND('SETIEMBRE 2026'!D88&lt;&gt;"",'SETIEMBRE 2026'!Z88="POR RECOGER"),'SETIEMBRE 2026'!K88,"")</f>
        <v/>
      </c>
      <c r="G924" s="193" t="str">
        <f aca="false">IF(AND('SETIEMBRE 2026'!D88&lt;&gt;"",'SETIEMBRE 2026'!Z88="POR RECOGER"),'SETIEMBRE 2026'!M88,"")</f>
        <v/>
      </c>
      <c r="H924" s="193" t="str">
        <f aca="false">IF(AND('SETIEMBRE 2026'!D88&lt;&gt;"",'SETIEMBRE 2026'!Z88="POR RECOGER"),'SETIEMBRE 2026'!N88,"")</f>
        <v/>
      </c>
      <c r="I924" s="192" t="str">
        <f aca="false">IF(AND('SETIEMBRE 2026'!D88&lt;&gt;"",'SETIEMBRE 2026'!Z88="POR RECOGER"),'SETIEMBRE 2026'!P88,"")</f>
        <v/>
      </c>
      <c r="J924" s="192" t="str">
        <f aca="false">IF(AND('SETIEMBRE 2026'!D88&lt;&gt;"",'SETIEMBRE 2026'!Z88="POR RECOGER"),'SETIEMBRE 2026'!Q88,"")</f>
        <v/>
      </c>
      <c r="K924" s="192" t="str">
        <f aca="false">IF(AND('SETIEMBRE 2026'!D88&lt;&gt;"",'SETIEMBRE 2026'!Z88="POR RECOGER"),'SETIEMBRE 2026'!Y88,"")</f>
        <v/>
      </c>
      <c r="L924" s="192" t="str">
        <f aca="false">IF(AND('SETIEMBRE 2026'!D88&lt;&gt;"",'SETIEMBRE 2026'!Z88="POR RECOGER"),'SETIEMBRE 2026'!I88,"")</f>
        <v/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" hidden="false" customHeight="true" outlineLevel="0" collapsed="false">
      <c r="A925" s="192" t="str">
        <f aca="false">IF(AND('SETIEMBRE 2026'!D89&lt;&gt;"",'SETIEMBRE 2026'!Z89="POR RECOGER"),"SET","")</f>
        <v/>
      </c>
      <c r="B925" s="192" t="str">
        <f aca="false">IF(AND('SETIEMBRE 2026'!D89&lt;&gt;"",'SETIEMBRE 2026'!Z89="POR RECOGER"),IF('SETIEMBRE 2026'!Y89&lt;&gt;"",'SETIEMBRE 2026'!Y89,'SETIEMBRE 2026'!I89),"")</f>
        <v/>
      </c>
      <c r="C925" s="192" t="str">
        <f aca="false">IF(AND('SETIEMBRE 2026'!D89&lt;&gt;"",'SETIEMBRE 2026'!Z89="POR RECOGER"),'SETIEMBRE 2026'!D89,"")</f>
        <v/>
      </c>
      <c r="D925" s="192" t="str">
        <f aca="false">IF(AND('SETIEMBRE 2026'!D89&lt;&gt;"",'SETIEMBRE 2026'!Z89="POR RECOGER"),'SETIEMBRE 2026'!F89,"")</f>
        <v/>
      </c>
      <c r="E925" s="192" t="str">
        <f aca="false">IF(AND('SETIEMBRE 2026'!D89&lt;&gt;"",'SETIEMBRE 2026'!Z89="POR RECOGER"),TEXT('SETIEMBRE 2026'!G89,"DD/MM/YYYY"),"")</f>
        <v/>
      </c>
      <c r="F925" s="192" t="str">
        <f aca="false">IF(AND('SETIEMBRE 2026'!D89&lt;&gt;"",'SETIEMBRE 2026'!Z89="POR RECOGER"),'SETIEMBRE 2026'!K89,"")</f>
        <v/>
      </c>
      <c r="G925" s="193" t="str">
        <f aca="false">IF(AND('SETIEMBRE 2026'!D89&lt;&gt;"",'SETIEMBRE 2026'!Z89="POR RECOGER"),'SETIEMBRE 2026'!M89,"")</f>
        <v/>
      </c>
      <c r="H925" s="193" t="str">
        <f aca="false">IF(AND('SETIEMBRE 2026'!D89&lt;&gt;"",'SETIEMBRE 2026'!Z89="POR RECOGER"),'SETIEMBRE 2026'!N89,"")</f>
        <v/>
      </c>
      <c r="I925" s="192" t="str">
        <f aca="false">IF(AND('SETIEMBRE 2026'!D89&lt;&gt;"",'SETIEMBRE 2026'!Z89="POR RECOGER"),'SETIEMBRE 2026'!P89,"")</f>
        <v/>
      </c>
      <c r="J925" s="192" t="str">
        <f aca="false">IF(AND('SETIEMBRE 2026'!D89&lt;&gt;"",'SETIEMBRE 2026'!Z89="POR RECOGER"),'SETIEMBRE 2026'!Q89,"")</f>
        <v/>
      </c>
      <c r="K925" s="192" t="str">
        <f aca="false">IF(AND('SETIEMBRE 2026'!D89&lt;&gt;"",'SETIEMBRE 2026'!Z89="POR RECOGER"),'SETIEMBRE 2026'!Y89,"")</f>
        <v/>
      </c>
      <c r="L925" s="192" t="str">
        <f aca="false">IF(AND('SETIEMBRE 2026'!D89&lt;&gt;"",'SETIEMBRE 2026'!Z89="POR RECOGER"),'SETIEMBRE 2026'!I89,"")</f>
        <v/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" hidden="false" customHeight="true" outlineLevel="0" collapsed="false">
      <c r="A926" s="192" t="str">
        <f aca="false">IF(AND('SETIEMBRE 2026'!D90&lt;&gt;"",'SETIEMBRE 2026'!Z90="POR RECOGER"),"SET","")</f>
        <v/>
      </c>
      <c r="B926" s="192" t="str">
        <f aca="false">IF(AND('SETIEMBRE 2026'!D90&lt;&gt;"",'SETIEMBRE 2026'!Z90="POR RECOGER"),IF('SETIEMBRE 2026'!Y90&lt;&gt;"",'SETIEMBRE 2026'!Y90,'SETIEMBRE 2026'!I90),"")</f>
        <v/>
      </c>
      <c r="C926" s="192" t="str">
        <f aca="false">IF(AND('SETIEMBRE 2026'!D90&lt;&gt;"",'SETIEMBRE 2026'!Z90="POR RECOGER"),'SETIEMBRE 2026'!D90,"")</f>
        <v/>
      </c>
      <c r="D926" s="192" t="str">
        <f aca="false">IF(AND('SETIEMBRE 2026'!D90&lt;&gt;"",'SETIEMBRE 2026'!Z90="POR RECOGER"),'SETIEMBRE 2026'!F90,"")</f>
        <v/>
      </c>
      <c r="E926" s="192" t="str">
        <f aca="false">IF(AND('SETIEMBRE 2026'!D90&lt;&gt;"",'SETIEMBRE 2026'!Z90="POR RECOGER"),TEXT('SETIEMBRE 2026'!G90,"DD/MM/YYYY"),"")</f>
        <v/>
      </c>
      <c r="F926" s="192" t="str">
        <f aca="false">IF(AND('SETIEMBRE 2026'!D90&lt;&gt;"",'SETIEMBRE 2026'!Z90="POR RECOGER"),'SETIEMBRE 2026'!K90,"")</f>
        <v/>
      </c>
      <c r="G926" s="193" t="str">
        <f aca="false">IF(AND('SETIEMBRE 2026'!D90&lt;&gt;"",'SETIEMBRE 2026'!Z90="POR RECOGER"),'SETIEMBRE 2026'!M90,"")</f>
        <v/>
      </c>
      <c r="H926" s="193" t="str">
        <f aca="false">IF(AND('SETIEMBRE 2026'!D90&lt;&gt;"",'SETIEMBRE 2026'!Z90="POR RECOGER"),'SETIEMBRE 2026'!N90,"")</f>
        <v/>
      </c>
      <c r="I926" s="192" t="str">
        <f aca="false">IF(AND('SETIEMBRE 2026'!D90&lt;&gt;"",'SETIEMBRE 2026'!Z90="POR RECOGER"),'SETIEMBRE 2026'!P90,"")</f>
        <v/>
      </c>
      <c r="J926" s="192" t="str">
        <f aca="false">IF(AND('SETIEMBRE 2026'!D90&lt;&gt;"",'SETIEMBRE 2026'!Z90="POR RECOGER"),'SETIEMBRE 2026'!Q90,"")</f>
        <v/>
      </c>
      <c r="K926" s="192" t="str">
        <f aca="false">IF(AND('SETIEMBRE 2026'!D90&lt;&gt;"",'SETIEMBRE 2026'!Z90="POR RECOGER"),'SETIEMBRE 2026'!Y90,"")</f>
        <v/>
      </c>
      <c r="L926" s="192" t="str">
        <f aca="false">IF(AND('SETIEMBRE 2026'!D90&lt;&gt;"",'SETIEMBRE 2026'!Z90="POR RECOGER"),'SETIEMBRE 2026'!I90,"")</f>
        <v/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" hidden="false" customHeight="true" outlineLevel="0" collapsed="false">
      <c r="A927" s="192" t="str">
        <f aca="false">IF(AND('SETIEMBRE 2026'!D91&lt;&gt;"",'SETIEMBRE 2026'!Z91="POR RECOGER"),"SET","")</f>
        <v/>
      </c>
      <c r="B927" s="192" t="str">
        <f aca="false">IF(AND('SETIEMBRE 2026'!D91&lt;&gt;"",'SETIEMBRE 2026'!Z91="POR RECOGER"),IF('SETIEMBRE 2026'!Y91&lt;&gt;"",'SETIEMBRE 2026'!Y91,'SETIEMBRE 2026'!I91),"")</f>
        <v/>
      </c>
      <c r="C927" s="192" t="str">
        <f aca="false">IF(AND('SETIEMBRE 2026'!D91&lt;&gt;"",'SETIEMBRE 2026'!Z91="POR RECOGER"),'SETIEMBRE 2026'!D91,"")</f>
        <v/>
      </c>
      <c r="D927" s="192" t="str">
        <f aca="false">IF(AND('SETIEMBRE 2026'!D91&lt;&gt;"",'SETIEMBRE 2026'!Z91="POR RECOGER"),'SETIEMBRE 2026'!F91,"")</f>
        <v/>
      </c>
      <c r="E927" s="192" t="str">
        <f aca="false">IF(AND('SETIEMBRE 2026'!D91&lt;&gt;"",'SETIEMBRE 2026'!Z91="POR RECOGER"),TEXT('SETIEMBRE 2026'!G91,"DD/MM/YYYY"),"")</f>
        <v/>
      </c>
      <c r="F927" s="192" t="str">
        <f aca="false">IF(AND('SETIEMBRE 2026'!D91&lt;&gt;"",'SETIEMBRE 2026'!Z91="POR RECOGER"),'SETIEMBRE 2026'!K91,"")</f>
        <v/>
      </c>
      <c r="G927" s="193" t="str">
        <f aca="false">IF(AND('SETIEMBRE 2026'!D91&lt;&gt;"",'SETIEMBRE 2026'!Z91="POR RECOGER"),'SETIEMBRE 2026'!M91,"")</f>
        <v/>
      </c>
      <c r="H927" s="193" t="str">
        <f aca="false">IF(AND('SETIEMBRE 2026'!D91&lt;&gt;"",'SETIEMBRE 2026'!Z91="POR RECOGER"),'SETIEMBRE 2026'!N91,"")</f>
        <v/>
      </c>
      <c r="I927" s="192" t="str">
        <f aca="false">IF(AND('SETIEMBRE 2026'!D91&lt;&gt;"",'SETIEMBRE 2026'!Z91="POR RECOGER"),'SETIEMBRE 2026'!P91,"")</f>
        <v/>
      </c>
      <c r="J927" s="192" t="str">
        <f aca="false">IF(AND('SETIEMBRE 2026'!D91&lt;&gt;"",'SETIEMBRE 2026'!Z91="POR RECOGER"),'SETIEMBRE 2026'!Q91,"")</f>
        <v/>
      </c>
      <c r="K927" s="192" t="str">
        <f aca="false">IF(AND('SETIEMBRE 2026'!D91&lt;&gt;"",'SETIEMBRE 2026'!Z91="POR RECOGER"),'SETIEMBRE 2026'!Y91,"")</f>
        <v/>
      </c>
      <c r="L927" s="192" t="str">
        <f aca="false">IF(AND('SETIEMBRE 2026'!D91&lt;&gt;"",'SETIEMBRE 2026'!Z91="POR RECOGER"),'SETIEMBRE 2026'!I91,"")</f>
        <v/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" hidden="false" customHeight="true" outlineLevel="0" collapsed="false">
      <c r="A928" s="192" t="str">
        <f aca="false">IF(AND('SETIEMBRE 2026'!D92&lt;&gt;"",'SETIEMBRE 2026'!Z92="POR RECOGER"),"SET","")</f>
        <v/>
      </c>
      <c r="B928" s="192" t="str">
        <f aca="false">IF(AND('SETIEMBRE 2026'!D92&lt;&gt;"",'SETIEMBRE 2026'!Z92="POR RECOGER"),IF('SETIEMBRE 2026'!Y92&lt;&gt;"",'SETIEMBRE 2026'!Y92,'SETIEMBRE 2026'!I92),"")</f>
        <v/>
      </c>
      <c r="C928" s="192" t="str">
        <f aca="false">IF(AND('SETIEMBRE 2026'!D92&lt;&gt;"",'SETIEMBRE 2026'!Z92="POR RECOGER"),'SETIEMBRE 2026'!D92,"")</f>
        <v/>
      </c>
      <c r="D928" s="192" t="str">
        <f aca="false">IF(AND('SETIEMBRE 2026'!D92&lt;&gt;"",'SETIEMBRE 2026'!Z92="POR RECOGER"),'SETIEMBRE 2026'!F92,"")</f>
        <v/>
      </c>
      <c r="E928" s="192" t="str">
        <f aca="false">IF(AND('SETIEMBRE 2026'!D92&lt;&gt;"",'SETIEMBRE 2026'!Z92="POR RECOGER"),TEXT('SETIEMBRE 2026'!G92,"DD/MM/YYYY"),"")</f>
        <v/>
      </c>
      <c r="F928" s="192" t="str">
        <f aca="false">IF(AND('SETIEMBRE 2026'!D92&lt;&gt;"",'SETIEMBRE 2026'!Z92="POR RECOGER"),'SETIEMBRE 2026'!K92,"")</f>
        <v/>
      </c>
      <c r="G928" s="193" t="str">
        <f aca="false">IF(AND('SETIEMBRE 2026'!D92&lt;&gt;"",'SETIEMBRE 2026'!Z92="POR RECOGER"),'SETIEMBRE 2026'!M92,"")</f>
        <v/>
      </c>
      <c r="H928" s="193" t="str">
        <f aca="false">IF(AND('SETIEMBRE 2026'!D92&lt;&gt;"",'SETIEMBRE 2026'!Z92="POR RECOGER"),'SETIEMBRE 2026'!N92,"")</f>
        <v/>
      </c>
      <c r="I928" s="192" t="str">
        <f aca="false">IF(AND('SETIEMBRE 2026'!D92&lt;&gt;"",'SETIEMBRE 2026'!Z92="POR RECOGER"),'SETIEMBRE 2026'!P92,"")</f>
        <v/>
      </c>
      <c r="J928" s="192" t="str">
        <f aca="false">IF(AND('SETIEMBRE 2026'!D92&lt;&gt;"",'SETIEMBRE 2026'!Z92="POR RECOGER"),'SETIEMBRE 2026'!Q92,"")</f>
        <v/>
      </c>
      <c r="K928" s="192" t="str">
        <f aca="false">IF(AND('SETIEMBRE 2026'!D92&lt;&gt;"",'SETIEMBRE 2026'!Z92="POR RECOGER"),'SETIEMBRE 2026'!Y92,"")</f>
        <v/>
      </c>
      <c r="L928" s="192" t="str">
        <f aca="false">IF(AND('SETIEMBRE 2026'!D92&lt;&gt;"",'SETIEMBRE 2026'!Z92="POR RECOGER"),'SETIEMBRE 2026'!I92,"")</f>
        <v/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" hidden="false" customHeight="true" outlineLevel="0" collapsed="false">
      <c r="A929" s="192" t="str">
        <f aca="false">IF(AND('SETIEMBRE 2026'!D93&lt;&gt;"",'SETIEMBRE 2026'!Z93="POR RECOGER"),"SET","")</f>
        <v/>
      </c>
      <c r="B929" s="192" t="str">
        <f aca="false">IF(AND('SETIEMBRE 2026'!D93&lt;&gt;"",'SETIEMBRE 2026'!Z93="POR RECOGER"),IF('SETIEMBRE 2026'!Y93&lt;&gt;"",'SETIEMBRE 2026'!Y93,'SETIEMBRE 2026'!I93),"")</f>
        <v/>
      </c>
      <c r="C929" s="192" t="str">
        <f aca="false">IF(AND('SETIEMBRE 2026'!D93&lt;&gt;"",'SETIEMBRE 2026'!Z93="POR RECOGER"),'SETIEMBRE 2026'!D93,"")</f>
        <v/>
      </c>
      <c r="D929" s="192" t="str">
        <f aca="false">IF(AND('SETIEMBRE 2026'!D93&lt;&gt;"",'SETIEMBRE 2026'!Z93="POR RECOGER"),'SETIEMBRE 2026'!F93,"")</f>
        <v/>
      </c>
      <c r="E929" s="192" t="str">
        <f aca="false">IF(AND('SETIEMBRE 2026'!D93&lt;&gt;"",'SETIEMBRE 2026'!Z93="POR RECOGER"),TEXT('SETIEMBRE 2026'!G93,"DD/MM/YYYY"),"")</f>
        <v/>
      </c>
      <c r="F929" s="192" t="str">
        <f aca="false">IF(AND('SETIEMBRE 2026'!D93&lt;&gt;"",'SETIEMBRE 2026'!Z93="POR RECOGER"),'SETIEMBRE 2026'!K93,"")</f>
        <v/>
      </c>
      <c r="G929" s="193" t="str">
        <f aca="false">IF(AND('SETIEMBRE 2026'!D93&lt;&gt;"",'SETIEMBRE 2026'!Z93="POR RECOGER"),'SETIEMBRE 2026'!M93,"")</f>
        <v/>
      </c>
      <c r="H929" s="193" t="str">
        <f aca="false">IF(AND('SETIEMBRE 2026'!D93&lt;&gt;"",'SETIEMBRE 2026'!Z93="POR RECOGER"),'SETIEMBRE 2026'!N93,"")</f>
        <v/>
      </c>
      <c r="I929" s="192" t="str">
        <f aca="false">IF(AND('SETIEMBRE 2026'!D93&lt;&gt;"",'SETIEMBRE 2026'!Z93="POR RECOGER"),'SETIEMBRE 2026'!P93,"")</f>
        <v/>
      </c>
      <c r="J929" s="192" t="str">
        <f aca="false">IF(AND('SETIEMBRE 2026'!D93&lt;&gt;"",'SETIEMBRE 2026'!Z93="POR RECOGER"),'SETIEMBRE 2026'!Q93,"")</f>
        <v/>
      </c>
      <c r="K929" s="192" t="str">
        <f aca="false">IF(AND('SETIEMBRE 2026'!D93&lt;&gt;"",'SETIEMBRE 2026'!Z93="POR RECOGER"),'SETIEMBRE 2026'!Y93,"")</f>
        <v/>
      </c>
      <c r="L929" s="192" t="str">
        <f aca="false">IF(AND('SETIEMBRE 2026'!D93&lt;&gt;"",'SETIEMBRE 2026'!Z93="POR RECOGER"),'SETIEMBRE 2026'!I93,"")</f>
        <v/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" hidden="false" customHeight="true" outlineLevel="0" collapsed="false">
      <c r="A930" s="192" t="str">
        <f aca="false">IF(AND('SETIEMBRE 2026'!D94&lt;&gt;"",'SETIEMBRE 2026'!Z94="POR RECOGER"),"SET","")</f>
        <v/>
      </c>
      <c r="B930" s="192" t="str">
        <f aca="false">IF(AND('SETIEMBRE 2026'!D94&lt;&gt;"",'SETIEMBRE 2026'!Z94="POR RECOGER"),IF('SETIEMBRE 2026'!Y94&lt;&gt;"",'SETIEMBRE 2026'!Y94,'SETIEMBRE 2026'!I94),"")</f>
        <v/>
      </c>
      <c r="C930" s="192" t="str">
        <f aca="false">IF(AND('SETIEMBRE 2026'!D94&lt;&gt;"",'SETIEMBRE 2026'!Z94="POR RECOGER"),'SETIEMBRE 2026'!D94,"")</f>
        <v/>
      </c>
      <c r="D930" s="192" t="str">
        <f aca="false">IF(AND('SETIEMBRE 2026'!D94&lt;&gt;"",'SETIEMBRE 2026'!Z94="POR RECOGER"),'SETIEMBRE 2026'!F94,"")</f>
        <v/>
      </c>
      <c r="E930" s="192" t="str">
        <f aca="false">IF(AND('SETIEMBRE 2026'!D94&lt;&gt;"",'SETIEMBRE 2026'!Z94="POR RECOGER"),TEXT('SETIEMBRE 2026'!G94,"DD/MM/YYYY"),"")</f>
        <v/>
      </c>
      <c r="F930" s="192" t="str">
        <f aca="false">IF(AND('SETIEMBRE 2026'!D94&lt;&gt;"",'SETIEMBRE 2026'!Z94="POR RECOGER"),'SETIEMBRE 2026'!K94,"")</f>
        <v/>
      </c>
      <c r="G930" s="193" t="str">
        <f aca="false">IF(AND('SETIEMBRE 2026'!D94&lt;&gt;"",'SETIEMBRE 2026'!Z94="POR RECOGER"),'SETIEMBRE 2026'!M94,"")</f>
        <v/>
      </c>
      <c r="H930" s="193" t="str">
        <f aca="false">IF(AND('SETIEMBRE 2026'!D94&lt;&gt;"",'SETIEMBRE 2026'!Z94="POR RECOGER"),'SETIEMBRE 2026'!N94,"")</f>
        <v/>
      </c>
      <c r="I930" s="192" t="str">
        <f aca="false">IF(AND('SETIEMBRE 2026'!D94&lt;&gt;"",'SETIEMBRE 2026'!Z94="POR RECOGER"),'SETIEMBRE 2026'!P94,"")</f>
        <v/>
      </c>
      <c r="J930" s="192" t="str">
        <f aca="false">IF(AND('SETIEMBRE 2026'!D94&lt;&gt;"",'SETIEMBRE 2026'!Z94="POR RECOGER"),'SETIEMBRE 2026'!Q94,"")</f>
        <v/>
      </c>
      <c r="K930" s="192" t="str">
        <f aca="false">IF(AND('SETIEMBRE 2026'!D94&lt;&gt;"",'SETIEMBRE 2026'!Z94="POR RECOGER"),'SETIEMBRE 2026'!Y94,"")</f>
        <v/>
      </c>
      <c r="L930" s="192" t="str">
        <f aca="false">IF(AND('SETIEMBRE 2026'!D94&lt;&gt;"",'SETIEMBRE 2026'!Z94="POR RECOGER"),'SETIEMBRE 2026'!I94,"")</f>
        <v/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" hidden="false" customHeight="true" outlineLevel="0" collapsed="false">
      <c r="A931" s="192" t="str">
        <f aca="false">IF(AND('SETIEMBRE 2026'!D95&lt;&gt;"",'SETIEMBRE 2026'!Z95="POR RECOGER"),"SET","")</f>
        <v/>
      </c>
      <c r="B931" s="192" t="str">
        <f aca="false">IF(AND('SETIEMBRE 2026'!D95&lt;&gt;"",'SETIEMBRE 2026'!Z95="POR RECOGER"),IF('SETIEMBRE 2026'!Y95&lt;&gt;"",'SETIEMBRE 2026'!Y95,'SETIEMBRE 2026'!I95),"")</f>
        <v/>
      </c>
      <c r="C931" s="192" t="str">
        <f aca="false">IF(AND('SETIEMBRE 2026'!D95&lt;&gt;"",'SETIEMBRE 2026'!Z95="POR RECOGER"),'SETIEMBRE 2026'!D95,"")</f>
        <v/>
      </c>
      <c r="D931" s="192" t="str">
        <f aca="false">IF(AND('SETIEMBRE 2026'!D95&lt;&gt;"",'SETIEMBRE 2026'!Z95="POR RECOGER"),'SETIEMBRE 2026'!F95,"")</f>
        <v/>
      </c>
      <c r="E931" s="192" t="str">
        <f aca="false">IF(AND('SETIEMBRE 2026'!D95&lt;&gt;"",'SETIEMBRE 2026'!Z95="POR RECOGER"),TEXT('SETIEMBRE 2026'!G95,"DD/MM/YYYY"),"")</f>
        <v/>
      </c>
      <c r="F931" s="192" t="str">
        <f aca="false">IF(AND('SETIEMBRE 2026'!D95&lt;&gt;"",'SETIEMBRE 2026'!Z95="POR RECOGER"),'SETIEMBRE 2026'!K95,"")</f>
        <v/>
      </c>
      <c r="G931" s="193" t="str">
        <f aca="false">IF(AND('SETIEMBRE 2026'!D95&lt;&gt;"",'SETIEMBRE 2026'!Z95="POR RECOGER"),'SETIEMBRE 2026'!M95,"")</f>
        <v/>
      </c>
      <c r="H931" s="193" t="str">
        <f aca="false">IF(AND('SETIEMBRE 2026'!D95&lt;&gt;"",'SETIEMBRE 2026'!Z95="POR RECOGER"),'SETIEMBRE 2026'!N95,"")</f>
        <v/>
      </c>
      <c r="I931" s="192" t="str">
        <f aca="false">IF(AND('SETIEMBRE 2026'!D95&lt;&gt;"",'SETIEMBRE 2026'!Z95="POR RECOGER"),'SETIEMBRE 2026'!P95,"")</f>
        <v/>
      </c>
      <c r="J931" s="192" t="str">
        <f aca="false">IF(AND('SETIEMBRE 2026'!D95&lt;&gt;"",'SETIEMBRE 2026'!Z95="POR RECOGER"),'SETIEMBRE 2026'!Q95,"")</f>
        <v/>
      </c>
      <c r="K931" s="192" t="str">
        <f aca="false">IF(AND('SETIEMBRE 2026'!D95&lt;&gt;"",'SETIEMBRE 2026'!Z95="POR RECOGER"),'SETIEMBRE 2026'!Y95,"")</f>
        <v/>
      </c>
      <c r="L931" s="192" t="str">
        <f aca="false">IF(AND('SETIEMBRE 2026'!D95&lt;&gt;"",'SETIEMBRE 2026'!Z95="POR RECOGER"),'SETIEMBRE 2026'!I95,"")</f>
        <v/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" hidden="false" customHeight="true" outlineLevel="0" collapsed="false">
      <c r="A932" s="192" t="str">
        <f aca="false">IF(AND('SETIEMBRE 2026'!D96&lt;&gt;"",'SETIEMBRE 2026'!Z96="POR RECOGER"),"SET","")</f>
        <v/>
      </c>
      <c r="B932" s="192" t="str">
        <f aca="false">IF(AND('SETIEMBRE 2026'!D96&lt;&gt;"",'SETIEMBRE 2026'!Z96="POR RECOGER"),IF('SETIEMBRE 2026'!Y96&lt;&gt;"",'SETIEMBRE 2026'!Y96,'SETIEMBRE 2026'!I96),"")</f>
        <v/>
      </c>
      <c r="C932" s="192" t="str">
        <f aca="false">IF(AND('SETIEMBRE 2026'!D96&lt;&gt;"",'SETIEMBRE 2026'!Z96="POR RECOGER"),'SETIEMBRE 2026'!D96,"")</f>
        <v/>
      </c>
      <c r="D932" s="192" t="str">
        <f aca="false">IF(AND('SETIEMBRE 2026'!D96&lt;&gt;"",'SETIEMBRE 2026'!Z96="POR RECOGER"),'SETIEMBRE 2026'!F96,"")</f>
        <v/>
      </c>
      <c r="E932" s="192" t="str">
        <f aca="false">IF(AND('SETIEMBRE 2026'!D96&lt;&gt;"",'SETIEMBRE 2026'!Z96="POR RECOGER"),TEXT('SETIEMBRE 2026'!G96,"DD/MM/YYYY"),"")</f>
        <v/>
      </c>
      <c r="F932" s="192" t="str">
        <f aca="false">IF(AND('SETIEMBRE 2026'!D96&lt;&gt;"",'SETIEMBRE 2026'!Z96="POR RECOGER"),'SETIEMBRE 2026'!K96,"")</f>
        <v/>
      </c>
      <c r="G932" s="193" t="str">
        <f aca="false">IF(AND('SETIEMBRE 2026'!D96&lt;&gt;"",'SETIEMBRE 2026'!Z96="POR RECOGER"),'SETIEMBRE 2026'!M96,"")</f>
        <v/>
      </c>
      <c r="H932" s="193" t="str">
        <f aca="false">IF(AND('SETIEMBRE 2026'!D96&lt;&gt;"",'SETIEMBRE 2026'!Z96="POR RECOGER"),'SETIEMBRE 2026'!N96,"")</f>
        <v/>
      </c>
      <c r="I932" s="192" t="str">
        <f aca="false">IF(AND('SETIEMBRE 2026'!D96&lt;&gt;"",'SETIEMBRE 2026'!Z96="POR RECOGER"),'SETIEMBRE 2026'!P96,"")</f>
        <v/>
      </c>
      <c r="J932" s="192" t="str">
        <f aca="false">IF(AND('SETIEMBRE 2026'!D96&lt;&gt;"",'SETIEMBRE 2026'!Z96="POR RECOGER"),'SETIEMBRE 2026'!Q96,"")</f>
        <v/>
      </c>
      <c r="K932" s="192" t="str">
        <f aca="false">IF(AND('SETIEMBRE 2026'!D96&lt;&gt;"",'SETIEMBRE 2026'!Z96="POR RECOGER"),'SETIEMBRE 2026'!Y96,"")</f>
        <v/>
      </c>
      <c r="L932" s="192" t="str">
        <f aca="false">IF(AND('SETIEMBRE 2026'!D96&lt;&gt;"",'SETIEMBRE 2026'!Z96="POR RECOGER"),'SETIEMBRE 2026'!I96,"")</f>
        <v/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" hidden="false" customHeight="true" outlineLevel="0" collapsed="false">
      <c r="A933" s="192" t="str">
        <f aca="false">IF(AND('SETIEMBRE 2026'!D97&lt;&gt;"",'SETIEMBRE 2026'!Z97="POR RECOGER"),"SET","")</f>
        <v/>
      </c>
      <c r="B933" s="192" t="str">
        <f aca="false">IF(AND('SETIEMBRE 2026'!D97&lt;&gt;"",'SETIEMBRE 2026'!Z97="POR RECOGER"),IF('SETIEMBRE 2026'!Y97&lt;&gt;"",'SETIEMBRE 2026'!Y97,'SETIEMBRE 2026'!I97),"")</f>
        <v/>
      </c>
      <c r="C933" s="192" t="str">
        <f aca="false">IF(AND('SETIEMBRE 2026'!D97&lt;&gt;"",'SETIEMBRE 2026'!Z97="POR RECOGER"),'SETIEMBRE 2026'!D97,"")</f>
        <v/>
      </c>
      <c r="D933" s="192" t="str">
        <f aca="false">IF(AND('SETIEMBRE 2026'!D97&lt;&gt;"",'SETIEMBRE 2026'!Z97="POR RECOGER"),'SETIEMBRE 2026'!F97,"")</f>
        <v/>
      </c>
      <c r="E933" s="192" t="str">
        <f aca="false">IF(AND('SETIEMBRE 2026'!D97&lt;&gt;"",'SETIEMBRE 2026'!Z97="POR RECOGER"),TEXT('SETIEMBRE 2026'!G97,"DD/MM/YYYY"),"")</f>
        <v/>
      </c>
      <c r="F933" s="192" t="str">
        <f aca="false">IF(AND('SETIEMBRE 2026'!D97&lt;&gt;"",'SETIEMBRE 2026'!Z97="POR RECOGER"),'SETIEMBRE 2026'!K97,"")</f>
        <v/>
      </c>
      <c r="G933" s="193" t="str">
        <f aca="false">IF(AND('SETIEMBRE 2026'!D97&lt;&gt;"",'SETIEMBRE 2026'!Z97="POR RECOGER"),'SETIEMBRE 2026'!M97,"")</f>
        <v/>
      </c>
      <c r="H933" s="193" t="str">
        <f aca="false">IF(AND('SETIEMBRE 2026'!D97&lt;&gt;"",'SETIEMBRE 2026'!Z97="POR RECOGER"),'SETIEMBRE 2026'!N97,"")</f>
        <v/>
      </c>
      <c r="I933" s="192" t="str">
        <f aca="false">IF(AND('SETIEMBRE 2026'!D97&lt;&gt;"",'SETIEMBRE 2026'!Z97="POR RECOGER"),'SETIEMBRE 2026'!P97,"")</f>
        <v/>
      </c>
      <c r="J933" s="192" t="str">
        <f aca="false">IF(AND('SETIEMBRE 2026'!D97&lt;&gt;"",'SETIEMBRE 2026'!Z97="POR RECOGER"),'SETIEMBRE 2026'!Q97,"")</f>
        <v/>
      </c>
      <c r="K933" s="192" t="str">
        <f aca="false">IF(AND('SETIEMBRE 2026'!D97&lt;&gt;"",'SETIEMBRE 2026'!Z97="POR RECOGER"),'SETIEMBRE 2026'!Y97,"")</f>
        <v/>
      </c>
      <c r="L933" s="192" t="str">
        <f aca="false">IF(AND('SETIEMBRE 2026'!D97&lt;&gt;"",'SETIEMBRE 2026'!Z97="POR RECOGER"),'SETIEMBRE 2026'!I97,"")</f>
        <v/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" hidden="false" customHeight="true" outlineLevel="0" collapsed="false">
      <c r="A934" s="192" t="str">
        <f aca="false">IF(AND('SETIEMBRE 2026'!D98&lt;&gt;"",'SETIEMBRE 2026'!Z98="POR RECOGER"),"SET","")</f>
        <v/>
      </c>
      <c r="B934" s="192" t="str">
        <f aca="false">IF(AND('SETIEMBRE 2026'!D98&lt;&gt;"",'SETIEMBRE 2026'!Z98="POR RECOGER"),IF('SETIEMBRE 2026'!Y98&lt;&gt;"",'SETIEMBRE 2026'!Y98,'SETIEMBRE 2026'!I98),"")</f>
        <v/>
      </c>
      <c r="C934" s="192" t="str">
        <f aca="false">IF(AND('SETIEMBRE 2026'!D98&lt;&gt;"",'SETIEMBRE 2026'!Z98="POR RECOGER"),'SETIEMBRE 2026'!D98,"")</f>
        <v/>
      </c>
      <c r="D934" s="192" t="str">
        <f aca="false">IF(AND('SETIEMBRE 2026'!D98&lt;&gt;"",'SETIEMBRE 2026'!Z98="POR RECOGER"),'SETIEMBRE 2026'!F98,"")</f>
        <v/>
      </c>
      <c r="E934" s="192" t="str">
        <f aca="false">IF(AND('SETIEMBRE 2026'!D98&lt;&gt;"",'SETIEMBRE 2026'!Z98="POR RECOGER"),TEXT('SETIEMBRE 2026'!G98,"DD/MM/YYYY"),"")</f>
        <v/>
      </c>
      <c r="F934" s="192" t="str">
        <f aca="false">IF(AND('SETIEMBRE 2026'!D98&lt;&gt;"",'SETIEMBRE 2026'!Z98="POR RECOGER"),'SETIEMBRE 2026'!K98,"")</f>
        <v/>
      </c>
      <c r="G934" s="193" t="str">
        <f aca="false">IF(AND('SETIEMBRE 2026'!D98&lt;&gt;"",'SETIEMBRE 2026'!Z98="POR RECOGER"),'SETIEMBRE 2026'!M98,"")</f>
        <v/>
      </c>
      <c r="H934" s="193" t="str">
        <f aca="false">IF(AND('SETIEMBRE 2026'!D98&lt;&gt;"",'SETIEMBRE 2026'!Z98="POR RECOGER"),'SETIEMBRE 2026'!N98,"")</f>
        <v/>
      </c>
      <c r="I934" s="192" t="str">
        <f aca="false">IF(AND('SETIEMBRE 2026'!D98&lt;&gt;"",'SETIEMBRE 2026'!Z98="POR RECOGER"),'SETIEMBRE 2026'!P98,"")</f>
        <v/>
      </c>
      <c r="J934" s="192" t="str">
        <f aca="false">IF(AND('SETIEMBRE 2026'!D98&lt;&gt;"",'SETIEMBRE 2026'!Z98="POR RECOGER"),'SETIEMBRE 2026'!Q98,"")</f>
        <v/>
      </c>
      <c r="K934" s="192" t="str">
        <f aca="false">IF(AND('SETIEMBRE 2026'!D98&lt;&gt;"",'SETIEMBRE 2026'!Z98="POR RECOGER"),'SETIEMBRE 2026'!Y98,"")</f>
        <v/>
      </c>
      <c r="L934" s="192" t="str">
        <f aca="false">IF(AND('SETIEMBRE 2026'!D98&lt;&gt;"",'SETIEMBRE 2026'!Z98="POR RECOGER"),'SETIEMBRE 2026'!I98,"")</f>
        <v/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" hidden="false" customHeight="true" outlineLevel="0" collapsed="false">
      <c r="A935" s="192" t="str">
        <f aca="false">IF(AND('SETIEMBRE 2026'!D99&lt;&gt;"",'SETIEMBRE 2026'!Z99="POR RECOGER"),"SET","")</f>
        <v/>
      </c>
      <c r="B935" s="192" t="str">
        <f aca="false">IF(AND('SETIEMBRE 2026'!D99&lt;&gt;"",'SETIEMBRE 2026'!Z99="POR RECOGER"),IF('SETIEMBRE 2026'!Y99&lt;&gt;"",'SETIEMBRE 2026'!Y99,'SETIEMBRE 2026'!I99),"")</f>
        <v/>
      </c>
      <c r="C935" s="192" t="str">
        <f aca="false">IF(AND('SETIEMBRE 2026'!D99&lt;&gt;"",'SETIEMBRE 2026'!Z99="POR RECOGER"),'SETIEMBRE 2026'!D99,"")</f>
        <v/>
      </c>
      <c r="D935" s="192" t="str">
        <f aca="false">IF(AND('SETIEMBRE 2026'!D99&lt;&gt;"",'SETIEMBRE 2026'!Z99="POR RECOGER"),'SETIEMBRE 2026'!F99,"")</f>
        <v/>
      </c>
      <c r="E935" s="192" t="str">
        <f aca="false">IF(AND('SETIEMBRE 2026'!D99&lt;&gt;"",'SETIEMBRE 2026'!Z99="POR RECOGER"),TEXT('SETIEMBRE 2026'!G99,"DD/MM/YYYY"),"")</f>
        <v/>
      </c>
      <c r="F935" s="192" t="str">
        <f aca="false">IF(AND('SETIEMBRE 2026'!D99&lt;&gt;"",'SETIEMBRE 2026'!Z99="POR RECOGER"),'SETIEMBRE 2026'!K99,"")</f>
        <v/>
      </c>
      <c r="G935" s="193" t="str">
        <f aca="false">IF(AND('SETIEMBRE 2026'!D99&lt;&gt;"",'SETIEMBRE 2026'!Z99="POR RECOGER"),'SETIEMBRE 2026'!M99,"")</f>
        <v/>
      </c>
      <c r="H935" s="193" t="str">
        <f aca="false">IF(AND('SETIEMBRE 2026'!D99&lt;&gt;"",'SETIEMBRE 2026'!Z99="POR RECOGER"),'SETIEMBRE 2026'!N99,"")</f>
        <v/>
      </c>
      <c r="I935" s="192" t="str">
        <f aca="false">IF(AND('SETIEMBRE 2026'!D99&lt;&gt;"",'SETIEMBRE 2026'!Z99="POR RECOGER"),'SETIEMBRE 2026'!P99,"")</f>
        <v/>
      </c>
      <c r="J935" s="192" t="str">
        <f aca="false">IF(AND('SETIEMBRE 2026'!D99&lt;&gt;"",'SETIEMBRE 2026'!Z99="POR RECOGER"),'SETIEMBRE 2026'!Q99,"")</f>
        <v/>
      </c>
      <c r="K935" s="192" t="str">
        <f aca="false">IF(AND('SETIEMBRE 2026'!D99&lt;&gt;"",'SETIEMBRE 2026'!Z99="POR RECOGER"),'SETIEMBRE 2026'!Y99,"")</f>
        <v/>
      </c>
      <c r="L935" s="192" t="str">
        <f aca="false">IF(AND('SETIEMBRE 2026'!D99&lt;&gt;"",'SETIEMBRE 2026'!Z99="POR RECOGER"),'SETIEMBRE 2026'!I99,"")</f>
        <v/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" hidden="false" customHeight="true" outlineLevel="0" collapsed="false">
      <c r="A936" s="192" t="str">
        <f aca="false">IF(AND('SETIEMBRE 2026'!D100&lt;&gt;"",'SETIEMBRE 2026'!Z100="POR RECOGER"),"SET","")</f>
        <v/>
      </c>
      <c r="B936" s="192" t="str">
        <f aca="false">IF(AND('SETIEMBRE 2026'!D100&lt;&gt;"",'SETIEMBRE 2026'!Z100="POR RECOGER"),IF('SETIEMBRE 2026'!Y100&lt;&gt;"",'SETIEMBRE 2026'!Y100,'SETIEMBRE 2026'!I100),"")</f>
        <v/>
      </c>
      <c r="C936" s="192" t="str">
        <f aca="false">IF(AND('SETIEMBRE 2026'!D100&lt;&gt;"",'SETIEMBRE 2026'!Z100="POR RECOGER"),'SETIEMBRE 2026'!D100,"")</f>
        <v/>
      </c>
      <c r="D936" s="192" t="str">
        <f aca="false">IF(AND('SETIEMBRE 2026'!D100&lt;&gt;"",'SETIEMBRE 2026'!Z100="POR RECOGER"),'SETIEMBRE 2026'!F100,"")</f>
        <v/>
      </c>
      <c r="E936" s="192" t="str">
        <f aca="false">IF(AND('SETIEMBRE 2026'!D100&lt;&gt;"",'SETIEMBRE 2026'!Z100="POR RECOGER"),TEXT('SETIEMBRE 2026'!G100,"DD/MM/YYYY"),"")</f>
        <v/>
      </c>
      <c r="F936" s="192" t="str">
        <f aca="false">IF(AND('SETIEMBRE 2026'!D100&lt;&gt;"",'SETIEMBRE 2026'!Z100="POR RECOGER"),'SETIEMBRE 2026'!K100,"")</f>
        <v/>
      </c>
      <c r="G936" s="193" t="str">
        <f aca="false">IF(AND('SETIEMBRE 2026'!D100&lt;&gt;"",'SETIEMBRE 2026'!Z100="POR RECOGER"),'SETIEMBRE 2026'!M100,"")</f>
        <v/>
      </c>
      <c r="H936" s="193" t="str">
        <f aca="false">IF(AND('SETIEMBRE 2026'!D100&lt;&gt;"",'SETIEMBRE 2026'!Z100="POR RECOGER"),'SETIEMBRE 2026'!N100,"")</f>
        <v/>
      </c>
      <c r="I936" s="192" t="str">
        <f aca="false">IF(AND('SETIEMBRE 2026'!D100&lt;&gt;"",'SETIEMBRE 2026'!Z100="POR RECOGER"),'SETIEMBRE 2026'!P100,"")</f>
        <v/>
      </c>
      <c r="J936" s="192" t="str">
        <f aca="false">IF(AND('SETIEMBRE 2026'!D100&lt;&gt;"",'SETIEMBRE 2026'!Z100="POR RECOGER"),'SETIEMBRE 2026'!Q100,"")</f>
        <v/>
      </c>
      <c r="K936" s="192" t="str">
        <f aca="false">IF(AND('SETIEMBRE 2026'!D100&lt;&gt;"",'SETIEMBRE 2026'!Z100="POR RECOGER"),'SETIEMBRE 2026'!Y100,"")</f>
        <v/>
      </c>
      <c r="L936" s="192" t="str">
        <f aca="false">IF(AND('SETIEMBRE 2026'!D100&lt;&gt;"",'SETIEMBRE 2026'!Z100="POR RECOGER"),'SETIEMBRE 2026'!I100,"")</f>
        <v/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" hidden="false" customHeight="true" outlineLevel="0" collapsed="false">
      <c r="A937" s="192" t="str">
        <f aca="false">IF(AND('SETIEMBRE 2026'!D101&lt;&gt;"",'SETIEMBRE 2026'!Z101="POR RECOGER"),"SET","")</f>
        <v/>
      </c>
      <c r="B937" s="192" t="str">
        <f aca="false">IF(AND('SETIEMBRE 2026'!D101&lt;&gt;"",'SETIEMBRE 2026'!Z101="POR RECOGER"),IF('SETIEMBRE 2026'!Y101&lt;&gt;"",'SETIEMBRE 2026'!Y101,'SETIEMBRE 2026'!I101),"")</f>
        <v/>
      </c>
      <c r="C937" s="192" t="str">
        <f aca="false">IF(AND('SETIEMBRE 2026'!D101&lt;&gt;"",'SETIEMBRE 2026'!Z101="POR RECOGER"),'SETIEMBRE 2026'!D101,"")</f>
        <v/>
      </c>
      <c r="D937" s="192" t="str">
        <f aca="false">IF(AND('SETIEMBRE 2026'!D101&lt;&gt;"",'SETIEMBRE 2026'!Z101="POR RECOGER"),'SETIEMBRE 2026'!F101,"")</f>
        <v/>
      </c>
      <c r="E937" s="192" t="str">
        <f aca="false">IF(AND('SETIEMBRE 2026'!D101&lt;&gt;"",'SETIEMBRE 2026'!Z101="POR RECOGER"),TEXT('SETIEMBRE 2026'!G101,"DD/MM/YYYY"),"")</f>
        <v/>
      </c>
      <c r="F937" s="192" t="str">
        <f aca="false">IF(AND('SETIEMBRE 2026'!D101&lt;&gt;"",'SETIEMBRE 2026'!Z101="POR RECOGER"),'SETIEMBRE 2026'!K101,"")</f>
        <v/>
      </c>
      <c r="G937" s="193" t="str">
        <f aca="false">IF(AND('SETIEMBRE 2026'!D101&lt;&gt;"",'SETIEMBRE 2026'!Z101="POR RECOGER"),'SETIEMBRE 2026'!M101,"")</f>
        <v/>
      </c>
      <c r="H937" s="193" t="str">
        <f aca="false">IF(AND('SETIEMBRE 2026'!D101&lt;&gt;"",'SETIEMBRE 2026'!Z101="POR RECOGER"),'SETIEMBRE 2026'!N101,"")</f>
        <v/>
      </c>
      <c r="I937" s="192" t="str">
        <f aca="false">IF(AND('SETIEMBRE 2026'!D101&lt;&gt;"",'SETIEMBRE 2026'!Z101="POR RECOGER"),'SETIEMBRE 2026'!P101,"")</f>
        <v/>
      </c>
      <c r="J937" s="192" t="str">
        <f aca="false">IF(AND('SETIEMBRE 2026'!D101&lt;&gt;"",'SETIEMBRE 2026'!Z101="POR RECOGER"),'SETIEMBRE 2026'!Q101,"")</f>
        <v/>
      </c>
      <c r="K937" s="192" t="str">
        <f aca="false">IF(AND('SETIEMBRE 2026'!D101&lt;&gt;"",'SETIEMBRE 2026'!Z101="POR RECOGER"),'SETIEMBRE 2026'!Y101,"")</f>
        <v/>
      </c>
      <c r="L937" s="192" t="str">
        <f aca="false">IF(AND('SETIEMBRE 2026'!D101&lt;&gt;"",'SETIEMBRE 2026'!Z101="POR RECOGER"),'SETIEMBRE 2026'!I101,"")</f>
        <v/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" hidden="false" customHeight="true" outlineLevel="0" collapsed="false">
      <c r="A938" s="192" t="str">
        <f aca="false">IF(AND('SETIEMBRE 2026'!D102&lt;&gt;"",'SETIEMBRE 2026'!Z102="POR RECOGER"),"SET","")</f>
        <v/>
      </c>
      <c r="B938" s="192" t="str">
        <f aca="false">IF(AND('SETIEMBRE 2026'!D102&lt;&gt;"",'SETIEMBRE 2026'!Z102="POR RECOGER"),IF('SETIEMBRE 2026'!Y102&lt;&gt;"",'SETIEMBRE 2026'!Y102,'SETIEMBRE 2026'!I102),"")</f>
        <v/>
      </c>
      <c r="C938" s="192" t="str">
        <f aca="false">IF(AND('SETIEMBRE 2026'!D102&lt;&gt;"",'SETIEMBRE 2026'!Z102="POR RECOGER"),'SETIEMBRE 2026'!D102,"")</f>
        <v/>
      </c>
      <c r="D938" s="192" t="str">
        <f aca="false">IF(AND('SETIEMBRE 2026'!D102&lt;&gt;"",'SETIEMBRE 2026'!Z102="POR RECOGER"),'SETIEMBRE 2026'!F102,"")</f>
        <v/>
      </c>
      <c r="E938" s="192" t="str">
        <f aca="false">IF(AND('SETIEMBRE 2026'!D102&lt;&gt;"",'SETIEMBRE 2026'!Z102="POR RECOGER"),TEXT('SETIEMBRE 2026'!G102,"DD/MM/YYYY"),"")</f>
        <v/>
      </c>
      <c r="F938" s="192" t="str">
        <f aca="false">IF(AND('SETIEMBRE 2026'!D102&lt;&gt;"",'SETIEMBRE 2026'!Z102="POR RECOGER"),'SETIEMBRE 2026'!K102,"")</f>
        <v/>
      </c>
      <c r="G938" s="193" t="str">
        <f aca="false">IF(AND('SETIEMBRE 2026'!D102&lt;&gt;"",'SETIEMBRE 2026'!Z102="POR RECOGER"),'SETIEMBRE 2026'!M102,"")</f>
        <v/>
      </c>
      <c r="H938" s="193" t="str">
        <f aca="false">IF(AND('SETIEMBRE 2026'!D102&lt;&gt;"",'SETIEMBRE 2026'!Z102="POR RECOGER"),'SETIEMBRE 2026'!N102,"")</f>
        <v/>
      </c>
      <c r="I938" s="192" t="str">
        <f aca="false">IF(AND('SETIEMBRE 2026'!D102&lt;&gt;"",'SETIEMBRE 2026'!Z102="POR RECOGER"),'SETIEMBRE 2026'!P102,"")</f>
        <v/>
      </c>
      <c r="J938" s="192" t="str">
        <f aca="false">IF(AND('SETIEMBRE 2026'!D102&lt;&gt;"",'SETIEMBRE 2026'!Z102="POR RECOGER"),'SETIEMBRE 2026'!Q102,"")</f>
        <v/>
      </c>
      <c r="K938" s="192" t="str">
        <f aca="false">IF(AND('SETIEMBRE 2026'!D102&lt;&gt;"",'SETIEMBRE 2026'!Z102="POR RECOGER"),'SETIEMBRE 2026'!Y102,"")</f>
        <v/>
      </c>
      <c r="L938" s="192" t="str">
        <f aca="false">IF(AND('SETIEMBRE 2026'!D102&lt;&gt;"",'SETIEMBRE 2026'!Z102="POR RECOGER"),'SETIEMBRE 2026'!I102,"")</f>
        <v/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" hidden="false" customHeight="true" outlineLevel="0" collapsed="false">
      <c r="A939" s="192" t="str">
        <f aca="false">IF(AND('SETIEMBRE 2026'!D103&lt;&gt;"",'SETIEMBRE 2026'!Z103="POR RECOGER"),"SET","")</f>
        <v/>
      </c>
      <c r="B939" s="192" t="str">
        <f aca="false">IF(AND('SETIEMBRE 2026'!D103&lt;&gt;"",'SETIEMBRE 2026'!Z103="POR RECOGER"),IF('SETIEMBRE 2026'!Y103&lt;&gt;"",'SETIEMBRE 2026'!Y103,'SETIEMBRE 2026'!I103),"")</f>
        <v/>
      </c>
      <c r="C939" s="192" t="str">
        <f aca="false">IF(AND('SETIEMBRE 2026'!D103&lt;&gt;"",'SETIEMBRE 2026'!Z103="POR RECOGER"),'SETIEMBRE 2026'!D103,"")</f>
        <v/>
      </c>
      <c r="D939" s="192" t="str">
        <f aca="false">IF(AND('SETIEMBRE 2026'!D103&lt;&gt;"",'SETIEMBRE 2026'!Z103="POR RECOGER"),'SETIEMBRE 2026'!F103,"")</f>
        <v/>
      </c>
      <c r="E939" s="192" t="str">
        <f aca="false">IF(AND('SETIEMBRE 2026'!D103&lt;&gt;"",'SETIEMBRE 2026'!Z103="POR RECOGER"),TEXT('SETIEMBRE 2026'!G103,"DD/MM/YYYY"),"")</f>
        <v/>
      </c>
      <c r="F939" s="192" t="str">
        <f aca="false">IF(AND('SETIEMBRE 2026'!D103&lt;&gt;"",'SETIEMBRE 2026'!Z103="POR RECOGER"),'SETIEMBRE 2026'!K103,"")</f>
        <v/>
      </c>
      <c r="G939" s="193" t="str">
        <f aca="false">IF(AND('SETIEMBRE 2026'!D103&lt;&gt;"",'SETIEMBRE 2026'!Z103="POR RECOGER"),'SETIEMBRE 2026'!M103,"")</f>
        <v/>
      </c>
      <c r="H939" s="193" t="str">
        <f aca="false">IF(AND('SETIEMBRE 2026'!D103&lt;&gt;"",'SETIEMBRE 2026'!Z103="POR RECOGER"),'SETIEMBRE 2026'!N103,"")</f>
        <v/>
      </c>
      <c r="I939" s="192" t="str">
        <f aca="false">IF(AND('SETIEMBRE 2026'!D103&lt;&gt;"",'SETIEMBRE 2026'!Z103="POR RECOGER"),'SETIEMBRE 2026'!P103,"")</f>
        <v/>
      </c>
      <c r="J939" s="192" t="str">
        <f aca="false">IF(AND('SETIEMBRE 2026'!D103&lt;&gt;"",'SETIEMBRE 2026'!Z103="POR RECOGER"),'SETIEMBRE 2026'!Q103,"")</f>
        <v/>
      </c>
      <c r="K939" s="192" t="str">
        <f aca="false">IF(AND('SETIEMBRE 2026'!D103&lt;&gt;"",'SETIEMBRE 2026'!Z103="POR RECOGER"),'SETIEMBRE 2026'!Y103,"")</f>
        <v/>
      </c>
      <c r="L939" s="192" t="str">
        <f aca="false">IF(AND('SETIEMBRE 2026'!D103&lt;&gt;"",'SETIEMBRE 2026'!Z103="POR RECOGER"),'SETIEMBRE 2026'!I103,"")</f>
        <v/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" hidden="false" customHeight="true" outlineLevel="0" collapsed="false">
      <c r="A940" s="192" t="str">
        <f aca="false">IF(AND('SETIEMBRE 2026'!D104&lt;&gt;"",'SETIEMBRE 2026'!Z104="POR RECOGER"),"SET","")</f>
        <v/>
      </c>
      <c r="B940" s="192" t="str">
        <f aca="false">IF(AND('SETIEMBRE 2026'!D104&lt;&gt;"",'SETIEMBRE 2026'!Z104="POR RECOGER"),IF('SETIEMBRE 2026'!Y104&lt;&gt;"",'SETIEMBRE 2026'!Y104,'SETIEMBRE 2026'!I104),"")</f>
        <v/>
      </c>
      <c r="C940" s="192" t="str">
        <f aca="false">IF(AND('SETIEMBRE 2026'!D104&lt;&gt;"",'SETIEMBRE 2026'!Z104="POR RECOGER"),'SETIEMBRE 2026'!D104,"")</f>
        <v/>
      </c>
      <c r="D940" s="192" t="str">
        <f aca="false">IF(AND('SETIEMBRE 2026'!D104&lt;&gt;"",'SETIEMBRE 2026'!Z104="POR RECOGER"),'SETIEMBRE 2026'!F104,"")</f>
        <v/>
      </c>
      <c r="E940" s="192" t="str">
        <f aca="false">IF(AND('SETIEMBRE 2026'!D104&lt;&gt;"",'SETIEMBRE 2026'!Z104="POR RECOGER"),TEXT('SETIEMBRE 2026'!G104,"DD/MM/YYYY"),"")</f>
        <v/>
      </c>
      <c r="F940" s="192" t="str">
        <f aca="false">IF(AND('SETIEMBRE 2026'!D104&lt;&gt;"",'SETIEMBRE 2026'!Z104="POR RECOGER"),'SETIEMBRE 2026'!K104,"")</f>
        <v/>
      </c>
      <c r="G940" s="193" t="str">
        <f aca="false">IF(AND('SETIEMBRE 2026'!D104&lt;&gt;"",'SETIEMBRE 2026'!Z104="POR RECOGER"),'SETIEMBRE 2026'!M104,"")</f>
        <v/>
      </c>
      <c r="H940" s="193" t="str">
        <f aca="false">IF(AND('SETIEMBRE 2026'!D104&lt;&gt;"",'SETIEMBRE 2026'!Z104="POR RECOGER"),'SETIEMBRE 2026'!N104,"")</f>
        <v/>
      </c>
      <c r="I940" s="192" t="str">
        <f aca="false">IF(AND('SETIEMBRE 2026'!D104&lt;&gt;"",'SETIEMBRE 2026'!Z104="POR RECOGER"),'SETIEMBRE 2026'!P104,"")</f>
        <v/>
      </c>
      <c r="J940" s="192" t="str">
        <f aca="false">IF(AND('SETIEMBRE 2026'!D104&lt;&gt;"",'SETIEMBRE 2026'!Z104="POR RECOGER"),'SETIEMBRE 2026'!Q104,"")</f>
        <v/>
      </c>
      <c r="K940" s="192" t="str">
        <f aca="false">IF(AND('SETIEMBRE 2026'!D104&lt;&gt;"",'SETIEMBRE 2026'!Z104="POR RECOGER"),'SETIEMBRE 2026'!Y104,"")</f>
        <v/>
      </c>
      <c r="L940" s="192" t="str">
        <f aca="false">IF(AND('SETIEMBRE 2026'!D104&lt;&gt;"",'SETIEMBRE 2026'!Z104="POR RECOGER"),'SETIEMBRE 2026'!I104,"")</f>
        <v/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" hidden="false" customHeight="true" outlineLevel="0" collapsed="false">
      <c r="A941" s="192" t="str">
        <f aca="false">IF(AND('SETIEMBRE 2026'!D105&lt;&gt;"",'SETIEMBRE 2026'!Z105="POR RECOGER"),"SET","")</f>
        <v/>
      </c>
      <c r="B941" s="192" t="str">
        <f aca="false">IF(AND('SETIEMBRE 2026'!D105&lt;&gt;"",'SETIEMBRE 2026'!Z105="POR RECOGER"),IF('SETIEMBRE 2026'!Y105&lt;&gt;"",'SETIEMBRE 2026'!Y105,'SETIEMBRE 2026'!I105),"")</f>
        <v/>
      </c>
      <c r="C941" s="192" t="str">
        <f aca="false">IF(AND('SETIEMBRE 2026'!D105&lt;&gt;"",'SETIEMBRE 2026'!Z105="POR RECOGER"),'SETIEMBRE 2026'!D105,"")</f>
        <v/>
      </c>
      <c r="D941" s="192" t="str">
        <f aca="false">IF(AND('SETIEMBRE 2026'!D105&lt;&gt;"",'SETIEMBRE 2026'!Z105="POR RECOGER"),'SETIEMBRE 2026'!F105,"")</f>
        <v/>
      </c>
      <c r="E941" s="192" t="str">
        <f aca="false">IF(AND('SETIEMBRE 2026'!D105&lt;&gt;"",'SETIEMBRE 2026'!Z105="POR RECOGER"),TEXT('SETIEMBRE 2026'!G105,"DD/MM/YYYY"),"")</f>
        <v/>
      </c>
      <c r="F941" s="192" t="str">
        <f aca="false">IF(AND('SETIEMBRE 2026'!D105&lt;&gt;"",'SETIEMBRE 2026'!Z105="POR RECOGER"),'SETIEMBRE 2026'!K105,"")</f>
        <v/>
      </c>
      <c r="G941" s="193" t="str">
        <f aca="false">IF(AND('SETIEMBRE 2026'!D105&lt;&gt;"",'SETIEMBRE 2026'!Z105="POR RECOGER"),'SETIEMBRE 2026'!M105,"")</f>
        <v/>
      </c>
      <c r="H941" s="193" t="str">
        <f aca="false">IF(AND('SETIEMBRE 2026'!D105&lt;&gt;"",'SETIEMBRE 2026'!Z105="POR RECOGER"),'SETIEMBRE 2026'!N105,"")</f>
        <v/>
      </c>
      <c r="I941" s="192" t="str">
        <f aca="false">IF(AND('SETIEMBRE 2026'!D105&lt;&gt;"",'SETIEMBRE 2026'!Z105="POR RECOGER"),'SETIEMBRE 2026'!P105,"")</f>
        <v/>
      </c>
      <c r="J941" s="192" t="str">
        <f aca="false">IF(AND('SETIEMBRE 2026'!D105&lt;&gt;"",'SETIEMBRE 2026'!Z105="POR RECOGER"),'SETIEMBRE 2026'!Q105,"")</f>
        <v/>
      </c>
      <c r="K941" s="192" t="str">
        <f aca="false">IF(AND('SETIEMBRE 2026'!D105&lt;&gt;"",'SETIEMBRE 2026'!Z105="POR RECOGER"),'SETIEMBRE 2026'!Y105,"")</f>
        <v/>
      </c>
      <c r="L941" s="192" t="str">
        <f aca="false">IF(AND('SETIEMBRE 2026'!D105&lt;&gt;"",'SETIEMBRE 2026'!Z105="POR RECOGER"),'SETIEMBRE 2026'!I105,"")</f>
        <v/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" hidden="false" customHeight="true" outlineLevel="0" collapsed="false">
      <c r="A942" s="192" t="str">
        <f aca="false">IF(AND('SETIEMBRE 2026'!D106&lt;&gt;"",'SETIEMBRE 2026'!Z106="POR RECOGER"),"SET","")</f>
        <v/>
      </c>
      <c r="B942" s="192" t="str">
        <f aca="false">IF(AND('SETIEMBRE 2026'!D106&lt;&gt;"",'SETIEMBRE 2026'!Z106="POR RECOGER"),IF('SETIEMBRE 2026'!Y106&lt;&gt;"",'SETIEMBRE 2026'!Y106,'SETIEMBRE 2026'!I106),"")</f>
        <v/>
      </c>
      <c r="C942" s="192" t="str">
        <f aca="false">IF(AND('SETIEMBRE 2026'!D106&lt;&gt;"",'SETIEMBRE 2026'!Z106="POR RECOGER"),'SETIEMBRE 2026'!D106,"")</f>
        <v/>
      </c>
      <c r="D942" s="192" t="str">
        <f aca="false">IF(AND('SETIEMBRE 2026'!D106&lt;&gt;"",'SETIEMBRE 2026'!Z106="POR RECOGER"),'SETIEMBRE 2026'!F106,"")</f>
        <v/>
      </c>
      <c r="E942" s="192" t="str">
        <f aca="false">IF(AND('SETIEMBRE 2026'!D106&lt;&gt;"",'SETIEMBRE 2026'!Z106="POR RECOGER"),TEXT('SETIEMBRE 2026'!G106,"DD/MM/YYYY"),"")</f>
        <v/>
      </c>
      <c r="F942" s="192" t="str">
        <f aca="false">IF(AND('SETIEMBRE 2026'!D106&lt;&gt;"",'SETIEMBRE 2026'!Z106="POR RECOGER"),'SETIEMBRE 2026'!K106,"")</f>
        <v/>
      </c>
      <c r="G942" s="193" t="str">
        <f aca="false">IF(AND('SETIEMBRE 2026'!D106&lt;&gt;"",'SETIEMBRE 2026'!Z106="POR RECOGER"),'SETIEMBRE 2026'!M106,"")</f>
        <v/>
      </c>
      <c r="H942" s="193" t="str">
        <f aca="false">IF(AND('SETIEMBRE 2026'!D106&lt;&gt;"",'SETIEMBRE 2026'!Z106="POR RECOGER"),'SETIEMBRE 2026'!N106,"")</f>
        <v/>
      </c>
      <c r="I942" s="192" t="str">
        <f aca="false">IF(AND('SETIEMBRE 2026'!D106&lt;&gt;"",'SETIEMBRE 2026'!Z106="POR RECOGER"),'SETIEMBRE 2026'!P106,"")</f>
        <v/>
      </c>
      <c r="J942" s="192" t="str">
        <f aca="false">IF(AND('SETIEMBRE 2026'!D106&lt;&gt;"",'SETIEMBRE 2026'!Z106="POR RECOGER"),'SETIEMBRE 2026'!Q106,"")</f>
        <v/>
      </c>
      <c r="K942" s="192" t="str">
        <f aca="false">IF(AND('SETIEMBRE 2026'!D106&lt;&gt;"",'SETIEMBRE 2026'!Z106="POR RECOGER"),'SETIEMBRE 2026'!Y106,"")</f>
        <v/>
      </c>
      <c r="L942" s="192" t="str">
        <f aca="false">IF(AND('SETIEMBRE 2026'!D106&lt;&gt;"",'SETIEMBRE 2026'!Z106="POR RECOGER"),'SETIEMBRE 2026'!I106,"")</f>
        <v/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" hidden="false" customHeight="true" outlineLevel="0" collapsed="false">
      <c r="A943" s="192" t="str">
        <f aca="false">IF(AND('SETIEMBRE 2026'!D107&lt;&gt;"",'SETIEMBRE 2026'!Z107="POR RECOGER"),"SET","")</f>
        <v/>
      </c>
      <c r="B943" s="192" t="str">
        <f aca="false">IF(AND('SETIEMBRE 2026'!D107&lt;&gt;"",'SETIEMBRE 2026'!Z107="POR RECOGER"),IF('SETIEMBRE 2026'!Y107&lt;&gt;"",'SETIEMBRE 2026'!Y107,'SETIEMBRE 2026'!I107),"")</f>
        <v/>
      </c>
      <c r="C943" s="192" t="str">
        <f aca="false">IF(AND('SETIEMBRE 2026'!D107&lt;&gt;"",'SETIEMBRE 2026'!Z107="POR RECOGER"),'SETIEMBRE 2026'!D107,"")</f>
        <v/>
      </c>
      <c r="D943" s="192" t="str">
        <f aca="false">IF(AND('SETIEMBRE 2026'!D107&lt;&gt;"",'SETIEMBRE 2026'!Z107="POR RECOGER"),'SETIEMBRE 2026'!F107,"")</f>
        <v/>
      </c>
      <c r="E943" s="192" t="str">
        <f aca="false">IF(AND('SETIEMBRE 2026'!D107&lt;&gt;"",'SETIEMBRE 2026'!Z107="POR RECOGER"),TEXT('SETIEMBRE 2026'!G107,"DD/MM/YYYY"),"")</f>
        <v/>
      </c>
      <c r="F943" s="192" t="str">
        <f aca="false">IF(AND('SETIEMBRE 2026'!D107&lt;&gt;"",'SETIEMBRE 2026'!Z107="POR RECOGER"),'SETIEMBRE 2026'!K107,"")</f>
        <v/>
      </c>
      <c r="G943" s="193" t="str">
        <f aca="false">IF(AND('SETIEMBRE 2026'!D107&lt;&gt;"",'SETIEMBRE 2026'!Z107="POR RECOGER"),'SETIEMBRE 2026'!M107,"")</f>
        <v/>
      </c>
      <c r="H943" s="193" t="str">
        <f aca="false">IF(AND('SETIEMBRE 2026'!D107&lt;&gt;"",'SETIEMBRE 2026'!Z107="POR RECOGER"),'SETIEMBRE 2026'!N107,"")</f>
        <v/>
      </c>
      <c r="I943" s="192" t="str">
        <f aca="false">IF(AND('SETIEMBRE 2026'!D107&lt;&gt;"",'SETIEMBRE 2026'!Z107="POR RECOGER"),'SETIEMBRE 2026'!P107,"")</f>
        <v/>
      </c>
      <c r="J943" s="192" t="str">
        <f aca="false">IF(AND('SETIEMBRE 2026'!D107&lt;&gt;"",'SETIEMBRE 2026'!Z107="POR RECOGER"),'SETIEMBRE 2026'!Q107,"")</f>
        <v/>
      </c>
      <c r="K943" s="192" t="str">
        <f aca="false">IF(AND('SETIEMBRE 2026'!D107&lt;&gt;"",'SETIEMBRE 2026'!Z107="POR RECOGER"),'SETIEMBRE 2026'!Y107,"")</f>
        <v/>
      </c>
      <c r="L943" s="192" t="str">
        <f aca="false">IF(AND('SETIEMBRE 2026'!D107&lt;&gt;"",'SETIEMBRE 2026'!Z107="POR RECOGER"),'SETIEMBRE 2026'!I107,"")</f>
        <v/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" hidden="false" customHeight="true" outlineLevel="0" collapsed="false">
      <c r="A944" s="192" t="str">
        <f aca="false">IF(AND('SETIEMBRE 2026'!D108&lt;&gt;"",'SETIEMBRE 2026'!Z108="POR RECOGER"),"SET","")</f>
        <v/>
      </c>
      <c r="B944" s="192" t="str">
        <f aca="false">IF(AND('SETIEMBRE 2026'!D108&lt;&gt;"",'SETIEMBRE 2026'!Z108="POR RECOGER"),IF('SETIEMBRE 2026'!Y108&lt;&gt;"",'SETIEMBRE 2026'!Y108,'SETIEMBRE 2026'!I108),"")</f>
        <v/>
      </c>
      <c r="C944" s="192" t="str">
        <f aca="false">IF(AND('SETIEMBRE 2026'!D108&lt;&gt;"",'SETIEMBRE 2026'!Z108="POR RECOGER"),'SETIEMBRE 2026'!D108,"")</f>
        <v/>
      </c>
      <c r="D944" s="192" t="str">
        <f aca="false">IF(AND('SETIEMBRE 2026'!D108&lt;&gt;"",'SETIEMBRE 2026'!Z108="POR RECOGER"),'SETIEMBRE 2026'!F108,"")</f>
        <v/>
      </c>
      <c r="E944" s="192" t="str">
        <f aca="false">IF(AND('SETIEMBRE 2026'!D108&lt;&gt;"",'SETIEMBRE 2026'!Z108="POR RECOGER"),TEXT('SETIEMBRE 2026'!G108,"DD/MM/YYYY"),"")</f>
        <v/>
      </c>
      <c r="F944" s="192" t="str">
        <f aca="false">IF(AND('SETIEMBRE 2026'!D108&lt;&gt;"",'SETIEMBRE 2026'!Z108="POR RECOGER"),'SETIEMBRE 2026'!K108,"")</f>
        <v/>
      </c>
      <c r="G944" s="193" t="str">
        <f aca="false">IF(AND('SETIEMBRE 2026'!D108&lt;&gt;"",'SETIEMBRE 2026'!Z108="POR RECOGER"),'SETIEMBRE 2026'!M108,"")</f>
        <v/>
      </c>
      <c r="H944" s="193" t="str">
        <f aca="false">IF(AND('SETIEMBRE 2026'!D108&lt;&gt;"",'SETIEMBRE 2026'!Z108="POR RECOGER"),'SETIEMBRE 2026'!N108,"")</f>
        <v/>
      </c>
      <c r="I944" s="192" t="str">
        <f aca="false">IF(AND('SETIEMBRE 2026'!D108&lt;&gt;"",'SETIEMBRE 2026'!Z108="POR RECOGER"),'SETIEMBRE 2026'!P108,"")</f>
        <v/>
      </c>
      <c r="J944" s="192" t="str">
        <f aca="false">IF(AND('SETIEMBRE 2026'!D108&lt;&gt;"",'SETIEMBRE 2026'!Z108="POR RECOGER"),'SETIEMBRE 2026'!Q108,"")</f>
        <v/>
      </c>
      <c r="K944" s="192" t="str">
        <f aca="false">IF(AND('SETIEMBRE 2026'!D108&lt;&gt;"",'SETIEMBRE 2026'!Z108="POR RECOGER"),'SETIEMBRE 2026'!Y108,"")</f>
        <v/>
      </c>
      <c r="L944" s="192" t="str">
        <f aca="false">IF(AND('SETIEMBRE 2026'!D108&lt;&gt;"",'SETIEMBRE 2026'!Z108="POR RECOGER"),'SETIEMBRE 2026'!I108,"")</f>
        <v/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" hidden="false" customHeight="true" outlineLevel="0" collapsed="false">
      <c r="A945" s="192" t="str">
        <f aca="false">IF(AND('SETIEMBRE 2026'!D109&lt;&gt;"",'SETIEMBRE 2026'!Z109="POR RECOGER"),"SET","")</f>
        <v/>
      </c>
      <c r="B945" s="192" t="str">
        <f aca="false">IF(AND('SETIEMBRE 2026'!D109&lt;&gt;"",'SETIEMBRE 2026'!Z109="POR RECOGER"),IF('SETIEMBRE 2026'!Y109&lt;&gt;"",'SETIEMBRE 2026'!Y109,'SETIEMBRE 2026'!I109),"")</f>
        <v/>
      </c>
      <c r="C945" s="192" t="str">
        <f aca="false">IF(AND('SETIEMBRE 2026'!D109&lt;&gt;"",'SETIEMBRE 2026'!Z109="POR RECOGER"),'SETIEMBRE 2026'!D109,"")</f>
        <v/>
      </c>
      <c r="D945" s="192" t="str">
        <f aca="false">IF(AND('SETIEMBRE 2026'!D109&lt;&gt;"",'SETIEMBRE 2026'!Z109="POR RECOGER"),'SETIEMBRE 2026'!F109,"")</f>
        <v/>
      </c>
      <c r="E945" s="192" t="str">
        <f aca="false">IF(AND('SETIEMBRE 2026'!D109&lt;&gt;"",'SETIEMBRE 2026'!Z109="POR RECOGER"),TEXT('SETIEMBRE 2026'!G109,"DD/MM/YYYY"),"")</f>
        <v/>
      </c>
      <c r="F945" s="192" t="str">
        <f aca="false">IF(AND('SETIEMBRE 2026'!D109&lt;&gt;"",'SETIEMBRE 2026'!Z109="POR RECOGER"),'SETIEMBRE 2026'!K109,"")</f>
        <v/>
      </c>
      <c r="G945" s="193" t="str">
        <f aca="false">IF(AND('SETIEMBRE 2026'!D109&lt;&gt;"",'SETIEMBRE 2026'!Z109="POR RECOGER"),'SETIEMBRE 2026'!M109,"")</f>
        <v/>
      </c>
      <c r="H945" s="193" t="str">
        <f aca="false">IF(AND('SETIEMBRE 2026'!D109&lt;&gt;"",'SETIEMBRE 2026'!Z109="POR RECOGER"),'SETIEMBRE 2026'!N109,"")</f>
        <v/>
      </c>
      <c r="I945" s="192" t="str">
        <f aca="false">IF(AND('SETIEMBRE 2026'!D109&lt;&gt;"",'SETIEMBRE 2026'!Z109="POR RECOGER"),'SETIEMBRE 2026'!P109,"")</f>
        <v/>
      </c>
      <c r="J945" s="192" t="str">
        <f aca="false">IF(AND('SETIEMBRE 2026'!D109&lt;&gt;"",'SETIEMBRE 2026'!Z109="POR RECOGER"),'SETIEMBRE 2026'!Q109,"")</f>
        <v/>
      </c>
      <c r="K945" s="192" t="str">
        <f aca="false">IF(AND('SETIEMBRE 2026'!D109&lt;&gt;"",'SETIEMBRE 2026'!Z109="POR RECOGER"),'SETIEMBRE 2026'!Y109,"")</f>
        <v/>
      </c>
      <c r="L945" s="192" t="str">
        <f aca="false">IF(AND('SETIEMBRE 2026'!D109&lt;&gt;"",'SETIEMBRE 2026'!Z109="POR RECOGER"),'SETIEMBRE 2026'!I109,"")</f>
        <v/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" hidden="false" customHeight="true" outlineLevel="0" collapsed="false">
      <c r="A946" s="192" t="str">
        <f aca="false">IF(AND('SETIEMBRE 2026'!D110&lt;&gt;"",'SETIEMBRE 2026'!Z110="POR RECOGER"),"SET","")</f>
        <v/>
      </c>
      <c r="B946" s="192" t="str">
        <f aca="false">IF(AND('SETIEMBRE 2026'!D110&lt;&gt;"",'SETIEMBRE 2026'!Z110="POR RECOGER"),IF('SETIEMBRE 2026'!Y110&lt;&gt;"",'SETIEMBRE 2026'!Y110,'SETIEMBRE 2026'!I110),"")</f>
        <v/>
      </c>
      <c r="C946" s="192" t="str">
        <f aca="false">IF(AND('SETIEMBRE 2026'!D110&lt;&gt;"",'SETIEMBRE 2026'!Z110="POR RECOGER"),'SETIEMBRE 2026'!D110,"")</f>
        <v/>
      </c>
      <c r="D946" s="192" t="str">
        <f aca="false">IF(AND('SETIEMBRE 2026'!D110&lt;&gt;"",'SETIEMBRE 2026'!Z110="POR RECOGER"),'SETIEMBRE 2026'!F110,"")</f>
        <v/>
      </c>
      <c r="E946" s="192" t="str">
        <f aca="false">IF(AND('SETIEMBRE 2026'!D110&lt;&gt;"",'SETIEMBRE 2026'!Z110="POR RECOGER"),TEXT('SETIEMBRE 2026'!G110,"DD/MM/YYYY"),"")</f>
        <v/>
      </c>
      <c r="F946" s="192" t="str">
        <f aca="false">IF(AND('SETIEMBRE 2026'!D110&lt;&gt;"",'SETIEMBRE 2026'!Z110="POR RECOGER"),'SETIEMBRE 2026'!K110,"")</f>
        <v/>
      </c>
      <c r="G946" s="193" t="str">
        <f aca="false">IF(AND('SETIEMBRE 2026'!D110&lt;&gt;"",'SETIEMBRE 2026'!Z110="POR RECOGER"),'SETIEMBRE 2026'!M110,"")</f>
        <v/>
      </c>
      <c r="H946" s="193" t="str">
        <f aca="false">IF(AND('SETIEMBRE 2026'!D110&lt;&gt;"",'SETIEMBRE 2026'!Z110="POR RECOGER"),'SETIEMBRE 2026'!N110,"")</f>
        <v/>
      </c>
      <c r="I946" s="192" t="str">
        <f aca="false">IF(AND('SETIEMBRE 2026'!D110&lt;&gt;"",'SETIEMBRE 2026'!Z110="POR RECOGER"),'SETIEMBRE 2026'!P110,"")</f>
        <v/>
      </c>
      <c r="J946" s="192" t="str">
        <f aca="false">IF(AND('SETIEMBRE 2026'!D110&lt;&gt;"",'SETIEMBRE 2026'!Z110="POR RECOGER"),'SETIEMBRE 2026'!Q110,"")</f>
        <v/>
      </c>
      <c r="K946" s="192" t="str">
        <f aca="false">IF(AND('SETIEMBRE 2026'!D110&lt;&gt;"",'SETIEMBRE 2026'!Z110="POR RECOGER"),'SETIEMBRE 2026'!Y110,"")</f>
        <v/>
      </c>
      <c r="L946" s="192" t="str">
        <f aca="false">IF(AND('SETIEMBRE 2026'!D110&lt;&gt;"",'SETIEMBRE 2026'!Z110="POR RECOGER"),'SETIEMBRE 2026'!I110,"")</f>
        <v/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" hidden="false" customHeight="true" outlineLevel="0" collapsed="false">
      <c r="A947" s="192" t="str">
        <f aca="false">IF(AND('OCTUBRE 2026'!D6&lt;&gt;"",'OCTUBRE 2026'!Z6="POR RECOGER"),"OCT","")</f>
        <v/>
      </c>
      <c r="B947" s="192" t="str">
        <f aca="false">IF(AND('OCTUBRE 2026'!D6&lt;&gt;"",'OCTUBRE 2026'!Z6="POR RECOGER"),IF('OCTUBRE 2026'!Y6&lt;&gt;"",'OCTUBRE 2026'!Y6,'OCTUBRE 2026'!I6),"")</f>
        <v/>
      </c>
      <c r="C947" s="192" t="str">
        <f aca="false">IF(AND('OCTUBRE 2026'!D6&lt;&gt;"",'OCTUBRE 2026'!Z6="POR RECOGER"),'OCTUBRE 2026'!D6,"")</f>
        <v/>
      </c>
      <c r="D947" s="192" t="str">
        <f aca="false">IF(AND('OCTUBRE 2026'!D6&lt;&gt;"",'OCTUBRE 2026'!Z6="POR RECOGER"),'OCTUBRE 2026'!F6,"")</f>
        <v/>
      </c>
      <c r="E947" s="192" t="str">
        <f aca="false">IF(AND('OCTUBRE 2026'!D6&lt;&gt;"",'OCTUBRE 2026'!Z6="POR RECOGER"),TEXT('OCTUBRE 2026'!G6,"DD/MM/YYYY"),"")</f>
        <v/>
      </c>
      <c r="F947" s="192" t="str">
        <f aca="false">IF(AND('OCTUBRE 2026'!D6&lt;&gt;"",'OCTUBRE 2026'!Z6="POR RECOGER"),'OCTUBRE 2026'!K6,"")</f>
        <v/>
      </c>
      <c r="G947" s="193" t="str">
        <f aca="false">IF(AND('OCTUBRE 2026'!D6&lt;&gt;"",'OCTUBRE 2026'!Z6="POR RECOGER"),'OCTUBRE 2026'!M6,"")</f>
        <v/>
      </c>
      <c r="H947" s="193" t="str">
        <f aca="false">IF(AND('OCTUBRE 2026'!D6&lt;&gt;"",'OCTUBRE 2026'!Z6="POR RECOGER"),'OCTUBRE 2026'!N6,"")</f>
        <v/>
      </c>
      <c r="I947" s="192" t="str">
        <f aca="false">IF(AND('OCTUBRE 2026'!D6&lt;&gt;"",'OCTUBRE 2026'!Z6="POR RECOGER"),'OCTUBRE 2026'!P6,"")</f>
        <v/>
      </c>
      <c r="J947" s="192" t="str">
        <f aca="false">IF(AND('OCTUBRE 2026'!D6&lt;&gt;"",'OCTUBRE 2026'!Z6="POR RECOGER"),'OCTUBRE 2026'!Q6,"")</f>
        <v/>
      </c>
      <c r="K947" s="192" t="str">
        <f aca="false">IF(AND('OCTUBRE 2026'!D6&lt;&gt;"",'OCTUBRE 2026'!Z6="POR RECOGER"),'OCTUBRE 2026'!Y6,"")</f>
        <v/>
      </c>
      <c r="L947" s="192" t="str">
        <f aca="false">IF(AND('OCTUBRE 2026'!D6&lt;&gt;"",'OCTUBRE 2026'!Z6="POR RECOGER"),'OCTUBRE 2026'!I6,"")</f>
        <v/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" hidden="false" customHeight="true" outlineLevel="0" collapsed="false">
      <c r="A948" s="192" t="str">
        <f aca="false">IF(AND('OCTUBRE 2026'!D7&lt;&gt;"",'OCTUBRE 2026'!Z7="POR RECOGER"),"OCT","")</f>
        <v/>
      </c>
      <c r="B948" s="192" t="str">
        <f aca="false">IF(AND('OCTUBRE 2026'!D7&lt;&gt;"",'OCTUBRE 2026'!Z7="POR RECOGER"),IF('OCTUBRE 2026'!Y7&lt;&gt;"",'OCTUBRE 2026'!Y7,'OCTUBRE 2026'!I7),"")</f>
        <v/>
      </c>
      <c r="C948" s="192" t="str">
        <f aca="false">IF(AND('OCTUBRE 2026'!D7&lt;&gt;"",'OCTUBRE 2026'!Z7="POR RECOGER"),'OCTUBRE 2026'!D7,"")</f>
        <v/>
      </c>
      <c r="D948" s="192" t="str">
        <f aca="false">IF(AND('OCTUBRE 2026'!D7&lt;&gt;"",'OCTUBRE 2026'!Z7="POR RECOGER"),'OCTUBRE 2026'!F7,"")</f>
        <v/>
      </c>
      <c r="E948" s="192" t="str">
        <f aca="false">IF(AND('OCTUBRE 2026'!D7&lt;&gt;"",'OCTUBRE 2026'!Z7="POR RECOGER"),TEXT('OCTUBRE 2026'!G7,"DD/MM/YYYY"),"")</f>
        <v/>
      </c>
      <c r="F948" s="192" t="str">
        <f aca="false">IF(AND('OCTUBRE 2026'!D7&lt;&gt;"",'OCTUBRE 2026'!Z7="POR RECOGER"),'OCTUBRE 2026'!K7,"")</f>
        <v/>
      </c>
      <c r="G948" s="193" t="str">
        <f aca="false">IF(AND('OCTUBRE 2026'!D7&lt;&gt;"",'OCTUBRE 2026'!Z7="POR RECOGER"),'OCTUBRE 2026'!M7,"")</f>
        <v/>
      </c>
      <c r="H948" s="193" t="str">
        <f aca="false">IF(AND('OCTUBRE 2026'!D7&lt;&gt;"",'OCTUBRE 2026'!Z7="POR RECOGER"),'OCTUBRE 2026'!N7,"")</f>
        <v/>
      </c>
      <c r="I948" s="192" t="str">
        <f aca="false">IF(AND('OCTUBRE 2026'!D7&lt;&gt;"",'OCTUBRE 2026'!Z7="POR RECOGER"),'OCTUBRE 2026'!P7,"")</f>
        <v/>
      </c>
      <c r="J948" s="192" t="str">
        <f aca="false">IF(AND('OCTUBRE 2026'!D7&lt;&gt;"",'OCTUBRE 2026'!Z7="POR RECOGER"),'OCTUBRE 2026'!Q7,"")</f>
        <v/>
      </c>
      <c r="K948" s="192" t="str">
        <f aca="false">IF(AND('OCTUBRE 2026'!D7&lt;&gt;"",'OCTUBRE 2026'!Z7="POR RECOGER"),'OCTUBRE 2026'!Y7,"")</f>
        <v/>
      </c>
      <c r="L948" s="192" t="str">
        <f aca="false">IF(AND('OCTUBRE 2026'!D7&lt;&gt;"",'OCTUBRE 2026'!Z7="POR RECOGER"),'OCTUBRE 2026'!I7,"")</f>
        <v/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" hidden="false" customHeight="true" outlineLevel="0" collapsed="false">
      <c r="A949" s="192" t="str">
        <f aca="false">IF(AND('OCTUBRE 2026'!D8&lt;&gt;"",'OCTUBRE 2026'!Z8="POR RECOGER"),"OCT","")</f>
        <v/>
      </c>
      <c r="B949" s="192" t="str">
        <f aca="false">IF(AND('OCTUBRE 2026'!D8&lt;&gt;"",'OCTUBRE 2026'!Z8="POR RECOGER"),IF('OCTUBRE 2026'!Y8&lt;&gt;"",'OCTUBRE 2026'!Y8,'OCTUBRE 2026'!I8),"")</f>
        <v/>
      </c>
      <c r="C949" s="192" t="str">
        <f aca="false">IF(AND('OCTUBRE 2026'!D8&lt;&gt;"",'OCTUBRE 2026'!Z8="POR RECOGER"),'OCTUBRE 2026'!D8,"")</f>
        <v/>
      </c>
      <c r="D949" s="192" t="str">
        <f aca="false">IF(AND('OCTUBRE 2026'!D8&lt;&gt;"",'OCTUBRE 2026'!Z8="POR RECOGER"),'OCTUBRE 2026'!F8,"")</f>
        <v/>
      </c>
      <c r="E949" s="192" t="str">
        <f aca="false">IF(AND('OCTUBRE 2026'!D8&lt;&gt;"",'OCTUBRE 2026'!Z8="POR RECOGER"),TEXT('OCTUBRE 2026'!G8,"DD/MM/YYYY"),"")</f>
        <v/>
      </c>
      <c r="F949" s="192" t="str">
        <f aca="false">IF(AND('OCTUBRE 2026'!D8&lt;&gt;"",'OCTUBRE 2026'!Z8="POR RECOGER"),'OCTUBRE 2026'!K8,"")</f>
        <v/>
      </c>
      <c r="G949" s="193" t="str">
        <f aca="false">IF(AND('OCTUBRE 2026'!D8&lt;&gt;"",'OCTUBRE 2026'!Z8="POR RECOGER"),'OCTUBRE 2026'!M8,"")</f>
        <v/>
      </c>
      <c r="H949" s="193" t="str">
        <f aca="false">IF(AND('OCTUBRE 2026'!D8&lt;&gt;"",'OCTUBRE 2026'!Z8="POR RECOGER"),'OCTUBRE 2026'!N8,"")</f>
        <v/>
      </c>
      <c r="I949" s="192" t="str">
        <f aca="false">IF(AND('OCTUBRE 2026'!D8&lt;&gt;"",'OCTUBRE 2026'!Z8="POR RECOGER"),'OCTUBRE 2026'!P8,"")</f>
        <v/>
      </c>
      <c r="J949" s="192" t="str">
        <f aca="false">IF(AND('OCTUBRE 2026'!D8&lt;&gt;"",'OCTUBRE 2026'!Z8="POR RECOGER"),'OCTUBRE 2026'!Q8,"")</f>
        <v/>
      </c>
      <c r="K949" s="192" t="str">
        <f aca="false">IF(AND('OCTUBRE 2026'!D8&lt;&gt;"",'OCTUBRE 2026'!Z8="POR RECOGER"),'OCTUBRE 2026'!Y8,"")</f>
        <v/>
      </c>
      <c r="L949" s="192" t="str">
        <f aca="false">IF(AND('OCTUBRE 2026'!D8&lt;&gt;"",'OCTUBRE 2026'!Z8="POR RECOGER"),'OCTUBRE 2026'!I8,"")</f>
        <v/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" hidden="false" customHeight="true" outlineLevel="0" collapsed="false">
      <c r="A950" s="192" t="str">
        <f aca="false">IF(AND('OCTUBRE 2026'!D9&lt;&gt;"",'OCTUBRE 2026'!Z9="POR RECOGER"),"OCT","")</f>
        <v/>
      </c>
      <c r="B950" s="192" t="str">
        <f aca="false">IF(AND('OCTUBRE 2026'!D9&lt;&gt;"",'OCTUBRE 2026'!Z9="POR RECOGER"),IF('OCTUBRE 2026'!Y9&lt;&gt;"",'OCTUBRE 2026'!Y9,'OCTUBRE 2026'!I9),"")</f>
        <v/>
      </c>
      <c r="C950" s="192" t="str">
        <f aca="false">IF(AND('OCTUBRE 2026'!D9&lt;&gt;"",'OCTUBRE 2026'!Z9="POR RECOGER"),'OCTUBRE 2026'!D9,"")</f>
        <v/>
      </c>
      <c r="D950" s="192" t="str">
        <f aca="false">IF(AND('OCTUBRE 2026'!D9&lt;&gt;"",'OCTUBRE 2026'!Z9="POR RECOGER"),'OCTUBRE 2026'!F9,"")</f>
        <v/>
      </c>
      <c r="E950" s="192" t="str">
        <f aca="false">IF(AND('OCTUBRE 2026'!D9&lt;&gt;"",'OCTUBRE 2026'!Z9="POR RECOGER"),TEXT('OCTUBRE 2026'!G9,"DD/MM/YYYY"),"")</f>
        <v/>
      </c>
      <c r="F950" s="192" t="str">
        <f aca="false">IF(AND('OCTUBRE 2026'!D9&lt;&gt;"",'OCTUBRE 2026'!Z9="POR RECOGER"),'OCTUBRE 2026'!K9,"")</f>
        <v/>
      </c>
      <c r="G950" s="193" t="str">
        <f aca="false">IF(AND('OCTUBRE 2026'!D9&lt;&gt;"",'OCTUBRE 2026'!Z9="POR RECOGER"),'OCTUBRE 2026'!M9,"")</f>
        <v/>
      </c>
      <c r="H950" s="193" t="str">
        <f aca="false">IF(AND('OCTUBRE 2026'!D9&lt;&gt;"",'OCTUBRE 2026'!Z9="POR RECOGER"),'OCTUBRE 2026'!N9,"")</f>
        <v/>
      </c>
      <c r="I950" s="192" t="str">
        <f aca="false">IF(AND('OCTUBRE 2026'!D9&lt;&gt;"",'OCTUBRE 2026'!Z9="POR RECOGER"),'OCTUBRE 2026'!P9,"")</f>
        <v/>
      </c>
      <c r="J950" s="192" t="str">
        <f aca="false">IF(AND('OCTUBRE 2026'!D9&lt;&gt;"",'OCTUBRE 2026'!Z9="POR RECOGER"),'OCTUBRE 2026'!Q9,"")</f>
        <v/>
      </c>
      <c r="K950" s="192" t="str">
        <f aca="false">IF(AND('OCTUBRE 2026'!D9&lt;&gt;"",'OCTUBRE 2026'!Z9="POR RECOGER"),'OCTUBRE 2026'!Y9,"")</f>
        <v/>
      </c>
      <c r="L950" s="192" t="str">
        <f aca="false">IF(AND('OCTUBRE 2026'!D9&lt;&gt;"",'OCTUBRE 2026'!Z9="POR RECOGER"),'OCTUBRE 2026'!I9,"")</f>
        <v/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" hidden="false" customHeight="true" outlineLevel="0" collapsed="false">
      <c r="A951" s="192" t="str">
        <f aca="false">IF(AND('OCTUBRE 2026'!D10&lt;&gt;"",'OCTUBRE 2026'!Z10="POR RECOGER"),"OCT","")</f>
        <v/>
      </c>
      <c r="B951" s="192" t="str">
        <f aca="false">IF(AND('OCTUBRE 2026'!D10&lt;&gt;"",'OCTUBRE 2026'!Z10="POR RECOGER"),IF('OCTUBRE 2026'!Y10&lt;&gt;"",'OCTUBRE 2026'!Y10,'OCTUBRE 2026'!I10),"")</f>
        <v/>
      </c>
      <c r="C951" s="192" t="str">
        <f aca="false">IF(AND('OCTUBRE 2026'!D10&lt;&gt;"",'OCTUBRE 2026'!Z10="POR RECOGER"),'OCTUBRE 2026'!D10,"")</f>
        <v/>
      </c>
      <c r="D951" s="192" t="str">
        <f aca="false">IF(AND('OCTUBRE 2026'!D10&lt;&gt;"",'OCTUBRE 2026'!Z10="POR RECOGER"),'OCTUBRE 2026'!F10,"")</f>
        <v/>
      </c>
      <c r="E951" s="192" t="str">
        <f aca="false">IF(AND('OCTUBRE 2026'!D10&lt;&gt;"",'OCTUBRE 2026'!Z10="POR RECOGER"),TEXT('OCTUBRE 2026'!G10,"DD/MM/YYYY"),"")</f>
        <v/>
      </c>
      <c r="F951" s="192" t="str">
        <f aca="false">IF(AND('OCTUBRE 2026'!D10&lt;&gt;"",'OCTUBRE 2026'!Z10="POR RECOGER"),'OCTUBRE 2026'!K10,"")</f>
        <v/>
      </c>
      <c r="G951" s="193" t="str">
        <f aca="false">IF(AND('OCTUBRE 2026'!D10&lt;&gt;"",'OCTUBRE 2026'!Z10="POR RECOGER"),'OCTUBRE 2026'!M10,"")</f>
        <v/>
      </c>
      <c r="H951" s="193" t="str">
        <f aca="false">IF(AND('OCTUBRE 2026'!D10&lt;&gt;"",'OCTUBRE 2026'!Z10="POR RECOGER"),'OCTUBRE 2026'!N10,"")</f>
        <v/>
      </c>
      <c r="I951" s="192" t="str">
        <f aca="false">IF(AND('OCTUBRE 2026'!D10&lt;&gt;"",'OCTUBRE 2026'!Z10="POR RECOGER"),'OCTUBRE 2026'!P10,"")</f>
        <v/>
      </c>
      <c r="J951" s="192" t="str">
        <f aca="false">IF(AND('OCTUBRE 2026'!D10&lt;&gt;"",'OCTUBRE 2026'!Z10="POR RECOGER"),'OCTUBRE 2026'!Q10,"")</f>
        <v/>
      </c>
      <c r="K951" s="192" t="str">
        <f aca="false">IF(AND('OCTUBRE 2026'!D10&lt;&gt;"",'OCTUBRE 2026'!Z10="POR RECOGER"),'OCTUBRE 2026'!Y10,"")</f>
        <v/>
      </c>
      <c r="L951" s="192" t="str">
        <f aca="false">IF(AND('OCTUBRE 2026'!D10&lt;&gt;"",'OCTUBRE 2026'!Z10="POR RECOGER"),'OCTUBRE 2026'!I10,"")</f>
        <v/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" hidden="false" customHeight="true" outlineLevel="0" collapsed="false">
      <c r="A952" s="192" t="str">
        <f aca="false">IF(AND('OCTUBRE 2026'!D11&lt;&gt;"",'OCTUBRE 2026'!Z11="POR RECOGER"),"OCT","")</f>
        <v/>
      </c>
      <c r="B952" s="192" t="str">
        <f aca="false">IF(AND('OCTUBRE 2026'!D11&lt;&gt;"",'OCTUBRE 2026'!Z11="POR RECOGER"),IF('OCTUBRE 2026'!Y11&lt;&gt;"",'OCTUBRE 2026'!Y11,'OCTUBRE 2026'!I11),"")</f>
        <v/>
      </c>
      <c r="C952" s="192" t="str">
        <f aca="false">IF(AND('OCTUBRE 2026'!D11&lt;&gt;"",'OCTUBRE 2026'!Z11="POR RECOGER"),'OCTUBRE 2026'!D11,"")</f>
        <v/>
      </c>
      <c r="D952" s="192" t="str">
        <f aca="false">IF(AND('OCTUBRE 2026'!D11&lt;&gt;"",'OCTUBRE 2026'!Z11="POR RECOGER"),'OCTUBRE 2026'!F11,"")</f>
        <v/>
      </c>
      <c r="E952" s="192" t="str">
        <f aca="false">IF(AND('OCTUBRE 2026'!D11&lt;&gt;"",'OCTUBRE 2026'!Z11="POR RECOGER"),TEXT('OCTUBRE 2026'!G11,"DD/MM/YYYY"),"")</f>
        <v/>
      </c>
      <c r="F952" s="192" t="str">
        <f aca="false">IF(AND('OCTUBRE 2026'!D11&lt;&gt;"",'OCTUBRE 2026'!Z11="POR RECOGER"),'OCTUBRE 2026'!K11,"")</f>
        <v/>
      </c>
      <c r="G952" s="193" t="str">
        <f aca="false">IF(AND('OCTUBRE 2026'!D11&lt;&gt;"",'OCTUBRE 2026'!Z11="POR RECOGER"),'OCTUBRE 2026'!M11,"")</f>
        <v/>
      </c>
      <c r="H952" s="193" t="str">
        <f aca="false">IF(AND('OCTUBRE 2026'!D11&lt;&gt;"",'OCTUBRE 2026'!Z11="POR RECOGER"),'OCTUBRE 2026'!N11,"")</f>
        <v/>
      </c>
      <c r="I952" s="192" t="str">
        <f aca="false">IF(AND('OCTUBRE 2026'!D11&lt;&gt;"",'OCTUBRE 2026'!Z11="POR RECOGER"),'OCTUBRE 2026'!P11,"")</f>
        <v/>
      </c>
      <c r="J952" s="192" t="str">
        <f aca="false">IF(AND('OCTUBRE 2026'!D11&lt;&gt;"",'OCTUBRE 2026'!Z11="POR RECOGER"),'OCTUBRE 2026'!Q11,"")</f>
        <v/>
      </c>
      <c r="K952" s="192" t="str">
        <f aca="false">IF(AND('OCTUBRE 2026'!D11&lt;&gt;"",'OCTUBRE 2026'!Z11="POR RECOGER"),'OCTUBRE 2026'!Y11,"")</f>
        <v/>
      </c>
      <c r="L952" s="192" t="str">
        <f aca="false">IF(AND('OCTUBRE 2026'!D11&lt;&gt;"",'OCTUBRE 2026'!Z11="POR RECOGER"),'OCTUBRE 2026'!I11,"")</f>
        <v/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" hidden="false" customHeight="true" outlineLevel="0" collapsed="false">
      <c r="A953" s="192" t="str">
        <f aca="false">IF(AND('OCTUBRE 2026'!D12&lt;&gt;"",'OCTUBRE 2026'!Z12="POR RECOGER"),"OCT","")</f>
        <v/>
      </c>
      <c r="B953" s="192" t="str">
        <f aca="false">IF(AND('OCTUBRE 2026'!D12&lt;&gt;"",'OCTUBRE 2026'!Z12="POR RECOGER"),IF('OCTUBRE 2026'!Y12&lt;&gt;"",'OCTUBRE 2026'!Y12,'OCTUBRE 2026'!I12),"")</f>
        <v/>
      </c>
      <c r="C953" s="192" t="str">
        <f aca="false">IF(AND('OCTUBRE 2026'!D12&lt;&gt;"",'OCTUBRE 2026'!Z12="POR RECOGER"),'OCTUBRE 2026'!D12,"")</f>
        <v/>
      </c>
      <c r="D953" s="192" t="str">
        <f aca="false">IF(AND('OCTUBRE 2026'!D12&lt;&gt;"",'OCTUBRE 2026'!Z12="POR RECOGER"),'OCTUBRE 2026'!F12,"")</f>
        <v/>
      </c>
      <c r="E953" s="192" t="str">
        <f aca="false">IF(AND('OCTUBRE 2026'!D12&lt;&gt;"",'OCTUBRE 2026'!Z12="POR RECOGER"),TEXT('OCTUBRE 2026'!G12,"DD/MM/YYYY"),"")</f>
        <v/>
      </c>
      <c r="F953" s="192" t="str">
        <f aca="false">IF(AND('OCTUBRE 2026'!D12&lt;&gt;"",'OCTUBRE 2026'!Z12="POR RECOGER"),'OCTUBRE 2026'!K12,"")</f>
        <v/>
      </c>
      <c r="G953" s="193" t="str">
        <f aca="false">IF(AND('OCTUBRE 2026'!D12&lt;&gt;"",'OCTUBRE 2026'!Z12="POR RECOGER"),'OCTUBRE 2026'!M12,"")</f>
        <v/>
      </c>
      <c r="H953" s="193" t="str">
        <f aca="false">IF(AND('OCTUBRE 2026'!D12&lt;&gt;"",'OCTUBRE 2026'!Z12="POR RECOGER"),'OCTUBRE 2026'!N12,"")</f>
        <v/>
      </c>
      <c r="I953" s="192" t="str">
        <f aca="false">IF(AND('OCTUBRE 2026'!D12&lt;&gt;"",'OCTUBRE 2026'!Z12="POR RECOGER"),'OCTUBRE 2026'!P12,"")</f>
        <v/>
      </c>
      <c r="J953" s="192" t="str">
        <f aca="false">IF(AND('OCTUBRE 2026'!D12&lt;&gt;"",'OCTUBRE 2026'!Z12="POR RECOGER"),'OCTUBRE 2026'!Q12,"")</f>
        <v/>
      </c>
      <c r="K953" s="192" t="str">
        <f aca="false">IF(AND('OCTUBRE 2026'!D12&lt;&gt;"",'OCTUBRE 2026'!Z12="POR RECOGER"),'OCTUBRE 2026'!Y12,"")</f>
        <v/>
      </c>
      <c r="L953" s="192" t="str">
        <f aca="false">IF(AND('OCTUBRE 2026'!D12&lt;&gt;"",'OCTUBRE 2026'!Z12="POR RECOGER"),'OCTUBRE 2026'!I12,"")</f>
        <v/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" hidden="false" customHeight="true" outlineLevel="0" collapsed="false">
      <c r="A954" s="192" t="str">
        <f aca="false">IF(AND('OCTUBRE 2026'!D13&lt;&gt;"",'OCTUBRE 2026'!Z13="POR RECOGER"),"OCT","")</f>
        <v/>
      </c>
      <c r="B954" s="192" t="str">
        <f aca="false">IF(AND('OCTUBRE 2026'!D13&lt;&gt;"",'OCTUBRE 2026'!Z13="POR RECOGER"),IF('OCTUBRE 2026'!Y13&lt;&gt;"",'OCTUBRE 2026'!Y13,'OCTUBRE 2026'!I13),"")</f>
        <v/>
      </c>
      <c r="C954" s="192" t="str">
        <f aca="false">IF(AND('OCTUBRE 2026'!D13&lt;&gt;"",'OCTUBRE 2026'!Z13="POR RECOGER"),'OCTUBRE 2026'!D13,"")</f>
        <v/>
      </c>
      <c r="D954" s="192" t="str">
        <f aca="false">IF(AND('OCTUBRE 2026'!D13&lt;&gt;"",'OCTUBRE 2026'!Z13="POR RECOGER"),'OCTUBRE 2026'!F13,"")</f>
        <v/>
      </c>
      <c r="E954" s="192" t="str">
        <f aca="false">IF(AND('OCTUBRE 2026'!D13&lt;&gt;"",'OCTUBRE 2026'!Z13="POR RECOGER"),TEXT('OCTUBRE 2026'!G13,"DD/MM/YYYY"),"")</f>
        <v/>
      </c>
      <c r="F954" s="192" t="str">
        <f aca="false">IF(AND('OCTUBRE 2026'!D13&lt;&gt;"",'OCTUBRE 2026'!Z13="POR RECOGER"),'OCTUBRE 2026'!K13,"")</f>
        <v/>
      </c>
      <c r="G954" s="193" t="str">
        <f aca="false">IF(AND('OCTUBRE 2026'!D13&lt;&gt;"",'OCTUBRE 2026'!Z13="POR RECOGER"),'OCTUBRE 2026'!M13,"")</f>
        <v/>
      </c>
      <c r="H954" s="193" t="str">
        <f aca="false">IF(AND('OCTUBRE 2026'!D13&lt;&gt;"",'OCTUBRE 2026'!Z13="POR RECOGER"),'OCTUBRE 2026'!N13,"")</f>
        <v/>
      </c>
      <c r="I954" s="192" t="str">
        <f aca="false">IF(AND('OCTUBRE 2026'!D13&lt;&gt;"",'OCTUBRE 2026'!Z13="POR RECOGER"),'OCTUBRE 2026'!P13,"")</f>
        <v/>
      </c>
      <c r="J954" s="192" t="str">
        <f aca="false">IF(AND('OCTUBRE 2026'!D13&lt;&gt;"",'OCTUBRE 2026'!Z13="POR RECOGER"),'OCTUBRE 2026'!Q13,"")</f>
        <v/>
      </c>
      <c r="K954" s="192" t="str">
        <f aca="false">IF(AND('OCTUBRE 2026'!D13&lt;&gt;"",'OCTUBRE 2026'!Z13="POR RECOGER"),'OCTUBRE 2026'!Y13,"")</f>
        <v/>
      </c>
      <c r="L954" s="192" t="str">
        <f aca="false">IF(AND('OCTUBRE 2026'!D13&lt;&gt;"",'OCTUBRE 2026'!Z13="POR RECOGER"),'OCTUBRE 2026'!I13,"")</f>
        <v/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" hidden="false" customHeight="true" outlineLevel="0" collapsed="false">
      <c r="A955" s="192" t="str">
        <f aca="false">IF(AND('OCTUBRE 2026'!D14&lt;&gt;"",'OCTUBRE 2026'!Z14="POR RECOGER"),"OCT","")</f>
        <v/>
      </c>
      <c r="B955" s="192" t="str">
        <f aca="false">IF(AND('OCTUBRE 2026'!D14&lt;&gt;"",'OCTUBRE 2026'!Z14="POR RECOGER"),IF('OCTUBRE 2026'!Y14&lt;&gt;"",'OCTUBRE 2026'!Y14,'OCTUBRE 2026'!I14),"")</f>
        <v/>
      </c>
      <c r="C955" s="192" t="str">
        <f aca="false">IF(AND('OCTUBRE 2026'!D14&lt;&gt;"",'OCTUBRE 2026'!Z14="POR RECOGER"),'OCTUBRE 2026'!D14,"")</f>
        <v/>
      </c>
      <c r="D955" s="192" t="str">
        <f aca="false">IF(AND('OCTUBRE 2026'!D14&lt;&gt;"",'OCTUBRE 2026'!Z14="POR RECOGER"),'OCTUBRE 2026'!F14,"")</f>
        <v/>
      </c>
      <c r="E955" s="192" t="str">
        <f aca="false">IF(AND('OCTUBRE 2026'!D14&lt;&gt;"",'OCTUBRE 2026'!Z14="POR RECOGER"),TEXT('OCTUBRE 2026'!G14,"DD/MM/YYYY"),"")</f>
        <v/>
      </c>
      <c r="F955" s="192" t="str">
        <f aca="false">IF(AND('OCTUBRE 2026'!D14&lt;&gt;"",'OCTUBRE 2026'!Z14="POR RECOGER"),'OCTUBRE 2026'!K14,"")</f>
        <v/>
      </c>
      <c r="G955" s="193" t="str">
        <f aca="false">IF(AND('OCTUBRE 2026'!D14&lt;&gt;"",'OCTUBRE 2026'!Z14="POR RECOGER"),'OCTUBRE 2026'!M14,"")</f>
        <v/>
      </c>
      <c r="H955" s="193" t="str">
        <f aca="false">IF(AND('OCTUBRE 2026'!D14&lt;&gt;"",'OCTUBRE 2026'!Z14="POR RECOGER"),'OCTUBRE 2026'!N14,"")</f>
        <v/>
      </c>
      <c r="I955" s="192" t="str">
        <f aca="false">IF(AND('OCTUBRE 2026'!D14&lt;&gt;"",'OCTUBRE 2026'!Z14="POR RECOGER"),'OCTUBRE 2026'!P14,"")</f>
        <v/>
      </c>
      <c r="J955" s="192" t="str">
        <f aca="false">IF(AND('OCTUBRE 2026'!D14&lt;&gt;"",'OCTUBRE 2026'!Z14="POR RECOGER"),'OCTUBRE 2026'!Q14,"")</f>
        <v/>
      </c>
      <c r="K955" s="192" t="str">
        <f aca="false">IF(AND('OCTUBRE 2026'!D14&lt;&gt;"",'OCTUBRE 2026'!Z14="POR RECOGER"),'OCTUBRE 2026'!Y14,"")</f>
        <v/>
      </c>
      <c r="L955" s="192" t="str">
        <f aca="false">IF(AND('OCTUBRE 2026'!D14&lt;&gt;"",'OCTUBRE 2026'!Z14="POR RECOGER"),'OCTUBRE 2026'!I14,"")</f>
        <v/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" hidden="false" customHeight="true" outlineLevel="0" collapsed="false">
      <c r="A956" s="192" t="str">
        <f aca="false">IF(AND('OCTUBRE 2026'!D15&lt;&gt;"",'OCTUBRE 2026'!Z15="POR RECOGER"),"OCT","")</f>
        <v/>
      </c>
      <c r="B956" s="192" t="str">
        <f aca="false">IF(AND('OCTUBRE 2026'!D15&lt;&gt;"",'OCTUBRE 2026'!Z15="POR RECOGER"),IF('OCTUBRE 2026'!Y15&lt;&gt;"",'OCTUBRE 2026'!Y15,'OCTUBRE 2026'!I15),"")</f>
        <v/>
      </c>
      <c r="C956" s="192" t="str">
        <f aca="false">IF(AND('OCTUBRE 2026'!D15&lt;&gt;"",'OCTUBRE 2026'!Z15="POR RECOGER"),'OCTUBRE 2026'!D15,"")</f>
        <v/>
      </c>
      <c r="D956" s="192" t="str">
        <f aca="false">IF(AND('OCTUBRE 2026'!D15&lt;&gt;"",'OCTUBRE 2026'!Z15="POR RECOGER"),'OCTUBRE 2026'!F15,"")</f>
        <v/>
      </c>
      <c r="E956" s="192" t="str">
        <f aca="false">IF(AND('OCTUBRE 2026'!D15&lt;&gt;"",'OCTUBRE 2026'!Z15="POR RECOGER"),TEXT('OCTUBRE 2026'!G15,"DD/MM/YYYY"),"")</f>
        <v/>
      </c>
      <c r="F956" s="192" t="str">
        <f aca="false">IF(AND('OCTUBRE 2026'!D15&lt;&gt;"",'OCTUBRE 2026'!Z15="POR RECOGER"),'OCTUBRE 2026'!K15,"")</f>
        <v/>
      </c>
      <c r="G956" s="193" t="str">
        <f aca="false">IF(AND('OCTUBRE 2026'!D15&lt;&gt;"",'OCTUBRE 2026'!Z15="POR RECOGER"),'OCTUBRE 2026'!M15,"")</f>
        <v/>
      </c>
      <c r="H956" s="193" t="str">
        <f aca="false">IF(AND('OCTUBRE 2026'!D15&lt;&gt;"",'OCTUBRE 2026'!Z15="POR RECOGER"),'OCTUBRE 2026'!N15,"")</f>
        <v/>
      </c>
      <c r="I956" s="192" t="str">
        <f aca="false">IF(AND('OCTUBRE 2026'!D15&lt;&gt;"",'OCTUBRE 2026'!Z15="POR RECOGER"),'OCTUBRE 2026'!P15,"")</f>
        <v/>
      </c>
      <c r="J956" s="192" t="str">
        <f aca="false">IF(AND('OCTUBRE 2026'!D15&lt;&gt;"",'OCTUBRE 2026'!Z15="POR RECOGER"),'OCTUBRE 2026'!Q15,"")</f>
        <v/>
      </c>
      <c r="K956" s="192" t="str">
        <f aca="false">IF(AND('OCTUBRE 2026'!D15&lt;&gt;"",'OCTUBRE 2026'!Z15="POR RECOGER"),'OCTUBRE 2026'!Y15,"")</f>
        <v/>
      </c>
      <c r="L956" s="192" t="str">
        <f aca="false">IF(AND('OCTUBRE 2026'!D15&lt;&gt;"",'OCTUBRE 2026'!Z15="POR RECOGER"),'OCTUBRE 2026'!I15,"")</f>
        <v/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" hidden="false" customHeight="true" outlineLevel="0" collapsed="false">
      <c r="A957" s="192" t="str">
        <f aca="false">IF(AND('OCTUBRE 2026'!D16&lt;&gt;"",'OCTUBRE 2026'!Z16="POR RECOGER"),"OCT","")</f>
        <v/>
      </c>
      <c r="B957" s="192" t="str">
        <f aca="false">IF(AND('OCTUBRE 2026'!D16&lt;&gt;"",'OCTUBRE 2026'!Z16="POR RECOGER"),IF('OCTUBRE 2026'!Y16&lt;&gt;"",'OCTUBRE 2026'!Y16,'OCTUBRE 2026'!I16),"")</f>
        <v/>
      </c>
      <c r="C957" s="192" t="str">
        <f aca="false">IF(AND('OCTUBRE 2026'!D16&lt;&gt;"",'OCTUBRE 2026'!Z16="POR RECOGER"),'OCTUBRE 2026'!D16,"")</f>
        <v/>
      </c>
      <c r="D957" s="192" t="str">
        <f aca="false">IF(AND('OCTUBRE 2026'!D16&lt;&gt;"",'OCTUBRE 2026'!Z16="POR RECOGER"),'OCTUBRE 2026'!F16,"")</f>
        <v/>
      </c>
      <c r="E957" s="192" t="str">
        <f aca="false">IF(AND('OCTUBRE 2026'!D16&lt;&gt;"",'OCTUBRE 2026'!Z16="POR RECOGER"),TEXT('OCTUBRE 2026'!G16,"DD/MM/YYYY"),"")</f>
        <v/>
      </c>
      <c r="F957" s="192" t="str">
        <f aca="false">IF(AND('OCTUBRE 2026'!D16&lt;&gt;"",'OCTUBRE 2026'!Z16="POR RECOGER"),'OCTUBRE 2026'!K16,"")</f>
        <v/>
      </c>
      <c r="G957" s="193" t="str">
        <f aca="false">IF(AND('OCTUBRE 2026'!D16&lt;&gt;"",'OCTUBRE 2026'!Z16="POR RECOGER"),'OCTUBRE 2026'!M16,"")</f>
        <v/>
      </c>
      <c r="H957" s="193" t="str">
        <f aca="false">IF(AND('OCTUBRE 2026'!D16&lt;&gt;"",'OCTUBRE 2026'!Z16="POR RECOGER"),'OCTUBRE 2026'!N16,"")</f>
        <v/>
      </c>
      <c r="I957" s="192" t="str">
        <f aca="false">IF(AND('OCTUBRE 2026'!D16&lt;&gt;"",'OCTUBRE 2026'!Z16="POR RECOGER"),'OCTUBRE 2026'!P16,"")</f>
        <v/>
      </c>
      <c r="J957" s="192" t="str">
        <f aca="false">IF(AND('OCTUBRE 2026'!D16&lt;&gt;"",'OCTUBRE 2026'!Z16="POR RECOGER"),'OCTUBRE 2026'!Q16,"")</f>
        <v/>
      </c>
      <c r="K957" s="192" t="str">
        <f aca="false">IF(AND('OCTUBRE 2026'!D16&lt;&gt;"",'OCTUBRE 2026'!Z16="POR RECOGER"),'OCTUBRE 2026'!Y16,"")</f>
        <v/>
      </c>
      <c r="L957" s="192" t="str">
        <f aca="false">IF(AND('OCTUBRE 2026'!D16&lt;&gt;"",'OCTUBRE 2026'!Z16="POR RECOGER"),'OCTUBRE 2026'!I16,"")</f>
        <v/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" hidden="false" customHeight="true" outlineLevel="0" collapsed="false">
      <c r="A958" s="192" t="str">
        <f aca="false">IF(AND('OCTUBRE 2026'!D17&lt;&gt;"",'OCTUBRE 2026'!Z17="POR RECOGER"),"OCT","")</f>
        <v/>
      </c>
      <c r="B958" s="192" t="str">
        <f aca="false">IF(AND('OCTUBRE 2026'!D17&lt;&gt;"",'OCTUBRE 2026'!Z17="POR RECOGER"),IF('OCTUBRE 2026'!Y17&lt;&gt;"",'OCTUBRE 2026'!Y17,'OCTUBRE 2026'!I17),"")</f>
        <v/>
      </c>
      <c r="C958" s="192" t="str">
        <f aca="false">IF(AND('OCTUBRE 2026'!D17&lt;&gt;"",'OCTUBRE 2026'!Z17="POR RECOGER"),'OCTUBRE 2026'!D17,"")</f>
        <v/>
      </c>
      <c r="D958" s="192" t="str">
        <f aca="false">IF(AND('OCTUBRE 2026'!D17&lt;&gt;"",'OCTUBRE 2026'!Z17="POR RECOGER"),'OCTUBRE 2026'!F17,"")</f>
        <v/>
      </c>
      <c r="E958" s="192" t="str">
        <f aca="false">IF(AND('OCTUBRE 2026'!D17&lt;&gt;"",'OCTUBRE 2026'!Z17="POR RECOGER"),TEXT('OCTUBRE 2026'!G17,"DD/MM/YYYY"),"")</f>
        <v/>
      </c>
      <c r="F958" s="192" t="str">
        <f aca="false">IF(AND('OCTUBRE 2026'!D17&lt;&gt;"",'OCTUBRE 2026'!Z17="POR RECOGER"),'OCTUBRE 2026'!K17,"")</f>
        <v/>
      </c>
      <c r="G958" s="193" t="str">
        <f aca="false">IF(AND('OCTUBRE 2026'!D17&lt;&gt;"",'OCTUBRE 2026'!Z17="POR RECOGER"),'OCTUBRE 2026'!M17,"")</f>
        <v/>
      </c>
      <c r="H958" s="193" t="str">
        <f aca="false">IF(AND('OCTUBRE 2026'!D17&lt;&gt;"",'OCTUBRE 2026'!Z17="POR RECOGER"),'OCTUBRE 2026'!N17,"")</f>
        <v/>
      </c>
      <c r="I958" s="192" t="str">
        <f aca="false">IF(AND('OCTUBRE 2026'!D17&lt;&gt;"",'OCTUBRE 2026'!Z17="POR RECOGER"),'OCTUBRE 2026'!P17,"")</f>
        <v/>
      </c>
      <c r="J958" s="192" t="str">
        <f aca="false">IF(AND('OCTUBRE 2026'!D17&lt;&gt;"",'OCTUBRE 2026'!Z17="POR RECOGER"),'OCTUBRE 2026'!Q17,"")</f>
        <v/>
      </c>
      <c r="K958" s="192" t="str">
        <f aca="false">IF(AND('OCTUBRE 2026'!D17&lt;&gt;"",'OCTUBRE 2026'!Z17="POR RECOGER"),'OCTUBRE 2026'!Y17,"")</f>
        <v/>
      </c>
      <c r="L958" s="192" t="str">
        <f aca="false">IF(AND('OCTUBRE 2026'!D17&lt;&gt;"",'OCTUBRE 2026'!Z17="POR RECOGER"),'OCTUBRE 2026'!I17,"")</f>
        <v/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" hidden="false" customHeight="true" outlineLevel="0" collapsed="false">
      <c r="A959" s="192" t="str">
        <f aca="false">IF(AND('OCTUBRE 2026'!D18&lt;&gt;"",'OCTUBRE 2026'!Z18="POR RECOGER"),"OCT","")</f>
        <v/>
      </c>
      <c r="B959" s="192" t="str">
        <f aca="false">IF(AND('OCTUBRE 2026'!D18&lt;&gt;"",'OCTUBRE 2026'!Z18="POR RECOGER"),IF('OCTUBRE 2026'!Y18&lt;&gt;"",'OCTUBRE 2026'!Y18,'OCTUBRE 2026'!I18),"")</f>
        <v/>
      </c>
      <c r="C959" s="192" t="str">
        <f aca="false">IF(AND('OCTUBRE 2026'!D18&lt;&gt;"",'OCTUBRE 2026'!Z18="POR RECOGER"),'OCTUBRE 2026'!D18,"")</f>
        <v/>
      </c>
      <c r="D959" s="192" t="str">
        <f aca="false">IF(AND('OCTUBRE 2026'!D18&lt;&gt;"",'OCTUBRE 2026'!Z18="POR RECOGER"),'OCTUBRE 2026'!F18,"")</f>
        <v/>
      </c>
      <c r="E959" s="192" t="str">
        <f aca="false">IF(AND('OCTUBRE 2026'!D18&lt;&gt;"",'OCTUBRE 2026'!Z18="POR RECOGER"),TEXT('OCTUBRE 2026'!G18,"DD/MM/YYYY"),"")</f>
        <v/>
      </c>
      <c r="F959" s="192" t="str">
        <f aca="false">IF(AND('OCTUBRE 2026'!D18&lt;&gt;"",'OCTUBRE 2026'!Z18="POR RECOGER"),'OCTUBRE 2026'!K18,"")</f>
        <v/>
      </c>
      <c r="G959" s="193" t="str">
        <f aca="false">IF(AND('OCTUBRE 2026'!D18&lt;&gt;"",'OCTUBRE 2026'!Z18="POR RECOGER"),'OCTUBRE 2026'!M18,"")</f>
        <v/>
      </c>
      <c r="H959" s="193" t="str">
        <f aca="false">IF(AND('OCTUBRE 2026'!D18&lt;&gt;"",'OCTUBRE 2026'!Z18="POR RECOGER"),'OCTUBRE 2026'!N18,"")</f>
        <v/>
      </c>
      <c r="I959" s="192" t="str">
        <f aca="false">IF(AND('OCTUBRE 2026'!D18&lt;&gt;"",'OCTUBRE 2026'!Z18="POR RECOGER"),'OCTUBRE 2026'!P18,"")</f>
        <v/>
      </c>
      <c r="J959" s="192" t="str">
        <f aca="false">IF(AND('OCTUBRE 2026'!D18&lt;&gt;"",'OCTUBRE 2026'!Z18="POR RECOGER"),'OCTUBRE 2026'!Q18,"")</f>
        <v/>
      </c>
      <c r="K959" s="192" t="str">
        <f aca="false">IF(AND('OCTUBRE 2026'!D18&lt;&gt;"",'OCTUBRE 2026'!Z18="POR RECOGER"),'OCTUBRE 2026'!Y18,"")</f>
        <v/>
      </c>
      <c r="L959" s="192" t="str">
        <f aca="false">IF(AND('OCTUBRE 2026'!D18&lt;&gt;"",'OCTUBRE 2026'!Z18="POR RECOGER"),'OCTUBRE 2026'!I18,"")</f>
        <v/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" hidden="false" customHeight="true" outlineLevel="0" collapsed="false">
      <c r="A960" s="192" t="str">
        <f aca="false">IF(AND('OCTUBRE 2026'!D19&lt;&gt;"",'OCTUBRE 2026'!Z19="POR RECOGER"),"OCT","")</f>
        <v/>
      </c>
      <c r="B960" s="192" t="str">
        <f aca="false">IF(AND('OCTUBRE 2026'!D19&lt;&gt;"",'OCTUBRE 2026'!Z19="POR RECOGER"),IF('OCTUBRE 2026'!Y19&lt;&gt;"",'OCTUBRE 2026'!Y19,'OCTUBRE 2026'!I19),"")</f>
        <v/>
      </c>
      <c r="C960" s="192" t="str">
        <f aca="false">IF(AND('OCTUBRE 2026'!D19&lt;&gt;"",'OCTUBRE 2026'!Z19="POR RECOGER"),'OCTUBRE 2026'!D19,"")</f>
        <v/>
      </c>
      <c r="D960" s="192" t="str">
        <f aca="false">IF(AND('OCTUBRE 2026'!D19&lt;&gt;"",'OCTUBRE 2026'!Z19="POR RECOGER"),'OCTUBRE 2026'!F19,"")</f>
        <v/>
      </c>
      <c r="E960" s="192" t="str">
        <f aca="false">IF(AND('OCTUBRE 2026'!D19&lt;&gt;"",'OCTUBRE 2026'!Z19="POR RECOGER"),TEXT('OCTUBRE 2026'!G19,"DD/MM/YYYY"),"")</f>
        <v/>
      </c>
      <c r="F960" s="192" t="str">
        <f aca="false">IF(AND('OCTUBRE 2026'!D19&lt;&gt;"",'OCTUBRE 2026'!Z19="POR RECOGER"),'OCTUBRE 2026'!K19,"")</f>
        <v/>
      </c>
      <c r="G960" s="193" t="str">
        <f aca="false">IF(AND('OCTUBRE 2026'!D19&lt;&gt;"",'OCTUBRE 2026'!Z19="POR RECOGER"),'OCTUBRE 2026'!M19,"")</f>
        <v/>
      </c>
      <c r="H960" s="193" t="str">
        <f aca="false">IF(AND('OCTUBRE 2026'!D19&lt;&gt;"",'OCTUBRE 2026'!Z19="POR RECOGER"),'OCTUBRE 2026'!N19,"")</f>
        <v/>
      </c>
      <c r="I960" s="192" t="str">
        <f aca="false">IF(AND('OCTUBRE 2026'!D19&lt;&gt;"",'OCTUBRE 2026'!Z19="POR RECOGER"),'OCTUBRE 2026'!P19,"")</f>
        <v/>
      </c>
      <c r="J960" s="192" t="str">
        <f aca="false">IF(AND('OCTUBRE 2026'!D19&lt;&gt;"",'OCTUBRE 2026'!Z19="POR RECOGER"),'OCTUBRE 2026'!Q19,"")</f>
        <v/>
      </c>
      <c r="K960" s="192" t="str">
        <f aca="false">IF(AND('OCTUBRE 2026'!D19&lt;&gt;"",'OCTUBRE 2026'!Z19="POR RECOGER"),'OCTUBRE 2026'!Y19,"")</f>
        <v/>
      </c>
      <c r="L960" s="192" t="str">
        <f aca="false">IF(AND('OCTUBRE 2026'!D19&lt;&gt;"",'OCTUBRE 2026'!Z19="POR RECOGER"),'OCTUBRE 2026'!I19,"")</f>
        <v/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" hidden="false" customHeight="true" outlineLevel="0" collapsed="false">
      <c r="A961" s="192" t="str">
        <f aca="false">IF(AND('OCTUBRE 2026'!D20&lt;&gt;"",'OCTUBRE 2026'!Z20="POR RECOGER"),"OCT","")</f>
        <v/>
      </c>
      <c r="B961" s="192" t="str">
        <f aca="false">IF(AND('OCTUBRE 2026'!D20&lt;&gt;"",'OCTUBRE 2026'!Z20="POR RECOGER"),IF('OCTUBRE 2026'!Y20&lt;&gt;"",'OCTUBRE 2026'!Y20,'OCTUBRE 2026'!I20),"")</f>
        <v/>
      </c>
      <c r="C961" s="192" t="str">
        <f aca="false">IF(AND('OCTUBRE 2026'!D20&lt;&gt;"",'OCTUBRE 2026'!Z20="POR RECOGER"),'OCTUBRE 2026'!D20,"")</f>
        <v/>
      </c>
      <c r="D961" s="192" t="str">
        <f aca="false">IF(AND('OCTUBRE 2026'!D20&lt;&gt;"",'OCTUBRE 2026'!Z20="POR RECOGER"),'OCTUBRE 2026'!F20,"")</f>
        <v/>
      </c>
      <c r="E961" s="192" t="str">
        <f aca="false">IF(AND('OCTUBRE 2026'!D20&lt;&gt;"",'OCTUBRE 2026'!Z20="POR RECOGER"),TEXT('OCTUBRE 2026'!G20,"DD/MM/YYYY"),"")</f>
        <v/>
      </c>
      <c r="F961" s="192" t="str">
        <f aca="false">IF(AND('OCTUBRE 2026'!D20&lt;&gt;"",'OCTUBRE 2026'!Z20="POR RECOGER"),'OCTUBRE 2026'!K20,"")</f>
        <v/>
      </c>
      <c r="G961" s="193" t="str">
        <f aca="false">IF(AND('OCTUBRE 2026'!D20&lt;&gt;"",'OCTUBRE 2026'!Z20="POR RECOGER"),'OCTUBRE 2026'!M20,"")</f>
        <v/>
      </c>
      <c r="H961" s="193" t="str">
        <f aca="false">IF(AND('OCTUBRE 2026'!D20&lt;&gt;"",'OCTUBRE 2026'!Z20="POR RECOGER"),'OCTUBRE 2026'!N20,"")</f>
        <v/>
      </c>
      <c r="I961" s="192" t="str">
        <f aca="false">IF(AND('OCTUBRE 2026'!D20&lt;&gt;"",'OCTUBRE 2026'!Z20="POR RECOGER"),'OCTUBRE 2026'!P20,"")</f>
        <v/>
      </c>
      <c r="J961" s="192" t="str">
        <f aca="false">IF(AND('OCTUBRE 2026'!D20&lt;&gt;"",'OCTUBRE 2026'!Z20="POR RECOGER"),'OCTUBRE 2026'!Q20,"")</f>
        <v/>
      </c>
      <c r="K961" s="192" t="str">
        <f aca="false">IF(AND('OCTUBRE 2026'!D20&lt;&gt;"",'OCTUBRE 2026'!Z20="POR RECOGER"),'OCTUBRE 2026'!Y20,"")</f>
        <v/>
      </c>
      <c r="L961" s="192" t="str">
        <f aca="false">IF(AND('OCTUBRE 2026'!D20&lt;&gt;"",'OCTUBRE 2026'!Z20="POR RECOGER"),'OCTUBRE 2026'!I20,"")</f>
        <v/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" hidden="false" customHeight="true" outlineLevel="0" collapsed="false">
      <c r="A962" s="192" t="str">
        <f aca="false">IF(AND('OCTUBRE 2026'!D21&lt;&gt;"",'OCTUBRE 2026'!Z21="POR RECOGER"),"OCT","")</f>
        <v/>
      </c>
      <c r="B962" s="192" t="str">
        <f aca="false">IF(AND('OCTUBRE 2026'!D21&lt;&gt;"",'OCTUBRE 2026'!Z21="POR RECOGER"),IF('OCTUBRE 2026'!Y21&lt;&gt;"",'OCTUBRE 2026'!Y21,'OCTUBRE 2026'!I21),"")</f>
        <v/>
      </c>
      <c r="C962" s="192" t="str">
        <f aca="false">IF(AND('OCTUBRE 2026'!D21&lt;&gt;"",'OCTUBRE 2026'!Z21="POR RECOGER"),'OCTUBRE 2026'!D21,"")</f>
        <v/>
      </c>
      <c r="D962" s="192" t="str">
        <f aca="false">IF(AND('OCTUBRE 2026'!D21&lt;&gt;"",'OCTUBRE 2026'!Z21="POR RECOGER"),'OCTUBRE 2026'!F21,"")</f>
        <v/>
      </c>
      <c r="E962" s="192" t="str">
        <f aca="false">IF(AND('OCTUBRE 2026'!D21&lt;&gt;"",'OCTUBRE 2026'!Z21="POR RECOGER"),TEXT('OCTUBRE 2026'!G21,"DD/MM/YYYY"),"")</f>
        <v/>
      </c>
      <c r="F962" s="192" t="str">
        <f aca="false">IF(AND('OCTUBRE 2026'!D21&lt;&gt;"",'OCTUBRE 2026'!Z21="POR RECOGER"),'OCTUBRE 2026'!K21,"")</f>
        <v/>
      </c>
      <c r="G962" s="193" t="str">
        <f aca="false">IF(AND('OCTUBRE 2026'!D21&lt;&gt;"",'OCTUBRE 2026'!Z21="POR RECOGER"),'OCTUBRE 2026'!M21,"")</f>
        <v/>
      </c>
      <c r="H962" s="193" t="str">
        <f aca="false">IF(AND('OCTUBRE 2026'!D21&lt;&gt;"",'OCTUBRE 2026'!Z21="POR RECOGER"),'OCTUBRE 2026'!N21,"")</f>
        <v/>
      </c>
      <c r="I962" s="192" t="str">
        <f aca="false">IF(AND('OCTUBRE 2026'!D21&lt;&gt;"",'OCTUBRE 2026'!Z21="POR RECOGER"),'OCTUBRE 2026'!P21,"")</f>
        <v/>
      </c>
      <c r="J962" s="192" t="str">
        <f aca="false">IF(AND('OCTUBRE 2026'!D21&lt;&gt;"",'OCTUBRE 2026'!Z21="POR RECOGER"),'OCTUBRE 2026'!Q21,"")</f>
        <v/>
      </c>
      <c r="K962" s="192" t="str">
        <f aca="false">IF(AND('OCTUBRE 2026'!D21&lt;&gt;"",'OCTUBRE 2026'!Z21="POR RECOGER"),'OCTUBRE 2026'!Y21,"")</f>
        <v/>
      </c>
      <c r="L962" s="192" t="str">
        <f aca="false">IF(AND('OCTUBRE 2026'!D21&lt;&gt;"",'OCTUBRE 2026'!Z21="POR RECOGER"),'OCTUBRE 2026'!I21,"")</f>
        <v/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" hidden="false" customHeight="true" outlineLevel="0" collapsed="false">
      <c r="A963" s="192" t="str">
        <f aca="false">IF(AND('OCTUBRE 2026'!D22&lt;&gt;"",'OCTUBRE 2026'!Z22="POR RECOGER"),"OCT","")</f>
        <v/>
      </c>
      <c r="B963" s="192" t="str">
        <f aca="false">IF(AND('OCTUBRE 2026'!D22&lt;&gt;"",'OCTUBRE 2026'!Z22="POR RECOGER"),IF('OCTUBRE 2026'!Y22&lt;&gt;"",'OCTUBRE 2026'!Y22,'OCTUBRE 2026'!I22),"")</f>
        <v/>
      </c>
      <c r="C963" s="192" t="str">
        <f aca="false">IF(AND('OCTUBRE 2026'!D22&lt;&gt;"",'OCTUBRE 2026'!Z22="POR RECOGER"),'OCTUBRE 2026'!D22,"")</f>
        <v/>
      </c>
      <c r="D963" s="192" t="str">
        <f aca="false">IF(AND('OCTUBRE 2026'!D22&lt;&gt;"",'OCTUBRE 2026'!Z22="POR RECOGER"),'OCTUBRE 2026'!F22,"")</f>
        <v/>
      </c>
      <c r="E963" s="192" t="str">
        <f aca="false">IF(AND('OCTUBRE 2026'!D22&lt;&gt;"",'OCTUBRE 2026'!Z22="POR RECOGER"),TEXT('OCTUBRE 2026'!G22,"DD/MM/YYYY"),"")</f>
        <v/>
      </c>
      <c r="F963" s="192" t="str">
        <f aca="false">IF(AND('OCTUBRE 2026'!D22&lt;&gt;"",'OCTUBRE 2026'!Z22="POR RECOGER"),'OCTUBRE 2026'!K22,"")</f>
        <v/>
      </c>
      <c r="G963" s="193" t="str">
        <f aca="false">IF(AND('OCTUBRE 2026'!D22&lt;&gt;"",'OCTUBRE 2026'!Z22="POR RECOGER"),'OCTUBRE 2026'!M22,"")</f>
        <v/>
      </c>
      <c r="H963" s="193" t="str">
        <f aca="false">IF(AND('OCTUBRE 2026'!D22&lt;&gt;"",'OCTUBRE 2026'!Z22="POR RECOGER"),'OCTUBRE 2026'!N22,"")</f>
        <v/>
      </c>
      <c r="I963" s="192" t="str">
        <f aca="false">IF(AND('OCTUBRE 2026'!D22&lt;&gt;"",'OCTUBRE 2026'!Z22="POR RECOGER"),'OCTUBRE 2026'!P22,"")</f>
        <v/>
      </c>
      <c r="J963" s="192" t="str">
        <f aca="false">IF(AND('OCTUBRE 2026'!D22&lt;&gt;"",'OCTUBRE 2026'!Z22="POR RECOGER"),'OCTUBRE 2026'!Q22,"")</f>
        <v/>
      </c>
      <c r="K963" s="192" t="str">
        <f aca="false">IF(AND('OCTUBRE 2026'!D22&lt;&gt;"",'OCTUBRE 2026'!Z22="POR RECOGER"),'OCTUBRE 2026'!Y22,"")</f>
        <v/>
      </c>
      <c r="L963" s="192" t="str">
        <f aca="false">IF(AND('OCTUBRE 2026'!D22&lt;&gt;"",'OCTUBRE 2026'!Z22="POR RECOGER"),'OCTUBRE 2026'!I22,"")</f>
        <v/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" hidden="false" customHeight="true" outlineLevel="0" collapsed="false">
      <c r="A964" s="192" t="str">
        <f aca="false">IF(AND('OCTUBRE 2026'!D23&lt;&gt;"",'OCTUBRE 2026'!Z23="POR RECOGER"),"OCT","")</f>
        <v/>
      </c>
      <c r="B964" s="192" t="str">
        <f aca="false">IF(AND('OCTUBRE 2026'!D23&lt;&gt;"",'OCTUBRE 2026'!Z23="POR RECOGER"),IF('OCTUBRE 2026'!Y23&lt;&gt;"",'OCTUBRE 2026'!Y23,'OCTUBRE 2026'!I23),"")</f>
        <v/>
      </c>
      <c r="C964" s="192" t="str">
        <f aca="false">IF(AND('OCTUBRE 2026'!D23&lt;&gt;"",'OCTUBRE 2026'!Z23="POR RECOGER"),'OCTUBRE 2026'!D23,"")</f>
        <v/>
      </c>
      <c r="D964" s="192" t="str">
        <f aca="false">IF(AND('OCTUBRE 2026'!D23&lt;&gt;"",'OCTUBRE 2026'!Z23="POR RECOGER"),'OCTUBRE 2026'!F23,"")</f>
        <v/>
      </c>
      <c r="E964" s="192" t="str">
        <f aca="false">IF(AND('OCTUBRE 2026'!D23&lt;&gt;"",'OCTUBRE 2026'!Z23="POR RECOGER"),TEXT('OCTUBRE 2026'!G23,"DD/MM/YYYY"),"")</f>
        <v/>
      </c>
      <c r="F964" s="192" t="str">
        <f aca="false">IF(AND('OCTUBRE 2026'!D23&lt;&gt;"",'OCTUBRE 2026'!Z23="POR RECOGER"),'OCTUBRE 2026'!K23,"")</f>
        <v/>
      </c>
      <c r="G964" s="193" t="str">
        <f aca="false">IF(AND('OCTUBRE 2026'!D23&lt;&gt;"",'OCTUBRE 2026'!Z23="POR RECOGER"),'OCTUBRE 2026'!M23,"")</f>
        <v/>
      </c>
      <c r="H964" s="193" t="str">
        <f aca="false">IF(AND('OCTUBRE 2026'!D23&lt;&gt;"",'OCTUBRE 2026'!Z23="POR RECOGER"),'OCTUBRE 2026'!N23,"")</f>
        <v/>
      </c>
      <c r="I964" s="192" t="str">
        <f aca="false">IF(AND('OCTUBRE 2026'!D23&lt;&gt;"",'OCTUBRE 2026'!Z23="POR RECOGER"),'OCTUBRE 2026'!P23,"")</f>
        <v/>
      </c>
      <c r="J964" s="192" t="str">
        <f aca="false">IF(AND('OCTUBRE 2026'!D23&lt;&gt;"",'OCTUBRE 2026'!Z23="POR RECOGER"),'OCTUBRE 2026'!Q23,"")</f>
        <v/>
      </c>
      <c r="K964" s="192" t="str">
        <f aca="false">IF(AND('OCTUBRE 2026'!D23&lt;&gt;"",'OCTUBRE 2026'!Z23="POR RECOGER"),'OCTUBRE 2026'!Y23,"")</f>
        <v/>
      </c>
      <c r="L964" s="192" t="str">
        <f aca="false">IF(AND('OCTUBRE 2026'!D23&lt;&gt;"",'OCTUBRE 2026'!Z23="POR RECOGER"),'OCTUBRE 2026'!I23,"")</f>
        <v/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" hidden="false" customHeight="true" outlineLevel="0" collapsed="false">
      <c r="A965" s="192" t="str">
        <f aca="false">IF(AND('OCTUBRE 2026'!D24&lt;&gt;"",'OCTUBRE 2026'!Z24="POR RECOGER"),"OCT","")</f>
        <v/>
      </c>
      <c r="B965" s="192" t="str">
        <f aca="false">IF(AND('OCTUBRE 2026'!D24&lt;&gt;"",'OCTUBRE 2026'!Z24="POR RECOGER"),IF('OCTUBRE 2026'!Y24&lt;&gt;"",'OCTUBRE 2026'!Y24,'OCTUBRE 2026'!I24),"")</f>
        <v/>
      </c>
      <c r="C965" s="192" t="str">
        <f aca="false">IF(AND('OCTUBRE 2026'!D24&lt;&gt;"",'OCTUBRE 2026'!Z24="POR RECOGER"),'OCTUBRE 2026'!D24,"")</f>
        <v/>
      </c>
      <c r="D965" s="192" t="str">
        <f aca="false">IF(AND('OCTUBRE 2026'!D24&lt;&gt;"",'OCTUBRE 2026'!Z24="POR RECOGER"),'OCTUBRE 2026'!F24,"")</f>
        <v/>
      </c>
      <c r="E965" s="192" t="str">
        <f aca="false">IF(AND('OCTUBRE 2026'!D24&lt;&gt;"",'OCTUBRE 2026'!Z24="POR RECOGER"),TEXT('OCTUBRE 2026'!G24,"DD/MM/YYYY"),"")</f>
        <v/>
      </c>
      <c r="F965" s="192" t="str">
        <f aca="false">IF(AND('OCTUBRE 2026'!D24&lt;&gt;"",'OCTUBRE 2026'!Z24="POR RECOGER"),'OCTUBRE 2026'!K24,"")</f>
        <v/>
      </c>
      <c r="G965" s="193" t="str">
        <f aca="false">IF(AND('OCTUBRE 2026'!D24&lt;&gt;"",'OCTUBRE 2026'!Z24="POR RECOGER"),'OCTUBRE 2026'!M24,"")</f>
        <v/>
      </c>
      <c r="H965" s="193" t="str">
        <f aca="false">IF(AND('OCTUBRE 2026'!D24&lt;&gt;"",'OCTUBRE 2026'!Z24="POR RECOGER"),'OCTUBRE 2026'!N24,"")</f>
        <v/>
      </c>
      <c r="I965" s="192" t="str">
        <f aca="false">IF(AND('OCTUBRE 2026'!D24&lt;&gt;"",'OCTUBRE 2026'!Z24="POR RECOGER"),'OCTUBRE 2026'!P24,"")</f>
        <v/>
      </c>
      <c r="J965" s="192" t="str">
        <f aca="false">IF(AND('OCTUBRE 2026'!D24&lt;&gt;"",'OCTUBRE 2026'!Z24="POR RECOGER"),'OCTUBRE 2026'!Q24,"")</f>
        <v/>
      </c>
      <c r="K965" s="192" t="str">
        <f aca="false">IF(AND('OCTUBRE 2026'!D24&lt;&gt;"",'OCTUBRE 2026'!Z24="POR RECOGER"),'OCTUBRE 2026'!Y24,"")</f>
        <v/>
      </c>
      <c r="L965" s="192" t="str">
        <f aca="false">IF(AND('OCTUBRE 2026'!D24&lt;&gt;"",'OCTUBRE 2026'!Z24="POR RECOGER"),'OCTUBRE 2026'!I24,"")</f>
        <v/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" hidden="false" customHeight="true" outlineLevel="0" collapsed="false">
      <c r="A966" s="192" t="str">
        <f aca="false">IF(AND('OCTUBRE 2026'!D25&lt;&gt;"",'OCTUBRE 2026'!Z25="POR RECOGER"),"OCT","")</f>
        <v/>
      </c>
      <c r="B966" s="192" t="str">
        <f aca="false">IF(AND('OCTUBRE 2026'!D25&lt;&gt;"",'OCTUBRE 2026'!Z25="POR RECOGER"),IF('OCTUBRE 2026'!Y25&lt;&gt;"",'OCTUBRE 2026'!Y25,'OCTUBRE 2026'!I25),"")</f>
        <v/>
      </c>
      <c r="C966" s="192" t="str">
        <f aca="false">IF(AND('OCTUBRE 2026'!D25&lt;&gt;"",'OCTUBRE 2026'!Z25="POR RECOGER"),'OCTUBRE 2026'!D25,"")</f>
        <v/>
      </c>
      <c r="D966" s="192" t="str">
        <f aca="false">IF(AND('OCTUBRE 2026'!D25&lt;&gt;"",'OCTUBRE 2026'!Z25="POR RECOGER"),'OCTUBRE 2026'!F25,"")</f>
        <v/>
      </c>
      <c r="E966" s="192" t="str">
        <f aca="false">IF(AND('OCTUBRE 2026'!D25&lt;&gt;"",'OCTUBRE 2026'!Z25="POR RECOGER"),TEXT('OCTUBRE 2026'!G25,"DD/MM/YYYY"),"")</f>
        <v/>
      </c>
      <c r="F966" s="192" t="str">
        <f aca="false">IF(AND('OCTUBRE 2026'!D25&lt;&gt;"",'OCTUBRE 2026'!Z25="POR RECOGER"),'OCTUBRE 2026'!K25,"")</f>
        <v/>
      </c>
      <c r="G966" s="193" t="str">
        <f aca="false">IF(AND('OCTUBRE 2026'!D25&lt;&gt;"",'OCTUBRE 2026'!Z25="POR RECOGER"),'OCTUBRE 2026'!M25,"")</f>
        <v/>
      </c>
      <c r="H966" s="193" t="str">
        <f aca="false">IF(AND('OCTUBRE 2026'!D25&lt;&gt;"",'OCTUBRE 2026'!Z25="POR RECOGER"),'OCTUBRE 2026'!N25,"")</f>
        <v/>
      </c>
      <c r="I966" s="192" t="str">
        <f aca="false">IF(AND('OCTUBRE 2026'!D25&lt;&gt;"",'OCTUBRE 2026'!Z25="POR RECOGER"),'OCTUBRE 2026'!P25,"")</f>
        <v/>
      </c>
      <c r="J966" s="192" t="str">
        <f aca="false">IF(AND('OCTUBRE 2026'!D25&lt;&gt;"",'OCTUBRE 2026'!Z25="POR RECOGER"),'OCTUBRE 2026'!Q25,"")</f>
        <v/>
      </c>
      <c r="K966" s="192" t="str">
        <f aca="false">IF(AND('OCTUBRE 2026'!D25&lt;&gt;"",'OCTUBRE 2026'!Z25="POR RECOGER"),'OCTUBRE 2026'!Y25,"")</f>
        <v/>
      </c>
      <c r="L966" s="192" t="str">
        <f aca="false">IF(AND('OCTUBRE 2026'!D25&lt;&gt;"",'OCTUBRE 2026'!Z25="POR RECOGER"),'OCTUBRE 2026'!I25,"")</f>
        <v/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" hidden="false" customHeight="true" outlineLevel="0" collapsed="false">
      <c r="A967" s="192" t="str">
        <f aca="false">IF(AND('OCTUBRE 2026'!D26&lt;&gt;"",'OCTUBRE 2026'!Z26="POR RECOGER"),"OCT","")</f>
        <v/>
      </c>
      <c r="B967" s="192" t="str">
        <f aca="false">IF(AND('OCTUBRE 2026'!D26&lt;&gt;"",'OCTUBRE 2026'!Z26="POR RECOGER"),IF('OCTUBRE 2026'!Y26&lt;&gt;"",'OCTUBRE 2026'!Y26,'OCTUBRE 2026'!I26),"")</f>
        <v/>
      </c>
      <c r="C967" s="192" t="str">
        <f aca="false">IF(AND('OCTUBRE 2026'!D26&lt;&gt;"",'OCTUBRE 2026'!Z26="POR RECOGER"),'OCTUBRE 2026'!D26,"")</f>
        <v/>
      </c>
      <c r="D967" s="192" t="str">
        <f aca="false">IF(AND('OCTUBRE 2026'!D26&lt;&gt;"",'OCTUBRE 2026'!Z26="POR RECOGER"),'OCTUBRE 2026'!F26,"")</f>
        <v/>
      </c>
      <c r="E967" s="192" t="str">
        <f aca="false">IF(AND('OCTUBRE 2026'!D26&lt;&gt;"",'OCTUBRE 2026'!Z26="POR RECOGER"),TEXT('OCTUBRE 2026'!G26,"DD/MM/YYYY"),"")</f>
        <v/>
      </c>
      <c r="F967" s="192" t="str">
        <f aca="false">IF(AND('OCTUBRE 2026'!D26&lt;&gt;"",'OCTUBRE 2026'!Z26="POR RECOGER"),'OCTUBRE 2026'!K26,"")</f>
        <v/>
      </c>
      <c r="G967" s="193" t="str">
        <f aca="false">IF(AND('OCTUBRE 2026'!D26&lt;&gt;"",'OCTUBRE 2026'!Z26="POR RECOGER"),'OCTUBRE 2026'!M26,"")</f>
        <v/>
      </c>
      <c r="H967" s="193" t="str">
        <f aca="false">IF(AND('OCTUBRE 2026'!D26&lt;&gt;"",'OCTUBRE 2026'!Z26="POR RECOGER"),'OCTUBRE 2026'!N26,"")</f>
        <v/>
      </c>
      <c r="I967" s="192" t="str">
        <f aca="false">IF(AND('OCTUBRE 2026'!D26&lt;&gt;"",'OCTUBRE 2026'!Z26="POR RECOGER"),'OCTUBRE 2026'!P26,"")</f>
        <v/>
      </c>
      <c r="J967" s="192" t="str">
        <f aca="false">IF(AND('OCTUBRE 2026'!D26&lt;&gt;"",'OCTUBRE 2026'!Z26="POR RECOGER"),'OCTUBRE 2026'!Q26,"")</f>
        <v/>
      </c>
      <c r="K967" s="192" t="str">
        <f aca="false">IF(AND('OCTUBRE 2026'!D26&lt;&gt;"",'OCTUBRE 2026'!Z26="POR RECOGER"),'OCTUBRE 2026'!Y26,"")</f>
        <v/>
      </c>
      <c r="L967" s="192" t="str">
        <f aca="false">IF(AND('OCTUBRE 2026'!D26&lt;&gt;"",'OCTUBRE 2026'!Z26="POR RECOGER"),'OCTUBRE 2026'!I26,"")</f>
        <v/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" hidden="false" customHeight="true" outlineLevel="0" collapsed="false">
      <c r="A968" s="192" t="str">
        <f aca="false">IF(AND('OCTUBRE 2026'!D27&lt;&gt;"",'OCTUBRE 2026'!Z27="POR RECOGER"),"OCT","")</f>
        <v/>
      </c>
      <c r="B968" s="192" t="str">
        <f aca="false">IF(AND('OCTUBRE 2026'!D27&lt;&gt;"",'OCTUBRE 2026'!Z27="POR RECOGER"),IF('OCTUBRE 2026'!Y27&lt;&gt;"",'OCTUBRE 2026'!Y27,'OCTUBRE 2026'!I27),"")</f>
        <v/>
      </c>
      <c r="C968" s="192" t="str">
        <f aca="false">IF(AND('OCTUBRE 2026'!D27&lt;&gt;"",'OCTUBRE 2026'!Z27="POR RECOGER"),'OCTUBRE 2026'!D27,"")</f>
        <v/>
      </c>
      <c r="D968" s="192" t="str">
        <f aca="false">IF(AND('OCTUBRE 2026'!D27&lt;&gt;"",'OCTUBRE 2026'!Z27="POR RECOGER"),'OCTUBRE 2026'!F27,"")</f>
        <v/>
      </c>
      <c r="E968" s="192" t="str">
        <f aca="false">IF(AND('OCTUBRE 2026'!D27&lt;&gt;"",'OCTUBRE 2026'!Z27="POR RECOGER"),TEXT('OCTUBRE 2026'!G27,"DD/MM/YYYY"),"")</f>
        <v/>
      </c>
      <c r="F968" s="192" t="str">
        <f aca="false">IF(AND('OCTUBRE 2026'!D27&lt;&gt;"",'OCTUBRE 2026'!Z27="POR RECOGER"),'OCTUBRE 2026'!K27,"")</f>
        <v/>
      </c>
      <c r="G968" s="193" t="str">
        <f aca="false">IF(AND('OCTUBRE 2026'!D27&lt;&gt;"",'OCTUBRE 2026'!Z27="POR RECOGER"),'OCTUBRE 2026'!M27,"")</f>
        <v/>
      </c>
      <c r="H968" s="193" t="str">
        <f aca="false">IF(AND('OCTUBRE 2026'!D27&lt;&gt;"",'OCTUBRE 2026'!Z27="POR RECOGER"),'OCTUBRE 2026'!N27,"")</f>
        <v/>
      </c>
      <c r="I968" s="192" t="str">
        <f aca="false">IF(AND('OCTUBRE 2026'!D27&lt;&gt;"",'OCTUBRE 2026'!Z27="POR RECOGER"),'OCTUBRE 2026'!P27,"")</f>
        <v/>
      </c>
      <c r="J968" s="192" t="str">
        <f aca="false">IF(AND('OCTUBRE 2026'!D27&lt;&gt;"",'OCTUBRE 2026'!Z27="POR RECOGER"),'OCTUBRE 2026'!Q27,"")</f>
        <v/>
      </c>
      <c r="K968" s="192" t="str">
        <f aca="false">IF(AND('OCTUBRE 2026'!D27&lt;&gt;"",'OCTUBRE 2026'!Z27="POR RECOGER"),'OCTUBRE 2026'!Y27,"")</f>
        <v/>
      </c>
      <c r="L968" s="192" t="str">
        <f aca="false">IF(AND('OCTUBRE 2026'!D27&lt;&gt;"",'OCTUBRE 2026'!Z27="POR RECOGER"),'OCTUBRE 2026'!I27,"")</f>
        <v/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" hidden="false" customHeight="true" outlineLevel="0" collapsed="false">
      <c r="A969" s="192" t="str">
        <f aca="false">IF(AND('OCTUBRE 2026'!D28&lt;&gt;"",'OCTUBRE 2026'!Z28="POR RECOGER"),"OCT","")</f>
        <v/>
      </c>
      <c r="B969" s="192" t="str">
        <f aca="false">IF(AND('OCTUBRE 2026'!D28&lt;&gt;"",'OCTUBRE 2026'!Z28="POR RECOGER"),IF('OCTUBRE 2026'!Y28&lt;&gt;"",'OCTUBRE 2026'!Y28,'OCTUBRE 2026'!I28),"")</f>
        <v/>
      </c>
      <c r="C969" s="192" t="str">
        <f aca="false">IF(AND('OCTUBRE 2026'!D28&lt;&gt;"",'OCTUBRE 2026'!Z28="POR RECOGER"),'OCTUBRE 2026'!D28,"")</f>
        <v/>
      </c>
      <c r="D969" s="192" t="str">
        <f aca="false">IF(AND('OCTUBRE 2026'!D28&lt;&gt;"",'OCTUBRE 2026'!Z28="POR RECOGER"),'OCTUBRE 2026'!F28,"")</f>
        <v/>
      </c>
      <c r="E969" s="192" t="str">
        <f aca="false">IF(AND('OCTUBRE 2026'!D28&lt;&gt;"",'OCTUBRE 2026'!Z28="POR RECOGER"),TEXT('OCTUBRE 2026'!G28,"DD/MM/YYYY"),"")</f>
        <v/>
      </c>
      <c r="F969" s="192" t="str">
        <f aca="false">IF(AND('OCTUBRE 2026'!D28&lt;&gt;"",'OCTUBRE 2026'!Z28="POR RECOGER"),'OCTUBRE 2026'!K28,"")</f>
        <v/>
      </c>
      <c r="G969" s="193" t="str">
        <f aca="false">IF(AND('OCTUBRE 2026'!D28&lt;&gt;"",'OCTUBRE 2026'!Z28="POR RECOGER"),'OCTUBRE 2026'!M28,"")</f>
        <v/>
      </c>
      <c r="H969" s="193" t="str">
        <f aca="false">IF(AND('OCTUBRE 2026'!D28&lt;&gt;"",'OCTUBRE 2026'!Z28="POR RECOGER"),'OCTUBRE 2026'!N28,"")</f>
        <v/>
      </c>
      <c r="I969" s="192" t="str">
        <f aca="false">IF(AND('OCTUBRE 2026'!D28&lt;&gt;"",'OCTUBRE 2026'!Z28="POR RECOGER"),'OCTUBRE 2026'!P28,"")</f>
        <v/>
      </c>
      <c r="J969" s="192" t="str">
        <f aca="false">IF(AND('OCTUBRE 2026'!D28&lt;&gt;"",'OCTUBRE 2026'!Z28="POR RECOGER"),'OCTUBRE 2026'!Q28,"")</f>
        <v/>
      </c>
      <c r="K969" s="192" t="str">
        <f aca="false">IF(AND('OCTUBRE 2026'!D28&lt;&gt;"",'OCTUBRE 2026'!Z28="POR RECOGER"),'OCTUBRE 2026'!Y28,"")</f>
        <v/>
      </c>
      <c r="L969" s="192" t="str">
        <f aca="false">IF(AND('OCTUBRE 2026'!D28&lt;&gt;"",'OCTUBRE 2026'!Z28="POR RECOGER"),'OCTUBRE 2026'!I28,"")</f>
        <v/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" hidden="false" customHeight="true" outlineLevel="0" collapsed="false">
      <c r="A970" s="192" t="str">
        <f aca="false">IF(AND('OCTUBRE 2026'!D29&lt;&gt;"",'OCTUBRE 2026'!Z29="POR RECOGER"),"OCT","")</f>
        <v/>
      </c>
      <c r="B970" s="192" t="str">
        <f aca="false">IF(AND('OCTUBRE 2026'!D29&lt;&gt;"",'OCTUBRE 2026'!Z29="POR RECOGER"),IF('OCTUBRE 2026'!Y29&lt;&gt;"",'OCTUBRE 2026'!Y29,'OCTUBRE 2026'!I29),"")</f>
        <v/>
      </c>
      <c r="C970" s="192" t="str">
        <f aca="false">IF(AND('OCTUBRE 2026'!D29&lt;&gt;"",'OCTUBRE 2026'!Z29="POR RECOGER"),'OCTUBRE 2026'!D29,"")</f>
        <v/>
      </c>
      <c r="D970" s="192" t="str">
        <f aca="false">IF(AND('OCTUBRE 2026'!D29&lt;&gt;"",'OCTUBRE 2026'!Z29="POR RECOGER"),'OCTUBRE 2026'!F29,"")</f>
        <v/>
      </c>
      <c r="E970" s="192" t="str">
        <f aca="false">IF(AND('OCTUBRE 2026'!D29&lt;&gt;"",'OCTUBRE 2026'!Z29="POR RECOGER"),TEXT('OCTUBRE 2026'!G29,"DD/MM/YYYY"),"")</f>
        <v/>
      </c>
      <c r="F970" s="192" t="str">
        <f aca="false">IF(AND('OCTUBRE 2026'!D29&lt;&gt;"",'OCTUBRE 2026'!Z29="POR RECOGER"),'OCTUBRE 2026'!K29,"")</f>
        <v/>
      </c>
      <c r="G970" s="193" t="str">
        <f aca="false">IF(AND('OCTUBRE 2026'!D29&lt;&gt;"",'OCTUBRE 2026'!Z29="POR RECOGER"),'OCTUBRE 2026'!M29,"")</f>
        <v/>
      </c>
      <c r="H970" s="193" t="str">
        <f aca="false">IF(AND('OCTUBRE 2026'!D29&lt;&gt;"",'OCTUBRE 2026'!Z29="POR RECOGER"),'OCTUBRE 2026'!N29,"")</f>
        <v/>
      </c>
      <c r="I970" s="192" t="str">
        <f aca="false">IF(AND('OCTUBRE 2026'!D29&lt;&gt;"",'OCTUBRE 2026'!Z29="POR RECOGER"),'OCTUBRE 2026'!P29,"")</f>
        <v/>
      </c>
      <c r="J970" s="192" t="str">
        <f aca="false">IF(AND('OCTUBRE 2026'!D29&lt;&gt;"",'OCTUBRE 2026'!Z29="POR RECOGER"),'OCTUBRE 2026'!Q29,"")</f>
        <v/>
      </c>
      <c r="K970" s="192" t="str">
        <f aca="false">IF(AND('OCTUBRE 2026'!D29&lt;&gt;"",'OCTUBRE 2026'!Z29="POR RECOGER"),'OCTUBRE 2026'!Y29,"")</f>
        <v/>
      </c>
      <c r="L970" s="192" t="str">
        <f aca="false">IF(AND('OCTUBRE 2026'!D29&lt;&gt;"",'OCTUBRE 2026'!Z29="POR RECOGER"),'OCTUBRE 2026'!I29,"")</f>
        <v/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" hidden="false" customHeight="true" outlineLevel="0" collapsed="false">
      <c r="A971" s="192" t="str">
        <f aca="false">IF(AND('OCTUBRE 2026'!D30&lt;&gt;"",'OCTUBRE 2026'!Z30="POR RECOGER"),"OCT","")</f>
        <v/>
      </c>
      <c r="B971" s="192" t="str">
        <f aca="false">IF(AND('OCTUBRE 2026'!D30&lt;&gt;"",'OCTUBRE 2026'!Z30="POR RECOGER"),IF('OCTUBRE 2026'!Y30&lt;&gt;"",'OCTUBRE 2026'!Y30,'OCTUBRE 2026'!I30),"")</f>
        <v/>
      </c>
      <c r="C971" s="192" t="str">
        <f aca="false">IF(AND('OCTUBRE 2026'!D30&lt;&gt;"",'OCTUBRE 2026'!Z30="POR RECOGER"),'OCTUBRE 2026'!D30,"")</f>
        <v/>
      </c>
      <c r="D971" s="192" t="str">
        <f aca="false">IF(AND('OCTUBRE 2026'!D30&lt;&gt;"",'OCTUBRE 2026'!Z30="POR RECOGER"),'OCTUBRE 2026'!F30,"")</f>
        <v/>
      </c>
      <c r="E971" s="192" t="str">
        <f aca="false">IF(AND('OCTUBRE 2026'!D30&lt;&gt;"",'OCTUBRE 2026'!Z30="POR RECOGER"),TEXT('OCTUBRE 2026'!G30,"DD/MM/YYYY"),"")</f>
        <v/>
      </c>
      <c r="F971" s="192" t="str">
        <f aca="false">IF(AND('OCTUBRE 2026'!D30&lt;&gt;"",'OCTUBRE 2026'!Z30="POR RECOGER"),'OCTUBRE 2026'!K30,"")</f>
        <v/>
      </c>
      <c r="G971" s="193" t="str">
        <f aca="false">IF(AND('OCTUBRE 2026'!D30&lt;&gt;"",'OCTUBRE 2026'!Z30="POR RECOGER"),'OCTUBRE 2026'!M30,"")</f>
        <v/>
      </c>
      <c r="H971" s="193" t="str">
        <f aca="false">IF(AND('OCTUBRE 2026'!D30&lt;&gt;"",'OCTUBRE 2026'!Z30="POR RECOGER"),'OCTUBRE 2026'!N30,"")</f>
        <v/>
      </c>
      <c r="I971" s="192" t="str">
        <f aca="false">IF(AND('OCTUBRE 2026'!D30&lt;&gt;"",'OCTUBRE 2026'!Z30="POR RECOGER"),'OCTUBRE 2026'!P30,"")</f>
        <v/>
      </c>
      <c r="J971" s="192" t="str">
        <f aca="false">IF(AND('OCTUBRE 2026'!D30&lt;&gt;"",'OCTUBRE 2026'!Z30="POR RECOGER"),'OCTUBRE 2026'!Q30,"")</f>
        <v/>
      </c>
      <c r="K971" s="192" t="str">
        <f aca="false">IF(AND('OCTUBRE 2026'!D30&lt;&gt;"",'OCTUBRE 2026'!Z30="POR RECOGER"),'OCTUBRE 2026'!Y30,"")</f>
        <v/>
      </c>
      <c r="L971" s="192" t="str">
        <f aca="false">IF(AND('OCTUBRE 2026'!D30&lt;&gt;"",'OCTUBRE 2026'!Z30="POR RECOGER"),'OCTUBRE 2026'!I30,"")</f>
        <v/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" hidden="false" customHeight="true" outlineLevel="0" collapsed="false">
      <c r="A972" s="192" t="str">
        <f aca="false">IF(AND('OCTUBRE 2026'!D31&lt;&gt;"",'OCTUBRE 2026'!Z31="POR RECOGER"),"OCT","")</f>
        <v/>
      </c>
      <c r="B972" s="192" t="str">
        <f aca="false">IF(AND('OCTUBRE 2026'!D31&lt;&gt;"",'OCTUBRE 2026'!Z31="POR RECOGER"),IF('OCTUBRE 2026'!Y31&lt;&gt;"",'OCTUBRE 2026'!Y31,'OCTUBRE 2026'!I31),"")</f>
        <v/>
      </c>
      <c r="C972" s="192" t="str">
        <f aca="false">IF(AND('OCTUBRE 2026'!D31&lt;&gt;"",'OCTUBRE 2026'!Z31="POR RECOGER"),'OCTUBRE 2026'!D31,"")</f>
        <v/>
      </c>
      <c r="D972" s="192" t="str">
        <f aca="false">IF(AND('OCTUBRE 2026'!D31&lt;&gt;"",'OCTUBRE 2026'!Z31="POR RECOGER"),'OCTUBRE 2026'!F31,"")</f>
        <v/>
      </c>
      <c r="E972" s="192" t="str">
        <f aca="false">IF(AND('OCTUBRE 2026'!D31&lt;&gt;"",'OCTUBRE 2026'!Z31="POR RECOGER"),TEXT('OCTUBRE 2026'!G31,"DD/MM/YYYY"),"")</f>
        <v/>
      </c>
      <c r="F972" s="192" t="str">
        <f aca="false">IF(AND('OCTUBRE 2026'!D31&lt;&gt;"",'OCTUBRE 2026'!Z31="POR RECOGER"),'OCTUBRE 2026'!K31,"")</f>
        <v/>
      </c>
      <c r="G972" s="193" t="str">
        <f aca="false">IF(AND('OCTUBRE 2026'!D31&lt;&gt;"",'OCTUBRE 2026'!Z31="POR RECOGER"),'OCTUBRE 2026'!M31,"")</f>
        <v/>
      </c>
      <c r="H972" s="193" t="str">
        <f aca="false">IF(AND('OCTUBRE 2026'!D31&lt;&gt;"",'OCTUBRE 2026'!Z31="POR RECOGER"),'OCTUBRE 2026'!N31,"")</f>
        <v/>
      </c>
      <c r="I972" s="192" t="str">
        <f aca="false">IF(AND('OCTUBRE 2026'!D31&lt;&gt;"",'OCTUBRE 2026'!Z31="POR RECOGER"),'OCTUBRE 2026'!P31,"")</f>
        <v/>
      </c>
      <c r="J972" s="192" t="str">
        <f aca="false">IF(AND('OCTUBRE 2026'!D31&lt;&gt;"",'OCTUBRE 2026'!Z31="POR RECOGER"),'OCTUBRE 2026'!Q31,"")</f>
        <v/>
      </c>
      <c r="K972" s="192" t="str">
        <f aca="false">IF(AND('OCTUBRE 2026'!D31&lt;&gt;"",'OCTUBRE 2026'!Z31="POR RECOGER"),'OCTUBRE 2026'!Y31,"")</f>
        <v/>
      </c>
      <c r="L972" s="192" t="str">
        <f aca="false">IF(AND('OCTUBRE 2026'!D31&lt;&gt;"",'OCTUBRE 2026'!Z31="POR RECOGER"),'OCTUBRE 2026'!I31,"")</f>
        <v/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" hidden="false" customHeight="true" outlineLevel="0" collapsed="false">
      <c r="A973" s="192" t="str">
        <f aca="false">IF(AND('OCTUBRE 2026'!D32&lt;&gt;"",'OCTUBRE 2026'!Z32="POR RECOGER"),"OCT","")</f>
        <v/>
      </c>
      <c r="B973" s="192" t="str">
        <f aca="false">IF(AND('OCTUBRE 2026'!D32&lt;&gt;"",'OCTUBRE 2026'!Z32="POR RECOGER"),IF('OCTUBRE 2026'!Y32&lt;&gt;"",'OCTUBRE 2026'!Y32,'OCTUBRE 2026'!I32),"")</f>
        <v/>
      </c>
      <c r="C973" s="192" t="str">
        <f aca="false">IF(AND('OCTUBRE 2026'!D32&lt;&gt;"",'OCTUBRE 2026'!Z32="POR RECOGER"),'OCTUBRE 2026'!D32,"")</f>
        <v/>
      </c>
      <c r="D973" s="192" t="str">
        <f aca="false">IF(AND('OCTUBRE 2026'!D32&lt;&gt;"",'OCTUBRE 2026'!Z32="POR RECOGER"),'OCTUBRE 2026'!F32,"")</f>
        <v/>
      </c>
      <c r="E973" s="192" t="str">
        <f aca="false">IF(AND('OCTUBRE 2026'!D32&lt;&gt;"",'OCTUBRE 2026'!Z32="POR RECOGER"),TEXT('OCTUBRE 2026'!G32,"DD/MM/YYYY"),"")</f>
        <v/>
      </c>
      <c r="F973" s="192" t="str">
        <f aca="false">IF(AND('OCTUBRE 2026'!D32&lt;&gt;"",'OCTUBRE 2026'!Z32="POR RECOGER"),'OCTUBRE 2026'!K32,"")</f>
        <v/>
      </c>
      <c r="G973" s="193" t="str">
        <f aca="false">IF(AND('OCTUBRE 2026'!D32&lt;&gt;"",'OCTUBRE 2026'!Z32="POR RECOGER"),'OCTUBRE 2026'!M32,"")</f>
        <v/>
      </c>
      <c r="H973" s="193" t="str">
        <f aca="false">IF(AND('OCTUBRE 2026'!D32&lt;&gt;"",'OCTUBRE 2026'!Z32="POR RECOGER"),'OCTUBRE 2026'!N32,"")</f>
        <v/>
      </c>
      <c r="I973" s="192" t="str">
        <f aca="false">IF(AND('OCTUBRE 2026'!D32&lt;&gt;"",'OCTUBRE 2026'!Z32="POR RECOGER"),'OCTUBRE 2026'!P32,"")</f>
        <v/>
      </c>
      <c r="J973" s="192" t="str">
        <f aca="false">IF(AND('OCTUBRE 2026'!D32&lt;&gt;"",'OCTUBRE 2026'!Z32="POR RECOGER"),'OCTUBRE 2026'!Q32,"")</f>
        <v/>
      </c>
      <c r="K973" s="192" t="str">
        <f aca="false">IF(AND('OCTUBRE 2026'!D32&lt;&gt;"",'OCTUBRE 2026'!Z32="POR RECOGER"),'OCTUBRE 2026'!Y32,"")</f>
        <v/>
      </c>
      <c r="L973" s="192" t="str">
        <f aca="false">IF(AND('OCTUBRE 2026'!D32&lt;&gt;"",'OCTUBRE 2026'!Z32="POR RECOGER"),'OCTUBRE 2026'!I32,"")</f>
        <v/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" hidden="false" customHeight="true" outlineLevel="0" collapsed="false">
      <c r="A974" s="192" t="str">
        <f aca="false">IF(AND('OCTUBRE 2026'!D33&lt;&gt;"",'OCTUBRE 2026'!Z33="POR RECOGER"),"OCT","")</f>
        <v/>
      </c>
      <c r="B974" s="192" t="str">
        <f aca="false">IF(AND('OCTUBRE 2026'!D33&lt;&gt;"",'OCTUBRE 2026'!Z33="POR RECOGER"),IF('OCTUBRE 2026'!Y33&lt;&gt;"",'OCTUBRE 2026'!Y33,'OCTUBRE 2026'!I33),"")</f>
        <v/>
      </c>
      <c r="C974" s="192" t="str">
        <f aca="false">IF(AND('OCTUBRE 2026'!D33&lt;&gt;"",'OCTUBRE 2026'!Z33="POR RECOGER"),'OCTUBRE 2026'!D33,"")</f>
        <v/>
      </c>
      <c r="D974" s="192" t="str">
        <f aca="false">IF(AND('OCTUBRE 2026'!D33&lt;&gt;"",'OCTUBRE 2026'!Z33="POR RECOGER"),'OCTUBRE 2026'!F33,"")</f>
        <v/>
      </c>
      <c r="E974" s="192" t="str">
        <f aca="false">IF(AND('OCTUBRE 2026'!D33&lt;&gt;"",'OCTUBRE 2026'!Z33="POR RECOGER"),TEXT('OCTUBRE 2026'!G33,"DD/MM/YYYY"),"")</f>
        <v/>
      </c>
      <c r="F974" s="192" t="str">
        <f aca="false">IF(AND('OCTUBRE 2026'!D33&lt;&gt;"",'OCTUBRE 2026'!Z33="POR RECOGER"),'OCTUBRE 2026'!K33,"")</f>
        <v/>
      </c>
      <c r="G974" s="193" t="str">
        <f aca="false">IF(AND('OCTUBRE 2026'!D33&lt;&gt;"",'OCTUBRE 2026'!Z33="POR RECOGER"),'OCTUBRE 2026'!M33,"")</f>
        <v/>
      </c>
      <c r="H974" s="193" t="str">
        <f aca="false">IF(AND('OCTUBRE 2026'!D33&lt;&gt;"",'OCTUBRE 2026'!Z33="POR RECOGER"),'OCTUBRE 2026'!N33,"")</f>
        <v/>
      </c>
      <c r="I974" s="192" t="str">
        <f aca="false">IF(AND('OCTUBRE 2026'!D33&lt;&gt;"",'OCTUBRE 2026'!Z33="POR RECOGER"),'OCTUBRE 2026'!P33,"")</f>
        <v/>
      </c>
      <c r="J974" s="192" t="str">
        <f aca="false">IF(AND('OCTUBRE 2026'!D33&lt;&gt;"",'OCTUBRE 2026'!Z33="POR RECOGER"),'OCTUBRE 2026'!Q33,"")</f>
        <v/>
      </c>
      <c r="K974" s="192" t="str">
        <f aca="false">IF(AND('OCTUBRE 2026'!D33&lt;&gt;"",'OCTUBRE 2026'!Z33="POR RECOGER"),'OCTUBRE 2026'!Y33,"")</f>
        <v/>
      </c>
      <c r="L974" s="192" t="str">
        <f aca="false">IF(AND('OCTUBRE 2026'!D33&lt;&gt;"",'OCTUBRE 2026'!Z33="POR RECOGER"),'OCTUBRE 2026'!I33,"")</f>
        <v/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" hidden="false" customHeight="true" outlineLevel="0" collapsed="false">
      <c r="A975" s="192" t="str">
        <f aca="false">IF(AND('OCTUBRE 2026'!D34&lt;&gt;"",'OCTUBRE 2026'!Z34="POR RECOGER"),"OCT","")</f>
        <v/>
      </c>
      <c r="B975" s="192" t="str">
        <f aca="false">IF(AND('OCTUBRE 2026'!D34&lt;&gt;"",'OCTUBRE 2026'!Z34="POR RECOGER"),IF('OCTUBRE 2026'!Y34&lt;&gt;"",'OCTUBRE 2026'!Y34,'OCTUBRE 2026'!I34),"")</f>
        <v/>
      </c>
      <c r="C975" s="192" t="str">
        <f aca="false">IF(AND('OCTUBRE 2026'!D34&lt;&gt;"",'OCTUBRE 2026'!Z34="POR RECOGER"),'OCTUBRE 2026'!D34,"")</f>
        <v/>
      </c>
      <c r="D975" s="192" t="str">
        <f aca="false">IF(AND('OCTUBRE 2026'!D34&lt;&gt;"",'OCTUBRE 2026'!Z34="POR RECOGER"),'OCTUBRE 2026'!F34,"")</f>
        <v/>
      </c>
      <c r="E975" s="192" t="str">
        <f aca="false">IF(AND('OCTUBRE 2026'!D34&lt;&gt;"",'OCTUBRE 2026'!Z34="POR RECOGER"),TEXT('OCTUBRE 2026'!G34,"DD/MM/YYYY"),"")</f>
        <v/>
      </c>
      <c r="F975" s="192" t="str">
        <f aca="false">IF(AND('OCTUBRE 2026'!D34&lt;&gt;"",'OCTUBRE 2026'!Z34="POR RECOGER"),'OCTUBRE 2026'!K34,"")</f>
        <v/>
      </c>
      <c r="G975" s="193" t="str">
        <f aca="false">IF(AND('OCTUBRE 2026'!D34&lt;&gt;"",'OCTUBRE 2026'!Z34="POR RECOGER"),'OCTUBRE 2026'!M34,"")</f>
        <v/>
      </c>
      <c r="H975" s="193" t="str">
        <f aca="false">IF(AND('OCTUBRE 2026'!D34&lt;&gt;"",'OCTUBRE 2026'!Z34="POR RECOGER"),'OCTUBRE 2026'!N34,"")</f>
        <v/>
      </c>
      <c r="I975" s="192" t="str">
        <f aca="false">IF(AND('OCTUBRE 2026'!D34&lt;&gt;"",'OCTUBRE 2026'!Z34="POR RECOGER"),'OCTUBRE 2026'!P34,"")</f>
        <v/>
      </c>
      <c r="J975" s="192" t="str">
        <f aca="false">IF(AND('OCTUBRE 2026'!D34&lt;&gt;"",'OCTUBRE 2026'!Z34="POR RECOGER"),'OCTUBRE 2026'!Q34,"")</f>
        <v/>
      </c>
      <c r="K975" s="192" t="str">
        <f aca="false">IF(AND('OCTUBRE 2026'!D34&lt;&gt;"",'OCTUBRE 2026'!Z34="POR RECOGER"),'OCTUBRE 2026'!Y34,"")</f>
        <v/>
      </c>
      <c r="L975" s="192" t="str">
        <f aca="false">IF(AND('OCTUBRE 2026'!D34&lt;&gt;"",'OCTUBRE 2026'!Z34="POR RECOGER"),'OCTUBRE 2026'!I34,"")</f>
        <v/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" hidden="false" customHeight="true" outlineLevel="0" collapsed="false">
      <c r="A976" s="192" t="str">
        <f aca="false">IF(AND('OCTUBRE 2026'!D35&lt;&gt;"",'OCTUBRE 2026'!Z35="POR RECOGER"),"OCT","")</f>
        <v/>
      </c>
      <c r="B976" s="192" t="str">
        <f aca="false">IF(AND('OCTUBRE 2026'!D35&lt;&gt;"",'OCTUBRE 2026'!Z35="POR RECOGER"),IF('OCTUBRE 2026'!Y35&lt;&gt;"",'OCTUBRE 2026'!Y35,'OCTUBRE 2026'!I35),"")</f>
        <v/>
      </c>
      <c r="C976" s="192" t="str">
        <f aca="false">IF(AND('OCTUBRE 2026'!D35&lt;&gt;"",'OCTUBRE 2026'!Z35="POR RECOGER"),'OCTUBRE 2026'!D35,"")</f>
        <v/>
      </c>
      <c r="D976" s="192" t="str">
        <f aca="false">IF(AND('OCTUBRE 2026'!D35&lt;&gt;"",'OCTUBRE 2026'!Z35="POR RECOGER"),'OCTUBRE 2026'!F35,"")</f>
        <v/>
      </c>
      <c r="E976" s="192" t="str">
        <f aca="false">IF(AND('OCTUBRE 2026'!D35&lt;&gt;"",'OCTUBRE 2026'!Z35="POR RECOGER"),TEXT('OCTUBRE 2026'!G35,"DD/MM/YYYY"),"")</f>
        <v/>
      </c>
      <c r="F976" s="192" t="str">
        <f aca="false">IF(AND('OCTUBRE 2026'!D35&lt;&gt;"",'OCTUBRE 2026'!Z35="POR RECOGER"),'OCTUBRE 2026'!K35,"")</f>
        <v/>
      </c>
      <c r="G976" s="193" t="str">
        <f aca="false">IF(AND('OCTUBRE 2026'!D35&lt;&gt;"",'OCTUBRE 2026'!Z35="POR RECOGER"),'OCTUBRE 2026'!M35,"")</f>
        <v/>
      </c>
      <c r="H976" s="193" t="str">
        <f aca="false">IF(AND('OCTUBRE 2026'!D35&lt;&gt;"",'OCTUBRE 2026'!Z35="POR RECOGER"),'OCTUBRE 2026'!N35,"")</f>
        <v/>
      </c>
      <c r="I976" s="192" t="str">
        <f aca="false">IF(AND('OCTUBRE 2026'!D35&lt;&gt;"",'OCTUBRE 2026'!Z35="POR RECOGER"),'OCTUBRE 2026'!P35,"")</f>
        <v/>
      </c>
      <c r="J976" s="192" t="str">
        <f aca="false">IF(AND('OCTUBRE 2026'!D35&lt;&gt;"",'OCTUBRE 2026'!Z35="POR RECOGER"),'OCTUBRE 2026'!Q35,"")</f>
        <v/>
      </c>
      <c r="K976" s="192" t="str">
        <f aca="false">IF(AND('OCTUBRE 2026'!D35&lt;&gt;"",'OCTUBRE 2026'!Z35="POR RECOGER"),'OCTUBRE 2026'!Y35,"")</f>
        <v/>
      </c>
      <c r="L976" s="192" t="str">
        <f aca="false">IF(AND('OCTUBRE 2026'!D35&lt;&gt;"",'OCTUBRE 2026'!Z35="POR RECOGER"),'OCTUBRE 2026'!I35,"")</f>
        <v/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" hidden="false" customHeight="true" outlineLevel="0" collapsed="false">
      <c r="A977" s="192" t="str">
        <f aca="false">IF(AND('OCTUBRE 2026'!D36&lt;&gt;"",'OCTUBRE 2026'!Z36="POR RECOGER"),"OCT","")</f>
        <v/>
      </c>
      <c r="B977" s="192" t="str">
        <f aca="false">IF(AND('OCTUBRE 2026'!D36&lt;&gt;"",'OCTUBRE 2026'!Z36="POR RECOGER"),IF('OCTUBRE 2026'!Y36&lt;&gt;"",'OCTUBRE 2026'!Y36,'OCTUBRE 2026'!I36),"")</f>
        <v/>
      </c>
      <c r="C977" s="192" t="str">
        <f aca="false">IF(AND('OCTUBRE 2026'!D36&lt;&gt;"",'OCTUBRE 2026'!Z36="POR RECOGER"),'OCTUBRE 2026'!D36,"")</f>
        <v/>
      </c>
      <c r="D977" s="192" t="str">
        <f aca="false">IF(AND('OCTUBRE 2026'!D36&lt;&gt;"",'OCTUBRE 2026'!Z36="POR RECOGER"),'OCTUBRE 2026'!F36,"")</f>
        <v/>
      </c>
      <c r="E977" s="192" t="str">
        <f aca="false">IF(AND('OCTUBRE 2026'!D36&lt;&gt;"",'OCTUBRE 2026'!Z36="POR RECOGER"),TEXT('OCTUBRE 2026'!G36,"DD/MM/YYYY"),"")</f>
        <v/>
      </c>
      <c r="F977" s="192" t="str">
        <f aca="false">IF(AND('OCTUBRE 2026'!D36&lt;&gt;"",'OCTUBRE 2026'!Z36="POR RECOGER"),'OCTUBRE 2026'!K36,"")</f>
        <v/>
      </c>
      <c r="G977" s="193" t="str">
        <f aca="false">IF(AND('OCTUBRE 2026'!D36&lt;&gt;"",'OCTUBRE 2026'!Z36="POR RECOGER"),'OCTUBRE 2026'!M36,"")</f>
        <v/>
      </c>
      <c r="H977" s="193" t="str">
        <f aca="false">IF(AND('OCTUBRE 2026'!D36&lt;&gt;"",'OCTUBRE 2026'!Z36="POR RECOGER"),'OCTUBRE 2026'!N36,"")</f>
        <v/>
      </c>
      <c r="I977" s="192" t="str">
        <f aca="false">IF(AND('OCTUBRE 2026'!D36&lt;&gt;"",'OCTUBRE 2026'!Z36="POR RECOGER"),'OCTUBRE 2026'!P36,"")</f>
        <v/>
      </c>
      <c r="J977" s="192" t="str">
        <f aca="false">IF(AND('OCTUBRE 2026'!D36&lt;&gt;"",'OCTUBRE 2026'!Z36="POR RECOGER"),'OCTUBRE 2026'!Q36,"")</f>
        <v/>
      </c>
      <c r="K977" s="192" t="str">
        <f aca="false">IF(AND('OCTUBRE 2026'!D36&lt;&gt;"",'OCTUBRE 2026'!Z36="POR RECOGER"),'OCTUBRE 2026'!Y36,"")</f>
        <v/>
      </c>
      <c r="L977" s="192" t="str">
        <f aca="false">IF(AND('OCTUBRE 2026'!D36&lt;&gt;"",'OCTUBRE 2026'!Z36="POR RECOGER"),'OCTUBRE 2026'!I36,"")</f>
        <v/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" hidden="false" customHeight="true" outlineLevel="0" collapsed="false">
      <c r="A978" s="192" t="str">
        <f aca="false">IF(AND('OCTUBRE 2026'!D37&lt;&gt;"",'OCTUBRE 2026'!Z37="POR RECOGER"),"OCT","")</f>
        <v/>
      </c>
      <c r="B978" s="192" t="str">
        <f aca="false">IF(AND('OCTUBRE 2026'!D37&lt;&gt;"",'OCTUBRE 2026'!Z37="POR RECOGER"),IF('OCTUBRE 2026'!Y37&lt;&gt;"",'OCTUBRE 2026'!Y37,'OCTUBRE 2026'!I37),"")</f>
        <v/>
      </c>
      <c r="C978" s="192" t="str">
        <f aca="false">IF(AND('OCTUBRE 2026'!D37&lt;&gt;"",'OCTUBRE 2026'!Z37="POR RECOGER"),'OCTUBRE 2026'!D37,"")</f>
        <v/>
      </c>
      <c r="D978" s="192" t="str">
        <f aca="false">IF(AND('OCTUBRE 2026'!D37&lt;&gt;"",'OCTUBRE 2026'!Z37="POR RECOGER"),'OCTUBRE 2026'!F37,"")</f>
        <v/>
      </c>
      <c r="E978" s="192" t="str">
        <f aca="false">IF(AND('OCTUBRE 2026'!D37&lt;&gt;"",'OCTUBRE 2026'!Z37="POR RECOGER"),TEXT('OCTUBRE 2026'!G37,"DD/MM/YYYY"),"")</f>
        <v/>
      </c>
      <c r="F978" s="192" t="str">
        <f aca="false">IF(AND('OCTUBRE 2026'!D37&lt;&gt;"",'OCTUBRE 2026'!Z37="POR RECOGER"),'OCTUBRE 2026'!K37,"")</f>
        <v/>
      </c>
      <c r="G978" s="193" t="str">
        <f aca="false">IF(AND('OCTUBRE 2026'!D37&lt;&gt;"",'OCTUBRE 2026'!Z37="POR RECOGER"),'OCTUBRE 2026'!M37,"")</f>
        <v/>
      </c>
      <c r="H978" s="193" t="str">
        <f aca="false">IF(AND('OCTUBRE 2026'!D37&lt;&gt;"",'OCTUBRE 2026'!Z37="POR RECOGER"),'OCTUBRE 2026'!N37,"")</f>
        <v/>
      </c>
      <c r="I978" s="192" t="str">
        <f aca="false">IF(AND('OCTUBRE 2026'!D37&lt;&gt;"",'OCTUBRE 2026'!Z37="POR RECOGER"),'OCTUBRE 2026'!P37,"")</f>
        <v/>
      </c>
      <c r="J978" s="192" t="str">
        <f aca="false">IF(AND('OCTUBRE 2026'!D37&lt;&gt;"",'OCTUBRE 2026'!Z37="POR RECOGER"),'OCTUBRE 2026'!Q37,"")</f>
        <v/>
      </c>
      <c r="K978" s="192" t="str">
        <f aca="false">IF(AND('OCTUBRE 2026'!D37&lt;&gt;"",'OCTUBRE 2026'!Z37="POR RECOGER"),'OCTUBRE 2026'!Y37,"")</f>
        <v/>
      </c>
      <c r="L978" s="192" t="str">
        <f aca="false">IF(AND('OCTUBRE 2026'!D37&lt;&gt;"",'OCTUBRE 2026'!Z37="POR RECOGER"),'OCTUBRE 2026'!I37,"")</f>
        <v/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" hidden="false" customHeight="true" outlineLevel="0" collapsed="false">
      <c r="A979" s="192" t="str">
        <f aca="false">IF(AND('OCTUBRE 2026'!D38&lt;&gt;"",'OCTUBRE 2026'!Z38="POR RECOGER"),"OCT","")</f>
        <v/>
      </c>
      <c r="B979" s="192" t="str">
        <f aca="false">IF(AND('OCTUBRE 2026'!D38&lt;&gt;"",'OCTUBRE 2026'!Z38="POR RECOGER"),IF('OCTUBRE 2026'!Y38&lt;&gt;"",'OCTUBRE 2026'!Y38,'OCTUBRE 2026'!I38),"")</f>
        <v/>
      </c>
      <c r="C979" s="192" t="str">
        <f aca="false">IF(AND('OCTUBRE 2026'!D38&lt;&gt;"",'OCTUBRE 2026'!Z38="POR RECOGER"),'OCTUBRE 2026'!D38,"")</f>
        <v/>
      </c>
      <c r="D979" s="192" t="str">
        <f aca="false">IF(AND('OCTUBRE 2026'!D38&lt;&gt;"",'OCTUBRE 2026'!Z38="POR RECOGER"),'OCTUBRE 2026'!F38,"")</f>
        <v/>
      </c>
      <c r="E979" s="192" t="str">
        <f aca="false">IF(AND('OCTUBRE 2026'!D38&lt;&gt;"",'OCTUBRE 2026'!Z38="POR RECOGER"),TEXT('OCTUBRE 2026'!G38,"DD/MM/YYYY"),"")</f>
        <v/>
      </c>
      <c r="F979" s="192" t="str">
        <f aca="false">IF(AND('OCTUBRE 2026'!D38&lt;&gt;"",'OCTUBRE 2026'!Z38="POR RECOGER"),'OCTUBRE 2026'!K38,"")</f>
        <v/>
      </c>
      <c r="G979" s="193" t="str">
        <f aca="false">IF(AND('OCTUBRE 2026'!D38&lt;&gt;"",'OCTUBRE 2026'!Z38="POR RECOGER"),'OCTUBRE 2026'!M38,"")</f>
        <v/>
      </c>
      <c r="H979" s="193" t="str">
        <f aca="false">IF(AND('OCTUBRE 2026'!D38&lt;&gt;"",'OCTUBRE 2026'!Z38="POR RECOGER"),'OCTUBRE 2026'!N38,"")</f>
        <v/>
      </c>
      <c r="I979" s="192" t="str">
        <f aca="false">IF(AND('OCTUBRE 2026'!D38&lt;&gt;"",'OCTUBRE 2026'!Z38="POR RECOGER"),'OCTUBRE 2026'!P38,"")</f>
        <v/>
      </c>
      <c r="J979" s="192" t="str">
        <f aca="false">IF(AND('OCTUBRE 2026'!D38&lt;&gt;"",'OCTUBRE 2026'!Z38="POR RECOGER"),'OCTUBRE 2026'!Q38,"")</f>
        <v/>
      </c>
      <c r="K979" s="192" t="str">
        <f aca="false">IF(AND('OCTUBRE 2026'!D38&lt;&gt;"",'OCTUBRE 2026'!Z38="POR RECOGER"),'OCTUBRE 2026'!Y38,"")</f>
        <v/>
      </c>
      <c r="L979" s="192" t="str">
        <f aca="false">IF(AND('OCTUBRE 2026'!D38&lt;&gt;"",'OCTUBRE 2026'!Z38="POR RECOGER"),'OCTUBRE 2026'!I38,"")</f>
        <v/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" hidden="false" customHeight="true" outlineLevel="0" collapsed="false">
      <c r="A980" s="192" t="str">
        <f aca="false">IF(AND('OCTUBRE 2026'!D39&lt;&gt;"",'OCTUBRE 2026'!Z39="POR RECOGER"),"OCT","")</f>
        <v/>
      </c>
      <c r="B980" s="192" t="str">
        <f aca="false">IF(AND('OCTUBRE 2026'!D39&lt;&gt;"",'OCTUBRE 2026'!Z39="POR RECOGER"),IF('OCTUBRE 2026'!Y39&lt;&gt;"",'OCTUBRE 2026'!Y39,'OCTUBRE 2026'!I39),"")</f>
        <v/>
      </c>
      <c r="C980" s="192" t="str">
        <f aca="false">IF(AND('OCTUBRE 2026'!D39&lt;&gt;"",'OCTUBRE 2026'!Z39="POR RECOGER"),'OCTUBRE 2026'!D39,"")</f>
        <v/>
      </c>
      <c r="D980" s="192" t="str">
        <f aca="false">IF(AND('OCTUBRE 2026'!D39&lt;&gt;"",'OCTUBRE 2026'!Z39="POR RECOGER"),'OCTUBRE 2026'!F39,"")</f>
        <v/>
      </c>
      <c r="E980" s="192" t="str">
        <f aca="false">IF(AND('OCTUBRE 2026'!D39&lt;&gt;"",'OCTUBRE 2026'!Z39="POR RECOGER"),TEXT('OCTUBRE 2026'!G39,"DD/MM/YYYY"),"")</f>
        <v/>
      </c>
      <c r="F980" s="192" t="str">
        <f aca="false">IF(AND('OCTUBRE 2026'!D39&lt;&gt;"",'OCTUBRE 2026'!Z39="POR RECOGER"),'OCTUBRE 2026'!K39,"")</f>
        <v/>
      </c>
      <c r="G980" s="193" t="str">
        <f aca="false">IF(AND('OCTUBRE 2026'!D39&lt;&gt;"",'OCTUBRE 2026'!Z39="POR RECOGER"),'OCTUBRE 2026'!M39,"")</f>
        <v/>
      </c>
      <c r="H980" s="193" t="str">
        <f aca="false">IF(AND('OCTUBRE 2026'!D39&lt;&gt;"",'OCTUBRE 2026'!Z39="POR RECOGER"),'OCTUBRE 2026'!N39,"")</f>
        <v/>
      </c>
      <c r="I980" s="192" t="str">
        <f aca="false">IF(AND('OCTUBRE 2026'!D39&lt;&gt;"",'OCTUBRE 2026'!Z39="POR RECOGER"),'OCTUBRE 2026'!P39,"")</f>
        <v/>
      </c>
      <c r="J980" s="192" t="str">
        <f aca="false">IF(AND('OCTUBRE 2026'!D39&lt;&gt;"",'OCTUBRE 2026'!Z39="POR RECOGER"),'OCTUBRE 2026'!Q39,"")</f>
        <v/>
      </c>
      <c r="K980" s="192" t="str">
        <f aca="false">IF(AND('OCTUBRE 2026'!D39&lt;&gt;"",'OCTUBRE 2026'!Z39="POR RECOGER"),'OCTUBRE 2026'!Y39,"")</f>
        <v/>
      </c>
      <c r="L980" s="192" t="str">
        <f aca="false">IF(AND('OCTUBRE 2026'!D39&lt;&gt;"",'OCTUBRE 2026'!Z39="POR RECOGER"),'OCTUBRE 2026'!I39,"")</f>
        <v/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" hidden="false" customHeight="true" outlineLevel="0" collapsed="false">
      <c r="A981" s="192" t="str">
        <f aca="false">IF(AND('OCTUBRE 2026'!D40&lt;&gt;"",'OCTUBRE 2026'!Z40="POR RECOGER"),"OCT","")</f>
        <v/>
      </c>
      <c r="B981" s="192" t="str">
        <f aca="false">IF(AND('OCTUBRE 2026'!D40&lt;&gt;"",'OCTUBRE 2026'!Z40="POR RECOGER"),IF('OCTUBRE 2026'!Y40&lt;&gt;"",'OCTUBRE 2026'!Y40,'OCTUBRE 2026'!I40),"")</f>
        <v/>
      </c>
      <c r="C981" s="192" t="str">
        <f aca="false">IF(AND('OCTUBRE 2026'!D40&lt;&gt;"",'OCTUBRE 2026'!Z40="POR RECOGER"),'OCTUBRE 2026'!D40,"")</f>
        <v/>
      </c>
      <c r="D981" s="192" t="str">
        <f aca="false">IF(AND('OCTUBRE 2026'!D40&lt;&gt;"",'OCTUBRE 2026'!Z40="POR RECOGER"),'OCTUBRE 2026'!F40,"")</f>
        <v/>
      </c>
      <c r="E981" s="192" t="str">
        <f aca="false">IF(AND('OCTUBRE 2026'!D40&lt;&gt;"",'OCTUBRE 2026'!Z40="POR RECOGER"),TEXT('OCTUBRE 2026'!G40,"DD/MM/YYYY"),"")</f>
        <v/>
      </c>
      <c r="F981" s="192" t="str">
        <f aca="false">IF(AND('OCTUBRE 2026'!D40&lt;&gt;"",'OCTUBRE 2026'!Z40="POR RECOGER"),'OCTUBRE 2026'!K40,"")</f>
        <v/>
      </c>
      <c r="G981" s="193" t="str">
        <f aca="false">IF(AND('OCTUBRE 2026'!D40&lt;&gt;"",'OCTUBRE 2026'!Z40="POR RECOGER"),'OCTUBRE 2026'!M40,"")</f>
        <v/>
      </c>
      <c r="H981" s="193" t="str">
        <f aca="false">IF(AND('OCTUBRE 2026'!D40&lt;&gt;"",'OCTUBRE 2026'!Z40="POR RECOGER"),'OCTUBRE 2026'!N40,"")</f>
        <v/>
      </c>
      <c r="I981" s="192" t="str">
        <f aca="false">IF(AND('OCTUBRE 2026'!D40&lt;&gt;"",'OCTUBRE 2026'!Z40="POR RECOGER"),'OCTUBRE 2026'!P40,"")</f>
        <v/>
      </c>
      <c r="J981" s="192" t="str">
        <f aca="false">IF(AND('OCTUBRE 2026'!D40&lt;&gt;"",'OCTUBRE 2026'!Z40="POR RECOGER"),'OCTUBRE 2026'!Q40,"")</f>
        <v/>
      </c>
      <c r="K981" s="192" t="str">
        <f aca="false">IF(AND('OCTUBRE 2026'!D40&lt;&gt;"",'OCTUBRE 2026'!Z40="POR RECOGER"),'OCTUBRE 2026'!Y40,"")</f>
        <v/>
      </c>
      <c r="L981" s="192" t="str">
        <f aca="false">IF(AND('OCTUBRE 2026'!D40&lt;&gt;"",'OCTUBRE 2026'!Z40="POR RECOGER"),'OCTUBRE 2026'!I40,"")</f>
        <v/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" hidden="false" customHeight="true" outlineLevel="0" collapsed="false">
      <c r="A982" s="192" t="str">
        <f aca="false">IF(AND('OCTUBRE 2026'!D41&lt;&gt;"",'OCTUBRE 2026'!Z41="POR RECOGER"),"OCT","")</f>
        <v/>
      </c>
      <c r="B982" s="192" t="str">
        <f aca="false">IF(AND('OCTUBRE 2026'!D41&lt;&gt;"",'OCTUBRE 2026'!Z41="POR RECOGER"),IF('OCTUBRE 2026'!Y41&lt;&gt;"",'OCTUBRE 2026'!Y41,'OCTUBRE 2026'!I41),"")</f>
        <v/>
      </c>
      <c r="C982" s="192" t="str">
        <f aca="false">IF(AND('OCTUBRE 2026'!D41&lt;&gt;"",'OCTUBRE 2026'!Z41="POR RECOGER"),'OCTUBRE 2026'!D41,"")</f>
        <v/>
      </c>
      <c r="D982" s="192" t="str">
        <f aca="false">IF(AND('OCTUBRE 2026'!D41&lt;&gt;"",'OCTUBRE 2026'!Z41="POR RECOGER"),'OCTUBRE 2026'!F41,"")</f>
        <v/>
      </c>
      <c r="E982" s="192" t="str">
        <f aca="false">IF(AND('OCTUBRE 2026'!D41&lt;&gt;"",'OCTUBRE 2026'!Z41="POR RECOGER"),TEXT('OCTUBRE 2026'!G41,"DD/MM/YYYY"),"")</f>
        <v/>
      </c>
      <c r="F982" s="192" t="str">
        <f aca="false">IF(AND('OCTUBRE 2026'!D41&lt;&gt;"",'OCTUBRE 2026'!Z41="POR RECOGER"),'OCTUBRE 2026'!K41,"")</f>
        <v/>
      </c>
      <c r="G982" s="193" t="str">
        <f aca="false">IF(AND('OCTUBRE 2026'!D41&lt;&gt;"",'OCTUBRE 2026'!Z41="POR RECOGER"),'OCTUBRE 2026'!M41,"")</f>
        <v/>
      </c>
      <c r="H982" s="193" t="str">
        <f aca="false">IF(AND('OCTUBRE 2026'!D41&lt;&gt;"",'OCTUBRE 2026'!Z41="POR RECOGER"),'OCTUBRE 2026'!N41,"")</f>
        <v/>
      </c>
      <c r="I982" s="192" t="str">
        <f aca="false">IF(AND('OCTUBRE 2026'!D41&lt;&gt;"",'OCTUBRE 2026'!Z41="POR RECOGER"),'OCTUBRE 2026'!P41,"")</f>
        <v/>
      </c>
      <c r="J982" s="192" t="str">
        <f aca="false">IF(AND('OCTUBRE 2026'!D41&lt;&gt;"",'OCTUBRE 2026'!Z41="POR RECOGER"),'OCTUBRE 2026'!Q41,"")</f>
        <v/>
      </c>
      <c r="K982" s="192" t="str">
        <f aca="false">IF(AND('OCTUBRE 2026'!D41&lt;&gt;"",'OCTUBRE 2026'!Z41="POR RECOGER"),'OCTUBRE 2026'!Y41,"")</f>
        <v/>
      </c>
      <c r="L982" s="192" t="str">
        <f aca="false">IF(AND('OCTUBRE 2026'!D41&lt;&gt;"",'OCTUBRE 2026'!Z41="POR RECOGER"),'OCTUBRE 2026'!I41,"")</f>
        <v/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" hidden="false" customHeight="true" outlineLevel="0" collapsed="false">
      <c r="A983" s="192" t="str">
        <f aca="false">IF(AND('OCTUBRE 2026'!D42&lt;&gt;"",'OCTUBRE 2026'!Z42="POR RECOGER"),"OCT","")</f>
        <v/>
      </c>
      <c r="B983" s="192" t="str">
        <f aca="false">IF(AND('OCTUBRE 2026'!D42&lt;&gt;"",'OCTUBRE 2026'!Z42="POR RECOGER"),IF('OCTUBRE 2026'!Y42&lt;&gt;"",'OCTUBRE 2026'!Y42,'OCTUBRE 2026'!I42),"")</f>
        <v/>
      </c>
      <c r="C983" s="192" t="str">
        <f aca="false">IF(AND('OCTUBRE 2026'!D42&lt;&gt;"",'OCTUBRE 2026'!Z42="POR RECOGER"),'OCTUBRE 2026'!D42,"")</f>
        <v/>
      </c>
      <c r="D983" s="192" t="str">
        <f aca="false">IF(AND('OCTUBRE 2026'!D42&lt;&gt;"",'OCTUBRE 2026'!Z42="POR RECOGER"),'OCTUBRE 2026'!F42,"")</f>
        <v/>
      </c>
      <c r="E983" s="192" t="str">
        <f aca="false">IF(AND('OCTUBRE 2026'!D42&lt;&gt;"",'OCTUBRE 2026'!Z42="POR RECOGER"),TEXT('OCTUBRE 2026'!G42,"DD/MM/YYYY"),"")</f>
        <v/>
      </c>
      <c r="F983" s="192" t="str">
        <f aca="false">IF(AND('OCTUBRE 2026'!D42&lt;&gt;"",'OCTUBRE 2026'!Z42="POR RECOGER"),'OCTUBRE 2026'!K42,"")</f>
        <v/>
      </c>
      <c r="G983" s="193" t="str">
        <f aca="false">IF(AND('OCTUBRE 2026'!D42&lt;&gt;"",'OCTUBRE 2026'!Z42="POR RECOGER"),'OCTUBRE 2026'!M42,"")</f>
        <v/>
      </c>
      <c r="H983" s="193" t="str">
        <f aca="false">IF(AND('OCTUBRE 2026'!D42&lt;&gt;"",'OCTUBRE 2026'!Z42="POR RECOGER"),'OCTUBRE 2026'!N42,"")</f>
        <v/>
      </c>
      <c r="I983" s="192" t="str">
        <f aca="false">IF(AND('OCTUBRE 2026'!D42&lt;&gt;"",'OCTUBRE 2026'!Z42="POR RECOGER"),'OCTUBRE 2026'!P42,"")</f>
        <v/>
      </c>
      <c r="J983" s="192" t="str">
        <f aca="false">IF(AND('OCTUBRE 2026'!D42&lt;&gt;"",'OCTUBRE 2026'!Z42="POR RECOGER"),'OCTUBRE 2026'!Q42,"")</f>
        <v/>
      </c>
      <c r="K983" s="192" t="str">
        <f aca="false">IF(AND('OCTUBRE 2026'!D42&lt;&gt;"",'OCTUBRE 2026'!Z42="POR RECOGER"),'OCTUBRE 2026'!Y42,"")</f>
        <v/>
      </c>
      <c r="L983" s="192" t="str">
        <f aca="false">IF(AND('OCTUBRE 2026'!D42&lt;&gt;"",'OCTUBRE 2026'!Z42="POR RECOGER"),'OCTUBRE 2026'!I42,"")</f>
        <v/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" hidden="false" customHeight="true" outlineLevel="0" collapsed="false">
      <c r="A984" s="192" t="str">
        <f aca="false">IF(AND('OCTUBRE 2026'!D43&lt;&gt;"",'OCTUBRE 2026'!Z43="POR RECOGER"),"OCT","")</f>
        <v/>
      </c>
      <c r="B984" s="192" t="str">
        <f aca="false">IF(AND('OCTUBRE 2026'!D43&lt;&gt;"",'OCTUBRE 2026'!Z43="POR RECOGER"),IF('OCTUBRE 2026'!Y43&lt;&gt;"",'OCTUBRE 2026'!Y43,'OCTUBRE 2026'!I43),"")</f>
        <v/>
      </c>
      <c r="C984" s="192" t="str">
        <f aca="false">IF(AND('OCTUBRE 2026'!D43&lt;&gt;"",'OCTUBRE 2026'!Z43="POR RECOGER"),'OCTUBRE 2026'!D43,"")</f>
        <v/>
      </c>
      <c r="D984" s="192" t="str">
        <f aca="false">IF(AND('OCTUBRE 2026'!D43&lt;&gt;"",'OCTUBRE 2026'!Z43="POR RECOGER"),'OCTUBRE 2026'!F43,"")</f>
        <v/>
      </c>
      <c r="E984" s="192" t="str">
        <f aca="false">IF(AND('OCTUBRE 2026'!D43&lt;&gt;"",'OCTUBRE 2026'!Z43="POR RECOGER"),TEXT('OCTUBRE 2026'!G43,"DD/MM/YYYY"),"")</f>
        <v/>
      </c>
      <c r="F984" s="192" t="str">
        <f aca="false">IF(AND('OCTUBRE 2026'!D43&lt;&gt;"",'OCTUBRE 2026'!Z43="POR RECOGER"),'OCTUBRE 2026'!K43,"")</f>
        <v/>
      </c>
      <c r="G984" s="193" t="str">
        <f aca="false">IF(AND('OCTUBRE 2026'!D43&lt;&gt;"",'OCTUBRE 2026'!Z43="POR RECOGER"),'OCTUBRE 2026'!M43,"")</f>
        <v/>
      </c>
      <c r="H984" s="193" t="str">
        <f aca="false">IF(AND('OCTUBRE 2026'!D43&lt;&gt;"",'OCTUBRE 2026'!Z43="POR RECOGER"),'OCTUBRE 2026'!N43,"")</f>
        <v/>
      </c>
      <c r="I984" s="192" t="str">
        <f aca="false">IF(AND('OCTUBRE 2026'!D43&lt;&gt;"",'OCTUBRE 2026'!Z43="POR RECOGER"),'OCTUBRE 2026'!P43,"")</f>
        <v/>
      </c>
      <c r="J984" s="192" t="str">
        <f aca="false">IF(AND('OCTUBRE 2026'!D43&lt;&gt;"",'OCTUBRE 2026'!Z43="POR RECOGER"),'OCTUBRE 2026'!Q43,"")</f>
        <v/>
      </c>
      <c r="K984" s="192" t="str">
        <f aca="false">IF(AND('OCTUBRE 2026'!D43&lt;&gt;"",'OCTUBRE 2026'!Z43="POR RECOGER"),'OCTUBRE 2026'!Y43,"")</f>
        <v/>
      </c>
      <c r="L984" s="192" t="str">
        <f aca="false">IF(AND('OCTUBRE 2026'!D43&lt;&gt;"",'OCTUBRE 2026'!Z43="POR RECOGER"),'OCTUBRE 2026'!I43,"")</f>
        <v/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" hidden="false" customHeight="true" outlineLevel="0" collapsed="false">
      <c r="A985" s="192" t="str">
        <f aca="false">IF(AND('OCTUBRE 2026'!D44&lt;&gt;"",'OCTUBRE 2026'!Z44="POR RECOGER"),"OCT","")</f>
        <v/>
      </c>
      <c r="B985" s="192" t="str">
        <f aca="false">IF(AND('OCTUBRE 2026'!D44&lt;&gt;"",'OCTUBRE 2026'!Z44="POR RECOGER"),IF('OCTUBRE 2026'!Y44&lt;&gt;"",'OCTUBRE 2026'!Y44,'OCTUBRE 2026'!I44),"")</f>
        <v/>
      </c>
      <c r="C985" s="192" t="str">
        <f aca="false">IF(AND('OCTUBRE 2026'!D44&lt;&gt;"",'OCTUBRE 2026'!Z44="POR RECOGER"),'OCTUBRE 2026'!D44,"")</f>
        <v/>
      </c>
      <c r="D985" s="192" t="str">
        <f aca="false">IF(AND('OCTUBRE 2026'!D44&lt;&gt;"",'OCTUBRE 2026'!Z44="POR RECOGER"),'OCTUBRE 2026'!F44,"")</f>
        <v/>
      </c>
      <c r="E985" s="192" t="str">
        <f aca="false">IF(AND('OCTUBRE 2026'!D44&lt;&gt;"",'OCTUBRE 2026'!Z44="POR RECOGER"),TEXT('OCTUBRE 2026'!G44,"DD/MM/YYYY"),"")</f>
        <v/>
      </c>
      <c r="F985" s="192" t="str">
        <f aca="false">IF(AND('OCTUBRE 2026'!D44&lt;&gt;"",'OCTUBRE 2026'!Z44="POR RECOGER"),'OCTUBRE 2026'!K44,"")</f>
        <v/>
      </c>
      <c r="G985" s="193" t="str">
        <f aca="false">IF(AND('OCTUBRE 2026'!D44&lt;&gt;"",'OCTUBRE 2026'!Z44="POR RECOGER"),'OCTUBRE 2026'!M44,"")</f>
        <v/>
      </c>
      <c r="H985" s="193" t="str">
        <f aca="false">IF(AND('OCTUBRE 2026'!D44&lt;&gt;"",'OCTUBRE 2026'!Z44="POR RECOGER"),'OCTUBRE 2026'!N44,"")</f>
        <v/>
      </c>
      <c r="I985" s="192" t="str">
        <f aca="false">IF(AND('OCTUBRE 2026'!D44&lt;&gt;"",'OCTUBRE 2026'!Z44="POR RECOGER"),'OCTUBRE 2026'!P44,"")</f>
        <v/>
      </c>
      <c r="J985" s="192" t="str">
        <f aca="false">IF(AND('OCTUBRE 2026'!D44&lt;&gt;"",'OCTUBRE 2026'!Z44="POR RECOGER"),'OCTUBRE 2026'!Q44,"")</f>
        <v/>
      </c>
      <c r="K985" s="192" t="str">
        <f aca="false">IF(AND('OCTUBRE 2026'!D44&lt;&gt;"",'OCTUBRE 2026'!Z44="POR RECOGER"),'OCTUBRE 2026'!Y44,"")</f>
        <v/>
      </c>
      <c r="L985" s="192" t="str">
        <f aca="false">IF(AND('OCTUBRE 2026'!D44&lt;&gt;"",'OCTUBRE 2026'!Z44="POR RECOGER"),'OCTUBRE 2026'!I44,"")</f>
        <v/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" hidden="false" customHeight="true" outlineLevel="0" collapsed="false">
      <c r="A986" s="192" t="str">
        <f aca="false">IF(AND('OCTUBRE 2026'!D45&lt;&gt;"",'OCTUBRE 2026'!Z45="POR RECOGER"),"OCT","")</f>
        <v/>
      </c>
      <c r="B986" s="192" t="str">
        <f aca="false">IF(AND('OCTUBRE 2026'!D45&lt;&gt;"",'OCTUBRE 2026'!Z45="POR RECOGER"),IF('OCTUBRE 2026'!Y45&lt;&gt;"",'OCTUBRE 2026'!Y45,'OCTUBRE 2026'!I45),"")</f>
        <v/>
      </c>
      <c r="C986" s="192" t="str">
        <f aca="false">IF(AND('OCTUBRE 2026'!D45&lt;&gt;"",'OCTUBRE 2026'!Z45="POR RECOGER"),'OCTUBRE 2026'!D45,"")</f>
        <v/>
      </c>
      <c r="D986" s="192" t="str">
        <f aca="false">IF(AND('OCTUBRE 2026'!D45&lt;&gt;"",'OCTUBRE 2026'!Z45="POR RECOGER"),'OCTUBRE 2026'!F45,"")</f>
        <v/>
      </c>
      <c r="E986" s="192" t="str">
        <f aca="false">IF(AND('OCTUBRE 2026'!D45&lt;&gt;"",'OCTUBRE 2026'!Z45="POR RECOGER"),TEXT('OCTUBRE 2026'!G45,"DD/MM/YYYY"),"")</f>
        <v/>
      </c>
      <c r="F986" s="192" t="str">
        <f aca="false">IF(AND('OCTUBRE 2026'!D45&lt;&gt;"",'OCTUBRE 2026'!Z45="POR RECOGER"),'OCTUBRE 2026'!K45,"")</f>
        <v/>
      </c>
      <c r="G986" s="193" t="str">
        <f aca="false">IF(AND('OCTUBRE 2026'!D45&lt;&gt;"",'OCTUBRE 2026'!Z45="POR RECOGER"),'OCTUBRE 2026'!M45,"")</f>
        <v/>
      </c>
      <c r="H986" s="193" t="str">
        <f aca="false">IF(AND('OCTUBRE 2026'!D45&lt;&gt;"",'OCTUBRE 2026'!Z45="POR RECOGER"),'OCTUBRE 2026'!N45,"")</f>
        <v/>
      </c>
      <c r="I986" s="192" t="str">
        <f aca="false">IF(AND('OCTUBRE 2026'!D45&lt;&gt;"",'OCTUBRE 2026'!Z45="POR RECOGER"),'OCTUBRE 2026'!P45,"")</f>
        <v/>
      </c>
      <c r="J986" s="192" t="str">
        <f aca="false">IF(AND('OCTUBRE 2026'!D45&lt;&gt;"",'OCTUBRE 2026'!Z45="POR RECOGER"),'OCTUBRE 2026'!Q45,"")</f>
        <v/>
      </c>
      <c r="K986" s="192" t="str">
        <f aca="false">IF(AND('OCTUBRE 2026'!D45&lt;&gt;"",'OCTUBRE 2026'!Z45="POR RECOGER"),'OCTUBRE 2026'!Y45,"")</f>
        <v/>
      </c>
      <c r="L986" s="192" t="str">
        <f aca="false">IF(AND('OCTUBRE 2026'!D45&lt;&gt;"",'OCTUBRE 2026'!Z45="POR RECOGER"),'OCTUBRE 2026'!I45,"")</f>
        <v/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" hidden="false" customHeight="true" outlineLevel="0" collapsed="false">
      <c r="A987" s="192" t="str">
        <f aca="false">IF(AND('OCTUBRE 2026'!D46&lt;&gt;"",'OCTUBRE 2026'!Z46="POR RECOGER"),"OCT","")</f>
        <v/>
      </c>
      <c r="B987" s="192" t="str">
        <f aca="false">IF(AND('OCTUBRE 2026'!D46&lt;&gt;"",'OCTUBRE 2026'!Z46="POR RECOGER"),IF('OCTUBRE 2026'!Y46&lt;&gt;"",'OCTUBRE 2026'!Y46,'OCTUBRE 2026'!I46),"")</f>
        <v/>
      </c>
      <c r="C987" s="192" t="str">
        <f aca="false">IF(AND('OCTUBRE 2026'!D46&lt;&gt;"",'OCTUBRE 2026'!Z46="POR RECOGER"),'OCTUBRE 2026'!D46,"")</f>
        <v/>
      </c>
      <c r="D987" s="192" t="str">
        <f aca="false">IF(AND('OCTUBRE 2026'!D46&lt;&gt;"",'OCTUBRE 2026'!Z46="POR RECOGER"),'OCTUBRE 2026'!F46,"")</f>
        <v/>
      </c>
      <c r="E987" s="192" t="str">
        <f aca="false">IF(AND('OCTUBRE 2026'!D46&lt;&gt;"",'OCTUBRE 2026'!Z46="POR RECOGER"),TEXT('OCTUBRE 2026'!G46,"DD/MM/YYYY"),"")</f>
        <v/>
      </c>
      <c r="F987" s="192" t="str">
        <f aca="false">IF(AND('OCTUBRE 2026'!D46&lt;&gt;"",'OCTUBRE 2026'!Z46="POR RECOGER"),'OCTUBRE 2026'!K46,"")</f>
        <v/>
      </c>
      <c r="G987" s="193" t="str">
        <f aca="false">IF(AND('OCTUBRE 2026'!D46&lt;&gt;"",'OCTUBRE 2026'!Z46="POR RECOGER"),'OCTUBRE 2026'!M46,"")</f>
        <v/>
      </c>
      <c r="H987" s="193" t="str">
        <f aca="false">IF(AND('OCTUBRE 2026'!D46&lt;&gt;"",'OCTUBRE 2026'!Z46="POR RECOGER"),'OCTUBRE 2026'!N46,"")</f>
        <v/>
      </c>
      <c r="I987" s="192" t="str">
        <f aca="false">IF(AND('OCTUBRE 2026'!D46&lt;&gt;"",'OCTUBRE 2026'!Z46="POR RECOGER"),'OCTUBRE 2026'!P46,"")</f>
        <v/>
      </c>
      <c r="J987" s="192" t="str">
        <f aca="false">IF(AND('OCTUBRE 2026'!D46&lt;&gt;"",'OCTUBRE 2026'!Z46="POR RECOGER"),'OCTUBRE 2026'!Q46,"")</f>
        <v/>
      </c>
      <c r="K987" s="192" t="str">
        <f aca="false">IF(AND('OCTUBRE 2026'!D46&lt;&gt;"",'OCTUBRE 2026'!Z46="POR RECOGER"),'OCTUBRE 2026'!Y46,"")</f>
        <v/>
      </c>
      <c r="L987" s="192" t="str">
        <f aca="false">IF(AND('OCTUBRE 2026'!D46&lt;&gt;"",'OCTUBRE 2026'!Z46="POR RECOGER"),'OCTUBRE 2026'!I46,"")</f>
        <v/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" hidden="false" customHeight="true" outlineLevel="0" collapsed="false">
      <c r="A988" s="192" t="str">
        <f aca="false">IF(AND('OCTUBRE 2026'!D47&lt;&gt;"",'OCTUBRE 2026'!Z47="POR RECOGER"),"OCT","")</f>
        <v/>
      </c>
      <c r="B988" s="192" t="str">
        <f aca="false">IF(AND('OCTUBRE 2026'!D47&lt;&gt;"",'OCTUBRE 2026'!Z47="POR RECOGER"),IF('OCTUBRE 2026'!Y47&lt;&gt;"",'OCTUBRE 2026'!Y47,'OCTUBRE 2026'!I47),"")</f>
        <v/>
      </c>
      <c r="C988" s="192" t="str">
        <f aca="false">IF(AND('OCTUBRE 2026'!D47&lt;&gt;"",'OCTUBRE 2026'!Z47="POR RECOGER"),'OCTUBRE 2026'!D47,"")</f>
        <v/>
      </c>
      <c r="D988" s="192" t="str">
        <f aca="false">IF(AND('OCTUBRE 2026'!D47&lt;&gt;"",'OCTUBRE 2026'!Z47="POR RECOGER"),'OCTUBRE 2026'!F47,"")</f>
        <v/>
      </c>
      <c r="E988" s="192" t="str">
        <f aca="false">IF(AND('OCTUBRE 2026'!D47&lt;&gt;"",'OCTUBRE 2026'!Z47="POR RECOGER"),TEXT('OCTUBRE 2026'!G47,"DD/MM/YYYY"),"")</f>
        <v/>
      </c>
      <c r="F988" s="192" t="str">
        <f aca="false">IF(AND('OCTUBRE 2026'!D47&lt;&gt;"",'OCTUBRE 2026'!Z47="POR RECOGER"),'OCTUBRE 2026'!K47,"")</f>
        <v/>
      </c>
      <c r="G988" s="193" t="str">
        <f aca="false">IF(AND('OCTUBRE 2026'!D47&lt;&gt;"",'OCTUBRE 2026'!Z47="POR RECOGER"),'OCTUBRE 2026'!M47,"")</f>
        <v/>
      </c>
      <c r="H988" s="193" t="str">
        <f aca="false">IF(AND('OCTUBRE 2026'!D47&lt;&gt;"",'OCTUBRE 2026'!Z47="POR RECOGER"),'OCTUBRE 2026'!N47,"")</f>
        <v/>
      </c>
      <c r="I988" s="192" t="str">
        <f aca="false">IF(AND('OCTUBRE 2026'!D47&lt;&gt;"",'OCTUBRE 2026'!Z47="POR RECOGER"),'OCTUBRE 2026'!P47,"")</f>
        <v/>
      </c>
      <c r="J988" s="192" t="str">
        <f aca="false">IF(AND('OCTUBRE 2026'!D47&lt;&gt;"",'OCTUBRE 2026'!Z47="POR RECOGER"),'OCTUBRE 2026'!Q47,"")</f>
        <v/>
      </c>
      <c r="K988" s="192" t="str">
        <f aca="false">IF(AND('OCTUBRE 2026'!D47&lt;&gt;"",'OCTUBRE 2026'!Z47="POR RECOGER"),'OCTUBRE 2026'!Y47,"")</f>
        <v/>
      </c>
      <c r="L988" s="192" t="str">
        <f aca="false">IF(AND('OCTUBRE 2026'!D47&lt;&gt;"",'OCTUBRE 2026'!Z47="POR RECOGER"),'OCTUBRE 2026'!I47,"")</f>
        <v/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" hidden="false" customHeight="true" outlineLevel="0" collapsed="false">
      <c r="A989" s="192" t="str">
        <f aca="false">IF(AND('OCTUBRE 2026'!D48&lt;&gt;"",'OCTUBRE 2026'!Z48="POR RECOGER"),"OCT","")</f>
        <v/>
      </c>
      <c r="B989" s="192" t="str">
        <f aca="false">IF(AND('OCTUBRE 2026'!D48&lt;&gt;"",'OCTUBRE 2026'!Z48="POR RECOGER"),IF('OCTUBRE 2026'!Y48&lt;&gt;"",'OCTUBRE 2026'!Y48,'OCTUBRE 2026'!I48),"")</f>
        <v/>
      </c>
      <c r="C989" s="192" t="str">
        <f aca="false">IF(AND('OCTUBRE 2026'!D48&lt;&gt;"",'OCTUBRE 2026'!Z48="POR RECOGER"),'OCTUBRE 2026'!D48,"")</f>
        <v/>
      </c>
      <c r="D989" s="192" t="str">
        <f aca="false">IF(AND('OCTUBRE 2026'!D48&lt;&gt;"",'OCTUBRE 2026'!Z48="POR RECOGER"),'OCTUBRE 2026'!F48,"")</f>
        <v/>
      </c>
      <c r="E989" s="192" t="str">
        <f aca="false">IF(AND('OCTUBRE 2026'!D48&lt;&gt;"",'OCTUBRE 2026'!Z48="POR RECOGER"),TEXT('OCTUBRE 2026'!G48,"DD/MM/YYYY"),"")</f>
        <v/>
      </c>
      <c r="F989" s="192" t="str">
        <f aca="false">IF(AND('OCTUBRE 2026'!D48&lt;&gt;"",'OCTUBRE 2026'!Z48="POR RECOGER"),'OCTUBRE 2026'!K48,"")</f>
        <v/>
      </c>
      <c r="G989" s="193" t="str">
        <f aca="false">IF(AND('OCTUBRE 2026'!D48&lt;&gt;"",'OCTUBRE 2026'!Z48="POR RECOGER"),'OCTUBRE 2026'!M48,"")</f>
        <v/>
      </c>
      <c r="H989" s="193" t="str">
        <f aca="false">IF(AND('OCTUBRE 2026'!D48&lt;&gt;"",'OCTUBRE 2026'!Z48="POR RECOGER"),'OCTUBRE 2026'!N48,"")</f>
        <v/>
      </c>
      <c r="I989" s="192" t="str">
        <f aca="false">IF(AND('OCTUBRE 2026'!D48&lt;&gt;"",'OCTUBRE 2026'!Z48="POR RECOGER"),'OCTUBRE 2026'!P48,"")</f>
        <v/>
      </c>
      <c r="J989" s="192" t="str">
        <f aca="false">IF(AND('OCTUBRE 2026'!D48&lt;&gt;"",'OCTUBRE 2026'!Z48="POR RECOGER"),'OCTUBRE 2026'!Q48,"")</f>
        <v/>
      </c>
      <c r="K989" s="192" t="str">
        <f aca="false">IF(AND('OCTUBRE 2026'!D48&lt;&gt;"",'OCTUBRE 2026'!Z48="POR RECOGER"),'OCTUBRE 2026'!Y48,"")</f>
        <v/>
      </c>
      <c r="L989" s="192" t="str">
        <f aca="false">IF(AND('OCTUBRE 2026'!D48&lt;&gt;"",'OCTUBRE 2026'!Z48="POR RECOGER"),'OCTUBRE 2026'!I48,"")</f>
        <v/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" hidden="false" customHeight="true" outlineLevel="0" collapsed="false">
      <c r="A990" s="192" t="str">
        <f aca="false">IF(AND('OCTUBRE 2026'!D49&lt;&gt;"",'OCTUBRE 2026'!Z49="POR RECOGER"),"OCT","")</f>
        <v/>
      </c>
      <c r="B990" s="192" t="str">
        <f aca="false">IF(AND('OCTUBRE 2026'!D49&lt;&gt;"",'OCTUBRE 2026'!Z49="POR RECOGER"),IF('OCTUBRE 2026'!Y49&lt;&gt;"",'OCTUBRE 2026'!Y49,'OCTUBRE 2026'!I49),"")</f>
        <v/>
      </c>
      <c r="C990" s="192" t="str">
        <f aca="false">IF(AND('OCTUBRE 2026'!D49&lt;&gt;"",'OCTUBRE 2026'!Z49="POR RECOGER"),'OCTUBRE 2026'!D49,"")</f>
        <v/>
      </c>
      <c r="D990" s="192" t="str">
        <f aca="false">IF(AND('OCTUBRE 2026'!D49&lt;&gt;"",'OCTUBRE 2026'!Z49="POR RECOGER"),'OCTUBRE 2026'!F49,"")</f>
        <v/>
      </c>
      <c r="E990" s="192" t="str">
        <f aca="false">IF(AND('OCTUBRE 2026'!D49&lt;&gt;"",'OCTUBRE 2026'!Z49="POR RECOGER"),TEXT('OCTUBRE 2026'!G49,"DD/MM/YYYY"),"")</f>
        <v/>
      </c>
      <c r="F990" s="192" t="str">
        <f aca="false">IF(AND('OCTUBRE 2026'!D49&lt;&gt;"",'OCTUBRE 2026'!Z49="POR RECOGER"),'OCTUBRE 2026'!K49,"")</f>
        <v/>
      </c>
      <c r="G990" s="193" t="str">
        <f aca="false">IF(AND('OCTUBRE 2026'!D49&lt;&gt;"",'OCTUBRE 2026'!Z49="POR RECOGER"),'OCTUBRE 2026'!M49,"")</f>
        <v/>
      </c>
      <c r="H990" s="193" t="str">
        <f aca="false">IF(AND('OCTUBRE 2026'!D49&lt;&gt;"",'OCTUBRE 2026'!Z49="POR RECOGER"),'OCTUBRE 2026'!N49,"")</f>
        <v/>
      </c>
      <c r="I990" s="192" t="str">
        <f aca="false">IF(AND('OCTUBRE 2026'!D49&lt;&gt;"",'OCTUBRE 2026'!Z49="POR RECOGER"),'OCTUBRE 2026'!P49,"")</f>
        <v/>
      </c>
      <c r="J990" s="192" t="str">
        <f aca="false">IF(AND('OCTUBRE 2026'!D49&lt;&gt;"",'OCTUBRE 2026'!Z49="POR RECOGER"),'OCTUBRE 2026'!Q49,"")</f>
        <v/>
      </c>
      <c r="K990" s="192" t="str">
        <f aca="false">IF(AND('OCTUBRE 2026'!D49&lt;&gt;"",'OCTUBRE 2026'!Z49="POR RECOGER"),'OCTUBRE 2026'!Y49,"")</f>
        <v/>
      </c>
      <c r="L990" s="192" t="str">
        <f aca="false">IF(AND('OCTUBRE 2026'!D49&lt;&gt;"",'OCTUBRE 2026'!Z49="POR RECOGER"),'OCTUBRE 2026'!I49,"")</f>
        <v/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" hidden="false" customHeight="true" outlineLevel="0" collapsed="false">
      <c r="A991" s="192" t="str">
        <f aca="false">IF(AND('OCTUBRE 2026'!D50&lt;&gt;"",'OCTUBRE 2026'!Z50="POR RECOGER"),"OCT","")</f>
        <v/>
      </c>
      <c r="B991" s="192" t="str">
        <f aca="false">IF(AND('OCTUBRE 2026'!D50&lt;&gt;"",'OCTUBRE 2026'!Z50="POR RECOGER"),IF('OCTUBRE 2026'!Y50&lt;&gt;"",'OCTUBRE 2026'!Y50,'OCTUBRE 2026'!I50),"")</f>
        <v/>
      </c>
      <c r="C991" s="192" t="str">
        <f aca="false">IF(AND('OCTUBRE 2026'!D50&lt;&gt;"",'OCTUBRE 2026'!Z50="POR RECOGER"),'OCTUBRE 2026'!D50,"")</f>
        <v/>
      </c>
      <c r="D991" s="192" t="str">
        <f aca="false">IF(AND('OCTUBRE 2026'!D50&lt;&gt;"",'OCTUBRE 2026'!Z50="POR RECOGER"),'OCTUBRE 2026'!F50,"")</f>
        <v/>
      </c>
      <c r="E991" s="192" t="str">
        <f aca="false">IF(AND('OCTUBRE 2026'!D50&lt;&gt;"",'OCTUBRE 2026'!Z50="POR RECOGER"),TEXT('OCTUBRE 2026'!G50,"DD/MM/YYYY"),"")</f>
        <v/>
      </c>
      <c r="F991" s="192" t="str">
        <f aca="false">IF(AND('OCTUBRE 2026'!D50&lt;&gt;"",'OCTUBRE 2026'!Z50="POR RECOGER"),'OCTUBRE 2026'!K50,"")</f>
        <v/>
      </c>
      <c r="G991" s="193" t="str">
        <f aca="false">IF(AND('OCTUBRE 2026'!D50&lt;&gt;"",'OCTUBRE 2026'!Z50="POR RECOGER"),'OCTUBRE 2026'!M50,"")</f>
        <v/>
      </c>
      <c r="H991" s="193" t="str">
        <f aca="false">IF(AND('OCTUBRE 2026'!D50&lt;&gt;"",'OCTUBRE 2026'!Z50="POR RECOGER"),'OCTUBRE 2026'!N50,"")</f>
        <v/>
      </c>
      <c r="I991" s="192" t="str">
        <f aca="false">IF(AND('OCTUBRE 2026'!D50&lt;&gt;"",'OCTUBRE 2026'!Z50="POR RECOGER"),'OCTUBRE 2026'!P50,"")</f>
        <v/>
      </c>
      <c r="J991" s="192" t="str">
        <f aca="false">IF(AND('OCTUBRE 2026'!D50&lt;&gt;"",'OCTUBRE 2026'!Z50="POR RECOGER"),'OCTUBRE 2026'!Q50,"")</f>
        <v/>
      </c>
      <c r="K991" s="192" t="str">
        <f aca="false">IF(AND('OCTUBRE 2026'!D50&lt;&gt;"",'OCTUBRE 2026'!Z50="POR RECOGER"),'OCTUBRE 2026'!Y50,"")</f>
        <v/>
      </c>
      <c r="L991" s="192" t="str">
        <f aca="false">IF(AND('OCTUBRE 2026'!D50&lt;&gt;"",'OCTUBRE 2026'!Z50="POR RECOGER"),'OCTUBRE 2026'!I50,"")</f>
        <v/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" hidden="false" customHeight="true" outlineLevel="0" collapsed="false">
      <c r="A992" s="192" t="str">
        <f aca="false">IF(AND('OCTUBRE 2026'!D51&lt;&gt;"",'OCTUBRE 2026'!Z51="POR RECOGER"),"OCT","")</f>
        <v/>
      </c>
      <c r="B992" s="192" t="str">
        <f aca="false">IF(AND('OCTUBRE 2026'!D51&lt;&gt;"",'OCTUBRE 2026'!Z51="POR RECOGER"),IF('OCTUBRE 2026'!Y51&lt;&gt;"",'OCTUBRE 2026'!Y51,'OCTUBRE 2026'!I51),"")</f>
        <v/>
      </c>
      <c r="C992" s="192" t="str">
        <f aca="false">IF(AND('OCTUBRE 2026'!D51&lt;&gt;"",'OCTUBRE 2026'!Z51="POR RECOGER"),'OCTUBRE 2026'!D51,"")</f>
        <v/>
      </c>
      <c r="D992" s="192" t="str">
        <f aca="false">IF(AND('OCTUBRE 2026'!D51&lt;&gt;"",'OCTUBRE 2026'!Z51="POR RECOGER"),'OCTUBRE 2026'!F51,"")</f>
        <v/>
      </c>
      <c r="E992" s="192" t="str">
        <f aca="false">IF(AND('OCTUBRE 2026'!D51&lt;&gt;"",'OCTUBRE 2026'!Z51="POR RECOGER"),TEXT('OCTUBRE 2026'!G51,"DD/MM/YYYY"),"")</f>
        <v/>
      </c>
      <c r="F992" s="192" t="str">
        <f aca="false">IF(AND('OCTUBRE 2026'!D51&lt;&gt;"",'OCTUBRE 2026'!Z51="POR RECOGER"),'OCTUBRE 2026'!K51,"")</f>
        <v/>
      </c>
      <c r="G992" s="193" t="str">
        <f aca="false">IF(AND('OCTUBRE 2026'!D51&lt;&gt;"",'OCTUBRE 2026'!Z51="POR RECOGER"),'OCTUBRE 2026'!M51,"")</f>
        <v/>
      </c>
      <c r="H992" s="193" t="str">
        <f aca="false">IF(AND('OCTUBRE 2026'!D51&lt;&gt;"",'OCTUBRE 2026'!Z51="POR RECOGER"),'OCTUBRE 2026'!N51,"")</f>
        <v/>
      </c>
      <c r="I992" s="192" t="str">
        <f aca="false">IF(AND('OCTUBRE 2026'!D51&lt;&gt;"",'OCTUBRE 2026'!Z51="POR RECOGER"),'OCTUBRE 2026'!P51,"")</f>
        <v/>
      </c>
      <c r="J992" s="192" t="str">
        <f aca="false">IF(AND('OCTUBRE 2026'!D51&lt;&gt;"",'OCTUBRE 2026'!Z51="POR RECOGER"),'OCTUBRE 2026'!Q51,"")</f>
        <v/>
      </c>
      <c r="K992" s="192" t="str">
        <f aca="false">IF(AND('OCTUBRE 2026'!D51&lt;&gt;"",'OCTUBRE 2026'!Z51="POR RECOGER"),'OCTUBRE 2026'!Y51,"")</f>
        <v/>
      </c>
      <c r="L992" s="192" t="str">
        <f aca="false">IF(AND('OCTUBRE 2026'!D51&lt;&gt;"",'OCTUBRE 2026'!Z51="POR RECOGER"),'OCTUBRE 2026'!I51,"")</f>
        <v/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" hidden="false" customHeight="true" outlineLevel="0" collapsed="false">
      <c r="A993" s="192" t="str">
        <f aca="false">IF(AND('OCTUBRE 2026'!D52&lt;&gt;"",'OCTUBRE 2026'!Z52="POR RECOGER"),"OCT","")</f>
        <v/>
      </c>
      <c r="B993" s="192" t="str">
        <f aca="false">IF(AND('OCTUBRE 2026'!D52&lt;&gt;"",'OCTUBRE 2026'!Z52="POR RECOGER"),IF('OCTUBRE 2026'!Y52&lt;&gt;"",'OCTUBRE 2026'!Y52,'OCTUBRE 2026'!I52),"")</f>
        <v/>
      </c>
      <c r="C993" s="192" t="str">
        <f aca="false">IF(AND('OCTUBRE 2026'!D52&lt;&gt;"",'OCTUBRE 2026'!Z52="POR RECOGER"),'OCTUBRE 2026'!D52,"")</f>
        <v/>
      </c>
      <c r="D993" s="192" t="str">
        <f aca="false">IF(AND('OCTUBRE 2026'!D52&lt;&gt;"",'OCTUBRE 2026'!Z52="POR RECOGER"),'OCTUBRE 2026'!F52,"")</f>
        <v/>
      </c>
      <c r="E993" s="192" t="str">
        <f aca="false">IF(AND('OCTUBRE 2026'!D52&lt;&gt;"",'OCTUBRE 2026'!Z52="POR RECOGER"),TEXT('OCTUBRE 2026'!G52,"DD/MM/YYYY"),"")</f>
        <v/>
      </c>
      <c r="F993" s="192" t="str">
        <f aca="false">IF(AND('OCTUBRE 2026'!D52&lt;&gt;"",'OCTUBRE 2026'!Z52="POR RECOGER"),'OCTUBRE 2026'!K52,"")</f>
        <v/>
      </c>
      <c r="G993" s="193" t="str">
        <f aca="false">IF(AND('OCTUBRE 2026'!D52&lt;&gt;"",'OCTUBRE 2026'!Z52="POR RECOGER"),'OCTUBRE 2026'!M52,"")</f>
        <v/>
      </c>
      <c r="H993" s="193" t="str">
        <f aca="false">IF(AND('OCTUBRE 2026'!D52&lt;&gt;"",'OCTUBRE 2026'!Z52="POR RECOGER"),'OCTUBRE 2026'!N52,"")</f>
        <v/>
      </c>
      <c r="I993" s="192" t="str">
        <f aca="false">IF(AND('OCTUBRE 2026'!D52&lt;&gt;"",'OCTUBRE 2026'!Z52="POR RECOGER"),'OCTUBRE 2026'!P52,"")</f>
        <v/>
      </c>
      <c r="J993" s="192" t="str">
        <f aca="false">IF(AND('OCTUBRE 2026'!D52&lt;&gt;"",'OCTUBRE 2026'!Z52="POR RECOGER"),'OCTUBRE 2026'!Q52,"")</f>
        <v/>
      </c>
      <c r="K993" s="192" t="str">
        <f aca="false">IF(AND('OCTUBRE 2026'!D52&lt;&gt;"",'OCTUBRE 2026'!Z52="POR RECOGER"),'OCTUBRE 2026'!Y52,"")</f>
        <v/>
      </c>
      <c r="L993" s="192" t="str">
        <f aca="false">IF(AND('OCTUBRE 2026'!D52&lt;&gt;"",'OCTUBRE 2026'!Z52="POR RECOGER"),'OCTUBRE 2026'!I52,"")</f>
        <v/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" hidden="false" customHeight="true" outlineLevel="0" collapsed="false">
      <c r="A994" s="192" t="str">
        <f aca="false">IF(AND('OCTUBRE 2026'!D53&lt;&gt;"",'OCTUBRE 2026'!Z53="POR RECOGER"),"OCT","")</f>
        <v/>
      </c>
      <c r="B994" s="192" t="str">
        <f aca="false">IF(AND('OCTUBRE 2026'!D53&lt;&gt;"",'OCTUBRE 2026'!Z53="POR RECOGER"),IF('OCTUBRE 2026'!Y53&lt;&gt;"",'OCTUBRE 2026'!Y53,'OCTUBRE 2026'!I53),"")</f>
        <v/>
      </c>
      <c r="C994" s="192" t="str">
        <f aca="false">IF(AND('OCTUBRE 2026'!D53&lt;&gt;"",'OCTUBRE 2026'!Z53="POR RECOGER"),'OCTUBRE 2026'!D53,"")</f>
        <v/>
      </c>
      <c r="D994" s="192" t="str">
        <f aca="false">IF(AND('OCTUBRE 2026'!D53&lt;&gt;"",'OCTUBRE 2026'!Z53="POR RECOGER"),'OCTUBRE 2026'!F53,"")</f>
        <v/>
      </c>
      <c r="E994" s="192" t="str">
        <f aca="false">IF(AND('OCTUBRE 2026'!D53&lt;&gt;"",'OCTUBRE 2026'!Z53="POR RECOGER"),TEXT('OCTUBRE 2026'!G53,"DD/MM/YYYY"),"")</f>
        <v/>
      </c>
      <c r="F994" s="192" t="str">
        <f aca="false">IF(AND('OCTUBRE 2026'!D53&lt;&gt;"",'OCTUBRE 2026'!Z53="POR RECOGER"),'OCTUBRE 2026'!K53,"")</f>
        <v/>
      </c>
      <c r="G994" s="193" t="str">
        <f aca="false">IF(AND('OCTUBRE 2026'!D53&lt;&gt;"",'OCTUBRE 2026'!Z53="POR RECOGER"),'OCTUBRE 2026'!M53,"")</f>
        <v/>
      </c>
      <c r="H994" s="193" t="str">
        <f aca="false">IF(AND('OCTUBRE 2026'!D53&lt;&gt;"",'OCTUBRE 2026'!Z53="POR RECOGER"),'OCTUBRE 2026'!N53,"")</f>
        <v/>
      </c>
      <c r="I994" s="192" t="str">
        <f aca="false">IF(AND('OCTUBRE 2026'!D53&lt;&gt;"",'OCTUBRE 2026'!Z53="POR RECOGER"),'OCTUBRE 2026'!P53,"")</f>
        <v/>
      </c>
      <c r="J994" s="192" t="str">
        <f aca="false">IF(AND('OCTUBRE 2026'!D53&lt;&gt;"",'OCTUBRE 2026'!Z53="POR RECOGER"),'OCTUBRE 2026'!Q53,"")</f>
        <v/>
      </c>
      <c r="K994" s="192" t="str">
        <f aca="false">IF(AND('OCTUBRE 2026'!D53&lt;&gt;"",'OCTUBRE 2026'!Z53="POR RECOGER"),'OCTUBRE 2026'!Y53,"")</f>
        <v/>
      </c>
      <c r="L994" s="192" t="str">
        <f aca="false">IF(AND('OCTUBRE 2026'!D53&lt;&gt;"",'OCTUBRE 2026'!Z53="POR RECOGER"),'OCTUBRE 2026'!I53,"")</f>
        <v/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" hidden="false" customHeight="true" outlineLevel="0" collapsed="false">
      <c r="A995" s="192" t="str">
        <f aca="false">IF(AND('OCTUBRE 2026'!D54&lt;&gt;"",'OCTUBRE 2026'!Z54="POR RECOGER"),"OCT","")</f>
        <v/>
      </c>
      <c r="B995" s="192" t="str">
        <f aca="false">IF(AND('OCTUBRE 2026'!D54&lt;&gt;"",'OCTUBRE 2026'!Z54="POR RECOGER"),IF('OCTUBRE 2026'!Y54&lt;&gt;"",'OCTUBRE 2026'!Y54,'OCTUBRE 2026'!I54),"")</f>
        <v/>
      </c>
      <c r="C995" s="192" t="str">
        <f aca="false">IF(AND('OCTUBRE 2026'!D54&lt;&gt;"",'OCTUBRE 2026'!Z54="POR RECOGER"),'OCTUBRE 2026'!D54,"")</f>
        <v/>
      </c>
      <c r="D995" s="192" t="str">
        <f aca="false">IF(AND('OCTUBRE 2026'!D54&lt;&gt;"",'OCTUBRE 2026'!Z54="POR RECOGER"),'OCTUBRE 2026'!F54,"")</f>
        <v/>
      </c>
      <c r="E995" s="192" t="str">
        <f aca="false">IF(AND('OCTUBRE 2026'!D54&lt;&gt;"",'OCTUBRE 2026'!Z54="POR RECOGER"),TEXT('OCTUBRE 2026'!G54,"DD/MM/YYYY"),"")</f>
        <v/>
      </c>
      <c r="F995" s="192" t="str">
        <f aca="false">IF(AND('OCTUBRE 2026'!D54&lt;&gt;"",'OCTUBRE 2026'!Z54="POR RECOGER"),'OCTUBRE 2026'!K54,"")</f>
        <v/>
      </c>
      <c r="G995" s="193" t="str">
        <f aca="false">IF(AND('OCTUBRE 2026'!D54&lt;&gt;"",'OCTUBRE 2026'!Z54="POR RECOGER"),'OCTUBRE 2026'!M54,"")</f>
        <v/>
      </c>
      <c r="H995" s="193" t="str">
        <f aca="false">IF(AND('OCTUBRE 2026'!D54&lt;&gt;"",'OCTUBRE 2026'!Z54="POR RECOGER"),'OCTUBRE 2026'!N54,"")</f>
        <v/>
      </c>
      <c r="I995" s="192" t="str">
        <f aca="false">IF(AND('OCTUBRE 2026'!D54&lt;&gt;"",'OCTUBRE 2026'!Z54="POR RECOGER"),'OCTUBRE 2026'!P54,"")</f>
        <v/>
      </c>
      <c r="J995" s="192" t="str">
        <f aca="false">IF(AND('OCTUBRE 2026'!D54&lt;&gt;"",'OCTUBRE 2026'!Z54="POR RECOGER"),'OCTUBRE 2026'!Q54,"")</f>
        <v/>
      </c>
      <c r="K995" s="192" t="str">
        <f aca="false">IF(AND('OCTUBRE 2026'!D54&lt;&gt;"",'OCTUBRE 2026'!Z54="POR RECOGER"),'OCTUBRE 2026'!Y54,"")</f>
        <v/>
      </c>
      <c r="L995" s="192" t="str">
        <f aca="false">IF(AND('OCTUBRE 2026'!D54&lt;&gt;"",'OCTUBRE 2026'!Z54="POR RECOGER"),'OCTUBRE 2026'!I54,"")</f>
        <v/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" hidden="false" customHeight="true" outlineLevel="0" collapsed="false">
      <c r="A996" s="192" t="str">
        <f aca="false">IF(AND('OCTUBRE 2026'!D55&lt;&gt;"",'OCTUBRE 2026'!Z55="POR RECOGER"),"OCT","")</f>
        <v/>
      </c>
      <c r="B996" s="192" t="str">
        <f aca="false">IF(AND('OCTUBRE 2026'!D55&lt;&gt;"",'OCTUBRE 2026'!Z55="POR RECOGER"),IF('OCTUBRE 2026'!Y55&lt;&gt;"",'OCTUBRE 2026'!Y55,'OCTUBRE 2026'!I55),"")</f>
        <v/>
      </c>
      <c r="C996" s="192" t="str">
        <f aca="false">IF(AND('OCTUBRE 2026'!D55&lt;&gt;"",'OCTUBRE 2026'!Z55="POR RECOGER"),'OCTUBRE 2026'!D55,"")</f>
        <v/>
      </c>
      <c r="D996" s="192" t="str">
        <f aca="false">IF(AND('OCTUBRE 2026'!D55&lt;&gt;"",'OCTUBRE 2026'!Z55="POR RECOGER"),'OCTUBRE 2026'!F55,"")</f>
        <v/>
      </c>
      <c r="E996" s="192" t="str">
        <f aca="false">IF(AND('OCTUBRE 2026'!D55&lt;&gt;"",'OCTUBRE 2026'!Z55="POR RECOGER"),TEXT('OCTUBRE 2026'!G55,"DD/MM/YYYY"),"")</f>
        <v/>
      </c>
      <c r="F996" s="192" t="str">
        <f aca="false">IF(AND('OCTUBRE 2026'!D55&lt;&gt;"",'OCTUBRE 2026'!Z55="POR RECOGER"),'OCTUBRE 2026'!K55,"")</f>
        <v/>
      </c>
      <c r="G996" s="193" t="str">
        <f aca="false">IF(AND('OCTUBRE 2026'!D55&lt;&gt;"",'OCTUBRE 2026'!Z55="POR RECOGER"),'OCTUBRE 2026'!M55,"")</f>
        <v/>
      </c>
      <c r="H996" s="193" t="str">
        <f aca="false">IF(AND('OCTUBRE 2026'!D55&lt;&gt;"",'OCTUBRE 2026'!Z55="POR RECOGER"),'OCTUBRE 2026'!N55,"")</f>
        <v/>
      </c>
      <c r="I996" s="192" t="str">
        <f aca="false">IF(AND('OCTUBRE 2026'!D55&lt;&gt;"",'OCTUBRE 2026'!Z55="POR RECOGER"),'OCTUBRE 2026'!P55,"")</f>
        <v/>
      </c>
      <c r="J996" s="192" t="str">
        <f aca="false">IF(AND('OCTUBRE 2026'!D55&lt;&gt;"",'OCTUBRE 2026'!Z55="POR RECOGER"),'OCTUBRE 2026'!Q55,"")</f>
        <v/>
      </c>
      <c r="K996" s="192" t="str">
        <f aca="false">IF(AND('OCTUBRE 2026'!D55&lt;&gt;"",'OCTUBRE 2026'!Z55="POR RECOGER"),'OCTUBRE 2026'!Y55,"")</f>
        <v/>
      </c>
      <c r="L996" s="192" t="str">
        <f aca="false">IF(AND('OCTUBRE 2026'!D55&lt;&gt;"",'OCTUBRE 2026'!Z55="POR RECOGER"),'OCTUBRE 2026'!I55,"")</f>
        <v/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" hidden="false" customHeight="true" outlineLevel="0" collapsed="false">
      <c r="A997" s="192" t="str">
        <f aca="false">IF(AND('OCTUBRE 2026'!D56&lt;&gt;"",'OCTUBRE 2026'!Z56="POR RECOGER"),"OCT","")</f>
        <v/>
      </c>
      <c r="B997" s="192" t="str">
        <f aca="false">IF(AND('OCTUBRE 2026'!D56&lt;&gt;"",'OCTUBRE 2026'!Z56="POR RECOGER"),IF('OCTUBRE 2026'!Y56&lt;&gt;"",'OCTUBRE 2026'!Y56,'OCTUBRE 2026'!I56),"")</f>
        <v/>
      </c>
      <c r="C997" s="192" t="str">
        <f aca="false">IF(AND('OCTUBRE 2026'!D56&lt;&gt;"",'OCTUBRE 2026'!Z56="POR RECOGER"),'OCTUBRE 2026'!D56,"")</f>
        <v/>
      </c>
      <c r="D997" s="192" t="str">
        <f aca="false">IF(AND('OCTUBRE 2026'!D56&lt;&gt;"",'OCTUBRE 2026'!Z56="POR RECOGER"),'OCTUBRE 2026'!F56,"")</f>
        <v/>
      </c>
      <c r="E997" s="192" t="str">
        <f aca="false">IF(AND('OCTUBRE 2026'!D56&lt;&gt;"",'OCTUBRE 2026'!Z56="POR RECOGER"),TEXT('OCTUBRE 2026'!G56,"DD/MM/YYYY"),"")</f>
        <v/>
      </c>
      <c r="F997" s="192" t="str">
        <f aca="false">IF(AND('OCTUBRE 2026'!D56&lt;&gt;"",'OCTUBRE 2026'!Z56="POR RECOGER"),'OCTUBRE 2026'!K56,"")</f>
        <v/>
      </c>
      <c r="G997" s="193" t="str">
        <f aca="false">IF(AND('OCTUBRE 2026'!D56&lt;&gt;"",'OCTUBRE 2026'!Z56="POR RECOGER"),'OCTUBRE 2026'!M56,"")</f>
        <v/>
      </c>
      <c r="H997" s="193" t="str">
        <f aca="false">IF(AND('OCTUBRE 2026'!D56&lt;&gt;"",'OCTUBRE 2026'!Z56="POR RECOGER"),'OCTUBRE 2026'!N56,"")</f>
        <v/>
      </c>
      <c r="I997" s="192" t="str">
        <f aca="false">IF(AND('OCTUBRE 2026'!D56&lt;&gt;"",'OCTUBRE 2026'!Z56="POR RECOGER"),'OCTUBRE 2026'!P56,"")</f>
        <v/>
      </c>
      <c r="J997" s="192" t="str">
        <f aca="false">IF(AND('OCTUBRE 2026'!D56&lt;&gt;"",'OCTUBRE 2026'!Z56="POR RECOGER"),'OCTUBRE 2026'!Q56,"")</f>
        <v/>
      </c>
      <c r="K997" s="192" t="str">
        <f aca="false">IF(AND('OCTUBRE 2026'!D56&lt;&gt;"",'OCTUBRE 2026'!Z56="POR RECOGER"),'OCTUBRE 2026'!Y56,"")</f>
        <v/>
      </c>
      <c r="L997" s="192" t="str">
        <f aca="false">IF(AND('OCTUBRE 2026'!D56&lt;&gt;"",'OCTUBRE 2026'!Z56="POR RECOGER"),'OCTUBRE 2026'!I56,"")</f>
        <v/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" hidden="false" customHeight="true" outlineLevel="0" collapsed="false">
      <c r="A998" s="192" t="str">
        <f aca="false">IF(AND('OCTUBRE 2026'!D57&lt;&gt;"",'OCTUBRE 2026'!Z57="POR RECOGER"),"OCT","")</f>
        <v/>
      </c>
      <c r="B998" s="192" t="str">
        <f aca="false">IF(AND('OCTUBRE 2026'!D57&lt;&gt;"",'OCTUBRE 2026'!Z57="POR RECOGER"),IF('OCTUBRE 2026'!Y57&lt;&gt;"",'OCTUBRE 2026'!Y57,'OCTUBRE 2026'!I57),"")</f>
        <v/>
      </c>
      <c r="C998" s="192" t="str">
        <f aca="false">IF(AND('OCTUBRE 2026'!D57&lt;&gt;"",'OCTUBRE 2026'!Z57="POR RECOGER"),'OCTUBRE 2026'!D57,"")</f>
        <v/>
      </c>
      <c r="D998" s="192" t="str">
        <f aca="false">IF(AND('OCTUBRE 2026'!D57&lt;&gt;"",'OCTUBRE 2026'!Z57="POR RECOGER"),'OCTUBRE 2026'!F57,"")</f>
        <v/>
      </c>
      <c r="E998" s="192" t="str">
        <f aca="false">IF(AND('OCTUBRE 2026'!D57&lt;&gt;"",'OCTUBRE 2026'!Z57="POR RECOGER"),TEXT('OCTUBRE 2026'!G57,"DD/MM/YYYY"),"")</f>
        <v/>
      </c>
      <c r="F998" s="192" t="str">
        <f aca="false">IF(AND('OCTUBRE 2026'!D57&lt;&gt;"",'OCTUBRE 2026'!Z57="POR RECOGER"),'OCTUBRE 2026'!K57,"")</f>
        <v/>
      </c>
      <c r="G998" s="193" t="str">
        <f aca="false">IF(AND('OCTUBRE 2026'!D57&lt;&gt;"",'OCTUBRE 2026'!Z57="POR RECOGER"),'OCTUBRE 2026'!M57,"")</f>
        <v/>
      </c>
      <c r="H998" s="193" t="str">
        <f aca="false">IF(AND('OCTUBRE 2026'!D57&lt;&gt;"",'OCTUBRE 2026'!Z57="POR RECOGER"),'OCTUBRE 2026'!N57,"")</f>
        <v/>
      </c>
      <c r="I998" s="192" t="str">
        <f aca="false">IF(AND('OCTUBRE 2026'!D57&lt;&gt;"",'OCTUBRE 2026'!Z57="POR RECOGER"),'OCTUBRE 2026'!P57,"")</f>
        <v/>
      </c>
      <c r="J998" s="192" t="str">
        <f aca="false">IF(AND('OCTUBRE 2026'!D57&lt;&gt;"",'OCTUBRE 2026'!Z57="POR RECOGER"),'OCTUBRE 2026'!Q57,"")</f>
        <v/>
      </c>
      <c r="K998" s="192" t="str">
        <f aca="false">IF(AND('OCTUBRE 2026'!D57&lt;&gt;"",'OCTUBRE 2026'!Z57="POR RECOGER"),'OCTUBRE 2026'!Y57,"")</f>
        <v/>
      </c>
      <c r="L998" s="192" t="str">
        <f aca="false">IF(AND('OCTUBRE 2026'!D57&lt;&gt;"",'OCTUBRE 2026'!Z57="POR RECOGER"),'OCTUBRE 2026'!I57,"")</f>
        <v/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" hidden="false" customHeight="true" outlineLevel="0" collapsed="false">
      <c r="A999" s="192" t="str">
        <f aca="false">IF(AND('OCTUBRE 2026'!D58&lt;&gt;"",'OCTUBRE 2026'!Z58="POR RECOGER"),"OCT","")</f>
        <v/>
      </c>
      <c r="B999" s="192" t="str">
        <f aca="false">IF(AND('OCTUBRE 2026'!D58&lt;&gt;"",'OCTUBRE 2026'!Z58="POR RECOGER"),IF('OCTUBRE 2026'!Y58&lt;&gt;"",'OCTUBRE 2026'!Y58,'OCTUBRE 2026'!I58),"")</f>
        <v/>
      </c>
      <c r="C999" s="192" t="str">
        <f aca="false">IF(AND('OCTUBRE 2026'!D58&lt;&gt;"",'OCTUBRE 2026'!Z58="POR RECOGER"),'OCTUBRE 2026'!D58,"")</f>
        <v/>
      </c>
      <c r="D999" s="192" t="str">
        <f aca="false">IF(AND('OCTUBRE 2026'!D58&lt;&gt;"",'OCTUBRE 2026'!Z58="POR RECOGER"),'OCTUBRE 2026'!F58,"")</f>
        <v/>
      </c>
      <c r="E999" s="192" t="str">
        <f aca="false">IF(AND('OCTUBRE 2026'!D58&lt;&gt;"",'OCTUBRE 2026'!Z58="POR RECOGER"),TEXT('OCTUBRE 2026'!G58,"DD/MM/YYYY"),"")</f>
        <v/>
      </c>
      <c r="F999" s="192" t="str">
        <f aca="false">IF(AND('OCTUBRE 2026'!D58&lt;&gt;"",'OCTUBRE 2026'!Z58="POR RECOGER"),'OCTUBRE 2026'!K58,"")</f>
        <v/>
      </c>
      <c r="G999" s="193" t="str">
        <f aca="false">IF(AND('OCTUBRE 2026'!D58&lt;&gt;"",'OCTUBRE 2026'!Z58="POR RECOGER"),'OCTUBRE 2026'!M58,"")</f>
        <v/>
      </c>
      <c r="H999" s="193" t="str">
        <f aca="false">IF(AND('OCTUBRE 2026'!D58&lt;&gt;"",'OCTUBRE 2026'!Z58="POR RECOGER"),'OCTUBRE 2026'!N58,"")</f>
        <v/>
      </c>
      <c r="I999" s="192" t="str">
        <f aca="false">IF(AND('OCTUBRE 2026'!D58&lt;&gt;"",'OCTUBRE 2026'!Z58="POR RECOGER"),'OCTUBRE 2026'!P58,"")</f>
        <v/>
      </c>
      <c r="J999" s="192" t="str">
        <f aca="false">IF(AND('OCTUBRE 2026'!D58&lt;&gt;"",'OCTUBRE 2026'!Z58="POR RECOGER"),'OCTUBRE 2026'!Q58,"")</f>
        <v/>
      </c>
      <c r="K999" s="192" t="str">
        <f aca="false">IF(AND('OCTUBRE 2026'!D58&lt;&gt;"",'OCTUBRE 2026'!Z58="POR RECOGER"),'OCTUBRE 2026'!Y58,"")</f>
        <v/>
      </c>
      <c r="L999" s="192" t="str">
        <f aca="false">IF(AND('OCTUBRE 2026'!D58&lt;&gt;"",'OCTUBRE 2026'!Z58="POR RECOGER"),'OCTUBRE 2026'!I58,"")</f>
        <v/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" hidden="false" customHeight="true" outlineLevel="0" collapsed="false">
      <c r="A1000" s="192" t="str">
        <f aca="false">IF(AND('OCTUBRE 2026'!D59&lt;&gt;"",'OCTUBRE 2026'!Z59="POR RECOGER"),"OCT","")</f>
        <v/>
      </c>
      <c r="B1000" s="192" t="str">
        <f aca="false">IF(AND('OCTUBRE 2026'!D59&lt;&gt;"",'OCTUBRE 2026'!Z59="POR RECOGER"),IF('OCTUBRE 2026'!Y59&lt;&gt;"",'OCTUBRE 2026'!Y59,'OCTUBRE 2026'!I59),"")</f>
        <v/>
      </c>
      <c r="C1000" s="192" t="str">
        <f aca="false">IF(AND('OCTUBRE 2026'!D59&lt;&gt;"",'OCTUBRE 2026'!Z59="POR RECOGER"),'OCTUBRE 2026'!D59,"")</f>
        <v/>
      </c>
      <c r="D1000" s="192" t="str">
        <f aca="false">IF(AND('OCTUBRE 2026'!D59&lt;&gt;"",'OCTUBRE 2026'!Z59="POR RECOGER"),'OCTUBRE 2026'!F59,"")</f>
        <v/>
      </c>
      <c r="E1000" s="192" t="str">
        <f aca="false">IF(AND('OCTUBRE 2026'!D59&lt;&gt;"",'OCTUBRE 2026'!Z59="POR RECOGER"),TEXT('OCTUBRE 2026'!G59,"DD/MM/YYYY"),"")</f>
        <v/>
      </c>
      <c r="F1000" s="192" t="str">
        <f aca="false">IF(AND('OCTUBRE 2026'!D59&lt;&gt;"",'OCTUBRE 2026'!Z59="POR RECOGER"),'OCTUBRE 2026'!K59,"")</f>
        <v/>
      </c>
      <c r="G1000" s="193" t="str">
        <f aca="false">IF(AND('OCTUBRE 2026'!D59&lt;&gt;"",'OCTUBRE 2026'!Z59="POR RECOGER"),'OCTUBRE 2026'!M59,"")</f>
        <v/>
      </c>
      <c r="H1000" s="193" t="str">
        <f aca="false">IF(AND('OCTUBRE 2026'!D59&lt;&gt;"",'OCTUBRE 2026'!Z59="POR RECOGER"),'OCTUBRE 2026'!N59,"")</f>
        <v/>
      </c>
      <c r="I1000" s="192" t="str">
        <f aca="false">IF(AND('OCTUBRE 2026'!D59&lt;&gt;"",'OCTUBRE 2026'!Z59="POR RECOGER"),'OCTUBRE 2026'!P59,"")</f>
        <v/>
      </c>
      <c r="J1000" s="192" t="str">
        <f aca="false">IF(AND('OCTUBRE 2026'!D59&lt;&gt;"",'OCTUBRE 2026'!Z59="POR RECOGER"),'OCTUBRE 2026'!Q59,"")</f>
        <v/>
      </c>
      <c r="K1000" s="192" t="str">
        <f aca="false">IF(AND('OCTUBRE 2026'!D59&lt;&gt;"",'OCTUBRE 2026'!Z59="POR RECOGER"),'OCTUBRE 2026'!Y59,"")</f>
        <v/>
      </c>
      <c r="L1000" s="192" t="str">
        <f aca="false">IF(AND('OCTUBRE 2026'!D59&lt;&gt;"",'OCTUBRE 2026'!Z59="POR RECOGER"),'OCTUBRE 2026'!I59,"")</f>
        <v/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5" hidden="false" customHeight="true" outlineLevel="0" collapsed="false">
      <c r="A1001" s="192" t="str">
        <f aca="false">IF(AND('OCTUBRE 2026'!D60&lt;&gt;"",'OCTUBRE 2026'!Z60="POR RECOGER"),"OCT","")</f>
        <v/>
      </c>
      <c r="B1001" s="192" t="str">
        <f aca="false">IF(AND('OCTUBRE 2026'!D60&lt;&gt;"",'OCTUBRE 2026'!Z60="POR RECOGER"),IF('OCTUBRE 2026'!Y60&lt;&gt;"",'OCTUBRE 2026'!Y60,'OCTUBRE 2026'!I60),"")</f>
        <v/>
      </c>
      <c r="C1001" s="192" t="str">
        <f aca="false">IF(AND('OCTUBRE 2026'!D60&lt;&gt;"",'OCTUBRE 2026'!Z60="POR RECOGER"),'OCTUBRE 2026'!D60,"")</f>
        <v/>
      </c>
      <c r="D1001" s="192" t="str">
        <f aca="false">IF(AND('OCTUBRE 2026'!D60&lt;&gt;"",'OCTUBRE 2026'!Z60="POR RECOGER"),'OCTUBRE 2026'!F60,"")</f>
        <v/>
      </c>
      <c r="E1001" s="192" t="str">
        <f aca="false">IF(AND('OCTUBRE 2026'!D60&lt;&gt;"",'OCTUBRE 2026'!Z60="POR RECOGER"),TEXT('OCTUBRE 2026'!G60,"DD/MM/YYYY"),"")</f>
        <v/>
      </c>
      <c r="F1001" s="192" t="str">
        <f aca="false">IF(AND('OCTUBRE 2026'!D60&lt;&gt;"",'OCTUBRE 2026'!Z60="POR RECOGER"),'OCTUBRE 2026'!K60,"")</f>
        <v/>
      </c>
      <c r="G1001" s="193" t="str">
        <f aca="false">IF(AND('OCTUBRE 2026'!D60&lt;&gt;"",'OCTUBRE 2026'!Z60="POR RECOGER"),'OCTUBRE 2026'!M60,"")</f>
        <v/>
      </c>
      <c r="H1001" s="193" t="str">
        <f aca="false">IF(AND('OCTUBRE 2026'!D60&lt;&gt;"",'OCTUBRE 2026'!Z60="POR RECOGER"),'OCTUBRE 2026'!N60,"")</f>
        <v/>
      </c>
      <c r="I1001" s="192" t="str">
        <f aca="false">IF(AND('OCTUBRE 2026'!D60&lt;&gt;"",'OCTUBRE 2026'!Z60="POR RECOGER"),'OCTUBRE 2026'!P60,"")</f>
        <v/>
      </c>
      <c r="J1001" s="192" t="str">
        <f aca="false">IF(AND('OCTUBRE 2026'!D60&lt;&gt;"",'OCTUBRE 2026'!Z60="POR RECOGER"),'OCTUBRE 2026'!Q60,"")</f>
        <v/>
      </c>
      <c r="K1001" s="192" t="str">
        <f aca="false">IF(AND('OCTUBRE 2026'!D60&lt;&gt;"",'OCTUBRE 2026'!Z60="POR RECOGER"),'OCTUBRE 2026'!Y60,"")</f>
        <v/>
      </c>
      <c r="L1001" s="192" t="str">
        <f aca="false">IF(AND('OCTUBRE 2026'!D60&lt;&gt;"",'OCTUBRE 2026'!Z60="POR RECOGER"),'OCTUBRE 2026'!I60,"")</f>
        <v/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customFormat="false" ht="15" hidden="false" customHeight="true" outlineLevel="0" collapsed="false">
      <c r="A1002" s="192" t="str">
        <f aca="false">IF(AND('OCTUBRE 2026'!D61&lt;&gt;"",'OCTUBRE 2026'!Z61="POR RECOGER"),"OCT","")</f>
        <v/>
      </c>
      <c r="B1002" s="192" t="str">
        <f aca="false">IF(AND('OCTUBRE 2026'!D61&lt;&gt;"",'OCTUBRE 2026'!Z61="POR RECOGER"),IF('OCTUBRE 2026'!Y61&lt;&gt;"",'OCTUBRE 2026'!Y61,'OCTUBRE 2026'!I61),"")</f>
        <v/>
      </c>
      <c r="C1002" s="192" t="str">
        <f aca="false">IF(AND('OCTUBRE 2026'!D61&lt;&gt;"",'OCTUBRE 2026'!Z61="POR RECOGER"),'OCTUBRE 2026'!D61,"")</f>
        <v/>
      </c>
      <c r="D1002" s="192" t="str">
        <f aca="false">IF(AND('OCTUBRE 2026'!D61&lt;&gt;"",'OCTUBRE 2026'!Z61="POR RECOGER"),'OCTUBRE 2026'!F61,"")</f>
        <v/>
      </c>
      <c r="E1002" s="192" t="str">
        <f aca="false">IF(AND('OCTUBRE 2026'!D61&lt;&gt;"",'OCTUBRE 2026'!Z61="POR RECOGER"),TEXT('OCTUBRE 2026'!G61,"DD/MM/YYYY"),"")</f>
        <v/>
      </c>
      <c r="F1002" s="192" t="str">
        <f aca="false">IF(AND('OCTUBRE 2026'!D61&lt;&gt;"",'OCTUBRE 2026'!Z61="POR RECOGER"),'OCTUBRE 2026'!K61,"")</f>
        <v/>
      </c>
      <c r="G1002" s="193" t="str">
        <f aca="false">IF(AND('OCTUBRE 2026'!D61&lt;&gt;"",'OCTUBRE 2026'!Z61="POR RECOGER"),'OCTUBRE 2026'!M61,"")</f>
        <v/>
      </c>
      <c r="H1002" s="193" t="str">
        <f aca="false">IF(AND('OCTUBRE 2026'!D61&lt;&gt;"",'OCTUBRE 2026'!Z61="POR RECOGER"),'OCTUBRE 2026'!N61,"")</f>
        <v/>
      </c>
      <c r="I1002" s="192" t="str">
        <f aca="false">IF(AND('OCTUBRE 2026'!D61&lt;&gt;"",'OCTUBRE 2026'!Z61="POR RECOGER"),'OCTUBRE 2026'!P61,"")</f>
        <v/>
      </c>
      <c r="J1002" s="192" t="str">
        <f aca="false">IF(AND('OCTUBRE 2026'!D61&lt;&gt;"",'OCTUBRE 2026'!Z61="POR RECOGER"),'OCTUBRE 2026'!Q61,"")</f>
        <v/>
      </c>
      <c r="K1002" s="192" t="str">
        <f aca="false">IF(AND('OCTUBRE 2026'!D61&lt;&gt;"",'OCTUBRE 2026'!Z61="POR RECOGER"),'OCTUBRE 2026'!Y61,"")</f>
        <v/>
      </c>
      <c r="L1002" s="192" t="str">
        <f aca="false">IF(AND('OCTUBRE 2026'!D61&lt;&gt;"",'OCTUBRE 2026'!Z61="POR RECOGER"),'OCTUBRE 2026'!I61,"")</f>
        <v/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customFormat="false" ht="15" hidden="false" customHeight="true" outlineLevel="0" collapsed="false">
      <c r="A1003" s="192" t="str">
        <f aca="false">IF(AND('OCTUBRE 2026'!D62&lt;&gt;"",'OCTUBRE 2026'!Z62="POR RECOGER"),"OCT","")</f>
        <v/>
      </c>
      <c r="B1003" s="192" t="str">
        <f aca="false">IF(AND('OCTUBRE 2026'!D62&lt;&gt;"",'OCTUBRE 2026'!Z62="POR RECOGER"),IF('OCTUBRE 2026'!Y62&lt;&gt;"",'OCTUBRE 2026'!Y62,'OCTUBRE 2026'!I62),"")</f>
        <v/>
      </c>
      <c r="C1003" s="192" t="str">
        <f aca="false">IF(AND('OCTUBRE 2026'!D62&lt;&gt;"",'OCTUBRE 2026'!Z62="POR RECOGER"),'OCTUBRE 2026'!D62,"")</f>
        <v/>
      </c>
      <c r="D1003" s="192" t="str">
        <f aca="false">IF(AND('OCTUBRE 2026'!D62&lt;&gt;"",'OCTUBRE 2026'!Z62="POR RECOGER"),'OCTUBRE 2026'!F62,"")</f>
        <v/>
      </c>
      <c r="E1003" s="192" t="str">
        <f aca="false">IF(AND('OCTUBRE 2026'!D62&lt;&gt;"",'OCTUBRE 2026'!Z62="POR RECOGER"),TEXT('OCTUBRE 2026'!G62,"DD/MM/YYYY"),"")</f>
        <v/>
      </c>
      <c r="F1003" s="192" t="str">
        <f aca="false">IF(AND('OCTUBRE 2026'!D62&lt;&gt;"",'OCTUBRE 2026'!Z62="POR RECOGER"),'OCTUBRE 2026'!K62,"")</f>
        <v/>
      </c>
      <c r="G1003" s="193" t="str">
        <f aca="false">IF(AND('OCTUBRE 2026'!D62&lt;&gt;"",'OCTUBRE 2026'!Z62="POR RECOGER"),'OCTUBRE 2026'!M62,"")</f>
        <v/>
      </c>
      <c r="H1003" s="193" t="str">
        <f aca="false">IF(AND('OCTUBRE 2026'!D62&lt;&gt;"",'OCTUBRE 2026'!Z62="POR RECOGER"),'OCTUBRE 2026'!N62,"")</f>
        <v/>
      </c>
      <c r="I1003" s="192" t="str">
        <f aca="false">IF(AND('OCTUBRE 2026'!D62&lt;&gt;"",'OCTUBRE 2026'!Z62="POR RECOGER"),'OCTUBRE 2026'!P62,"")</f>
        <v/>
      </c>
      <c r="J1003" s="192" t="str">
        <f aca="false">IF(AND('OCTUBRE 2026'!D62&lt;&gt;"",'OCTUBRE 2026'!Z62="POR RECOGER"),'OCTUBRE 2026'!Q62,"")</f>
        <v/>
      </c>
      <c r="K1003" s="192" t="str">
        <f aca="false">IF(AND('OCTUBRE 2026'!D62&lt;&gt;"",'OCTUBRE 2026'!Z62="POR RECOGER"),'OCTUBRE 2026'!Y62,"")</f>
        <v/>
      </c>
      <c r="L1003" s="192" t="str">
        <f aca="false">IF(AND('OCTUBRE 2026'!D62&lt;&gt;"",'OCTUBRE 2026'!Z62="POR RECOGER"),'OCTUBRE 2026'!I62,"")</f>
        <v/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customFormat="false" ht="15" hidden="false" customHeight="true" outlineLevel="0" collapsed="false">
      <c r="A1004" s="192" t="str">
        <f aca="false">IF(AND('OCTUBRE 2026'!D63&lt;&gt;"",'OCTUBRE 2026'!Z63="POR RECOGER"),"OCT","")</f>
        <v/>
      </c>
      <c r="B1004" s="192" t="str">
        <f aca="false">IF(AND('OCTUBRE 2026'!D63&lt;&gt;"",'OCTUBRE 2026'!Z63="POR RECOGER"),IF('OCTUBRE 2026'!Y63&lt;&gt;"",'OCTUBRE 2026'!Y63,'OCTUBRE 2026'!I63),"")</f>
        <v/>
      </c>
      <c r="C1004" s="192" t="str">
        <f aca="false">IF(AND('OCTUBRE 2026'!D63&lt;&gt;"",'OCTUBRE 2026'!Z63="POR RECOGER"),'OCTUBRE 2026'!D63,"")</f>
        <v/>
      </c>
      <c r="D1004" s="192" t="str">
        <f aca="false">IF(AND('OCTUBRE 2026'!D63&lt;&gt;"",'OCTUBRE 2026'!Z63="POR RECOGER"),'OCTUBRE 2026'!F63,"")</f>
        <v/>
      </c>
      <c r="E1004" s="192" t="str">
        <f aca="false">IF(AND('OCTUBRE 2026'!D63&lt;&gt;"",'OCTUBRE 2026'!Z63="POR RECOGER"),TEXT('OCTUBRE 2026'!G63,"DD/MM/YYYY"),"")</f>
        <v/>
      </c>
      <c r="F1004" s="192" t="str">
        <f aca="false">IF(AND('OCTUBRE 2026'!D63&lt;&gt;"",'OCTUBRE 2026'!Z63="POR RECOGER"),'OCTUBRE 2026'!K63,"")</f>
        <v/>
      </c>
      <c r="G1004" s="193" t="str">
        <f aca="false">IF(AND('OCTUBRE 2026'!D63&lt;&gt;"",'OCTUBRE 2026'!Z63="POR RECOGER"),'OCTUBRE 2026'!M63,"")</f>
        <v/>
      </c>
      <c r="H1004" s="193" t="str">
        <f aca="false">IF(AND('OCTUBRE 2026'!D63&lt;&gt;"",'OCTUBRE 2026'!Z63="POR RECOGER"),'OCTUBRE 2026'!N63,"")</f>
        <v/>
      </c>
      <c r="I1004" s="192" t="str">
        <f aca="false">IF(AND('OCTUBRE 2026'!D63&lt;&gt;"",'OCTUBRE 2026'!Z63="POR RECOGER"),'OCTUBRE 2026'!P63,"")</f>
        <v/>
      </c>
      <c r="J1004" s="192" t="str">
        <f aca="false">IF(AND('OCTUBRE 2026'!D63&lt;&gt;"",'OCTUBRE 2026'!Z63="POR RECOGER"),'OCTUBRE 2026'!Q63,"")</f>
        <v/>
      </c>
      <c r="K1004" s="192" t="str">
        <f aca="false">IF(AND('OCTUBRE 2026'!D63&lt;&gt;"",'OCTUBRE 2026'!Z63="POR RECOGER"),'OCTUBRE 2026'!Y63,"")</f>
        <v/>
      </c>
      <c r="L1004" s="192" t="str">
        <f aca="false">IF(AND('OCTUBRE 2026'!D63&lt;&gt;"",'OCTUBRE 2026'!Z63="POR RECOGER"),'OCTUBRE 2026'!I63,"")</f>
        <v/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customFormat="false" ht="15" hidden="false" customHeight="true" outlineLevel="0" collapsed="false">
      <c r="A1005" s="192" t="str">
        <f aca="false">IF(AND('OCTUBRE 2026'!D64&lt;&gt;"",'OCTUBRE 2026'!Z64="POR RECOGER"),"OCT","")</f>
        <v/>
      </c>
      <c r="B1005" s="192" t="str">
        <f aca="false">IF(AND('OCTUBRE 2026'!D64&lt;&gt;"",'OCTUBRE 2026'!Z64="POR RECOGER"),IF('OCTUBRE 2026'!Y64&lt;&gt;"",'OCTUBRE 2026'!Y64,'OCTUBRE 2026'!I64),"")</f>
        <v/>
      </c>
      <c r="C1005" s="192" t="str">
        <f aca="false">IF(AND('OCTUBRE 2026'!D64&lt;&gt;"",'OCTUBRE 2026'!Z64="POR RECOGER"),'OCTUBRE 2026'!D64,"")</f>
        <v/>
      </c>
      <c r="D1005" s="192" t="str">
        <f aca="false">IF(AND('OCTUBRE 2026'!D64&lt;&gt;"",'OCTUBRE 2026'!Z64="POR RECOGER"),'OCTUBRE 2026'!F64,"")</f>
        <v/>
      </c>
      <c r="E1005" s="192" t="str">
        <f aca="false">IF(AND('OCTUBRE 2026'!D64&lt;&gt;"",'OCTUBRE 2026'!Z64="POR RECOGER"),TEXT('OCTUBRE 2026'!G64,"DD/MM/YYYY"),"")</f>
        <v/>
      </c>
      <c r="F1005" s="192" t="str">
        <f aca="false">IF(AND('OCTUBRE 2026'!D64&lt;&gt;"",'OCTUBRE 2026'!Z64="POR RECOGER"),'OCTUBRE 2026'!K64,"")</f>
        <v/>
      </c>
      <c r="G1005" s="193" t="str">
        <f aca="false">IF(AND('OCTUBRE 2026'!D64&lt;&gt;"",'OCTUBRE 2026'!Z64="POR RECOGER"),'OCTUBRE 2026'!M64,"")</f>
        <v/>
      </c>
      <c r="H1005" s="193" t="str">
        <f aca="false">IF(AND('OCTUBRE 2026'!D64&lt;&gt;"",'OCTUBRE 2026'!Z64="POR RECOGER"),'OCTUBRE 2026'!N64,"")</f>
        <v/>
      </c>
      <c r="I1005" s="192" t="str">
        <f aca="false">IF(AND('OCTUBRE 2026'!D64&lt;&gt;"",'OCTUBRE 2026'!Z64="POR RECOGER"),'OCTUBRE 2026'!P64,"")</f>
        <v/>
      </c>
      <c r="J1005" s="192" t="str">
        <f aca="false">IF(AND('OCTUBRE 2026'!D64&lt;&gt;"",'OCTUBRE 2026'!Z64="POR RECOGER"),'OCTUBRE 2026'!Q64,"")</f>
        <v/>
      </c>
      <c r="K1005" s="192" t="str">
        <f aca="false">IF(AND('OCTUBRE 2026'!D64&lt;&gt;"",'OCTUBRE 2026'!Z64="POR RECOGER"),'OCTUBRE 2026'!Y64,"")</f>
        <v/>
      </c>
      <c r="L1005" s="192" t="str">
        <f aca="false">IF(AND('OCTUBRE 2026'!D64&lt;&gt;"",'OCTUBRE 2026'!Z64="POR RECOGER"),'OCTUBRE 2026'!I64,"")</f>
        <v/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customFormat="false" ht="15" hidden="false" customHeight="true" outlineLevel="0" collapsed="false">
      <c r="A1006" s="192" t="str">
        <f aca="false">IF(AND('OCTUBRE 2026'!D65&lt;&gt;"",'OCTUBRE 2026'!Z65="POR RECOGER"),"OCT","")</f>
        <v/>
      </c>
      <c r="B1006" s="192" t="str">
        <f aca="false">IF(AND('OCTUBRE 2026'!D65&lt;&gt;"",'OCTUBRE 2026'!Z65="POR RECOGER"),IF('OCTUBRE 2026'!Y65&lt;&gt;"",'OCTUBRE 2026'!Y65,'OCTUBRE 2026'!I65),"")</f>
        <v/>
      </c>
      <c r="C1006" s="192" t="str">
        <f aca="false">IF(AND('OCTUBRE 2026'!D65&lt;&gt;"",'OCTUBRE 2026'!Z65="POR RECOGER"),'OCTUBRE 2026'!D65,"")</f>
        <v/>
      </c>
      <c r="D1006" s="192" t="str">
        <f aca="false">IF(AND('OCTUBRE 2026'!D65&lt;&gt;"",'OCTUBRE 2026'!Z65="POR RECOGER"),'OCTUBRE 2026'!F65,"")</f>
        <v/>
      </c>
      <c r="E1006" s="192" t="str">
        <f aca="false">IF(AND('OCTUBRE 2026'!D65&lt;&gt;"",'OCTUBRE 2026'!Z65="POR RECOGER"),TEXT('OCTUBRE 2026'!G65,"DD/MM/YYYY"),"")</f>
        <v/>
      </c>
      <c r="F1006" s="192" t="str">
        <f aca="false">IF(AND('OCTUBRE 2026'!D65&lt;&gt;"",'OCTUBRE 2026'!Z65="POR RECOGER"),'OCTUBRE 2026'!K65,"")</f>
        <v/>
      </c>
      <c r="G1006" s="193" t="str">
        <f aca="false">IF(AND('OCTUBRE 2026'!D65&lt;&gt;"",'OCTUBRE 2026'!Z65="POR RECOGER"),'OCTUBRE 2026'!M65,"")</f>
        <v/>
      </c>
      <c r="H1006" s="193" t="str">
        <f aca="false">IF(AND('OCTUBRE 2026'!D65&lt;&gt;"",'OCTUBRE 2026'!Z65="POR RECOGER"),'OCTUBRE 2026'!N65,"")</f>
        <v/>
      </c>
      <c r="I1006" s="192" t="str">
        <f aca="false">IF(AND('OCTUBRE 2026'!D65&lt;&gt;"",'OCTUBRE 2026'!Z65="POR RECOGER"),'OCTUBRE 2026'!P65,"")</f>
        <v/>
      </c>
      <c r="J1006" s="192" t="str">
        <f aca="false">IF(AND('OCTUBRE 2026'!D65&lt;&gt;"",'OCTUBRE 2026'!Z65="POR RECOGER"),'OCTUBRE 2026'!Q65,"")</f>
        <v/>
      </c>
      <c r="K1006" s="192" t="str">
        <f aca="false">IF(AND('OCTUBRE 2026'!D65&lt;&gt;"",'OCTUBRE 2026'!Z65="POR RECOGER"),'OCTUBRE 2026'!Y65,"")</f>
        <v/>
      </c>
      <c r="L1006" s="192" t="str">
        <f aca="false">IF(AND('OCTUBRE 2026'!D65&lt;&gt;"",'OCTUBRE 2026'!Z65="POR RECOGER"),'OCTUBRE 2026'!I65,"")</f>
        <v/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customFormat="false" ht="15" hidden="false" customHeight="true" outlineLevel="0" collapsed="false">
      <c r="A1007" s="192" t="str">
        <f aca="false">IF(AND('OCTUBRE 2026'!D66&lt;&gt;"",'OCTUBRE 2026'!Z66="POR RECOGER"),"OCT","")</f>
        <v/>
      </c>
      <c r="B1007" s="192" t="str">
        <f aca="false">IF(AND('OCTUBRE 2026'!D66&lt;&gt;"",'OCTUBRE 2026'!Z66="POR RECOGER"),IF('OCTUBRE 2026'!Y66&lt;&gt;"",'OCTUBRE 2026'!Y66,'OCTUBRE 2026'!I66),"")</f>
        <v/>
      </c>
      <c r="C1007" s="192" t="str">
        <f aca="false">IF(AND('OCTUBRE 2026'!D66&lt;&gt;"",'OCTUBRE 2026'!Z66="POR RECOGER"),'OCTUBRE 2026'!D66,"")</f>
        <v/>
      </c>
      <c r="D1007" s="192" t="str">
        <f aca="false">IF(AND('OCTUBRE 2026'!D66&lt;&gt;"",'OCTUBRE 2026'!Z66="POR RECOGER"),'OCTUBRE 2026'!F66,"")</f>
        <v/>
      </c>
      <c r="E1007" s="192" t="str">
        <f aca="false">IF(AND('OCTUBRE 2026'!D66&lt;&gt;"",'OCTUBRE 2026'!Z66="POR RECOGER"),TEXT('OCTUBRE 2026'!G66,"DD/MM/YYYY"),"")</f>
        <v/>
      </c>
      <c r="F1007" s="192" t="str">
        <f aca="false">IF(AND('OCTUBRE 2026'!D66&lt;&gt;"",'OCTUBRE 2026'!Z66="POR RECOGER"),'OCTUBRE 2026'!K66,"")</f>
        <v/>
      </c>
      <c r="G1007" s="193" t="str">
        <f aca="false">IF(AND('OCTUBRE 2026'!D66&lt;&gt;"",'OCTUBRE 2026'!Z66="POR RECOGER"),'OCTUBRE 2026'!M66,"")</f>
        <v/>
      </c>
      <c r="H1007" s="193" t="str">
        <f aca="false">IF(AND('OCTUBRE 2026'!D66&lt;&gt;"",'OCTUBRE 2026'!Z66="POR RECOGER"),'OCTUBRE 2026'!N66,"")</f>
        <v/>
      </c>
      <c r="I1007" s="192" t="str">
        <f aca="false">IF(AND('OCTUBRE 2026'!D66&lt;&gt;"",'OCTUBRE 2026'!Z66="POR RECOGER"),'OCTUBRE 2026'!P66,"")</f>
        <v/>
      </c>
      <c r="J1007" s="192" t="str">
        <f aca="false">IF(AND('OCTUBRE 2026'!D66&lt;&gt;"",'OCTUBRE 2026'!Z66="POR RECOGER"),'OCTUBRE 2026'!Q66,"")</f>
        <v/>
      </c>
      <c r="K1007" s="192" t="str">
        <f aca="false">IF(AND('OCTUBRE 2026'!D66&lt;&gt;"",'OCTUBRE 2026'!Z66="POR RECOGER"),'OCTUBRE 2026'!Y66,"")</f>
        <v/>
      </c>
      <c r="L1007" s="192" t="str">
        <f aca="false">IF(AND('OCTUBRE 2026'!D66&lt;&gt;"",'OCTUBRE 2026'!Z66="POR RECOGER"),'OCTUBRE 2026'!I66,"")</f>
        <v/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customFormat="false" ht="15" hidden="false" customHeight="true" outlineLevel="0" collapsed="false">
      <c r="A1008" s="192" t="str">
        <f aca="false">IF(AND('OCTUBRE 2026'!D67&lt;&gt;"",'OCTUBRE 2026'!Z67="POR RECOGER"),"OCT","")</f>
        <v/>
      </c>
      <c r="B1008" s="192" t="str">
        <f aca="false">IF(AND('OCTUBRE 2026'!D67&lt;&gt;"",'OCTUBRE 2026'!Z67="POR RECOGER"),IF('OCTUBRE 2026'!Y67&lt;&gt;"",'OCTUBRE 2026'!Y67,'OCTUBRE 2026'!I67),"")</f>
        <v/>
      </c>
      <c r="C1008" s="192" t="str">
        <f aca="false">IF(AND('OCTUBRE 2026'!D67&lt;&gt;"",'OCTUBRE 2026'!Z67="POR RECOGER"),'OCTUBRE 2026'!D67,"")</f>
        <v/>
      </c>
      <c r="D1008" s="192" t="str">
        <f aca="false">IF(AND('OCTUBRE 2026'!D67&lt;&gt;"",'OCTUBRE 2026'!Z67="POR RECOGER"),'OCTUBRE 2026'!F67,"")</f>
        <v/>
      </c>
      <c r="E1008" s="192" t="str">
        <f aca="false">IF(AND('OCTUBRE 2026'!D67&lt;&gt;"",'OCTUBRE 2026'!Z67="POR RECOGER"),TEXT('OCTUBRE 2026'!G67,"DD/MM/YYYY"),"")</f>
        <v/>
      </c>
      <c r="F1008" s="192" t="str">
        <f aca="false">IF(AND('OCTUBRE 2026'!D67&lt;&gt;"",'OCTUBRE 2026'!Z67="POR RECOGER"),'OCTUBRE 2026'!K67,"")</f>
        <v/>
      </c>
      <c r="G1008" s="193" t="str">
        <f aca="false">IF(AND('OCTUBRE 2026'!D67&lt;&gt;"",'OCTUBRE 2026'!Z67="POR RECOGER"),'OCTUBRE 2026'!M67,"")</f>
        <v/>
      </c>
      <c r="H1008" s="193" t="str">
        <f aca="false">IF(AND('OCTUBRE 2026'!D67&lt;&gt;"",'OCTUBRE 2026'!Z67="POR RECOGER"),'OCTUBRE 2026'!N67,"")</f>
        <v/>
      </c>
      <c r="I1008" s="192" t="str">
        <f aca="false">IF(AND('OCTUBRE 2026'!D67&lt;&gt;"",'OCTUBRE 2026'!Z67="POR RECOGER"),'OCTUBRE 2026'!P67,"")</f>
        <v/>
      </c>
      <c r="J1008" s="192" t="str">
        <f aca="false">IF(AND('OCTUBRE 2026'!D67&lt;&gt;"",'OCTUBRE 2026'!Z67="POR RECOGER"),'OCTUBRE 2026'!Q67,"")</f>
        <v/>
      </c>
      <c r="K1008" s="192" t="str">
        <f aca="false">IF(AND('OCTUBRE 2026'!D67&lt;&gt;"",'OCTUBRE 2026'!Z67="POR RECOGER"),'OCTUBRE 2026'!Y67,"")</f>
        <v/>
      </c>
      <c r="L1008" s="192" t="str">
        <f aca="false">IF(AND('OCTUBRE 2026'!D67&lt;&gt;"",'OCTUBRE 2026'!Z67="POR RECOGER"),'OCTUBRE 2026'!I67,"")</f>
        <v/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customFormat="false" ht="15" hidden="false" customHeight="true" outlineLevel="0" collapsed="false">
      <c r="A1009" s="192" t="str">
        <f aca="false">IF(AND('OCTUBRE 2026'!D68&lt;&gt;"",'OCTUBRE 2026'!Z68="POR RECOGER"),"OCT","")</f>
        <v/>
      </c>
      <c r="B1009" s="192" t="str">
        <f aca="false">IF(AND('OCTUBRE 2026'!D68&lt;&gt;"",'OCTUBRE 2026'!Z68="POR RECOGER"),IF('OCTUBRE 2026'!Y68&lt;&gt;"",'OCTUBRE 2026'!Y68,'OCTUBRE 2026'!I68),"")</f>
        <v/>
      </c>
      <c r="C1009" s="192" t="str">
        <f aca="false">IF(AND('OCTUBRE 2026'!D68&lt;&gt;"",'OCTUBRE 2026'!Z68="POR RECOGER"),'OCTUBRE 2026'!D68,"")</f>
        <v/>
      </c>
      <c r="D1009" s="192" t="str">
        <f aca="false">IF(AND('OCTUBRE 2026'!D68&lt;&gt;"",'OCTUBRE 2026'!Z68="POR RECOGER"),'OCTUBRE 2026'!F68,"")</f>
        <v/>
      </c>
      <c r="E1009" s="192" t="str">
        <f aca="false">IF(AND('OCTUBRE 2026'!D68&lt;&gt;"",'OCTUBRE 2026'!Z68="POR RECOGER"),TEXT('OCTUBRE 2026'!G68,"DD/MM/YYYY"),"")</f>
        <v/>
      </c>
      <c r="F1009" s="192" t="str">
        <f aca="false">IF(AND('OCTUBRE 2026'!D68&lt;&gt;"",'OCTUBRE 2026'!Z68="POR RECOGER"),'OCTUBRE 2026'!K68,"")</f>
        <v/>
      </c>
      <c r="G1009" s="193" t="str">
        <f aca="false">IF(AND('OCTUBRE 2026'!D68&lt;&gt;"",'OCTUBRE 2026'!Z68="POR RECOGER"),'OCTUBRE 2026'!M68,"")</f>
        <v/>
      </c>
      <c r="H1009" s="193" t="str">
        <f aca="false">IF(AND('OCTUBRE 2026'!D68&lt;&gt;"",'OCTUBRE 2026'!Z68="POR RECOGER"),'OCTUBRE 2026'!N68,"")</f>
        <v/>
      </c>
      <c r="I1009" s="192" t="str">
        <f aca="false">IF(AND('OCTUBRE 2026'!D68&lt;&gt;"",'OCTUBRE 2026'!Z68="POR RECOGER"),'OCTUBRE 2026'!P68,"")</f>
        <v/>
      </c>
      <c r="J1009" s="192" t="str">
        <f aca="false">IF(AND('OCTUBRE 2026'!D68&lt;&gt;"",'OCTUBRE 2026'!Z68="POR RECOGER"),'OCTUBRE 2026'!Q68,"")</f>
        <v/>
      </c>
      <c r="K1009" s="192" t="str">
        <f aca="false">IF(AND('OCTUBRE 2026'!D68&lt;&gt;"",'OCTUBRE 2026'!Z68="POR RECOGER"),'OCTUBRE 2026'!Y68,"")</f>
        <v/>
      </c>
      <c r="L1009" s="192" t="str">
        <f aca="false">IF(AND('OCTUBRE 2026'!D68&lt;&gt;"",'OCTUBRE 2026'!Z68="POR RECOGER"),'OCTUBRE 2026'!I68,"")</f>
        <v/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customFormat="false" ht="15" hidden="false" customHeight="true" outlineLevel="0" collapsed="false">
      <c r="A1010" s="192" t="str">
        <f aca="false">IF(AND('OCTUBRE 2026'!D69&lt;&gt;"",'OCTUBRE 2026'!Z69="POR RECOGER"),"OCT","")</f>
        <v/>
      </c>
      <c r="B1010" s="192" t="str">
        <f aca="false">IF(AND('OCTUBRE 2026'!D69&lt;&gt;"",'OCTUBRE 2026'!Z69="POR RECOGER"),IF('OCTUBRE 2026'!Y69&lt;&gt;"",'OCTUBRE 2026'!Y69,'OCTUBRE 2026'!I69),"")</f>
        <v/>
      </c>
      <c r="C1010" s="192" t="str">
        <f aca="false">IF(AND('OCTUBRE 2026'!D69&lt;&gt;"",'OCTUBRE 2026'!Z69="POR RECOGER"),'OCTUBRE 2026'!D69,"")</f>
        <v/>
      </c>
      <c r="D1010" s="192" t="str">
        <f aca="false">IF(AND('OCTUBRE 2026'!D69&lt;&gt;"",'OCTUBRE 2026'!Z69="POR RECOGER"),'OCTUBRE 2026'!F69,"")</f>
        <v/>
      </c>
      <c r="E1010" s="192" t="str">
        <f aca="false">IF(AND('OCTUBRE 2026'!D69&lt;&gt;"",'OCTUBRE 2026'!Z69="POR RECOGER"),TEXT('OCTUBRE 2026'!G69,"DD/MM/YYYY"),"")</f>
        <v/>
      </c>
      <c r="F1010" s="192" t="str">
        <f aca="false">IF(AND('OCTUBRE 2026'!D69&lt;&gt;"",'OCTUBRE 2026'!Z69="POR RECOGER"),'OCTUBRE 2026'!K69,"")</f>
        <v/>
      </c>
      <c r="G1010" s="193" t="str">
        <f aca="false">IF(AND('OCTUBRE 2026'!D69&lt;&gt;"",'OCTUBRE 2026'!Z69="POR RECOGER"),'OCTUBRE 2026'!M69,"")</f>
        <v/>
      </c>
      <c r="H1010" s="193" t="str">
        <f aca="false">IF(AND('OCTUBRE 2026'!D69&lt;&gt;"",'OCTUBRE 2026'!Z69="POR RECOGER"),'OCTUBRE 2026'!N69,"")</f>
        <v/>
      </c>
      <c r="I1010" s="192" t="str">
        <f aca="false">IF(AND('OCTUBRE 2026'!D69&lt;&gt;"",'OCTUBRE 2026'!Z69="POR RECOGER"),'OCTUBRE 2026'!P69,"")</f>
        <v/>
      </c>
      <c r="J1010" s="192" t="str">
        <f aca="false">IF(AND('OCTUBRE 2026'!D69&lt;&gt;"",'OCTUBRE 2026'!Z69="POR RECOGER"),'OCTUBRE 2026'!Q69,"")</f>
        <v/>
      </c>
      <c r="K1010" s="192" t="str">
        <f aca="false">IF(AND('OCTUBRE 2026'!D69&lt;&gt;"",'OCTUBRE 2026'!Z69="POR RECOGER"),'OCTUBRE 2026'!Y69,"")</f>
        <v/>
      </c>
      <c r="L1010" s="192" t="str">
        <f aca="false">IF(AND('OCTUBRE 2026'!D69&lt;&gt;"",'OCTUBRE 2026'!Z69="POR RECOGER"),'OCTUBRE 2026'!I69,"")</f>
        <v/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customFormat="false" ht="15" hidden="false" customHeight="true" outlineLevel="0" collapsed="false">
      <c r="A1011" s="192" t="str">
        <f aca="false">IF(AND('OCTUBRE 2026'!D70&lt;&gt;"",'OCTUBRE 2026'!Z70="POR RECOGER"),"OCT","")</f>
        <v/>
      </c>
      <c r="B1011" s="192" t="str">
        <f aca="false">IF(AND('OCTUBRE 2026'!D70&lt;&gt;"",'OCTUBRE 2026'!Z70="POR RECOGER"),IF('OCTUBRE 2026'!Y70&lt;&gt;"",'OCTUBRE 2026'!Y70,'OCTUBRE 2026'!I70),"")</f>
        <v/>
      </c>
      <c r="C1011" s="192" t="str">
        <f aca="false">IF(AND('OCTUBRE 2026'!D70&lt;&gt;"",'OCTUBRE 2026'!Z70="POR RECOGER"),'OCTUBRE 2026'!D70,"")</f>
        <v/>
      </c>
      <c r="D1011" s="192" t="str">
        <f aca="false">IF(AND('OCTUBRE 2026'!D70&lt;&gt;"",'OCTUBRE 2026'!Z70="POR RECOGER"),'OCTUBRE 2026'!F70,"")</f>
        <v/>
      </c>
      <c r="E1011" s="192" t="str">
        <f aca="false">IF(AND('OCTUBRE 2026'!D70&lt;&gt;"",'OCTUBRE 2026'!Z70="POR RECOGER"),TEXT('OCTUBRE 2026'!G70,"DD/MM/YYYY"),"")</f>
        <v/>
      </c>
      <c r="F1011" s="192" t="str">
        <f aca="false">IF(AND('OCTUBRE 2026'!D70&lt;&gt;"",'OCTUBRE 2026'!Z70="POR RECOGER"),'OCTUBRE 2026'!K70,"")</f>
        <v/>
      </c>
      <c r="G1011" s="193" t="str">
        <f aca="false">IF(AND('OCTUBRE 2026'!D70&lt;&gt;"",'OCTUBRE 2026'!Z70="POR RECOGER"),'OCTUBRE 2026'!M70,"")</f>
        <v/>
      </c>
      <c r="H1011" s="193" t="str">
        <f aca="false">IF(AND('OCTUBRE 2026'!D70&lt;&gt;"",'OCTUBRE 2026'!Z70="POR RECOGER"),'OCTUBRE 2026'!N70,"")</f>
        <v/>
      </c>
      <c r="I1011" s="192" t="str">
        <f aca="false">IF(AND('OCTUBRE 2026'!D70&lt;&gt;"",'OCTUBRE 2026'!Z70="POR RECOGER"),'OCTUBRE 2026'!P70,"")</f>
        <v/>
      </c>
      <c r="J1011" s="192" t="str">
        <f aca="false">IF(AND('OCTUBRE 2026'!D70&lt;&gt;"",'OCTUBRE 2026'!Z70="POR RECOGER"),'OCTUBRE 2026'!Q70,"")</f>
        <v/>
      </c>
      <c r="K1011" s="192" t="str">
        <f aca="false">IF(AND('OCTUBRE 2026'!D70&lt;&gt;"",'OCTUBRE 2026'!Z70="POR RECOGER"),'OCTUBRE 2026'!Y70,"")</f>
        <v/>
      </c>
      <c r="L1011" s="192" t="str">
        <f aca="false">IF(AND('OCTUBRE 2026'!D70&lt;&gt;"",'OCTUBRE 2026'!Z70="POR RECOGER"),'OCTUBRE 2026'!I70,"")</f>
        <v/>
      </c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customFormat="false" ht="15" hidden="false" customHeight="true" outlineLevel="0" collapsed="false">
      <c r="A1012" s="192" t="str">
        <f aca="false">IF(AND('OCTUBRE 2026'!D71&lt;&gt;"",'OCTUBRE 2026'!Z71="POR RECOGER"),"OCT","")</f>
        <v/>
      </c>
      <c r="B1012" s="192" t="str">
        <f aca="false">IF(AND('OCTUBRE 2026'!D71&lt;&gt;"",'OCTUBRE 2026'!Z71="POR RECOGER"),IF('OCTUBRE 2026'!Y71&lt;&gt;"",'OCTUBRE 2026'!Y71,'OCTUBRE 2026'!I71),"")</f>
        <v/>
      </c>
      <c r="C1012" s="192" t="str">
        <f aca="false">IF(AND('OCTUBRE 2026'!D71&lt;&gt;"",'OCTUBRE 2026'!Z71="POR RECOGER"),'OCTUBRE 2026'!D71,"")</f>
        <v/>
      </c>
      <c r="D1012" s="192" t="str">
        <f aca="false">IF(AND('OCTUBRE 2026'!D71&lt;&gt;"",'OCTUBRE 2026'!Z71="POR RECOGER"),'OCTUBRE 2026'!F71,"")</f>
        <v/>
      </c>
      <c r="E1012" s="192" t="str">
        <f aca="false">IF(AND('OCTUBRE 2026'!D71&lt;&gt;"",'OCTUBRE 2026'!Z71="POR RECOGER"),TEXT('OCTUBRE 2026'!G71,"DD/MM/YYYY"),"")</f>
        <v/>
      </c>
      <c r="F1012" s="192" t="str">
        <f aca="false">IF(AND('OCTUBRE 2026'!D71&lt;&gt;"",'OCTUBRE 2026'!Z71="POR RECOGER"),'OCTUBRE 2026'!K71,"")</f>
        <v/>
      </c>
      <c r="G1012" s="193" t="str">
        <f aca="false">IF(AND('OCTUBRE 2026'!D71&lt;&gt;"",'OCTUBRE 2026'!Z71="POR RECOGER"),'OCTUBRE 2026'!M71,"")</f>
        <v/>
      </c>
      <c r="H1012" s="193" t="str">
        <f aca="false">IF(AND('OCTUBRE 2026'!D71&lt;&gt;"",'OCTUBRE 2026'!Z71="POR RECOGER"),'OCTUBRE 2026'!N71,"")</f>
        <v/>
      </c>
      <c r="I1012" s="192" t="str">
        <f aca="false">IF(AND('OCTUBRE 2026'!D71&lt;&gt;"",'OCTUBRE 2026'!Z71="POR RECOGER"),'OCTUBRE 2026'!P71,"")</f>
        <v/>
      </c>
      <c r="J1012" s="192" t="str">
        <f aca="false">IF(AND('OCTUBRE 2026'!D71&lt;&gt;"",'OCTUBRE 2026'!Z71="POR RECOGER"),'OCTUBRE 2026'!Q71,"")</f>
        <v/>
      </c>
      <c r="K1012" s="192" t="str">
        <f aca="false">IF(AND('OCTUBRE 2026'!D71&lt;&gt;"",'OCTUBRE 2026'!Z71="POR RECOGER"),'OCTUBRE 2026'!Y71,"")</f>
        <v/>
      </c>
      <c r="L1012" s="192" t="str">
        <f aca="false">IF(AND('OCTUBRE 2026'!D71&lt;&gt;"",'OCTUBRE 2026'!Z71="POR RECOGER"),'OCTUBRE 2026'!I71,"")</f>
        <v/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customFormat="false" ht="15" hidden="false" customHeight="true" outlineLevel="0" collapsed="false">
      <c r="A1013" s="192" t="str">
        <f aca="false">IF(AND('OCTUBRE 2026'!D72&lt;&gt;"",'OCTUBRE 2026'!Z72="POR RECOGER"),"OCT","")</f>
        <v/>
      </c>
      <c r="B1013" s="192" t="str">
        <f aca="false">IF(AND('OCTUBRE 2026'!D72&lt;&gt;"",'OCTUBRE 2026'!Z72="POR RECOGER"),IF('OCTUBRE 2026'!Y72&lt;&gt;"",'OCTUBRE 2026'!Y72,'OCTUBRE 2026'!I72),"")</f>
        <v/>
      </c>
      <c r="C1013" s="192" t="str">
        <f aca="false">IF(AND('OCTUBRE 2026'!D72&lt;&gt;"",'OCTUBRE 2026'!Z72="POR RECOGER"),'OCTUBRE 2026'!D72,"")</f>
        <v/>
      </c>
      <c r="D1013" s="192" t="str">
        <f aca="false">IF(AND('OCTUBRE 2026'!D72&lt;&gt;"",'OCTUBRE 2026'!Z72="POR RECOGER"),'OCTUBRE 2026'!F72,"")</f>
        <v/>
      </c>
      <c r="E1013" s="192" t="str">
        <f aca="false">IF(AND('OCTUBRE 2026'!D72&lt;&gt;"",'OCTUBRE 2026'!Z72="POR RECOGER"),TEXT('OCTUBRE 2026'!G72,"DD/MM/YYYY"),"")</f>
        <v/>
      </c>
      <c r="F1013" s="192" t="str">
        <f aca="false">IF(AND('OCTUBRE 2026'!D72&lt;&gt;"",'OCTUBRE 2026'!Z72="POR RECOGER"),'OCTUBRE 2026'!K72,"")</f>
        <v/>
      </c>
      <c r="G1013" s="193" t="str">
        <f aca="false">IF(AND('OCTUBRE 2026'!D72&lt;&gt;"",'OCTUBRE 2026'!Z72="POR RECOGER"),'OCTUBRE 2026'!M72,"")</f>
        <v/>
      </c>
      <c r="H1013" s="193" t="str">
        <f aca="false">IF(AND('OCTUBRE 2026'!D72&lt;&gt;"",'OCTUBRE 2026'!Z72="POR RECOGER"),'OCTUBRE 2026'!N72,"")</f>
        <v/>
      </c>
      <c r="I1013" s="192" t="str">
        <f aca="false">IF(AND('OCTUBRE 2026'!D72&lt;&gt;"",'OCTUBRE 2026'!Z72="POR RECOGER"),'OCTUBRE 2026'!P72,"")</f>
        <v/>
      </c>
      <c r="J1013" s="192" t="str">
        <f aca="false">IF(AND('OCTUBRE 2026'!D72&lt;&gt;"",'OCTUBRE 2026'!Z72="POR RECOGER"),'OCTUBRE 2026'!Q72,"")</f>
        <v/>
      </c>
      <c r="K1013" s="192" t="str">
        <f aca="false">IF(AND('OCTUBRE 2026'!D72&lt;&gt;"",'OCTUBRE 2026'!Z72="POR RECOGER"),'OCTUBRE 2026'!Y72,"")</f>
        <v/>
      </c>
      <c r="L1013" s="192" t="str">
        <f aca="false">IF(AND('OCTUBRE 2026'!D72&lt;&gt;"",'OCTUBRE 2026'!Z72="POR RECOGER"),'OCTUBRE 2026'!I72,"")</f>
        <v/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customFormat="false" ht="15" hidden="false" customHeight="true" outlineLevel="0" collapsed="false">
      <c r="A1014" s="192" t="str">
        <f aca="false">IF(AND('OCTUBRE 2026'!D73&lt;&gt;"",'OCTUBRE 2026'!Z73="POR RECOGER"),"OCT","")</f>
        <v/>
      </c>
      <c r="B1014" s="192" t="str">
        <f aca="false">IF(AND('OCTUBRE 2026'!D73&lt;&gt;"",'OCTUBRE 2026'!Z73="POR RECOGER"),IF('OCTUBRE 2026'!Y73&lt;&gt;"",'OCTUBRE 2026'!Y73,'OCTUBRE 2026'!I73),"")</f>
        <v/>
      </c>
      <c r="C1014" s="192" t="str">
        <f aca="false">IF(AND('OCTUBRE 2026'!D73&lt;&gt;"",'OCTUBRE 2026'!Z73="POR RECOGER"),'OCTUBRE 2026'!D73,"")</f>
        <v/>
      </c>
      <c r="D1014" s="192" t="str">
        <f aca="false">IF(AND('OCTUBRE 2026'!D73&lt;&gt;"",'OCTUBRE 2026'!Z73="POR RECOGER"),'OCTUBRE 2026'!F73,"")</f>
        <v/>
      </c>
      <c r="E1014" s="192" t="str">
        <f aca="false">IF(AND('OCTUBRE 2026'!D73&lt;&gt;"",'OCTUBRE 2026'!Z73="POR RECOGER"),TEXT('OCTUBRE 2026'!G73,"DD/MM/YYYY"),"")</f>
        <v/>
      </c>
      <c r="F1014" s="192" t="str">
        <f aca="false">IF(AND('OCTUBRE 2026'!D73&lt;&gt;"",'OCTUBRE 2026'!Z73="POR RECOGER"),'OCTUBRE 2026'!K73,"")</f>
        <v/>
      </c>
      <c r="G1014" s="193" t="str">
        <f aca="false">IF(AND('OCTUBRE 2026'!D73&lt;&gt;"",'OCTUBRE 2026'!Z73="POR RECOGER"),'OCTUBRE 2026'!M73,"")</f>
        <v/>
      </c>
      <c r="H1014" s="193" t="str">
        <f aca="false">IF(AND('OCTUBRE 2026'!D73&lt;&gt;"",'OCTUBRE 2026'!Z73="POR RECOGER"),'OCTUBRE 2026'!N73,"")</f>
        <v/>
      </c>
      <c r="I1014" s="192" t="str">
        <f aca="false">IF(AND('OCTUBRE 2026'!D73&lt;&gt;"",'OCTUBRE 2026'!Z73="POR RECOGER"),'OCTUBRE 2026'!P73,"")</f>
        <v/>
      </c>
      <c r="J1014" s="192" t="str">
        <f aca="false">IF(AND('OCTUBRE 2026'!D73&lt;&gt;"",'OCTUBRE 2026'!Z73="POR RECOGER"),'OCTUBRE 2026'!Q73,"")</f>
        <v/>
      </c>
      <c r="K1014" s="192" t="str">
        <f aca="false">IF(AND('OCTUBRE 2026'!D73&lt;&gt;"",'OCTUBRE 2026'!Z73="POR RECOGER"),'OCTUBRE 2026'!Y73,"")</f>
        <v/>
      </c>
      <c r="L1014" s="192" t="str">
        <f aca="false">IF(AND('OCTUBRE 2026'!D73&lt;&gt;"",'OCTUBRE 2026'!Z73="POR RECOGER"),'OCTUBRE 2026'!I73,"")</f>
        <v/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customFormat="false" ht="15" hidden="false" customHeight="true" outlineLevel="0" collapsed="false">
      <c r="A1015" s="192" t="str">
        <f aca="false">IF(AND('OCTUBRE 2026'!D74&lt;&gt;"",'OCTUBRE 2026'!Z74="POR RECOGER"),"OCT","")</f>
        <v/>
      </c>
      <c r="B1015" s="192" t="str">
        <f aca="false">IF(AND('OCTUBRE 2026'!D74&lt;&gt;"",'OCTUBRE 2026'!Z74="POR RECOGER"),IF('OCTUBRE 2026'!Y74&lt;&gt;"",'OCTUBRE 2026'!Y74,'OCTUBRE 2026'!I74),"")</f>
        <v/>
      </c>
      <c r="C1015" s="192" t="str">
        <f aca="false">IF(AND('OCTUBRE 2026'!D74&lt;&gt;"",'OCTUBRE 2026'!Z74="POR RECOGER"),'OCTUBRE 2026'!D74,"")</f>
        <v/>
      </c>
      <c r="D1015" s="192" t="str">
        <f aca="false">IF(AND('OCTUBRE 2026'!D74&lt;&gt;"",'OCTUBRE 2026'!Z74="POR RECOGER"),'OCTUBRE 2026'!F74,"")</f>
        <v/>
      </c>
      <c r="E1015" s="192" t="str">
        <f aca="false">IF(AND('OCTUBRE 2026'!D74&lt;&gt;"",'OCTUBRE 2026'!Z74="POR RECOGER"),TEXT('OCTUBRE 2026'!G74,"DD/MM/YYYY"),"")</f>
        <v/>
      </c>
      <c r="F1015" s="192" t="str">
        <f aca="false">IF(AND('OCTUBRE 2026'!D74&lt;&gt;"",'OCTUBRE 2026'!Z74="POR RECOGER"),'OCTUBRE 2026'!K74,"")</f>
        <v/>
      </c>
      <c r="G1015" s="193" t="str">
        <f aca="false">IF(AND('OCTUBRE 2026'!D74&lt;&gt;"",'OCTUBRE 2026'!Z74="POR RECOGER"),'OCTUBRE 2026'!M74,"")</f>
        <v/>
      </c>
      <c r="H1015" s="193" t="str">
        <f aca="false">IF(AND('OCTUBRE 2026'!D74&lt;&gt;"",'OCTUBRE 2026'!Z74="POR RECOGER"),'OCTUBRE 2026'!N74,"")</f>
        <v/>
      </c>
      <c r="I1015" s="192" t="str">
        <f aca="false">IF(AND('OCTUBRE 2026'!D74&lt;&gt;"",'OCTUBRE 2026'!Z74="POR RECOGER"),'OCTUBRE 2026'!P74,"")</f>
        <v/>
      </c>
      <c r="J1015" s="192" t="str">
        <f aca="false">IF(AND('OCTUBRE 2026'!D74&lt;&gt;"",'OCTUBRE 2026'!Z74="POR RECOGER"),'OCTUBRE 2026'!Q74,"")</f>
        <v/>
      </c>
      <c r="K1015" s="192" t="str">
        <f aca="false">IF(AND('OCTUBRE 2026'!D74&lt;&gt;"",'OCTUBRE 2026'!Z74="POR RECOGER"),'OCTUBRE 2026'!Y74,"")</f>
        <v/>
      </c>
      <c r="L1015" s="192" t="str">
        <f aca="false">IF(AND('OCTUBRE 2026'!D74&lt;&gt;"",'OCTUBRE 2026'!Z74="POR RECOGER"),'OCTUBRE 2026'!I74,"")</f>
        <v/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customFormat="false" ht="15" hidden="false" customHeight="true" outlineLevel="0" collapsed="false">
      <c r="A1016" s="192" t="str">
        <f aca="false">IF(AND('OCTUBRE 2026'!D75&lt;&gt;"",'OCTUBRE 2026'!Z75="POR RECOGER"),"OCT","")</f>
        <v/>
      </c>
      <c r="B1016" s="192" t="str">
        <f aca="false">IF(AND('OCTUBRE 2026'!D75&lt;&gt;"",'OCTUBRE 2026'!Z75="POR RECOGER"),IF('OCTUBRE 2026'!Y75&lt;&gt;"",'OCTUBRE 2026'!Y75,'OCTUBRE 2026'!I75),"")</f>
        <v/>
      </c>
      <c r="C1016" s="192" t="str">
        <f aca="false">IF(AND('OCTUBRE 2026'!D75&lt;&gt;"",'OCTUBRE 2026'!Z75="POR RECOGER"),'OCTUBRE 2026'!D75,"")</f>
        <v/>
      </c>
      <c r="D1016" s="192" t="str">
        <f aca="false">IF(AND('OCTUBRE 2026'!D75&lt;&gt;"",'OCTUBRE 2026'!Z75="POR RECOGER"),'OCTUBRE 2026'!F75,"")</f>
        <v/>
      </c>
      <c r="E1016" s="192" t="str">
        <f aca="false">IF(AND('OCTUBRE 2026'!D75&lt;&gt;"",'OCTUBRE 2026'!Z75="POR RECOGER"),TEXT('OCTUBRE 2026'!G75,"DD/MM/YYYY"),"")</f>
        <v/>
      </c>
      <c r="F1016" s="192" t="str">
        <f aca="false">IF(AND('OCTUBRE 2026'!D75&lt;&gt;"",'OCTUBRE 2026'!Z75="POR RECOGER"),'OCTUBRE 2026'!K75,"")</f>
        <v/>
      </c>
      <c r="G1016" s="193" t="str">
        <f aca="false">IF(AND('OCTUBRE 2026'!D75&lt;&gt;"",'OCTUBRE 2026'!Z75="POR RECOGER"),'OCTUBRE 2026'!M75,"")</f>
        <v/>
      </c>
      <c r="H1016" s="193" t="str">
        <f aca="false">IF(AND('OCTUBRE 2026'!D75&lt;&gt;"",'OCTUBRE 2026'!Z75="POR RECOGER"),'OCTUBRE 2026'!N75,"")</f>
        <v/>
      </c>
      <c r="I1016" s="192" t="str">
        <f aca="false">IF(AND('OCTUBRE 2026'!D75&lt;&gt;"",'OCTUBRE 2026'!Z75="POR RECOGER"),'OCTUBRE 2026'!P75,"")</f>
        <v/>
      </c>
      <c r="J1016" s="192" t="str">
        <f aca="false">IF(AND('OCTUBRE 2026'!D75&lt;&gt;"",'OCTUBRE 2026'!Z75="POR RECOGER"),'OCTUBRE 2026'!Q75,"")</f>
        <v/>
      </c>
      <c r="K1016" s="192" t="str">
        <f aca="false">IF(AND('OCTUBRE 2026'!D75&lt;&gt;"",'OCTUBRE 2026'!Z75="POR RECOGER"),'OCTUBRE 2026'!Y75,"")</f>
        <v/>
      </c>
      <c r="L1016" s="192" t="str">
        <f aca="false">IF(AND('OCTUBRE 2026'!D75&lt;&gt;"",'OCTUBRE 2026'!Z75="POR RECOGER"),'OCTUBRE 2026'!I75,"")</f>
        <v/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customFormat="false" ht="15" hidden="false" customHeight="true" outlineLevel="0" collapsed="false">
      <c r="A1017" s="192" t="str">
        <f aca="false">IF(AND('OCTUBRE 2026'!D76&lt;&gt;"",'OCTUBRE 2026'!Z76="POR RECOGER"),"OCT","")</f>
        <v/>
      </c>
      <c r="B1017" s="192" t="str">
        <f aca="false">IF(AND('OCTUBRE 2026'!D76&lt;&gt;"",'OCTUBRE 2026'!Z76="POR RECOGER"),IF('OCTUBRE 2026'!Y76&lt;&gt;"",'OCTUBRE 2026'!Y76,'OCTUBRE 2026'!I76),"")</f>
        <v/>
      </c>
      <c r="C1017" s="192" t="str">
        <f aca="false">IF(AND('OCTUBRE 2026'!D76&lt;&gt;"",'OCTUBRE 2026'!Z76="POR RECOGER"),'OCTUBRE 2026'!D76,"")</f>
        <v/>
      </c>
      <c r="D1017" s="192" t="str">
        <f aca="false">IF(AND('OCTUBRE 2026'!D76&lt;&gt;"",'OCTUBRE 2026'!Z76="POR RECOGER"),'OCTUBRE 2026'!F76,"")</f>
        <v/>
      </c>
      <c r="E1017" s="192" t="str">
        <f aca="false">IF(AND('OCTUBRE 2026'!D76&lt;&gt;"",'OCTUBRE 2026'!Z76="POR RECOGER"),TEXT('OCTUBRE 2026'!G76,"DD/MM/YYYY"),"")</f>
        <v/>
      </c>
      <c r="F1017" s="192" t="str">
        <f aca="false">IF(AND('OCTUBRE 2026'!D76&lt;&gt;"",'OCTUBRE 2026'!Z76="POR RECOGER"),'OCTUBRE 2026'!K76,"")</f>
        <v/>
      </c>
      <c r="G1017" s="193" t="str">
        <f aca="false">IF(AND('OCTUBRE 2026'!D76&lt;&gt;"",'OCTUBRE 2026'!Z76="POR RECOGER"),'OCTUBRE 2026'!M76,"")</f>
        <v/>
      </c>
      <c r="H1017" s="193" t="str">
        <f aca="false">IF(AND('OCTUBRE 2026'!D76&lt;&gt;"",'OCTUBRE 2026'!Z76="POR RECOGER"),'OCTUBRE 2026'!N76,"")</f>
        <v/>
      </c>
      <c r="I1017" s="192" t="str">
        <f aca="false">IF(AND('OCTUBRE 2026'!D76&lt;&gt;"",'OCTUBRE 2026'!Z76="POR RECOGER"),'OCTUBRE 2026'!P76,"")</f>
        <v/>
      </c>
      <c r="J1017" s="192" t="str">
        <f aca="false">IF(AND('OCTUBRE 2026'!D76&lt;&gt;"",'OCTUBRE 2026'!Z76="POR RECOGER"),'OCTUBRE 2026'!Q76,"")</f>
        <v/>
      </c>
      <c r="K1017" s="192" t="str">
        <f aca="false">IF(AND('OCTUBRE 2026'!D76&lt;&gt;"",'OCTUBRE 2026'!Z76="POR RECOGER"),'OCTUBRE 2026'!Y76,"")</f>
        <v/>
      </c>
      <c r="L1017" s="192" t="str">
        <f aca="false">IF(AND('OCTUBRE 2026'!D76&lt;&gt;"",'OCTUBRE 2026'!Z76="POR RECOGER"),'OCTUBRE 2026'!I76,"")</f>
        <v/>
      </c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customFormat="false" ht="15" hidden="false" customHeight="true" outlineLevel="0" collapsed="false">
      <c r="A1018" s="192" t="str">
        <f aca="false">IF(AND('OCTUBRE 2026'!D77&lt;&gt;"",'OCTUBRE 2026'!Z77="POR RECOGER"),"OCT","")</f>
        <v/>
      </c>
      <c r="B1018" s="192" t="str">
        <f aca="false">IF(AND('OCTUBRE 2026'!D77&lt;&gt;"",'OCTUBRE 2026'!Z77="POR RECOGER"),IF('OCTUBRE 2026'!Y77&lt;&gt;"",'OCTUBRE 2026'!Y77,'OCTUBRE 2026'!I77),"")</f>
        <v/>
      </c>
      <c r="C1018" s="192" t="str">
        <f aca="false">IF(AND('OCTUBRE 2026'!D77&lt;&gt;"",'OCTUBRE 2026'!Z77="POR RECOGER"),'OCTUBRE 2026'!D77,"")</f>
        <v/>
      </c>
      <c r="D1018" s="192" t="str">
        <f aca="false">IF(AND('OCTUBRE 2026'!D77&lt;&gt;"",'OCTUBRE 2026'!Z77="POR RECOGER"),'OCTUBRE 2026'!F77,"")</f>
        <v/>
      </c>
      <c r="E1018" s="192" t="str">
        <f aca="false">IF(AND('OCTUBRE 2026'!D77&lt;&gt;"",'OCTUBRE 2026'!Z77="POR RECOGER"),TEXT('OCTUBRE 2026'!G77,"DD/MM/YYYY"),"")</f>
        <v/>
      </c>
      <c r="F1018" s="192" t="str">
        <f aca="false">IF(AND('OCTUBRE 2026'!D77&lt;&gt;"",'OCTUBRE 2026'!Z77="POR RECOGER"),'OCTUBRE 2026'!K77,"")</f>
        <v/>
      </c>
      <c r="G1018" s="193" t="str">
        <f aca="false">IF(AND('OCTUBRE 2026'!D77&lt;&gt;"",'OCTUBRE 2026'!Z77="POR RECOGER"),'OCTUBRE 2026'!M77,"")</f>
        <v/>
      </c>
      <c r="H1018" s="193" t="str">
        <f aca="false">IF(AND('OCTUBRE 2026'!D77&lt;&gt;"",'OCTUBRE 2026'!Z77="POR RECOGER"),'OCTUBRE 2026'!N77,"")</f>
        <v/>
      </c>
      <c r="I1018" s="192" t="str">
        <f aca="false">IF(AND('OCTUBRE 2026'!D77&lt;&gt;"",'OCTUBRE 2026'!Z77="POR RECOGER"),'OCTUBRE 2026'!P77,"")</f>
        <v/>
      </c>
      <c r="J1018" s="192" t="str">
        <f aca="false">IF(AND('OCTUBRE 2026'!D77&lt;&gt;"",'OCTUBRE 2026'!Z77="POR RECOGER"),'OCTUBRE 2026'!Q77,"")</f>
        <v/>
      </c>
      <c r="K1018" s="192" t="str">
        <f aca="false">IF(AND('OCTUBRE 2026'!D77&lt;&gt;"",'OCTUBRE 2026'!Z77="POR RECOGER"),'OCTUBRE 2026'!Y77,"")</f>
        <v/>
      </c>
      <c r="L1018" s="192" t="str">
        <f aca="false">IF(AND('OCTUBRE 2026'!D77&lt;&gt;"",'OCTUBRE 2026'!Z77="POR RECOGER"),'OCTUBRE 2026'!I77,"")</f>
        <v/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customFormat="false" ht="15" hidden="false" customHeight="true" outlineLevel="0" collapsed="false">
      <c r="A1019" s="192" t="str">
        <f aca="false">IF(AND('OCTUBRE 2026'!D78&lt;&gt;"",'OCTUBRE 2026'!Z78="POR RECOGER"),"OCT","")</f>
        <v/>
      </c>
      <c r="B1019" s="192" t="str">
        <f aca="false">IF(AND('OCTUBRE 2026'!D78&lt;&gt;"",'OCTUBRE 2026'!Z78="POR RECOGER"),IF('OCTUBRE 2026'!Y78&lt;&gt;"",'OCTUBRE 2026'!Y78,'OCTUBRE 2026'!I78),"")</f>
        <v/>
      </c>
      <c r="C1019" s="192" t="str">
        <f aca="false">IF(AND('OCTUBRE 2026'!D78&lt;&gt;"",'OCTUBRE 2026'!Z78="POR RECOGER"),'OCTUBRE 2026'!D78,"")</f>
        <v/>
      </c>
      <c r="D1019" s="192" t="str">
        <f aca="false">IF(AND('OCTUBRE 2026'!D78&lt;&gt;"",'OCTUBRE 2026'!Z78="POR RECOGER"),'OCTUBRE 2026'!F78,"")</f>
        <v/>
      </c>
      <c r="E1019" s="192" t="str">
        <f aca="false">IF(AND('OCTUBRE 2026'!D78&lt;&gt;"",'OCTUBRE 2026'!Z78="POR RECOGER"),TEXT('OCTUBRE 2026'!G78,"DD/MM/YYYY"),"")</f>
        <v/>
      </c>
      <c r="F1019" s="192" t="str">
        <f aca="false">IF(AND('OCTUBRE 2026'!D78&lt;&gt;"",'OCTUBRE 2026'!Z78="POR RECOGER"),'OCTUBRE 2026'!K78,"")</f>
        <v/>
      </c>
      <c r="G1019" s="193" t="str">
        <f aca="false">IF(AND('OCTUBRE 2026'!D78&lt;&gt;"",'OCTUBRE 2026'!Z78="POR RECOGER"),'OCTUBRE 2026'!M78,"")</f>
        <v/>
      </c>
      <c r="H1019" s="193" t="str">
        <f aca="false">IF(AND('OCTUBRE 2026'!D78&lt;&gt;"",'OCTUBRE 2026'!Z78="POR RECOGER"),'OCTUBRE 2026'!N78,"")</f>
        <v/>
      </c>
      <c r="I1019" s="192" t="str">
        <f aca="false">IF(AND('OCTUBRE 2026'!D78&lt;&gt;"",'OCTUBRE 2026'!Z78="POR RECOGER"),'OCTUBRE 2026'!P78,"")</f>
        <v/>
      </c>
      <c r="J1019" s="192" t="str">
        <f aca="false">IF(AND('OCTUBRE 2026'!D78&lt;&gt;"",'OCTUBRE 2026'!Z78="POR RECOGER"),'OCTUBRE 2026'!Q78,"")</f>
        <v/>
      </c>
      <c r="K1019" s="192" t="str">
        <f aca="false">IF(AND('OCTUBRE 2026'!D78&lt;&gt;"",'OCTUBRE 2026'!Z78="POR RECOGER"),'OCTUBRE 2026'!Y78,"")</f>
        <v/>
      </c>
      <c r="L1019" s="192" t="str">
        <f aca="false">IF(AND('OCTUBRE 2026'!D78&lt;&gt;"",'OCTUBRE 2026'!Z78="POR RECOGER"),'OCTUBRE 2026'!I78,"")</f>
        <v/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customFormat="false" ht="15" hidden="false" customHeight="true" outlineLevel="0" collapsed="false">
      <c r="A1020" s="192" t="str">
        <f aca="false">IF(AND('OCTUBRE 2026'!D79&lt;&gt;"",'OCTUBRE 2026'!Z79="POR RECOGER"),"OCT","")</f>
        <v/>
      </c>
      <c r="B1020" s="192" t="str">
        <f aca="false">IF(AND('OCTUBRE 2026'!D79&lt;&gt;"",'OCTUBRE 2026'!Z79="POR RECOGER"),IF('OCTUBRE 2026'!Y79&lt;&gt;"",'OCTUBRE 2026'!Y79,'OCTUBRE 2026'!I79),"")</f>
        <v/>
      </c>
      <c r="C1020" s="192" t="str">
        <f aca="false">IF(AND('OCTUBRE 2026'!D79&lt;&gt;"",'OCTUBRE 2026'!Z79="POR RECOGER"),'OCTUBRE 2026'!D79,"")</f>
        <v/>
      </c>
      <c r="D1020" s="192" t="str">
        <f aca="false">IF(AND('OCTUBRE 2026'!D79&lt;&gt;"",'OCTUBRE 2026'!Z79="POR RECOGER"),'OCTUBRE 2026'!F79,"")</f>
        <v/>
      </c>
      <c r="E1020" s="192" t="str">
        <f aca="false">IF(AND('OCTUBRE 2026'!D79&lt;&gt;"",'OCTUBRE 2026'!Z79="POR RECOGER"),TEXT('OCTUBRE 2026'!G79,"DD/MM/YYYY"),"")</f>
        <v/>
      </c>
      <c r="F1020" s="192" t="str">
        <f aca="false">IF(AND('OCTUBRE 2026'!D79&lt;&gt;"",'OCTUBRE 2026'!Z79="POR RECOGER"),'OCTUBRE 2026'!K79,"")</f>
        <v/>
      </c>
      <c r="G1020" s="193" t="str">
        <f aca="false">IF(AND('OCTUBRE 2026'!D79&lt;&gt;"",'OCTUBRE 2026'!Z79="POR RECOGER"),'OCTUBRE 2026'!M79,"")</f>
        <v/>
      </c>
      <c r="H1020" s="193" t="str">
        <f aca="false">IF(AND('OCTUBRE 2026'!D79&lt;&gt;"",'OCTUBRE 2026'!Z79="POR RECOGER"),'OCTUBRE 2026'!N79,"")</f>
        <v/>
      </c>
      <c r="I1020" s="192" t="str">
        <f aca="false">IF(AND('OCTUBRE 2026'!D79&lt;&gt;"",'OCTUBRE 2026'!Z79="POR RECOGER"),'OCTUBRE 2026'!P79,"")</f>
        <v/>
      </c>
      <c r="J1020" s="192" t="str">
        <f aca="false">IF(AND('OCTUBRE 2026'!D79&lt;&gt;"",'OCTUBRE 2026'!Z79="POR RECOGER"),'OCTUBRE 2026'!Q79,"")</f>
        <v/>
      </c>
      <c r="K1020" s="192" t="str">
        <f aca="false">IF(AND('OCTUBRE 2026'!D79&lt;&gt;"",'OCTUBRE 2026'!Z79="POR RECOGER"),'OCTUBRE 2026'!Y79,"")</f>
        <v/>
      </c>
      <c r="L1020" s="192" t="str">
        <f aca="false">IF(AND('OCTUBRE 2026'!D79&lt;&gt;"",'OCTUBRE 2026'!Z79="POR RECOGER"),'OCTUBRE 2026'!I79,"")</f>
        <v/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customFormat="false" ht="15" hidden="false" customHeight="true" outlineLevel="0" collapsed="false">
      <c r="A1021" s="192" t="str">
        <f aca="false">IF(AND('OCTUBRE 2026'!D80&lt;&gt;"",'OCTUBRE 2026'!Z80="POR RECOGER"),"OCT","")</f>
        <v/>
      </c>
      <c r="B1021" s="192" t="str">
        <f aca="false">IF(AND('OCTUBRE 2026'!D80&lt;&gt;"",'OCTUBRE 2026'!Z80="POR RECOGER"),IF('OCTUBRE 2026'!Y80&lt;&gt;"",'OCTUBRE 2026'!Y80,'OCTUBRE 2026'!I80),"")</f>
        <v/>
      </c>
      <c r="C1021" s="192" t="str">
        <f aca="false">IF(AND('OCTUBRE 2026'!D80&lt;&gt;"",'OCTUBRE 2026'!Z80="POR RECOGER"),'OCTUBRE 2026'!D80,"")</f>
        <v/>
      </c>
      <c r="D1021" s="192" t="str">
        <f aca="false">IF(AND('OCTUBRE 2026'!D80&lt;&gt;"",'OCTUBRE 2026'!Z80="POR RECOGER"),'OCTUBRE 2026'!F80,"")</f>
        <v/>
      </c>
      <c r="E1021" s="192" t="str">
        <f aca="false">IF(AND('OCTUBRE 2026'!D80&lt;&gt;"",'OCTUBRE 2026'!Z80="POR RECOGER"),TEXT('OCTUBRE 2026'!G80,"DD/MM/YYYY"),"")</f>
        <v/>
      </c>
      <c r="F1021" s="192" t="str">
        <f aca="false">IF(AND('OCTUBRE 2026'!D80&lt;&gt;"",'OCTUBRE 2026'!Z80="POR RECOGER"),'OCTUBRE 2026'!K80,"")</f>
        <v/>
      </c>
      <c r="G1021" s="193" t="str">
        <f aca="false">IF(AND('OCTUBRE 2026'!D80&lt;&gt;"",'OCTUBRE 2026'!Z80="POR RECOGER"),'OCTUBRE 2026'!M80,"")</f>
        <v/>
      </c>
      <c r="H1021" s="193" t="str">
        <f aca="false">IF(AND('OCTUBRE 2026'!D80&lt;&gt;"",'OCTUBRE 2026'!Z80="POR RECOGER"),'OCTUBRE 2026'!N80,"")</f>
        <v/>
      </c>
      <c r="I1021" s="192" t="str">
        <f aca="false">IF(AND('OCTUBRE 2026'!D80&lt;&gt;"",'OCTUBRE 2026'!Z80="POR RECOGER"),'OCTUBRE 2026'!P80,"")</f>
        <v/>
      </c>
      <c r="J1021" s="192" t="str">
        <f aca="false">IF(AND('OCTUBRE 2026'!D80&lt;&gt;"",'OCTUBRE 2026'!Z80="POR RECOGER"),'OCTUBRE 2026'!Q80,"")</f>
        <v/>
      </c>
      <c r="K1021" s="192" t="str">
        <f aca="false">IF(AND('OCTUBRE 2026'!D80&lt;&gt;"",'OCTUBRE 2026'!Z80="POR RECOGER"),'OCTUBRE 2026'!Y80,"")</f>
        <v/>
      </c>
      <c r="L1021" s="192" t="str">
        <f aca="false">IF(AND('OCTUBRE 2026'!D80&lt;&gt;"",'OCTUBRE 2026'!Z80="POR RECOGER"),'OCTUBRE 2026'!I80,"")</f>
        <v/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customFormat="false" ht="15" hidden="false" customHeight="true" outlineLevel="0" collapsed="false">
      <c r="A1022" s="192" t="str">
        <f aca="false">IF(AND('OCTUBRE 2026'!D81&lt;&gt;"",'OCTUBRE 2026'!Z81="POR RECOGER"),"OCT","")</f>
        <v/>
      </c>
      <c r="B1022" s="192" t="str">
        <f aca="false">IF(AND('OCTUBRE 2026'!D81&lt;&gt;"",'OCTUBRE 2026'!Z81="POR RECOGER"),IF('OCTUBRE 2026'!Y81&lt;&gt;"",'OCTUBRE 2026'!Y81,'OCTUBRE 2026'!I81),"")</f>
        <v/>
      </c>
      <c r="C1022" s="192" t="str">
        <f aca="false">IF(AND('OCTUBRE 2026'!D81&lt;&gt;"",'OCTUBRE 2026'!Z81="POR RECOGER"),'OCTUBRE 2026'!D81,"")</f>
        <v/>
      </c>
      <c r="D1022" s="192" t="str">
        <f aca="false">IF(AND('OCTUBRE 2026'!D81&lt;&gt;"",'OCTUBRE 2026'!Z81="POR RECOGER"),'OCTUBRE 2026'!F81,"")</f>
        <v/>
      </c>
      <c r="E1022" s="192" t="str">
        <f aca="false">IF(AND('OCTUBRE 2026'!D81&lt;&gt;"",'OCTUBRE 2026'!Z81="POR RECOGER"),TEXT('OCTUBRE 2026'!G81,"DD/MM/YYYY"),"")</f>
        <v/>
      </c>
      <c r="F1022" s="192" t="str">
        <f aca="false">IF(AND('OCTUBRE 2026'!D81&lt;&gt;"",'OCTUBRE 2026'!Z81="POR RECOGER"),'OCTUBRE 2026'!K81,"")</f>
        <v/>
      </c>
      <c r="G1022" s="193" t="str">
        <f aca="false">IF(AND('OCTUBRE 2026'!D81&lt;&gt;"",'OCTUBRE 2026'!Z81="POR RECOGER"),'OCTUBRE 2026'!M81,"")</f>
        <v/>
      </c>
      <c r="H1022" s="193" t="str">
        <f aca="false">IF(AND('OCTUBRE 2026'!D81&lt;&gt;"",'OCTUBRE 2026'!Z81="POR RECOGER"),'OCTUBRE 2026'!N81,"")</f>
        <v/>
      </c>
      <c r="I1022" s="192" t="str">
        <f aca="false">IF(AND('OCTUBRE 2026'!D81&lt;&gt;"",'OCTUBRE 2026'!Z81="POR RECOGER"),'OCTUBRE 2026'!P81,"")</f>
        <v/>
      </c>
      <c r="J1022" s="192" t="str">
        <f aca="false">IF(AND('OCTUBRE 2026'!D81&lt;&gt;"",'OCTUBRE 2026'!Z81="POR RECOGER"),'OCTUBRE 2026'!Q81,"")</f>
        <v/>
      </c>
      <c r="K1022" s="192" t="str">
        <f aca="false">IF(AND('OCTUBRE 2026'!D81&lt;&gt;"",'OCTUBRE 2026'!Z81="POR RECOGER"),'OCTUBRE 2026'!Y81,"")</f>
        <v/>
      </c>
      <c r="L1022" s="192" t="str">
        <f aca="false">IF(AND('OCTUBRE 2026'!D81&lt;&gt;"",'OCTUBRE 2026'!Z81="POR RECOGER"),'OCTUBRE 2026'!I81,"")</f>
        <v/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customFormat="false" ht="15" hidden="false" customHeight="true" outlineLevel="0" collapsed="false">
      <c r="A1023" s="192" t="str">
        <f aca="false">IF(AND('OCTUBRE 2026'!D82&lt;&gt;"",'OCTUBRE 2026'!Z82="POR RECOGER"),"OCT","")</f>
        <v/>
      </c>
      <c r="B1023" s="192" t="str">
        <f aca="false">IF(AND('OCTUBRE 2026'!D82&lt;&gt;"",'OCTUBRE 2026'!Z82="POR RECOGER"),IF('OCTUBRE 2026'!Y82&lt;&gt;"",'OCTUBRE 2026'!Y82,'OCTUBRE 2026'!I82),"")</f>
        <v/>
      </c>
      <c r="C1023" s="192" t="str">
        <f aca="false">IF(AND('OCTUBRE 2026'!D82&lt;&gt;"",'OCTUBRE 2026'!Z82="POR RECOGER"),'OCTUBRE 2026'!D82,"")</f>
        <v/>
      </c>
      <c r="D1023" s="192" t="str">
        <f aca="false">IF(AND('OCTUBRE 2026'!D82&lt;&gt;"",'OCTUBRE 2026'!Z82="POR RECOGER"),'OCTUBRE 2026'!F82,"")</f>
        <v/>
      </c>
      <c r="E1023" s="192" t="str">
        <f aca="false">IF(AND('OCTUBRE 2026'!D82&lt;&gt;"",'OCTUBRE 2026'!Z82="POR RECOGER"),TEXT('OCTUBRE 2026'!G82,"DD/MM/YYYY"),"")</f>
        <v/>
      </c>
      <c r="F1023" s="192" t="str">
        <f aca="false">IF(AND('OCTUBRE 2026'!D82&lt;&gt;"",'OCTUBRE 2026'!Z82="POR RECOGER"),'OCTUBRE 2026'!K82,"")</f>
        <v/>
      </c>
      <c r="G1023" s="193" t="str">
        <f aca="false">IF(AND('OCTUBRE 2026'!D82&lt;&gt;"",'OCTUBRE 2026'!Z82="POR RECOGER"),'OCTUBRE 2026'!M82,"")</f>
        <v/>
      </c>
      <c r="H1023" s="193" t="str">
        <f aca="false">IF(AND('OCTUBRE 2026'!D82&lt;&gt;"",'OCTUBRE 2026'!Z82="POR RECOGER"),'OCTUBRE 2026'!N82,"")</f>
        <v/>
      </c>
      <c r="I1023" s="192" t="str">
        <f aca="false">IF(AND('OCTUBRE 2026'!D82&lt;&gt;"",'OCTUBRE 2026'!Z82="POR RECOGER"),'OCTUBRE 2026'!P82,"")</f>
        <v/>
      </c>
      <c r="J1023" s="192" t="str">
        <f aca="false">IF(AND('OCTUBRE 2026'!D82&lt;&gt;"",'OCTUBRE 2026'!Z82="POR RECOGER"),'OCTUBRE 2026'!Q82,"")</f>
        <v/>
      </c>
      <c r="K1023" s="192" t="str">
        <f aca="false">IF(AND('OCTUBRE 2026'!D82&lt;&gt;"",'OCTUBRE 2026'!Z82="POR RECOGER"),'OCTUBRE 2026'!Y82,"")</f>
        <v/>
      </c>
      <c r="L1023" s="192" t="str">
        <f aca="false">IF(AND('OCTUBRE 2026'!D82&lt;&gt;"",'OCTUBRE 2026'!Z82="POR RECOGER"),'OCTUBRE 2026'!I82,"")</f>
        <v/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customFormat="false" ht="15" hidden="false" customHeight="true" outlineLevel="0" collapsed="false">
      <c r="A1024" s="192" t="str">
        <f aca="false">IF(AND('OCTUBRE 2026'!D83&lt;&gt;"",'OCTUBRE 2026'!Z83="POR RECOGER"),"OCT","")</f>
        <v/>
      </c>
      <c r="B1024" s="192" t="str">
        <f aca="false">IF(AND('OCTUBRE 2026'!D83&lt;&gt;"",'OCTUBRE 2026'!Z83="POR RECOGER"),IF('OCTUBRE 2026'!Y83&lt;&gt;"",'OCTUBRE 2026'!Y83,'OCTUBRE 2026'!I83),"")</f>
        <v/>
      </c>
      <c r="C1024" s="192" t="str">
        <f aca="false">IF(AND('OCTUBRE 2026'!D83&lt;&gt;"",'OCTUBRE 2026'!Z83="POR RECOGER"),'OCTUBRE 2026'!D83,"")</f>
        <v/>
      </c>
      <c r="D1024" s="192" t="str">
        <f aca="false">IF(AND('OCTUBRE 2026'!D83&lt;&gt;"",'OCTUBRE 2026'!Z83="POR RECOGER"),'OCTUBRE 2026'!F83,"")</f>
        <v/>
      </c>
      <c r="E1024" s="192" t="str">
        <f aca="false">IF(AND('OCTUBRE 2026'!D83&lt;&gt;"",'OCTUBRE 2026'!Z83="POR RECOGER"),TEXT('OCTUBRE 2026'!G83,"DD/MM/YYYY"),"")</f>
        <v/>
      </c>
      <c r="F1024" s="192" t="str">
        <f aca="false">IF(AND('OCTUBRE 2026'!D83&lt;&gt;"",'OCTUBRE 2026'!Z83="POR RECOGER"),'OCTUBRE 2026'!K83,"")</f>
        <v/>
      </c>
      <c r="G1024" s="193" t="str">
        <f aca="false">IF(AND('OCTUBRE 2026'!D83&lt;&gt;"",'OCTUBRE 2026'!Z83="POR RECOGER"),'OCTUBRE 2026'!M83,"")</f>
        <v/>
      </c>
      <c r="H1024" s="193" t="str">
        <f aca="false">IF(AND('OCTUBRE 2026'!D83&lt;&gt;"",'OCTUBRE 2026'!Z83="POR RECOGER"),'OCTUBRE 2026'!N83,"")</f>
        <v/>
      </c>
      <c r="I1024" s="192" t="str">
        <f aca="false">IF(AND('OCTUBRE 2026'!D83&lt;&gt;"",'OCTUBRE 2026'!Z83="POR RECOGER"),'OCTUBRE 2026'!P83,"")</f>
        <v/>
      </c>
      <c r="J1024" s="192" t="str">
        <f aca="false">IF(AND('OCTUBRE 2026'!D83&lt;&gt;"",'OCTUBRE 2026'!Z83="POR RECOGER"),'OCTUBRE 2026'!Q83,"")</f>
        <v/>
      </c>
      <c r="K1024" s="192" t="str">
        <f aca="false">IF(AND('OCTUBRE 2026'!D83&lt;&gt;"",'OCTUBRE 2026'!Z83="POR RECOGER"),'OCTUBRE 2026'!Y83,"")</f>
        <v/>
      </c>
      <c r="L1024" s="192" t="str">
        <f aca="false">IF(AND('OCTUBRE 2026'!D83&lt;&gt;"",'OCTUBRE 2026'!Z83="POR RECOGER"),'OCTUBRE 2026'!I83,"")</f>
        <v/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customFormat="false" ht="15" hidden="false" customHeight="true" outlineLevel="0" collapsed="false">
      <c r="A1025" s="192" t="str">
        <f aca="false">IF(AND('OCTUBRE 2026'!D84&lt;&gt;"",'OCTUBRE 2026'!Z84="POR RECOGER"),"OCT","")</f>
        <v/>
      </c>
      <c r="B1025" s="192" t="str">
        <f aca="false">IF(AND('OCTUBRE 2026'!D84&lt;&gt;"",'OCTUBRE 2026'!Z84="POR RECOGER"),IF('OCTUBRE 2026'!Y84&lt;&gt;"",'OCTUBRE 2026'!Y84,'OCTUBRE 2026'!I84),"")</f>
        <v/>
      </c>
      <c r="C1025" s="192" t="str">
        <f aca="false">IF(AND('OCTUBRE 2026'!D84&lt;&gt;"",'OCTUBRE 2026'!Z84="POR RECOGER"),'OCTUBRE 2026'!D84,"")</f>
        <v/>
      </c>
      <c r="D1025" s="192" t="str">
        <f aca="false">IF(AND('OCTUBRE 2026'!D84&lt;&gt;"",'OCTUBRE 2026'!Z84="POR RECOGER"),'OCTUBRE 2026'!F84,"")</f>
        <v/>
      </c>
      <c r="E1025" s="192" t="str">
        <f aca="false">IF(AND('OCTUBRE 2026'!D84&lt;&gt;"",'OCTUBRE 2026'!Z84="POR RECOGER"),TEXT('OCTUBRE 2026'!G84,"DD/MM/YYYY"),"")</f>
        <v/>
      </c>
      <c r="F1025" s="192" t="str">
        <f aca="false">IF(AND('OCTUBRE 2026'!D84&lt;&gt;"",'OCTUBRE 2026'!Z84="POR RECOGER"),'OCTUBRE 2026'!K84,"")</f>
        <v/>
      </c>
      <c r="G1025" s="193" t="str">
        <f aca="false">IF(AND('OCTUBRE 2026'!D84&lt;&gt;"",'OCTUBRE 2026'!Z84="POR RECOGER"),'OCTUBRE 2026'!M84,"")</f>
        <v/>
      </c>
      <c r="H1025" s="193" t="str">
        <f aca="false">IF(AND('OCTUBRE 2026'!D84&lt;&gt;"",'OCTUBRE 2026'!Z84="POR RECOGER"),'OCTUBRE 2026'!N84,"")</f>
        <v/>
      </c>
      <c r="I1025" s="192" t="str">
        <f aca="false">IF(AND('OCTUBRE 2026'!D84&lt;&gt;"",'OCTUBRE 2026'!Z84="POR RECOGER"),'OCTUBRE 2026'!P84,"")</f>
        <v/>
      </c>
      <c r="J1025" s="192" t="str">
        <f aca="false">IF(AND('OCTUBRE 2026'!D84&lt;&gt;"",'OCTUBRE 2026'!Z84="POR RECOGER"),'OCTUBRE 2026'!Q84,"")</f>
        <v/>
      </c>
      <c r="K1025" s="192" t="str">
        <f aca="false">IF(AND('OCTUBRE 2026'!D84&lt;&gt;"",'OCTUBRE 2026'!Z84="POR RECOGER"),'OCTUBRE 2026'!Y84,"")</f>
        <v/>
      </c>
      <c r="L1025" s="192" t="str">
        <f aca="false">IF(AND('OCTUBRE 2026'!D84&lt;&gt;"",'OCTUBRE 2026'!Z84="POR RECOGER"),'OCTUBRE 2026'!I84,"")</f>
        <v/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customFormat="false" ht="15" hidden="false" customHeight="true" outlineLevel="0" collapsed="false">
      <c r="A1026" s="192" t="str">
        <f aca="false">IF(AND('OCTUBRE 2026'!D85&lt;&gt;"",'OCTUBRE 2026'!Z85="POR RECOGER"),"OCT","")</f>
        <v/>
      </c>
      <c r="B1026" s="192" t="str">
        <f aca="false">IF(AND('OCTUBRE 2026'!D85&lt;&gt;"",'OCTUBRE 2026'!Z85="POR RECOGER"),IF('OCTUBRE 2026'!Y85&lt;&gt;"",'OCTUBRE 2026'!Y85,'OCTUBRE 2026'!I85),"")</f>
        <v/>
      </c>
      <c r="C1026" s="192" t="str">
        <f aca="false">IF(AND('OCTUBRE 2026'!D85&lt;&gt;"",'OCTUBRE 2026'!Z85="POR RECOGER"),'OCTUBRE 2026'!D85,"")</f>
        <v/>
      </c>
      <c r="D1026" s="192" t="str">
        <f aca="false">IF(AND('OCTUBRE 2026'!D85&lt;&gt;"",'OCTUBRE 2026'!Z85="POR RECOGER"),'OCTUBRE 2026'!F85,"")</f>
        <v/>
      </c>
      <c r="E1026" s="192" t="str">
        <f aca="false">IF(AND('OCTUBRE 2026'!D85&lt;&gt;"",'OCTUBRE 2026'!Z85="POR RECOGER"),TEXT('OCTUBRE 2026'!G85,"DD/MM/YYYY"),"")</f>
        <v/>
      </c>
      <c r="F1026" s="192" t="str">
        <f aca="false">IF(AND('OCTUBRE 2026'!D85&lt;&gt;"",'OCTUBRE 2026'!Z85="POR RECOGER"),'OCTUBRE 2026'!K85,"")</f>
        <v/>
      </c>
      <c r="G1026" s="193" t="str">
        <f aca="false">IF(AND('OCTUBRE 2026'!D85&lt;&gt;"",'OCTUBRE 2026'!Z85="POR RECOGER"),'OCTUBRE 2026'!M85,"")</f>
        <v/>
      </c>
      <c r="H1026" s="193" t="str">
        <f aca="false">IF(AND('OCTUBRE 2026'!D85&lt;&gt;"",'OCTUBRE 2026'!Z85="POR RECOGER"),'OCTUBRE 2026'!N85,"")</f>
        <v/>
      </c>
      <c r="I1026" s="192" t="str">
        <f aca="false">IF(AND('OCTUBRE 2026'!D85&lt;&gt;"",'OCTUBRE 2026'!Z85="POR RECOGER"),'OCTUBRE 2026'!P85,"")</f>
        <v/>
      </c>
      <c r="J1026" s="192" t="str">
        <f aca="false">IF(AND('OCTUBRE 2026'!D85&lt;&gt;"",'OCTUBRE 2026'!Z85="POR RECOGER"),'OCTUBRE 2026'!Q85,"")</f>
        <v/>
      </c>
      <c r="K1026" s="192" t="str">
        <f aca="false">IF(AND('OCTUBRE 2026'!D85&lt;&gt;"",'OCTUBRE 2026'!Z85="POR RECOGER"),'OCTUBRE 2026'!Y85,"")</f>
        <v/>
      </c>
      <c r="L1026" s="192" t="str">
        <f aca="false">IF(AND('OCTUBRE 2026'!D85&lt;&gt;"",'OCTUBRE 2026'!Z85="POR RECOGER"),'OCTUBRE 2026'!I85,"")</f>
        <v/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customFormat="false" ht="15" hidden="false" customHeight="true" outlineLevel="0" collapsed="false">
      <c r="A1027" s="192" t="str">
        <f aca="false">IF(AND('OCTUBRE 2026'!D86&lt;&gt;"",'OCTUBRE 2026'!Z86="POR RECOGER"),"OCT","")</f>
        <v/>
      </c>
      <c r="B1027" s="192" t="str">
        <f aca="false">IF(AND('OCTUBRE 2026'!D86&lt;&gt;"",'OCTUBRE 2026'!Z86="POR RECOGER"),IF('OCTUBRE 2026'!Y86&lt;&gt;"",'OCTUBRE 2026'!Y86,'OCTUBRE 2026'!I86),"")</f>
        <v/>
      </c>
      <c r="C1027" s="192" t="str">
        <f aca="false">IF(AND('OCTUBRE 2026'!D86&lt;&gt;"",'OCTUBRE 2026'!Z86="POR RECOGER"),'OCTUBRE 2026'!D86,"")</f>
        <v/>
      </c>
      <c r="D1027" s="192" t="str">
        <f aca="false">IF(AND('OCTUBRE 2026'!D86&lt;&gt;"",'OCTUBRE 2026'!Z86="POR RECOGER"),'OCTUBRE 2026'!F86,"")</f>
        <v/>
      </c>
      <c r="E1027" s="192" t="str">
        <f aca="false">IF(AND('OCTUBRE 2026'!D86&lt;&gt;"",'OCTUBRE 2026'!Z86="POR RECOGER"),TEXT('OCTUBRE 2026'!G86,"DD/MM/YYYY"),"")</f>
        <v/>
      </c>
      <c r="F1027" s="192" t="str">
        <f aca="false">IF(AND('OCTUBRE 2026'!D86&lt;&gt;"",'OCTUBRE 2026'!Z86="POR RECOGER"),'OCTUBRE 2026'!K86,"")</f>
        <v/>
      </c>
      <c r="G1027" s="193" t="str">
        <f aca="false">IF(AND('OCTUBRE 2026'!D86&lt;&gt;"",'OCTUBRE 2026'!Z86="POR RECOGER"),'OCTUBRE 2026'!M86,"")</f>
        <v/>
      </c>
      <c r="H1027" s="193" t="str">
        <f aca="false">IF(AND('OCTUBRE 2026'!D86&lt;&gt;"",'OCTUBRE 2026'!Z86="POR RECOGER"),'OCTUBRE 2026'!N86,"")</f>
        <v/>
      </c>
      <c r="I1027" s="192" t="str">
        <f aca="false">IF(AND('OCTUBRE 2026'!D86&lt;&gt;"",'OCTUBRE 2026'!Z86="POR RECOGER"),'OCTUBRE 2026'!P86,"")</f>
        <v/>
      </c>
      <c r="J1027" s="192" t="str">
        <f aca="false">IF(AND('OCTUBRE 2026'!D86&lt;&gt;"",'OCTUBRE 2026'!Z86="POR RECOGER"),'OCTUBRE 2026'!Q86,"")</f>
        <v/>
      </c>
      <c r="K1027" s="192" t="str">
        <f aca="false">IF(AND('OCTUBRE 2026'!D86&lt;&gt;"",'OCTUBRE 2026'!Z86="POR RECOGER"),'OCTUBRE 2026'!Y86,"")</f>
        <v/>
      </c>
      <c r="L1027" s="192" t="str">
        <f aca="false">IF(AND('OCTUBRE 2026'!D86&lt;&gt;"",'OCTUBRE 2026'!Z86="POR RECOGER"),'OCTUBRE 2026'!I86,"")</f>
        <v/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customFormat="false" ht="15" hidden="false" customHeight="true" outlineLevel="0" collapsed="false">
      <c r="A1028" s="192" t="str">
        <f aca="false">IF(AND('OCTUBRE 2026'!D87&lt;&gt;"",'OCTUBRE 2026'!Z87="POR RECOGER"),"OCT","")</f>
        <v/>
      </c>
      <c r="B1028" s="192" t="str">
        <f aca="false">IF(AND('OCTUBRE 2026'!D87&lt;&gt;"",'OCTUBRE 2026'!Z87="POR RECOGER"),IF('OCTUBRE 2026'!Y87&lt;&gt;"",'OCTUBRE 2026'!Y87,'OCTUBRE 2026'!I87),"")</f>
        <v/>
      </c>
      <c r="C1028" s="192" t="str">
        <f aca="false">IF(AND('OCTUBRE 2026'!D87&lt;&gt;"",'OCTUBRE 2026'!Z87="POR RECOGER"),'OCTUBRE 2026'!D87,"")</f>
        <v/>
      </c>
      <c r="D1028" s="192" t="str">
        <f aca="false">IF(AND('OCTUBRE 2026'!D87&lt;&gt;"",'OCTUBRE 2026'!Z87="POR RECOGER"),'OCTUBRE 2026'!F87,"")</f>
        <v/>
      </c>
      <c r="E1028" s="192" t="str">
        <f aca="false">IF(AND('OCTUBRE 2026'!D87&lt;&gt;"",'OCTUBRE 2026'!Z87="POR RECOGER"),TEXT('OCTUBRE 2026'!G87,"DD/MM/YYYY"),"")</f>
        <v/>
      </c>
      <c r="F1028" s="192" t="str">
        <f aca="false">IF(AND('OCTUBRE 2026'!D87&lt;&gt;"",'OCTUBRE 2026'!Z87="POR RECOGER"),'OCTUBRE 2026'!K87,"")</f>
        <v/>
      </c>
      <c r="G1028" s="193" t="str">
        <f aca="false">IF(AND('OCTUBRE 2026'!D87&lt;&gt;"",'OCTUBRE 2026'!Z87="POR RECOGER"),'OCTUBRE 2026'!M87,"")</f>
        <v/>
      </c>
      <c r="H1028" s="193" t="str">
        <f aca="false">IF(AND('OCTUBRE 2026'!D87&lt;&gt;"",'OCTUBRE 2026'!Z87="POR RECOGER"),'OCTUBRE 2026'!N87,"")</f>
        <v/>
      </c>
      <c r="I1028" s="192" t="str">
        <f aca="false">IF(AND('OCTUBRE 2026'!D87&lt;&gt;"",'OCTUBRE 2026'!Z87="POR RECOGER"),'OCTUBRE 2026'!P87,"")</f>
        <v/>
      </c>
      <c r="J1028" s="192" t="str">
        <f aca="false">IF(AND('OCTUBRE 2026'!D87&lt;&gt;"",'OCTUBRE 2026'!Z87="POR RECOGER"),'OCTUBRE 2026'!Q87,"")</f>
        <v/>
      </c>
      <c r="K1028" s="192" t="str">
        <f aca="false">IF(AND('OCTUBRE 2026'!D87&lt;&gt;"",'OCTUBRE 2026'!Z87="POR RECOGER"),'OCTUBRE 2026'!Y87,"")</f>
        <v/>
      </c>
      <c r="L1028" s="192" t="str">
        <f aca="false">IF(AND('OCTUBRE 2026'!D87&lt;&gt;"",'OCTUBRE 2026'!Z87="POR RECOGER"),'OCTUBRE 2026'!I87,"")</f>
        <v/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customFormat="false" ht="15" hidden="false" customHeight="true" outlineLevel="0" collapsed="false">
      <c r="A1029" s="192" t="str">
        <f aca="false">IF(AND('OCTUBRE 2026'!D88&lt;&gt;"",'OCTUBRE 2026'!Z88="POR RECOGER"),"OCT","")</f>
        <v/>
      </c>
      <c r="B1029" s="192" t="str">
        <f aca="false">IF(AND('OCTUBRE 2026'!D88&lt;&gt;"",'OCTUBRE 2026'!Z88="POR RECOGER"),IF('OCTUBRE 2026'!Y88&lt;&gt;"",'OCTUBRE 2026'!Y88,'OCTUBRE 2026'!I88),"")</f>
        <v/>
      </c>
      <c r="C1029" s="192" t="str">
        <f aca="false">IF(AND('OCTUBRE 2026'!D88&lt;&gt;"",'OCTUBRE 2026'!Z88="POR RECOGER"),'OCTUBRE 2026'!D88,"")</f>
        <v/>
      </c>
      <c r="D1029" s="192" t="str">
        <f aca="false">IF(AND('OCTUBRE 2026'!D88&lt;&gt;"",'OCTUBRE 2026'!Z88="POR RECOGER"),'OCTUBRE 2026'!F88,"")</f>
        <v/>
      </c>
      <c r="E1029" s="192" t="str">
        <f aca="false">IF(AND('OCTUBRE 2026'!D88&lt;&gt;"",'OCTUBRE 2026'!Z88="POR RECOGER"),TEXT('OCTUBRE 2026'!G88,"DD/MM/YYYY"),"")</f>
        <v/>
      </c>
      <c r="F1029" s="192" t="str">
        <f aca="false">IF(AND('OCTUBRE 2026'!D88&lt;&gt;"",'OCTUBRE 2026'!Z88="POR RECOGER"),'OCTUBRE 2026'!K88,"")</f>
        <v/>
      </c>
      <c r="G1029" s="193" t="str">
        <f aca="false">IF(AND('OCTUBRE 2026'!D88&lt;&gt;"",'OCTUBRE 2026'!Z88="POR RECOGER"),'OCTUBRE 2026'!M88,"")</f>
        <v/>
      </c>
      <c r="H1029" s="193" t="str">
        <f aca="false">IF(AND('OCTUBRE 2026'!D88&lt;&gt;"",'OCTUBRE 2026'!Z88="POR RECOGER"),'OCTUBRE 2026'!N88,"")</f>
        <v/>
      </c>
      <c r="I1029" s="192" t="str">
        <f aca="false">IF(AND('OCTUBRE 2026'!D88&lt;&gt;"",'OCTUBRE 2026'!Z88="POR RECOGER"),'OCTUBRE 2026'!P88,"")</f>
        <v/>
      </c>
      <c r="J1029" s="192" t="str">
        <f aca="false">IF(AND('OCTUBRE 2026'!D88&lt;&gt;"",'OCTUBRE 2026'!Z88="POR RECOGER"),'OCTUBRE 2026'!Q88,"")</f>
        <v/>
      </c>
      <c r="K1029" s="192" t="str">
        <f aca="false">IF(AND('OCTUBRE 2026'!D88&lt;&gt;"",'OCTUBRE 2026'!Z88="POR RECOGER"),'OCTUBRE 2026'!Y88,"")</f>
        <v/>
      </c>
      <c r="L1029" s="192" t="str">
        <f aca="false">IF(AND('OCTUBRE 2026'!D88&lt;&gt;"",'OCTUBRE 2026'!Z88="POR RECOGER"),'OCTUBRE 2026'!I88,"")</f>
        <v/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customFormat="false" ht="15" hidden="false" customHeight="true" outlineLevel="0" collapsed="false">
      <c r="A1030" s="192" t="str">
        <f aca="false">IF(AND('OCTUBRE 2026'!D89&lt;&gt;"",'OCTUBRE 2026'!Z89="POR RECOGER"),"OCT","")</f>
        <v/>
      </c>
      <c r="B1030" s="192" t="str">
        <f aca="false">IF(AND('OCTUBRE 2026'!D89&lt;&gt;"",'OCTUBRE 2026'!Z89="POR RECOGER"),IF('OCTUBRE 2026'!Y89&lt;&gt;"",'OCTUBRE 2026'!Y89,'OCTUBRE 2026'!I89),"")</f>
        <v/>
      </c>
      <c r="C1030" s="192" t="str">
        <f aca="false">IF(AND('OCTUBRE 2026'!D89&lt;&gt;"",'OCTUBRE 2026'!Z89="POR RECOGER"),'OCTUBRE 2026'!D89,"")</f>
        <v/>
      </c>
      <c r="D1030" s="192" t="str">
        <f aca="false">IF(AND('OCTUBRE 2026'!D89&lt;&gt;"",'OCTUBRE 2026'!Z89="POR RECOGER"),'OCTUBRE 2026'!F89,"")</f>
        <v/>
      </c>
      <c r="E1030" s="192" t="str">
        <f aca="false">IF(AND('OCTUBRE 2026'!D89&lt;&gt;"",'OCTUBRE 2026'!Z89="POR RECOGER"),TEXT('OCTUBRE 2026'!G89,"DD/MM/YYYY"),"")</f>
        <v/>
      </c>
      <c r="F1030" s="192" t="str">
        <f aca="false">IF(AND('OCTUBRE 2026'!D89&lt;&gt;"",'OCTUBRE 2026'!Z89="POR RECOGER"),'OCTUBRE 2026'!K89,"")</f>
        <v/>
      </c>
      <c r="G1030" s="193" t="str">
        <f aca="false">IF(AND('OCTUBRE 2026'!D89&lt;&gt;"",'OCTUBRE 2026'!Z89="POR RECOGER"),'OCTUBRE 2026'!M89,"")</f>
        <v/>
      </c>
      <c r="H1030" s="193" t="str">
        <f aca="false">IF(AND('OCTUBRE 2026'!D89&lt;&gt;"",'OCTUBRE 2026'!Z89="POR RECOGER"),'OCTUBRE 2026'!N89,"")</f>
        <v/>
      </c>
      <c r="I1030" s="192" t="str">
        <f aca="false">IF(AND('OCTUBRE 2026'!D89&lt;&gt;"",'OCTUBRE 2026'!Z89="POR RECOGER"),'OCTUBRE 2026'!P89,"")</f>
        <v/>
      </c>
      <c r="J1030" s="192" t="str">
        <f aca="false">IF(AND('OCTUBRE 2026'!D89&lt;&gt;"",'OCTUBRE 2026'!Z89="POR RECOGER"),'OCTUBRE 2026'!Q89,"")</f>
        <v/>
      </c>
      <c r="K1030" s="192" t="str">
        <f aca="false">IF(AND('OCTUBRE 2026'!D89&lt;&gt;"",'OCTUBRE 2026'!Z89="POR RECOGER"),'OCTUBRE 2026'!Y89,"")</f>
        <v/>
      </c>
      <c r="L1030" s="192" t="str">
        <f aca="false">IF(AND('OCTUBRE 2026'!D89&lt;&gt;"",'OCTUBRE 2026'!Z89="POR RECOGER"),'OCTUBRE 2026'!I89,"")</f>
        <v/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customFormat="false" ht="15" hidden="false" customHeight="true" outlineLevel="0" collapsed="false">
      <c r="A1031" s="192" t="str">
        <f aca="false">IF(AND('OCTUBRE 2026'!D90&lt;&gt;"",'OCTUBRE 2026'!Z90="POR RECOGER"),"OCT","")</f>
        <v/>
      </c>
      <c r="B1031" s="192" t="str">
        <f aca="false">IF(AND('OCTUBRE 2026'!D90&lt;&gt;"",'OCTUBRE 2026'!Z90="POR RECOGER"),IF('OCTUBRE 2026'!Y90&lt;&gt;"",'OCTUBRE 2026'!Y90,'OCTUBRE 2026'!I90),"")</f>
        <v/>
      </c>
      <c r="C1031" s="192" t="str">
        <f aca="false">IF(AND('OCTUBRE 2026'!D90&lt;&gt;"",'OCTUBRE 2026'!Z90="POR RECOGER"),'OCTUBRE 2026'!D90,"")</f>
        <v/>
      </c>
      <c r="D1031" s="192" t="str">
        <f aca="false">IF(AND('OCTUBRE 2026'!D90&lt;&gt;"",'OCTUBRE 2026'!Z90="POR RECOGER"),'OCTUBRE 2026'!F90,"")</f>
        <v/>
      </c>
      <c r="E1031" s="192" t="str">
        <f aca="false">IF(AND('OCTUBRE 2026'!D90&lt;&gt;"",'OCTUBRE 2026'!Z90="POR RECOGER"),TEXT('OCTUBRE 2026'!G90,"DD/MM/YYYY"),"")</f>
        <v/>
      </c>
      <c r="F1031" s="192" t="str">
        <f aca="false">IF(AND('OCTUBRE 2026'!D90&lt;&gt;"",'OCTUBRE 2026'!Z90="POR RECOGER"),'OCTUBRE 2026'!K90,"")</f>
        <v/>
      </c>
      <c r="G1031" s="193" t="str">
        <f aca="false">IF(AND('OCTUBRE 2026'!D90&lt;&gt;"",'OCTUBRE 2026'!Z90="POR RECOGER"),'OCTUBRE 2026'!M90,"")</f>
        <v/>
      </c>
      <c r="H1031" s="193" t="str">
        <f aca="false">IF(AND('OCTUBRE 2026'!D90&lt;&gt;"",'OCTUBRE 2026'!Z90="POR RECOGER"),'OCTUBRE 2026'!N90,"")</f>
        <v/>
      </c>
      <c r="I1031" s="192" t="str">
        <f aca="false">IF(AND('OCTUBRE 2026'!D90&lt;&gt;"",'OCTUBRE 2026'!Z90="POR RECOGER"),'OCTUBRE 2026'!P90,"")</f>
        <v/>
      </c>
      <c r="J1031" s="192" t="str">
        <f aca="false">IF(AND('OCTUBRE 2026'!D90&lt;&gt;"",'OCTUBRE 2026'!Z90="POR RECOGER"),'OCTUBRE 2026'!Q90,"")</f>
        <v/>
      </c>
      <c r="K1031" s="192" t="str">
        <f aca="false">IF(AND('OCTUBRE 2026'!D90&lt;&gt;"",'OCTUBRE 2026'!Z90="POR RECOGER"),'OCTUBRE 2026'!Y90,"")</f>
        <v/>
      </c>
      <c r="L1031" s="192" t="str">
        <f aca="false">IF(AND('OCTUBRE 2026'!D90&lt;&gt;"",'OCTUBRE 2026'!Z90="POR RECOGER"),'OCTUBRE 2026'!I90,"")</f>
        <v/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customFormat="false" ht="15" hidden="false" customHeight="true" outlineLevel="0" collapsed="false">
      <c r="A1032" s="192" t="str">
        <f aca="false">IF(AND('OCTUBRE 2026'!D91&lt;&gt;"",'OCTUBRE 2026'!Z91="POR RECOGER"),"OCT","")</f>
        <v/>
      </c>
      <c r="B1032" s="192" t="str">
        <f aca="false">IF(AND('OCTUBRE 2026'!D91&lt;&gt;"",'OCTUBRE 2026'!Z91="POR RECOGER"),IF('OCTUBRE 2026'!Y91&lt;&gt;"",'OCTUBRE 2026'!Y91,'OCTUBRE 2026'!I91),"")</f>
        <v/>
      </c>
      <c r="C1032" s="192" t="str">
        <f aca="false">IF(AND('OCTUBRE 2026'!D91&lt;&gt;"",'OCTUBRE 2026'!Z91="POR RECOGER"),'OCTUBRE 2026'!D91,"")</f>
        <v/>
      </c>
      <c r="D1032" s="192" t="str">
        <f aca="false">IF(AND('OCTUBRE 2026'!D91&lt;&gt;"",'OCTUBRE 2026'!Z91="POR RECOGER"),'OCTUBRE 2026'!F91,"")</f>
        <v/>
      </c>
      <c r="E1032" s="192" t="str">
        <f aca="false">IF(AND('OCTUBRE 2026'!D91&lt;&gt;"",'OCTUBRE 2026'!Z91="POR RECOGER"),TEXT('OCTUBRE 2026'!G91,"DD/MM/YYYY"),"")</f>
        <v/>
      </c>
      <c r="F1032" s="192" t="str">
        <f aca="false">IF(AND('OCTUBRE 2026'!D91&lt;&gt;"",'OCTUBRE 2026'!Z91="POR RECOGER"),'OCTUBRE 2026'!K91,"")</f>
        <v/>
      </c>
      <c r="G1032" s="193" t="str">
        <f aca="false">IF(AND('OCTUBRE 2026'!D91&lt;&gt;"",'OCTUBRE 2026'!Z91="POR RECOGER"),'OCTUBRE 2026'!M91,"")</f>
        <v/>
      </c>
      <c r="H1032" s="193" t="str">
        <f aca="false">IF(AND('OCTUBRE 2026'!D91&lt;&gt;"",'OCTUBRE 2026'!Z91="POR RECOGER"),'OCTUBRE 2026'!N91,"")</f>
        <v/>
      </c>
      <c r="I1032" s="192" t="str">
        <f aca="false">IF(AND('OCTUBRE 2026'!D91&lt;&gt;"",'OCTUBRE 2026'!Z91="POR RECOGER"),'OCTUBRE 2026'!P91,"")</f>
        <v/>
      </c>
      <c r="J1032" s="192" t="str">
        <f aca="false">IF(AND('OCTUBRE 2026'!D91&lt;&gt;"",'OCTUBRE 2026'!Z91="POR RECOGER"),'OCTUBRE 2026'!Q91,"")</f>
        <v/>
      </c>
      <c r="K1032" s="192" t="str">
        <f aca="false">IF(AND('OCTUBRE 2026'!D91&lt;&gt;"",'OCTUBRE 2026'!Z91="POR RECOGER"),'OCTUBRE 2026'!Y91,"")</f>
        <v/>
      </c>
      <c r="L1032" s="192" t="str">
        <f aca="false">IF(AND('OCTUBRE 2026'!D91&lt;&gt;"",'OCTUBRE 2026'!Z91="POR RECOGER"),'OCTUBRE 2026'!I91,"")</f>
        <v/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customFormat="false" ht="15" hidden="false" customHeight="true" outlineLevel="0" collapsed="false">
      <c r="A1033" s="192" t="str">
        <f aca="false">IF(AND('OCTUBRE 2026'!D92&lt;&gt;"",'OCTUBRE 2026'!Z92="POR RECOGER"),"OCT","")</f>
        <v/>
      </c>
      <c r="B1033" s="192" t="str">
        <f aca="false">IF(AND('OCTUBRE 2026'!D92&lt;&gt;"",'OCTUBRE 2026'!Z92="POR RECOGER"),IF('OCTUBRE 2026'!Y92&lt;&gt;"",'OCTUBRE 2026'!Y92,'OCTUBRE 2026'!I92),"")</f>
        <v/>
      </c>
      <c r="C1033" s="192" t="str">
        <f aca="false">IF(AND('OCTUBRE 2026'!D92&lt;&gt;"",'OCTUBRE 2026'!Z92="POR RECOGER"),'OCTUBRE 2026'!D92,"")</f>
        <v/>
      </c>
      <c r="D1033" s="192" t="str">
        <f aca="false">IF(AND('OCTUBRE 2026'!D92&lt;&gt;"",'OCTUBRE 2026'!Z92="POR RECOGER"),'OCTUBRE 2026'!F92,"")</f>
        <v/>
      </c>
      <c r="E1033" s="192" t="str">
        <f aca="false">IF(AND('OCTUBRE 2026'!D92&lt;&gt;"",'OCTUBRE 2026'!Z92="POR RECOGER"),TEXT('OCTUBRE 2026'!G92,"DD/MM/YYYY"),"")</f>
        <v/>
      </c>
      <c r="F1033" s="192" t="str">
        <f aca="false">IF(AND('OCTUBRE 2026'!D92&lt;&gt;"",'OCTUBRE 2026'!Z92="POR RECOGER"),'OCTUBRE 2026'!K92,"")</f>
        <v/>
      </c>
      <c r="G1033" s="193" t="str">
        <f aca="false">IF(AND('OCTUBRE 2026'!D92&lt;&gt;"",'OCTUBRE 2026'!Z92="POR RECOGER"),'OCTUBRE 2026'!M92,"")</f>
        <v/>
      </c>
      <c r="H1033" s="193" t="str">
        <f aca="false">IF(AND('OCTUBRE 2026'!D92&lt;&gt;"",'OCTUBRE 2026'!Z92="POR RECOGER"),'OCTUBRE 2026'!N92,"")</f>
        <v/>
      </c>
      <c r="I1033" s="192" t="str">
        <f aca="false">IF(AND('OCTUBRE 2026'!D92&lt;&gt;"",'OCTUBRE 2026'!Z92="POR RECOGER"),'OCTUBRE 2026'!P92,"")</f>
        <v/>
      </c>
      <c r="J1033" s="192" t="str">
        <f aca="false">IF(AND('OCTUBRE 2026'!D92&lt;&gt;"",'OCTUBRE 2026'!Z92="POR RECOGER"),'OCTUBRE 2026'!Q92,"")</f>
        <v/>
      </c>
      <c r="K1033" s="192" t="str">
        <f aca="false">IF(AND('OCTUBRE 2026'!D92&lt;&gt;"",'OCTUBRE 2026'!Z92="POR RECOGER"),'OCTUBRE 2026'!Y92,"")</f>
        <v/>
      </c>
      <c r="L1033" s="192" t="str">
        <f aca="false">IF(AND('OCTUBRE 2026'!D92&lt;&gt;"",'OCTUBRE 2026'!Z92="POR RECOGER"),'OCTUBRE 2026'!I92,"")</f>
        <v/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customFormat="false" ht="15" hidden="false" customHeight="true" outlineLevel="0" collapsed="false">
      <c r="A1034" s="192" t="str">
        <f aca="false">IF(AND('OCTUBRE 2026'!D93&lt;&gt;"",'OCTUBRE 2026'!Z93="POR RECOGER"),"OCT","")</f>
        <v/>
      </c>
      <c r="B1034" s="192" t="str">
        <f aca="false">IF(AND('OCTUBRE 2026'!D93&lt;&gt;"",'OCTUBRE 2026'!Z93="POR RECOGER"),IF('OCTUBRE 2026'!Y93&lt;&gt;"",'OCTUBRE 2026'!Y93,'OCTUBRE 2026'!I93),"")</f>
        <v/>
      </c>
      <c r="C1034" s="192" t="str">
        <f aca="false">IF(AND('OCTUBRE 2026'!D93&lt;&gt;"",'OCTUBRE 2026'!Z93="POR RECOGER"),'OCTUBRE 2026'!D93,"")</f>
        <v/>
      </c>
      <c r="D1034" s="192" t="str">
        <f aca="false">IF(AND('OCTUBRE 2026'!D93&lt;&gt;"",'OCTUBRE 2026'!Z93="POR RECOGER"),'OCTUBRE 2026'!F93,"")</f>
        <v/>
      </c>
      <c r="E1034" s="192" t="str">
        <f aca="false">IF(AND('OCTUBRE 2026'!D93&lt;&gt;"",'OCTUBRE 2026'!Z93="POR RECOGER"),TEXT('OCTUBRE 2026'!G93,"DD/MM/YYYY"),"")</f>
        <v/>
      </c>
      <c r="F1034" s="192" t="str">
        <f aca="false">IF(AND('OCTUBRE 2026'!D93&lt;&gt;"",'OCTUBRE 2026'!Z93="POR RECOGER"),'OCTUBRE 2026'!K93,"")</f>
        <v/>
      </c>
      <c r="G1034" s="193" t="str">
        <f aca="false">IF(AND('OCTUBRE 2026'!D93&lt;&gt;"",'OCTUBRE 2026'!Z93="POR RECOGER"),'OCTUBRE 2026'!M93,"")</f>
        <v/>
      </c>
      <c r="H1034" s="193" t="str">
        <f aca="false">IF(AND('OCTUBRE 2026'!D93&lt;&gt;"",'OCTUBRE 2026'!Z93="POR RECOGER"),'OCTUBRE 2026'!N93,"")</f>
        <v/>
      </c>
      <c r="I1034" s="192" t="str">
        <f aca="false">IF(AND('OCTUBRE 2026'!D93&lt;&gt;"",'OCTUBRE 2026'!Z93="POR RECOGER"),'OCTUBRE 2026'!P93,"")</f>
        <v/>
      </c>
      <c r="J1034" s="192" t="str">
        <f aca="false">IF(AND('OCTUBRE 2026'!D93&lt;&gt;"",'OCTUBRE 2026'!Z93="POR RECOGER"),'OCTUBRE 2026'!Q93,"")</f>
        <v/>
      </c>
      <c r="K1034" s="192" t="str">
        <f aca="false">IF(AND('OCTUBRE 2026'!D93&lt;&gt;"",'OCTUBRE 2026'!Z93="POR RECOGER"),'OCTUBRE 2026'!Y93,"")</f>
        <v/>
      </c>
      <c r="L1034" s="192" t="str">
        <f aca="false">IF(AND('OCTUBRE 2026'!D93&lt;&gt;"",'OCTUBRE 2026'!Z93="POR RECOGER"),'OCTUBRE 2026'!I93,"")</f>
        <v/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customFormat="false" ht="15" hidden="false" customHeight="true" outlineLevel="0" collapsed="false">
      <c r="A1035" s="192" t="str">
        <f aca="false">IF(AND('OCTUBRE 2026'!D94&lt;&gt;"",'OCTUBRE 2026'!Z94="POR RECOGER"),"OCT","")</f>
        <v/>
      </c>
      <c r="B1035" s="192" t="str">
        <f aca="false">IF(AND('OCTUBRE 2026'!D94&lt;&gt;"",'OCTUBRE 2026'!Z94="POR RECOGER"),IF('OCTUBRE 2026'!Y94&lt;&gt;"",'OCTUBRE 2026'!Y94,'OCTUBRE 2026'!I94),"")</f>
        <v/>
      </c>
      <c r="C1035" s="192" t="str">
        <f aca="false">IF(AND('OCTUBRE 2026'!D94&lt;&gt;"",'OCTUBRE 2026'!Z94="POR RECOGER"),'OCTUBRE 2026'!D94,"")</f>
        <v/>
      </c>
      <c r="D1035" s="192" t="str">
        <f aca="false">IF(AND('OCTUBRE 2026'!D94&lt;&gt;"",'OCTUBRE 2026'!Z94="POR RECOGER"),'OCTUBRE 2026'!F94,"")</f>
        <v/>
      </c>
      <c r="E1035" s="192" t="str">
        <f aca="false">IF(AND('OCTUBRE 2026'!D94&lt;&gt;"",'OCTUBRE 2026'!Z94="POR RECOGER"),TEXT('OCTUBRE 2026'!G94,"DD/MM/YYYY"),"")</f>
        <v/>
      </c>
      <c r="F1035" s="192" t="str">
        <f aca="false">IF(AND('OCTUBRE 2026'!D94&lt;&gt;"",'OCTUBRE 2026'!Z94="POR RECOGER"),'OCTUBRE 2026'!K94,"")</f>
        <v/>
      </c>
      <c r="G1035" s="193" t="str">
        <f aca="false">IF(AND('OCTUBRE 2026'!D94&lt;&gt;"",'OCTUBRE 2026'!Z94="POR RECOGER"),'OCTUBRE 2026'!M94,"")</f>
        <v/>
      </c>
      <c r="H1035" s="193" t="str">
        <f aca="false">IF(AND('OCTUBRE 2026'!D94&lt;&gt;"",'OCTUBRE 2026'!Z94="POR RECOGER"),'OCTUBRE 2026'!N94,"")</f>
        <v/>
      </c>
      <c r="I1035" s="192" t="str">
        <f aca="false">IF(AND('OCTUBRE 2026'!D94&lt;&gt;"",'OCTUBRE 2026'!Z94="POR RECOGER"),'OCTUBRE 2026'!P94,"")</f>
        <v/>
      </c>
      <c r="J1035" s="192" t="str">
        <f aca="false">IF(AND('OCTUBRE 2026'!D94&lt;&gt;"",'OCTUBRE 2026'!Z94="POR RECOGER"),'OCTUBRE 2026'!Q94,"")</f>
        <v/>
      </c>
      <c r="K1035" s="192" t="str">
        <f aca="false">IF(AND('OCTUBRE 2026'!D94&lt;&gt;"",'OCTUBRE 2026'!Z94="POR RECOGER"),'OCTUBRE 2026'!Y94,"")</f>
        <v/>
      </c>
      <c r="L1035" s="192" t="str">
        <f aca="false">IF(AND('OCTUBRE 2026'!D94&lt;&gt;"",'OCTUBRE 2026'!Z94="POR RECOGER"),'OCTUBRE 2026'!I94,"")</f>
        <v/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customFormat="false" ht="15" hidden="false" customHeight="true" outlineLevel="0" collapsed="false">
      <c r="A1036" s="192" t="str">
        <f aca="false">IF(AND('OCTUBRE 2026'!D95&lt;&gt;"",'OCTUBRE 2026'!Z95="POR RECOGER"),"OCT","")</f>
        <v/>
      </c>
      <c r="B1036" s="192" t="str">
        <f aca="false">IF(AND('OCTUBRE 2026'!D95&lt;&gt;"",'OCTUBRE 2026'!Z95="POR RECOGER"),IF('OCTUBRE 2026'!Y95&lt;&gt;"",'OCTUBRE 2026'!Y95,'OCTUBRE 2026'!I95),"")</f>
        <v/>
      </c>
      <c r="C1036" s="192" t="str">
        <f aca="false">IF(AND('OCTUBRE 2026'!D95&lt;&gt;"",'OCTUBRE 2026'!Z95="POR RECOGER"),'OCTUBRE 2026'!D95,"")</f>
        <v/>
      </c>
      <c r="D1036" s="192" t="str">
        <f aca="false">IF(AND('OCTUBRE 2026'!D95&lt;&gt;"",'OCTUBRE 2026'!Z95="POR RECOGER"),'OCTUBRE 2026'!F95,"")</f>
        <v/>
      </c>
      <c r="E1036" s="192" t="str">
        <f aca="false">IF(AND('OCTUBRE 2026'!D95&lt;&gt;"",'OCTUBRE 2026'!Z95="POR RECOGER"),TEXT('OCTUBRE 2026'!G95,"DD/MM/YYYY"),"")</f>
        <v/>
      </c>
      <c r="F1036" s="192" t="str">
        <f aca="false">IF(AND('OCTUBRE 2026'!D95&lt;&gt;"",'OCTUBRE 2026'!Z95="POR RECOGER"),'OCTUBRE 2026'!K95,"")</f>
        <v/>
      </c>
      <c r="G1036" s="193" t="str">
        <f aca="false">IF(AND('OCTUBRE 2026'!D95&lt;&gt;"",'OCTUBRE 2026'!Z95="POR RECOGER"),'OCTUBRE 2026'!M95,"")</f>
        <v/>
      </c>
      <c r="H1036" s="193" t="str">
        <f aca="false">IF(AND('OCTUBRE 2026'!D95&lt;&gt;"",'OCTUBRE 2026'!Z95="POR RECOGER"),'OCTUBRE 2026'!N95,"")</f>
        <v/>
      </c>
      <c r="I1036" s="192" t="str">
        <f aca="false">IF(AND('OCTUBRE 2026'!D95&lt;&gt;"",'OCTUBRE 2026'!Z95="POR RECOGER"),'OCTUBRE 2026'!P95,"")</f>
        <v/>
      </c>
      <c r="J1036" s="192" t="str">
        <f aca="false">IF(AND('OCTUBRE 2026'!D95&lt;&gt;"",'OCTUBRE 2026'!Z95="POR RECOGER"),'OCTUBRE 2026'!Q95,"")</f>
        <v/>
      </c>
      <c r="K1036" s="192" t="str">
        <f aca="false">IF(AND('OCTUBRE 2026'!D95&lt;&gt;"",'OCTUBRE 2026'!Z95="POR RECOGER"),'OCTUBRE 2026'!Y95,"")</f>
        <v/>
      </c>
      <c r="L1036" s="192" t="str">
        <f aca="false">IF(AND('OCTUBRE 2026'!D95&lt;&gt;"",'OCTUBRE 2026'!Z95="POR RECOGER"),'OCTUBRE 2026'!I95,"")</f>
        <v/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customFormat="false" ht="15" hidden="false" customHeight="true" outlineLevel="0" collapsed="false">
      <c r="A1037" s="192" t="str">
        <f aca="false">IF(AND('OCTUBRE 2026'!D96&lt;&gt;"",'OCTUBRE 2026'!Z96="POR RECOGER"),"OCT","")</f>
        <v/>
      </c>
      <c r="B1037" s="192" t="str">
        <f aca="false">IF(AND('OCTUBRE 2026'!D96&lt;&gt;"",'OCTUBRE 2026'!Z96="POR RECOGER"),IF('OCTUBRE 2026'!Y96&lt;&gt;"",'OCTUBRE 2026'!Y96,'OCTUBRE 2026'!I96),"")</f>
        <v/>
      </c>
      <c r="C1037" s="192" t="str">
        <f aca="false">IF(AND('OCTUBRE 2026'!D96&lt;&gt;"",'OCTUBRE 2026'!Z96="POR RECOGER"),'OCTUBRE 2026'!D96,"")</f>
        <v/>
      </c>
      <c r="D1037" s="192" t="str">
        <f aca="false">IF(AND('OCTUBRE 2026'!D96&lt;&gt;"",'OCTUBRE 2026'!Z96="POR RECOGER"),'OCTUBRE 2026'!F96,"")</f>
        <v/>
      </c>
      <c r="E1037" s="192" t="str">
        <f aca="false">IF(AND('OCTUBRE 2026'!D96&lt;&gt;"",'OCTUBRE 2026'!Z96="POR RECOGER"),TEXT('OCTUBRE 2026'!G96,"DD/MM/YYYY"),"")</f>
        <v/>
      </c>
      <c r="F1037" s="192" t="str">
        <f aca="false">IF(AND('OCTUBRE 2026'!D96&lt;&gt;"",'OCTUBRE 2026'!Z96="POR RECOGER"),'OCTUBRE 2026'!K96,"")</f>
        <v/>
      </c>
      <c r="G1037" s="193" t="str">
        <f aca="false">IF(AND('OCTUBRE 2026'!D96&lt;&gt;"",'OCTUBRE 2026'!Z96="POR RECOGER"),'OCTUBRE 2026'!M96,"")</f>
        <v/>
      </c>
      <c r="H1037" s="193" t="str">
        <f aca="false">IF(AND('OCTUBRE 2026'!D96&lt;&gt;"",'OCTUBRE 2026'!Z96="POR RECOGER"),'OCTUBRE 2026'!N96,"")</f>
        <v/>
      </c>
      <c r="I1037" s="192" t="str">
        <f aca="false">IF(AND('OCTUBRE 2026'!D96&lt;&gt;"",'OCTUBRE 2026'!Z96="POR RECOGER"),'OCTUBRE 2026'!P96,"")</f>
        <v/>
      </c>
      <c r="J1037" s="192" t="str">
        <f aca="false">IF(AND('OCTUBRE 2026'!D96&lt;&gt;"",'OCTUBRE 2026'!Z96="POR RECOGER"),'OCTUBRE 2026'!Q96,"")</f>
        <v/>
      </c>
      <c r="K1037" s="192" t="str">
        <f aca="false">IF(AND('OCTUBRE 2026'!D96&lt;&gt;"",'OCTUBRE 2026'!Z96="POR RECOGER"),'OCTUBRE 2026'!Y96,"")</f>
        <v/>
      </c>
      <c r="L1037" s="192" t="str">
        <f aca="false">IF(AND('OCTUBRE 2026'!D96&lt;&gt;"",'OCTUBRE 2026'!Z96="POR RECOGER"),'OCTUBRE 2026'!I96,"")</f>
        <v/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customFormat="false" ht="15" hidden="false" customHeight="true" outlineLevel="0" collapsed="false">
      <c r="A1038" s="192" t="str">
        <f aca="false">IF(AND('OCTUBRE 2026'!D97&lt;&gt;"",'OCTUBRE 2026'!Z97="POR RECOGER"),"OCT","")</f>
        <v/>
      </c>
      <c r="B1038" s="192" t="str">
        <f aca="false">IF(AND('OCTUBRE 2026'!D97&lt;&gt;"",'OCTUBRE 2026'!Z97="POR RECOGER"),IF('OCTUBRE 2026'!Y97&lt;&gt;"",'OCTUBRE 2026'!Y97,'OCTUBRE 2026'!I97),"")</f>
        <v/>
      </c>
      <c r="C1038" s="192" t="str">
        <f aca="false">IF(AND('OCTUBRE 2026'!D97&lt;&gt;"",'OCTUBRE 2026'!Z97="POR RECOGER"),'OCTUBRE 2026'!D97,"")</f>
        <v/>
      </c>
      <c r="D1038" s="192" t="str">
        <f aca="false">IF(AND('OCTUBRE 2026'!D97&lt;&gt;"",'OCTUBRE 2026'!Z97="POR RECOGER"),'OCTUBRE 2026'!F97,"")</f>
        <v/>
      </c>
      <c r="E1038" s="192" t="str">
        <f aca="false">IF(AND('OCTUBRE 2026'!D97&lt;&gt;"",'OCTUBRE 2026'!Z97="POR RECOGER"),TEXT('OCTUBRE 2026'!G97,"DD/MM/YYYY"),"")</f>
        <v/>
      </c>
      <c r="F1038" s="192" t="str">
        <f aca="false">IF(AND('OCTUBRE 2026'!D97&lt;&gt;"",'OCTUBRE 2026'!Z97="POR RECOGER"),'OCTUBRE 2026'!K97,"")</f>
        <v/>
      </c>
      <c r="G1038" s="193" t="str">
        <f aca="false">IF(AND('OCTUBRE 2026'!D97&lt;&gt;"",'OCTUBRE 2026'!Z97="POR RECOGER"),'OCTUBRE 2026'!M97,"")</f>
        <v/>
      </c>
      <c r="H1038" s="193" t="str">
        <f aca="false">IF(AND('OCTUBRE 2026'!D97&lt;&gt;"",'OCTUBRE 2026'!Z97="POR RECOGER"),'OCTUBRE 2026'!N97,"")</f>
        <v/>
      </c>
      <c r="I1038" s="192" t="str">
        <f aca="false">IF(AND('OCTUBRE 2026'!D97&lt;&gt;"",'OCTUBRE 2026'!Z97="POR RECOGER"),'OCTUBRE 2026'!P97,"")</f>
        <v/>
      </c>
      <c r="J1038" s="192" t="str">
        <f aca="false">IF(AND('OCTUBRE 2026'!D97&lt;&gt;"",'OCTUBRE 2026'!Z97="POR RECOGER"),'OCTUBRE 2026'!Q97,"")</f>
        <v/>
      </c>
      <c r="K1038" s="192" t="str">
        <f aca="false">IF(AND('OCTUBRE 2026'!D97&lt;&gt;"",'OCTUBRE 2026'!Z97="POR RECOGER"),'OCTUBRE 2026'!Y97,"")</f>
        <v/>
      </c>
      <c r="L1038" s="192" t="str">
        <f aca="false">IF(AND('OCTUBRE 2026'!D97&lt;&gt;"",'OCTUBRE 2026'!Z97="POR RECOGER"),'OCTUBRE 2026'!I97,"")</f>
        <v/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customFormat="false" ht="15" hidden="false" customHeight="true" outlineLevel="0" collapsed="false">
      <c r="A1039" s="192" t="str">
        <f aca="false">IF(AND('OCTUBRE 2026'!D98&lt;&gt;"",'OCTUBRE 2026'!Z98="POR RECOGER"),"OCT","")</f>
        <v/>
      </c>
      <c r="B1039" s="192" t="str">
        <f aca="false">IF(AND('OCTUBRE 2026'!D98&lt;&gt;"",'OCTUBRE 2026'!Z98="POR RECOGER"),IF('OCTUBRE 2026'!Y98&lt;&gt;"",'OCTUBRE 2026'!Y98,'OCTUBRE 2026'!I98),"")</f>
        <v/>
      </c>
      <c r="C1039" s="192" t="str">
        <f aca="false">IF(AND('OCTUBRE 2026'!D98&lt;&gt;"",'OCTUBRE 2026'!Z98="POR RECOGER"),'OCTUBRE 2026'!D98,"")</f>
        <v/>
      </c>
      <c r="D1039" s="192" t="str">
        <f aca="false">IF(AND('OCTUBRE 2026'!D98&lt;&gt;"",'OCTUBRE 2026'!Z98="POR RECOGER"),'OCTUBRE 2026'!F98,"")</f>
        <v/>
      </c>
      <c r="E1039" s="192" t="str">
        <f aca="false">IF(AND('OCTUBRE 2026'!D98&lt;&gt;"",'OCTUBRE 2026'!Z98="POR RECOGER"),TEXT('OCTUBRE 2026'!G98,"DD/MM/YYYY"),"")</f>
        <v/>
      </c>
      <c r="F1039" s="192" t="str">
        <f aca="false">IF(AND('OCTUBRE 2026'!D98&lt;&gt;"",'OCTUBRE 2026'!Z98="POR RECOGER"),'OCTUBRE 2026'!K98,"")</f>
        <v/>
      </c>
      <c r="G1039" s="193" t="str">
        <f aca="false">IF(AND('OCTUBRE 2026'!D98&lt;&gt;"",'OCTUBRE 2026'!Z98="POR RECOGER"),'OCTUBRE 2026'!M98,"")</f>
        <v/>
      </c>
      <c r="H1039" s="193" t="str">
        <f aca="false">IF(AND('OCTUBRE 2026'!D98&lt;&gt;"",'OCTUBRE 2026'!Z98="POR RECOGER"),'OCTUBRE 2026'!N98,"")</f>
        <v/>
      </c>
      <c r="I1039" s="192" t="str">
        <f aca="false">IF(AND('OCTUBRE 2026'!D98&lt;&gt;"",'OCTUBRE 2026'!Z98="POR RECOGER"),'OCTUBRE 2026'!P98,"")</f>
        <v/>
      </c>
      <c r="J1039" s="192" t="str">
        <f aca="false">IF(AND('OCTUBRE 2026'!D98&lt;&gt;"",'OCTUBRE 2026'!Z98="POR RECOGER"),'OCTUBRE 2026'!Q98,"")</f>
        <v/>
      </c>
      <c r="K1039" s="192" t="str">
        <f aca="false">IF(AND('OCTUBRE 2026'!D98&lt;&gt;"",'OCTUBRE 2026'!Z98="POR RECOGER"),'OCTUBRE 2026'!Y98,"")</f>
        <v/>
      </c>
      <c r="L1039" s="192" t="str">
        <f aca="false">IF(AND('OCTUBRE 2026'!D98&lt;&gt;"",'OCTUBRE 2026'!Z98="POR RECOGER"),'OCTUBRE 2026'!I98,"")</f>
        <v/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customFormat="false" ht="15" hidden="false" customHeight="true" outlineLevel="0" collapsed="false">
      <c r="A1040" s="192" t="str">
        <f aca="false">IF(AND('OCTUBRE 2026'!D99&lt;&gt;"",'OCTUBRE 2026'!Z99="POR RECOGER"),"OCT","")</f>
        <v/>
      </c>
      <c r="B1040" s="192" t="str">
        <f aca="false">IF(AND('OCTUBRE 2026'!D99&lt;&gt;"",'OCTUBRE 2026'!Z99="POR RECOGER"),IF('OCTUBRE 2026'!Y99&lt;&gt;"",'OCTUBRE 2026'!Y99,'OCTUBRE 2026'!I99),"")</f>
        <v/>
      </c>
      <c r="C1040" s="192" t="str">
        <f aca="false">IF(AND('OCTUBRE 2026'!D99&lt;&gt;"",'OCTUBRE 2026'!Z99="POR RECOGER"),'OCTUBRE 2026'!D99,"")</f>
        <v/>
      </c>
      <c r="D1040" s="192" t="str">
        <f aca="false">IF(AND('OCTUBRE 2026'!D99&lt;&gt;"",'OCTUBRE 2026'!Z99="POR RECOGER"),'OCTUBRE 2026'!F99,"")</f>
        <v/>
      </c>
      <c r="E1040" s="192" t="str">
        <f aca="false">IF(AND('OCTUBRE 2026'!D99&lt;&gt;"",'OCTUBRE 2026'!Z99="POR RECOGER"),TEXT('OCTUBRE 2026'!G99,"DD/MM/YYYY"),"")</f>
        <v/>
      </c>
      <c r="F1040" s="192" t="str">
        <f aca="false">IF(AND('OCTUBRE 2026'!D99&lt;&gt;"",'OCTUBRE 2026'!Z99="POR RECOGER"),'OCTUBRE 2026'!K99,"")</f>
        <v/>
      </c>
      <c r="G1040" s="193" t="str">
        <f aca="false">IF(AND('OCTUBRE 2026'!D99&lt;&gt;"",'OCTUBRE 2026'!Z99="POR RECOGER"),'OCTUBRE 2026'!M99,"")</f>
        <v/>
      </c>
      <c r="H1040" s="193" t="str">
        <f aca="false">IF(AND('OCTUBRE 2026'!D99&lt;&gt;"",'OCTUBRE 2026'!Z99="POR RECOGER"),'OCTUBRE 2026'!N99,"")</f>
        <v/>
      </c>
      <c r="I1040" s="192" t="str">
        <f aca="false">IF(AND('OCTUBRE 2026'!D99&lt;&gt;"",'OCTUBRE 2026'!Z99="POR RECOGER"),'OCTUBRE 2026'!P99,"")</f>
        <v/>
      </c>
      <c r="J1040" s="192" t="str">
        <f aca="false">IF(AND('OCTUBRE 2026'!D99&lt;&gt;"",'OCTUBRE 2026'!Z99="POR RECOGER"),'OCTUBRE 2026'!Q99,"")</f>
        <v/>
      </c>
      <c r="K1040" s="192" t="str">
        <f aca="false">IF(AND('OCTUBRE 2026'!D99&lt;&gt;"",'OCTUBRE 2026'!Z99="POR RECOGER"),'OCTUBRE 2026'!Y99,"")</f>
        <v/>
      </c>
      <c r="L1040" s="192" t="str">
        <f aca="false">IF(AND('OCTUBRE 2026'!D99&lt;&gt;"",'OCTUBRE 2026'!Z99="POR RECOGER"),'OCTUBRE 2026'!I99,"")</f>
        <v/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customFormat="false" ht="15" hidden="false" customHeight="true" outlineLevel="0" collapsed="false">
      <c r="A1041" s="192" t="str">
        <f aca="false">IF(AND('OCTUBRE 2026'!D100&lt;&gt;"",'OCTUBRE 2026'!Z100="POR RECOGER"),"OCT","")</f>
        <v/>
      </c>
      <c r="B1041" s="192" t="str">
        <f aca="false">IF(AND('OCTUBRE 2026'!D100&lt;&gt;"",'OCTUBRE 2026'!Z100="POR RECOGER"),IF('OCTUBRE 2026'!Y100&lt;&gt;"",'OCTUBRE 2026'!Y100,'OCTUBRE 2026'!I100),"")</f>
        <v/>
      </c>
      <c r="C1041" s="192" t="str">
        <f aca="false">IF(AND('OCTUBRE 2026'!D100&lt;&gt;"",'OCTUBRE 2026'!Z100="POR RECOGER"),'OCTUBRE 2026'!D100,"")</f>
        <v/>
      </c>
      <c r="D1041" s="192" t="str">
        <f aca="false">IF(AND('OCTUBRE 2026'!D100&lt;&gt;"",'OCTUBRE 2026'!Z100="POR RECOGER"),'OCTUBRE 2026'!F100,"")</f>
        <v/>
      </c>
      <c r="E1041" s="192" t="str">
        <f aca="false">IF(AND('OCTUBRE 2026'!D100&lt;&gt;"",'OCTUBRE 2026'!Z100="POR RECOGER"),TEXT('OCTUBRE 2026'!G100,"DD/MM/YYYY"),"")</f>
        <v/>
      </c>
      <c r="F1041" s="192" t="str">
        <f aca="false">IF(AND('OCTUBRE 2026'!D100&lt;&gt;"",'OCTUBRE 2026'!Z100="POR RECOGER"),'OCTUBRE 2026'!K100,"")</f>
        <v/>
      </c>
      <c r="G1041" s="193" t="str">
        <f aca="false">IF(AND('OCTUBRE 2026'!D100&lt;&gt;"",'OCTUBRE 2026'!Z100="POR RECOGER"),'OCTUBRE 2026'!M100,"")</f>
        <v/>
      </c>
      <c r="H1041" s="193" t="str">
        <f aca="false">IF(AND('OCTUBRE 2026'!D100&lt;&gt;"",'OCTUBRE 2026'!Z100="POR RECOGER"),'OCTUBRE 2026'!N100,"")</f>
        <v/>
      </c>
      <c r="I1041" s="192" t="str">
        <f aca="false">IF(AND('OCTUBRE 2026'!D100&lt;&gt;"",'OCTUBRE 2026'!Z100="POR RECOGER"),'OCTUBRE 2026'!P100,"")</f>
        <v/>
      </c>
      <c r="J1041" s="192" t="str">
        <f aca="false">IF(AND('OCTUBRE 2026'!D100&lt;&gt;"",'OCTUBRE 2026'!Z100="POR RECOGER"),'OCTUBRE 2026'!Q100,"")</f>
        <v/>
      </c>
      <c r="K1041" s="192" t="str">
        <f aca="false">IF(AND('OCTUBRE 2026'!D100&lt;&gt;"",'OCTUBRE 2026'!Z100="POR RECOGER"),'OCTUBRE 2026'!Y100,"")</f>
        <v/>
      </c>
      <c r="L1041" s="192" t="str">
        <f aca="false">IF(AND('OCTUBRE 2026'!D100&lt;&gt;"",'OCTUBRE 2026'!Z100="POR RECOGER"),'OCTUBRE 2026'!I100,"")</f>
        <v/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customFormat="false" ht="15" hidden="false" customHeight="true" outlineLevel="0" collapsed="false">
      <c r="A1042" s="192" t="str">
        <f aca="false">IF(AND('OCTUBRE 2026'!D101&lt;&gt;"",'OCTUBRE 2026'!Z101="POR RECOGER"),"OCT","")</f>
        <v/>
      </c>
      <c r="B1042" s="192" t="str">
        <f aca="false">IF(AND('OCTUBRE 2026'!D101&lt;&gt;"",'OCTUBRE 2026'!Z101="POR RECOGER"),IF('OCTUBRE 2026'!Y101&lt;&gt;"",'OCTUBRE 2026'!Y101,'OCTUBRE 2026'!I101),"")</f>
        <v/>
      </c>
      <c r="C1042" s="192" t="str">
        <f aca="false">IF(AND('OCTUBRE 2026'!D101&lt;&gt;"",'OCTUBRE 2026'!Z101="POR RECOGER"),'OCTUBRE 2026'!D101,"")</f>
        <v/>
      </c>
      <c r="D1042" s="192" t="str">
        <f aca="false">IF(AND('OCTUBRE 2026'!D101&lt;&gt;"",'OCTUBRE 2026'!Z101="POR RECOGER"),'OCTUBRE 2026'!F101,"")</f>
        <v/>
      </c>
      <c r="E1042" s="192" t="str">
        <f aca="false">IF(AND('OCTUBRE 2026'!D101&lt;&gt;"",'OCTUBRE 2026'!Z101="POR RECOGER"),TEXT('OCTUBRE 2026'!G101,"DD/MM/YYYY"),"")</f>
        <v/>
      </c>
      <c r="F1042" s="192" t="str">
        <f aca="false">IF(AND('OCTUBRE 2026'!D101&lt;&gt;"",'OCTUBRE 2026'!Z101="POR RECOGER"),'OCTUBRE 2026'!K101,"")</f>
        <v/>
      </c>
      <c r="G1042" s="193" t="str">
        <f aca="false">IF(AND('OCTUBRE 2026'!D101&lt;&gt;"",'OCTUBRE 2026'!Z101="POR RECOGER"),'OCTUBRE 2026'!M101,"")</f>
        <v/>
      </c>
      <c r="H1042" s="193" t="str">
        <f aca="false">IF(AND('OCTUBRE 2026'!D101&lt;&gt;"",'OCTUBRE 2026'!Z101="POR RECOGER"),'OCTUBRE 2026'!N101,"")</f>
        <v/>
      </c>
      <c r="I1042" s="192" t="str">
        <f aca="false">IF(AND('OCTUBRE 2026'!D101&lt;&gt;"",'OCTUBRE 2026'!Z101="POR RECOGER"),'OCTUBRE 2026'!P101,"")</f>
        <v/>
      </c>
      <c r="J1042" s="192" t="str">
        <f aca="false">IF(AND('OCTUBRE 2026'!D101&lt;&gt;"",'OCTUBRE 2026'!Z101="POR RECOGER"),'OCTUBRE 2026'!Q101,"")</f>
        <v/>
      </c>
      <c r="K1042" s="192" t="str">
        <f aca="false">IF(AND('OCTUBRE 2026'!D101&lt;&gt;"",'OCTUBRE 2026'!Z101="POR RECOGER"),'OCTUBRE 2026'!Y101,"")</f>
        <v/>
      </c>
      <c r="L1042" s="192" t="str">
        <f aca="false">IF(AND('OCTUBRE 2026'!D101&lt;&gt;"",'OCTUBRE 2026'!Z101="POR RECOGER"),'OCTUBRE 2026'!I101,"")</f>
        <v/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customFormat="false" ht="15" hidden="false" customHeight="true" outlineLevel="0" collapsed="false">
      <c r="A1043" s="192" t="str">
        <f aca="false">IF(AND('OCTUBRE 2026'!D102&lt;&gt;"",'OCTUBRE 2026'!Z102="POR RECOGER"),"OCT","")</f>
        <v/>
      </c>
      <c r="B1043" s="192" t="str">
        <f aca="false">IF(AND('OCTUBRE 2026'!D102&lt;&gt;"",'OCTUBRE 2026'!Z102="POR RECOGER"),IF('OCTUBRE 2026'!Y102&lt;&gt;"",'OCTUBRE 2026'!Y102,'OCTUBRE 2026'!I102),"")</f>
        <v/>
      </c>
      <c r="C1043" s="192" t="str">
        <f aca="false">IF(AND('OCTUBRE 2026'!D102&lt;&gt;"",'OCTUBRE 2026'!Z102="POR RECOGER"),'OCTUBRE 2026'!D102,"")</f>
        <v/>
      </c>
      <c r="D1043" s="192" t="str">
        <f aca="false">IF(AND('OCTUBRE 2026'!D102&lt;&gt;"",'OCTUBRE 2026'!Z102="POR RECOGER"),'OCTUBRE 2026'!F102,"")</f>
        <v/>
      </c>
      <c r="E1043" s="192" t="str">
        <f aca="false">IF(AND('OCTUBRE 2026'!D102&lt;&gt;"",'OCTUBRE 2026'!Z102="POR RECOGER"),TEXT('OCTUBRE 2026'!G102,"DD/MM/YYYY"),"")</f>
        <v/>
      </c>
      <c r="F1043" s="192" t="str">
        <f aca="false">IF(AND('OCTUBRE 2026'!D102&lt;&gt;"",'OCTUBRE 2026'!Z102="POR RECOGER"),'OCTUBRE 2026'!K102,"")</f>
        <v/>
      </c>
      <c r="G1043" s="193" t="str">
        <f aca="false">IF(AND('OCTUBRE 2026'!D102&lt;&gt;"",'OCTUBRE 2026'!Z102="POR RECOGER"),'OCTUBRE 2026'!M102,"")</f>
        <v/>
      </c>
      <c r="H1043" s="193" t="str">
        <f aca="false">IF(AND('OCTUBRE 2026'!D102&lt;&gt;"",'OCTUBRE 2026'!Z102="POR RECOGER"),'OCTUBRE 2026'!N102,"")</f>
        <v/>
      </c>
      <c r="I1043" s="192" t="str">
        <f aca="false">IF(AND('OCTUBRE 2026'!D102&lt;&gt;"",'OCTUBRE 2026'!Z102="POR RECOGER"),'OCTUBRE 2026'!P102,"")</f>
        <v/>
      </c>
      <c r="J1043" s="192" t="str">
        <f aca="false">IF(AND('OCTUBRE 2026'!D102&lt;&gt;"",'OCTUBRE 2026'!Z102="POR RECOGER"),'OCTUBRE 2026'!Q102,"")</f>
        <v/>
      </c>
      <c r="K1043" s="192" t="str">
        <f aca="false">IF(AND('OCTUBRE 2026'!D102&lt;&gt;"",'OCTUBRE 2026'!Z102="POR RECOGER"),'OCTUBRE 2026'!Y102,"")</f>
        <v/>
      </c>
      <c r="L1043" s="192" t="str">
        <f aca="false">IF(AND('OCTUBRE 2026'!D102&lt;&gt;"",'OCTUBRE 2026'!Z102="POR RECOGER"),'OCTUBRE 2026'!I102,"")</f>
        <v/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customFormat="false" ht="15" hidden="false" customHeight="true" outlineLevel="0" collapsed="false">
      <c r="A1044" s="192" t="str">
        <f aca="false">IF(AND('OCTUBRE 2026'!D103&lt;&gt;"",'OCTUBRE 2026'!Z103="POR RECOGER"),"OCT","")</f>
        <v/>
      </c>
      <c r="B1044" s="192" t="str">
        <f aca="false">IF(AND('OCTUBRE 2026'!D103&lt;&gt;"",'OCTUBRE 2026'!Z103="POR RECOGER"),IF('OCTUBRE 2026'!Y103&lt;&gt;"",'OCTUBRE 2026'!Y103,'OCTUBRE 2026'!I103),"")</f>
        <v/>
      </c>
      <c r="C1044" s="192" t="str">
        <f aca="false">IF(AND('OCTUBRE 2026'!D103&lt;&gt;"",'OCTUBRE 2026'!Z103="POR RECOGER"),'OCTUBRE 2026'!D103,"")</f>
        <v/>
      </c>
      <c r="D1044" s="192" t="str">
        <f aca="false">IF(AND('OCTUBRE 2026'!D103&lt;&gt;"",'OCTUBRE 2026'!Z103="POR RECOGER"),'OCTUBRE 2026'!F103,"")</f>
        <v/>
      </c>
      <c r="E1044" s="192" t="str">
        <f aca="false">IF(AND('OCTUBRE 2026'!D103&lt;&gt;"",'OCTUBRE 2026'!Z103="POR RECOGER"),TEXT('OCTUBRE 2026'!G103,"DD/MM/YYYY"),"")</f>
        <v/>
      </c>
      <c r="F1044" s="192" t="str">
        <f aca="false">IF(AND('OCTUBRE 2026'!D103&lt;&gt;"",'OCTUBRE 2026'!Z103="POR RECOGER"),'OCTUBRE 2026'!K103,"")</f>
        <v/>
      </c>
      <c r="G1044" s="193" t="str">
        <f aca="false">IF(AND('OCTUBRE 2026'!D103&lt;&gt;"",'OCTUBRE 2026'!Z103="POR RECOGER"),'OCTUBRE 2026'!M103,"")</f>
        <v/>
      </c>
      <c r="H1044" s="193" t="str">
        <f aca="false">IF(AND('OCTUBRE 2026'!D103&lt;&gt;"",'OCTUBRE 2026'!Z103="POR RECOGER"),'OCTUBRE 2026'!N103,"")</f>
        <v/>
      </c>
      <c r="I1044" s="192" t="str">
        <f aca="false">IF(AND('OCTUBRE 2026'!D103&lt;&gt;"",'OCTUBRE 2026'!Z103="POR RECOGER"),'OCTUBRE 2026'!P103,"")</f>
        <v/>
      </c>
      <c r="J1044" s="192" t="str">
        <f aca="false">IF(AND('OCTUBRE 2026'!D103&lt;&gt;"",'OCTUBRE 2026'!Z103="POR RECOGER"),'OCTUBRE 2026'!Q103,"")</f>
        <v/>
      </c>
      <c r="K1044" s="192" t="str">
        <f aca="false">IF(AND('OCTUBRE 2026'!D103&lt;&gt;"",'OCTUBRE 2026'!Z103="POR RECOGER"),'OCTUBRE 2026'!Y103,"")</f>
        <v/>
      </c>
      <c r="L1044" s="192" t="str">
        <f aca="false">IF(AND('OCTUBRE 2026'!D103&lt;&gt;"",'OCTUBRE 2026'!Z103="POR RECOGER"),'OCTUBRE 2026'!I103,"")</f>
        <v/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customFormat="false" ht="15" hidden="false" customHeight="true" outlineLevel="0" collapsed="false">
      <c r="A1045" s="192" t="str">
        <f aca="false">IF(AND('OCTUBRE 2026'!D104&lt;&gt;"",'OCTUBRE 2026'!Z104="POR RECOGER"),"OCT","")</f>
        <v/>
      </c>
      <c r="B1045" s="192" t="str">
        <f aca="false">IF(AND('OCTUBRE 2026'!D104&lt;&gt;"",'OCTUBRE 2026'!Z104="POR RECOGER"),IF('OCTUBRE 2026'!Y104&lt;&gt;"",'OCTUBRE 2026'!Y104,'OCTUBRE 2026'!I104),"")</f>
        <v/>
      </c>
      <c r="C1045" s="192" t="str">
        <f aca="false">IF(AND('OCTUBRE 2026'!D104&lt;&gt;"",'OCTUBRE 2026'!Z104="POR RECOGER"),'OCTUBRE 2026'!D104,"")</f>
        <v/>
      </c>
      <c r="D1045" s="192" t="str">
        <f aca="false">IF(AND('OCTUBRE 2026'!D104&lt;&gt;"",'OCTUBRE 2026'!Z104="POR RECOGER"),'OCTUBRE 2026'!F104,"")</f>
        <v/>
      </c>
      <c r="E1045" s="192" t="str">
        <f aca="false">IF(AND('OCTUBRE 2026'!D104&lt;&gt;"",'OCTUBRE 2026'!Z104="POR RECOGER"),TEXT('OCTUBRE 2026'!G104,"DD/MM/YYYY"),"")</f>
        <v/>
      </c>
      <c r="F1045" s="192" t="str">
        <f aca="false">IF(AND('OCTUBRE 2026'!D104&lt;&gt;"",'OCTUBRE 2026'!Z104="POR RECOGER"),'OCTUBRE 2026'!K104,"")</f>
        <v/>
      </c>
      <c r="G1045" s="193" t="str">
        <f aca="false">IF(AND('OCTUBRE 2026'!D104&lt;&gt;"",'OCTUBRE 2026'!Z104="POR RECOGER"),'OCTUBRE 2026'!M104,"")</f>
        <v/>
      </c>
      <c r="H1045" s="193" t="str">
        <f aca="false">IF(AND('OCTUBRE 2026'!D104&lt;&gt;"",'OCTUBRE 2026'!Z104="POR RECOGER"),'OCTUBRE 2026'!N104,"")</f>
        <v/>
      </c>
      <c r="I1045" s="192" t="str">
        <f aca="false">IF(AND('OCTUBRE 2026'!D104&lt;&gt;"",'OCTUBRE 2026'!Z104="POR RECOGER"),'OCTUBRE 2026'!P104,"")</f>
        <v/>
      </c>
      <c r="J1045" s="192" t="str">
        <f aca="false">IF(AND('OCTUBRE 2026'!D104&lt;&gt;"",'OCTUBRE 2026'!Z104="POR RECOGER"),'OCTUBRE 2026'!Q104,"")</f>
        <v/>
      </c>
      <c r="K1045" s="192" t="str">
        <f aca="false">IF(AND('OCTUBRE 2026'!D104&lt;&gt;"",'OCTUBRE 2026'!Z104="POR RECOGER"),'OCTUBRE 2026'!Y104,"")</f>
        <v/>
      </c>
      <c r="L1045" s="192" t="str">
        <f aca="false">IF(AND('OCTUBRE 2026'!D104&lt;&gt;"",'OCTUBRE 2026'!Z104="POR RECOGER"),'OCTUBRE 2026'!I104,"")</f>
        <v/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customFormat="false" ht="15" hidden="false" customHeight="true" outlineLevel="0" collapsed="false">
      <c r="A1046" s="192" t="str">
        <f aca="false">IF(AND('OCTUBRE 2026'!D105&lt;&gt;"",'OCTUBRE 2026'!Z105="POR RECOGER"),"OCT","")</f>
        <v/>
      </c>
      <c r="B1046" s="192" t="str">
        <f aca="false">IF(AND('OCTUBRE 2026'!D105&lt;&gt;"",'OCTUBRE 2026'!Z105="POR RECOGER"),IF('OCTUBRE 2026'!Y105&lt;&gt;"",'OCTUBRE 2026'!Y105,'OCTUBRE 2026'!I105),"")</f>
        <v/>
      </c>
      <c r="C1046" s="192" t="str">
        <f aca="false">IF(AND('OCTUBRE 2026'!D105&lt;&gt;"",'OCTUBRE 2026'!Z105="POR RECOGER"),'OCTUBRE 2026'!D105,"")</f>
        <v/>
      </c>
      <c r="D1046" s="192" t="str">
        <f aca="false">IF(AND('OCTUBRE 2026'!D105&lt;&gt;"",'OCTUBRE 2026'!Z105="POR RECOGER"),'OCTUBRE 2026'!F105,"")</f>
        <v/>
      </c>
      <c r="E1046" s="192" t="str">
        <f aca="false">IF(AND('OCTUBRE 2026'!D105&lt;&gt;"",'OCTUBRE 2026'!Z105="POR RECOGER"),TEXT('OCTUBRE 2026'!G105,"DD/MM/YYYY"),"")</f>
        <v/>
      </c>
      <c r="F1046" s="192" t="str">
        <f aca="false">IF(AND('OCTUBRE 2026'!D105&lt;&gt;"",'OCTUBRE 2026'!Z105="POR RECOGER"),'OCTUBRE 2026'!K105,"")</f>
        <v/>
      </c>
      <c r="G1046" s="193" t="str">
        <f aca="false">IF(AND('OCTUBRE 2026'!D105&lt;&gt;"",'OCTUBRE 2026'!Z105="POR RECOGER"),'OCTUBRE 2026'!M105,"")</f>
        <v/>
      </c>
      <c r="H1046" s="193" t="str">
        <f aca="false">IF(AND('OCTUBRE 2026'!D105&lt;&gt;"",'OCTUBRE 2026'!Z105="POR RECOGER"),'OCTUBRE 2026'!N105,"")</f>
        <v/>
      </c>
      <c r="I1046" s="192" t="str">
        <f aca="false">IF(AND('OCTUBRE 2026'!D105&lt;&gt;"",'OCTUBRE 2026'!Z105="POR RECOGER"),'OCTUBRE 2026'!P105,"")</f>
        <v/>
      </c>
      <c r="J1046" s="192" t="str">
        <f aca="false">IF(AND('OCTUBRE 2026'!D105&lt;&gt;"",'OCTUBRE 2026'!Z105="POR RECOGER"),'OCTUBRE 2026'!Q105,"")</f>
        <v/>
      </c>
      <c r="K1046" s="192" t="str">
        <f aca="false">IF(AND('OCTUBRE 2026'!D105&lt;&gt;"",'OCTUBRE 2026'!Z105="POR RECOGER"),'OCTUBRE 2026'!Y105,"")</f>
        <v/>
      </c>
      <c r="L1046" s="192" t="str">
        <f aca="false">IF(AND('OCTUBRE 2026'!D105&lt;&gt;"",'OCTUBRE 2026'!Z105="POR RECOGER"),'OCTUBRE 2026'!I105,"")</f>
        <v/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customFormat="false" ht="15" hidden="false" customHeight="true" outlineLevel="0" collapsed="false">
      <c r="A1047" s="192" t="str">
        <f aca="false">IF(AND('OCTUBRE 2026'!D106&lt;&gt;"",'OCTUBRE 2026'!Z106="POR RECOGER"),"OCT","")</f>
        <v/>
      </c>
      <c r="B1047" s="192" t="str">
        <f aca="false">IF(AND('OCTUBRE 2026'!D106&lt;&gt;"",'OCTUBRE 2026'!Z106="POR RECOGER"),IF('OCTUBRE 2026'!Y106&lt;&gt;"",'OCTUBRE 2026'!Y106,'OCTUBRE 2026'!I106),"")</f>
        <v/>
      </c>
      <c r="C1047" s="192" t="str">
        <f aca="false">IF(AND('OCTUBRE 2026'!D106&lt;&gt;"",'OCTUBRE 2026'!Z106="POR RECOGER"),'OCTUBRE 2026'!D106,"")</f>
        <v/>
      </c>
      <c r="D1047" s="192" t="str">
        <f aca="false">IF(AND('OCTUBRE 2026'!D106&lt;&gt;"",'OCTUBRE 2026'!Z106="POR RECOGER"),'OCTUBRE 2026'!F106,"")</f>
        <v/>
      </c>
      <c r="E1047" s="192" t="str">
        <f aca="false">IF(AND('OCTUBRE 2026'!D106&lt;&gt;"",'OCTUBRE 2026'!Z106="POR RECOGER"),TEXT('OCTUBRE 2026'!G106,"DD/MM/YYYY"),"")</f>
        <v/>
      </c>
      <c r="F1047" s="192" t="str">
        <f aca="false">IF(AND('OCTUBRE 2026'!D106&lt;&gt;"",'OCTUBRE 2026'!Z106="POR RECOGER"),'OCTUBRE 2026'!K106,"")</f>
        <v/>
      </c>
      <c r="G1047" s="193" t="str">
        <f aca="false">IF(AND('OCTUBRE 2026'!D106&lt;&gt;"",'OCTUBRE 2026'!Z106="POR RECOGER"),'OCTUBRE 2026'!M106,"")</f>
        <v/>
      </c>
      <c r="H1047" s="193" t="str">
        <f aca="false">IF(AND('OCTUBRE 2026'!D106&lt;&gt;"",'OCTUBRE 2026'!Z106="POR RECOGER"),'OCTUBRE 2026'!N106,"")</f>
        <v/>
      </c>
      <c r="I1047" s="192" t="str">
        <f aca="false">IF(AND('OCTUBRE 2026'!D106&lt;&gt;"",'OCTUBRE 2026'!Z106="POR RECOGER"),'OCTUBRE 2026'!P106,"")</f>
        <v/>
      </c>
      <c r="J1047" s="192" t="str">
        <f aca="false">IF(AND('OCTUBRE 2026'!D106&lt;&gt;"",'OCTUBRE 2026'!Z106="POR RECOGER"),'OCTUBRE 2026'!Q106,"")</f>
        <v/>
      </c>
      <c r="K1047" s="192" t="str">
        <f aca="false">IF(AND('OCTUBRE 2026'!D106&lt;&gt;"",'OCTUBRE 2026'!Z106="POR RECOGER"),'OCTUBRE 2026'!Y106,"")</f>
        <v/>
      </c>
      <c r="L1047" s="192" t="str">
        <f aca="false">IF(AND('OCTUBRE 2026'!D106&lt;&gt;"",'OCTUBRE 2026'!Z106="POR RECOGER"),'OCTUBRE 2026'!I106,"")</f>
        <v/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customFormat="false" ht="15" hidden="false" customHeight="true" outlineLevel="0" collapsed="false">
      <c r="A1048" s="192" t="str">
        <f aca="false">IF(AND('OCTUBRE 2026'!D107&lt;&gt;"",'OCTUBRE 2026'!Z107="POR RECOGER"),"OCT","")</f>
        <v/>
      </c>
      <c r="B1048" s="192" t="str">
        <f aca="false">IF(AND('OCTUBRE 2026'!D107&lt;&gt;"",'OCTUBRE 2026'!Z107="POR RECOGER"),IF('OCTUBRE 2026'!Y107&lt;&gt;"",'OCTUBRE 2026'!Y107,'OCTUBRE 2026'!I107),"")</f>
        <v/>
      </c>
      <c r="C1048" s="192" t="str">
        <f aca="false">IF(AND('OCTUBRE 2026'!D107&lt;&gt;"",'OCTUBRE 2026'!Z107="POR RECOGER"),'OCTUBRE 2026'!D107,"")</f>
        <v/>
      </c>
      <c r="D1048" s="192" t="str">
        <f aca="false">IF(AND('OCTUBRE 2026'!D107&lt;&gt;"",'OCTUBRE 2026'!Z107="POR RECOGER"),'OCTUBRE 2026'!F107,"")</f>
        <v/>
      </c>
      <c r="E1048" s="192" t="str">
        <f aca="false">IF(AND('OCTUBRE 2026'!D107&lt;&gt;"",'OCTUBRE 2026'!Z107="POR RECOGER"),TEXT('OCTUBRE 2026'!G107,"DD/MM/YYYY"),"")</f>
        <v/>
      </c>
      <c r="F1048" s="192" t="str">
        <f aca="false">IF(AND('OCTUBRE 2026'!D107&lt;&gt;"",'OCTUBRE 2026'!Z107="POR RECOGER"),'OCTUBRE 2026'!K107,"")</f>
        <v/>
      </c>
      <c r="G1048" s="193" t="str">
        <f aca="false">IF(AND('OCTUBRE 2026'!D107&lt;&gt;"",'OCTUBRE 2026'!Z107="POR RECOGER"),'OCTUBRE 2026'!M107,"")</f>
        <v/>
      </c>
      <c r="H1048" s="193" t="str">
        <f aca="false">IF(AND('OCTUBRE 2026'!D107&lt;&gt;"",'OCTUBRE 2026'!Z107="POR RECOGER"),'OCTUBRE 2026'!N107,"")</f>
        <v/>
      </c>
      <c r="I1048" s="192" t="str">
        <f aca="false">IF(AND('OCTUBRE 2026'!D107&lt;&gt;"",'OCTUBRE 2026'!Z107="POR RECOGER"),'OCTUBRE 2026'!P107,"")</f>
        <v/>
      </c>
      <c r="J1048" s="192" t="str">
        <f aca="false">IF(AND('OCTUBRE 2026'!D107&lt;&gt;"",'OCTUBRE 2026'!Z107="POR RECOGER"),'OCTUBRE 2026'!Q107,"")</f>
        <v/>
      </c>
      <c r="K1048" s="192" t="str">
        <f aca="false">IF(AND('OCTUBRE 2026'!D107&lt;&gt;"",'OCTUBRE 2026'!Z107="POR RECOGER"),'OCTUBRE 2026'!Y107,"")</f>
        <v/>
      </c>
      <c r="L1048" s="192" t="str">
        <f aca="false">IF(AND('OCTUBRE 2026'!D107&lt;&gt;"",'OCTUBRE 2026'!Z107="POR RECOGER"),'OCTUBRE 2026'!I107,"")</f>
        <v/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customFormat="false" ht="15" hidden="false" customHeight="true" outlineLevel="0" collapsed="false">
      <c r="A1049" s="192" t="str">
        <f aca="false">IF(AND('OCTUBRE 2026'!D108&lt;&gt;"",'OCTUBRE 2026'!Z108="POR RECOGER"),"OCT","")</f>
        <v/>
      </c>
      <c r="B1049" s="192" t="str">
        <f aca="false">IF(AND('OCTUBRE 2026'!D108&lt;&gt;"",'OCTUBRE 2026'!Z108="POR RECOGER"),IF('OCTUBRE 2026'!Y108&lt;&gt;"",'OCTUBRE 2026'!Y108,'OCTUBRE 2026'!I108),"")</f>
        <v/>
      </c>
      <c r="C1049" s="192" t="str">
        <f aca="false">IF(AND('OCTUBRE 2026'!D108&lt;&gt;"",'OCTUBRE 2026'!Z108="POR RECOGER"),'OCTUBRE 2026'!D108,"")</f>
        <v/>
      </c>
      <c r="D1049" s="192" t="str">
        <f aca="false">IF(AND('OCTUBRE 2026'!D108&lt;&gt;"",'OCTUBRE 2026'!Z108="POR RECOGER"),'OCTUBRE 2026'!F108,"")</f>
        <v/>
      </c>
      <c r="E1049" s="192" t="str">
        <f aca="false">IF(AND('OCTUBRE 2026'!D108&lt;&gt;"",'OCTUBRE 2026'!Z108="POR RECOGER"),TEXT('OCTUBRE 2026'!G108,"DD/MM/YYYY"),"")</f>
        <v/>
      </c>
      <c r="F1049" s="192" t="str">
        <f aca="false">IF(AND('OCTUBRE 2026'!D108&lt;&gt;"",'OCTUBRE 2026'!Z108="POR RECOGER"),'OCTUBRE 2026'!K108,"")</f>
        <v/>
      </c>
      <c r="G1049" s="193" t="str">
        <f aca="false">IF(AND('OCTUBRE 2026'!D108&lt;&gt;"",'OCTUBRE 2026'!Z108="POR RECOGER"),'OCTUBRE 2026'!M108,"")</f>
        <v/>
      </c>
      <c r="H1049" s="193" t="str">
        <f aca="false">IF(AND('OCTUBRE 2026'!D108&lt;&gt;"",'OCTUBRE 2026'!Z108="POR RECOGER"),'OCTUBRE 2026'!N108,"")</f>
        <v/>
      </c>
      <c r="I1049" s="192" t="str">
        <f aca="false">IF(AND('OCTUBRE 2026'!D108&lt;&gt;"",'OCTUBRE 2026'!Z108="POR RECOGER"),'OCTUBRE 2026'!P108,"")</f>
        <v/>
      </c>
      <c r="J1049" s="192" t="str">
        <f aca="false">IF(AND('OCTUBRE 2026'!D108&lt;&gt;"",'OCTUBRE 2026'!Z108="POR RECOGER"),'OCTUBRE 2026'!Q108,"")</f>
        <v/>
      </c>
      <c r="K1049" s="192" t="str">
        <f aca="false">IF(AND('OCTUBRE 2026'!D108&lt;&gt;"",'OCTUBRE 2026'!Z108="POR RECOGER"),'OCTUBRE 2026'!Y108,"")</f>
        <v/>
      </c>
      <c r="L1049" s="192" t="str">
        <f aca="false">IF(AND('OCTUBRE 2026'!D108&lt;&gt;"",'OCTUBRE 2026'!Z108="POR RECOGER"),'OCTUBRE 2026'!I108,"")</f>
        <v/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customFormat="false" ht="15" hidden="false" customHeight="true" outlineLevel="0" collapsed="false">
      <c r="A1050" s="192" t="str">
        <f aca="false">IF(AND('OCTUBRE 2026'!D109&lt;&gt;"",'OCTUBRE 2026'!Z109="POR RECOGER"),"OCT","")</f>
        <v/>
      </c>
      <c r="B1050" s="192" t="str">
        <f aca="false">IF(AND('OCTUBRE 2026'!D109&lt;&gt;"",'OCTUBRE 2026'!Z109="POR RECOGER"),IF('OCTUBRE 2026'!Y109&lt;&gt;"",'OCTUBRE 2026'!Y109,'OCTUBRE 2026'!I109),"")</f>
        <v/>
      </c>
      <c r="C1050" s="192" t="str">
        <f aca="false">IF(AND('OCTUBRE 2026'!D109&lt;&gt;"",'OCTUBRE 2026'!Z109="POR RECOGER"),'OCTUBRE 2026'!D109,"")</f>
        <v/>
      </c>
      <c r="D1050" s="192" t="str">
        <f aca="false">IF(AND('OCTUBRE 2026'!D109&lt;&gt;"",'OCTUBRE 2026'!Z109="POR RECOGER"),'OCTUBRE 2026'!F109,"")</f>
        <v/>
      </c>
      <c r="E1050" s="192" t="str">
        <f aca="false">IF(AND('OCTUBRE 2026'!D109&lt;&gt;"",'OCTUBRE 2026'!Z109="POR RECOGER"),TEXT('OCTUBRE 2026'!G109,"DD/MM/YYYY"),"")</f>
        <v/>
      </c>
      <c r="F1050" s="192" t="str">
        <f aca="false">IF(AND('OCTUBRE 2026'!D109&lt;&gt;"",'OCTUBRE 2026'!Z109="POR RECOGER"),'OCTUBRE 2026'!K109,"")</f>
        <v/>
      </c>
      <c r="G1050" s="193" t="str">
        <f aca="false">IF(AND('OCTUBRE 2026'!D109&lt;&gt;"",'OCTUBRE 2026'!Z109="POR RECOGER"),'OCTUBRE 2026'!M109,"")</f>
        <v/>
      </c>
      <c r="H1050" s="193" t="str">
        <f aca="false">IF(AND('OCTUBRE 2026'!D109&lt;&gt;"",'OCTUBRE 2026'!Z109="POR RECOGER"),'OCTUBRE 2026'!N109,"")</f>
        <v/>
      </c>
      <c r="I1050" s="192" t="str">
        <f aca="false">IF(AND('OCTUBRE 2026'!D109&lt;&gt;"",'OCTUBRE 2026'!Z109="POR RECOGER"),'OCTUBRE 2026'!P109,"")</f>
        <v/>
      </c>
      <c r="J1050" s="192" t="str">
        <f aca="false">IF(AND('OCTUBRE 2026'!D109&lt;&gt;"",'OCTUBRE 2026'!Z109="POR RECOGER"),'OCTUBRE 2026'!Q109,"")</f>
        <v/>
      </c>
      <c r="K1050" s="192" t="str">
        <f aca="false">IF(AND('OCTUBRE 2026'!D109&lt;&gt;"",'OCTUBRE 2026'!Z109="POR RECOGER"),'OCTUBRE 2026'!Y109,"")</f>
        <v/>
      </c>
      <c r="L1050" s="192" t="str">
        <f aca="false">IF(AND('OCTUBRE 2026'!D109&lt;&gt;"",'OCTUBRE 2026'!Z109="POR RECOGER"),'OCTUBRE 2026'!I109,"")</f>
        <v/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customFormat="false" ht="15" hidden="false" customHeight="true" outlineLevel="0" collapsed="false">
      <c r="A1051" s="192" t="str">
        <f aca="false">IF(AND('OCTUBRE 2026'!D110&lt;&gt;"",'OCTUBRE 2026'!Z110="POR RECOGER"),"OCT","")</f>
        <v/>
      </c>
      <c r="B1051" s="192" t="str">
        <f aca="false">IF(AND('OCTUBRE 2026'!D110&lt;&gt;"",'OCTUBRE 2026'!Z110="POR RECOGER"),IF('OCTUBRE 2026'!Y110&lt;&gt;"",'OCTUBRE 2026'!Y110,'OCTUBRE 2026'!I110),"")</f>
        <v/>
      </c>
      <c r="C1051" s="192" t="str">
        <f aca="false">IF(AND('OCTUBRE 2026'!D110&lt;&gt;"",'OCTUBRE 2026'!Z110="POR RECOGER"),'OCTUBRE 2026'!D110,"")</f>
        <v/>
      </c>
      <c r="D1051" s="192" t="str">
        <f aca="false">IF(AND('OCTUBRE 2026'!D110&lt;&gt;"",'OCTUBRE 2026'!Z110="POR RECOGER"),'OCTUBRE 2026'!F110,"")</f>
        <v/>
      </c>
      <c r="E1051" s="192" t="str">
        <f aca="false">IF(AND('OCTUBRE 2026'!D110&lt;&gt;"",'OCTUBRE 2026'!Z110="POR RECOGER"),TEXT('OCTUBRE 2026'!G110,"DD/MM/YYYY"),"")</f>
        <v/>
      </c>
      <c r="F1051" s="192" t="str">
        <f aca="false">IF(AND('OCTUBRE 2026'!D110&lt;&gt;"",'OCTUBRE 2026'!Z110="POR RECOGER"),'OCTUBRE 2026'!K110,"")</f>
        <v/>
      </c>
      <c r="G1051" s="193" t="str">
        <f aca="false">IF(AND('OCTUBRE 2026'!D110&lt;&gt;"",'OCTUBRE 2026'!Z110="POR RECOGER"),'OCTUBRE 2026'!M110,"")</f>
        <v/>
      </c>
      <c r="H1051" s="193" t="str">
        <f aca="false">IF(AND('OCTUBRE 2026'!D110&lt;&gt;"",'OCTUBRE 2026'!Z110="POR RECOGER"),'OCTUBRE 2026'!N110,"")</f>
        <v/>
      </c>
      <c r="I1051" s="192" t="str">
        <f aca="false">IF(AND('OCTUBRE 2026'!D110&lt;&gt;"",'OCTUBRE 2026'!Z110="POR RECOGER"),'OCTUBRE 2026'!P110,"")</f>
        <v/>
      </c>
      <c r="J1051" s="192" t="str">
        <f aca="false">IF(AND('OCTUBRE 2026'!D110&lt;&gt;"",'OCTUBRE 2026'!Z110="POR RECOGER"),'OCTUBRE 2026'!Q110,"")</f>
        <v/>
      </c>
      <c r="K1051" s="192" t="str">
        <f aca="false">IF(AND('OCTUBRE 2026'!D110&lt;&gt;"",'OCTUBRE 2026'!Z110="POR RECOGER"),'OCTUBRE 2026'!Y110,"")</f>
        <v/>
      </c>
      <c r="L1051" s="192" t="str">
        <f aca="false">IF(AND('OCTUBRE 2026'!D110&lt;&gt;"",'OCTUBRE 2026'!Z110="POR RECOGER"),'OCTUBRE 2026'!I110,"")</f>
        <v/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customFormat="false" ht="15" hidden="false" customHeight="true" outlineLevel="0" collapsed="false">
      <c r="A1052" s="192" t="str">
        <f aca="false">IF(AND('NOVIEMBRE 2026'!D6&lt;&gt;"",'NOVIEMBRE 2026'!Z6="POR RECOGER"),"NOV","")</f>
        <v/>
      </c>
      <c r="B1052" s="192" t="str">
        <f aca="false">IF(AND('NOVIEMBRE 2026'!D6&lt;&gt;"",'NOVIEMBRE 2026'!Z6="POR RECOGER"),IF('NOVIEMBRE 2026'!Y6&lt;&gt;"",'NOVIEMBRE 2026'!Y6,'NOVIEMBRE 2026'!I6),"")</f>
        <v/>
      </c>
      <c r="C1052" s="192" t="str">
        <f aca="false">IF(AND('NOVIEMBRE 2026'!D6&lt;&gt;"",'NOVIEMBRE 2026'!Z6="POR RECOGER"),'NOVIEMBRE 2026'!D6,"")</f>
        <v/>
      </c>
      <c r="D1052" s="192" t="str">
        <f aca="false">IF(AND('NOVIEMBRE 2026'!D6&lt;&gt;"",'NOVIEMBRE 2026'!Z6="POR RECOGER"),'NOVIEMBRE 2026'!F6,"")</f>
        <v/>
      </c>
      <c r="E1052" s="192" t="str">
        <f aca="false">IF(AND('NOVIEMBRE 2026'!D6&lt;&gt;"",'NOVIEMBRE 2026'!Z6="POR RECOGER"),TEXT('NOVIEMBRE 2026'!G6,"DD/MM/YYYY"),"")</f>
        <v/>
      </c>
      <c r="F1052" s="192" t="str">
        <f aca="false">IF(AND('NOVIEMBRE 2026'!D6&lt;&gt;"",'NOVIEMBRE 2026'!Z6="POR RECOGER"),'NOVIEMBRE 2026'!K6,"")</f>
        <v/>
      </c>
      <c r="G1052" s="193" t="str">
        <f aca="false">IF(AND('NOVIEMBRE 2026'!D6&lt;&gt;"",'NOVIEMBRE 2026'!Z6="POR RECOGER"),'NOVIEMBRE 2026'!M6,"")</f>
        <v/>
      </c>
      <c r="H1052" s="193" t="str">
        <f aca="false">IF(AND('NOVIEMBRE 2026'!D6&lt;&gt;"",'NOVIEMBRE 2026'!Z6="POR RECOGER"),'NOVIEMBRE 2026'!N6,"")</f>
        <v/>
      </c>
      <c r="I1052" s="192" t="str">
        <f aca="false">IF(AND('NOVIEMBRE 2026'!D6&lt;&gt;"",'NOVIEMBRE 2026'!Z6="POR RECOGER"),'NOVIEMBRE 2026'!P6,"")</f>
        <v/>
      </c>
      <c r="J1052" s="192" t="str">
        <f aca="false">IF(AND('NOVIEMBRE 2026'!D6&lt;&gt;"",'NOVIEMBRE 2026'!Z6="POR RECOGER"),'NOVIEMBRE 2026'!Q6,"")</f>
        <v/>
      </c>
      <c r="K1052" s="192" t="str">
        <f aca="false">IF(AND('NOVIEMBRE 2026'!D6&lt;&gt;"",'NOVIEMBRE 2026'!Z6="POR RECOGER"),'NOVIEMBRE 2026'!Y6,"")</f>
        <v/>
      </c>
      <c r="L1052" s="192" t="str">
        <f aca="false">IF(AND('NOVIEMBRE 2026'!D6&lt;&gt;"",'NOVIEMBRE 2026'!Z6="POR RECOGER"),'NOVIEMBRE 2026'!I6,"")</f>
        <v/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customFormat="false" ht="15" hidden="false" customHeight="true" outlineLevel="0" collapsed="false">
      <c r="A1053" s="192" t="str">
        <f aca="false">IF(AND('NOVIEMBRE 2026'!D7&lt;&gt;"",'NOVIEMBRE 2026'!Z7="POR RECOGER"),"NOV","")</f>
        <v/>
      </c>
      <c r="B1053" s="192" t="str">
        <f aca="false">IF(AND('NOVIEMBRE 2026'!D7&lt;&gt;"",'NOVIEMBRE 2026'!Z7="POR RECOGER"),IF('NOVIEMBRE 2026'!Y7&lt;&gt;"",'NOVIEMBRE 2026'!Y7,'NOVIEMBRE 2026'!I7),"")</f>
        <v/>
      </c>
      <c r="C1053" s="192" t="str">
        <f aca="false">IF(AND('NOVIEMBRE 2026'!D7&lt;&gt;"",'NOVIEMBRE 2026'!Z7="POR RECOGER"),'NOVIEMBRE 2026'!D7,"")</f>
        <v/>
      </c>
      <c r="D1053" s="192" t="str">
        <f aca="false">IF(AND('NOVIEMBRE 2026'!D7&lt;&gt;"",'NOVIEMBRE 2026'!Z7="POR RECOGER"),'NOVIEMBRE 2026'!F7,"")</f>
        <v/>
      </c>
      <c r="E1053" s="192" t="str">
        <f aca="false">IF(AND('NOVIEMBRE 2026'!D7&lt;&gt;"",'NOVIEMBRE 2026'!Z7="POR RECOGER"),TEXT('NOVIEMBRE 2026'!G7,"DD/MM/YYYY"),"")</f>
        <v/>
      </c>
      <c r="F1053" s="192" t="str">
        <f aca="false">IF(AND('NOVIEMBRE 2026'!D7&lt;&gt;"",'NOVIEMBRE 2026'!Z7="POR RECOGER"),'NOVIEMBRE 2026'!K7,"")</f>
        <v/>
      </c>
      <c r="G1053" s="193" t="str">
        <f aca="false">IF(AND('NOVIEMBRE 2026'!D7&lt;&gt;"",'NOVIEMBRE 2026'!Z7="POR RECOGER"),'NOVIEMBRE 2026'!M7,"")</f>
        <v/>
      </c>
      <c r="H1053" s="193" t="str">
        <f aca="false">IF(AND('NOVIEMBRE 2026'!D7&lt;&gt;"",'NOVIEMBRE 2026'!Z7="POR RECOGER"),'NOVIEMBRE 2026'!N7,"")</f>
        <v/>
      </c>
      <c r="I1053" s="192" t="str">
        <f aca="false">IF(AND('NOVIEMBRE 2026'!D7&lt;&gt;"",'NOVIEMBRE 2026'!Z7="POR RECOGER"),'NOVIEMBRE 2026'!P7,"")</f>
        <v/>
      </c>
      <c r="J1053" s="192" t="str">
        <f aca="false">IF(AND('NOVIEMBRE 2026'!D7&lt;&gt;"",'NOVIEMBRE 2026'!Z7="POR RECOGER"),'NOVIEMBRE 2026'!Q7,"")</f>
        <v/>
      </c>
      <c r="K1053" s="192" t="str">
        <f aca="false">IF(AND('NOVIEMBRE 2026'!D7&lt;&gt;"",'NOVIEMBRE 2026'!Z7="POR RECOGER"),'NOVIEMBRE 2026'!Y7,"")</f>
        <v/>
      </c>
      <c r="L1053" s="192" t="str">
        <f aca="false">IF(AND('NOVIEMBRE 2026'!D7&lt;&gt;"",'NOVIEMBRE 2026'!Z7="POR RECOGER"),'NOVIEMBRE 2026'!I7,"")</f>
        <v/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customFormat="false" ht="15" hidden="false" customHeight="true" outlineLevel="0" collapsed="false">
      <c r="A1054" s="192" t="str">
        <f aca="false">IF(AND('NOVIEMBRE 2026'!D8&lt;&gt;"",'NOVIEMBRE 2026'!Z8="POR RECOGER"),"NOV","")</f>
        <v/>
      </c>
      <c r="B1054" s="192" t="str">
        <f aca="false">IF(AND('NOVIEMBRE 2026'!D8&lt;&gt;"",'NOVIEMBRE 2026'!Z8="POR RECOGER"),IF('NOVIEMBRE 2026'!Y8&lt;&gt;"",'NOVIEMBRE 2026'!Y8,'NOVIEMBRE 2026'!I8),"")</f>
        <v/>
      </c>
      <c r="C1054" s="192" t="str">
        <f aca="false">IF(AND('NOVIEMBRE 2026'!D8&lt;&gt;"",'NOVIEMBRE 2026'!Z8="POR RECOGER"),'NOVIEMBRE 2026'!D8,"")</f>
        <v/>
      </c>
      <c r="D1054" s="192" t="str">
        <f aca="false">IF(AND('NOVIEMBRE 2026'!D8&lt;&gt;"",'NOVIEMBRE 2026'!Z8="POR RECOGER"),'NOVIEMBRE 2026'!F8,"")</f>
        <v/>
      </c>
      <c r="E1054" s="192" t="str">
        <f aca="false">IF(AND('NOVIEMBRE 2026'!D8&lt;&gt;"",'NOVIEMBRE 2026'!Z8="POR RECOGER"),TEXT('NOVIEMBRE 2026'!G8,"DD/MM/YYYY"),"")</f>
        <v/>
      </c>
      <c r="F1054" s="192" t="str">
        <f aca="false">IF(AND('NOVIEMBRE 2026'!D8&lt;&gt;"",'NOVIEMBRE 2026'!Z8="POR RECOGER"),'NOVIEMBRE 2026'!K8,"")</f>
        <v/>
      </c>
      <c r="G1054" s="193" t="str">
        <f aca="false">IF(AND('NOVIEMBRE 2026'!D8&lt;&gt;"",'NOVIEMBRE 2026'!Z8="POR RECOGER"),'NOVIEMBRE 2026'!M8,"")</f>
        <v/>
      </c>
      <c r="H1054" s="193" t="str">
        <f aca="false">IF(AND('NOVIEMBRE 2026'!D8&lt;&gt;"",'NOVIEMBRE 2026'!Z8="POR RECOGER"),'NOVIEMBRE 2026'!N8,"")</f>
        <v/>
      </c>
      <c r="I1054" s="192" t="str">
        <f aca="false">IF(AND('NOVIEMBRE 2026'!D8&lt;&gt;"",'NOVIEMBRE 2026'!Z8="POR RECOGER"),'NOVIEMBRE 2026'!P8,"")</f>
        <v/>
      </c>
      <c r="J1054" s="192" t="str">
        <f aca="false">IF(AND('NOVIEMBRE 2026'!D8&lt;&gt;"",'NOVIEMBRE 2026'!Z8="POR RECOGER"),'NOVIEMBRE 2026'!Q8,"")</f>
        <v/>
      </c>
      <c r="K1054" s="192" t="str">
        <f aca="false">IF(AND('NOVIEMBRE 2026'!D8&lt;&gt;"",'NOVIEMBRE 2026'!Z8="POR RECOGER"),'NOVIEMBRE 2026'!Y8,"")</f>
        <v/>
      </c>
      <c r="L1054" s="192" t="str">
        <f aca="false">IF(AND('NOVIEMBRE 2026'!D8&lt;&gt;"",'NOVIEMBRE 2026'!Z8="POR RECOGER"),'NOVIEMBRE 2026'!I8,"")</f>
        <v/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customFormat="false" ht="15" hidden="false" customHeight="true" outlineLevel="0" collapsed="false">
      <c r="A1055" s="192" t="str">
        <f aca="false">IF(AND('NOVIEMBRE 2026'!D9&lt;&gt;"",'NOVIEMBRE 2026'!Z9="POR RECOGER"),"NOV","")</f>
        <v/>
      </c>
      <c r="B1055" s="192" t="str">
        <f aca="false">IF(AND('NOVIEMBRE 2026'!D9&lt;&gt;"",'NOVIEMBRE 2026'!Z9="POR RECOGER"),IF('NOVIEMBRE 2026'!Y9&lt;&gt;"",'NOVIEMBRE 2026'!Y9,'NOVIEMBRE 2026'!I9),"")</f>
        <v/>
      </c>
      <c r="C1055" s="192" t="str">
        <f aca="false">IF(AND('NOVIEMBRE 2026'!D9&lt;&gt;"",'NOVIEMBRE 2026'!Z9="POR RECOGER"),'NOVIEMBRE 2026'!D9,"")</f>
        <v/>
      </c>
      <c r="D1055" s="192" t="str">
        <f aca="false">IF(AND('NOVIEMBRE 2026'!D9&lt;&gt;"",'NOVIEMBRE 2026'!Z9="POR RECOGER"),'NOVIEMBRE 2026'!F9,"")</f>
        <v/>
      </c>
      <c r="E1055" s="192" t="str">
        <f aca="false">IF(AND('NOVIEMBRE 2026'!D9&lt;&gt;"",'NOVIEMBRE 2026'!Z9="POR RECOGER"),TEXT('NOVIEMBRE 2026'!G9,"DD/MM/YYYY"),"")</f>
        <v/>
      </c>
      <c r="F1055" s="192" t="str">
        <f aca="false">IF(AND('NOVIEMBRE 2026'!D9&lt;&gt;"",'NOVIEMBRE 2026'!Z9="POR RECOGER"),'NOVIEMBRE 2026'!K9,"")</f>
        <v/>
      </c>
      <c r="G1055" s="193" t="str">
        <f aca="false">IF(AND('NOVIEMBRE 2026'!D9&lt;&gt;"",'NOVIEMBRE 2026'!Z9="POR RECOGER"),'NOVIEMBRE 2026'!M9,"")</f>
        <v/>
      </c>
      <c r="H1055" s="193" t="str">
        <f aca="false">IF(AND('NOVIEMBRE 2026'!D9&lt;&gt;"",'NOVIEMBRE 2026'!Z9="POR RECOGER"),'NOVIEMBRE 2026'!N9,"")</f>
        <v/>
      </c>
      <c r="I1055" s="192" t="str">
        <f aca="false">IF(AND('NOVIEMBRE 2026'!D9&lt;&gt;"",'NOVIEMBRE 2026'!Z9="POR RECOGER"),'NOVIEMBRE 2026'!P9,"")</f>
        <v/>
      </c>
      <c r="J1055" s="192" t="str">
        <f aca="false">IF(AND('NOVIEMBRE 2026'!D9&lt;&gt;"",'NOVIEMBRE 2026'!Z9="POR RECOGER"),'NOVIEMBRE 2026'!Q9,"")</f>
        <v/>
      </c>
      <c r="K1055" s="192" t="str">
        <f aca="false">IF(AND('NOVIEMBRE 2026'!D9&lt;&gt;"",'NOVIEMBRE 2026'!Z9="POR RECOGER"),'NOVIEMBRE 2026'!Y9,"")</f>
        <v/>
      </c>
      <c r="L1055" s="192" t="str">
        <f aca="false">IF(AND('NOVIEMBRE 2026'!D9&lt;&gt;"",'NOVIEMBRE 2026'!Z9="POR RECOGER"),'NOVIEMBRE 2026'!I9,"")</f>
        <v/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customFormat="false" ht="15" hidden="false" customHeight="true" outlineLevel="0" collapsed="false">
      <c r="A1056" s="192" t="str">
        <f aca="false">IF(AND('NOVIEMBRE 2026'!D10&lt;&gt;"",'NOVIEMBRE 2026'!Z10="POR RECOGER"),"NOV","")</f>
        <v/>
      </c>
      <c r="B1056" s="192" t="str">
        <f aca="false">IF(AND('NOVIEMBRE 2026'!D10&lt;&gt;"",'NOVIEMBRE 2026'!Z10="POR RECOGER"),IF('NOVIEMBRE 2026'!Y10&lt;&gt;"",'NOVIEMBRE 2026'!Y10,'NOVIEMBRE 2026'!I10),"")</f>
        <v/>
      </c>
      <c r="C1056" s="192" t="str">
        <f aca="false">IF(AND('NOVIEMBRE 2026'!D10&lt;&gt;"",'NOVIEMBRE 2026'!Z10="POR RECOGER"),'NOVIEMBRE 2026'!D10,"")</f>
        <v/>
      </c>
      <c r="D1056" s="192" t="str">
        <f aca="false">IF(AND('NOVIEMBRE 2026'!D10&lt;&gt;"",'NOVIEMBRE 2026'!Z10="POR RECOGER"),'NOVIEMBRE 2026'!F10,"")</f>
        <v/>
      </c>
      <c r="E1056" s="192" t="str">
        <f aca="false">IF(AND('NOVIEMBRE 2026'!D10&lt;&gt;"",'NOVIEMBRE 2026'!Z10="POR RECOGER"),TEXT('NOVIEMBRE 2026'!G10,"DD/MM/YYYY"),"")</f>
        <v/>
      </c>
      <c r="F1056" s="192" t="str">
        <f aca="false">IF(AND('NOVIEMBRE 2026'!D10&lt;&gt;"",'NOVIEMBRE 2026'!Z10="POR RECOGER"),'NOVIEMBRE 2026'!K10,"")</f>
        <v/>
      </c>
      <c r="G1056" s="193" t="str">
        <f aca="false">IF(AND('NOVIEMBRE 2026'!D10&lt;&gt;"",'NOVIEMBRE 2026'!Z10="POR RECOGER"),'NOVIEMBRE 2026'!M10,"")</f>
        <v/>
      </c>
      <c r="H1056" s="193" t="str">
        <f aca="false">IF(AND('NOVIEMBRE 2026'!D10&lt;&gt;"",'NOVIEMBRE 2026'!Z10="POR RECOGER"),'NOVIEMBRE 2026'!N10,"")</f>
        <v/>
      </c>
      <c r="I1056" s="192" t="str">
        <f aca="false">IF(AND('NOVIEMBRE 2026'!D10&lt;&gt;"",'NOVIEMBRE 2026'!Z10="POR RECOGER"),'NOVIEMBRE 2026'!P10,"")</f>
        <v/>
      </c>
      <c r="J1056" s="192" t="str">
        <f aca="false">IF(AND('NOVIEMBRE 2026'!D10&lt;&gt;"",'NOVIEMBRE 2026'!Z10="POR RECOGER"),'NOVIEMBRE 2026'!Q10,"")</f>
        <v/>
      </c>
      <c r="K1056" s="192" t="str">
        <f aca="false">IF(AND('NOVIEMBRE 2026'!D10&lt;&gt;"",'NOVIEMBRE 2026'!Z10="POR RECOGER"),'NOVIEMBRE 2026'!Y10,"")</f>
        <v/>
      </c>
      <c r="L1056" s="192" t="str">
        <f aca="false">IF(AND('NOVIEMBRE 2026'!D10&lt;&gt;"",'NOVIEMBRE 2026'!Z10="POR RECOGER"),'NOVIEMBRE 2026'!I10,"")</f>
        <v/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customFormat="false" ht="15" hidden="false" customHeight="true" outlineLevel="0" collapsed="false">
      <c r="A1057" s="192" t="str">
        <f aca="false">IF(AND('NOVIEMBRE 2026'!D11&lt;&gt;"",'NOVIEMBRE 2026'!Z11="POR RECOGER"),"NOV","")</f>
        <v/>
      </c>
      <c r="B1057" s="192" t="str">
        <f aca="false">IF(AND('NOVIEMBRE 2026'!D11&lt;&gt;"",'NOVIEMBRE 2026'!Z11="POR RECOGER"),IF('NOVIEMBRE 2026'!Y11&lt;&gt;"",'NOVIEMBRE 2026'!Y11,'NOVIEMBRE 2026'!I11),"")</f>
        <v/>
      </c>
      <c r="C1057" s="192" t="str">
        <f aca="false">IF(AND('NOVIEMBRE 2026'!D11&lt;&gt;"",'NOVIEMBRE 2026'!Z11="POR RECOGER"),'NOVIEMBRE 2026'!D11,"")</f>
        <v/>
      </c>
      <c r="D1057" s="192" t="str">
        <f aca="false">IF(AND('NOVIEMBRE 2026'!D11&lt;&gt;"",'NOVIEMBRE 2026'!Z11="POR RECOGER"),'NOVIEMBRE 2026'!F11,"")</f>
        <v/>
      </c>
      <c r="E1057" s="192" t="str">
        <f aca="false">IF(AND('NOVIEMBRE 2026'!D11&lt;&gt;"",'NOVIEMBRE 2026'!Z11="POR RECOGER"),TEXT('NOVIEMBRE 2026'!G11,"DD/MM/YYYY"),"")</f>
        <v/>
      </c>
      <c r="F1057" s="192" t="str">
        <f aca="false">IF(AND('NOVIEMBRE 2026'!D11&lt;&gt;"",'NOVIEMBRE 2026'!Z11="POR RECOGER"),'NOVIEMBRE 2026'!K11,"")</f>
        <v/>
      </c>
      <c r="G1057" s="193" t="str">
        <f aca="false">IF(AND('NOVIEMBRE 2026'!D11&lt;&gt;"",'NOVIEMBRE 2026'!Z11="POR RECOGER"),'NOVIEMBRE 2026'!M11,"")</f>
        <v/>
      </c>
      <c r="H1057" s="193" t="str">
        <f aca="false">IF(AND('NOVIEMBRE 2026'!D11&lt;&gt;"",'NOVIEMBRE 2026'!Z11="POR RECOGER"),'NOVIEMBRE 2026'!N11,"")</f>
        <v/>
      </c>
      <c r="I1057" s="192" t="str">
        <f aca="false">IF(AND('NOVIEMBRE 2026'!D11&lt;&gt;"",'NOVIEMBRE 2026'!Z11="POR RECOGER"),'NOVIEMBRE 2026'!P11,"")</f>
        <v/>
      </c>
      <c r="J1057" s="192" t="str">
        <f aca="false">IF(AND('NOVIEMBRE 2026'!D11&lt;&gt;"",'NOVIEMBRE 2026'!Z11="POR RECOGER"),'NOVIEMBRE 2026'!Q11,"")</f>
        <v/>
      </c>
      <c r="K1057" s="192" t="str">
        <f aca="false">IF(AND('NOVIEMBRE 2026'!D11&lt;&gt;"",'NOVIEMBRE 2026'!Z11="POR RECOGER"),'NOVIEMBRE 2026'!Y11,"")</f>
        <v/>
      </c>
      <c r="L1057" s="192" t="str">
        <f aca="false">IF(AND('NOVIEMBRE 2026'!D11&lt;&gt;"",'NOVIEMBRE 2026'!Z11="POR RECOGER"),'NOVIEMBRE 2026'!I11,"")</f>
        <v/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customFormat="false" ht="15" hidden="false" customHeight="true" outlineLevel="0" collapsed="false">
      <c r="A1058" s="192" t="str">
        <f aca="false">IF(AND('NOVIEMBRE 2026'!D12&lt;&gt;"",'NOVIEMBRE 2026'!Z12="POR RECOGER"),"NOV","")</f>
        <v/>
      </c>
      <c r="B1058" s="192" t="str">
        <f aca="false">IF(AND('NOVIEMBRE 2026'!D12&lt;&gt;"",'NOVIEMBRE 2026'!Z12="POR RECOGER"),IF('NOVIEMBRE 2026'!Y12&lt;&gt;"",'NOVIEMBRE 2026'!Y12,'NOVIEMBRE 2026'!I12),"")</f>
        <v/>
      </c>
      <c r="C1058" s="192" t="str">
        <f aca="false">IF(AND('NOVIEMBRE 2026'!D12&lt;&gt;"",'NOVIEMBRE 2026'!Z12="POR RECOGER"),'NOVIEMBRE 2026'!D12,"")</f>
        <v/>
      </c>
      <c r="D1058" s="192" t="str">
        <f aca="false">IF(AND('NOVIEMBRE 2026'!D12&lt;&gt;"",'NOVIEMBRE 2026'!Z12="POR RECOGER"),'NOVIEMBRE 2026'!F12,"")</f>
        <v/>
      </c>
      <c r="E1058" s="192" t="str">
        <f aca="false">IF(AND('NOVIEMBRE 2026'!D12&lt;&gt;"",'NOVIEMBRE 2026'!Z12="POR RECOGER"),TEXT('NOVIEMBRE 2026'!G12,"DD/MM/YYYY"),"")</f>
        <v/>
      </c>
      <c r="F1058" s="192" t="str">
        <f aca="false">IF(AND('NOVIEMBRE 2026'!D12&lt;&gt;"",'NOVIEMBRE 2026'!Z12="POR RECOGER"),'NOVIEMBRE 2026'!K12,"")</f>
        <v/>
      </c>
      <c r="G1058" s="193" t="str">
        <f aca="false">IF(AND('NOVIEMBRE 2026'!D12&lt;&gt;"",'NOVIEMBRE 2026'!Z12="POR RECOGER"),'NOVIEMBRE 2026'!M12,"")</f>
        <v/>
      </c>
      <c r="H1058" s="193" t="str">
        <f aca="false">IF(AND('NOVIEMBRE 2026'!D12&lt;&gt;"",'NOVIEMBRE 2026'!Z12="POR RECOGER"),'NOVIEMBRE 2026'!N12,"")</f>
        <v/>
      </c>
      <c r="I1058" s="192" t="str">
        <f aca="false">IF(AND('NOVIEMBRE 2026'!D12&lt;&gt;"",'NOVIEMBRE 2026'!Z12="POR RECOGER"),'NOVIEMBRE 2026'!P12,"")</f>
        <v/>
      </c>
      <c r="J1058" s="192" t="str">
        <f aca="false">IF(AND('NOVIEMBRE 2026'!D12&lt;&gt;"",'NOVIEMBRE 2026'!Z12="POR RECOGER"),'NOVIEMBRE 2026'!Q12,"")</f>
        <v/>
      </c>
      <c r="K1058" s="192" t="str">
        <f aca="false">IF(AND('NOVIEMBRE 2026'!D12&lt;&gt;"",'NOVIEMBRE 2026'!Z12="POR RECOGER"),'NOVIEMBRE 2026'!Y12,"")</f>
        <v/>
      </c>
      <c r="L1058" s="192" t="str">
        <f aca="false">IF(AND('NOVIEMBRE 2026'!D12&lt;&gt;"",'NOVIEMBRE 2026'!Z12="POR RECOGER"),'NOVIEMBRE 2026'!I12,"")</f>
        <v/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customFormat="false" ht="15" hidden="false" customHeight="true" outlineLevel="0" collapsed="false">
      <c r="A1059" s="192" t="str">
        <f aca="false">IF(AND('NOVIEMBRE 2026'!D13&lt;&gt;"",'NOVIEMBRE 2026'!Z13="POR RECOGER"),"NOV","")</f>
        <v/>
      </c>
      <c r="B1059" s="192" t="str">
        <f aca="false">IF(AND('NOVIEMBRE 2026'!D13&lt;&gt;"",'NOVIEMBRE 2026'!Z13="POR RECOGER"),IF('NOVIEMBRE 2026'!Y13&lt;&gt;"",'NOVIEMBRE 2026'!Y13,'NOVIEMBRE 2026'!I13),"")</f>
        <v/>
      </c>
      <c r="C1059" s="192" t="str">
        <f aca="false">IF(AND('NOVIEMBRE 2026'!D13&lt;&gt;"",'NOVIEMBRE 2026'!Z13="POR RECOGER"),'NOVIEMBRE 2026'!D13,"")</f>
        <v/>
      </c>
      <c r="D1059" s="192" t="str">
        <f aca="false">IF(AND('NOVIEMBRE 2026'!D13&lt;&gt;"",'NOVIEMBRE 2026'!Z13="POR RECOGER"),'NOVIEMBRE 2026'!F13,"")</f>
        <v/>
      </c>
      <c r="E1059" s="192" t="str">
        <f aca="false">IF(AND('NOVIEMBRE 2026'!D13&lt;&gt;"",'NOVIEMBRE 2026'!Z13="POR RECOGER"),TEXT('NOVIEMBRE 2026'!G13,"DD/MM/YYYY"),"")</f>
        <v/>
      </c>
      <c r="F1059" s="192" t="str">
        <f aca="false">IF(AND('NOVIEMBRE 2026'!D13&lt;&gt;"",'NOVIEMBRE 2026'!Z13="POR RECOGER"),'NOVIEMBRE 2026'!K13,"")</f>
        <v/>
      </c>
      <c r="G1059" s="193" t="str">
        <f aca="false">IF(AND('NOVIEMBRE 2026'!D13&lt;&gt;"",'NOVIEMBRE 2026'!Z13="POR RECOGER"),'NOVIEMBRE 2026'!M13,"")</f>
        <v/>
      </c>
      <c r="H1059" s="193" t="str">
        <f aca="false">IF(AND('NOVIEMBRE 2026'!D13&lt;&gt;"",'NOVIEMBRE 2026'!Z13="POR RECOGER"),'NOVIEMBRE 2026'!N13,"")</f>
        <v/>
      </c>
      <c r="I1059" s="192" t="str">
        <f aca="false">IF(AND('NOVIEMBRE 2026'!D13&lt;&gt;"",'NOVIEMBRE 2026'!Z13="POR RECOGER"),'NOVIEMBRE 2026'!P13,"")</f>
        <v/>
      </c>
      <c r="J1059" s="192" t="str">
        <f aca="false">IF(AND('NOVIEMBRE 2026'!D13&lt;&gt;"",'NOVIEMBRE 2026'!Z13="POR RECOGER"),'NOVIEMBRE 2026'!Q13,"")</f>
        <v/>
      </c>
      <c r="K1059" s="192" t="str">
        <f aca="false">IF(AND('NOVIEMBRE 2026'!D13&lt;&gt;"",'NOVIEMBRE 2026'!Z13="POR RECOGER"),'NOVIEMBRE 2026'!Y13,"")</f>
        <v/>
      </c>
      <c r="L1059" s="192" t="str">
        <f aca="false">IF(AND('NOVIEMBRE 2026'!D13&lt;&gt;"",'NOVIEMBRE 2026'!Z13="POR RECOGER"),'NOVIEMBRE 2026'!I13,"")</f>
        <v/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customFormat="false" ht="15" hidden="false" customHeight="true" outlineLevel="0" collapsed="false">
      <c r="A1060" s="192" t="str">
        <f aca="false">IF(AND('NOVIEMBRE 2026'!D14&lt;&gt;"",'NOVIEMBRE 2026'!Z14="POR RECOGER"),"NOV","")</f>
        <v/>
      </c>
      <c r="B1060" s="192" t="str">
        <f aca="false">IF(AND('NOVIEMBRE 2026'!D14&lt;&gt;"",'NOVIEMBRE 2026'!Z14="POR RECOGER"),IF('NOVIEMBRE 2026'!Y14&lt;&gt;"",'NOVIEMBRE 2026'!Y14,'NOVIEMBRE 2026'!I14),"")</f>
        <v/>
      </c>
      <c r="C1060" s="192" t="str">
        <f aca="false">IF(AND('NOVIEMBRE 2026'!D14&lt;&gt;"",'NOVIEMBRE 2026'!Z14="POR RECOGER"),'NOVIEMBRE 2026'!D14,"")</f>
        <v/>
      </c>
      <c r="D1060" s="192" t="str">
        <f aca="false">IF(AND('NOVIEMBRE 2026'!D14&lt;&gt;"",'NOVIEMBRE 2026'!Z14="POR RECOGER"),'NOVIEMBRE 2026'!F14,"")</f>
        <v/>
      </c>
      <c r="E1060" s="192" t="str">
        <f aca="false">IF(AND('NOVIEMBRE 2026'!D14&lt;&gt;"",'NOVIEMBRE 2026'!Z14="POR RECOGER"),TEXT('NOVIEMBRE 2026'!G14,"DD/MM/YYYY"),"")</f>
        <v/>
      </c>
      <c r="F1060" s="192" t="str">
        <f aca="false">IF(AND('NOVIEMBRE 2026'!D14&lt;&gt;"",'NOVIEMBRE 2026'!Z14="POR RECOGER"),'NOVIEMBRE 2026'!K14,"")</f>
        <v/>
      </c>
      <c r="G1060" s="193" t="str">
        <f aca="false">IF(AND('NOVIEMBRE 2026'!D14&lt;&gt;"",'NOVIEMBRE 2026'!Z14="POR RECOGER"),'NOVIEMBRE 2026'!M14,"")</f>
        <v/>
      </c>
      <c r="H1060" s="193" t="str">
        <f aca="false">IF(AND('NOVIEMBRE 2026'!D14&lt;&gt;"",'NOVIEMBRE 2026'!Z14="POR RECOGER"),'NOVIEMBRE 2026'!N14,"")</f>
        <v/>
      </c>
      <c r="I1060" s="192" t="str">
        <f aca="false">IF(AND('NOVIEMBRE 2026'!D14&lt;&gt;"",'NOVIEMBRE 2026'!Z14="POR RECOGER"),'NOVIEMBRE 2026'!P14,"")</f>
        <v/>
      </c>
      <c r="J1060" s="192" t="str">
        <f aca="false">IF(AND('NOVIEMBRE 2026'!D14&lt;&gt;"",'NOVIEMBRE 2026'!Z14="POR RECOGER"),'NOVIEMBRE 2026'!Q14,"")</f>
        <v/>
      </c>
      <c r="K1060" s="192" t="str">
        <f aca="false">IF(AND('NOVIEMBRE 2026'!D14&lt;&gt;"",'NOVIEMBRE 2026'!Z14="POR RECOGER"),'NOVIEMBRE 2026'!Y14,"")</f>
        <v/>
      </c>
      <c r="L1060" s="192" t="str">
        <f aca="false">IF(AND('NOVIEMBRE 2026'!D14&lt;&gt;"",'NOVIEMBRE 2026'!Z14="POR RECOGER"),'NOVIEMBRE 2026'!I14,"")</f>
        <v/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customFormat="false" ht="15" hidden="false" customHeight="true" outlineLevel="0" collapsed="false">
      <c r="A1061" s="192" t="str">
        <f aca="false">IF(AND('NOVIEMBRE 2026'!D15&lt;&gt;"",'NOVIEMBRE 2026'!Z15="POR RECOGER"),"NOV","")</f>
        <v/>
      </c>
      <c r="B1061" s="192" t="str">
        <f aca="false">IF(AND('NOVIEMBRE 2026'!D15&lt;&gt;"",'NOVIEMBRE 2026'!Z15="POR RECOGER"),IF('NOVIEMBRE 2026'!Y15&lt;&gt;"",'NOVIEMBRE 2026'!Y15,'NOVIEMBRE 2026'!I15),"")</f>
        <v/>
      </c>
      <c r="C1061" s="192" t="str">
        <f aca="false">IF(AND('NOVIEMBRE 2026'!D15&lt;&gt;"",'NOVIEMBRE 2026'!Z15="POR RECOGER"),'NOVIEMBRE 2026'!D15,"")</f>
        <v/>
      </c>
      <c r="D1061" s="192" t="str">
        <f aca="false">IF(AND('NOVIEMBRE 2026'!D15&lt;&gt;"",'NOVIEMBRE 2026'!Z15="POR RECOGER"),'NOVIEMBRE 2026'!F15,"")</f>
        <v/>
      </c>
      <c r="E1061" s="192" t="str">
        <f aca="false">IF(AND('NOVIEMBRE 2026'!D15&lt;&gt;"",'NOVIEMBRE 2026'!Z15="POR RECOGER"),TEXT('NOVIEMBRE 2026'!G15,"DD/MM/YYYY"),"")</f>
        <v/>
      </c>
      <c r="F1061" s="192" t="str">
        <f aca="false">IF(AND('NOVIEMBRE 2026'!D15&lt;&gt;"",'NOVIEMBRE 2026'!Z15="POR RECOGER"),'NOVIEMBRE 2026'!K15,"")</f>
        <v/>
      </c>
      <c r="G1061" s="193" t="str">
        <f aca="false">IF(AND('NOVIEMBRE 2026'!D15&lt;&gt;"",'NOVIEMBRE 2026'!Z15="POR RECOGER"),'NOVIEMBRE 2026'!M15,"")</f>
        <v/>
      </c>
      <c r="H1061" s="193" t="str">
        <f aca="false">IF(AND('NOVIEMBRE 2026'!D15&lt;&gt;"",'NOVIEMBRE 2026'!Z15="POR RECOGER"),'NOVIEMBRE 2026'!N15,"")</f>
        <v/>
      </c>
      <c r="I1061" s="192" t="str">
        <f aca="false">IF(AND('NOVIEMBRE 2026'!D15&lt;&gt;"",'NOVIEMBRE 2026'!Z15="POR RECOGER"),'NOVIEMBRE 2026'!P15,"")</f>
        <v/>
      </c>
      <c r="J1061" s="192" t="str">
        <f aca="false">IF(AND('NOVIEMBRE 2026'!D15&lt;&gt;"",'NOVIEMBRE 2026'!Z15="POR RECOGER"),'NOVIEMBRE 2026'!Q15,"")</f>
        <v/>
      </c>
      <c r="K1061" s="192" t="str">
        <f aca="false">IF(AND('NOVIEMBRE 2026'!D15&lt;&gt;"",'NOVIEMBRE 2026'!Z15="POR RECOGER"),'NOVIEMBRE 2026'!Y15,"")</f>
        <v/>
      </c>
      <c r="L1061" s="192" t="str">
        <f aca="false">IF(AND('NOVIEMBRE 2026'!D15&lt;&gt;"",'NOVIEMBRE 2026'!Z15="POR RECOGER"),'NOVIEMBRE 2026'!I15,"")</f>
        <v/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customFormat="false" ht="15" hidden="false" customHeight="true" outlineLevel="0" collapsed="false">
      <c r="A1062" s="192" t="str">
        <f aca="false">IF(AND('NOVIEMBRE 2026'!D16&lt;&gt;"",'NOVIEMBRE 2026'!Z16="POR RECOGER"),"NOV","")</f>
        <v/>
      </c>
      <c r="B1062" s="192" t="str">
        <f aca="false">IF(AND('NOVIEMBRE 2026'!D16&lt;&gt;"",'NOVIEMBRE 2026'!Z16="POR RECOGER"),IF('NOVIEMBRE 2026'!Y16&lt;&gt;"",'NOVIEMBRE 2026'!Y16,'NOVIEMBRE 2026'!I16),"")</f>
        <v/>
      </c>
      <c r="C1062" s="192" t="str">
        <f aca="false">IF(AND('NOVIEMBRE 2026'!D16&lt;&gt;"",'NOVIEMBRE 2026'!Z16="POR RECOGER"),'NOVIEMBRE 2026'!D16,"")</f>
        <v/>
      </c>
      <c r="D1062" s="192" t="str">
        <f aca="false">IF(AND('NOVIEMBRE 2026'!D16&lt;&gt;"",'NOVIEMBRE 2026'!Z16="POR RECOGER"),'NOVIEMBRE 2026'!F16,"")</f>
        <v/>
      </c>
      <c r="E1062" s="192" t="str">
        <f aca="false">IF(AND('NOVIEMBRE 2026'!D16&lt;&gt;"",'NOVIEMBRE 2026'!Z16="POR RECOGER"),TEXT('NOVIEMBRE 2026'!G16,"DD/MM/YYYY"),"")</f>
        <v/>
      </c>
      <c r="F1062" s="192" t="str">
        <f aca="false">IF(AND('NOVIEMBRE 2026'!D16&lt;&gt;"",'NOVIEMBRE 2026'!Z16="POR RECOGER"),'NOVIEMBRE 2026'!K16,"")</f>
        <v/>
      </c>
      <c r="G1062" s="193" t="str">
        <f aca="false">IF(AND('NOVIEMBRE 2026'!D16&lt;&gt;"",'NOVIEMBRE 2026'!Z16="POR RECOGER"),'NOVIEMBRE 2026'!M16,"")</f>
        <v/>
      </c>
      <c r="H1062" s="193" t="str">
        <f aca="false">IF(AND('NOVIEMBRE 2026'!D16&lt;&gt;"",'NOVIEMBRE 2026'!Z16="POR RECOGER"),'NOVIEMBRE 2026'!N16,"")</f>
        <v/>
      </c>
      <c r="I1062" s="192" t="str">
        <f aca="false">IF(AND('NOVIEMBRE 2026'!D16&lt;&gt;"",'NOVIEMBRE 2026'!Z16="POR RECOGER"),'NOVIEMBRE 2026'!P16,"")</f>
        <v/>
      </c>
      <c r="J1062" s="192" t="str">
        <f aca="false">IF(AND('NOVIEMBRE 2026'!D16&lt;&gt;"",'NOVIEMBRE 2026'!Z16="POR RECOGER"),'NOVIEMBRE 2026'!Q16,"")</f>
        <v/>
      </c>
      <c r="K1062" s="192" t="str">
        <f aca="false">IF(AND('NOVIEMBRE 2026'!D16&lt;&gt;"",'NOVIEMBRE 2026'!Z16="POR RECOGER"),'NOVIEMBRE 2026'!Y16,"")</f>
        <v/>
      </c>
      <c r="L1062" s="192" t="str">
        <f aca="false">IF(AND('NOVIEMBRE 2026'!D16&lt;&gt;"",'NOVIEMBRE 2026'!Z16="POR RECOGER"),'NOVIEMBRE 2026'!I16,"")</f>
        <v/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customFormat="false" ht="15" hidden="false" customHeight="true" outlineLevel="0" collapsed="false">
      <c r="A1063" s="192" t="str">
        <f aca="false">IF(AND('NOVIEMBRE 2026'!D17&lt;&gt;"",'NOVIEMBRE 2026'!Z17="POR RECOGER"),"NOV","")</f>
        <v/>
      </c>
      <c r="B1063" s="192" t="str">
        <f aca="false">IF(AND('NOVIEMBRE 2026'!D17&lt;&gt;"",'NOVIEMBRE 2026'!Z17="POR RECOGER"),IF('NOVIEMBRE 2026'!Y17&lt;&gt;"",'NOVIEMBRE 2026'!Y17,'NOVIEMBRE 2026'!I17),"")</f>
        <v/>
      </c>
      <c r="C1063" s="192" t="str">
        <f aca="false">IF(AND('NOVIEMBRE 2026'!D17&lt;&gt;"",'NOVIEMBRE 2026'!Z17="POR RECOGER"),'NOVIEMBRE 2026'!D17,"")</f>
        <v/>
      </c>
      <c r="D1063" s="192" t="str">
        <f aca="false">IF(AND('NOVIEMBRE 2026'!D17&lt;&gt;"",'NOVIEMBRE 2026'!Z17="POR RECOGER"),'NOVIEMBRE 2026'!F17,"")</f>
        <v/>
      </c>
      <c r="E1063" s="192" t="str">
        <f aca="false">IF(AND('NOVIEMBRE 2026'!D17&lt;&gt;"",'NOVIEMBRE 2026'!Z17="POR RECOGER"),TEXT('NOVIEMBRE 2026'!G17,"DD/MM/YYYY"),"")</f>
        <v/>
      </c>
      <c r="F1063" s="192" t="str">
        <f aca="false">IF(AND('NOVIEMBRE 2026'!D17&lt;&gt;"",'NOVIEMBRE 2026'!Z17="POR RECOGER"),'NOVIEMBRE 2026'!K17,"")</f>
        <v/>
      </c>
      <c r="G1063" s="193" t="str">
        <f aca="false">IF(AND('NOVIEMBRE 2026'!D17&lt;&gt;"",'NOVIEMBRE 2026'!Z17="POR RECOGER"),'NOVIEMBRE 2026'!M17,"")</f>
        <v/>
      </c>
      <c r="H1063" s="193" t="str">
        <f aca="false">IF(AND('NOVIEMBRE 2026'!D17&lt;&gt;"",'NOVIEMBRE 2026'!Z17="POR RECOGER"),'NOVIEMBRE 2026'!N17,"")</f>
        <v/>
      </c>
      <c r="I1063" s="192" t="str">
        <f aca="false">IF(AND('NOVIEMBRE 2026'!D17&lt;&gt;"",'NOVIEMBRE 2026'!Z17="POR RECOGER"),'NOVIEMBRE 2026'!P17,"")</f>
        <v/>
      </c>
      <c r="J1063" s="192" t="str">
        <f aca="false">IF(AND('NOVIEMBRE 2026'!D17&lt;&gt;"",'NOVIEMBRE 2026'!Z17="POR RECOGER"),'NOVIEMBRE 2026'!Q17,"")</f>
        <v/>
      </c>
      <c r="K1063" s="192" t="str">
        <f aca="false">IF(AND('NOVIEMBRE 2026'!D17&lt;&gt;"",'NOVIEMBRE 2026'!Z17="POR RECOGER"),'NOVIEMBRE 2026'!Y17,"")</f>
        <v/>
      </c>
      <c r="L1063" s="192" t="str">
        <f aca="false">IF(AND('NOVIEMBRE 2026'!D17&lt;&gt;"",'NOVIEMBRE 2026'!Z17="POR RECOGER"),'NOVIEMBRE 2026'!I17,"")</f>
        <v/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customFormat="false" ht="15" hidden="false" customHeight="true" outlineLevel="0" collapsed="false">
      <c r="A1064" s="192" t="str">
        <f aca="false">IF(AND('NOVIEMBRE 2026'!D18&lt;&gt;"",'NOVIEMBRE 2026'!Z18="POR RECOGER"),"NOV","")</f>
        <v/>
      </c>
      <c r="B1064" s="192" t="str">
        <f aca="false">IF(AND('NOVIEMBRE 2026'!D18&lt;&gt;"",'NOVIEMBRE 2026'!Z18="POR RECOGER"),IF('NOVIEMBRE 2026'!Y18&lt;&gt;"",'NOVIEMBRE 2026'!Y18,'NOVIEMBRE 2026'!I18),"")</f>
        <v/>
      </c>
      <c r="C1064" s="192" t="str">
        <f aca="false">IF(AND('NOVIEMBRE 2026'!D18&lt;&gt;"",'NOVIEMBRE 2026'!Z18="POR RECOGER"),'NOVIEMBRE 2026'!D18,"")</f>
        <v/>
      </c>
      <c r="D1064" s="192" t="str">
        <f aca="false">IF(AND('NOVIEMBRE 2026'!D18&lt;&gt;"",'NOVIEMBRE 2026'!Z18="POR RECOGER"),'NOVIEMBRE 2026'!F18,"")</f>
        <v/>
      </c>
      <c r="E1064" s="192" t="str">
        <f aca="false">IF(AND('NOVIEMBRE 2026'!D18&lt;&gt;"",'NOVIEMBRE 2026'!Z18="POR RECOGER"),TEXT('NOVIEMBRE 2026'!G18,"DD/MM/YYYY"),"")</f>
        <v/>
      </c>
      <c r="F1064" s="192" t="str">
        <f aca="false">IF(AND('NOVIEMBRE 2026'!D18&lt;&gt;"",'NOVIEMBRE 2026'!Z18="POR RECOGER"),'NOVIEMBRE 2026'!K18,"")</f>
        <v/>
      </c>
      <c r="G1064" s="193" t="str">
        <f aca="false">IF(AND('NOVIEMBRE 2026'!D18&lt;&gt;"",'NOVIEMBRE 2026'!Z18="POR RECOGER"),'NOVIEMBRE 2026'!M18,"")</f>
        <v/>
      </c>
      <c r="H1064" s="193" t="str">
        <f aca="false">IF(AND('NOVIEMBRE 2026'!D18&lt;&gt;"",'NOVIEMBRE 2026'!Z18="POR RECOGER"),'NOVIEMBRE 2026'!N18,"")</f>
        <v/>
      </c>
      <c r="I1064" s="192" t="str">
        <f aca="false">IF(AND('NOVIEMBRE 2026'!D18&lt;&gt;"",'NOVIEMBRE 2026'!Z18="POR RECOGER"),'NOVIEMBRE 2026'!P18,"")</f>
        <v/>
      </c>
      <c r="J1064" s="192" t="str">
        <f aca="false">IF(AND('NOVIEMBRE 2026'!D18&lt;&gt;"",'NOVIEMBRE 2026'!Z18="POR RECOGER"),'NOVIEMBRE 2026'!Q18,"")</f>
        <v/>
      </c>
      <c r="K1064" s="192" t="str">
        <f aca="false">IF(AND('NOVIEMBRE 2026'!D18&lt;&gt;"",'NOVIEMBRE 2026'!Z18="POR RECOGER"),'NOVIEMBRE 2026'!Y18,"")</f>
        <v/>
      </c>
      <c r="L1064" s="192" t="str">
        <f aca="false">IF(AND('NOVIEMBRE 2026'!D18&lt;&gt;"",'NOVIEMBRE 2026'!Z18="POR RECOGER"),'NOVIEMBRE 2026'!I18,"")</f>
        <v/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customFormat="false" ht="15" hidden="false" customHeight="true" outlineLevel="0" collapsed="false">
      <c r="A1065" s="192" t="str">
        <f aca="false">IF(AND('NOVIEMBRE 2026'!D19&lt;&gt;"",'NOVIEMBRE 2026'!Z19="POR RECOGER"),"NOV","")</f>
        <v/>
      </c>
      <c r="B1065" s="192" t="str">
        <f aca="false">IF(AND('NOVIEMBRE 2026'!D19&lt;&gt;"",'NOVIEMBRE 2026'!Z19="POR RECOGER"),IF('NOVIEMBRE 2026'!Y19&lt;&gt;"",'NOVIEMBRE 2026'!Y19,'NOVIEMBRE 2026'!I19),"")</f>
        <v/>
      </c>
      <c r="C1065" s="192" t="str">
        <f aca="false">IF(AND('NOVIEMBRE 2026'!D19&lt;&gt;"",'NOVIEMBRE 2026'!Z19="POR RECOGER"),'NOVIEMBRE 2026'!D19,"")</f>
        <v/>
      </c>
      <c r="D1065" s="192" t="str">
        <f aca="false">IF(AND('NOVIEMBRE 2026'!D19&lt;&gt;"",'NOVIEMBRE 2026'!Z19="POR RECOGER"),'NOVIEMBRE 2026'!F19,"")</f>
        <v/>
      </c>
      <c r="E1065" s="192" t="str">
        <f aca="false">IF(AND('NOVIEMBRE 2026'!D19&lt;&gt;"",'NOVIEMBRE 2026'!Z19="POR RECOGER"),TEXT('NOVIEMBRE 2026'!G19,"DD/MM/YYYY"),"")</f>
        <v/>
      </c>
      <c r="F1065" s="192" t="str">
        <f aca="false">IF(AND('NOVIEMBRE 2026'!D19&lt;&gt;"",'NOVIEMBRE 2026'!Z19="POR RECOGER"),'NOVIEMBRE 2026'!K19,"")</f>
        <v/>
      </c>
      <c r="G1065" s="193" t="str">
        <f aca="false">IF(AND('NOVIEMBRE 2026'!D19&lt;&gt;"",'NOVIEMBRE 2026'!Z19="POR RECOGER"),'NOVIEMBRE 2026'!M19,"")</f>
        <v/>
      </c>
      <c r="H1065" s="193" t="str">
        <f aca="false">IF(AND('NOVIEMBRE 2026'!D19&lt;&gt;"",'NOVIEMBRE 2026'!Z19="POR RECOGER"),'NOVIEMBRE 2026'!N19,"")</f>
        <v/>
      </c>
      <c r="I1065" s="192" t="str">
        <f aca="false">IF(AND('NOVIEMBRE 2026'!D19&lt;&gt;"",'NOVIEMBRE 2026'!Z19="POR RECOGER"),'NOVIEMBRE 2026'!P19,"")</f>
        <v/>
      </c>
      <c r="J1065" s="192" t="str">
        <f aca="false">IF(AND('NOVIEMBRE 2026'!D19&lt;&gt;"",'NOVIEMBRE 2026'!Z19="POR RECOGER"),'NOVIEMBRE 2026'!Q19,"")</f>
        <v/>
      </c>
      <c r="K1065" s="192" t="str">
        <f aca="false">IF(AND('NOVIEMBRE 2026'!D19&lt;&gt;"",'NOVIEMBRE 2026'!Z19="POR RECOGER"),'NOVIEMBRE 2026'!Y19,"")</f>
        <v/>
      </c>
      <c r="L1065" s="192" t="str">
        <f aca="false">IF(AND('NOVIEMBRE 2026'!D19&lt;&gt;"",'NOVIEMBRE 2026'!Z19="POR RECOGER"),'NOVIEMBRE 2026'!I19,"")</f>
        <v/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customFormat="false" ht="15" hidden="false" customHeight="true" outlineLevel="0" collapsed="false">
      <c r="A1066" s="192" t="str">
        <f aca="false">IF(AND('NOVIEMBRE 2026'!D20&lt;&gt;"",'NOVIEMBRE 2026'!Z20="POR RECOGER"),"NOV","")</f>
        <v/>
      </c>
      <c r="B1066" s="192" t="str">
        <f aca="false">IF(AND('NOVIEMBRE 2026'!D20&lt;&gt;"",'NOVIEMBRE 2026'!Z20="POR RECOGER"),IF('NOVIEMBRE 2026'!Y20&lt;&gt;"",'NOVIEMBRE 2026'!Y20,'NOVIEMBRE 2026'!I20),"")</f>
        <v/>
      </c>
      <c r="C1066" s="192" t="str">
        <f aca="false">IF(AND('NOVIEMBRE 2026'!D20&lt;&gt;"",'NOVIEMBRE 2026'!Z20="POR RECOGER"),'NOVIEMBRE 2026'!D20,"")</f>
        <v/>
      </c>
      <c r="D1066" s="192" t="str">
        <f aca="false">IF(AND('NOVIEMBRE 2026'!D20&lt;&gt;"",'NOVIEMBRE 2026'!Z20="POR RECOGER"),'NOVIEMBRE 2026'!F20,"")</f>
        <v/>
      </c>
      <c r="E1066" s="192" t="str">
        <f aca="false">IF(AND('NOVIEMBRE 2026'!D20&lt;&gt;"",'NOVIEMBRE 2026'!Z20="POR RECOGER"),TEXT('NOVIEMBRE 2026'!G20,"DD/MM/YYYY"),"")</f>
        <v/>
      </c>
      <c r="F1066" s="192" t="str">
        <f aca="false">IF(AND('NOVIEMBRE 2026'!D20&lt;&gt;"",'NOVIEMBRE 2026'!Z20="POR RECOGER"),'NOVIEMBRE 2026'!K20,"")</f>
        <v/>
      </c>
      <c r="G1066" s="193" t="str">
        <f aca="false">IF(AND('NOVIEMBRE 2026'!D20&lt;&gt;"",'NOVIEMBRE 2026'!Z20="POR RECOGER"),'NOVIEMBRE 2026'!M20,"")</f>
        <v/>
      </c>
      <c r="H1066" s="193" t="str">
        <f aca="false">IF(AND('NOVIEMBRE 2026'!D20&lt;&gt;"",'NOVIEMBRE 2026'!Z20="POR RECOGER"),'NOVIEMBRE 2026'!N20,"")</f>
        <v/>
      </c>
      <c r="I1066" s="192" t="str">
        <f aca="false">IF(AND('NOVIEMBRE 2026'!D20&lt;&gt;"",'NOVIEMBRE 2026'!Z20="POR RECOGER"),'NOVIEMBRE 2026'!P20,"")</f>
        <v/>
      </c>
      <c r="J1066" s="192" t="str">
        <f aca="false">IF(AND('NOVIEMBRE 2026'!D20&lt;&gt;"",'NOVIEMBRE 2026'!Z20="POR RECOGER"),'NOVIEMBRE 2026'!Q20,"")</f>
        <v/>
      </c>
      <c r="K1066" s="192" t="str">
        <f aca="false">IF(AND('NOVIEMBRE 2026'!D20&lt;&gt;"",'NOVIEMBRE 2026'!Z20="POR RECOGER"),'NOVIEMBRE 2026'!Y20,"")</f>
        <v/>
      </c>
      <c r="L1066" s="192" t="str">
        <f aca="false">IF(AND('NOVIEMBRE 2026'!D20&lt;&gt;"",'NOVIEMBRE 2026'!Z20="POR RECOGER"),'NOVIEMBRE 2026'!I20,"")</f>
        <v/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customFormat="false" ht="15" hidden="false" customHeight="true" outlineLevel="0" collapsed="false">
      <c r="A1067" s="192" t="str">
        <f aca="false">IF(AND('NOVIEMBRE 2026'!D21&lt;&gt;"",'NOVIEMBRE 2026'!Z21="POR RECOGER"),"NOV","")</f>
        <v/>
      </c>
      <c r="B1067" s="192" t="str">
        <f aca="false">IF(AND('NOVIEMBRE 2026'!D21&lt;&gt;"",'NOVIEMBRE 2026'!Z21="POR RECOGER"),IF('NOVIEMBRE 2026'!Y21&lt;&gt;"",'NOVIEMBRE 2026'!Y21,'NOVIEMBRE 2026'!I21),"")</f>
        <v/>
      </c>
      <c r="C1067" s="192" t="str">
        <f aca="false">IF(AND('NOVIEMBRE 2026'!D21&lt;&gt;"",'NOVIEMBRE 2026'!Z21="POR RECOGER"),'NOVIEMBRE 2026'!D21,"")</f>
        <v/>
      </c>
      <c r="D1067" s="192" t="str">
        <f aca="false">IF(AND('NOVIEMBRE 2026'!D21&lt;&gt;"",'NOVIEMBRE 2026'!Z21="POR RECOGER"),'NOVIEMBRE 2026'!F21,"")</f>
        <v/>
      </c>
      <c r="E1067" s="192" t="str">
        <f aca="false">IF(AND('NOVIEMBRE 2026'!D21&lt;&gt;"",'NOVIEMBRE 2026'!Z21="POR RECOGER"),TEXT('NOVIEMBRE 2026'!G21,"DD/MM/YYYY"),"")</f>
        <v/>
      </c>
      <c r="F1067" s="192" t="str">
        <f aca="false">IF(AND('NOVIEMBRE 2026'!D21&lt;&gt;"",'NOVIEMBRE 2026'!Z21="POR RECOGER"),'NOVIEMBRE 2026'!K21,"")</f>
        <v/>
      </c>
      <c r="G1067" s="193" t="str">
        <f aca="false">IF(AND('NOVIEMBRE 2026'!D21&lt;&gt;"",'NOVIEMBRE 2026'!Z21="POR RECOGER"),'NOVIEMBRE 2026'!M21,"")</f>
        <v/>
      </c>
      <c r="H1067" s="193" t="str">
        <f aca="false">IF(AND('NOVIEMBRE 2026'!D21&lt;&gt;"",'NOVIEMBRE 2026'!Z21="POR RECOGER"),'NOVIEMBRE 2026'!N21,"")</f>
        <v/>
      </c>
      <c r="I1067" s="192" t="str">
        <f aca="false">IF(AND('NOVIEMBRE 2026'!D21&lt;&gt;"",'NOVIEMBRE 2026'!Z21="POR RECOGER"),'NOVIEMBRE 2026'!P21,"")</f>
        <v/>
      </c>
      <c r="J1067" s="192" t="str">
        <f aca="false">IF(AND('NOVIEMBRE 2026'!D21&lt;&gt;"",'NOVIEMBRE 2026'!Z21="POR RECOGER"),'NOVIEMBRE 2026'!Q21,"")</f>
        <v/>
      </c>
      <c r="K1067" s="192" t="str">
        <f aca="false">IF(AND('NOVIEMBRE 2026'!D21&lt;&gt;"",'NOVIEMBRE 2026'!Z21="POR RECOGER"),'NOVIEMBRE 2026'!Y21,"")</f>
        <v/>
      </c>
      <c r="L1067" s="192" t="str">
        <f aca="false">IF(AND('NOVIEMBRE 2026'!D21&lt;&gt;"",'NOVIEMBRE 2026'!Z21="POR RECOGER"),'NOVIEMBRE 2026'!I21,"")</f>
        <v/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customFormat="false" ht="15" hidden="false" customHeight="true" outlineLevel="0" collapsed="false">
      <c r="A1068" s="192" t="str">
        <f aca="false">IF(AND('NOVIEMBRE 2026'!D22&lt;&gt;"",'NOVIEMBRE 2026'!Z22="POR RECOGER"),"NOV","")</f>
        <v/>
      </c>
      <c r="B1068" s="192" t="str">
        <f aca="false">IF(AND('NOVIEMBRE 2026'!D22&lt;&gt;"",'NOVIEMBRE 2026'!Z22="POR RECOGER"),IF('NOVIEMBRE 2026'!Y22&lt;&gt;"",'NOVIEMBRE 2026'!Y22,'NOVIEMBRE 2026'!I22),"")</f>
        <v/>
      </c>
      <c r="C1068" s="192" t="str">
        <f aca="false">IF(AND('NOVIEMBRE 2026'!D22&lt;&gt;"",'NOVIEMBRE 2026'!Z22="POR RECOGER"),'NOVIEMBRE 2026'!D22,"")</f>
        <v/>
      </c>
      <c r="D1068" s="192" t="str">
        <f aca="false">IF(AND('NOVIEMBRE 2026'!D22&lt;&gt;"",'NOVIEMBRE 2026'!Z22="POR RECOGER"),'NOVIEMBRE 2026'!F22,"")</f>
        <v/>
      </c>
      <c r="E1068" s="192" t="str">
        <f aca="false">IF(AND('NOVIEMBRE 2026'!D22&lt;&gt;"",'NOVIEMBRE 2026'!Z22="POR RECOGER"),TEXT('NOVIEMBRE 2026'!G22,"DD/MM/YYYY"),"")</f>
        <v/>
      </c>
      <c r="F1068" s="192" t="str">
        <f aca="false">IF(AND('NOVIEMBRE 2026'!D22&lt;&gt;"",'NOVIEMBRE 2026'!Z22="POR RECOGER"),'NOVIEMBRE 2026'!K22,"")</f>
        <v/>
      </c>
      <c r="G1068" s="193" t="str">
        <f aca="false">IF(AND('NOVIEMBRE 2026'!D22&lt;&gt;"",'NOVIEMBRE 2026'!Z22="POR RECOGER"),'NOVIEMBRE 2026'!M22,"")</f>
        <v/>
      </c>
      <c r="H1068" s="193" t="str">
        <f aca="false">IF(AND('NOVIEMBRE 2026'!D22&lt;&gt;"",'NOVIEMBRE 2026'!Z22="POR RECOGER"),'NOVIEMBRE 2026'!N22,"")</f>
        <v/>
      </c>
      <c r="I1068" s="192" t="str">
        <f aca="false">IF(AND('NOVIEMBRE 2026'!D22&lt;&gt;"",'NOVIEMBRE 2026'!Z22="POR RECOGER"),'NOVIEMBRE 2026'!P22,"")</f>
        <v/>
      </c>
      <c r="J1068" s="192" t="str">
        <f aca="false">IF(AND('NOVIEMBRE 2026'!D22&lt;&gt;"",'NOVIEMBRE 2026'!Z22="POR RECOGER"),'NOVIEMBRE 2026'!Q22,"")</f>
        <v/>
      </c>
      <c r="K1068" s="192" t="str">
        <f aca="false">IF(AND('NOVIEMBRE 2026'!D22&lt;&gt;"",'NOVIEMBRE 2026'!Z22="POR RECOGER"),'NOVIEMBRE 2026'!Y22,"")</f>
        <v/>
      </c>
      <c r="L1068" s="192" t="str">
        <f aca="false">IF(AND('NOVIEMBRE 2026'!D22&lt;&gt;"",'NOVIEMBRE 2026'!Z22="POR RECOGER"),'NOVIEMBRE 2026'!I22,"")</f>
        <v/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customFormat="false" ht="15" hidden="false" customHeight="true" outlineLevel="0" collapsed="false">
      <c r="A1069" s="192" t="str">
        <f aca="false">IF(AND('NOVIEMBRE 2026'!D23&lt;&gt;"",'NOVIEMBRE 2026'!Z23="POR RECOGER"),"NOV","")</f>
        <v/>
      </c>
      <c r="B1069" s="192" t="str">
        <f aca="false">IF(AND('NOVIEMBRE 2026'!D23&lt;&gt;"",'NOVIEMBRE 2026'!Z23="POR RECOGER"),IF('NOVIEMBRE 2026'!Y23&lt;&gt;"",'NOVIEMBRE 2026'!Y23,'NOVIEMBRE 2026'!I23),"")</f>
        <v/>
      </c>
      <c r="C1069" s="192" t="str">
        <f aca="false">IF(AND('NOVIEMBRE 2026'!D23&lt;&gt;"",'NOVIEMBRE 2026'!Z23="POR RECOGER"),'NOVIEMBRE 2026'!D23,"")</f>
        <v/>
      </c>
      <c r="D1069" s="192" t="str">
        <f aca="false">IF(AND('NOVIEMBRE 2026'!D23&lt;&gt;"",'NOVIEMBRE 2026'!Z23="POR RECOGER"),'NOVIEMBRE 2026'!F23,"")</f>
        <v/>
      </c>
      <c r="E1069" s="192" t="str">
        <f aca="false">IF(AND('NOVIEMBRE 2026'!D23&lt;&gt;"",'NOVIEMBRE 2026'!Z23="POR RECOGER"),TEXT('NOVIEMBRE 2026'!G23,"DD/MM/YYYY"),"")</f>
        <v/>
      </c>
      <c r="F1069" s="192" t="str">
        <f aca="false">IF(AND('NOVIEMBRE 2026'!D23&lt;&gt;"",'NOVIEMBRE 2026'!Z23="POR RECOGER"),'NOVIEMBRE 2026'!K23,"")</f>
        <v/>
      </c>
      <c r="G1069" s="193" t="str">
        <f aca="false">IF(AND('NOVIEMBRE 2026'!D23&lt;&gt;"",'NOVIEMBRE 2026'!Z23="POR RECOGER"),'NOVIEMBRE 2026'!M23,"")</f>
        <v/>
      </c>
      <c r="H1069" s="193" t="str">
        <f aca="false">IF(AND('NOVIEMBRE 2026'!D23&lt;&gt;"",'NOVIEMBRE 2026'!Z23="POR RECOGER"),'NOVIEMBRE 2026'!N23,"")</f>
        <v/>
      </c>
      <c r="I1069" s="192" t="str">
        <f aca="false">IF(AND('NOVIEMBRE 2026'!D23&lt;&gt;"",'NOVIEMBRE 2026'!Z23="POR RECOGER"),'NOVIEMBRE 2026'!P23,"")</f>
        <v/>
      </c>
      <c r="J1069" s="192" t="str">
        <f aca="false">IF(AND('NOVIEMBRE 2026'!D23&lt;&gt;"",'NOVIEMBRE 2026'!Z23="POR RECOGER"),'NOVIEMBRE 2026'!Q23,"")</f>
        <v/>
      </c>
      <c r="K1069" s="192" t="str">
        <f aca="false">IF(AND('NOVIEMBRE 2026'!D23&lt;&gt;"",'NOVIEMBRE 2026'!Z23="POR RECOGER"),'NOVIEMBRE 2026'!Y23,"")</f>
        <v/>
      </c>
      <c r="L1069" s="192" t="str">
        <f aca="false">IF(AND('NOVIEMBRE 2026'!D23&lt;&gt;"",'NOVIEMBRE 2026'!Z23="POR RECOGER"),'NOVIEMBRE 2026'!I23,"")</f>
        <v/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customFormat="false" ht="15" hidden="false" customHeight="true" outlineLevel="0" collapsed="false">
      <c r="A1070" s="192" t="str">
        <f aca="false">IF(AND('NOVIEMBRE 2026'!D24&lt;&gt;"",'NOVIEMBRE 2026'!Z24="POR RECOGER"),"NOV","")</f>
        <v/>
      </c>
      <c r="B1070" s="192" t="str">
        <f aca="false">IF(AND('NOVIEMBRE 2026'!D24&lt;&gt;"",'NOVIEMBRE 2026'!Z24="POR RECOGER"),IF('NOVIEMBRE 2026'!Y24&lt;&gt;"",'NOVIEMBRE 2026'!Y24,'NOVIEMBRE 2026'!I24),"")</f>
        <v/>
      </c>
      <c r="C1070" s="192" t="str">
        <f aca="false">IF(AND('NOVIEMBRE 2026'!D24&lt;&gt;"",'NOVIEMBRE 2026'!Z24="POR RECOGER"),'NOVIEMBRE 2026'!D24,"")</f>
        <v/>
      </c>
      <c r="D1070" s="192" t="str">
        <f aca="false">IF(AND('NOVIEMBRE 2026'!D24&lt;&gt;"",'NOVIEMBRE 2026'!Z24="POR RECOGER"),'NOVIEMBRE 2026'!F24,"")</f>
        <v/>
      </c>
      <c r="E1070" s="192" t="str">
        <f aca="false">IF(AND('NOVIEMBRE 2026'!D24&lt;&gt;"",'NOVIEMBRE 2026'!Z24="POR RECOGER"),TEXT('NOVIEMBRE 2026'!G24,"DD/MM/YYYY"),"")</f>
        <v/>
      </c>
      <c r="F1070" s="192" t="str">
        <f aca="false">IF(AND('NOVIEMBRE 2026'!D24&lt;&gt;"",'NOVIEMBRE 2026'!Z24="POR RECOGER"),'NOVIEMBRE 2026'!K24,"")</f>
        <v/>
      </c>
      <c r="G1070" s="193" t="str">
        <f aca="false">IF(AND('NOVIEMBRE 2026'!D24&lt;&gt;"",'NOVIEMBRE 2026'!Z24="POR RECOGER"),'NOVIEMBRE 2026'!M24,"")</f>
        <v/>
      </c>
      <c r="H1070" s="193" t="str">
        <f aca="false">IF(AND('NOVIEMBRE 2026'!D24&lt;&gt;"",'NOVIEMBRE 2026'!Z24="POR RECOGER"),'NOVIEMBRE 2026'!N24,"")</f>
        <v/>
      </c>
      <c r="I1070" s="192" t="str">
        <f aca="false">IF(AND('NOVIEMBRE 2026'!D24&lt;&gt;"",'NOVIEMBRE 2026'!Z24="POR RECOGER"),'NOVIEMBRE 2026'!P24,"")</f>
        <v/>
      </c>
      <c r="J1070" s="192" t="str">
        <f aca="false">IF(AND('NOVIEMBRE 2026'!D24&lt;&gt;"",'NOVIEMBRE 2026'!Z24="POR RECOGER"),'NOVIEMBRE 2026'!Q24,"")</f>
        <v/>
      </c>
      <c r="K1070" s="192" t="str">
        <f aca="false">IF(AND('NOVIEMBRE 2026'!D24&lt;&gt;"",'NOVIEMBRE 2026'!Z24="POR RECOGER"),'NOVIEMBRE 2026'!Y24,"")</f>
        <v/>
      </c>
      <c r="L1070" s="192" t="str">
        <f aca="false">IF(AND('NOVIEMBRE 2026'!D24&lt;&gt;"",'NOVIEMBRE 2026'!Z24="POR RECOGER"),'NOVIEMBRE 2026'!I24,"")</f>
        <v/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customFormat="false" ht="15" hidden="false" customHeight="true" outlineLevel="0" collapsed="false">
      <c r="A1071" s="192" t="str">
        <f aca="false">IF(AND('NOVIEMBRE 2026'!D25&lt;&gt;"",'NOVIEMBRE 2026'!Z25="POR RECOGER"),"NOV","")</f>
        <v/>
      </c>
      <c r="B1071" s="192" t="str">
        <f aca="false">IF(AND('NOVIEMBRE 2026'!D25&lt;&gt;"",'NOVIEMBRE 2026'!Z25="POR RECOGER"),IF('NOVIEMBRE 2026'!Y25&lt;&gt;"",'NOVIEMBRE 2026'!Y25,'NOVIEMBRE 2026'!I25),"")</f>
        <v/>
      </c>
      <c r="C1071" s="192" t="str">
        <f aca="false">IF(AND('NOVIEMBRE 2026'!D25&lt;&gt;"",'NOVIEMBRE 2026'!Z25="POR RECOGER"),'NOVIEMBRE 2026'!D25,"")</f>
        <v/>
      </c>
      <c r="D1071" s="192" t="str">
        <f aca="false">IF(AND('NOVIEMBRE 2026'!D25&lt;&gt;"",'NOVIEMBRE 2026'!Z25="POR RECOGER"),'NOVIEMBRE 2026'!F25,"")</f>
        <v/>
      </c>
      <c r="E1071" s="192" t="str">
        <f aca="false">IF(AND('NOVIEMBRE 2026'!D25&lt;&gt;"",'NOVIEMBRE 2026'!Z25="POR RECOGER"),TEXT('NOVIEMBRE 2026'!G25,"DD/MM/YYYY"),"")</f>
        <v/>
      </c>
      <c r="F1071" s="192" t="str">
        <f aca="false">IF(AND('NOVIEMBRE 2026'!D25&lt;&gt;"",'NOVIEMBRE 2026'!Z25="POR RECOGER"),'NOVIEMBRE 2026'!K25,"")</f>
        <v/>
      </c>
      <c r="G1071" s="193" t="str">
        <f aca="false">IF(AND('NOVIEMBRE 2026'!D25&lt;&gt;"",'NOVIEMBRE 2026'!Z25="POR RECOGER"),'NOVIEMBRE 2026'!M25,"")</f>
        <v/>
      </c>
      <c r="H1071" s="193" t="str">
        <f aca="false">IF(AND('NOVIEMBRE 2026'!D25&lt;&gt;"",'NOVIEMBRE 2026'!Z25="POR RECOGER"),'NOVIEMBRE 2026'!N25,"")</f>
        <v/>
      </c>
      <c r="I1071" s="192" t="str">
        <f aca="false">IF(AND('NOVIEMBRE 2026'!D25&lt;&gt;"",'NOVIEMBRE 2026'!Z25="POR RECOGER"),'NOVIEMBRE 2026'!P25,"")</f>
        <v/>
      </c>
      <c r="J1071" s="192" t="str">
        <f aca="false">IF(AND('NOVIEMBRE 2026'!D25&lt;&gt;"",'NOVIEMBRE 2026'!Z25="POR RECOGER"),'NOVIEMBRE 2026'!Q25,"")</f>
        <v/>
      </c>
      <c r="K1071" s="192" t="str">
        <f aca="false">IF(AND('NOVIEMBRE 2026'!D25&lt;&gt;"",'NOVIEMBRE 2026'!Z25="POR RECOGER"),'NOVIEMBRE 2026'!Y25,"")</f>
        <v/>
      </c>
      <c r="L1071" s="192" t="str">
        <f aca="false">IF(AND('NOVIEMBRE 2026'!D25&lt;&gt;"",'NOVIEMBRE 2026'!Z25="POR RECOGER"),'NOVIEMBRE 2026'!I25,"")</f>
        <v/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customFormat="false" ht="15" hidden="false" customHeight="true" outlineLevel="0" collapsed="false">
      <c r="A1072" s="192" t="str">
        <f aca="false">IF(AND('NOVIEMBRE 2026'!D26&lt;&gt;"",'NOVIEMBRE 2026'!Z26="POR RECOGER"),"NOV","")</f>
        <v/>
      </c>
      <c r="B1072" s="192" t="str">
        <f aca="false">IF(AND('NOVIEMBRE 2026'!D26&lt;&gt;"",'NOVIEMBRE 2026'!Z26="POR RECOGER"),IF('NOVIEMBRE 2026'!Y26&lt;&gt;"",'NOVIEMBRE 2026'!Y26,'NOVIEMBRE 2026'!I26),"")</f>
        <v/>
      </c>
      <c r="C1072" s="192" t="str">
        <f aca="false">IF(AND('NOVIEMBRE 2026'!D26&lt;&gt;"",'NOVIEMBRE 2026'!Z26="POR RECOGER"),'NOVIEMBRE 2026'!D26,"")</f>
        <v/>
      </c>
      <c r="D1072" s="192" t="str">
        <f aca="false">IF(AND('NOVIEMBRE 2026'!D26&lt;&gt;"",'NOVIEMBRE 2026'!Z26="POR RECOGER"),'NOVIEMBRE 2026'!F26,"")</f>
        <v/>
      </c>
      <c r="E1072" s="192" t="str">
        <f aca="false">IF(AND('NOVIEMBRE 2026'!D26&lt;&gt;"",'NOVIEMBRE 2026'!Z26="POR RECOGER"),TEXT('NOVIEMBRE 2026'!G26,"DD/MM/YYYY"),"")</f>
        <v/>
      </c>
      <c r="F1072" s="192" t="str">
        <f aca="false">IF(AND('NOVIEMBRE 2026'!D26&lt;&gt;"",'NOVIEMBRE 2026'!Z26="POR RECOGER"),'NOVIEMBRE 2026'!K26,"")</f>
        <v/>
      </c>
      <c r="G1072" s="193" t="str">
        <f aca="false">IF(AND('NOVIEMBRE 2026'!D26&lt;&gt;"",'NOVIEMBRE 2026'!Z26="POR RECOGER"),'NOVIEMBRE 2026'!M26,"")</f>
        <v/>
      </c>
      <c r="H1072" s="193" t="str">
        <f aca="false">IF(AND('NOVIEMBRE 2026'!D26&lt;&gt;"",'NOVIEMBRE 2026'!Z26="POR RECOGER"),'NOVIEMBRE 2026'!N26,"")</f>
        <v/>
      </c>
      <c r="I1072" s="192" t="str">
        <f aca="false">IF(AND('NOVIEMBRE 2026'!D26&lt;&gt;"",'NOVIEMBRE 2026'!Z26="POR RECOGER"),'NOVIEMBRE 2026'!P26,"")</f>
        <v/>
      </c>
      <c r="J1072" s="192" t="str">
        <f aca="false">IF(AND('NOVIEMBRE 2026'!D26&lt;&gt;"",'NOVIEMBRE 2026'!Z26="POR RECOGER"),'NOVIEMBRE 2026'!Q26,"")</f>
        <v/>
      </c>
      <c r="K1072" s="192" t="str">
        <f aca="false">IF(AND('NOVIEMBRE 2026'!D26&lt;&gt;"",'NOVIEMBRE 2026'!Z26="POR RECOGER"),'NOVIEMBRE 2026'!Y26,"")</f>
        <v/>
      </c>
      <c r="L1072" s="192" t="str">
        <f aca="false">IF(AND('NOVIEMBRE 2026'!D26&lt;&gt;"",'NOVIEMBRE 2026'!Z26="POR RECOGER"),'NOVIEMBRE 2026'!I26,"")</f>
        <v/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customFormat="false" ht="15" hidden="false" customHeight="true" outlineLevel="0" collapsed="false">
      <c r="A1073" s="192" t="str">
        <f aca="false">IF(AND('NOVIEMBRE 2026'!D27&lt;&gt;"",'NOVIEMBRE 2026'!Z27="POR RECOGER"),"NOV","")</f>
        <v/>
      </c>
      <c r="B1073" s="192" t="str">
        <f aca="false">IF(AND('NOVIEMBRE 2026'!D27&lt;&gt;"",'NOVIEMBRE 2026'!Z27="POR RECOGER"),IF('NOVIEMBRE 2026'!Y27&lt;&gt;"",'NOVIEMBRE 2026'!Y27,'NOVIEMBRE 2026'!I27),"")</f>
        <v/>
      </c>
      <c r="C1073" s="192" t="str">
        <f aca="false">IF(AND('NOVIEMBRE 2026'!D27&lt;&gt;"",'NOVIEMBRE 2026'!Z27="POR RECOGER"),'NOVIEMBRE 2026'!D27,"")</f>
        <v/>
      </c>
      <c r="D1073" s="192" t="str">
        <f aca="false">IF(AND('NOVIEMBRE 2026'!D27&lt;&gt;"",'NOVIEMBRE 2026'!Z27="POR RECOGER"),'NOVIEMBRE 2026'!F27,"")</f>
        <v/>
      </c>
      <c r="E1073" s="192" t="str">
        <f aca="false">IF(AND('NOVIEMBRE 2026'!D27&lt;&gt;"",'NOVIEMBRE 2026'!Z27="POR RECOGER"),TEXT('NOVIEMBRE 2026'!G27,"DD/MM/YYYY"),"")</f>
        <v/>
      </c>
      <c r="F1073" s="192" t="str">
        <f aca="false">IF(AND('NOVIEMBRE 2026'!D27&lt;&gt;"",'NOVIEMBRE 2026'!Z27="POR RECOGER"),'NOVIEMBRE 2026'!K27,"")</f>
        <v/>
      </c>
      <c r="G1073" s="193" t="str">
        <f aca="false">IF(AND('NOVIEMBRE 2026'!D27&lt;&gt;"",'NOVIEMBRE 2026'!Z27="POR RECOGER"),'NOVIEMBRE 2026'!M27,"")</f>
        <v/>
      </c>
      <c r="H1073" s="193" t="str">
        <f aca="false">IF(AND('NOVIEMBRE 2026'!D27&lt;&gt;"",'NOVIEMBRE 2026'!Z27="POR RECOGER"),'NOVIEMBRE 2026'!N27,"")</f>
        <v/>
      </c>
      <c r="I1073" s="192" t="str">
        <f aca="false">IF(AND('NOVIEMBRE 2026'!D27&lt;&gt;"",'NOVIEMBRE 2026'!Z27="POR RECOGER"),'NOVIEMBRE 2026'!P27,"")</f>
        <v/>
      </c>
      <c r="J1073" s="192" t="str">
        <f aca="false">IF(AND('NOVIEMBRE 2026'!D27&lt;&gt;"",'NOVIEMBRE 2026'!Z27="POR RECOGER"),'NOVIEMBRE 2026'!Q27,"")</f>
        <v/>
      </c>
      <c r="K1073" s="192" t="str">
        <f aca="false">IF(AND('NOVIEMBRE 2026'!D27&lt;&gt;"",'NOVIEMBRE 2026'!Z27="POR RECOGER"),'NOVIEMBRE 2026'!Y27,"")</f>
        <v/>
      </c>
      <c r="L1073" s="192" t="str">
        <f aca="false">IF(AND('NOVIEMBRE 2026'!D27&lt;&gt;"",'NOVIEMBRE 2026'!Z27="POR RECOGER"),'NOVIEMBRE 2026'!I27,"")</f>
        <v/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customFormat="false" ht="15" hidden="false" customHeight="true" outlineLevel="0" collapsed="false">
      <c r="A1074" s="192" t="str">
        <f aca="false">IF(AND('NOVIEMBRE 2026'!D28&lt;&gt;"",'NOVIEMBRE 2026'!Z28="POR RECOGER"),"NOV","")</f>
        <v/>
      </c>
      <c r="B1074" s="192" t="str">
        <f aca="false">IF(AND('NOVIEMBRE 2026'!D28&lt;&gt;"",'NOVIEMBRE 2026'!Z28="POR RECOGER"),IF('NOVIEMBRE 2026'!Y28&lt;&gt;"",'NOVIEMBRE 2026'!Y28,'NOVIEMBRE 2026'!I28),"")</f>
        <v/>
      </c>
      <c r="C1074" s="192" t="str">
        <f aca="false">IF(AND('NOVIEMBRE 2026'!D28&lt;&gt;"",'NOVIEMBRE 2026'!Z28="POR RECOGER"),'NOVIEMBRE 2026'!D28,"")</f>
        <v/>
      </c>
      <c r="D1074" s="192" t="str">
        <f aca="false">IF(AND('NOVIEMBRE 2026'!D28&lt;&gt;"",'NOVIEMBRE 2026'!Z28="POR RECOGER"),'NOVIEMBRE 2026'!F28,"")</f>
        <v/>
      </c>
      <c r="E1074" s="192" t="str">
        <f aca="false">IF(AND('NOVIEMBRE 2026'!D28&lt;&gt;"",'NOVIEMBRE 2026'!Z28="POR RECOGER"),TEXT('NOVIEMBRE 2026'!G28,"DD/MM/YYYY"),"")</f>
        <v/>
      </c>
      <c r="F1074" s="192" t="str">
        <f aca="false">IF(AND('NOVIEMBRE 2026'!D28&lt;&gt;"",'NOVIEMBRE 2026'!Z28="POR RECOGER"),'NOVIEMBRE 2026'!K28,"")</f>
        <v/>
      </c>
      <c r="G1074" s="193" t="str">
        <f aca="false">IF(AND('NOVIEMBRE 2026'!D28&lt;&gt;"",'NOVIEMBRE 2026'!Z28="POR RECOGER"),'NOVIEMBRE 2026'!M28,"")</f>
        <v/>
      </c>
      <c r="H1074" s="193" t="str">
        <f aca="false">IF(AND('NOVIEMBRE 2026'!D28&lt;&gt;"",'NOVIEMBRE 2026'!Z28="POR RECOGER"),'NOVIEMBRE 2026'!N28,"")</f>
        <v/>
      </c>
      <c r="I1074" s="192" t="str">
        <f aca="false">IF(AND('NOVIEMBRE 2026'!D28&lt;&gt;"",'NOVIEMBRE 2026'!Z28="POR RECOGER"),'NOVIEMBRE 2026'!P28,"")</f>
        <v/>
      </c>
      <c r="J1074" s="192" t="str">
        <f aca="false">IF(AND('NOVIEMBRE 2026'!D28&lt;&gt;"",'NOVIEMBRE 2026'!Z28="POR RECOGER"),'NOVIEMBRE 2026'!Q28,"")</f>
        <v/>
      </c>
      <c r="K1074" s="192" t="str">
        <f aca="false">IF(AND('NOVIEMBRE 2026'!D28&lt;&gt;"",'NOVIEMBRE 2026'!Z28="POR RECOGER"),'NOVIEMBRE 2026'!Y28,"")</f>
        <v/>
      </c>
      <c r="L1074" s="192" t="str">
        <f aca="false">IF(AND('NOVIEMBRE 2026'!D28&lt;&gt;"",'NOVIEMBRE 2026'!Z28="POR RECOGER"),'NOVIEMBRE 2026'!I28,"")</f>
        <v/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customFormat="false" ht="15" hidden="false" customHeight="true" outlineLevel="0" collapsed="false">
      <c r="A1075" s="192" t="str">
        <f aca="false">IF(AND('NOVIEMBRE 2026'!D29&lt;&gt;"",'NOVIEMBRE 2026'!Z29="POR RECOGER"),"NOV","")</f>
        <v/>
      </c>
      <c r="B1075" s="192" t="str">
        <f aca="false">IF(AND('NOVIEMBRE 2026'!D29&lt;&gt;"",'NOVIEMBRE 2026'!Z29="POR RECOGER"),IF('NOVIEMBRE 2026'!Y29&lt;&gt;"",'NOVIEMBRE 2026'!Y29,'NOVIEMBRE 2026'!I29),"")</f>
        <v/>
      </c>
      <c r="C1075" s="192" t="str">
        <f aca="false">IF(AND('NOVIEMBRE 2026'!D29&lt;&gt;"",'NOVIEMBRE 2026'!Z29="POR RECOGER"),'NOVIEMBRE 2026'!D29,"")</f>
        <v/>
      </c>
      <c r="D1075" s="192" t="str">
        <f aca="false">IF(AND('NOVIEMBRE 2026'!D29&lt;&gt;"",'NOVIEMBRE 2026'!Z29="POR RECOGER"),'NOVIEMBRE 2026'!F29,"")</f>
        <v/>
      </c>
      <c r="E1075" s="192" t="str">
        <f aca="false">IF(AND('NOVIEMBRE 2026'!D29&lt;&gt;"",'NOVIEMBRE 2026'!Z29="POR RECOGER"),TEXT('NOVIEMBRE 2026'!G29,"DD/MM/YYYY"),"")</f>
        <v/>
      </c>
      <c r="F1075" s="192" t="str">
        <f aca="false">IF(AND('NOVIEMBRE 2026'!D29&lt;&gt;"",'NOVIEMBRE 2026'!Z29="POR RECOGER"),'NOVIEMBRE 2026'!K29,"")</f>
        <v/>
      </c>
      <c r="G1075" s="193" t="str">
        <f aca="false">IF(AND('NOVIEMBRE 2026'!D29&lt;&gt;"",'NOVIEMBRE 2026'!Z29="POR RECOGER"),'NOVIEMBRE 2026'!M29,"")</f>
        <v/>
      </c>
      <c r="H1075" s="193" t="str">
        <f aca="false">IF(AND('NOVIEMBRE 2026'!D29&lt;&gt;"",'NOVIEMBRE 2026'!Z29="POR RECOGER"),'NOVIEMBRE 2026'!N29,"")</f>
        <v/>
      </c>
      <c r="I1075" s="192" t="str">
        <f aca="false">IF(AND('NOVIEMBRE 2026'!D29&lt;&gt;"",'NOVIEMBRE 2026'!Z29="POR RECOGER"),'NOVIEMBRE 2026'!P29,"")</f>
        <v/>
      </c>
      <c r="J1075" s="192" t="str">
        <f aca="false">IF(AND('NOVIEMBRE 2026'!D29&lt;&gt;"",'NOVIEMBRE 2026'!Z29="POR RECOGER"),'NOVIEMBRE 2026'!Q29,"")</f>
        <v/>
      </c>
      <c r="K1075" s="192" t="str">
        <f aca="false">IF(AND('NOVIEMBRE 2026'!D29&lt;&gt;"",'NOVIEMBRE 2026'!Z29="POR RECOGER"),'NOVIEMBRE 2026'!Y29,"")</f>
        <v/>
      </c>
      <c r="L1075" s="192" t="str">
        <f aca="false">IF(AND('NOVIEMBRE 2026'!D29&lt;&gt;"",'NOVIEMBRE 2026'!Z29="POR RECOGER"),'NOVIEMBRE 2026'!I29,"")</f>
        <v/>
      </c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customFormat="false" ht="15" hidden="false" customHeight="true" outlineLevel="0" collapsed="false">
      <c r="A1076" s="192" t="str">
        <f aca="false">IF(AND('NOVIEMBRE 2026'!D30&lt;&gt;"",'NOVIEMBRE 2026'!Z30="POR RECOGER"),"NOV","")</f>
        <v/>
      </c>
      <c r="B1076" s="192" t="str">
        <f aca="false">IF(AND('NOVIEMBRE 2026'!D30&lt;&gt;"",'NOVIEMBRE 2026'!Z30="POR RECOGER"),IF('NOVIEMBRE 2026'!Y30&lt;&gt;"",'NOVIEMBRE 2026'!Y30,'NOVIEMBRE 2026'!I30),"")</f>
        <v/>
      </c>
      <c r="C1076" s="192" t="str">
        <f aca="false">IF(AND('NOVIEMBRE 2026'!D30&lt;&gt;"",'NOVIEMBRE 2026'!Z30="POR RECOGER"),'NOVIEMBRE 2026'!D30,"")</f>
        <v/>
      </c>
      <c r="D1076" s="192" t="str">
        <f aca="false">IF(AND('NOVIEMBRE 2026'!D30&lt;&gt;"",'NOVIEMBRE 2026'!Z30="POR RECOGER"),'NOVIEMBRE 2026'!F30,"")</f>
        <v/>
      </c>
      <c r="E1076" s="192" t="str">
        <f aca="false">IF(AND('NOVIEMBRE 2026'!D30&lt;&gt;"",'NOVIEMBRE 2026'!Z30="POR RECOGER"),TEXT('NOVIEMBRE 2026'!G30,"DD/MM/YYYY"),"")</f>
        <v/>
      </c>
      <c r="F1076" s="192" t="str">
        <f aca="false">IF(AND('NOVIEMBRE 2026'!D30&lt;&gt;"",'NOVIEMBRE 2026'!Z30="POR RECOGER"),'NOVIEMBRE 2026'!K30,"")</f>
        <v/>
      </c>
      <c r="G1076" s="193" t="str">
        <f aca="false">IF(AND('NOVIEMBRE 2026'!D30&lt;&gt;"",'NOVIEMBRE 2026'!Z30="POR RECOGER"),'NOVIEMBRE 2026'!M30,"")</f>
        <v/>
      </c>
      <c r="H1076" s="193" t="str">
        <f aca="false">IF(AND('NOVIEMBRE 2026'!D30&lt;&gt;"",'NOVIEMBRE 2026'!Z30="POR RECOGER"),'NOVIEMBRE 2026'!N30,"")</f>
        <v/>
      </c>
      <c r="I1076" s="192" t="str">
        <f aca="false">IF(AND('NOVIEMBRE 2026'!D30&lt;&gt;"",'NOVIEMBRE 2026'!Z30="POR RECOGER"),'NOVIEMBRE 2026'!P30,"")</f>
        <v/>
      </c>
      <c r="J1076" s="192" t="str">
        <f aca="false">IF(AND('NOVIEMBRE 2026'!D30&lt;&gt;"",'NOVIEMBRE 2026'!Z30="POR RECOGER"),'NOVIEMBRE 2026'!Q30,"")</f>
        <v/>
      </c>
      <c r="K1076" s="192" t="str">
        <f aca="false">IF(AND('NOVIEMBRE 2026'!D30&lt;&gt;"",'NOVIEMBRE 2026'!Z30="POR RECOGER"),'NOVIEMBRE 2026'!Y30,"")</f>
        <v/>
      </c>
      <c r="L1076" s="192" t="str">
        <f aca="false">IF(AND('NOVIEMBRE 2026'!D30&lt;&gt;"",'NOVIEMBRE 2026'!Z30="POR RECOGER"),'NOVIEMBRE 2026'!I30,"")</f>
        <v/>
      </c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customFormat="false" ht="15" hidden="false" customHeight="true" outlineLevel="0" collapsed="false">
      <c r="A1077" s="192" t="str">
        <f aca="false">IF(AND('NOVIEMBRE 2026'!D31&lt;&gt;"",'NOVIEMBRE 2026'!Z31="POR RECOGER"),"NOV","")</f>
        <v/>
      </c>
      <c r="B1077" s="192" t="str">
        <f aca="false">IF(AND('NOVIEMBRE 2026'!D31&lt;&gt;"",'NOVIEMBRE 2026'!Z31="POR RECOGER"),IF('NOVIEMBRE 2026'!Y31&lt;&gt;"",'NOVIEMBRE 2026'!Y31,'NOVIEMBRE 2026'!I31),"")</f>
        <v/>
      </c>
      <c r="C1077" s="192" t="str">
        <f aca="false">IF(AND('NOVIEMBRE 2026'!D31&lt;&gt;"",'NOVIEMBRE 2026'!Z31="POR RECOGER"),'NOVIEMBRE 2026'!D31,"")</f>
        <v/>
      </c>
      <c r="D1077" s="192" t="str">
        <f aca="false">IF(AND('NOVIEMBRE 2026'!D31&lt;&gt;"",'NOVIEMBRE 2026'!Z31="POR RECOGER"),'NOVIEMBRE 2026'!F31,"")</f>
        <v/>
      </c>
      <c r="E1077" s="192" t="str">
        <f aca="false">IF(AND('NOVIEMBRE 2026'!D31&lt;&gt;"",'NOVIEMBRE 2026'!Z31="POR RECOGER"),TEXT('NOVIEMBRE 2026'!G31,"DD/MM/YYYY"),"")</f>
        <v/>
      </c>
      <c r="F1077" s="192" t="str">
        <f aca="false">IF(AND('NOVIEMBRE 2026'!D31&lt;&gt;"",'NOVIEMBRE 2026'!Z31="POR RECOGER"),'NOVIEMBRE 2026'!K31,"")</f>
        <v/>
      </c>
      <c r="G1077" s="193" t="str">
        <f aca="false">IF(AND('NOVIEMBRE 2026'!D31&lt;&gt;"",'NOVIEMBRE 2026'!Z31="POR RECOGER"),'NOVIEMBRE 2026'!M31,"")</f>
        <v/>
      </c>
      <c r="H1077" s="193" t="str">
        <f aca="false">IF(AND('NOVIEMBRE 2026'!D31&lt;&gt;"",'NOVIEMBRE 2026'!Z31="POR RECOGER"),'NOVIEMBRE 2026'!N31,"")</f>
        <v/>
      </c>
      <c r="I1077" s="192" t="str">
        <f aca="false">IF(AND('NOVIEMBRE 2026'!D31&lt;&gt;"",'NOVIEMBRE 2026'!Z31="POR RECOGER"),'NOVIEMBRE 2026'!P31,"")</f>
        <v/>
      </c>
      <c r="J1077" s="192" t="str">
        <f aca="false">IF(AND('NOVIEMBRE 2026'!D31&lt;&gt;"",'NOVIEMBRE 2026'!Z31="POR RECOGER"),'NOVIEMBRE 2026'!Q31,"")</f>
        <v/>
      </c>
      <c r="K1077" s="192" t="str">
        <f aca="false">IF(AND('NOVIEMBRE 2026'!D31&lt;&gt;"",'NOVIEMBRE 2026'!Z31="POR RECOGER"),'NOVIEMBRE 2026'!Y31,"")</f>
        <v/>
      </c>
      <c r="L1077" s="192" t="str">
        <f aca="false">IF(AND('NOVIEMBRE 2026'!D31&lt;&gt;"",'NOVIEMBRE 2026'!Z31="POR RECOGER"),'NOVIEMBRE 2026'!I31,"")</f>
        <v/>
      </c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customFormat="false" ht="15" hidden="false" customHeight="true" outlineLevel="0" collapsed="false">
      <c r="A1078" s="192" t="str">
        <f aca="false">IF(AND('NOVIEMBRE 2026'!D32&lt;&gt;"",'NOVIEMBRE 2026'!Z32="POR RECOGER"),"NOV","")</f>
        <v/>
      </c>
      <c r="B1078" s="192" t="str">
        <f aca="false">IF(AND('NOVIEMBRE 2026'!D32&lt;&gt;"",'NOVIEMBRE 2026'!Z32="POR RECOGER"),IF('NOVIEMBRE 2026'!Y32&lt;&gt;"",'NOVIEMBRE 2026'!Y32,'NOVIEMBRE 2026'!I32),"")</f>
        <v/>
      </c>
      <c r="C1078" s="192" t="str">
        <f aca="false">IF(AND('NOVIEMBRE 2026'!D32&lt;&gt;"",'NOVIEMBRE 2026'!Z32="POR RECOGER"),'NOVIEMBRE 2026'!D32,"")</f>
        <v/>
      </c>
      <c r="D1078" s="192" t="str">
        <f aca="false">IF(AND('NOVIEMBRE 2026'!D32&lt;&gt;"",'NOVIEMBRE 2026'!Z32="POR RECOGER"),'NOVIEMBRE 2026'!F32,"")</f>
        <v/>
      </c>
      <c r="E1078" s="192" t="str">
        <f aca="false">IF(AND('NOVIEMBRE 2026'!D32&lt;&gt;"",'NOVIEMBRE 2026'!Z32="POR RECOGER"),TEXT('NOVIEMBRE 2026'!G32,"DD/MM/YYYY"),"")</f>
        <v/>
      </c>
      <c r="F1078" s="192" t="str">
        <f aca="false">IF(AND('NOVIEMBRE 2026'!D32&lt;&gt;"",'NOVIEMBRE 2026'!Z32="POR RECOGER"),'NOVIEMBRE 2026'!K32,"")</f>
        <v/>
      </c>
      <c r="G1078" s="193" t="str">
        <f aca="false">IF(AND('NOVIEMBRE 2026'!D32&lt;&gt;"",'NOVIEMBRE 2026'!Z32="POR RECOGER"),'NOVIEMBRE 2026'!M32,"")</f>
        <v/>
      </c>
      <c r="H1078" s="193" t="str">
        <f aca="false">IF(AND('NOVIEMBRE 2026'!D32&lt;&gt;"",'NOVIEMBRE 2026'!Z32="POR RECOGER"),'NOVIEMBRE 2026'!N32,"")</f>
        <v/>
      </c>
      <c r="I1078" s="192" t="str">
        <f aca="false">IF(AND('NOVIEMBRE 2026'!D32&lt;&gt;"",'NOVIEMBRE 2026'!Z32="POR RECOGER"),'NOVIEMBRE 2026'!P32,"")</f>
        <v/>
      </c>
      <c r="J1078" s="192" t="str">
        <f aca="false">IF(AND('NOVIEMBRE 2026'!D32&lt;&gt;"",'NOVIEMBRE 2026'!Z32="POR RECOGER"),'NOVIEMBRE 2026'!Q32,"")</f>
        <v/>
      </c>
      <c r="K1078" s="192" t="str">
        <f aca="false">IF(AND('NOVIEMBRE 2026'!D32&lt;&gt;"",'NOVIEMBRE 2026'!Z32="POR RECOGER"),'NOVIEMBRE 2026'!Y32,"")</f>
        <v/>
      </c>
      <c r="L1078" s="192" t="str">
        <f aca="false">IF(AND('NOVIEMBRE 2026'!D32&lt;&gt;"",'NOVIEMBRE 2026'!Z32="POR RECOGER"),'NOVIEMBRE 2026'!I32,"")</f>
        <v/>
      </c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customFormat="false" ht="15" hidden="false" customHeight="true" outlineLevel="0" collapsed="false">
      <c r="A1079" s="192" t="str">
        <f aca="false">IF(AND('NOVIEMBRE 2026'!D33&lt;&gt;"",'NOVIEMBRE 2026'!Z33="POR RECOGER"),"NOV","")</f>
        <v/>
      </c>
      <c r="B1079" s="192" t="str">
        <f aca="false">IF(AND('NOVIEMBRE 2026'!D33&lt;&gt;"",'NOVIEMBRE 2026'!Z33="POR RECOGER"),IF('NOVIEMBRE 2026'!Y33&lt;&gt;"",'NOVIEMBRE 2026'!Y33,'NOVIEMBRE 2026'!I33),"")</f>
        <v/>
      </c>
      <c r="C1079" s="192" t="str">
        <f aca="false">IF(AND('NOVIEMBRE 2026'!D33&lt;&gt;"",'NOVIEMBRE 2026'!Z33="POR RECOGER"),'NOVIEMBRE 2026'!D33,"")</f>
        <v/>
      </c>
      <c r="D1079" s="192" t="str">
        <f aca="false">IF(AND('NOVIEMBRE 2026'!D33&lt;&gt;"",'NOVIEMBRE 2026'!Z33="POR RECOGER"),'NOVIEMBRE 2026'!F33,"")</f>
        <v/>
      </c>
      <c r="E1079" s="192" t="str">
        <f aca="false">IF(AND('NOVIEMBRE 2026'!D33&lt;&gt;"",'NOVIEMBRE 2026'!Z33="POR RECOGER"),TEXT('NOVIEMBRE 2026'!G33,"DD/MM/YYYY"),"")</f>
        <v/>
      </c>
      <c r="F1079" s="192" t="str">
        <f aca="false">IF(AND('NOVIEMBRE 2026'!D33&lt;&gt;"",'NOVIEMBRE 2026'!Z33="POR RECOGER"),'NOVIEMBRE 2026'!K33,"")</f>
        <v/>
      </c>
      <c r="G1079" s="193" t="str">
        <f aca="false">IF(AND('NOVIEMBRE 2026'!D33&lt;&gt;"",'NOVIEMBRE 2026'!Z33="POR RECOGER"),'NOVIEMBRE 2026'!M33,"")</f>
        <v/>
      </c>
      <c r="H1079" s="193" t="str">
        <f aca="false">IF(AND('NOVIEMBRE 2026'!D33&lt;&gt;"",'NOVIEMBRE 2026'!Z33="POR RECOGER"),'NOVIEMBRE 2026'!N33,"")</f>
        <v/>
      </c>
      <c r="I1079" s="192" t="str">
        <f aca="false">IF(AND('NOVIEMBRE 2026'!D33&lt;&gt;"",'NOVIEMBRE 2026'!Z33="POR RECOGER"),'NOVIEMBRE 2026'!P33,"")</f>
        <v/>
      </c>
      <c r="J1079" s="192" t="str">
        <f aca="false">IF(AND('NOVIEMBRE 2026'!D33&lt;&gt;"",'NOVIEMBRE 2026'!Z33="POR RECOGER"),'NOVIEMBRE 2026'!Q33,"")</f>
        <v/>
      </c>
      <c r="K1079" s="192" t="str">
        <f aca="false">IF(AND('NOVIEMBRE 2026'!D33&lt;&gt;"",'NOVIEMBRE 2026'!Z33="POR RECOGER"),'NOVIEMBRE 2026'!Y33,"")</f>
        <v/>
      </c>
      <c r="L1079" s="192" t="str">
        <f aca="false">IF(AND('NOVIEMBRE 2026'!D33&lt;&gt;"",'NOVIEMBRE 2026'!Z33="POR RECOGER"),'NOVIEMBRE 2026'!I33,"")</f>
        <v/>
      </c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customFormat="false" ht="15" hidden="false" customHeight="true" outlineLevel="0" collapsed="false">
      <c r="A1080" s="192" t="str">
        <f aca="false">IF(AND('NOVIEMBRE 2026'!D34&lt;&gt;"",'NOVIEMBRE 2026'!Z34="POR RECOGER"),"NOV","")</f>
        <v/>
      </c>
      <c r="B1080" s="192" t="str">
        <f aca="false">IF(AND('NOVIEMBRE 2026'!D34&lt;&gt;"",'NOVIEMBRE 2026'!Z34="POR RECOGER"),IF('NOVIEMBRE 2026'!Y34&lt;&gt;"",'NOVIEMBRE 2026'!Y34,'NOVIEMBRE 2026'!I34),"")</f>
        <v/>
      </c>
      <c r="C1080" s="192" t="str">
        <f aca="false">IF(AND('NOVIEMBRE 2026'!D34&lt;&gt;"",'NOVIEMBRE 2026'!Z34="POR RECOGER"),'NOVIEMBRE 2026'!D34,"")</f>
        <v/>
      </c>
      <c r="D1080" s="192" t="str">
        <f aca="false">IF(AND('NOVIEMBRE 2026'!D34&lt;&gt;"",'NOVIEMBRE 2026'!Z34="POR RECOGER"),'NOVIEMBRE 2026'!F34,"")</f>
        <v/>
      </c>
      <c r="E1080" s="192" t="str">
        <f aca="false">IF(AND('NOVIEMBRE 2026'!D34&lt;&gt;"",'NOVIEMBRE 2026'!Z34="POR RECOGER"),TEXT('NOVIEMBRE 2026'!G34,"DD/MM/YYYY"),"")</f>
        <v/>
      </c>
      <c r="F1080" s="192" t="str">
        <f aca="false">IF(AND('NOVIEMBRE 2026'!D34&lt;&gt;"",'NOVIEMBRE 2026'!Z34="POR RECOGER"),'NOVIEMBRE 2026'!K34,"")</f>
        <v/>
      </c>
      <c r="G1080" s="193" t="str">
        <f aca="false">IF(AND('NOVIEMBRE 2026'!D34&lt;&gt;"",'NOVIEMBRE 2026'!Z34="POR RECOGER"),'NOVIEMBRE 2026'!M34,"")</f>
        <v/>
      </c>
      <c r="H1080" s="193" t="str">
        <f aca="false">IF(AND('NOVIEMBRE 2026'!D34&lt;&gt;"",'NOVIEMBRE 2026'!Z34="POR RECOGER"),'NOVIEMBRE 2026'!N34,"")</f>
        <v/>
      </c>
      <c r="I1080" s="192" t="str">
        <f aca="false">IF(AND('NOVIEMBRE 2026'!D34&lt;&gt;"",'NOVIEMBRE 2026'!Z34="POR RECOGER"),'NOVIEMBRE 2026'!P34,"")</f>
        <v/>
      </c>
      <c r="J1080" s="192" t="str">
        <f aca="false">IF(AND('NOVIEMBRE 2026'!D34&lt;&gt;"",'NOVIEMBRE 2026'!Z34="POR RECOGER"),'NOVIEMBRE 2026'!Q34,"")</f>
        <v/>
      </c>
      <c r="K1080" s="192" t="str">
        <f aca="false">IF(AND('NOVIEMBRE 2026'!D34&lt;&gt;"",'NOVIEMBRE 2026'!Z34="POR RECOGER"),'NOVIEMBRE 2026'!Y34,"")</f>
        <v/>
      </c>
      <c r="L1080" s="192" t="str">
        <f aca="false">IF(AND('NOVIEMBRE 2026'!D34&lt;&gt;"",'NOVIEMBRE 2026'!Z34="POR RECOGER"),'NOVIEMBRE 2026'!I34,"")</f>
        <v/>
      </c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customFormat="false" ht="15" hidden="false" customHeight="true" outlineLevel="0" collapsed="false">
      <c r="A1081" s="192" t="str">
        <f aca="false">IF(AND('NOVIEMBRE 2026'!D35&lt;&gt;"",'NOVIEMBRE 2026'!Z35="POR RECOGER"),"NOV","")</f>
        <v/>
      </c>
      <c r="B1081" s="192" t="str">
        <f aca="false">IF(AND('NOVIEMBRE 2026'!D35&lt;&gt;"",'NOVIEMBRE 2026'!Z35="POR RECOGER"),IF('NOVIEMBRE 2026'!Y35&lt;&gt;"",'NOVIEMBRE 2026'!Y35,'NOVIEMBRE 2026'!I35),"")</f>
        <v/>
      </c>
      <c r="C1081" s="192" t="str">
        <f aca="false">IF(AND('NOVIEMBRE 2026'!D35&lt;&gt;"",'NOVIEMBRE 2026'!Z35="POR RECOGER"),'NOVIEMBRE 2026'!D35,"")</f>
        <v/>
      </c>
      <c r="D1081" s="192" t="str">
        <f aca="false">IF(AND('NOVIEMBRE 2026'!D35&lt;&gt;"",'NOVIEMBRE 2026'!Z35="POR RECOGER"),'NOVIEMBRE 2026'!F35,"")</f>
        <v/>
      </c>
      <c r="E1081" s="192" t="str">
        <f aca="false">IF(AND('NOVIEMBRE 2026'!D35&lt;&gt;"",'NOVIEMBRE 2026'!Z35="POR RECOGER"),TEXT('NOVIEMBRE 2026'!G35,"DD/MM/YYYY"),"")</f>
        <v/>
      </c>
      <c r="F1081" s="192" t="str">
        <f aca="false">IF(AND('NOVIEMBRE 2026'!D35&lt;&gt;"",'NOVIEMBRE 2026'!Z35="POR RECOGER"),'NOVIEMBRE 2026'!K35,"")</f>
        <v/>
      </c>
      <c r="G1081" s="193" t="str">
        <f aca="false">IF(AND('NOVIEMBRE 2026'!D35&lt;&gt;"",'NOVIEMBRE 2026'!Z35="POR RECOGER"),'NOVIEMBRE 2026'!M35,"")</f>
        <v/>
      </c>
      <c r="H1081" s="193" t="str">
        <f aca="false">IF(AND('NOVIEMBRE 2026'!D35&lt;&gt;"",'NOVIEMBRE 2026'!Z35="POR RECOGER"),'NOVIEMBRE 2026'!N35,"")</f>
        <v/>
      </c>
      <c r="I1081" s="192" t="str">
        <f aca="false">IF(AND('NOVIEMBRE 2026'!D35&lt;&gt;"",'NOVIEMBRE 2026'!Z35="POR RECOGER"),'NOVIEMBRE 2026'!P35,"")</f>
        <v/>
      </c>
      <c r="J1081" s="192" t="str">
        <f aca="false">IF(AND('NOVIEMBRE 2026'!D35&lt;&gt;"",'NOVIEMBRE 2026'!Z35="POR RECOGER"),'NOVIEMBRE 2026'!Q35,"")</f>
        <v/>
      </c>
      <c r="K1081" s="192" t="str">
        <f aca="false">IF(AND('NOVIEMBRE 2026'!D35&lt;&gt;"",'NOVIEMBRE 2026'!Z35="POR RECOGER"),'NOVIEMBRE 2026'!Y35,"")</f>
        <v/>
      </c>
      <c r="L1081" s="192" t="str">
        <f aca="false">IF(AND('NOVIEMBRE 2026'!D35&lt;&gt;"",'NOVIEMBRE 2026'!Z35="POR RECOGER"),'NOVIEMBRE 2026'!I35,"")</f>
        <v/>
      </c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customFormat="false" ht="15" hidden="false" customHeight="true" outlineLevel="0" collapsed="false">
      <c r="A1082" s="192" t="str">
        <f aca="false">IF(AND('NOVIEMBRE 2026'!D36&lt;&gt;"",'NOVIEMBRE 2026'!Z36="POR RECOGER"),"NOV","")</f>
        <v/>
      </c>
      <c r="B1082" s="192" t="str">
        <f aca="false">IF(AND('NOVIEMBRE 2026'!D36&lt;&gt;"",'NOVIEMBRE 2026'!Z36="POR RECOGER"),IF('NOVIEMBRE 2026'!Y36&lt;&gt;"",'NOVIEMBRE 2026'!Y36,'NOVIEMBRE 2026'!I36),"")</f>
        <v/>
      </c>
      <c r="C1082" s="192" t="str">
        <f aca="false">IF(AND('NOVIEMBRE 2026'!D36&lt;&gt;"",'NOVIEMBRE 2026'!Z36="POR RECOGER"),'NOVIEMBRE 2026'!D36,"")</f>
        <v/>
      </c>
      <c r="D1082" s="192" t="str">
        <f aca="false">IF(AND('NOVIEMBRE 2026'!D36&lt;&gt;"",'NOVIEMBRE 2026'!Z36="POR RECOGER"),'NOVIEMBRE 2026'!F36,"")</f>
        <v/>
      </c>
      <c r="E1082" s="192" t="str">
        <f aca="false">IF(AND('NOVIEMBRE 2026'!D36&lt;&gt;"",'NOVIEMBRE 2026'!Z36="POR RECOGER"),TEXT('NOVIEMBRE 2026'!G36,"DD/MM/YYYY"),"")</f>
        <v/>
      </c>
      <c r="F1082" s="192" t="str">
        <f aca="false">IF(AND('NOVIEMBRE 2026'!D36&lt;&gt;"",'NOVIEMBRE 2026'!Z36="POR RECOGER"),'NOVIEMBRE 2026'!K36,"")</f>
        <v/>
      </c>
      <c r="G1082" s="193" t="str">
        <f aca="false">IF(AND('NOVIEMBRE 2026'!D36&lt;&gt;"",'NOVIEMBRE 2026'!Z36="POR RECOGER"),'NOVIEMBRE 2026'!M36,"")</f>
        <v/>
      </c>
      <c r="H1082" s="193" t="str">
        <f aca="false">IF(AND('NOVIEMBRE 2026'!D36&lt;&gt;"",'NOVIEMBRE 2026'!Z36="POR RECOGER"),'NOVIEMBRE 2026'!N36,"")</f>
        <v/>
      </c>
      <c r="I1082" s="192" t="str">
        <f aca="false">IF(AND('NOVIEMBRE 2026'!D36&lt;&gt;"",'NOVIEMBRE 2026'!Z36="POR RECOGER"),'NOVIEMBRE 2026'!P36,"")</f>
        <v/>
      </c>
      <c r="J1082" s="192" t="str">
        <f aca="false">IF(AND('NOVIEMBRE 2026'!D36&lt;&gt;"",'NOVIEMBRE 2026'!Z36="POR RECOGER"),'NOVIEMBRE 2026'!Q36,"")</f>
        <v/>
      </c>
      <c r="K1082" s="192" t="str">
        <f aca="false">IF(AND('NOVIEMBRE 2026'!D36&lt;&gt;"",'NOVIEMBRE 2026'!Z36="POR RECOGER"),'NOVIEMBRE 2026'!Y36,"")</f>
        <v/>
      </c>
      <c r="L1082" s="192" t="str">
        <f aca="false">IF(AND('NOVIEMBRE 2026'!D36&lt;&gt;"",'NOVIEMBRE 2026'!Z36="POR RECOGER"),'NOVIEMBRE 2026'!I36,"")</f>
        <v/>
      </c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customFormat="false" ht="15" hidden="false" customHeight="true" outlineLevel="0" collapsed="false">
      <c r="A1083" s="192" t="str">
        <f aca="false">IF(AND('NOVIEMBRE 2026'!D37&lt;&gt;"",'NOVIEMBRE 2026'!Z37="POR RECOGER"),"NOV","")</f>
        <v/>
      </c>
      <c r="B1083" s="192" t="str">
        <f aca="false">IF(AND('NOVIEMBRE 2026'!D37&lt;&gt;"",'NOVIEMBRE 2026'!Z37="POR RECOGER"),IF('NOVIEMBRE 2026'!Y37&lt;&gt;"",'NOVIEMBRE 2026'!Y37,'NOVIEMBRE 2026'!I37),"")</f>
        <v/>
      </c>
      <c r="C1083" s="192" t="str">
        <f aca="false">IF(AND('NOVIEMBRE 2026'!D37&lt;&gt;"",'NOVIEMBRE 2026'!Z37="POR RECOGER"),'NOVIEMBRE 2026'!D37,"")</f>
        <v/>
      </c>
      <c r="D1083" s="192" t="str">
        <f aca="false">IF(AND('NOVIEMBRE 2026'!D37&lt;&gt;"",'NOVIEMBRE 2026'!Z37="POR RECOGER"),'NOVIEMBRE 2026'!F37,"")</f>
        <v/>
      </c>
      <c r="E1083" s="192" t="str">
        <f aca="false">IF(AND('NOVIEMBRE 2026'!D37&lt;&gt;"",'NOVIEMBRE 2026'!Z37="POR RECOGER"),TEXT('NOVIEMBRE 2026'!G37,"DD/MM/YYYY"),"")</f>
        <v/>
      </c>
      <c r="F1083" s="192" t="str">
        <f aca="false">IF(AND('NOVIEMBRE 2026'!D37&lt;&gt;"",'NOVIEMBRE 2026'!Z37="POR RECOGER"),'NOVIEMBRE 2026'!K37,"")</f>
        <v/>
      </c>
      <c r="G1083" s="193" t="str">
        <f aca="false">IF(AND('NOVIEMBRE 2026'!D37&lt;&gt;"",'NOVIEMBRE 2026'!Z37="POR RECOGER"),'NOVIEMBRE 2026'!M37,"")</f>
        <v/>
      </c>
      <c r="H1083" s="193" t="str">
        <f aca="false">IF(AND('NOVIEMBRE 2026'!D37&lt;&gt;"",'NOVIEMBRE 2026'!Z37="POR RECOGER"),'NOVIEMBRE 2026'!N37,"")</f>
        <v/>
      </c>
      <c r="I1083" s="192" t="str">
        <f aca="false">IF(AND('NOVIEMBRE 2026'!D37&lt;&gt;"",'NOVIEMBRE 2026'!Z37="POR RECOGER"),'NOVIEMBRE 2026'!P37,"")</f>
        <v/>
      </c>
      <c r="J1083" s="192" t="str">
        <f aca="false">IF(AND('NOVIEMBRE 2026'!D37&lt;&gt;"",'NOVIEMBRE 2026'!Z37="POR RECOGER"),'NOVIEMBRE 2026'!Q37,"")</f>
        <v/>
      </c>
      <c r="K1083" s="192" t="str">
        <f aca="false">IF(AND('NOVIEMBRE 2026'!D37&lt;&gt;"",'NOVIEMBRE 2026'!Z37="POR RECOGER"),'NOVIEMBRE 2026'!Y37,"")</f>
        <v/>
      </c>
      <c r="L1083" s="192" t="str">
        <f aca="false">IF(AND('NOVIEMBRE 2026'!D37&lt;&gt;"",'NOVIEMBRE 2026'!Z37="POR RECOGER"),'NOVIEMBRE 2026'!I37,"")</f>
        <v/>
      </c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customFormat="false" ht="15" hidden="false" customHeight="true" outlineLevel="0" collapsed="false">
      <c r="A1084" s="192" t="str">
        <f aca="false">IF(AND('NOVIEMBRE 2026'!D38&lt;&gt;"",'NOVIEMBRE 2026'!Z38="POR RECOGER"),"NOV","")</f>
        <v/>
      </c>
      <c r="B1084" s="192" t="str">
        <f aca="false">IF(AND('NOVIEMBRE 2026'!D38&lt;&gt;"",'NOVIEMBRE 2026'!Z38="POR RECOGER"),IF('NOVIEMBRE 2026'!Y38&lt;&gt;"",'NOVIEMBRE 2026'!Y38,'NOVIEMBRE 2026'!I38),"")</f>
        <v/>
      </c>
      <c r="C1084" s="192" t="str">
        <f aca="false">IF(AND('NOVIEMBRE 2026'!D38&lt;&gt;"",'NOVIEMBRE 2026'!Z38="POR RECOGER"),'NOVIEMBRE 2026'!D38,"")</f>
        <v/>
      </c>
      <c r="D1084" s="192" t="str">
        <f aca="false">IF(AND('NOVIEMBRE 2026'!D38&lt;&gt;"",'NOVIEMBRE 2026'!Z38="POR RECOGER"),'NOVIEMBRE 2026'!F38,"")</f>
        <v/>
      </c>
      <c r="E1084" s="192" t="str">
        <f aca="false">IF(AND('NOVIEMBRE 2026'!D38&lt;&gt;"",'NOVIEMBRE 2026'!Z38="POR RECOGER"),TEXT('NOVIEMBRE 2026'!G38,"DD/MM/YYYY"),"")</f>
        <v/>
      </c>
      <c r="F1084" s="192" t="str">
        <f aca="false">IF(AND('NOVIEMBRE 2026'!D38&lt;&gt;"",'NOVIEMBRE 2026'!Z38="POR RECOGER"),'NOVIEMBRE 2026'!K38,"")</f>
        <v/>
      </c>
      <c r="G1084" s="193" t="str">
        <f aca="false">IF(AND('NOVIEMBRE 2026'!D38&lt;&gt;"",'NOVIEMBRE 2026'!Z38="POR RECOGER"),'NOVIEMBRE 2026'!M38,"")</f>
        <v/>
      </c>
      <c r="H1084" s="193" t="str">
        <f aca="false">IF(AND('NOVIEMBRE 2026'!D38&lt;&gt;"",'NOVIEMBRE 2026'!Z38="POR RECOGER"),'NOVIEMBRE 2026'!N38,"")</f>
        <v/>
      </c>
      <c r="I1084" s="192" t="str">
        <f aca="false">IF(AND('NOVIEMBRE 2026'!D38&lt;&gt;"",'NOVIEMBRE 2026'!Z38="POR RECOGER"),'NOVIEMBRE 2026'!P38,"")</f>
        <v/>
      </c>
      <c r="J1084" s="192" t="str">
        <f aca="false">IF(AND('NOVIEMBRE 2026'!D38&lt;&gt;"",'NOVIEMBRE 2026'!Z38="POR RECOGER"),'NOVIEMBRE 2026'!Q38,"")</f>
        <v/>
      </c>
      <c r="K1084" s="192" t="str">
        <f aca="false">IF(AND('NOVIEMBRE 2026'!D38&lt;&gt;"",'NOVIEMBRE 2026'!Z38="POR RECOGER"),'NOVIEMBRE 2026'!Y38,"")</f>
        <v/>
      </c>
      <c r="L1084" s="192" t="str">
        <f aca="false">IF(AND('NOVIEMBRE 2026'!D38&lt;&gt;"",'NOVIEMBRE 2026'!Z38="POR RECOGER"),'NOVIEMBRE 2026'!I38,"")</f>
        <v/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customFormat="false" ht="15" hidden="false" customHeight="true" outlineLevel="0" collapsed="false">
      <c r="A1085" s="192" t="str">
        <f aca="false">IF(AND('NOVIEMBRE 2026'!D39&lt;&gt;"",'NOVIEMBRE 2026'!Z39="POR RECOGER"),"NOV","")</f>
        <v/>
      </c>
      <c r="B1085" s="192" t="str">
        <f aca="false">IF(AND('NOVIEMBRE 2026'!D39&lt;&gt;"",'NOVIEMBRE 2026'!Z39="POR RECOGER"),IF('NOVIEMBRE 2026'!Y39&lt;&gt;"",'NOVIEMBRE 2026'!Y39,'NOVIEMBRE 2026'!I39),"")</f>
        <v/>
      </c>
      <c r="C1085" s="192" t="str">
        <f aca="false">IF(AND('NOVIEMBRE 2026'!D39&lt;&gt;"",'NOVIEMBRE 2026'!Z39="POR RECOGER"),'NOVIEMBRE 2026'!D39,"")</f>
        <v/>
      </c>
      <c r="D1085" s="192" t="str">
        <f aca="false">IF(AND('NOVIEMBRE 2026'!D39&lt;&gt;"",'NOVIEMBRE 2026'!Z39="POR RECOGER"),'NOVIEMBRE 2026'!F39,"")</f>
        <v/>
      </c>
      <c r="E1085" s="192" t="str">
        <f aca="false">IF(AND('NOVIEMBRE 2026'!D39&lt;&gt;"",'NOVIEMBRE 2026'!Z39="POR RECOGER"),TEXT('NOVIEMBRE 2026'!G39,"DD/MM/YYYY"),"")</f>
        <v/>
      </c>
      <c r="F1085" s="192" t="str">
        <f aca="false">IF(AND('NOVIEMBRE 2026'!D39&lt;&gt;"",'NOVIEMBRE 2026'!Z39="POR RECOGER"),'NOVIEMBRE 2026'!K39,"")</f>
        <v/>
      </c>
      <c r="G1085" s="193" t="str">
        <f aca="false">IF(AND('NOVIEMBRE 2026'!D39&lt;&gt;"",'NOVIEMBRE 2026'!Z39="POR RECOGER"),'NOVIEMBRE 2026'!M39,"")</f>
        <v/>
      </c>
      <c r="H1085" s="193" t="str">
        <f aca="false">IF(AND('NOVIEMBRE 2026'!D39&lt;&gt;"",'NOVIEMBRE 2026'!Z39="POR RECOGER"),'NOVIEMBRE 2026'!N39,"")</f>
        <v/>
      </c>
      <c r="I1085" s="192" t="str">
        <f aca="false">IF(AND('NOVIEMBRE 2026'!D39&lt;&gt;"",'NOVIEMBRE 2026'!Z39="POR RECOGER"),'NOVIEMBRE 2026'!P39,"")</f>
        <v/>
      </c>
      <c r="J1085" s="192" t="str">
        <f aca="false">IF(AND('NOVIEMBRE 2026'!D39&lt;&gt;"",'NOVIEMBRE 2026'!Z39="POR RECOGER"),'NOVIEMBRE 2026'!Q39,"")</f>
        <v/>
      </c>
      <c r="K1085" s="192" t="str">
        <f aca="false">IF(AND('NOVIEMBRE 2026'!D39&lt;&gt;"",'NOVIEMBRE 2026'!Z39="POR RECOGER"),'NOVIEMBRE 2026'!Y39,"")</f>
        <v/>
      </c>
      <c r="L1085" s="192" t="str">
        <f aca="false">IF(AND('NOVIEMBRE 2026'!D39&lt;&gt;"",'NOVIEMBRE 2026'!Z39="POR RECOGER"),'NOVIEMBRE 2026'!I39,"")</f>
        <v/>
      </c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customFormat="false" ht="15" hidden="false" customHeight="true" outlineLevel="0" collapsed="false">
      <c r="A1086" s="192" t="str">
        <f aca="false">IF(AND('NOVIEMBRE 2026'!D40&lt;&gt;"",'NOVIEMBRE 2026'!Z40="POR RECOGER"),"NOV","")</f>
        <v/>
      </c>
      <c r="B1086" s="192" t="str">
        <f aca="false">IF(AND('NOVIEMBRE 2026'!D40&lt;&gt;"",'NOVIEMBRE 2026'!Z40="POR RECOGER"),IF('NOVIEMBRE 2026'!Y40&lt;&gt;"",'NOVIEMBRE 2026'!Y40,'NOVIEMBRE 2026'!I40),"")</f>
        <v/>
      </c>
      <c r="C1086" s="192" t="str">
        <f aca="false">IF(AND('NOVIEMBRE 2026'!D40&lt;&gt;"",'NOVIEMBRE 2026'!Z40="POR RECOGER"),'NOVIEMBRE 2026'!D40,"")</f>
        <v/>
      </c>
      <c r="D1086" s="192" t="str">
        <f aca="false">IF(AND('NOVIEMBRE 2026'!D40&lt;&gt;"",'NOVIEMBRE 2026'!Z40="POR RECOGER"),'NOVIEMBRE 2026'!F40,"")</f>
        <v/>
      </c>
      <c r="E1086" s="192" t="str">
        <f aca="false">IF(AND('NOVIEMBRE 2026'!D40&lt;&gt;"",'NOVIEMBRE 2026'!Z40="POR RECOGER"),TEXT('NOVIEMBRE 2026'!G40,"DD/MM/YYYY"),"")</f>
        <v/>
      </c>
      <c r="F1086" s="192" t="str">
        <f aca="false">IF(AND('NOVIEMBRE 2026'!D40&lt;&gt;"",'NOVIEMBRE 2026'!Z40="POR RECOGER"),'NOVIEMBRE 2026'!K40,"")</f>
        <v/>
      </c>
      <c r="G1086" s="193" t="str">
        <f aca="false">IF(AND('NOVIEMBRE 2026'!D40&lt;&gt;"",'NOVIEMBRE 2026'!Z40="POR RECOGER"),'NOVIEMBRE 2026'!M40,"")</f>
        <v/>
      </c>
      <c r="H1086" s="193" t="str">
        <f aca="false">IF(AND('NOVIEMBRE 2026'!D40&lt;&gt;"",'NOVIEMBRE 2026'!Z40="POR RECOGER"),'NOVIEMBRE 2026'!N40,"")</f>
        <v/>
      </c>
      <c r="I1086" s="192" t="str">
        <f aca="false">IF(AND('NOVIEMBRE 2026'!D40&lt;&gt;"",'NOVIEMBRE 2026'!Z40="POR RECOGER"),'NOVIEMBRE 2026'!P40,"")</f>
        <v/>
      </c>
      <c r="J1086" s="192" t="str">
        <f aca="false">IF(AND('NOVIEMBRE 2026'!D40&lt;&gt;"",'NOVIEMBRE 2026'!Z40="POR RECOGER"),'NOVIEMBRE 2026'!Q40,"")</f>
        <v/>
      </c>
      <c r="K1086" s="192" t="str">
        <f aca="false">IF(AND('NOVIEMBRE 2026'!D40&lt;&gt;"",'NOVIEMBRE 2026'!Z40="POR RECOGER"),'NOVIEMBRE 2026'!Y40,"")</f>
        <v/>
      </c>
      <c r="L1086" s="192" t="str">
        <f aca="false">IF(AND('NOVIEMBRE 2026'!D40&lt;&gt;"",'NOVIEMBRE 2026'!Z40="POR RECOGER"),'NOVIEMBRE 2026'!I40,"")</f>
        <v/>
      </c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customFormat="false" ht="15" hidden="false" customHeight="true" outlineLevel="0" collapsed="false">
      <c r="A1087" s="192" t="str">
        <f aca="false">IF(AND('NOVIEMBRE 2026'!D41&lt;&gt;"",'NOVIEMBRE 2026'!Z41="POR RECOGER"),"NOV","")</f>
        <v/>
      </c>
      <c r="B1087" s="192" t="str">
        <f aca="false">IF(AND('NOVIEMBRE 2026'!D41&lt;&gt;"",'NOVIEMBRE 2026'!Z41="POR RECOGER"),IF('NOVIEMBRE 2026'!Y41&lt;&gt;"",'NOVIEMBRE 2026'!Y41,'NOVIEMBRE 2026'!I41),"")</f>
        <v/>
      </c>
      <c r="C1087" s="192" t="str">
        <f aca="false">IF(AND('NOVIEMBRE 2026'!D41&lt;&gt;"",'NOVIEMBRE 2026'!Z41="POR RECOGER"),'NOVIEMBRE 2026'!D41,"")</f>
        <v/>
      </c>
      <c r="D1087" s="192" t="str">
        <f aca="false">IF(AND('NOVIEMBRE 2026'!D41&lt;&gt;"",'NOVIEMBRE 2026'!Z41="POR RECOGER"),'NOVIEMBRE 2026'!F41,"")</f>
        <v/>
      </c>
      <c r="E1087" s="192" t="str">
        <f aca="false">IF(AND('NOVIEMBRE 2026'!D41&lt;&gt;"",'NOVIEMBRE 2026'!Z41="POR RECOGER"),TEXT('NOVIEMBRE 2026'!G41,"DD/MM/YYYY"),"")</f>
        <v/>
      </c>
      <c r="F1087" s="192" t="str">
        <f aca="false">IF(AND('NOVIEMBRE 2026'!D41&lt;&gt;"",'NOVIEMBRE 2026'!Z41="POR RECOGER"),'NOVIEMBRE 2026'!K41,"")</f>
        <v/>
      </c>
      <c r="G1087" s="193" t="str">
        <f aca="false">IF(AND('NOVIEMBRE 2026'!D41&lt;&gt;"",'NOVIEMBRE 2026'!Z41="POR RECOGER"),'NOVIEMBRE 2026'!M41,"")</f>
        <v/>
      </c>
      <c r="H1087" s="193" t="str">
        <f aca="false">IF(AND('NOVIEMBRE 2026'!D41&lt;&gt;"",'NOVIEMBRE 2026'!Z41="POR RECOGER"),'NOVIEMBRE 2026'!N41,"")</f>
        <v/>
      </c>
      <c r="I1087" s="192" t="str">
        <f aca="false">IF(AND('NOVIEMBRE 2026'!D41&lt;&gt;"",'NOVIEMBRE 2026'!Z41="POR RECOGER"),'NOVIEMBRE 2026'!P41,"")</f>
        <v/>
      </c>
      <c r="J1087" s="192" t="str">
        <f aca="false">IF(AND('NOVIEMBRE 2026'!D41&lt;&gt;"",'NOVIEMBRE 2026'!Z41="POR RECOGER"),'NOVIEMBRE 2026'!Q41,"")</f>
        <v/>
      </c>
      <c r="K1087" s="192" t="str">
        <f aca="false">IF(AND('NOVIEMBRE 2026'!D41&lt;&gt;"",'NOVIEMBRE 2026'!Z41="POR RECOGER"),'NOVIEMBRE 2026'!Y41,"")</f>
        <v/>
      </c>
      <c r="L1087" s="192" t="str">
        <f aca="false">IF(AND('NOVIEMBRE 2026'!D41&lt;&gt;"",'NOVIEMBRE 2026'!Z41="POR RECOGER"),'NOVIEMBRE 2026'!I41,"")</f>
        <v/>
      </c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customFormat="false" ht="15" hidden="false" customHeight="true" outlineLevel="0" collapsed="false">
      <c r="A1088" s="192" t="str">
        <f aca="false">IF(AND('NOVIEMBRE 2026'!D42&lt;&gt;"",'NOVIEMBRE 2026'!Z42="POR RECOGER"),"NOV","")</f>
        <v/>
      </c>
      <c r="B1088" s="192" t="str">
        <f aca="false">IF(AND('NOVIEMBRE 2026'!D42&lt;&gt;"",'NOVIEMBRE 2026'!Z42="POR RECOGER"),IF('NOVIEMBRE 2026'!Y42&lt;&gt;"",'NOVIEMBRE 2026'!Y42,'NOVIEMBRE 2026'!I42),"")</f>
        <v/>
      </c>
      <c r="C1088" s="192" t="str">
        <f aca="false">IF(AND('NOVIEMBRE 2026'!D42&lt;&gt;"",'NOVIEMBRE 2026'!Z42="POR RECOGER"),'NOVIEMBRE 2026'!D42,"")</f>
        <v/>
      </c>
      <c r="D1088" s="192" t="str">
        <f aca="false">IF(AND('NOVIEMBRE 2026'!D42&lt;&gt;"",'NOVIEMBRE 2026'!Z42="POR RECOGER"),'NOVIEMBRE 2026'!F42,"")</f>
        <v/>
      </c>
      <c r="E1088" s="192" t="str">
        <f aca="false">IF(AND('NOVIEMBRE 2026'!D42&lt;&gt;"",'NOVIEMBRE 2026'!Z42="POR RECOGER"),TEXT('NOVIEMBRE 2026'!G42,"DD/MM/YYYY"),"")</f>
        <v/>
      </c>
      <c r="F1088" s="192" t="str">
        <f aca="false">IF(AND('NOVIEMBRE 2026'!D42&lt;&gt;"",'NOVIEMBRE 2026'!Z42="POR RECOGER"),'NOVIEMBRE 2026'!K42,"")</f>
        <v/>
      </c>
      <c r="G1088" s="193" t="str">
        <f aca="false">IF(AND('NOVIEMBRE 2026'!D42&lt;&gt;"",'NOVIEMBRE 2026'!Z42="POR RECOGER"),'NOVIEMBRE 2026'!M42,"")</f>
        <v/>
      </c>
      <c r="H1088" s="193" t="str">
        <f aca="false">IF(AND('NOVIEMBRE 2026'!D42&lt;&gt;"",'NOVIEMBRE 2026'!Z42="POR RECOGER"),'NOVIEMBRE 2026'!N42,"")</f>
        <v/>
      </c>
      <c r="I1088" s="192" t="str">
        <f aca="false">IF(AND('NOVIEMBRE 2026'!D42&lt;&gt;"",'NOVIEMBRE 2026'!Z42="POR RECOGER"),'NOVIEMBRE 2026'!P42,"")</f>
        <v/>
      </c>
      <c r="J1088" s="192" t="str">
        <f aca="false">IF(AND('NOVIEMBRE 2026'!D42&lt;&gt;"",'NOVIEMBRE 2026'!Z42="POR RECOGER"),'NOVIEMBRE 2026'!Q42,"")</f>
        <v/>
      </c>
      <c r="K1088" s="192" t="str">
        <f aca="false">IF(AND('NOVIEMBRE 2026'!D42&lt;&gt;"",'NOVIEMBRE 2026'!Z42="POR RECOGER"),'NOVIEMBRE 2026'!Y42,"")</f>
        <v/>
      </c>
      <c r="L1088" s="192" t="str">
        <f aca="false">IF(AND('NOVIEMBRE 2026'!D42&lt;&gt;"",'NOVIEMBRE 2026'!Z42="POR RECOGER"),'NOVIEMBRE 2026'!I42,"")</f>
        <v/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customFormat="false" ht="15" hidden="false" customHeight="true" outlineLevel="0" collapsed="false">
      <c r="A1089" s="192" t="str">
        <f aca="false">IF(AND('NOVIEMBRE 2026'!D43&lt;&gt;"",'NOVIEMBRE 2026'!Z43="POR RECOGER"),"NOV","")</f>
        <v/>
      </c>
      <c r="B1089" s="192" t="str">
        <f aca="false">IF(AND('NOVIEMBRE 2026'!D43&lt;&gt;"",'NOVIEMBRE 2026'!Z43="POR RECOGER"),IF('NOVIEMBRE 2026'!Y43&lt;&gt;"",'NOVIEMBRE 2026'!Y43,'NOVIEMBRE 2026'!I43),"")</f>
        <v/>
      </c>
      <c r="C1089" s="192" t="str">
        <f aca="false">IF(AND('NOVIEMBRE 2026'!D43&lt;&gt;"",'NOVIEMBRE 2026'!Z43="POR RECOGER"),'NOVIEMBRE 2026'!D43,"")</f>
        <v/>
      </c>
      <c r="D1089" s="192" t="str">
        <f aca="false">IF(AND('NOVIEMBRE 2026'!D43&lt;&gt;"",'NOVIEMBRE 2026'!Z43="POR RECOGER"),'NOVIEMBRE 2026'!F43,"")</f>
        <v/>
      </c>
      <c r="E1089" s="192" t="str">
        <f aca="false">IF(AND('NOVIEMBRE 2026'!D43&lt;&gt;"",'NOVIEMBRE 2026'!Z43="POR RECOGER"),TEXT('NOVIEMBRE 2026'!G43,"DD/MM/YYYY"),"")</f>
        <v/>
      </c>
      <c r="F1089" s="192" t="str">
        <f aca="false">IF(AND('NOVIEMBRE 2026'!D43&lt;&gt;"",'NOVIEMBRE 2026'!Z43="POR RECOGER"),'NOVIEMBRE 2026'!K43,"")</f>
        <v/>
      </c>
      <c r="G1089" s="193" t="str">
        <f aca="false">IF(AND('NOVIEMBRE 2026'!D43&lt;&gt;"",'NOVIEMBRE 2026'!Z43="POR RECOGER"),'NOVIEMBRE 2026'!M43,"")</f>
        <v/>
      </c>
      <c r="H1089" s="193" t="str">
        <f aca="false">IF(AND('NOVIEMBRE 2026'!D43&lt;&gt;"",'NOVIEMBRE 2026'!Z43="POR RECOGER"),'NOVIEMBRE 2026'!N43,"")</f>
        <v/>
      </c>
      <c r="I1089" s="192" t="str">
        <f aca="false">IF(AND('NOVIEMBRE 2026'!D43&lt;&gt;"",'NOVIEMBRE 2026'!Z43="POR RECOGER"),'NOVIEMBRE 2026'!P43,"")</f>
        <v/>
      </c>
      <c r="J1089" s="192" t="str">
        <f aca="false">IF(AND('NOVIEMBRE 2026'!D43&lt;&gt;"",'NOVIEMBRE 2026'!Z43="POR RECOGER"),'NOVIEMBRE 2026'!Q43,"")</f>
        <v/>
      </c>
      <c r="K1089" s="192" t="str">
        <f aca="false">IF(AND('NOVIEMBRE 2026'!D43&lt;&gt;"",'NOVIEMBRE 2026'!Z43="POR RECOGER"),'NOVIEMBRE 2026'!Y43,"")</f>
        <v/>
      </c>
      <c r="L1089" s="192" t="str">
        <f aca="false">IF(AND('NOVIEMBRE 2026'!D43&lt;&gt;"",'NOVIEMBRE 2026'!Z43="POR RECOGER"),'NOVIEMBRE 2026'!I43,"")</f>
        <v/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customFormat="false" ht="15" hidden="false" customHeight="true" outlineLevel="0" collapsed="false">
      <c r="A1090" s="192" t="str">
        <f aca="false">IF(AND('NOVIEMBRE 2026'!D44&lt;&gt;"",'NOVIEMBRE 2026'!Z44="POR RECOGER"),"NOV","")</f>
        <v/>
      </c>
      <c r="B1090" s="192" t="str">
        <f aca="false">IF(AND('NOVIEMBRE 2026'!D44&lt;&gt;"",'NOVIEMBRE 2026'!Z44="POR RECOGER"),IF('NOVIEMBRE 2026'!Y44&lt;&gt;"",'NOVIEMBRE 2026'!Y44,'NOVIEMBRE 2026'!I44),"")</f>
        <v/>
      </c>
      <c r="C1090" s="192" t="str">
        <f aca="false">IF(AND('NOVIEMBRE 2026'!D44&lt;&gt;"",'NOVIEMBRE 2026'!Z44="POR RECOGER"),'NOVIEMBRE 2026'!D44,"")</f>
        <v/>
      </c>
      <c r="D1090" s="192" t="str">
        <f aca="false">IF(AND('NOVIEMBRE 2026'!D44&lt;&gt;"",'NOVIEMBRE 2026'!Z44="POR RECOGER"),'NOVIEMBRE 2026'!F44,"")</f>
        <v/>
      </c>
      <c r="E1090" s="192" t="str">
        <f aca="false">IF(AND('NOVIEMBRE 2026'!D44&lt;&gt;"",'NOVIEMBRE 2026'!Z44="POR RECOGER"),TEXT('NOVIEMBRE 2026'!G44,"DD/MM/YYYY"),"")</f>
        <v/>
      </c>
      <c r="F1090" s="192" t="str">
        <f aca="false">IF(AND('NOVIEMBRE 2026'!D44&lt;&gt;"",'NOVIEMBRE 2026'!Z44="POR RECOGER"),'NOVIEMBRE 2026'!K44,"")</f>
        <v/>
      </c>
      <c r="G1090" s="193" t="str">
        <f aca="false">IF(AND('NOVIEMBRE 2026'!D44&lt;&gt;"",'NOVIEMBRE 2026'!Z44="POR RECOGER"),'NOVIEMBRE 2026'!M44,"")</f>
        <v/>
      </c>
      <c r="H1090" s="193" t="str">
        <f aca="false">IF(AND('NOVIEMBRE 2026'!D44&lt;&gt;"",'NOVIEMBRE 2026'!Z44="POR RECOGER"),'NOVIEMBRE 2026'!N44,"")</f>
        <v/>
      </c>
      <c r="I1090" s="192" t="str">
        <f aca="false">IF(AND('NOVIEMBRE 2026'!D44&lt;&gt;"",'NOVIEMBRE 2026'!Z44="POR RECOGER"),'NOVIEMBRE 2026'!P44,"")</f>
        <v/>
      </c>
      <c r="J1090" s="192" t="str">
        <f aca="false">IF(AND('NOVIEMBRE 2026'!D44&lt;&gt;"",'NOVIEMBRE 2026'!Z44="POR RECOGER"),'NOVIEMBRE 2026'!Q44,"")</f>
        <v/>
      </c>
      <c r="K1090" s="192" t="str">
        <f aca="false">IF(AND('NOVIEMBRE 2026'!D44&lt;&gt;"",'NOVIEMBRE 2026'!Z44="POR RECOGER"),'NOVIEMBRE 2026'!Y44,"")</f>
        <v/>
      </c>
      <c r="L1090" s="192" t="str">
        <f aca="false">IF(AND('NOVIEMBRE 2026'!D44&lt;&gt;"",'NOVIEMBRE 2026'!Z44="POR RECOGER"),'NOVIEMBRE 2026'!I44,"")</f>
        <v/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customFormat="false" ht="15" hidden="false" customHeight="true" outlineLevel="0" collapsed="false">
      <c r="A1091" s="192" t="str">
        <f aca="false">IF(AND('NOVIEMBRE 2026'!D45&lt;&gt;"",'NOVIEMBRE 2026'!Z45="POR RECOGER"),"NOV","")</f>
        <v/>
      </c>
      <c r="B1091" s="192" t="str">
        <f aca="false">IF(AND('NOVIEMBRE 2026'!D45&lt;&gt;"",'NOVIEMBRE 2026'!Z45="POR RECOGER"),IF('NOVIEMBRE 2026'!Y45&lt;&gt;"",'NOVIEMBRE 2026'!Y45,'NOVIEMBRE 2026'!I45),"")</f>
        <v/>
      </c>
      <c r="C1091" s="192" t="str">
        <f aca="false">IF(AND('NOVIEMBRE 2026'!D45&lt;&gt;"",'NOVIEMBRE 2026'!Z45="POR RECOGER"),'NOVIEMBRE 2026'!D45,"")</f>
        <v/>
      </c>
      <c r="D1091" s="192" t="str">
        <f aca="false">IF(AND('NOVIEMBRE 2026'!D45&lt;&gt;"",'NOVIEMBRE 2026'!Z45="POR RECOGER"),'NOVIEMBRE 2026'!F45,"")</f>
        <v/>
      </c>
      <c r="E1091" s="192" t="str">
        <f aca="false">IF(AND('NOVIEMBRE 2026'!D45&lt;&gt;"",'NOVIEMBRE 2026'!Z45="POR RECOGER"),TEXT('NOVIEMBRE 2026'!G45,"DD/MM/YYYY"),"")</f>
        <v/>
      </c>
      <c r="F1091" s="192" t="str">
        <f aca="false">IF(AND('NOVIEMBRE 2026'!D45&lt;&gt;"",'NOVIEMBRE 2026'!Z45="POR RECOGER"),'NOVIEMBRE 2026'!K45,"")</f>
        <v/>
      </c>
      <c r="G1091" s="193" t="str">
        <f aca="false">IF(AND('NOVIEMBRE 2026'!D45&lt;&gt;"",'NOVIEMBRE 2026'!Z45="POR RECOGER"),'NOVIEMBRE 2026'!M45,"")</f>
        <v/>
      </c>
      <c r="H1091" s="193" t="str">
        <f aca="false">IF(AND('NOVIEMBRE 2026'!D45&lt;&gt;"",'NOVIEMBRE 2026'!Z45="POR RECOGER"),'NOVIEMBRE 2026'!N45,"")</f>
        <v/>
      </c>
      <c r="I1091" s="192" t="str">
        <f aca="false">IF(AND('NOVIEMBRE 2026'!D45&lt;&gt;"",'NOVIEMBRE 2026'!Z45="POR RECOGER"),'NOVIEMBRE 2026'!P45,"")</f>
        <v/>
      </c>
      <c r="J1091" s="192" t="str">
        <f aca="false">IF(AND('NOVIEMBRE 2026'!D45&lt;&gt;"",'NOVIEMBRE 2026'!Z45="POR RECOGER"),'NOVIEMBRE 2026'!Q45,"")</f>
        <v/>
      </c>
      <c r="K1091" s="192" t="str">
        <f aca="false">IF(AND('NOVIEMBRE 2026'!D45&lt;&gt;"",'NOVIEMBRE 2026'!Z45="POR RECOGER"),'NOVIEMBRE 2026'!Y45,"")</f>
        <v/>
      </c>
      <c r="L1091" s="192" t="str">
        <f aca="false">IF(AND('NOVIEMBRE 2026'!D45&lt;&gt;"",'NOVIEMBRE 2026'!Z45="POR RECOGER"),'NOVIEMBRE 2026'!I45,"")</f>
        <v/>
      </c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customFormat="false" ht="15" hidden="false" customHeight="true" outlineLevel="0" collapsed="false">
      <c r="A1092" s="192" t="str">
        <f aca="false">IF(AND('NOVIEMBRE 2026'!D46&lt;&gt;"",'NOVIEMBRE 2026'!Z46="POR RECOGER"),"NOV","")</f>
        <v/>
      </c>
      <c r="B1092" s="192" t="str">
        <f aca="false">IF(AND('NOVIEMBRE 2026'!D46&lt;&gt;"",'NOVIEMBRE 2026'!Z46="POR RECOGER"),IF('NOVIEMBRE 2026'!Y46&lt;&gt;"",'NOVIEMBRE 2026'!Y46,'NOVIEMBRE 2026'!I46),"")</f>
        <v/>
      </c>
      <c r="C1092" s="192" t="str">
        <f aca="false">IF(AND('NOVIEMBRE 2026'!D46&lt;&gt;"",'NOVIEMBRE 2026'!Z46="POR RECOGER"),'NOVIEMBRE 2026'!D46,"")</f>
        <v/>
      </c>
      <c r="D1092" s="192" t="str">
        <f aca="false">IF(AND('NOVIEMBRE 2026'!D46&lt;&gt;"",'NOVIEMBRE 2026'!Z46="POR RECOGER"),'NOVIEMBRE 2026'!F46,"")</f>
        <v/>
      </c>
      <c r="E1092" s="192" t="str">
        <f aca="false">IF(AND('NOVIEMBRE 2026'!D46&lt;&gt;"",'NOVIEMBRE 2026'!Z46="POR RECOGER"),TEXT('NOVIEMBRE 2026'!G46,"DD/MM/YYYY"),"")</f>
        <v/>
      </c>
      <c r="F1092" s="192" t="str">
        <f aca="false">IF(AND('NOVIEMBRE 2026'!D46&lt;&gt;"",'NOVIEMBRE 2026'!Z46="POR RECOGER"),'NOVIEMBRE 2026'!K46,"")</f>
        <v/>
      </c>
      <c r="G1092" s="193" t="str">
        <f aca="false">IF(AND('NOVIEMBRE 2026'!D46&lt;&gt;"",'NOVIEMBRE 2026'!Z46="POR RECOGER"),'NOVIEMBRE 2026'!M46,"")</f>
        <v/>
      </c>
      <c r="H1092" s="193" t="str">
        <f aca="false">IF(AND('NOVIEMBRE 2026'!D46&lt;&gt;"",'NOVIEMBRE 2026'!Z46="POR RECOGER"),'NOVIEMBRE 2026'!N46,"")</f>
        <v/>
      </c>
      <c r="I1092" s="192" t="str">
        <f aca="false">IF(AND('NOVIEMBRE 2026'!D46&lt;&gt;"",'NOVIEMBRE 2026'!Z46="POR RECOGER"),'NOVIEMBRE 2026'!P46,"")</f>
        <v/>
      </c>
      <c r="J1092" s="192" t="str">
        <f aca="false">IF(AND('NOVIEMBRE 2026'!D46&lt;&gt;"",'NOVIEMBRE 2026'!Z46="POR RECOGER"),'NOVIEMBRE 2026'!Q46,"")</f>
        <v/>
      </c>
      <c r="K1092" s="192" t="str">
        <f aca="false">IF(AND('NOVIEMBRE 2026'!D46&lt;&gt;"",'NOVIEMBRE 2026'!Z46="POR RECOGER"),'NOVIEMBRE 2026'!Y46,"")</f>
        <v/>
      </c>
      <c r="L1092" s="192" t="str">
        <f aca="false">IF(AND('NOVIEMBRE 2026'!D46&lt;&gt;"",'NOVIEMBRE 2026'!Z46="POR RECOGER"),'NOVIEMBRE 2026'!I46,"")</f>
        <v/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customFormat="false" ht="15" hidden="false" customHeight="true" outlineLevel="0" collapsed="false">
      <c r="A1093" s="192" t="str">
        <f aca="false">IF(AND('NOVIEMBRE 2026'!D47&lt;&gt;"",'NOVIEMBRE 2026'!Z47="POR RECOGER"),"NOV","")</f>
        <v/>
      </c>
      <c r="B1093" s="192" t="str">
        <f aca="false">IF(AND('NOVIEMBRE 2026'!D47&lt;&gt;"",'NOVIEMBRE 2026'!Z47="POR RECOGER"),IF('NOVIEMBRE 2026'!Y47&lt;&gt;"",'NOVIEMBRE 2026'!Y47,'NOVIEMBRE 2026'!I47),"")</f>
        <v/>
      </c>
      <c r="C1093" s="192" t="str">
        <f aca="false">IF(AND('NOVIEMBRE 2026'!D47&lt;&gt;"",'NOVIEMBRE 2026'!Z47="POR RECOGER"),'NOVIEMBRE 2026'!D47,"")</f>
        <v/>
      </c>
      <c r="D1093" s="192" t="str">
        <f aca="false">IF(AND('NOVIEMBRE 2026'!D47&lt;&gt;"",'NOVIEMBRE 2026'!Z47="POR RECOGER"),'NOVIEMBRE 2026'!F47,"")</f>
        <v/>
      </c>
      <c r="E1093" s="192" t="str">
        <f aca="false">IF(AND('NOVIEMBRE 2026'!D47&lt;&gt;"",'NOVIEMBRE 2026'!Z47="POR RECOGER"),TEXT('NOVIEMBRE 2026'!G47,"DD/MM/YYYY"),"")</f>
        <v/>
      </c>
      <c r="F1093" s="192" t="str">
        <f aca="false">IF(AND('NOVIEMBRE 2026'!D47&lt;&gt;"",'NOVIEMBRE 2026'!Z47="POR RECOGER"),'NOVIEMBRE 2026'!K47,"")</f>
        <v/>
      </c>
      <c r="G1093" s="193" t="str">
        <f aca="false">IF(AND('NOVIEMBRE 2026'!D47&lt;&gt;"",'NOVIEMBRE 2026'!Z47="POR RECOGER"),'NOVIEMBRE 2026'!M47,"")</f>
        <v/>
      </c>
      <c r="H1093" s="193" t="str">
        <f aca="false">IF(AND('NOVIEMBRE 2026'!D47&lt;&gt;"",'NOVIEMBRE 2026'!Z47="POR RECOGER"),'NOVIEMBRE 2026'!N47,"")</f>
        <v/>
      </c>
      <c r="I1093" s="192" t="str">
        <f aca="false">IF(AND('NOVIEMBRE 2026'!D47&lt;&gt;"",'NOVIEMBRE 2026'!Z47="POR RECOGER"),'NOVIEMBRE 2026'!P47,"")</f>
        <v/>
      </c>
      <c r="J1093" s="192" t="str">
        <f aca="false">IF(AND('NOVIEMBRE 2026'!D47&lt;&gt;"",'NOVIEMBRE 2026'!Z47="POR RECOGER"),'NOVIEMBRE 2026'!Q47,"")</f>
        <v/>
      </c>
      <c r="K1093" s="192" t="str">
        <f aca="false">IF(AND('NOVIEMBRE 2026'!D47&lt;&gt;"",'NOVIEMBRE 2026'!Z47="POR RECOGER"),'NOVIEMBRE 2026'!Y47,"")</f>
        <v/>
      </c>
      <c r="L1093" s="192" t="str">
        <f aca="false">IF(AND('NOVIEMBRE 2026'!D47&lt;&gt;"",'NOVIEMBRE 2026'!Z47="POR RECOGER"),'NOVIEMBRE 2026'!I47,"")</f>
        <v/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customFormat="false" ht="15" hidden="false" customHeight="true" outlineLevel="0" collapsed="false">
      <c r="A1094" s="192" t="str">
        <f aca="false">IF(AND('NOVIEMBRE 2026'!D48&lt;&gt;"",'NOVIEMBRE 2026'!Z48="POR RECOGER"),"NOV","")</f>
        <v/>
      </c>
      <c r="B1094" s="192" t="str">
        <f aca="false">IF(AND('NOVIEMBRE 2026'!D48&lt;&gt;"",'NOVIEMBRE 2026'!Z48="POR RECOGER"),IF('NOVIEMBRE 2026'!Y48&lt;&gt;"",'NOVIEMBRE 2026'!Y48,'NOVIEMBRE 2026'!I48),"")</f>
        <v/>
      </c>
      <c r="C1094" s="192" t="str">
        <f aca="false">IF(AND('NOVIEMBRE 2026'!D48&lt;&gt;"",'NOVIEMBRE 2026'!Z48="POR RECOGER"),'NOVIEMBRE 2026'!D48,"")</f>
        <v/>
      </c>
      <c r="D1094" s="192" t="str">
        <f aca="false">IF(AND('NOVIEMBRE 2026'!D48&lt;&gt;"",'NOVIEMBRE 2026'!Z48="POR RECOGER"),'NOVIEMBRE 2026'!F48,"")</f>
        <v/>
      </c>
      <c r="E1094" s="192" t="str">
        <f aca="false">IF(AND('NOVIEMBRE 2026'!D48&lt;&gt;"",'NOVIEMBRE 2026'!Z48="POR RECOGER"),TEXT('NOVIEMBRE 2026'!G48,"DD/MM/YYYY"),"")</f>
        <v/>
      </c>
      <c r="F1094" s="192" t="str">
        <f aca="false">IF(AND('NOVIEMBRE 2026'!D48&lt;&gt;"",'NOVIEMBRE 2026'!Z48="POR RECOGER"),'NOVIEMBRE 2026'!K48,"")</f>
        <v/>
      </c>
      <c r="G1094" s="193" t="str">
        <f aca="false">IF(AND('NOVIEMBRE 2026'!D48&lt;&gt;"",'NOVIEMBRE 2026'!Z48="POR RECOGER"),'NOVIEMBRE 2026'!M48,"")</f>
        <v/>
      </c>
      <c r="H1094" s="193" t="str">
        <f aca="false">IF(AND('NOVIEMBRE 2026'!D48&lt;&gt;"",'NOVIEMBRE 2026'!Z48="POR RECOGER"),'NOVIEMBRE 2026'!N48,"")</f>
        <v/>
      </c>
      <c r="I1094" s="192" t="str">
        <f aca="false">IF(AND('NOVIEMBRE 2026'!D48&lt;&gt;"",'NOVIEMBRE 2026'!Z48="POR RECOGER"),'NOVIEMBRE 2026'!P48,"")</f>
        <v/>
      </c>
      <c r="J1094" s="192" t="str">
        <f aca="false">IF(AND('NOVIEMBRE 2026'!D48&lt;&gt;"",'NOVIEMBRE 2026'!Z48="POR RECOGER"),'NOVIEMBRE 2026'!Q48,"")</f>
        <v/>
      </c>
      <c r="K1094" s="192" t="str">
        <f aca="false">IF(AND('NOVIEMBRE 2026'!D48&lt;&gt;"",'NOVIEMBRE 2026'!Z48="POR RECOGER"),'NOVIEMBRE 2026'!Y48,"")</f>
        <v/>
      </c>
      <c r="L1094" s="192" t="str">
        <f aca="false">IF(AND('NOVIEMBRE 2026'!D48&lt;&gt;"",'NOVIEMBRE 2026'!Z48="POR RECOGER"),'NOVIEMBRE 2026'!I48,"")</f>
        <v/>
      </c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customFormat="false" ht="15" hidden="false" customHeight="true" outlineLevel="0" collapsed="false">
      <c r="A1095" s="192" t="str">
        <f aca="false">IF(AND('NOVIEMBRE 2026'!D49&lt;&gt;"",'NOVIEMBRE 2026'!Z49="POR RECOGER"),"NOV","")</f>
        <v/>
      </c>
      <c r="B1095" s="192" t="str">
        <f aca="false">IF(AND('NOVIEMBRE 2026'!D49&lt;&gt;"",'NOVIEMBRE 2026'!Z49="POR RECOGER"),IF('NOVIEMBRE 2026'!Y49&lt;&gt;"",'NOVIEMBRE 2026'!Y49,'NOVIEMBRE 2026'!I49),"")</f>
        <v/>
      </c>
      <c r="C1095" s="192" t="str">
        <f aca="false">IF(AND('NOVIEMBRE 2026'!D49&lt;&gt;"",'NOVIEMBRE 2026'!Z49="POR RECOGER"),'NOVIEMBRE 2026'!D49,"")</f>
        <v/>
      </c>
      <c r="D1095" s="192" t="str">
        <f aca="false">IF(AND('NOVIEMBRE 2026'!D49&lt;&gt;"",'NOVIEMBRE 2026'!Z49="POR RECOGER"),'NOVIEMBRE 2026'!F49,"")</f>
        <v/>
      </c>
      <c r="E1095" s="192" t="str">
        <f aca="false">IF(AND('NOVIEMBRE 2026'!D49&lt;&gt;"",'NOVIEMBRE 2026'!Z49="POR RECOGER"),TEXT('NOVIEMBRE 2026'!G49,"DD/MM/YYYY"),"")</f>
        <v/>
      </c>
      <c r="F1095" s="192" t="str">
        <f aca="false">IF(AND('NOVIEMBRE 2026'!D49&lt;&gt;"",'NOVIEMBRE 2026'!Z49="POR RECOGER"),'NOVIEMBRE 2026'!K49,"")</f>
        <v/>
      </c>
      <c r="G1095" s="193" t="str">
        <f aca="false">IF(AND('NOVIEMBRE 2026'!D49&lt;&gt;"",'NOVIEMBRE 2026'!Z49="POR RECOGER"),'NOVIEMBRE 2026'!M49,"")</f>
        <v/>
      </c>
      <c r="H1095" s="193" t="str">
        <f aca="false">IF(AND('NOVIEMBRE 2026'!D49&lt;&gt;"",'NOVIEMBRE 2026'!Z49="POR RECOGER"),'NOVIEMBRE 2026'!N49,"")</f>
        <v/>
      </c>
      <c r="I1095" s="192" t="str">
        <f aca="false">IF(AND('NOVIEMBRE 2026'!D49&lt;&gt;"",'NOVIEMBRE 2026'!Z49="POR RECOGER"),'NOVIEMBRE 2026'!P49,"")</f>
        <v/>
      </c>
      <c r="J1095" s="192" t="str">
        <f aca="false">IF(AND('NOVIEMBRE 2026'!D49&lt;&gt;"",'NOVIEMBRE 2026'!Z49="POR RECOGER"),'NOVIEMBRE 2026'!Q49,"")</f>
        <v/>
      </c>
      <c r="K1095" s="192" t="str">
        <f aca="false">IF(AND('NOVIEMBRE 2026'!D49&lt;&gt;"",'NOVIEMBRE 2026'!Z49="POR RECOGER"),'NOVIEMBRE 2026'!Y49,"")</f>
        <v/>
      </c>
      <c r="L1095" s="192" t="str">
        <f aca="false">IF(AND('NOVIEMBRE 2026'!D49&lt;&gt;"",'NOVIEMBRE 2026'!Z49="POR RECOGER"),'NOVIEMBRE 2026'!I49,"")</f>
        <v/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customFormat="false" ht="15" hidden="false" customHeight="true" outlineLevel="0" collapsed="false">
      <c r="A1096" s="192" t="str">
        <f aca="false">IF(AND('NOVIEMBRE 2026'!D50&lt;&gt;"",'NOVIEMBRE 2026'!Z50="POR RECOGER"),"NOV","")</f>
        <v/>
      </c>
      <c r="B1096" s="192" t="str">
        <f aca="false">IF(AND('NOVIEMBRE 2026'!D50&lt;&gt;"",'NOVIEMBRE 2026'!Z50="POR RECOGER"),IF('NOVIEMBRE 2026'!Y50&lt;&gt;"",'NOVIEMBRE 2026'!Y50,'NOVIEMBRE 2026'!I50),"")</f>
        <v/>
      </c>
      <c r="C1096" s="192" t="str">
        <f aca="false">IF(AND('NOVIEMBRE 2026'!D50&lt;&gt;"",'NOVIEMBRE 2026'!Z50="POR RECOGER"),'NOVIEMBRE 2026'!D50,"")</f>
        <v/>
      </c>
      <c r="D1096" s="192" t="str">
        <f aca="false">IF(AND('NOVIEMBRE 2026'!D50&lt;&gt;"",'NOVIEMBRE 2026'!Z50="POR RECOGER"),'NOVIEMBRE 2026'!F50,"")</f>
        <v/>
      </c>
      <c r="E1096" s="192" t="str">
        <f aca="false">IF(AND('NOVIEMBRE 2026'!D50&lt;&gt;"",'NOVIEMBRE 2026'!Z50="POR RECOGER"),TEXT('NOVIEMBRE 2026'!G50,"DD/MM/YYYY"),"")</f>
        <v/>
      </c>
      <c r="F1096" s="192" t="str">
        <f aca="false">IF(AND('NOVIEMBRE 2026'!D50&lt;&gt;"",'NOVIEMBRE 2026'!Z50="POR RECOGER"),'NOVIEMBRE 2026'!K50,"")</f>
        <v/>
      </c>
      <c r="G1096" s="193" t="str">
        <f aca="false">IF(AND('NOVIEMBRE 2026'!D50&lt;&gt;"",'NOVIEMBRE 2026'!Z50="POR RECOGER"),'NOVIEMBRE 2026'!M50,"")</f>
        <v/>
      </c>
      <c r="H1096" s="193" t="str">
        <f aca="false">IF(AND('NOVIEMBRE 2026'!D50&lt;&gt;"",'NOVIEMBRE 2026'!Z50="POR RECOGER"),'NOVIEMBRE 2026'!N50,"")</f>
        <v/>
      </c>
      <c r="I1096" s="192" t="str">
        <f aca="false">IF(AND('NOVIEMBRE 2026'!D50&lt;&gt;"",'NOVIEMBRE 2026'!Z50="POR RECOGER"),'NOVIEMBRE 2026'!P50,"")</f>
        <v/>
      </c>
      <c r="J1096" s="192" t="str">
        <f aca="false">IF(AND('NOVIEMBRE 2026'!D50&lt;&gt;"",'NOVIEMBRE 2026'!Z50="POR RECOGER"),'NOVIEMBRE 2026'!Q50,"")</f>
        <v/>
      </c>
      <c r="K1096" s="192" t="str">
        <f aca="false">IF(AND('NOVIEMBRE 2026'!D50&lt;&gt;"",'NOVIEMBRE 2026'!Z50="POR RECOGER"),'NOVIEMBRE 2026'!Y50,"")</f>
        <v/>
      </c>
      <c r="L1096" s="192" t="str">
        <f aca="false">IF(AND('NOVIEMBRE 2026'!D50&lt;&gt;"",'NOVIEMBRE 2026'!Z50="POR RECOGER"),'NOVIEMBRE 2026'!I50,"")</f>
        <v/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customFormat="false" ht="15" hidden="false" customHeight="true" outlineLevel="0" collapsed="false">
      <c r="A1097" s="192" t="str">
        <f aca="false">IF(AND('NOVIEMBRE 2026'!D51&lt;&gt;"",'NOVIEMBRE 2026'!Z51="POR RECOGER"),"NOV","")</f>
        <v/>
      </c>
      <c r="B1097" s="192" t="str">
        <f aca="false">IF(AND('NOVIEMBRE 2026'!D51&lt;&gt;"",'NOVIEMBRE 2026'!Z51="POR RECOGER"),IF('NOVIEMBRE 2026'!Y51&lt;&gt;"",'NOVIEMBRE 2026'!Y51,'NOVIEMBRE 2026'!I51),"")</f>
        <v/>
      </c>
      <c r="C1097" s="192" t="str">
        <f aca="false">IF(AND('NOVIEMBRE 2026'!D51&lt;&gt;"",'NOVIEMBRE 2026'!Z51="POR RECOGER"),'NOVIEMBRE 2026'!D51,"")</f>
        <v/>
      </c>
      <c r="D1097" s="192" t="str">
        <f aca="false">IF(AND('NOVIEMBRE 2026'!D51&lt;&gt;"",'NOVIEMBRE 2026'!Z51="POR RECOGER"),'NOVIEMBRE 2026'!F51,"")</f>
        <v/>
      </c>
      <c r="E1097" s="192" t="str">
        <f aca="false">IF(AND('NOVIEMBRE 2026'!D51&lt;&gt;"",'NOVIEMBRE 2026'!Z51="POR RECOGER"),TEXT('NOVIEMBRE 2026'!G51,"DD/MM/YYYY"),"")</f>
        <v/>
      </c>
      <c r="F1097" s="192" t="str">
        <f aca="false">IF(AND('NOVIEMBRE 2026'!D51&lt;&gt;"",'NOVIEMBRE 2026'!Z51="POR RECOGER"),'NOVIEMBRE 2026'!K51,"")</f>
        <v/>
      </c>
      <c r="G1097" s="193" t="str">
        <f aca="false">IF(AND('NOVIEMBRE 2026'!D51&lt;&gt;"",'NOVIEMBRE 2026'!Z51="POR RECOGER"),'NOVIEMBRE 2026'!M51,"")</f>
        <v/>
      </c>
      <c r="H1097" s="193" t="str">
        <f aca="false">IF(AND('NOVIEMBRE 2026'!D51&lt;&gt;"",'NOVIEMBRE 2026'!Z51="POR RECOGER"),'NOVIEMBRE 2026'!N51,"")</f>
        <v/>
      </c>
      <c r="I1097" s="192" t="str">
        <f aca="false">IF(AND('NOVIEMBRE 2026'!D51&lt;&gt;"",'NOVIEMBRE 2026'!Z51="POR RECOGER"),'NOVIEMBRE 2026'!P51,"")</f>
        <v/>
      </c>
      <c r="J1097" s="192" t="str">
        <f aca="false">IF(AND('NOVIEMBRE 2026'!D51&lt;&gt;"",'NOVIEMBRE 2026'!Z51="POR RECOGER"),'NOVIEMBRE 2026'!Q51,"")</f>
        <v/>
      </c>
      <c r="K1097" s="192" t="str">
        <f aca="false">IF(AND('NOVIEMBRE 2026'!D51&lt;&gt;"",'NOVIEMBRE 2026'!Z51="POR RECOGER"),'NOVIEMBRE 2026'!Y51,"")</f>
        <v/>
      </c>
      <c r="L1097" s="192" t="str">
        <f aca="false">IF(AND('NOVIEMBRE 2026'!D51&lt;&gt;"",'NOVIEMBRE 2026'!Z51="POR RECOGER"),'NOVIEMBRE 2026'!I51,"")</f>
        <v/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customFormat="false" ht="15" hidden="false" customHeight="true" outlineLevel="0" collapsed="false">
      <c r="A1098" s="192" t="str">
        <f aca="false">IF(AND('NOVIEMBRE 2026'!D52&lt;&gt;"",'NOVIEMBRE 2026'!Z52="POR RECOGER"),"NOV","")</f>
        <v/>
      </c>
      <c r="B1098" s="192" t="str">
        <f aca="false">IF(AND('NOVIEMBRE 2026'!D52&lt;&gt;"",'NOVIEMBRE 2026'!Z52="POR RECOGER"),IF('NOVIEMBRE 2026'!Y52&lt;&gt;"",'NOVIEMBRE 2026'!Y52,'NOVIEMBRE 2026'!I52),"")</f>
        <v/>
      </c>
      <c r="C1098" s="192" t="str">
        <f aca="false">IF(AND('NOVIEMBRE 2026'!D52&lt;&gt;"",'NOVIEMBRE 2026'!Z52="POR RECOGER"),'NOVIEMBRE 2026'!D52,"")</f>
        <v/>
      </c>
      <c r="D1098" s="192" t="str">
        <f aca="false">IF(AND('NOVIEMBRE 2026'!D52&lt;&gt;"",'NOVIEMBRE 2026'!Z52="POR RECOGER"),'NOVIEMBRE 2026'!F52,"")</f>
        <v/>
      </c>
      <c r="E1098" s="192" t="str">
        <f aca="false">IF(AND('NOVIEMBRE 2026'!D52&lt;&gt;"",'NOVIEMBRE 2026'!Z52="POR RECOGER"),TEXT('NOVIEMBRE 2026'!G52,"DD/MM/YYYY"),"")</f>
        <v/>
      </c>
      <c r="F1098" s="192" t="str">
        <f aca="false">IF(AND('NOVIEMBRE 2026'!D52&lt;&gt;"",'NOVIEMBRE 2026'!Z52="POR RECOGER"),'NOVIEMBRE 2026'!K52,"")</f>
        <v/>
      </c>
      <c r="G1098" s="193" t="str">
        <f aca="false">IF(AND('NOVIEMBRE 2026'!D52&lt;&gt;"",'NOVIEMBRE 2026'!Z52="POR RECOGER"),'NOVIEMBRE 2026'!M52,"")</f>
        <v/>
      </c>
      <c r="H1098" s="193" t="str">
        <f aca="false">IF(AND('NOVIEMBRE 2026'!D52&lt;&gt;"",'NOVIEMBRE 2026'!Z52="POR RECOGER"),'NOVIEMBRE 2026'!N52,"")</f>
        <v/>
      </c>
      <c r="I1098" s="192" t="str">
        <f aca="false">IF(AND('NOVIEMBRE 2026'!D52&lt;&gt;"",'NOVIEMBRE 2026'!Z52="POR RECOGER"),'NOVIEMBRE 2026'!P52,"")</f>
        <v/>
      </c>
      <c r="J1098" s="192" t="str">
        <f aca="false">IF(AND('NOVIEMBRE 2026'!D52&lt;&gt;"",'NOVIEMBRE 2026'!Z52="POR RECOGER"),'NOVIEMBRE 2026'!Q52,"")</f>
        <v/>
      </c>
      <c r="K1098" s="192" t="str">
        <f aca="false">IF(AND('NOVIEMBRE 2026'!D52&lt;&gt;"",'NOVIEMBRE 2026'!Z52="POR RECOGER"),'NOVIEMBRE 2026'!Y52,"")</f>
        <v/>
      </c>
      <c r="L1098" s="192" t="str">
        <f aca="false">IF(AND('NOVIEMBRE 2026'!D52&lt;&gt;"",'NOVIEMBRE 2026'!Z52="POR RECOGER"),'NOVIEMBRE 2026'!I52,"")</f>
        <v/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customFormat="false" ht="15" hidden="false" customHeight="true" outlineLevel="0" collapsed="false">
      <c r="A1099" s="192" t="str">
        <f aca="false">IF(AND('NOVIEMBRE 2026'!D53&lt;&gt;"",'NOVIEMBRE 2026'!Z53="POR RECOGER"),"NOV","")</f>
        <v/>
      </c>
      <c r="B1099" s="192" t="str">
        <f aca="false">IF(AND('NOVIEMBRE 2026'!D53&lt;&gt;"",'NOVIEMBRE 2026'!Z53="POR RECOGER"),IF('NOVIEMBRE 2026'!Y53&lt;&gt;"",'NOVIEMBRE 2026'!Y53,'NOVIEMBRE 2026'!I53),"")</f>
        <v/>
      </c>
      <c r="C1099" s="192" t="str">
        <f aca="false">IF(AND('NOVIEMBRE 2026'!D53&lt;&gt;"",'NOVIEMBRE 2026'!Z53="POR RECOGER"),'NOVIEMBRE 2026'!D53,"")</f>
        <v/>
      </c>
      <c r="D1099" s="192" t="str">
        <f aca="false">IF(AND('NOVIEMBRE 2026'!D53&lt;&gt;"",'NOVIEMBRE 2026'!Z53="POR RECOGER"),'NOVIEMBRE 2026'!F53,"")</f>
        <v/>
      </c>
      <c r="E1099" s="192" t="str">
        <f aca="false">IF(AND('NOVIEMBRE 2026'!D53&lt;&gt;"",'NOVIEMBRE 2026'!Z53="POR RECOGER"),TEXT('NOVIEMBRE 2026'!G53,"DD/MM/YYYY"),"")</f>
        <v/>
      </c>
      <c r="F1099" s="192" t="str">
        <f aca="false">IF(AND('NOVIEMBRE 2026'!D53&lt;&gt;"",'NOVIEMBRE 2026'!Z53="POR RECOGER"),'NOVIEMBRE 2026'!K53,"")</f>
        <v/>
      </c>
      <c r="G1099" s="193" t="str">
        <f aca="false">IF(AND('NOVIEMBRE 2026'!D53&lt;&gt;"",'NOVIEMBRE 2026'!Z53="POR RECOGER"),'NOVIEMBRE 2026'!M53,"")</f>
        <v/>
      </c>
      <c r="H1099" s="193" t="str">
        <f aca="false">IF(AND('NOVIEMBRE 2026'!D53&lt;&gt;"",'NOVIEMBRE 2026'!Z53="POR RECOGER"),'NOVIEMBRE 2026'!N53,"")</f>
        <v/>
      </c>
      <c r="I1099" s="192" t="str">
        <f aca="false">IF(AND('NOVIEMBRE 2026'!D53&lt;&gt;"",'NOVIEMBRE 2026'!Z53="POR RECOGER"),'NOVIEMBRE 2026'!P53,"")</f>
        <v/>
      </c>
      <c r="J1099" s="192" t="str">
        <f aca="false">IF(AND('NOVIEMBRE 2026'!D53&lt;&gt;"",'NOVIEMBRE 2026'!Z53="POR RECOGER"),'NOVIEMBRE 2026'!Q53,"")</f>
        <v/>
      </c>
      <c r="K1099" s="192" t="str">
        <f aca="false">IF(AND('NOVIEMBRE 2026'!D53&lt;&gt;"",'NOVIEMBRE 2026'!Z53="POR RECOGER"),'NOVIEMBRE 2026'!Y53,"")</f>
        <v/>
      </c>
      <c r="L1099" s="192" t="str">
        <f aca="false">IF(AND('NOVIEMBRE 2026'!D53&lt;&gt;"",'NOVIEMBRE 2026'!Z53="POR RECOGER"),'NOVIEMBRE 2026'!I53,"")</f>
        <v/>
      </c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customFormat="false" ht="15" hidden="false" customHeight="true" outlineLevel="0" collapsed="false">
      <c r="A1100" s="192" t="str">
        <f aca="false">IF(AND('NOVIEMBRE 2026'!D54&lt;&gt;"",'NOVIEMBRE 2026'!Z54="POR RECOGER"),"NOV","")</f>
        <v/>
      </c>
      <c r="B1100" s="192" t="str">
        <f aca="false">IF(AND('NOVIEMBRE 2026'!D54&lt;&gt;"",'NOVIEMBRE 2026'!Z54="POR RECOGER"),IF('NOVIEMBRE 2026'!Y54&lt;&gt;"",'NOVIEMBRE 2026'!Y54,'NOVIEMBRE 2026'!I54),"")</f>
        <v/>
      </c>
      <c r="C1100" s="192" t="str">
        <f aca="false">IF(AND('NOVIEMBRE 2026'!D54&lt;&gt;"",'NOVIEMBRE 2026'!Z54="POR RECOGER"),'NOVIEMBRE 2026'!D54,"")</f>
        <v/>
      </c>
      <c r="D1100" s="192" t="str">
        <f aca="false">IF(AND('NOVIEMBRE 2026'!D54&lt;&gt;"",'NOVIEMBRE 2026'!Z54="POR RECOGER"),'NOVIEMBRE 2026'!F54,"")</f>
        <v/>
      </c>
      <c r="E1100" s="192" t="str">
        <f aca="false">IF(AND('NOVIEMBRE 2026'!D54&lt;&gt;"",'NOVIEMBRE 2026'!Z54="POR RECOGER"),TEXT('NOVIEMBRE 2026'!G54,"DD/MM/YYYY"),"")</f>
        <v/>
      </c>
      <c r="F1100" s="192" t="str">
        <f aca="false">IF(AND('NOVIEMBRE 2026'!D54&lt;&gt;"",'NOVIEMBRE 2026'!Z54="POR RECOGER"),'NOVIEMBRE 2026'!K54,"")</f>
        <v/>
      </c>
      <c r="G1100" s="193" t="str">
        <f aca="false">IF(AND('NOVIEMBRE 2026'!D54&lt;&gt;"",'NOVIEMBRE 2026'!Z54="POR RECOGER"),'NOVIEMBRE 2026'!M54,"")</f>
        <v/>
      </c>
      <c r="H1100" s="193" t="str">
        <f aca="false">IF(AND('NOVIEMBRE 2026'!D54&lt;&gt;"",'NOVIEMBRE 2026'!Z54="POR RECOGER"),'NOVIEMBRE 2026'!N54,"")</f>
        <v/>
      </c>
      <c r="I1100" s="192" t="str">
        <f aca="false">IF(AND('NOVIEMBRE 2026'!D54&lt;&gt;"",'NOVIEMBRE 2026'!Z54="POR RECOGER"),'NOVIEMBRE 2026'!P54,"")</f>
        <v/>
      </c>
      <c r="J1100" s="192" t="str">
        <f aca="false">IF(AND('NOVIEMBRE 2026'!D54&lt;&gt;"",'NOVIEMBRE 2026'!Z54="POR RECOGER"),'NOVIEMBRE 2026'!Q54,"")</f>
        <v/>
      </c>
      <c r="K1100" s="192" t="str">
        <f aca="false">IF(AND('NOVIEMBRE 2026'!D54&lt;&gt;"",'NOVIEMBRE 2026'!Z54="POR RECOGER"),'NOVIEMBRE 2026'!Y54,"")</f>
        <v/>
      </c>
      <c r="L1100" s="192" t="str">
        <f aca="false">IF(AND('NOVIEMBRE 2026'!D54&lt;&gt;"",'NOVIEMBRE 2026'!Z54="POR RECOGER"),'NOVIEMBRE 2026'!I54,"")</f>
        <v/>
      </c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customFormat="false" ht="15" hidden="false" customHeight="true" outlineLevel="0" collapsed="false">
      <c r="A1101" s="192" t="str">
        <f aca="false">IF(AND('NOVIEMBRE 2026'!D55&lt;&gt;"",'NOVIEMBRE 2026'!Z55="POR RECOGER"),"NOV","")</f>
        <v/>
      </c>
      <c r="B1101" s="192" t="str">
        <f aca="false">IF(AND('NOVIEMBRE 2026'!D55&lt;&gt;"",'NOVIEMBRE 2026'!Z55="POR RECOGER"),IF('NOVIEMBRE 2026'!Y55&lt;&gt;"",'NOVIEMBRE 2026'!Y55,'NOVIEMBRE 2026'!I55),"")</f>
        <v/>
      </c>
      <c r="C1101" s="192" t="str">
        <f aca="false">IF(AND('NOVIEMBRE 2026'!D55&lt;&gt;"",'NOVIEMBRE 2026'!Z55="POR RECOGER"),'NOVIEMBRE 2026'!D55,"")</f>
        <v/>
      </c>
      <c r="D1101" s="192" t="str">
        <f aca="false">IF(AND('NOVIEMBRE 2026'!D55&lt;&gt;"",'NOVIEMBRE 2026'!Z55="POR RECOGER"),'NOVIEMBRE 2026'!F55,"")</f>
        <v/>
      </c>
      <c r="E1101" s="192" t="str">
        <f aca="false">IF(AND('NOVIEMBRE 2026'!D55&lt;&gt;"",'NOVIEMBRE 2026'!Z55="POR RECOGER"),TEXT('NOVIEMBRE 2026'!G55,"DD/MM/YYYY"),"")</f>
        <v/>
      </c>
      <c r="F1101" s="192" t="str">
        <f aca="false">IF(AND('NOVIEMBRE 2026'!D55&lt;&gt;"",'NOVIEMBRE 2026'!Z55="POR RECOGER"),'NOVIEMBRE 2026'!K55,"")</f>
        <v/>
      </c>
      <c r="G1101" s="193" t="str">
        <f aca="false">IF(AND('NOVIEMBRE 2026'!D55&lt;&gt;"",'NOVIEMBRE 2026'!Z55="POR RECOGER"),'NOVIEMBRE 2026'!M55,"")</f>
        <v/>
      </c>
      <c r="H1101" s="193" t="str">
        <f aca="false">IF(AND('NOVIEMBRE 2026'!D55&lt;&gt;"",'NOVIEMBRE 2026'!Z55="POR RECOGER"),'NOVIEMBRE 2026'!N55,"")</f>
        <v/>
      </c>
      <c r="I1101" s="192" t="str">
        <f aca="false">IF(AND('NOVIEMBRE 2026'!D55&lt;&gt;"",'NOVIEMBRE 2026'!Z55="POR RECOGER"),'NOVIEMBRE 2026'!P55,"")</f>
        <v/>
      </c>
      <c r="J1101" s="192" t="str">
        <f aca="false">IF(AND('NOVIEMBRE 2026'!D55&lt;&gt;"",'NOVIEMBRE 2026'!Z55="POR RECOGER"),'NOVIEMBRE 2026'!Q55,"")</f>
        <v/>
      </c>
      <c r="K1101" s="192" t="str">
        <f aca="false">IF(AND('NOVIEMBRE 2026'!D55&lt;&gt;"",'NOVIEMBRE 2026'!Z55="POR RECOGER"),'NOVIEMBRE 2026'!Y55,"")</f>
        <v/>
      </c>
      <c r="L1101" s="192" t="str">
        <f aca="false">IF(AND('NOVIEMBRE 2026'!D55&lt;&gt;"",'NOVIEMBRE 2026'!Z55="POR RECOGER"),'NOVIEMBRE 2026'!I55,"")</f>
        <v/>
      </c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customFormat="false" ht="15" hidden="false" customHeight="true" outlineLevel="0" collapsed="false">
      <c r="A1102" s="192" t="str">
        <f aca="false">IF(AND('NOVIEMBRE 2026'!D56&lt;&gt;"",'NOVIEMBRE 2026'!Z56="POR RECOGER"),"NOV","")</f>
        <v/>
      </c>
      <c r="B1102" s="192" t="str">
        <f aca="false">IF(AND('NOVIEMBRE 2026'!D56&lt;&gt;"",'NOVIEMBRE 2026'!Z56="POR RECOGER"),IF('NOVIEMBRE 2026'!Y56&lt;&gt;"",'NOVIEMBRE 2026'!Y56,'NOVIEMBRE 2026'!I56),"")</f>
        <v/>
      </c>
      <c r="C1102" s="192" t="str">
        <f aca="false">IF(AND('NOVIEMBRE 2026'!D56&lt;&gt;"",'NOVIEMBRE 2026'!Z56="POR RECOGER"),'NOVIEMBRE 2026'!D56,"")</f>
        <v/>
      </c>
      <c r="D1102" s="192" t="str">
        <f aca="false">IF(AND('NOVIEMBRE 2026'!D56&lt;&gt;"",'NOVIEMBRE 2026'!Z56="POR RECOGER"),'NOVIEMBRE 2026'!F56,"")</f>
        <v/>
      </c>
      <c r="E1102" s="192" t="str">
        <f aca="false">IF(AND('NOVIEMBRE 2026'!D56&lt;&gt;"",'NOVIEMBRE 2026'!Z56="POR RECOGER"),TEXT('NOVIEMBRE 2026'!G56,"DD/MM/YYYY"),"")</f>
        <v/>
      </c>
      <c r="F1102" s="192" t="str">
        <f aca="false">IF(AND('NOVIEMBRE 2026'!D56&lt;&gt;"",'NOVIEMBRE 2026'!Z56="POR RECOGER"),'NOVIEMBRE 2026'!K56,"")</f>
        <v/>
      </c>
      <c r="G1102" s="193" t="str">
        <f aca="false">IF(AND('NOVIEMBRE 2026'!D56&lt;&gt;"",'NOVIEMBRE 2026'!Z56="POR RECOGER"),'NOVIEMBRE 2026'!M56,"")</f>
        <v/>
      </c>
      <c r="H1102" s="193" t="str">
        <f aca="false">IF(AND('NOVIEMBRE 2026'!D56&lt;&gt;"",'NOVIEMBRE 2026'!Z56="POR RECOGER"),'NOVIEMBRE 2026'!N56,"")</f>
        <v/>
      </c>
      <c r="I1102" s="192" t="str">
        <f aca="false">IF(AND('NOVIEMBRE 2026'!D56&lt;&gt;"",'NOVIEMBRE 2026'!Z56="POR RECOGER"),'NOVIEMBRE 2026'!P56,"")</f>
        <v/>
      </c>
      <c r="J1102" s="192" t="str">
        <f aca="false">IF(AND('NOVIEMBRE 2026'!D56&lt;&gt;"",'NOVIEMBRE 2026'!Z56="POR RECOGER"),'NOVIEMBRE 2026'!Q56,"")</f>
        <v/>
      </c>
      <c r="K1102" s="192" t="str">
        <f aca="false">IF(AND('NOVIEMBRE 2026'!D56&lt;&gt;"",'NOVIEMBRE 2026'!Z56="POR RECOGER"),'NOVIEMBRE 2026'!Y56,"")</f>
        <v/>
      </c>
      <c r="L1102" s="192" t="str">
        <f aca="false">IF(AND('NOVIEMBRE 2026'!D56&lt;&gt;"",'NOVIEMBRE 2026'!Z56="POR RECOGER"),'NOVIEMBRE 2026'!I56,"")</f>
        <v/>
      </c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customFormat="false" ht="15" hidden="false" customHeight="true" outlineLevel="0" collapsed="false">
      <c r="A1103" s="192" t="str">
        <f aca="false">IF(AND('NOVIEMBRE 2026'!D57&lt;&gt;"",'NOVIEMBRE 2026'!Z57="POR RECOGER"),"NOV","")</f>
        <v/>
      </c>
      <c r="B1103" s="192" t="str">
        <f aca="false">IF(AND('NOVIEMBRE 2026'!D57&lt;&gt;"",'NOVIEMBRE 2026'!Z57="POR RECOGER"),IF('NOVIEMBRE 2026'!Y57&lt;&gt;"",'NOVIEMBRE 2026'!Y57,'NOVIEMBRE 2026'!I57),"")</f>
        <v/>
      </c>
      <c r="C1103" s="192" t="str">
        <f aca="false">IF(AND('NOVIEMBRE 2026'!D57&lt;&gt;"",'NOVIEMBRE 2026'!Z57="POR RECOGER"),'NOVIEMBRE 2026'!D57,"")</f>
        <v/>
      </c>
      <c r="D1103" s="192" t="str">
        <f aca="false">IF(AND('NOVIEMBRE 2026'!D57&lt;&gt;"",'NOVIEMBRE 2026'!Z57="POR RECOGER"),'NOVIEMBRE 2026'!F57,"")</f>
        <v/>
      </c>
      <c r="E1103" s="192" t="str">
        <f aca="false">IF(AND('NOVIEMBRE 2026'!D57&lt;&gt;"",'NOVIEMBRE 2026'!Z57="POR RECOGER"),TEXT('NOVIEMBRE 2026'!G57,"DD/MM/YYYY"),"")</f>
        <v/>
      </c>
      <c r="F1103" s="192" t="str">
        <f aca="false">IF(AND('NOVIEMBRE 2026'!D57&lt;&gt;"",'NOVIEMBRE 2026'!Z57="POR RECOGER"),'NOVIEMBRE 2026'!K57,"")</f>
        <v/>
      </c>
      <c r="G1103" s="193" t="str">
        <f aca="false">IF(AND('NOVIEMBRE 2026'!D57&lt;&gt;"",'NOVIEMBRE 2026'!Z57="POR RECOGER"),'NOVIEMBRE 2026'!M57,"")</f>
        <v/>
      </c>
      <c r="H1103" s="193" t="str">
        <f aca="false">IF(AND('NOVIEMBRE 2026'!D57&lt;&gt;"",'NOVIEMBRE 2026'!Z57="POR RECOGER"),'NOVIEMBRE 2026'!N57,"")</f>
        <v/>
      </c>
      <c r="I1103" s="192" t="str">
        <f aca="false">IF(AND('NOVIEMBRE 2026'!D57&lt;&gt;"",'NOVIEMBRE 2026'!Z57="POR RECOGER"),'NOVIEMBRE 2026'!P57,"")</f>
        <v/>
      </c>
      <c r="J1103" s="192" t="str">
        <f aca="false">IF(AND('NOVIEMBRE 2026'!D57&lt;&gt;"",'NOVIEMBRE 2026'!Z57="POR RECOGER"),'NOVIEMBRE 2026'!Q57,"")</f>
        <v/>
      </c>
      <c r="K1103" s="192" t="str">
        <f aca="false">IF(AND('NOVIEMBRE 2026'!D57&lt;&gt;"",'NOVIEMBRE 2026'!Z57="POR RECOGER"),'NOVIEMBRE 2026'!Y57,"")</f>
        <v/>
      </c>
      <c r="L1103" s="192" t="str">
        <f aca="false">IF(AND('NOVIEMBRE 2026'!D57&lt;&gt;"",'NOVIEMBRE 2026'!Z57="POR RECOGER"),'NOVIEMBRE 2026'!I57,"")</f>
        <v/>
      </c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customFormat="false" ht="15" hidden="false" customHeight="true" outlineLevel="0" collapsed="false">
      <c r="A1104" s="192" t="str">
        <f aca="false">IF(AND('NOVIEMBRE 2026'!D58&lt;&gt;"",'NOVIEMBRE 2026'!Z58="POR RECOGER"),"NOV","")</f>
        <v/>
      </c>
      <c r="B1104" s="192" t="str">
        <f aca="false">IF(AND('NOVIEMBRE 2026'!D58&lt;&gt;"",'NOVIEMBRE 2026'!Z58="POR RECOGER"),IF('NOVIEMBRE 2026'!Y58&lt;&gt;"",'NOVIEMBRE 2026'!Y58,'NOVIEMBRE 2026'!I58),"")</f>
        <v/>
      </c>
      <c r="C1104" s="192" t="str">
        <f aca="false">IF(AND('NOVIEMBRE 2026'!D58&lt;&gt;"",'NOVIEMBRE 2026'!Z58="POR RECOGER"),'NOVIEMBRE 2026'!D58,"")</f>
        <v/>
      </c>
      <c r="D1104" s="192" t="str">
        <f aca="false">IF(AND('NOVIEMBRE 2026'!D58&lt;&gt;"",'NOVIEMBRE 2026'!Z58="POR RECOGER"),'NOVIEMBRE 2026'!F58,"")</f>
        <v/>
      </c>
      <c r="E1104" s="192" t="str">
        <f aca="false">IF(AND('NOVIEMBRE 2026'!D58&lt;&gt;"",'NOVIEMBRE 2026'!Z58="POR RECOGER"),TEXT('NOVIEMBRE 2026'!G58,"DD/MM/YYYY"),"")</f>
        <v/>
      </c>
      <c r="F1104" s="192" t="str">
        <f aca="false">IF(AND('NOVIEMBRE 2026'!D58&lt;&gt;"",'NOVIEMBRE 2026'!Z58="POR RECOGER"),'NOVIEMBRE 2026'!K58,"")</f>
        <v/>
      </c>
      <c r="G1104" s="193" t="str">
        <f aca="false">IF(AND('NOVIEMBRE 2026'!D58&lt;&gt;"",'NOVIEMBRE 2026'!Z58="POR RECOGER"),'NOVIEMBRE 2026'!M58,"")</f>
        <v/>
      </c>
      <c r="H1104" s="193" t="str">
        <f aca="false">IF(AND('NOVIEMBRE 2026'!D58&lt;&gt;"",'NOVIEMBRE 2026'!Z58="POR RECOGER"),'NOVIEMBRE 2026'!N58,"")</f>
        <v/>
      </c>
      <c r="I1104" s="192" t="str">
        <f aca="false">IF(AND('NOVIEMBRE 2026'!D58&lt;&gt;"",'NOVIEMBRE 2026'!Z58="POR RECOGER"),'NOVIEMBRE 2026'!P58,"")</f>
        <v/>
      </c>
      <c r="J1104" s="192" t="str">
        <f aca="false">IF(AND('NOVIEMBRE 2026'!D58&lt;&gt;"",'NOVIEMBRE 2026'!Z58="POR RECOGER"),'NOVIEMBRE 2026'!Q58,"")</f>
        <v/>
      </c>
      <c r="K1104" s="192" t="str">
        <f aca="false">IF(AND('NOVIEMBRE 2026'!D58&lt;&gt;"",'NOVIEMBRE 2026'!Z58="POR RECOGER"),'NOVIEMBRE 2026'!Y58,"")</f>
        <v/>
      </c>
      <c r="L1104" s="192" t="str">
        <f aca="false">IF(AND('NOVIEMBRE 2026'!D58&lt;&gt;"",'NOVIEMBRE 2026'!Z58="POR RECOGER"),'NOVIEMBRE 2026'!I58,"")</f>
        <v/>
      </c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customFormat="false" ht="15" hidden="false" customHeight="true" outlineLevel="0" collapsed="false">
      <c r="A1105" s="192" t="str">
        <f aca="false">IF(AND('NOVIEMBRE 2026'!D59&lt;&gt;"",'NOVIEMBRE 2026'!Z59="POR RECOGER"),"NOV","")</f>
        <v/>
      </c>
      <c r="B1105" s="192" t="str">
        <f aca="false">IF(AND('NOVIEMBRE 2026'!D59&lt;&gt;"",'NOVIEMBRE 2026'!Z59="POR RECOGER"),IF('NOVIEMBRE 2026'!Y59&lt;&gt;"",'NOVIEMBRE 2026'!Y59,'NOVIEMBRE 2026'!I59),"")</f>
        <v/>
      </c>
      <c r="C1105" s="192" t="str">
        <f aca="false">IF(AND('NOVIEMBRE 2026'!D59&lt;&gt;"",'NOVIEMBRE 2026'!Z59="POR RECOGER"),'NOVIEMBRE 2026'!D59,"")</f>
        <v/>
      </c>
      <c r="D1105" s="192" t="str">
        <f aca="false">IF(AND('NOVIEMBRE 2026'!D59&lt;&gt;"",'NOVIEMBRE 2026'!Z59="POR RECOGER"),'NOVIEMBRE 2026'!F59,"")</f>
        <v/>
      </c>
      <c r="E1105" s="192" t="str">
        <f aca="false">IF(AND('NOVIEMBRE 2026'!D59&lt;&gt;"",'NOVIEMBRE 2026'!Z59="POR RECOGER"),TEXT('NOVIEMBRE 2026'!G59,"DD/MM/YYYY"),"")</f>
        <v/>
      </c>
      <c r="F1105" s="192" t="str">
        <f aca="false">IF(AND('NOVIEMBRE 2026'!D59&lt;&gt;"",'NOVIEMBRE 2026'!Z59="POR RECOGER"),'NOVIEMBRE 2026'!K59,"")</f>
        <v/>
      </c>
      <c r="G1105" s="193" t="str">
        <f aca="false">IF(AND('NOVIEMBRE 2026'!D59&lt;&gt;"",'NOVIEMBRE 2026'!Z59="POR RECOGER"),'NOVIEMBRE 2026'!M59,"")</f>
        <v/>
      </c>
      <c r="H1105" s="193" t="str">
        <f aca="false">IF(AND('NOVIEMBRE 2026'!D59&lt;&gt;"",'NOVIEMBRE 2026'!Z59="POR RECOGER"),'NOVIEMBRE 2026'!N59,"")</f>
        <v/>
      </c>
      <c r="I1105" s="192" t="str">
        <f aca="false">IF(AND('NOVIEMBRE 2026'!D59&lt;&gt;"",'NOVIEMBRE 2026'!Z59="POR RECOGER"),'NOVIEMBRE 2026'!P59,"")</f>
        <v/>
      </c>
      <c r="J1105" s="192" t="str">
        <f aca="false">IF(AND('NOVIEMBRE 2026'!D59&lt;&gt;"",'NOVIEMBRE 2026'!Z59="POR RECOGER"),'NOVIEMBRE 2026'!Q59,"")</f>
        <v/>
      </c>
      <c r="K1105" s="192" t="str">
        <f aca="false">IF(AND('NOVIEMBRE 2026'!D59&lt;&gt;"",'NOVIEMBRE 2026'!Z59="POR RECOGER"),'NOVIEMBRE 2026'!Y59,"")</f>
        <v/>
      </c>
      <c r="L1105" s="192" t="str">
        <f aca="false">IF(AND('NOVIEMBRE 2026'!D59&lt;&gt;"",'NOVIEMBRE 2026'!Z59="POR RECOGER"),'NOVIEMBRE 2026'!I59,"")</f>
        <v/>
      </c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customFormat="false" ht="15" hidden="false" customHeight="true" outlineLevel="0" collapsed="false">
      <c r="A1106" s="192" t="str">
        <f aca="false">IF(AND('NOVIEMBRE 2026'!D60&lt;&gt;"",'NOVIEMBRE 2026'!Z60="POR RECOGER"),"NOV","")</f>
        <v/>
      </c>
      <c r="B1106" s="192" t="str">
        <f aca="false">IF(AND('NOVIEMBRE 2026'!D60&lt;&gt;"",'NOVIEMBRE 2026'!Z60="POR RECOGER"),IF('NOVIEMBRE 2026'!Y60&lt;&gt;"",'NOVIEMBRE 2026'!Y60,'NOVIEMBRE 2026'!I60),"")</f>
        <v/>
      </c>
      <c r="C1106" s="192" t="str">
        <f aca="false">IF(AND('NOVIEMBRE 2026'!D60&lt;&gt;"",'NOVIEMBRE 2026'!Z60="POR RECOGER"),'NOVIEMBRE 2026'!D60,"")</f>
        <v/>
      </c>
      <c r="D1106" s="192" t="str">
        <f aca="false">IF(AND('NOVIEMBRE 2026'!D60&lt;&gt;"",'NOVIEMBRE 2026'!Z60="POR RECOGER"),'NOVIEMBRE 2026'!F60,"")</f>
        <v/>
      </c>
      <c r="E1106" s="192" t="str">
        <f aca="false">IF(AND('NOVIEMBRE 2026'!D60&lt;&gt;"",'NOVIEMBRE 2026'!Z60="POR RECOGER"),TEXT('NOVIEMBRE 2026'!G60,"DD/MM/YYYY"),"")</f>
        <v/>
      </c>
      <c r="F1106" s="192" t="str">
        <f aca="false">IF(AND('NOVIEMBRE 2026'!D60&lt;&gt;"",'NOVIEMBRE 2026'!Z60="POR RECOGER"),'NOVIEMBRE 2026'!K60,"")</f>
        <v/>
      </c>
      <c r="G1106" s="193" t="str">
        <f aca="false">IF(AND('NOVIEMBRE 2026'!D60&lt;&gt;"",'NOVIEMBRE 2026'!Z60="POR RECOGER"),'NOVIEMBRE 2026'!M60,"")</f>
        <v/>
      </c>
      <c r="H1106" s="193" t="str">
        <f aca="false">IF(AND('NOVIEMBRE 2026'!D60&lt;&gt;"",'NOVIEMBRE 2026'!Z60="POR RECOGER"),'NOVIEMBRE 2026'!N60,"")</f>
        <v/>
      </c>
      <c r="I1106" s="192" t="str">
        <f aca="false">IF(AND('NOVIEMBRE 2026'!D60&lt;&gt;"",'NOVIEMBRE 2026'!Z60="POR RECOGER"),'NOVIEMBRE 2026'!P60,"")</f>
        <v/>
      </c>
      <c r="J1106" s="192" t="str">
        <f aca="false">IF(AND('NOVIEMBRE 2026'!D60&lt;&gt;"",'NOVIEMBRE 2026'!Z60="POR RECOGER"),'NOVIEMBRE 2026'!Q60,"")</f>
        <v/>
      </c>
      <c r="K1106" s="192" t="str">
        <f aca="false">IF(AND('NOVIEMBRE 2026'!D60&lt;&gt;"",'NOVIEMBRE 2026'!Z60="POR RECOGER"),'NOVIEMBRE 2026'!Y60,"")</f>
        <v/>
      </c>
      <c r="L1106" s="192" t="str">
        <f aca="false">IF(AND('NOVIEMBRE 2026'!D60&lt;&gt;"",'NOVIEMBRE 2026'!Z60="POR RECOGER"),'NOVIEMBRE 2026'!I60,"")</f>
        <v/>
      </c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customFormat="false" ht="15" hidden="false" customHeight="true" outlineLevel="0" collapsed="false">
      <c r="A1107" s="192" t="str">
        <f aca="false">IF(AND('NOVIEMBRE 2026'!D61&lt;&gt;"",'NOVIEMBRE 2026'!Z61="POR RECOGER"),"NOV","")</f>
        <v/>
      </c>
      <c r="B1107" s="192" t="str">
        <f aca="false">IF(AND('NOVIEMBRE 2026'!D61&lt;&gt;"",'NOVIEMBRE 2026'!Z61="POR RECOGER"),IF('NOVIEMBRE 2026'!Y61&lt;&gt;"",'NOVIEMBRE 2026'!Y61,'NOVIEMBRE 2026'!I61),"")</f>
        <v/>
      </c>
      <c r="C1107" s="192" t="str">
        <f aca="false">IF(AND('NOVIEMBRE 2026'!D61&lt;&gt;"",'NOVIEMBRE 2026'!Z61="POR RECOGER"),'NOVIEMBRE 2026'!D61,"")</f>
        <v/>
      </c>
      <c r="D1107" s="192" t="str">
        <f aca="false">IF(AND('NOVIEMBRE 2026'!D61&lt;&gt;"",'NOVIEMBRE 2026'!Z61="POR RECOGER"),'NOVIEMBRE 2026'!F61,"")</f>
        <v/>
      </c>
      <c r="E1107" s="192" t="str">
        <f aca="false">IF(AND('NOVIEMBRE 2026'!D61&lt;&gt;"",'NOVIEMBRE 2026'!Z61="POR RECOGER"),TEXT('NOVIEMBRE 2026'!G61,"DD/MM/YYYY"),"")</f>
        <v/>
      </c>
      <c r="F1107" s="192" t="str">
        <f aca="false">IF(AND('NOVIEMBRE 2026'!D61&lt;&gt;"",'NOVIEMBRE 2026'!Z61="POR RECOGER"),'NOVIEMBRE 2026'!K61,"")</f>
        <v/>
      </c>
      <c r="G1107" s="193" t="str">
        <f aca="false">IF(AND('NOVIEMBRE 2026'!D61&lt;&gt;"",'NOVIEMBRE 2026'!Z61="POR RECOGER"),'NOVIEMBRE 2026'!M61,"")</f>
        <v/>
      </c>
      <c r="H1107" s="193" t="str">
        <f aca="false">IF(AND('NOVIEMBRE 2026'!D61&lt;&gt;"",'NOVIEMBRE 2026'!Z61="POR RECOGER"),'NOVIEMBRE 2026'!N61,"")</f>
        <v/>
      </c>
      <c r="I1107" s="192" t="str">
        <f aca="false">IF(AND('NOVIEMBRE 2026'!D61&lt;&gt;"",'NOVIEMBRE 2026'!Z61="POR RECOGER"),'NOVIEMBRE 2026'!P61,"")</f>
        <v/>
      </c>
      <c r="J1107" s="192" t="str">
        <f aca="false">IF(AND('NOVIEMBRE 2026'!D61&lt;&gt;"",'NOVIEMBRE 2026'!Z61="POR RECOGER"),'NOVIEMBRE 2026'!Q61,"")</f>
        <v/>
      </c>
      <c r="K1107" s="192" t="str">
        <f aca="false">IF(AND('NOVIEMBRE 2026'!D61&lt;&gt;"",'NOVIEMBRE 2026'!Z61="POR RECOGER"),'NOVIEMBRE 2026'!Y61,"")</f>
        <v/>
      </c>
      <c r="L1107" s="192" t="str">
        <f aca="false">IF(AND('NOVIEMBRE 2026'!D61&lt;&gt;"",'NOVIEMBRE 2026'!Z61="POR RECOGER"),'NOVIEMBRE 2026'!I61,"")</f>
        <v/>
      </c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customFormat="false" ht="15" hidden="false" customHeight="true" outlineLevel="0" collapsed="false">
      <c r="A1108" s="192" t="str">
        <f aca="false">IF(AND('NOVIEMBRE 2026'!D62&lt;&gt;"",'NOVIEMBRE 2026'!Z62="POR RECOGER"),"NOV","")</f>
        <v/>
      </c>
      <c r="B1108" s="192" t="str">
        <f aca="false">IF(AND('NOVIEMBRE 2026'!D62&lt;&gt;"",'NOVIEMBRE 2026'!Z62="POR RECOGER"),IF('NOVIEMBRE 2026'!Y62&lt;&gt;"",'NOVIEMBRE 2026'!Y62,'NOVIEMBRE 2026'!I62),"")</f>
        <v/>
      </c>
      <c r="C1108" s="192" t="str">
        <f aca="false">IF(AND('NOVIEMBRE 2026'!D62&lt;&gt;"",'NOVIEMBRE 2026'!Z62="POR RECOGER"),'NOVIEMBRE 2026'!D62,"")</f>
        <v/>
      </c>
      <c r="D1108" s="192" t="str">
        <f aca="false">IF(AND('NOVIEMBRE 2026'!D62&lt;&gt;"",'NOVIEMBRE 2026'!Z62="POR RECOGER"),'NOVIEMBRE 2026'!F62,"")</f>
        <v/>
      </c>
      <c r="E1108" s="192" t="str">
        <f aca="false">IF(AND('NOVIEMBRE 2026'!D62&lt;&gt;"",'NOVIEMBRE 2026'!Z62="POR RECOGER"),TEXT('NOVIEMBRE 2026'!G62,"DD/MM/YYYY"),"")</f>
        <v/>
      </c>
      <c r="F1108" s="192" t="str">
        <f aca="false">IF(AND('NOVIEMBRE 2026'!D62&lt;&gt;"",'NOVIEMBRE 2026'!Z62="POR RECOGER"),'NOVIEMBRE 2026'!K62,"")</f>
        <v/>
      </c>
      <c r="G1108" s="193" t="str">
        <f aca="false">IF(AND('NOVIEMBRE 2026'!D62&lt;&gt;"",'NOVIEMBRE 2026'!Z62="POR RECOGER"),'NOVIEMBRE 2026'!M62,"")</f>
        <v/>
      </c>
      <c r="H1108" s="193" t="str">
        <f aca="false">IF(AND('NOVIEMBRE 2026'!D62&lt;&gt;"",'NOVIEMBRE 2026'!Z62="POR RECOGER"),'NOVIEMBRE 2026'!N62,"")</f>
        <v/>
      </c>
      <c r="I1108" s="192" t="str">
        <f aca="false">IF(AND('NOVIEMBRE 2026'!D62&lt;&gt;"",'NOVIEMBRE 2026'!Z62="POR RECOGER"),'NOVIEMBRE 2026'!P62,"")</f>
        <v/>
      </c>
      <c r="J1108" s="192" t="str">
        <f aca="false">IF(AND('NOVIEMBRE 2026'!D62&lt;&gt;"",'NOVIEMBRE 2026'!Z62="POR RECOGER"),'NOVIEMBRE 2026'!Q62,"")</f>
        <v/>
      </c>
      <c r="K1108" s="192" t="str">
        <f aca="false">IF(AND('NOVIEMBRE 2026'!D62&lt;&gt;"",'NOVIEMBRE 2026'!Z62="POR RECOGER"),'NOVIEMBRE 2026'!Y62,"")</f>
        <v/>
      </c>
      <c r="L1108" s="192" t="str">
        <f aca="false">IF(AND('NOVIEMBRE 2026'!D62&lt;&gt;"",'NOVIEMBRE 2026'!Z62="POR RECOGER"),'NOVIEMBRE 2026'!I62,"")</f>
        <v/>
      </c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customFormat="false" ht="15" hidden="false" customHeight="true" outlineLevel="0" collapsed="false">
      <c r="A1109" s="192" t="str">
        <f aca="false">IF(AND('NOVIEMBRE 2026'!D63&lt;&gt;"",'NOVIEMBRE 2026'!Z63="POR RECOGER"),"NOV","")</f>
        <v/>
      </c>
      <c r="B1109" s="192" t="str">
        <f aca="false">IF(AND('NOVIEMBRE 2026'!D63&lt;&gt;"",'NOVIEMBRE 2026'!Z63="POR RECOGER"),IF('NOVIEMBRE 2026'!Y63&lt;&gt;"",'NOVIEMBRE 2026'!Y63,'NOVIEMBRE 2026'!I63),"")</f>
        <v/>
      </c>
      <c r="C1109" s="192" t="str">
        <f aca="false">IF(AND('NOVIEMBRE 2026'!D63&lt;&gt;"",'NOVIEMBRE 2026'!Z63="POR RECOGER"),'NOVIEMBRE 2026'!D63,"")</f>
        <v/>
      </c>
      <c r="D1109" s="192" t="str">
        <f aca="false">IF(AND('NOVIEMBRE 2026'!D63&lt;&gt;"",'NOVIEMBRE 2026'!Z63="POR RECOGER"),'NOVIEMBRE 2026'!F63,"")</f>
        <v/>
      </c>
      <c r="E1109" s="192" t="str">
        <f aca="false">IF(AND('NOVIEMBRE 2026'!D63&lt;&gt;"",'NOVIEMBRE 2026'!Z63="POR RECOGER"),TEXT('NOVIEMBRE 2026'!G63,"DD/MM/YYYY"),"")</f>
        <v/>
      </c>
      <c r="F1109" s="192" t="str">
        <f aca="false">IF(AND('NOVIEMBRE 2026'!D63&lt;&gt;"",'NOVIEMBRE 2026'!Z63="POR RECOGER"),'NOVIEMBRE 2026'!K63,"")</f>
        <v/>
      </c>
      <c r="G1109" s="193" t="str">
        <f aca="false">IF(AND('NOVIEMBRE 2026'!D63&lt;&gt;"",'NOVIEMBRE 2026'!Z63="POR RECOGER"),'NOVIEMBRE 2026'!M63,"")</f>
        <v/>
      </c>
      <c r="H1109" s="193" t="str">
        <f aca="false">IF(AND('NOVIEMBRE 2026'!D63&lt;&gt;"",'NOVIEMBRE 2026'!Z63="POR RECOGER"),'NOVIEMBRE 2026'!N63,"")</f>
        <v/>
      </c>
      <c r="I1109" s="192" t="str">
        <f aca="false">IF(AND('NOVIEMBRE 2026'!D63&lt;&gt;"",'NOVIEMBRE 2026'!Z63="POR RECOGER"),'NOVIEMBRE 2026'!P63,"")</f>
        <v/>
      </c>
      <c r="J1109" s="192" t="str">
        <f aca="false">IF(AND('NOVIEMBRE 2026'!D63&lt;&gt;"",'NOVIEMBRE 2026'!Z63="POR RECOGER"),'NOVIEMBRE 2026'!Q63,"")</f>
        <v/>
      </c>
      <c r="K1109" s="192" t="str">
        <f aca="false">IF(AND('NOVIEMBRE 2026'!D63&lt;&gt;"",'NOVIEMBRE 2026'!Z63="POR RECOGER"),'NOVIEMBRE 2026'!Y63,"")</f>
        <v/>
      </c>
      <c r="L1109" s="192" t="str">
        <f aca="false">IF(AND('NOVIEMBRE 2026'!D63&lt;&gt;"",'NOVIEMBRE 2026'!Z63="POR RECOGER"),'NOVIEMBRE 2026'!I63,"")</f>
        <v/>
      </c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customFormat="false" ht="15" hidden="false" customHeight="true" outlineLevel="0" collapsed="false">
      <c r="A1110" s="192" t="str">
        <f aca="false">IF(AND('NOVIEMBRE 2026'!D64&lt;&gt;"",'NOVIEMBRE 2026'!Z64="POR RECOGER"),"NOV","")</f>
        <v/>
      </c>
      <c r="B1110" s="192" t="str">
        <f aca="false">IF(AND('NOVIEMBRE 2026'!D64&lt;&gt;"",'NOVIEMBRE 2026'!Z64="POR RECOGER"),IF('NOVIEMBRE 2026'!Y64&lt;&gt;"",'NOVIEMBRE 2026'!Y64,'NOVIEMBRE 2026'!I64),"")</f>
        <v/>
      </c>
      <c r="C1110" s="192" t="str">
        <f aca="false">IF(AND('NOVIEMBRE 2026'!D64&lt;&gt;"",'NOVIEMBRE 2026'!Z64="POR RECOGER"),'NOVIEMBRE 2026'!D64,"")</f>
        <v/>
      </c>
      <c r="D1110" s="192" t="str">
        <f aca="false">IF(AND('NOVIEMBRE 2026'!D64&lt;&gt;"",'NOVIEMBRE 2026'!Z64="POR RECOGER"),'NOVIEMBRE 2026'!F64,"")</f>
        <v/>
      </c>
      <c r="E1110" s="192" t="str">
        <f aca="false">IF(AND('NOVIEMBRE 2026'!D64&lt;&gt;"",'NOVIEMBRE 2026'!Z64="POR RECOGER"),TEXT('NOVIEMBRE 2026'!G64,"DD/MM/YYYY"),"")</f>
        <v/>
      </c>
      <c r="F1110" s="192" t="str">
        <f aca="false">IF(AND('NOVIEMBRE 2026'!D64&lt;&gt;"",'NOVIEMBRE 2026'!Z64="POR RECOGER"),'NOVIEMBRE 2026'!K64,"")</f>
        <v/>
      </c>
      <c r="G1110" s="193" t="str">
        <f aca="false">IF(AND('NOVIEMBRE 2026'!D64&lt;&gt;"",'NOVIEMBRE 2026'!Z64="POR RECOGER"),'NOVIEMBRE 2026'!M64,"")</f>
        <v/>
      </c>
      <c r="H1110" s="193" t="str">
        <f aca="false">IF(AND('NOVIEMBRE 2026'!D64&lt;&gt;"",'NOVIEMBRE 2026'!Z64="POR RECOGER"),'NOVIEMBRE 2026'!N64,"")</f>
        <v/>
      </c>
      <c r="I1110" s="192" t="str">
        <f aca="false">IF(AND('NOVIEMBRE 2026'!D64&lt;&gt;"",'NOVIEMBRE 2026'!Z64="POR RECOGER"),'NOVIEMBRE 2026'!P64,"")</f>
        <v/>
      </c>
      <c r="J1110" s="192" t="str">
        <f aca="false">IF(AND('NOVIEMBRE 2026'!D64&lt;&gt;"",'NOVIEMBRE 2026'!Z64="POR RECOGER"),'NOVIEMBRE 2026'!Q64,"")</f>
        <v/>
      </c>
      <c r="K1110" s="192" t="str">
        <f aca="false">IF(AND('NOVIEMBRE 2026'!D64&lt;&gt;"",'NOVIEMBRE 2026'!Z64="POR RECOGER"),'NOVIEMBRE 2026'!Y64,"")</f>
        <v/>
      </c>
      <c r="L1110" s="192" t="str">
        <f aca="false">IF(AND('NOVIEMBRE 2026'!D64&lt;&gt;"",'NOVIEMBRE 2026'!Z64="POR RECOGER"),'NOVIEMBRE 2026'!I64,"")</f>
        <v/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customFormat="false" ht="15" hidden="false" customHeight="true" outlineLevel="0" collapsed="false">
      <c r="A1111" s="192" t="str">
        <f aca="false">IF(AND('NOVIEMBRE 2026'!D65&lt;&gt;"",'NOVIEMBRE 2026'!Z65="POR RECOGER"),"NOV","")</f>
        <v/>
      </c>
      <c r="B1111" s="192" t="str">
        <f aca="false">IF(AND('NOVIEMBRE 2026'!D65&lt;&gt;"",'NOVIEMBRE 2026'!Z65="POR RECOGER"),IF('NOVIEMBRE 2026'!Y65&lt;&gt;"",'NOVIEMBRE 2026'!Y65,'NOVIEMBRE 2026'!I65),"")</f>
        <v/>
      </c>
      <c r="C1111" s="192" t="str">
        <f aca="false">IF(AND('NOVIEMBRE 2026'!D65&lt;&gt;"",'NOVIEMBRE 2026'!Z65="POR RECOGER"),'NOVIEMBRE 2026'!D65,"")</f>
        <v/>
      </c>
      <c r="D1111" s="192" t="str">
        <f aca="false">IF(AND('NOVIEMBRE 2026'!D65&lt;&gt;"",'NOVIEMBRE 2026'!Z65="POR RECOGER"),'NOVIEMBRE 2026'!F65,"")</f>
        <v/>
      </c>
      <c r="E1111" s="192" t="str">
        <f aca="false">IF(AND('NOVIEMBRE 2026'!D65&lt;&gt;"",'NOVIEMBRE 2026'!Z65="POR RECOGER"),TEXT('NOVIEMBRE 2026'!G65,"DD/MM/YYYY"),"")</f>
        <v/>
      </c>
      <c r="F1111" s="192" t="str">
        <f aca="false">IF(AND('NOVIEMBRE 2026'!D65&lt;&gt;"",'NOVIEMBRE 2026'!Z65="POR RECOGER"),'NOVIEMBRE 2026'!K65,"")</f>
        <v/>
      </c>
      <c r="G1111" s="193" t="str">
        <f aca="false">IF(AND('NOVIEMBRE 2026'!D65&lt;&gt;"",'NOVIEMBRE 2026'!Z65="POR RECOGER"),'NOVIEMBRE 2026'!M65,"")</f>
        <v/>
      </c>
      <c r="H1111" s="193" t="str">
        <f aca="false">IF(AND('NOVIEMBRE 2026'!D65&lt;&gt;"",'NOVIEMBRE 2026'!Z65="POR RECOGER"),'NOVIEMBRE 2026'!N65,"")</f>
        <v/>
      </c>
      <c r="I1111" s="192" t="str">
        <f aca="false">IF(AND('NOVIEMBRE 2026'!D65&lt;&gt;"",'NOVIEMBRE 2026'!Z65="POR RECOGER"),'NOVIEMBRE 2026'!P65,"")</f>
        <v/>
      </c>
      <c r="J1111" s="192" t="str">
        <f aca="false">IF(AND('NOVIEMBRE 2026'!D65&lt;&gt;"",'NOVIEMBRE 2026'!Z65="POR RECOGER"),'NOVIEMBRE 2026'!Q65,"")</f>
        <v/>
      </c>
      <c r="K1111" s="192" t="str">
        <f aca="false">IF(AND('NOVIEMBRE 2026'!D65&lt;&gt;"",'NOVIEMBRE 2026'!Z65="POR RECOGER"),'NOVIEMBRE 2026'!Y65,"")</f>
        <v/>
      </c>
      <c r="L1111" s="192" t="str">
        <f aca="false">IF(AND('NOVIEMBRE 2026'!D65&lt;&gt;"",'NOVIEMBRE 2026'!Z65="POR RECOGER"),'NOVIEMBRE 2026'!I65,"")</f>
        <v/>
      </c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customFormat="false" ht="15" hidden="false" customHeight="true" outlineLevel="0" collapsed="false">
      <c r="A1112" s="192" t="str">
        <f aca="false">IF(AND('NOVIEMBRE 2026'!D66&lt;&gt;"",'NOVIEMBRE 2026'!Z66="POR RECOGER"),"NOV","")</f>
        <v/>
      </c>
      <c r="B1112" s="192" t="str">
        <f aca="false">IF(AND('NOVIEMBRE 2026'!D66&lt;&gt;"",'NOVIEMBRE 2026'!Z66="POR RECOGER"),IF('NOVIEMBRE 2026'!Y66&lt;&gt;"",'NOVIEMBRE 2026'!Y66,'NOVIEMBRE 2026'!I66),"")</f>
        <v/>
      </c>
      <c r="C1112" s="192" t="str">
        <f aca="false">IF(AND('NOVIEMBRE 2026'!D66&lt;&gt;"",'NOVIEMBRE 2026'!Z66="POR RECOGER"),'NOVIEMBRE 2026'!D66,"")</f>
        <v/>
      </c>
      <c r="D1112" s="192" t="str">
        <f aca="false">IF(AND('NOVIEMBRE 2026'!D66&lt;&gt;"",'NOVIEMBRE 2026'!Z66="POR RECOGER"),'NOVIEMBRE 2026'!F66,"")</f>
        <v/>
      </c>
      <c r="E1112" s="192" t="str">
        <f aca="false">IF(AND('NOVIEMBRE 2026'!D66&lt;&gt;"",'NOVIEMBRE 2026'!Z66="POR RECOGER"),TEXT('NOVIEMBRE 2026'!G66,"DD/MM/YYYY"),"")</f>
        <v/>
      </c>
      <c r="F1112" s="192" t="str">
        <f aca="false">IF(AND('NOVIEMBRE 2026'!D66&lt;&gt;"",'NOVIEMBRE 2026'!Z66="POR RECOGER"),'NOVIEMBRE 2026'!K66,"")</f>
        <v/>
      </c>
      <c r="G1112" s="193" t="str">
        <f aca="false">IF(AND('NOVIEMBRE 2026'!D66&lt;&gt;"",'NOVIEMBRE 2026'!Z66="POR RECOGER"),'NOVIEMBRE 2026'!M66,"")</f>
        <v/>
      </c>
      <c r="H1112" s="193" t="str">
        <f aca="false">IF(AND('NOVIEMBRE 2026'!D66&lt;&gt;"",'NOVIEMBRE 2026'!Z66="POR RECOGER"),'NOVIEMBRE 2026'!N66,"")</f>
        <v/>
      </c>
      <c r="I1112" s="192" t="str">
        <f aca="false">IF(AND('NOVIEMBRE 2026'!D66&lt;&gt;"",'NOVIEMBRE 2026'!Z66="POR RECOGER"),'NOVIEMBRE 2026'!P66,"")</f>
        <v/>
      </c>
      <c r="J1112" s="192" t="str">
        <f aca="false">IF(AND('NOVIEMBRE 2026'!D66&lt;&gt;"",'NOVIEMBRE 2026'!Z66="POR RECOGER"),'NOVIEMBRE 2026'!Q66,"")</f>
        <v/>
      </c>
      <c r="K1112" s="192" t="str">
        <f aca="false">IF(AND('NOVIEMBRE 2026'!D66&lt;&gt;"",'NOVIEMBRE 2026'!Z66="POR RECOGER"),'NOVIEMBRE 2026'!Y66,"")</f>
        <v/>
      </c>
      <c r="L1112" s="192" t="str">
        <f aca="false">IF(AND('NOVIEMBRE 2026'!D66&lt;&gt;"",'NOVIEMBRE 2026'!Z66="POR RECOGER"),'NOVIEMBRE 2026'!I66,"")</f>
        <v/>
      </c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customFormat="false" ht="15" hidden="false" customHeight="true" outlineLevel="0" collapsed="false">
      <c r="A1113" s="192" t="str">
        <f aca="false">IF(AND('NOVIEMBRE 2026'!D67&lt;&gt;"",'NOVIEMBRE 2026'!Z67="POR RECOGER"),"NOV","")</f>
        <v/>
      </c>
      <c r="B1113" s="192" t="str">
        <f aca="false">IF(AND('NOVIEMBRE 2026'!D67&lt;&gt;"",'NOVIEMBRE 2026'!Z67="POR RECOGER"),IF('NOVIEMBRE 2026'!Y67&lt;&gt;"",'NOVIEMBRE 2026'!Y67,'NOVIEMBRE 2026'!I67),"")</f>
        <v/>
      </c>
      <c r="C1113" s="192" t="str">
        <f aca="false">IF(AND('NOVIEMBRE 2026'!D67&lt;&gt;"",'NOVIEMBRE 2026'!Z67="POR RECOGER"),'NOVIEMBRE 2026'!D67,"")</f>
        <v/>
      </c>
      <c r="D1113" s="192" t="str">
        <f aca="false">IF(AND('NOVIEMBRE 2026'!D67&lt;&gt;"",'NOVIEMBRE 2026'!Z67="POR RECOGER"),'NOVIEMBRE 2026'!F67,"")</f>
        <v/>
      </c>
      <c r="E1113" s="192" t="str">
        <f aca="false">IF(AND('NOVIEMBRE 2026'!D67&lt;&gt;"",'NOVIEMBRE 2026'!Z67="POR RECOGER"),TEXT('NOVIEMBRE 2026'!G67,"DD/MM/YYYY"),"")</f>
        <v/>
      </c>
      <c r="F1113" s="192" t="str">
        <f aca="false">IF(AND('NOVIEMBRE 2026'!D67&lt;&gt;"",'NOVIEMBRE 2026'!Z67="POR RECOGER"),'NOVIEMBRE 2026'!K67,"")</f>
        <v/>
      </c>
      <c r="G1113" s="193" t="str">
        <f aca="false">IF(AND('NOVIEMBRE 2026'!D67&lt;&gt;"",'NOVIEMBRE 2026'!Z67="POR RECOGER"),'NOVIEMBRE 2026'!M67,"")</f>
        <v/>
      </c>
      <c r="H1113" s="193" t="str">
        <f aca="false">IF(AND('NOVIEMBRE 2026'!D67&lt;&gt;"",'NOVIEMBRE 2026'!Z67="POR RECOGER"),'NOVIEMBRE 2026'!N67,"")</f>
        <v/>
      </c>
      <c r="I1113" s="192" t="str">
        <f aca="false">IF(AND('NOVIEMBRE 2026'!D67&lt;&gt;"",'NOVIEMBRE 2026'!Z67="POR RECOGER"),'NOVIEMBRE 2026'!P67,"")</f>
        <v/>
      </c>
      <c r="J1113" s="192" t="str">
        <f aca="false">IF(AND('NOVIEMBRE 2026'!D67&lt;&gt;"",'NOVIEMBRE 2026'!Z67="POR RECOGER"),'NOVIEMBRE 2026'!Q67,"")</f>
        <v/>
      </c>
      <c r="K1113" s="192" t="str">
        <f aca="false">IF(AND('NOVIEMBRE 2026'!D67&lt;&gt;"",'NOVIEMBRE 2026'!Z67="POR RECOGER"),'NOVIEMBRE 2026'!Y67,"")</f>
        <v/>
      </c>
      <c r="L1113" s="192" t="str">
        <f aca="false">IF(AND('NOVIEMBRE 2026'!D67&lt;&gt;"",'NOVIEMBRE 2026'!Z67="POR RECOGER"),'NOVIEMBRE 2026'!I67,"")</f>
        <v/>
      </c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customFormat="false" ht="15" hidden="false" customHeight="true" outlineLevel="0" collapsed="false">
      <c r="A1114" s="192" t="str">
        <f aca="false">IF(AND('NOVIEMBRE 2026'!D68&lt;&gt;"",'NOVIEMBRE 2026'!Z68="POR RECOGER"),"NOV","")</f>
        <v/>
      </c>
      <c r="B1114" s="192" t="str">
        <f aca="false">IF(AND('NOVIEMBRE 2026'!D68&lt;&gt;"",'NOVIEMBRE 2026'!Z68="POR RECOGER"),IF('NOVIEMBRE 2026'!Y68&lt;&gt;"",'NOVIEMBRE 2026'!Y68,'NOVIEMBRE 2026'!I68),"")</f>
        <v/>
      </c>
      <c r="C1114" s="192" t="str">
        <f aca="false">IF(AND('NOVIEMBRE 2026'!D68&lt;&gt;"",'NOVIEMBRE 2026'!Z68="POR RECOGER"),'NOVIEMBRE 2026'!D68,"")</f>
        <v/>
      </c>
      <c r="D1114" s="192" t="str">
        <f aca="false">IF(AND('NOVIEMBRE 2026'!D68&lt;&gt;"",'NOVIEMBRE 2026'!Z68="POR RECOGER"),'NOVIEMBRE 2026'!F68,"")</f>
        <v/>
      </c>
      <c r="E1114" s="192" t="str">
        <f aca="false">IF(AND('NOVIEMBRE 2026'!D68&lt;&gt;"",'NOVIEMBRE 2026'!Z68="POR RECOGER"),TEXT('NOVIEMBRE 2026'!G68,"DD/MM/YYYY"),"")</f>
        <v/>
      </c>
      <c r="F1114" s="192" t="str">
        <f aca="false">IF(AND('NOVIEMBRE 2026'!D68&lt;&gt;"",'NOVIEMBRE 2026'!Z68="POR RECOGER"),'NOVIEMBRE 2026'!K68,"")</f>
        <v/>
      </c>
      <c r="G1114" s="193" t="str">
        <f aca="false">IF(AND('NOVIEMBRE 2026'!D68&lt;&gt;"",'NOVIEMBRE 2026'!Z68="POR RECOGER"),'NOVIEMBRE 2026'!M68,"")</f>
        <v/>
      </c>
      <c r="H1114" s="193" t="str">
        <f aca="false">IF(AND('NOVIEMBRE 2026'!D68&lt;&gt;"",'NOVIEMBRE 2026'!Z68="POR RECOGER"),'NOVIEMBRE 2026'!N68,"")</f>
        <v/>
      </c>
      <c r="I1114" s="192" t="str">
        <f aca="false">IF(AND('NOVIEMBRE 2026'!D68&lt;&gt;"",'NOVIEMBRE 2026'!Z68="POR RECOGER"),'NOVIEMBRE 2026'!P68,"")</f>
        <v/>
      </c>
      <c r="J1114" s="192" t="str">
        <f aca="false">IF(AND('NOVIEMBRE 2026'!D68&lt;&gt;"",'NOVIEMBRE 2026'!Z68="POR RECOGER"),'NOVIEMBRE 2026'!Q68,"")</f>
        <v/>
      </c>
      <c r="K1114" s="192" t="str">
        <f aca="false">IF(AND('NOVIEMBRE 2026'!D68&lt;&gt;"",'NOVIEMBRE 2026'!Z68="POR RECOGER"),'NOVIEMBRE 2026'!Y68,"")</f>
        <v/>
      </c>
      <c r="L1114" s="192" t="str">
        <f aca="false">IF(AND('NOVIEMBRE 2026'!D68&lt;&gt;"",'NOVIEMBRE 2026'!Z68="POR RECOGER"),'NOVIEMBRE 2026'!I68,"")</f>
        <v/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customFormat="false" ht="15" hidden="false" customHeight="true" outlineLevel="0" collapsed="false">
      <c r="A1115" s="192" t="str">
        <f aca="false">IF(AND('NOVIEMBRE 2026'!D69&lt;&gt;"",'NOVIEMBRE 2026'!Z69="POR RECOGER"),"NOV","")</f>
        <v/>
      </c>
      <c r="B1115" s="192" t="str">
        <f aca="false">IF(AND('NOVIEMBRE 2026'!D69&lt;&gt;"",'NOVIEMBRE 2026'!Z69="POR RECOGER"),IF('NOVIEMBRE 2026'!Y69&lt;&gt;"",'NOVIEMBRE 2026'!Y69,'NOVIEMBRE 2026'!I69),"")</f>
        <v/>
      </c>
      <c r="C1115" s="192" t="str">
        <f aca="false">IF(AND('NOVIEMBRE 2026'!D69&lt;&gt;"",'NOVIEMBRE 2026'!Z69="POR RECOGER"),'NOVIEMBRE 2026'!D69,"")</f>
        <v/>
      </c>
      <c r="D1115" s="192" t="str">
        <f aca="false">IF(AND('NOVIEMBRE 2026'!D69&lt;&gt;"",'NOVIEMBRE 2026'!Z69="POR RECOGER"),'NOVIEMBRE 2026'!F69,"")</f>
        <v/>
      </c>
      <c r="E1115" s="192" t="str">
        <f aca="false">IF(AND('NOVIEMBRE 2026'!D69&lt;&gt;"",'NOVIEMBRE 2026'!Z69="POR RECOGER"),TEXT('NOVIEMBRE 2026'!G69,"DD/MM/YYYY"),"")</f>
        <v/>
      </c>
      <c r="F1115" s="192" t="str">
        <f aca="false">IF(AND('NOVIEMBRE 2026'!D69&lt;&gt;"",'NOVIEMBRE 2026'!Z69="POR RECOGER"),'NOVIEMBRE 2026'!K69,"")</f>
        <v/>
      </c>
      <c r="G1115" s="193" t="str">
        <f aca="false">IF(AND('NOVIEMBRE 2026'!D69&lt;&gt;"",'NOVIEMBRE 2026'!Z69="POR RECOGER"),'NOVIEMBRE 2026'!M69,"")</f>
        <v/>
      </c>
      <c r="H1115" s="193" t="str">
        <f aca="false">IF(AND('NOVIEMBRE 2026'!D69&lt;&gt;"",'NOVIEMBRE 2026'!Z69="POR RECOGER"),'NOVIEMBRE 2026'!N69,"")</f>
        <v/>
      </c>
      <c r="I1115" s="192" t="str">
        <f aca="false">IF(AND('NOVIEMBRE 2026'!D69&lt;&gt;"",'NOVIEMBRE 2026'!Z69="POR RECOGER"),'NOVIEMBRE 2026'!P69,"")</f>
        <v/>
      </c>
      <c r="J1115" s="192" t="str">
        <f aca="false">IF(AND('NOVIEMBRE 2026'!D69&lt;&gt;"",'NOVIEMBRE 2026'!Z69="POR RECOGER"),'NOVIEMBRE 2026'!Q69,"")</f>
        <v/>
      </c>
      <c r="K1115" s="192" t="str">
        <f aca="false">IF(AND('NOVIEMBRE 2026'!D69&lt;&gt;"",'NOVIEMBRE 2026'!Z69="POR RECOGER"),'NOVIEMBRE 2026'!Y69,"")</f>
        <v/>
      </c>
      <c r="L1115" s="192" t="str">
        <f aca="false">IF(AND('NOVIEMBRE 2026'!D69&lt;&gt;"",'NOVIEMBRE 2026'!Z69="POR RECOGER"),'NOVIEMBRE 2026'!I69,"")</f>
        <v/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customFormat="false" ht="15" hidden="false" customHeight="true" outlineLevel="0" collapsed="false">
      <c r="A1116" s="192" t="str">
        <f aca="false">IF(AND('NOVIEMBRE 2026'!D70&lt;&gt;"",'NOVIEMBRE 2026'!Z70="POR RECOGER"),"NOV","")</f>
        <v/>
      </c>
      <c r="B1116" s="192" t="str">
        <f aca="false">IF(AND('NOVIEMBRE 2026'!D70&lt;&gt;"",'NOVIEMBRE 2026'!Z70="POR RECOGER"),IF('NOVIEMBRE 2026'!Y70&lt;&gt;"",'NOVIEMBRE 2026'!Y70,'NOVIEMBRE 2026'!I70),"")</f>
        <v/>
      </c>
      <c r="C1116" s="192" t="str">
        <f aca="false">IF(AND('NOVIEMBRE 2026'!D70&lt;&gt;"",'NOVIEMBRE 2026'!Z70="POR RECOGER"),'NOVIEMBRE 2026'!D70,"")</f>
        <v/>
      </c>
      <c r="D1116" s="192" t="str">
        <f aca="false">IF(AND('NOVIEMBRE 2026'!D70&lt;&gt;"",'NOVIEMBRE 2026'!Z70="POR RECOGER"),'NOVIEMBRE 2026'!F70,"")</f>
        <v/>
      </c>
      <c r="E1116" s="192" t="str">
        <f aca="false">IF(AND('NOVIEMBRE 2026'!D70&lt;&gt;"",'NOVIEMBRE 2026'!Z70="POR RECOGER"),TEXT('NOVIEMBRE 2026'!G70,"DD/MM/YYYY"),"")</f>
        <v/>
      </c>
      <c r="F1116" s="192" t="str">
        <f aca="false">IF(AND('NOVIEMBRE 2026'!D70&lt;&gt;"",'NOVIEMBRE 2026'!Z70="POR RECOGER"),'NOVIEMBRE 2026'!K70,"")</f>
        <v/>
      </c>
      <c r="G1116" s="193" t="str">
        <f aca="false">IF(AND('NOVIEMBRE 2026'!D70&lt;&gt;"",'NOVIEMBRE 2026'!Z70="POR RECOGER"),'NOVIEMBRE 2026'!M70,"")</f>
        <v/>
      </c>
      <c r="H1116" s="193" t="str">
        <f aca="false">IF(AND('NOVIEMBRE 2026'!D70&lt;&gt;"",'NOVIEMBRE 2026'!Z70="POR RECOGER"),'NOVIEMBRE 2026'!N70,"")</f>
        <v/>
      </c>
      <c r="I1116" s="192" t="str">
        <f aca="false">IF(AND('NOVIEMBRE 2026'!D70&lt;&gt;"",'NOVIEMBRE 2026'!Z70="POR RECOGER"),'NOVIEMBRE 2026'!P70,"")</f>
        <v/>
      </c>
      <c r="J1116" s="192" t="str">
        <f aca="false">IF(AND('NOVIEMBRE 2026'!D70&lt;&gt;"",'NOVIEMBRE 2026'!Z70="POR RECOGER"),'NOVIEMBRE 2026'!Q70,"")</f>
        <v/>
      </c>
      <c r="K1116" s="192" t="str">
        <f aca="false">IF(AND('NOVIEMBRE 2026'!D70&lt;&gt;"",'NOVIEMBRE 2026'!Z70="POR RECOGER"),'NOVIEMBRE 2026'!Y70,"")</f>
        <v/>
      </c>
      <c r="L1116" s="192" t="str">
        <f aca="false">IF(AND('NOVIEMBRE 2026'!D70&lt;&gt;"",'NOVIEMBRE 2026'!Z70="POR RECOGER"),'NOVIEMBRE 2026'!I70,"")</f>
        <v/>
      </c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customFormat="false" ht="15" hidden="false" customHeight="true" outlineLevel="0" collapsed="false">
      <c r="A1117" s="192" t="str">
        <f aca="false">IF(AND('NOVIEMBRE 2026'!D71&lt;&gt;"",'NOVIEMBRE 2026'!Z71="POR RECOGER"),"NOV","")</f>
        <v/>
      </c>
      <c r="B1117" s="192" t="str">
        <f aca="false">IF(AND('NOVIEMBRE 2026'!D71&lt;&gt;"",'NOVIEMBRE 2026'!Z71="POR RECOGER"),IF('NOVIEMBRE 2026'!Y71&lt;&gt;"",'NOVIEMBRE 2026'!Y71,'NOVIEMBRE 2026'!I71),"")</f>
        <v/>
      </c>
      <c r="C1117" s="192" t="str">
        <f aca="false">IF(AND('NOVIEMBRE 2026'!D71&lt;&gt;"",'NOVIEMBRE 2026'!Z71="POR RECOGER"),'NOVIEMBRE 2026'!D71,"")</f>
        <v/>
      </c>
      <c r="D1117" s="192" t="str">
        <f aca="false">IF(AND('NOVIEMBRE 2026'!D71&lt;&gt;"",'NOVIEMBRE 2026'!Z71="POR RECOGER"),'NOVIEMBRE 2026'!F71,"")</f>
        <v/>
      </c>
      <c r="E1117" s="192" t="str">
        <f aca="false">IF(AND('NOVIEMBRE 2026'!D71&lt;&gt;"",'NOVIEMBRE 2026'!Z71="POR RECOGER"),TEXT('NOVIEMBRE 2026'!G71,"DD/MM/YYYY"),"")</f>
        <v/>
      </c>
      <c r="F1117" s="192" t="str">
        <f aca="false">IF(AND('NOVIEMBRE 2026'!D71&lt;&gt;"",'NOVIEMBRE 2026'!Z71="POR RECOGER"),'NOVIEMBRE 2026'!K71,"")</f>
        <v/>
      </c>
      <c r="G1117" s="193" t="str">
        <f aca="false">IF(AND('NOVIEMBRE 2026'!D71&lt;&gt;"",'NOVIEMBRE 2026'!Z71="POR RECOGER"),'NOVIEMBRE 2026'!M71,"")</f>
        <v/>
      </c>
      <c r="H1117" s="193" t="str">
        <f aca="false">IF(AND('NOVIEMBRE 2026'!D71&lt;&gt;"",'NOVIEMBRE 2026'!Z71="POR RECOGER"),'NOVIEMBRE 2026'!N71,"")</f>
        <v/>
      </c>
      <c r="I1117" s="192" t="str">
        <f aca="false">IF(AND('NOVIEMBRE 2026'!D71&lt;&gt;"",'NOVIEMBRE 2026'!Z71="POR RECOGER"),'NOVIEMBRE 2026'!P71,"")</f>
        <v/>
      </c>
      <c r="J1117" s="192" t="str">
        <f aca="false">IF(AND('NOVIEMBRE 2026'!D71&lt;&gt;"",'NOVIEMBRE 2026'!Z71="POR RECOGER"),'NOVIEMBRE 2026'!Q71,"")</f>
        <v/>
      </c>
      <c r="K1117" s="192" t="str">
        <f aca="false">IF(AND('NOVIEMBRE 2026'!D71&lt;&gt;"",'NOVIEMBRE 2026'!Z71="POR RECOGER"),'NOVIEMBRE 2026'!Y71,"")</f>
        <v/>
      </c>
      <c r="L1117" s="192" t="str">
        <f aca="false">IF(AND('NOVIEMBRE 2026'!D71&lt;&gt;"",'NOVIEMBRE 2026'!Z71="POR RECOGER"),'NOVIEMBRE 2026'!I71,"")</f>
        <v/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customFormat="false" ht="15" hidden="false" customHeight="true" outlineLevel="0" collapsed="false">
      <c r="A1118" s="192" t="str">
        <f aca="false">IF(AND('NOVIEMBRE 2026'!D72&lt;&gt;"",'NOVIEMBRE 2026'!Z72="POR RECOGER"),"NOV","")</f>
        <v/>
      </c>
      <c r="B1118" s="192" t="str">
        <f aca="false">IF(AND('NOVIEMBRE 2026'!D72&lt;&gt;"",'NOVIEMBRE 2026'!Z72="POR RECOGER"),IF('NOVIEMBRE 2026'!Y72&lt;&gt;"",'NOVIEMBRE 2026'!Y72,'NOVIEMBRE 2026'!I72),"")</f>
        <v/>
      </c>
      <c r="C1118" s="192" t="str">
        <f aca="false">IF(AND('NOVIEMBRE 2026'!D72&lt;&gt;"",'NOVIEMBRE 2026'!Z72="POR RECOGER"),'NOVIEMBRE 2026'!D72,"")</f>
        <v/>
      </c>
      <c r="D1118" s="192" t="str">
        <f aca="false">IF(AND('NOVIEMBRE 2026'!D72&lt;&gt;"",'NOVIEMBRE 2026'!Z72="POR RECOGER"),'NOVIEMBRE 2026'!F72,"")</f>
        <v/>
      </c>
      <c r="E1118" s="192" t="str">
        <f aca="false">IF(AND('NOVIEMBRE 2026'!D72&lt;&gt;"",'NOVIEMBRE 2026'!Z72="POR RECOGER"),TEXT('NOVIEMBRE 2026'!G72,"DD/MM/YYYY"),"")</f>
        <v/>
      </c>
      <c r="F1118" s="192" t="str">
        <f aca="false">IF(AND('NOVIEMBRE 2026'!D72&lt;&gt;"",'NOVIEMBRE 2026'!Z72="POR RECOGER"),'NOVIEMBRE 2026'!K72,"")</f>
        <v/>
      </c>
      <c r="G1118" s="193" t="str">
        <f aca="false">IF(AND('NOVIEMBRE 2026'!D72&lt;&gt;"",'NOVIEMBRE 2026'!Z72="POR RECOGER"),'NOVIEMBRE 2026'!M72,"")</f>
        <v/>
      </c>
      <c r="H1118" s="193" t="str">
        <f aca="false">IF(AND('NOVIEMBRE 2026'!D72&lt;&gt;"",'NOVIEMBRE 2026'!Z72="POR RECOGER"),'NOVIEMBRE 2026'!N72,"")</f>
        <v/>
      </c>
      <c r="I1118" s="192" t="str">
        <f aca="false">IF(AND('NOVIEMBRE 2026'!D72&lt;&gt;"",'NOVIEMBRE 2026'!Z72="POR RECOGER"),'NOVIEMBRE 2026'!P72,"")</f>
        <v/>
      </c>
      <c r="J1118" s="192" t="str">
        <f aca="false">IF(AND('NOVIEMBRE 2026'!D72&lt;&gt;"",'NOVIEMBRE 2026'!Z72="POR RECOGER"),'NOVIEMBRE 2026'!Q72,"")</f>
        <v/>
      </c>
      <c r="K1118" s="192" t="str">
        <f aca="false">IF(AND('NOVIEMBRE 2026'!D72&lt;&gt;"",'NOVIEMBRE 2026'!Z72="POR RECOGER"),'NOVIEMBRE 2026'!Y72,"")</f>
        <v/>
      </c>
      <c r="L1118" s="192" t="str">
        <f aca="false">IF(AND('NOVIEMBRE 2026'!D72&lt;&gt;"",'NOVIEMBRE 2026'!Z72="POR RECOGER"),'NOVIEMBRE 2026'!I72,"")</f>
        <v/>
      </c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customFormat="false" ht="15" hidden="false" customHeight="true" outlineLevel="0" collapsed="false">
      <c r="A1119" s="192" t="str">
        <f aca="false">IF(AND('NOVIEMBRE 2026'!D73&lt;&gt;"",'NOVIEMBRE 2026'!Z73="POR RECOGER"),"NOV","")</f>
        <v/>
      </c>
      <c r="B1119" s="192" t="str">
        <f aca="false">IF(AND('NOVIEMBRE 2026'!D73&lt;&gt;"",'NOVIEMBRE 2026'!Z73="POR RECOGER"),IF('NOVIEMBRE 2026'!Y73&lt;&gt;"",'NOVIEMBRE 2026'!Y73,'NOVIEMBRE 2026'!I73),"")</f>
        <v/>
      </c>
      <c r="C1119" s="192" t="str">
        <f aca="false">IF(AND('NOVIEMBRE 2026'!D73&lt;&gt;"",'NOVIEMBRE 2026'!Z73="POR RECOGER"),'NOVIEMBRE 2026'!D73,"")</f>
        <v/>
      </c>
      <c r="D1119" s="192" t="str">
        <f aca="false">IF(AND('NOVIEMBRE 2026'!D73&lt;&gt;"",'NOVIEMBRE 2026'!Z73="POR RECOGER"),'NOVIEMBRE 2026'!F73,"")</f>
        <v/>
      </c>
      <c r="E1119" s="192" t="str">
        <f aca="false">IF(AND('NOVIEMBRE 2026'!D73&lt;&gt;"",'NOVIEMBRE 2026'!Z73="POR RECOGER"),TEXT('NOVIEMBRE 2026'!G73,"DD/MM/YYYY"),"")</f>
        <v/>
      </c>
      <c r="F1119" s="192" t="str">
        <f aca="false">IF(AND('NOVIEMBRE 2026'!D73&lt;&gt;"",'NOVIEMBRE 2026'!Z73="POR RECOGER"),'NOVIEMBRE 2026'!K73,"")</f>
        <v/>
      </c>
      <c r="G1119" s="193" t="str">
        <f aca="false">IF(AND('NOVIEMBRE 2026'!D73&lt;&gt;"",'NOVIEMBRE 2026'!Z73="POR RECOGER"),'NOVIEMBRE 2026'!M73,"")</f>
        <v/>
      </c>
      <c r="H1119" s="193" t="str">
        <f aca="false">IF(AND('NOVIEMBRE 2026'!D73&lt;&gt;"",'NOVIEMBRE 2026'!Z73="POR RECOGER"),'NOVIEMBRE 2026'!N73,"")</f>
        <v/>
      </c>
      <c r="I1119" s="192" t="str">
        <f aca="false">IF(AND('NOVIEMBRE 2026'!D73&lt;&gt;"",'NOVIEMBRE 2026'!Z73="POR RECOGER"),'NOVIEMBRE 2026'!P73,"")</f>
        <v/>
      </c>
      <c r="J1119" s="192" t="str">
        <f aca="false">IF(AND('NOVIEMBRE 2026'!D73&lt;&gt;"",'NOVIEMBRE 2026'!Z73="POR RECOGER"),'NOVIEMBRE 2026'!Q73,"")</f>
        <v/>
      </c>
      <c r="K1119" s="192" t="str">
        <f aca="false">IF(AND('NOVIEMBRE 2026'!D73&lt;&gt;"",'NOVIEMBRE 2026'!Z73="POR RECOGER"),'NOVIEMBRE 2026'!Y73,"")</f>
        <v/>
      </c>
      <c r="L1119" s="192" t="str">
        <f aca="false">IF(AND('NOVIEMBRE 2026'!D73&lt;&gt;"",'NOVIEMBRE 2026'!Z73="POR RECOGER"),'NOVIEMBRE 2026'!I73,"")</f>
        <v/>
      </c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customFormat="false" ht="15" hidden="false" customHeight="true" outlineLevel="0" collapsed="false">
      <c r="A1120" s="192" t="str">
        <f aca="false">IF(AND('NOVIEMBRE 2026'!D74&lt;&gt;"",'NOVIEMBRE 2026'!Z74="POR RECOGER"),"NOV","")</f>
        <v/>
      </c>
      <c r="B1120" s="192" t="str">
        <f aca="false">IF(AND('NOVIEMBRE 2026'!D74&lt;&gt;"",'NOVIEMBRE 2026'!Z74="POR RECOGER"),IF('NOVIEMBRE 2026'!Y74&lt;&gt;"",'NOVIEMBRE 2026'!Y74,'NOVIEMBRE 2026'!I74),"")</f>
        <v/>
      </c>
      <c r="C1120" s="192" t="str">
        <f aca="false">IF(AND('NOVIEMBRE 2026'!D74&lt;&gt;"",'NOVIEMBRE 2026'!Z74="POR RECOGER"),'NOVIEMBRE 2026'!D74,"")</f>
        <v/>
      </c>
      <c r="D1120" s="192" t="str">
        <f aca="false">IF(AND('NOVIEMBRE 2026'!D74&lt;&gt;"",'NOVIEMBRE 2026'!Z74="POR RECOGER"),'NOVIEMBRE 2026'!F74,"")</f>
        <v/>
      </c>
      <c r="E1120" s="192" t="str">
        <f aca="false">IF(AND('NOVIEMBRE 2026'!D74&lt;&gt;"",'NOVIEMBRE 2026'!Z74="POR RECOGER"),TEXT('NOVIEMBRE 2026'!G74,"DD/MM/YYYY"),"")</f>
        <v/>
      </c>
      <c r="F1120" s="192" t="str">
        <f aca="false">IF(AND('NOVIEMBRE 2026'!D74&lt;&gt;"",'NOVIEMBRE 2026'!Z74="POR RECOGER"),'NOVIEMBRE 2026'!K74,"")</f>
        <v/>
      </c>
      <c r="G1120" s="193" t="str">
        <f aca="false">IF(AND('NOVIEMBRE 2026'!D74&lt;&gt;"",'NOVIEMBRE 2026'!Z74="POR RECOGER"),'NOVIEMBRE 2026'!M74,"")</f>
        <v/>
      </c>
      <c r="H1120" s="193" t="str">
        <f aca="false">IF(AND('NOVIEMBRE 2026'!D74&lt;&gt;"",'NOVIEMBRE 2026'!Z74="POR RECOGER"),'NOVIEMBRE 2026'!N74,"")</f>
        <v/>
      </c>
      <c r="I1120" s="192" t="str">
        <f aca="false">IF(AND('NOVIEMBRE 2026'!D74&lt;&gt;"",'NOVIEMBRE 2026'!Z74="POR RECOGER"),'NOVIEMBRE 2026'!P74,"")</f>
        <v/>
      </c>
      <c r="J1120" s="192" t="str">
        <f aca="false">IF(AND('NOVIEMBRE 2026'!D74&lt;&gt;"",'NOVIEMBRE 2026'!Z74="POR RECOGER"),'NOVIEMBRE 2026'!Q74,"")</f>
        <v/>
      </c>
      <c r="K1120" s="192" t="str">
        <f aca="false">IF(AND('NOVIEMBRE 2026'!D74&lt;&gt;"",'NOVIEMBRE 2026'!Z74="POR RECOGER"),'NOVIEMBRE 2026'!Y74,"")</f>
        <v/>
      </c>
      <c r="L1120" s="192" t="str">
        <f aca="false">IF(AND('NOVIEMBRE 2026'!D74&lt;&gt;"",'NOVIEMBRE 2026'!Z74="POR RECOGER"),'NOVIEMBRE 2026'!I74,"")</f>
        <v/>
      </c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customFormat="false" ht="15" hidden="false" customHeight="true" outlineLevel="0" collapsed="false">
      <c r="A1121" s="192" t="str">
        <f aca="false">IF(AND('NOVIEMBRE 2026'!D75&lt;&gt;"",'NOVIEMBRE 2026'!Z75="POR RECOGER"),"NOV","")</f>
        <v/>
      </c>
      <c r="B1121" s="192" t="str">
        <f aca="false">IF(AND('NOVIEMBRE 2026'!D75&lt;&gt;"",'NOVIEMBRE 2026'!Z75="POR RECOGER"),IF('NOVIEMBRE 2026'!Y75&lt;&gt;"",'NOVIEMBRE 2026'!Y75,'NOVIEMBRE 2026'!I75),"")</f>
        <v/>
      </c>
      <c r="C1121" s="192" t="str">
        <f aca="false">IF(AND('NOVIEMBRE 2026'!D75&lt;&gt;"",'NOVIEMBRE 2026'!Z75="POR RECOGER"),'NOVIEMBRE 2026'!D75,"")</f>
        <v/>
      </c>
      <c r="D1121" s="192" t="str">
        <f aca="false">IF(AND('NOVIEMBRE 2026'!D75&lt;&gt;"",'NOVIEMBRE 2026'!Z75="POR RECOGER"),'NOVIEMBRE 2026'!F75,"")</f>
        <v/>
      </c>
      <c r="E1121" s="192" t="str">
        <f aca="false">IF(AND('NOVIEMBRE 2026'!D75&lt;&gt;"",'NOVIEMBRE 2026'!Z75="POR RECOGER"),TEXT('NOVIEMBRE 2026'!G75,"DD/MM/YYYY"),"")</f>
        <v/>
      </c>
      <c r="F1121" s="192" t="str">
        <f aca="false">IF(AND('NOVIEMBRE 2026'!D75&lt;&gt;"",'NOVIEMBRE 2026'!Z75="POR RECOGER"),'NOVIEMBRE 2026'!K75,"")</f>
        <v/>
      </c>
      <c r="G1121" s="193" t="str">
        <f aca="false">IF(AND('NOVIEMBRE 2026'!D75&lt;&gt;"",'NOVIEMBRE 2026'!Z75="POR RECOGER"),'NOVIEMBRE 2026'!M75,"")</f>
        <v/>
      </c>
      <c r="H1121" s="193" t="str">
        <f aca="false">IF(AND('NOVIEMBRE 2026'!D75&lt;&gt;"",'NOVIEMBRE 2026'!Z75="POR RECOGER"),'NOVIEMBRE 2026'!N75,"")</f>
        <v/>
      </c>
      <c r="I1121" s="192" t="str">
        <f aca="false">IF(AND('NOVIEMBRE 2026'!D75&lt;&gt;"",'NOVIEMBRE 2026'!Z75="POR RECOGER"),'NOVIEMBRE 2026'!P75,"")</f>
        <v/>
      </c>
      <c r="J1121" s="192" t="str">
        <f aca="false">IF(AND('NOVIEMBRE 2026'!D75&lt;&gt;"",'NOVIEMBRE 2026'!Z75="POR RECOGER"),'NOVIEMBRE 2026'!Q75,"")</f>
        <v/>
      </c>
      <c r="K1121" s="192" t="str">
        <f aca="false">IF(AND('NOVIEMBRE 2026'!D75&lt;&gt;"",'NOVIEMBRE 2026'!Z75="POR RECOGER"),'NOVIEMBRE 2026'!Y75,"")</f>
        <v/>
      </c>
      <c r="L1121" s="192" t="str">
        <f aca="false">IF(AND('NOVIEMBRE 2026'!D75&lt;&gt;"",'NOVIEMBRE 2026'!Z75="POR RECOGER"),'NOVIEMBRE 2026'!I75,"")</f>
        <v/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customFormat="false" ht="15" hidden="false" customHeight="true" outlineLevel="0" collapsed="false">
      <c r="A1122" s="192" t="str">
        <f aca="false">IF(AND('NOVIEMBRE 2026'!D76&lt;&gt;"",'NOVIEMBRE 2026'!Z76="POR RECOGER"),"NOV","")</f>
        <v/>
      </c>
      <c r="B1122" s="192" t="str">
        <f aca="false">IF(AND('NOVIEMBRE 2026'!D76&lt;&gt;"",'NOVIEMBRE 2026'!Z76="POR RECOGER"),IF('NOVIEMBRE 2026'!Y76&lt;&gt;"",'NOVIEMBRE 2026'!Y76,'NOVIEMBRE 2026'!I76),"")</f>
        <v/>
      </c>
      <c r="C1122" s="192" t="str">
        <f aca="false">IF(AND('NOVIEMBRE 2026'!D76&lt;&gt;"",'NOVIEMBRE 2026'!Z76="POR RECOGER"),'NOVIEMBRE 2026'!D76,"")</f>
        <v/>
      </c>
      <c r="D1122" s="192" t="str">
        <f aca="false">IF(AND('NOVIEMBRE 2026'!D76&lt;&gt;"",'NOVIEMBRE 2026'!Z76="POR RECOGER"),'NOVIEMBRE 2026'!F76,"")</f>
        <v/>
      </c>
      <c r="E1122" s="192" t="str">
        <f aca="false">IF(AND('NOVIEMBRE 2026'!D76&lt;&gt;"",'NOVIEMBRE 2026'!Z76="POR RECOGER"),TEXT('NOVIEMBRE 2026'!G76,"DD/MM/YYYY"),"")</f>
        <v/>
      </c>
      <c r="F1122" s="192" t="str">
        <f aca="false">IF(AND('NOVIEMBRE 2026'!D76&lt;&gt;"",'NOVIEMBRE 2026'!Z76="POR RECOGER"),'NOVIEMBRE 2026'!K76,"")</f>
        <v/>
      </c>
      <c r="G1122" s="193" t="str">
        <f aca="false">IF(AND('NOVIEMBRE 2026'!D76&lt;&gt;"",'NOVIEMBRE 2026'!Z76="POR RECOGER"),'NOVIEMBRE 2026'!M76,"")</f>
        <v/>
      </c>
      <c r="H1122" s="193" t="str">
        <f aca="false">IF(AND('NOVIEMBRE 2026'!D76&lt;&gt;"",'NOVIEMBRE 2026'!Z76="POR RECOGER"),'NOVIEMBRE 2026'!N76,"")</f>
        <v/>
      </c>
      <c r="I1122" s="192" t="str">
        <f aca="false">IF(AND('NOVIEMBRE 2026'!D76&lt;&gt;"",'NOVIEMBRE 2026'!Z76="POR RECOGER"),'NOVIEMBRE 2026'!P76,"")</f>
        <v/>
      </c>
      <c r="J1122" s="192" t="str">
        <f aca="false">IF(AND('NOVIEMBRE 2026'!D76&lt;&gt;"",'NOVIEMBRE 2026'!Z76="POR RECOGER"),'NOVIEMBRE 2026'!Q76,"")</f>
        <v/>
      </c>
      <c r="K1122" s="192" t="str">
        <f aca="false">IF(AND('NOVIEMBRE 2026'!D76&lt;&gt;"",'NOVIEMBRE 2026'!Z76="POR RECOGER"),'NOVIEMBRE 2026'!Y76,"")</f>
        <v/>
      </c>
      <c r="L1122" s="192" t="str">
        <f aca="false">IF(AND('NOVIEMBRE 2026'!D76&lt;&gt;"",'NOVIEMBRE 2026'!Z76="POR RECOGER"),'NOVIEMBRE 2026'!I76,"")</f>
        <v/>
      </c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customFormat="false" ht="15" hidden="false" customHeight="true" outlineLevel="0" collapsed="false">
      <c r="A1123" s="192" t="str">
        <f aca="false">IF(AND('NOVIEMBRE 2026'!D77&lt;&gt;"",'NOVIEMBRE 2026'!Z77="POR RECOGER"),"NOV","")</f>
        <v/>
      </c>
      <c r="B1123" s="192" t="str">
        <f aca="false">IF(AND('NOVIEMBRE 2026'!D77&lt;&gt;"",'NOVIEMBRE 2026'!Z77="POR RECOGER"),IF('NOVIEMBRE 2026'!Y77&lt;&gt;"",'NOVIEMBRE 2026'!Y77,'NOVIEMBRE 2026'!I77),"")</f>
        <v/>
      </c>
      <c r="C1123" s="192" t="str">
        <f aca="false">IF(AND('NOVIEMBRE 2026'!D77&lt;&gt;"",'NOVIEMBRE 2026'!Z77="POR RECOGER"),'NOVIEMBRE 2026'!D77,"")</f>
        <v/>
      </c>
      <c r="D1123" s="192" t="str">
        <f aca="false">IF(AND('NOVIEMBRE 2026'!D77&lt;&gt;"",'NOVIEMBRE 2026'!Z77="POR RECOGER"),'NOVIEMBRE 2026'!F77,"")</f>
        <v/>
      </c>
      <c r="E1123" s="192" t="str">
        <f aca="false">IF(AND('NOVIEMBRE 2026'!D77&lt;&gt;"",'NOVIEMBRE 2026'!Z77="POR RECOGER"),TEXT('NOVIEMBRE 2026'!G77,"DD/MM/YYYY"),"")</f>
        <v/>
      </c>
      <c r="F1123" s="192" t="str">
        <f aca="false">IF(AND('NOVIEMBRE 2026'!D77&lt;&gt;"",'NOVIEMBRE 2026'!Z77="POR RECOGER"),'NOVIEMBRE 2026'!K77,"")</f>
        <v/>
      </c>
      <c r="G1123" s="193" t="str">
        <f aca="false">IF(AND('NOVIEMBRE 2026'!D77&lt;&gt;"",'NOVIEMBRE 2026'!Z77="POR RECOGER"),'NOVIEMBRE 2026'!M77,"")</f>
        <v/>
      </c>
      <c r="H1123" s="193" t="str">
        <f aca="false">IF(AND('NOVIEMBRE 2026'!D77&lt;&gt;"",'NOVIEMBRE 2026'!Z77="POR RECOGER"),'NOVIEMBRE 2026'!N77,"")</f>
        <v/>
      </c>
      <c r="I1123" s="192" t="str">
        <f aca="false">IF(AND('NOVIEMBRE 2026'!D77&lt;&gt;"",'NOVIEMBRE 2026'!Z77="POR RECOGER"),'NOVIEMBRE 2026'!P77,"")</f>
        <v/>
      </c>
      <c r="J1123" s="192" t="str">
        <f aca="false">IF(AND('NOVIEMBRE 2026'!D77&lt;&gt;"",'NOVIEMBRE 2026'!Z77="POR RECOGER"),'NOVIEMBRE 2026'!Q77,"")</f>
        <v/>
      </c>
      <c r="K1123" s="192" t="str">
        <f aca="false">IF(AND('NOVIEMBRE 2026'!D77&lt;&gt;"",'NOVIEMBRE 2026'!Z77="POR RECOGER"),'NOVIEMBRE 2026'!Y77,"")</f>
        <v/>
      </c>
      <c r="L1123" s="192" t="str">
        <f aca="false">IF(AND('NOVIEMBRE 2026'!D77&lt;&gt;"",'NOVIEMBRE 2026'!Z77="POR RECOGER"),'NOVIEMBRE 2026'!I77,"")</f>
        <v/>
      </c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customFormat="false" ht="15" hidden="false" customHeight="true" outlineLevel="0" collapsed="false">
      <c r="A1124" s="192" t="str">
        <f aca="false">IF(AND('NOVIEMBRE 2026'!D78&lt;&gt;"",'NOVIEMBRE 2026'!Z78="POR RECOGER"),"NOV","")</f>
        <v/>
      </c>
      <c r="B1124" s="192" t="str">
        <f aca="false">IF(AND('NOVIEMBRE 2026'!D78&lt;&gt;"",'NOVIEMBRE 2026'!Z78="POR RECOGER"),IF('NOVIEMBRE 2026'!Y78&lt;&gt;"",'NOVIEMBRE 2026'!Y78,'NOVIEMBRE 2026'!I78),"")</f>
        <v/>
      </c>
      <c r="C1124" s="192" t="str">
        <f aca="false">IF(AND('NOVIEMBRE 2026'!D78&lt;&gt;"",'NOVIEMBRE 2026'!Z78="POR RECOGER"),'NOVIEMBRE 2026'!D78,"")</f>
        <v/>
      </c>
      <c r="D1124" s="192" t="str">
        <f aca="false">IF(AND('NOVIEMBRE 2026'!D78&lt;&gt;"",'NOVIEMBRE 2026'!Z78="POR RECOGER"),'NOVIEMBRE 2026'!F78,"")</f>
        <v/>
      </c>
      <c r="E1124" s="192" t="str">
        <f aca="false">IF(AND('NOVIEMBRE 2026'!D78&lt;&gt;"",'NOVIEMBRE 2026'!Z78="POR RECOGER"),TEXT('NOVIEMBRE 2026'!G78,"DD/MM/YYYY"),"")</f>
        <v/>
      </c>
      <c r="F1124" s="192" t="str">
        <f aca="false">IF(AND('NOVIEMBRE 2026'!D78&lt;&gt;"",'NOVIEMBRE 2026'!Z78="POR RECOGER"),'NOVIEMBRE 2026'!K78,"")</f>
        <v/>
      </c>
      <c r="G1124" s="193" t="str">
        <f aca="false">IF(AND('NOVIEMBRE 2026'!D78&lt;&gt;"",'NOVIEMBRE 2026'!Z78="POR RECOGER"),'NOVIEMBRE 2026'!M78,"")</f>
        <v/>
      </c>
      <c r="H1124" s="193" t="str">
        <f aca="false">IF(AND('NOVIEMBRE 2026'!D78&lt;&gt;"",'NOVIEMBRE 2026'!Z78="POR RECOGER"),'NOVIEMBRE 2026'!N78,"")</f>
        <v/>
      </c>
      <c r="I1124" s="192" t="str">
        <f aca="false">IF(AND('NOVIEMBRE 2026'!D78&lt;&gt;"",'NOVIEMBRE 2026'!Z78="POR RECOGER"),'NOVIEMBRE 2026'!P78,"")</f>
        <v/>
      </c>
      <c r="J1124" s="192" t="str">
        <f aca="false">IF(AND('NOVIEMBRE 2026'!D78&lt;&gt;"",'NOVIEMBRE 2026'!Z78="POR RECOGER"),'NOVIEMBRE 2026'!Q78,"")</f>
        <v/>
      </c>
      <c r="K1124" s="192" t="str">
        <f aca="false">IF(AND('NOVIEMBRE 2026'!D78&lt;&gt;"",'NOVIEMBRE 2026'!Z78="POR RECOGER"),'NOVIEMBRE 2026'!Y78,"")</f>
        <v/>
      </c>
      <c r="L1124" s="192" t="str">
        <f aca="false">IF(AND('NOVIEMBRE 2026'!D78&lt;&gt;"",'NOVIEMBRE 2026'!Z78="POR RECOGER"),'NOVIEMBRE 2026'!I78,"")</f>
        <v/>
      </c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customFormat="false" ht="15" hidden="false" customHeight="true" outlineLevel="0" collapsed="false">
      <c r="A1125" s="192" t="str">
        <f aca="false">IF(AND('NOVIEMBRE 2026'!D79&lt;&gt;"",'NOVIEMBRE 2026'!Z79="POR RECOGER"),"NOV","")</f>
        <v/>
      </c>
      <c r="B1125" s="192" t="str">
        <f aca="false">IF(AND('NOVIEMBRE 2026'!D79&lt;&gt;"",'NOVIEMBRE 2026'!Z79="POR RECOGER"),IF('NOVIEMBRE 2026'!Y79&lt;&gt;"",'NOVIEMBRE 2026'!Y79,'NOVIEMBRE 2026'!I79),"")</f>
        <v/>
      </c>
      <c r="C1125" s="192" t="str">
        <f aca="false">IF(AND('NOVIEMBRE 2026'!D79&lt;&gt;"",'NOVIEMBRE 2026'!Z79="POR RECOGER"),'NOVIEMBRE 2026'!D79,"")</f>
        <v/>
      </c>
      <c r="D1125" s="192" t="str">
        <f aca="false">IF(AND('NOVIEMBRE 2026'!D79&lt;&gt;"",'NOVIEMBRE 2026'!Z79="POR RECOGER"),'NOVIEMBRE 2026'!F79,"")</f>
        <v/>
      </c>
      <c r="E1125" s="192" t="str">
        <f aca="false">IF(AND('NOVIEMBRE 2026'!D79&lt;&gt;"",'NOVIEMBRE 2026'!Z79="POR RECOGER"),TEXT('NOVIEMBRE 2026'!G79,"DD/MM/YYYY"),"")</f>
        <v/>
      </c>
      <c r="F1125" s="192" t="str">
        <f aca="false">IF(AND('NOVIEMBRE 2026'!D79&lt;&gt;"",'NOVIEMBRE 2026'!Z79="POR RECOGER"),'NOVIEMBRE 2026'!K79,"")</f>
        <v/>
      </c>
      <c r="G1125" s="193" t="str">
        <f aca="false">IF(AND('NOVIEMBRE 2026'!D79&lt;&gt;"",'NOVIEMBRE 2026'!Z79="POR RECOGER"),'NOVIEMBRE 2026'!M79,"")</f>
        <v/>
      </c>
      <c r="H1125" s="193" t="str">
        <f aca="false">IF(AND('NOVIEMBRE 2026'!D79&lt;&gt;"",'NOVIEMBRE 2026'!Z79="POR RECOGER"),'NOVIEMBRE 2026'!N79,"")</f>
        <v/>
      </c>
      <c r="I1125" s="192" t="str">
        <f aca="false">IF(AND('NOVIEMBRE 2026'!D79&lt;&gt;"",'NOVIEMBRE 2026'!Z79="POR RECOGER"),'NOVIEMBRE 2026'!P79,"")</f>
        <v/>
      </c>
      <c r="J1125" s="192" t="str">
        <f aca="false">IF(AND('NOVIEMBRE 2026'!D79&lt;&gt;"",'NOVIEMBRE 2026'!Z79="POR RECOGER"),'NOVIEMBRE 2026'!Q79,"")</f>
        <v/>
      </c>
      <c r="K1125" s="192" t="str">
        <f aca="false">IF(AND('NOVIEMBRE 2026'!D79&lt;&gt;"",'NOVIEMBRE 2026'!Z79="POR RECOGER"),'NOVIEMBRE 2026'!Y79,"")</f>
        <v/>
      </c>
      <c r="L1125" s="192" t="str">
        <f aca="false">IF(AND('NOVIEMBRE 2026'!D79&lt;&gt;"",'NOVIEMBRE 2026'!Z79="POR RECOGER"),'NOVIEMBRE 2026'!I79,"")</f>
        <v/>
      </c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customFormat="false" ht="15" hidden="false" customHeight="true" outlineLevel="0" collapsed="false">
      <c r="A1126" s="192" t="str">
        <f aca="false">IF(AND('NOVIEMBRE 2026'!D80&lt;&gt;"",'NOVIEMBRE 2026'!Z80="POR RECOGER"),"NOV","")</f>
        <v/>
      </c>
      <c r="B1126" s="192" t="str">
        <f aca="false">IF(AND('NOVIEMBRE 2026'!D80&lt;&gt;"",'NOVIEMBRE 2026'!Z80="POR RECOGER"),IF('NOVIEMBRE 2026'!Y80&lt;&gt;"",'NOVIEMBRE 2026'!Y80,'NOVIEMBRE 2026'!I80),"")</f>
        <v/>
      </c>
      <c r="C1126" s="192" t="str">
        <f aca="false">IF(AND('NOVIEMBRE 2026'!D80&lt;&gt;"",'NOVIEMBRE 2026'!Z80="POR RECOGER"),'NOVIEMBRE 2026'!D80,"")</f>
        <v/>
      </c>
      <c r="D1126" s="192" t="str">
        <f aca="false">IF(AND('NOVIEMBRE 2026'!D80&lt;&gt;"",'NOVIEMBRE 2026'!Z80="POR RECOGER"),'NOVIEMBRE 2026'!F80,"")</f>
        <v/>
      </c>
      <c r="E1126" s="192" t="str">
        <f aca="false">IF(AND('NOVIEMBRE 2026'!D80&lt;&gt;"",'NOVIEMBRE 2026'!Z80="POR RECOGER"),TEXT('NOVIEMBRE 2026'!G80,"DD/MM/YYYY"),"")</f>
        <v/>
      </c>
      <c r="F1126" s="192" t="str">
        <f aca="false">IF(AND('NOVIEMBRE 2026'!D80&lt;&gt;"",'NOVIEMBRE 2026'!Z80="POR RECOGER"),'NOVIEMBRE 2026'!K80,"")</f>
        <v/>
      </c>
      <c r="G1126" s="193" t="str">
        <f aca="false">IF(AND('NOVIEMBRE 2026'!D80&lt;&gt;"",'NOVIEMBRE 2026'!Z80="POR RECOGER"),'NOVIEMBRE 2026'!M80,"")</f>
        <v/>
      </c>
      <c r="H1126" s="193" t="str">
        <f aca="false">IF(AND('NOVIEMBRE 2026'!D80&lt;&gt;"",'NOVIEMBRE 2026'!Z80="POR RECOGER"),'NOVIEMBRE 2026'!N80,"")</f>
        <v/>
      </c>
      <c r="I1126" s="192" t="str">
        <f aca="false">IF(AND('NOVIEMBRE 2026'!D80&lt;&gt;"",'NOVIEMBRE 2026'!Z80="POR RECOGER"),'NOVIEMBRE 2026'!P80,"")</f>
        <v/>
      </c>
      <c r="J1126" s="192" t="str">
        <f aca="false">IF(AND('NOVIEMBRE 2026'!D80&lt;&gt;"",'NOVIEMBRE 2026'!Z80="POR RECOGER"),'NOVIEMBRE 2026'!Q80,"")</f>
        <v/>
      </c>
      <c r="K1126" s="192" t="str">
        <f aca="false">IF(AND('NOVIEMBRE 2026'!D80&lt;&gt;"",'NOVIEMBRE 2026'!Z80="POR RECOGER"),'NOVIEMBRE 2026'!Y80,"")</f>
        <v/>
      </c>
      <c r="L1126" s="192" t="str">
        <f aca="false">IF(AND('NOVIEMBRE 2026'!D80&lt;&gt;"",'NOVIEMBRE 2026'!Z80="POR RECOGER"),'NOVIEMBRE 2026'!I80,"")</f>
        <v/>
      </c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customFormat="false" ht="15" hidden="false" customHeight="true" outlineLevel="0" collapsed="false">
      <c r="A1127" s="192" t="str">
        <f aca="false">IF(AND('NOVIEMBRE 2026'!D81&lt;&gt;"",'NOVIEMBRE 2026'!Z81="POR RECOGER"),"NOV","")</f>
        <v/>
      </c>
      <c r="B1127" s="192" t="str">
        <f aca="false">IF(AND('NOVIEMBRE 2026'!D81&lt;&gt;"",'NOVIEMBRE 2026'!Z81="POR RECOGER"),IF('NOVIEMBRE 2026'!Y81&lt;&gt;"",'NOVIEMBRE 2026'!Y81,'NOVIEMBRE 2026'!I81),"")</f>
        <v/>
      </c>
      <c r="C1127" s="192" t="str">
        <f aca="false">IF(AND('NOVIEMBRE 2026'!D81&lt;&gt;"",'NOVIEMBRE 2026'!Z81="POR RECOGER"),'NOVIEMBRE 2026'!D81,"")</f>
        <v/>
      </c>
      <c r="D1127" s="192" t="str">
        <f aca="false">IF(AND('NOVIEMBRE 2026'!D81&lt;&gt;"",'NOVIEMBRE 2026'!Z81="POR RECOGER"),'NOVIEMBRE 2026'!F81,"")</f>
        <v/>
      </c>
      <c r="E1127" s="192" t="str">
        <f aca="false">IF(AND('NOVIEMBRE 2026'!D81&lt;&gt;"",'NOVIEMBRE 2026'!Z81="POR RECOGER"),TEXT('NOVIEMBRE 2026'!G81,"DD/MM/YYYY"),"")</f>
        <v/>
      </c>
      <c r="F1127" s="192" t="str">
        <f aca="false">IF(AND('NOVIEMBRE 2026'!D81&lt;&gt;"",'NOVIEMBRE 2026'!Z81="POR RECOGER"),'NOVIEMBRE 2026'!K81,"")</f>
        <v/>
      </c>
      <c r="G1127" s="193" t="str">
        <f aca="false">IF(AND('NOVIEMBRE 2026'!D81&lt;&gt;"",'NOVIEMBRE 2026'!Z81="POR RECOGER"),'NOVIEMBRE 2026'!M81,"")</f>
        <v/>
      </c>
      <c r="H1127" s="193" t="str">
        <f aca="false">IF(AND('NOVIEMBRE 2026'!D81&lt;&gt;"",'NOVIEMBRE 2026'!Z81="POR RECOGER"),'NOVIEMBRE 2026'!N81,"")</f>
        <v/>
      </c>
      <c r="I1127" s="192" t="str">
        <f aca="false">IF(AND('NOVIEMBRE 2026'!D81&lt;&gt;"",'NOVIEMBRE 2026'!Z81="POR RECOGER"),'NOVIEMBRE 2026'!P81,"")</f>
        <v/>
      </c>
      <c r="J1127" s="192" t="str">
        <f aca="false">IF(AND('NOVIEMBRE 2026'!D81&lt;&gt;"",'NOVIEMBRE 2026'!Z81="POR RECOGER"),'NOVIEMBRE 2026'!Q81,"")</f>
        <v/>
      </c>
      <c r="K1127" s="192" t="str">
        <f aca="false">IF(AND('NOVIEMBRE 2026'!D81&lt;&gt;"",'NOVIEMBRE 2026'!Z81="POR RECOGER"),'NOVIEMBRE 2026'!Y81,"")</f>
        <v/>
      </c>
      <c r="L1127" s="192" t="str">
        <f aca="false">IF(AND('NOVIEMBRE 2026'!D81&lt;&gt;"",'NOVIEMBRE 2026'!Z81="POR RECOGER"),'NOVIEMBRE 2026'!I81,"")</f>
        <v/>
      </c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customFormat="false" ht="15" hidden="false" customHeight="true" outlineLevel="0" collapsed="false">
      <c r="A1128" s="192" t="str">
        <f aca="false">IF(AND('NOVIEMBRE 2026'!D82&lt;&gt;"",'NOVIEMBRE 2026'!Z82="POR RECOGER"),"NOV","")</f>
        <v/>
      </c>
      <c r="B1128" s="192" t="str">
        <f aca="false">IF(AND('NOVIEMBRE 2026'!D82&lt;&gt;"",'NOVIEMBRE 2026'!Z82="POR RECOGER"),IF('NOVIEMBRE 2026'!Y82&lt;&gt;"",'NOVIEMBRE 2026'!Y82,'NOVIEMBRE 2026'!I82),"")</f>
        <v/>
      </c>
      <c r="C1128" s="192" t="str">
        <f aca="false">IF(AND('NOVIEMBRE 2026'!D82&lt;&gt;"",'NOVIEMBRE 2026'!Z82="POR RECOGER"),'NOVIEMBRE 2026'!D82,"")</f>
        <v/>
      </c>
      <c r="D1128" s="192" t="str">
        <f aca="false">IF(AND('NOVIEMBRE 2026'!D82&lt;&gt;"",'NOVIEMBRE 2026'!Z82="POR RECOGER"),'NOVIEMBRE 2026'!F82,"")</f>
        <v/>
      </c>
      <c r="E1128" s="192" t="str">
        <f aca="false">IF(AND('NOVIEMBRE 2026'!D82&lt;&gt;"",'NOVIEMBRE 2026'!Z82="POR RECOGER"),TEXT('NOVIEMBRE 2026'!G82,"DD/MM/YYYY"),"")</f>
        <v/>
      </c>
      <c r="F1128" s="192" t="str">
        <f aca="false">IF(AND('NOVIEMBRE 2026'!D82&lt;&gt;"",'NOVIEMBRE 2026'!Z82="POR RECOGER"),'NOVIEMBRE 2026'!K82,"")</f>
        <v/>
      </c>
      <c r="G1128" s="193" t="str">
        <f aca="false">IF(AND('NOVIEMBRE 2026'!D82&lt;&gt;"",'NOVIEMBRE 2026'!Z82="POR RECOGER"),'NOVIEMBRE 2026'!M82,"")</f>
        <v/>
      </c>
      <c r="H1128" s="193" t="str">
        <f aca="false">IF(AND('NOVIEMBRE 2026'!D82&lt;&gt;"",'NOVIEMBRE 2026'!Z82="POR RECOGER"),'NOVIEMBRE 2026'!N82,"")</f>
        <v/>
      </c>
      <c r="I1128" s="192" t="str">
        <f aca="false">IF(AND('NOVIEMBRE 2026'!D82&lt;&gt;"",'NOVIEMBRE 2026'!Z82="POR RECOGER"),'NOVIEMBRE 2026'!P82,"")</f>
        <v/>
      </c>
      <c r="J1128" s="192" t="str">
        <f aca="false">IF(AND('NOVIEMBRE 2026'!D82&lt;&gt;"",'NOVIEMBRE 2026'!Z82="POR RECOGER"),'NOVIEMBRE 2026'!Q82,"")</f>
        <v/>
      </c>
      <c r="K1128" s="192" t="str">
        <f aca="false">IF(AND('NOVIEMBRE 2026'!D82&lt;&gt;"",'NOVIEMBRE 2026'!Z82="POR RECOGER"),'NOVIEMBRE 2026'!Y82,"")</f>
        <v/>
      </c>
      <c r="L1128" s="192" t="str">
        <f aca="false">IF(AND('NOVIEMBRE 2026'!D82&lt;&gt;"",'NOVIEMBRE 2026'!Z82="POR RECOGER"),'NOVIEMBRE 2026'!I82,"")</f>
        <v/>
      </c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customFormat="false" ht="15" hidden="false" customHeight="true" outlineLevel="0" collapsed="false">
      <c r="A1129" s="192" t="str">
        <f aca="false">IF(AND('NOVIEMBRE 2026'!D83&lt;&gt;"",'NOVIEMBRE 2026'!Z83="POR RECOGER"),"NOV","")</f>
        <v/>
      </c>
      <c r="B1129" s="192" t="str">
        <f aca="false">IF(AND('NOVIEMBRE 2026'!D83&lt;&gt;"",'NOVIEMBRE 2026'!Z83="POR RECOGER"),IF('NOVIEMBRE 2026'!Y83&lt;&gt;"",'NOVIEMBRE 2026'!Y83,'NOVIEMBRE 2026'!I83),"")</f>
        <v/>
      </c>
      <c r="C1129" s="192" t="str">
        <f aca="false">IF(AND('NOVIEMBRE 2026'!D83&lt;&gt;"",'NOVIEMBRE 2026'!Z83="POR RECOGER"),'NOVIEMBRE 2026'!D83,"")</f>
        <v/>
      </c>
      <c r="D1129" s="192" t="str">
        <f aca="false">IF(AND('NOVIEMBRE 2026'!D83&lt;&gt;"",'NOVIEMBRE 2026'!Z83="POR RECOGER"),'NOVIEMBRE 2026'!F83,"")</f>
        <v/>
      </c>
      <c r="E1129" s="192" t="str">
        <f aca="false">IF(AND('NOVIEMBRE 2026'!D83&lt;&gt;"",'NOVIEMBRE 2026'!Z83="POR RECOGER"),TEXT('NOVIEMBRE 2026'!G83,"DD/MM/YYYY"),"")</f>
        <v/>
      </c>
      <c r="F1129" s="192" t="str">
        <f aca="false">IF(AND('NOVIEMBRE 2026'!D83&lt;&gt;"",'NOVIEMBRE 2026'!Z83="POR RECOGER"),'NOVIEMBRE 2026'!K83,"")</f>
        <v/>
      </c>
      <c r="G1129" s="193" t="str">
        <f aca="false">IF(AND('NOVIEMBRE 2026'!D83&lt;&gt;"",'NOVIEMBRE 2026'!Z83="POR RECOGER"),'NOVIEMBRE 2026'!M83,"")</f>
        <v/>
      </c>
      <c r="H1129" s="193" t="str">
        <f aca="false">IF(AND('NOVIEMBRE 2026'!D83&lt;&gt;"",'NOVIEMBRE 2026'!Z83="POR RECOGER"),'NOVIEMBRE 2026'!N83,"")</f>
        <v/>
      </c>
      <c r="I1129" s="192" t="str">
        <f aca="false">IF(AND('NOVIEMBRE 2026'!D83&lt;&gt;"",'NOVIEMBRE 2026'!Z83="POR RECOGER"),'NOVIEMBRE 2026'!P83,"")</f>
        <v/>
      </c>
      <c r="J1129" s="192" t="str">
        <f aca="false">IF(AND('NOVIEMBRE 2026'!D83&lt;&gt;"",'NOVIEMBRE 2026'!Z83="POR RECOGER"),'NOVIEMBRE 2026'!Q83,"")</f>
        <v/>
      </c>
      <c r="K1129" s="192" t="str">
        <f aca="false">IF(AND('NOVIEMBRE 2026'!D83&lt;&gt;"",'NOVIEMBRE 2026'!Z83="POR RECOGER"),'NOVIEMBRE 2026'!Y83,"")</f>
        <v/>
      </c>
      <c r="L1129" s="192" t="str">
        <f aca="false">IF(AND('NOVIEMBRE 2026'!D83&lt;&gt;"",'NOVIEMBRE 2026'!Z83="POR RECOGER"),'NOVIEMBRE 2026'!I83,"")</f>
        <v/>
      </c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customFormat="false" ht="15" hidden="false" customHeight="true" outlineLevel="0" collapsed="false">
      <c r="A1130" s="192" t="str">
        <f aca="false">IF(AND('NOVIEMBRE 2026'!D84&lt;&gt;"",'NOVIEMBRE 2026'!Z84="POR RECOGER"),"NOV","")</f>
        <v/>
      </c>
      <c r="B1130" s="192" t="str">
        <f aca="false">IF(AND('NOVIEMBRE 2026'!D84&lt;&gt;"",'NOVIEMBRE 2026'!Z84="POR RECOGER"),IF('NOVIEMBRE 2026'!Y84&lt;&gt;"",'NOVIEMBRE 2026'!Y84,'NOVIEMBRE 2026'!I84),"")</f>
        <v/>
      </c>
      <c r="C1130" s="192" t="str">
        <f aca="false">IF(AND('NOVIEMBRE 2026'!D84&lt;&gt;"",'NOVIEMBRE 2026'!Z84="POR RECOGER"),'NOVIEMBRE 2026'!D84,"")</f>
        <v/>
      </c>
      <c r="D1130" s="192" t="str">
        <f aca="false">IF(AND('NOVIEMBRE 2026'!D84&lt;&gt;"",'NOVIEMBRE 2026'!Z84="POR RECOGER"),'NOVIEMBRE 2026'!F84,"")</f>
        <v/>
      </c>
      <c r="E1130" s="192" t="str">
        <f aca="false">IF(AND('NOVIEMBRE 2026'!D84&lt;&gt;"",'NOVIEMBRE 2026'!Z84="POR RECOGER"),TEXT('NOVIEMBRE 2026'!G84,"DD/MM/YYYY"),"")</f>
        <v/>
      </c>
      <c r="F1130" s="192" t="str">
        <f aca="false">IF(AND('NOVIEMBRE 2026'!D84&lt;&gt;"",'NOVIEMBRE 2026'!Z84="POR RECOGER"),'NOVIEMBRE 2026'!K84,"")</f>
        <v/>
      </c>
      <c r="G1130" s="193" t="str">
        <f aca="false">IF(AND('NOVIEMBRE 2026'!D84&lt;&gt;"",'NOVIEMBRE 2026'!Z84="POR RECOGER"),'NOVIEMBRE 2026'!M84,"")</f>
        <v/>
      </c>
      <c r="H1130" s="193" t="str">
        <f aca="false">IF(AND('NOVIEMBRE 2026'!D84&lt;&gt;"",'NOVIEMBRE 2026'!Z84="POR RECOGER"),'NOVIEMBRE 2026'!N84,"")</f>
        <v/>
      </c>
      <c r="I1130" s="192" t="str">
        <f aca="false">IF(AND('NOVIEMBRE 2026'!D84&lt;&gt;"",'NOVIEMBRE 2026'!Z84="POR RECOGER"),'NOVIEMBRE 2026'!P84,"")</f>
        <v/>
      </c>
      <c r="J1130" s="192" t="str">
        <f aca="false">IF(AND('NOVIEMBRE 2026'!D84&lt;&gt;"",'NOVIEMBRE 2026'!Z84="POR RECOGER"),'NOVIEMBRE 2026'!Q84,"")</f>
        <v/>
      </c>
      <c r="K1130" s="192" t="str">
        <f aca="false">IF(AND('NOVIEMBRE 2026'!D84&lt;&gt;"",'NOVIEMBRE 2026'!Z84="POR RECOGER"),'NOVIEMBRE 2026'!Y84,"")</f>
        <v/>
      </c>
      <c r="L1130" s="192" t="str">
        <f aca="false">IF(AND('NOVIEMBRE 2026'!D84&lt;&gt;"",'NOVIEMBRE 2026'!Z84="POR RECOGER"),'NOVIEMBRE 2026'!I84,"")</f>
        <v/>
      </c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customFormat="false" ht="15" hidden="false" customHeight="true" outlineLevel="0" collapsed="false">
      <c r="A1131" s="192" t="str">
        <f aca="false">IF(AND('NOVIEMBRE 2026'!D85&lt;&gt;"",'NOVIEMBRE 2026'!Z85="POR RECOGER"),"NOV","")</f>
        <v/>
      </c>
      <c r="B1131" s="192" t="str">
        <f aca="false">IF(AND('NOVIEMBRE 2026'!D85&lt;&gt;"",'NOVIEMBRE 2026'!Z85="POR RECOGER"),IF('NOVIEMBRE 2026'!Y85&lt;&gt;"",'NOVIEMBRE 2026'!Y85,'NOVIEMBRE 2026'!I85),"")</f>
        <v/>
      </c>
      <c r="C1131" s="192" t="str">
        <f aca="false">IF(AND('NOVIEMBRE 2026'!D85&lt;&gt;"",'NOVIEMBRE 2026'!Z85="POR RECOGER"),'NOVIEMBRE 2026'!D85,"")</f>
        <v/>
      </c>
      <c r="D1131" s="192" t="str">
        <f aca="false">IF(AND('NOVIEMBRE 2026'!D85&lt;&gt;"",'NOVIEMBRE 2026'!Z85="POR RECOGER"),'NOVIEMBRE 2026'!F85,"")</f>
        <v/>
      </c>
      <c r="E1131" s="192" t="str">
        <f aca="false">IF(AND('NOVIEMBRE 2026'!D85&lt;&gt;"",'NOVIEMBRE 2026'!Z85="POR RECOGER"),TEXT('NOVIEMBRE 2026'!G85,"DD/MM/YYYY"),"")</f>
        <v/>
      </c>
      <c r="F1131" s="192" t="str">
        <f aca="false">IF(AND('NOVIEMBRE 2026'!D85&lt;&gt;"",'NOVIEMBRE 2026'!Z85="POR RECOGER"),'NOVIEMBRE 2026'!K85,"")</f>
        <v/>
      </c>
      <c r="G1131" s="193" t="str">
        <f aca="false">IF(AND('NOVIEMBRE 2026'!D85&lt;&gt;"",'NOVIEMBRE 2026'!Z85="POR RECOGER"),'NOVIEMBRE 2026'!M85,"")</f>
        <v/>
      </c>
      <c r="H1131" s="193" t="str">
        <f aca="false">IF(AND('NOVIEMBRE 2026'!D85&lt;&gt;"",'NOVIEMBRE 2026'!Z85="POR RECOGER"),'NOVIEMBRE 2026'!N85,"")</f>
        <v/>
      </c>
      <c r="I1131" s="192" t="str">
        <f aca="false">IF(AND('NOVIEMBRE 2026'!D85&lt;&gt;"",'NOVIEMBRE 2026'!Z85="POR RECOGER"),'NOVIEMBRE 2026'!P85,"")</f>
        <v/>
      </c>
      <c r="J1131" s="192" t="str">
        <f aca="false">IF(AND('NOVIEMBRE 2026'!D85&lt;&gt;"",'NOVIEMBRE 2026'!Z85="POR RECOGER"),'NOVIEMBRE 2026'!Q85,"")</f>
        <v/>
      </c>
      <c r="K1131" s="192" t="str">
        <f aca="false">IF(AND('NOVIEMBRE 2026'!D85&lt;&gt;"",'NOVIEMBRE 2026'!Z85="POR RECOGER"),'NOVIEMBRE 2026'!Y85,"")</f>
        <v/>
      </c>
      <c r="L1131" s="192" t="str">
        <f aca="false">IF(AND('NOVIEMBRE 2026'!D85&lt;&gt;"",'NOVIEMBRE 2026'!Z85="POR RECOGER"),'NOVIEMBRE 2026'!I85,"")</f>
        <v/>
      </c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customFormat="false" ht="15" hidden="false" customHeight="true" outlineLevel="0" collapsed="false">
      <c r="A1132" s="192" t="str">
        <f aca="false">IF(AND('NOVIEMBRE 2026'!D86&lt;&gt;"",'NOVIEMBRE 2026'!Z86="POR RECOGER"),"NOV","")</f>
        <v/>
      </c>
      <c r="B1132" s="192" t="str">
        <f aca="false">IF(AND('NOVIEMBRE 2026'!D86&lt;&gt;"",'NOVIEMBRE 2026'!Z86="POR RECOGER"),IF('NOVIEMBRE 2026'!Y86&lt;&gt;"",'NOVIEMBRE 2026'!Y86,'NOVIEMBRE 2026'!I86),"")</f>
        <v/>
      </c>
      <c r="C1132" s="192" t="str">
        <f aca="false">IF(AND('NOVIEMBRE 2026'!D86&lt;&gt;"",'NOVIEMBRE 2026'!Z86="POR RECOGER"),'NOVIEMBRE 2026'!D86,"")</f>
        <v/>
      </c>
      <c r="D1132" s="192" t="str">
        <f aca="false">IF(AND('NOVIEMBRE 2026'!D86&lt;&gt;"",'NOVIEMBRE 2026'!Z86="POR RECOGER"),'NOVIEMBRE 2026'!F86,"")</f>
        <v/>
      </c>
      <c r="E1132" s="192" t="str">
        <f aca="false">IF(AND('NOVIEMBRE 2026'!D86&lt;&gt;"",'NOVIEMBRE 2026'!Z86="POR RECOGER"),TEXT('NOVIEMBRE 2026'!G86,"DD/MM/YYYY"),"")</f>
        <v/>
      </c>
      <c r="F1132" s="192" t="str">
        <f aca="false">IF(AND('NOVIEMBRE 2026'!D86&lt;&gt;"",'NOVIEMBRE 2026'!Z86="POR RECOGER"),'NOVIEMBRE 2026'!K86,"")</f>
        <v/>
      </c>
      <c r="G1132" s="193" t="str">
        <f aca="false">IF(AND('NOVIEMBRE 2026'!D86&lt;&gt;"",'NOVIEMBRE 2026'!Z86="POR RECOGER"),'NOVIEMBRE 2026'!M86,"")</f>
        <v/>
      </c>
      <c r="H1132" s="193" t="str">
        <f aca="false">IF(AND('NOVIEMBRE 2026'!D86&lt;&gt;"",'NOVIEMBRE 2026'!Z86="POR RECOGER"),'NOVIEMBRE 2026'!N86,"")</f>
        <v/>
      </c>
      <c r="I1132" s="192" t="str">
        <f aca="false">IF(AND('NOVIEMBRE 2026'!D86&lt;&gt;"",'NOVIEMBRE 2026'!Z86="POR RECOGER"),'NOVIEMBRE 2026'!P86,"")</f>
        <v/>
      </c>
      <c r="J1132" s="192" t="str">
        <f aca="false">IF(AND('NOVIEMBRE 2026'!D86&lt;&gt;"",'NOVIEMBRE 2026'!Z86="POR RECOGER"),'NOVIEMBRE 2026'!Q86,"")</f>
        <v/>
      </c>
      <c r="K1132" s="192" t="str">
        <f aca="false">IF(AND('NOVIEMBRE 2026'!D86&lt;&gt;"",'NOVIEMBRE 2026'!Z86="POR RECOGER"),'NOVIEMBRE 2026'!Y86,"")</f>
        <v/>
      </c>
      <c r="L1132" s="192" t="str">
        <f aca="false">IF(AND('NOVIEMBRE 2026'!D86&lt;&gt;"",'NOVIEMBRE 2026'!Z86="POR RECOGER"),'NOVIEMBRE 2026'!I86,"")</f>
        <v/>
      </c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customFormat="false" ht="15" hidden="false" customHeight="true" outlineLevel="0" collapsed="false">
      <c r="A1133" s="192" t="str">
        <f aca="false">IF(AND('NOVIEMBRE 2026'!D87&lt;&gt;"",'NOVIEMBRE 2026'!Z87="POR RECOGER"),"NOV","")</f>
        <v/>
      </c>
      <c r="B1133" s="192" t="str">
        <f aca="false">IF(AND('NOVIEMBRE 2026'!D87&lt;&gt;"",'NOVIEMBRE 2026'!Z87="POR RECOGER"),IF('NOVIEMBRE 2026'!Y87&lt;&gt;"",'NOVIEMBRE 2026'!Y87,'NOVIEMBRE 2026'!I87),"")</f>
        <v/>
      </c>
      <c r="C1133" s="192" t="str">
        <f aca="false">IF(AND('NOVIEMBRE 2026'!D87&lt;&gt;"",'NOVIEMBRE 2026'!Z87="POR RECOGER"),'NOVIEMBRE 2026'!D87,"")</f>
        <v/>
      </c>
      <c r="D1133" s="192" t="str">
        <f aca="false">IF(AND('NOVIEMBRE 2026'!D87&lt;&gt;"",'NOVIEMBRE 2026'!Z87="POR RECOGER"),'NOVIEMBRE 2026'!F87,"")</f>
        <v/>
      </c>
      <c r="E1133" s="192" t="str">
        <f aca="false">IF(AND('NOVIEMBRE 2026'!D87&lt;&gt;"",'NOVIEMBRE 2026'!Z87="POR RECOGER"),TEXT('NOVIEMBRE 2026'!G87,"DD/MM/YYYY"),"")</f>
        <v/>
      </c>
      <c r="F1133" s="192" t="str">
        <f aca="false">IF(AND('NOVIEMBRE 2026'!D87&lt;&gt;"",'NOVIEMBRE 2026'!Z87="POR RECOGER"),'NOVIEMBRE 2026'!K87,"")</f>
        <v/>
      </c>
      <c r="G1133" s="193" t="str">
        <f aca="false">IF(AND('NOVIEMBRE 2026'!D87&lt;&gt;"",'NOVIEMBRE 2026'!Z87="POR RECOGER"),'NOVIEMBRE 2026'!M87,"")</f>
        <v/>
      </c>
      <c r="H1133" s="193" t="str">
        <f aca="false">IF(AND('NOVIEMBRE 2026'!D87&lt;&gt;"",'NOVIEMBRE 2026'!Z87="POR RECOGER"),'NOVIEMBRE 2026'!N87,"")</f>
        <v/>
      </c>
      <c r="I1133" s="192" t="str">
        <f aca="false">IF(AND('NOVIEMBRE 2026'!D87&lt;&gt;"",'NOVIEMBRE 2026'!Z87="POR RECOGER"),'NOVIEMBRE 2026'!P87,"")</f>
        <v/>
      </c>
      <c r="J1133" s="192" t="str">
        <f aca="false">IF(AND('NOVIEMBRE 2026'!D87&lt;&gt;"",'NOVIEMBRE 2026'!Z87="POR RECOGER"),'NOVIEMBRE 2026'!Q87,"")</f>
        <v/>
      </c>
      <c r="K1133" s="192" t="str">
        <f aca="false">IF(AND('NOVIEMBRE 2026'!D87&lt;&gt;"",'NOVIEMBRE 2026'!Z87="POR RECOGER"),'NOVIEMBRE 2026'!Y87,"")</f>
        <v/>
      </c>
      <c r="L1133" s="192" t="str">
        <f aca="false">IF(AND('NOVIEMBRE 2026'!D87&lt;&gt;"",'NOVIEMBRE 2026'!Z87="POR RECOGER"),'NOVIEMBRE 2026'!I87,"")</f>
        <v/>
      </c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customFormat="false" ht="15" hidden="false" customHeight="true" outlineLevel="0" collapsed="false">
      <c r="A1134" s="192" t="str">
        <f aca="false">IF(AND('NOVIEMBRE 2026'!D88&lt;&gt;"",'NOVIEMBRE 2026'!Z88="POR RECOGER"),"NOV","")</f>
        <v/>
      </c>
      <c r="B1134" s="192" t="str">
        <f aca="false">IF(AND('NOVIEMBRE 2026'!D88&lt;&gt;"",'NOVIEMBRE 2026'!Z88="POR RECOGER"),IF('NOVIEMBRE 2026'!Y88&lt;&gt;"",'NOVIEMBRE 2026'!Y88,'NOVIEMBRE 2026'!I88),"")</f>
        <v/>
      </c>
      <c r="C1134" s="192" t="str">
        <f aca="false">IF(AND('NOVIEMBRE 2026'!D88&lt;&gt;"",'NOVIEMBRE 2026'!Z88="POR RECOGER"),'NOVIEMBRE 2026'!D88,"")</f>
        <v/>
      </c>
      <c r="D1134" s="192" t="str">
        <f aca="false">IF(AND('NOVIEMBRE 2026'!D88&lt;&gt;"",'NOVIEMBRE 2026'!Z88="POR RECOGER"),'NOVIEMBRE 2026'!F88,"")</f>
        <v/>
      </c>
      <c r="E1134" s="192" t="str">
        <f aca="false">IF(AND('NOVIEMBRE 2026'!D88&lt;&gt;"",'NOVIEMBRE 2026'!Z88="POR RECOGER"),TEXT('NOVIEMBRE 2026'!G88,"DD/MM/YYYY"),"")</f>
        <v/>
      </c>
      <c r="F1134" s="192" t="str">
        <f aca="false">IF(AND('NOVIEMBRE 2026'!D88&lt;&gt;"",'NOVIEMBRE 2026'!Z88="POR RECOGER"),'NOVIEMBRE 2026'!K88,"")</f>
        <v/>
      </c>
      <c r="G1134" s="193" t="str">
        <f aca="false">IF(AND('NOVIEMBRE 2026'!D88&lt;&gt;"",'NOVIEMBRE 2026'!Z88="POR RECOGER"),'NOVIEMBRE 2026'!M88,"")</f>
        <v/>
      </c>
      <c r="H1134" s="193" t="str">
        <f aca="false">IF(AND('NOVIEMBRE 2026'!D88&lt;&gt;"",'NOVIEMBRE 2026'!Z88="POR RECOGER"),'NOVIEMBRE 2026'!N88,"")</f>
        <v/>
      </c>
      <c r="I1134" s="192" t="str">
        <f aca="false">IF(AND('NOVIEMBRE 2026'!D88&lt;&gt;"",'NOVIEMBRE 2026'!Z88="POR RECOGER"),'NOVIEMBRE 2026'!P88,"")</f>
        <v/>
      </c>
      <c r="J1134" s="192" t="str">
        <f aca="false">IF(AND('NOVIEMBRE 2026'!D88&lt;&gt;"",'NOVIEMBRE 2026'!Z88="POR RECOGER"),'NOVIEMBRE 2026'!Q88,"")</f>
        <v/>
      </c>
      <c r="K1134" s="192" t="str">
        <f aca="false">IF(AND('NOVIEMBRE 2026'!D88&lt;&gt;"",'NOVIEMBRE 2026'!Z88="POR RECOGER"),'NOVIEMBRE 2026'!Y88,"")</f>
        <v/>
      </c>
      <c r="L1134" s="192" t="str">
        <f aca="false">IF(AND('NOVIEMBRE 2026'!D88&lt;&gt;"",'NOVIEMBRE 2026'!Z88="POR RECOGER"),'NOVIEMBRE 2026'!I88,"")</f>
        <v/>
      </c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customFormat="false" ht="15" hidden="false" customHeight="true" outlineLevel="0" collapsed="false">
      <c r="A1135" s="192" t="str">
        <f aca="false">IF(AND('NOVIEMBRE 2026'!D89&lt;&gt;"",'NOVIEMBRE 2026'!Z89="POR RECOGER"),"NOV","")</f>
        <v/>
      </c>
      <c r="B1135" s="192" t="str">
        <f aca="false">IF(AND('NOVIEMBRE 2026'!D89&lt;&gt;"",'NOVIEMBRE 2026'!Z89="POR RECOGER"),IF('NOVIEMBRE 2026'!Y89&lt;&gt;"",'NOVIEMBRE 2026'!Y89,'NOVIEMBRE 2026'!I89),"")</f>
        <v/>
      </c>
      <c r="C1135" s="192" t="str">
        <f aca="false">IF(AND('NOVIEMBRE 2026'!D89&lt;&gt;"",'NOVIEMBRE 2026'!Z89="POR RECOGER"),'NOVIEMBRE 2026'!D89,"")</f>
        <v/>
      </c>
      <c r="D1135" s="192" t="str">
        <f aca="false">IF(AND('NOVIEMBRE 2026'!D89&lt;&gt;"",'NOVIEMBRE 2026'!Z89="POR RECOGER"),'NOVIEMBRE 2026'!F89,"")</f>
        <v/>
      </c>
      <c r="E1135" s="192" t="str">
        <f aca="false">IF(AND('NOVIEMBRE 2026'!D89&lt;&gt;"",'NOVIEMBRE 2026'!Z89="POR RECOGER"),TEXT('NOVIEMBRE 2026'!G89,"DD/MM/YYYY"),"")</f>
        <v/>
      </c>
      <c r="F1135" s="192" t="str">
        <f aca="false">IF(AND('NOVIEMBRE 2026'!D89&lt;&gt;"",'NOVIEMBRE 2026'!Z89="POR RECOGER"),'NOVIEMBRE 2026'!K89,"")</f>
        <v/>
      </c>
      <c r="G1135" s="193" t="str">
        <f aca="false">IF(AND('NOVIEMBRE 2026'!D89&lt;&gt;"",'NOVIEMBRE 2026'!Z89="POR RECOGER"),'NOVIEMBRE 2026'!M89,"")</f>
        <v/>
      </c>
      <c r="H1135" s="193" t="str">
        <f aca="false">IF(AND('NOVIEMBRE 2026'!D89&lt;&gt;"",'NOVIEMBRE 2026'!Z89="POR RECOGER"),'NOVIEMBRE 2026'!N89,"")</f>
        <v/>
      </c>
      <c r="I1135" s="192" t="str">
        <f aca="false">IF(AND('NOVIEMBRE 2026'!D89&lt;&gt;"",'NOVIEMBRE 2026'!Z89="POR RECOGER"),'NOVIEMBRE 2026'!P89,"")</f>
        <v/>
      </c>
      <c r="J1135" s="192" t="str">
        <f aca="false">IF(AND('NOVIEMBRE 2026'!D89&lt;&gt;"",'NOVIEMBRE 2026'!Z89="POR RECOGER"),'NOVIEMBRE 2026'!Q89,"")</f>
        <v/>
      </c>
      <c r="K1135" s="192" t="str">
        <f aca="false">IF(AND('NOVIEMBRE 2026'!D89&lt;&gt;"",'NOVIEMBRE 2026'!Z89="POR RECOGER"),'NOVIEMBRE 2026'!Y89,"")</f>
        <v/>
      </c>
      <c r="L1135" s="192" t="str">
        <f aca="false">IF(AND('NOVIEMBRE 2026'!D89&lt;&gt;"",'NOVIEMBRE 2026'!Z89="POR RECOGER"),'NOVIEMBRE 2026'!I89,"")</f>
        <v/>
      </c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customFormat="false" ht="15" hidden="false" customHeight="true" outlineLevel="0" collapsed="false">
      <c r="A1136" s="192" t="str">
        <f aca="false">IF(AND('NOVIEMBRE 2026'!D90&lt;&gt;"",'NOVIEMBRE 2026'!Z90="POR RECOGER"),"NOV","")</f>
        <v/>
      </c>
      <c r="B1136" s="192" t="str">
        <f aca="false">IF(AND('NOVIEMBRE 2026'!D90&lt;&gt;"",'NOVIEMBRE 2026'!Z90="POR RECOGER"),IF('NOVIEMBRE 2026'!Y90&lt;&gt;"",'NOVIEMBRE 2026'!Y90,'NOVIEMBRE 2026'!I90),"")</f>
        <v/>
      </c>
      <c r="C1136" s="192" t="str">
        <f aca="false">IF(AND('NOVIEMBRE 2026'!D90&lt;&gt;"",'NOVIEMBRE 2026'!Z90="POR RECOGER"),'NOVIEMBRE 2026'!D90,"")</f>
        <v/>
      </c>
      <c r="D1136" s="192" t="str">
        <f aca="false">IF(AND('NOVIEMBRE 2026'!D90&lt;&gt;"",'NOVIEMBRE 2026'!Z90="POR RECOGER"),'NOVIEMBRE 2026'!F90,"")</f>
        <v/>
      </c>
      <c r="E1136" s="192" t="str">
        <f aca="false">IF(AND('NOVIEMBRE 2026'!D90&lt;&gt;"",'NOVIEMBRE 2026'!Z90="POR RECOGER"),TEXT('NOVIEMBRE 2026'!G90,"DD/MM/YYYY"),"")</f>
        <v/>
      </c>
      <c r="F1136" s="192" t="str">
        <f aca="false">IF(AND('NOVIEMBRE 2026'!D90&lt;&gt;"",'NOVIEMBRE 2026'!Z90="POR RECOGER"),'NOVIEMBRE 2026'!K90,"")</f>
        <v/>
      </c>
      <c r="G1136" s="193" t="str">
        <f aca="false">IF(AND('NOVIEMBRE 2026'!D90&lt;&gt;"",'NOVIEMBRE 2026'!Z90="POR RECOGER"),'NOVIEMBRE 2026'!M90,"")</f>
        <v/>
      </c>
      <c r="H1136" s="193" t="str">
        <f aca="false">IF(AND('NOVIEMBRE 2026'!D90&lt;&gt;"",'NOVIEMBRE 2026'!Z90="POR RECOGER"),'NOVIEMBRE 2026'!N90,"")</f>
        <v/>
      </c>
      <c r="I1136" s="192" t="str">
        <f aca="false">IF(AND('NOVIEMBRE 2026'!D90&lt;&gt;"",'NOVIEMBRE 2026'!Z90="POR RECOGER"),'NOVIEMBRE 2026'!P90,"")</f>
        <v/>
      </c>
      <c r="J1136" s="192" t="str">
        <f aca="false">IF(AND('NOVIEMBRE 2026'!D90&lt;&gt;"",'NOVIEMBRE 2026'!Z90="POR RECOGER"),'NOVIEMBRE 2026'!Q90,"")</f>
        <v/>
      </c>
      <c r="K1136" s="192" t="str">
        <f aca="false">IF(AND('NOVIEMBRE 2026'!D90&lt;&gt;"",'NOVIEMBRE 2026'!Z90="POR RECOGER"),'NOVIEMBRE 2026'!Y90,"")</f>
        <v/>
      </c>
      <c r="L1136" s="192" t="str">
        <f aca="false">IF(AND('NOVIEMBRE 2026'!D90&lt;&gt;"",'NOVIEMBRE 2026'!Z90="POR RECOGER"),'NOVIEMBRE 2026'!I90,"")</f>
        <v/>
      </c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customFormat="false" ht="15" hidden="false" customHeight="true" outlineLevel="0" collapsed="false">
      <c r="A1137" s="192" t="str">
        <f aca="false">IF(AND('NOVIEMBRE 2026'!D91&lt;&gt;"",'NOVIEMBRE 2026'!Z91="POR RECOGER"),"NOV","")</f>
        <v/>
      </c>
      <c r="B1137" s="192" t="str">
        <f aca="false">IF(AND('NOVIEMBRE 2026'!D91&lt;&gt;"",'NOVIEMBRE 2026'!Z91="POR RECOGER"),IF('NOVIEMBRE 2026'!Y91&lt;&gt;"",'NOVIEMBRE 2026'!Y91,'NOVIEMBRE 2026'!I91),"")</f>
        <v/>
      </c>
      <c r="C1137" s="192" t="str">
        <f aca="false">IF(AND('NOVIEMBRE 2026'!D91&lt;&gt;"",'NOVIEMBRE 2026'!Z91="POR RECOGER"),'NOVIEMBRE 2026'!D91,"")</f>
        <v/>
      </c>
      <c r="D1137" s="192" t="str">
        <f aca="false">IF(AND('NOVIEMBRE 2026'!D91&lt;&gt;"",'NOVIEMBRE 2026'!Z91="POR RECOGER"),'NOVIEMBRE 2026'!F91,"")</f>
        <v/>
      </c>
      <c r="E1137" s="192" t="str">
        <f aca="false">IF(AND('NOVIEMBRE 2026'!D91&lt;&gt;"",'NOVIEMBRE 2026'!Z91="POR RECOGER"),TEXT('NOVIEMBRE 2026'!G91,"DD/MM/YYYY"),"")</f>
        <v/>
      </c>
      <c r="F1137" s="192" t="str">
        <f aca="false">IF(AND('NOVIEMBRE 2026'!D91&lt;&gt;"",'NOVIEMBRE 2026'!Z91="POR RECOGER"),'NOVIEMBRE 2026'!K91,"")</f>
        <v/>
      </c>
      <c r="G1137" s="193" t="str">
        <f aca="false">IF(AND('NOVIEMBRE 2026'!D91&lt;&gt;"",'NOVIEMBRE 2026'!Z91="POR RECOGER"),'NOVIEMBRE 2026'!M91,"")</f>
        <v/>
      </c>
      <c r="H1137" s="193" t="str">
        <f aca="false">IF(AND('NOVIEMBRE 2026'!D91&lt;&gt;"",'NOVIEMBRE 2026'!Z91="POR RECOGER"),'NOVIEMBRE 2026'!N91,"")</f>
        <v/>
      </c>
      <c r="I1137" s="192" t="str">
        <f aca="false">IF(AND('NOVIEMBRE 2026'!D91&lt;&gt;"",'NOVIEMBRE 2026'!Z91="POR RECOGER"),'NOVIEMBRE 2026'!P91,"")</f>
        <v/>
      </c>
      <c r="J1137" s="192" t="str">
        <f aca="false">IF(AND('NOVIEMBRE 2026'!D91&lt;&gt;"",'NOVIEMBRE 2026'!Z91="POR RECOGER"),'NOVIEMBRE 2026'!Q91,"")</f>
        <v/>
      </c>
      <c r="K1137" s="192" t="str">
        <f aca="false">IF(AND('NOVIEMBRE 2026'!D91&lt;&gt;"",'NOVIEMBRE 2026'!Z91="POR RECOGER"),'NOVIEMBRE 2026'!Y91,"")</f>
        <v/>
      </c>
      <c r="L1137" s="192" t="str">
        <f aca="false">IF(AND('NOVIEMBRE 2026'!D91&lt;&gt;"",'NOVIEMBRE 2026'!Z91="POR RECOGER"),'NOVIEMBRE 2026'!I91,"")</f>
        <v/>
      </c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customFormat="false" ht="15" hidden="false" customHeight="true" outlineLevel="0" collapsed="false">
      <c r="A1138" s="192" t="str">
        <f aca="false">IF(AND('NOVIEMBRE 2026'!D92&lt;&gt;"",'NOVIEMBRE 2026'!Z92="POR RECOGER"),"NOV","")</f>
        <v/>
      </c>
      <c r="B1138" s="192" t="str">
        <f aca="false">IF(AND('NOVIEMBRE 2026'!D92&lt;&gt;"",'NOVIEMBRE 2026'!Z92="POR RECOGER"),IF('NOVIEMBRE 2026'!Y92&lt;&gt;"",'NOVIEMBRE 2026'!Y92,'NOVIEMBRE 2026'!I92),"")</f>
        <v/>
      </c>
      <c r="C1138" s="192" t="str">
        <f aca="false">IF(AND('NOVIEMBRE 2026'!D92&lt;&gt;"",'NOVIEMBRE 2026'!Z92="POR RECOGER"),'NOVIEMBRE 2026'!D92,"")</f>
        <v/>
      </c>
      <c r="D1138" s="192" t="str">
        <f aca="false">IF(AND('NOVIEMBRE 2026'!D92&lt;&gt;"",'NOVIEMBRE 2026'!Z92="POR RECOGER"),'NOVIEMBRE 2026'!F92,"")</f>
        <v/>
      </c>
      <c r="E1138" s="192" t="str">
        <f aca="false">IF(AND('NOVIEMBRE 2026'!D92&lt;&gt;"",'NOVIEMBRE 2026'!Z92="POR RECOGER"),TEXT('NOVIEMBRE 2026'!G92,"DD/MM/YYYY"),"")</f>
        <v/>
      </c>
      <c r="F1138" s="192" t="str">
        <f aca="false">IF(AND('NOVIEMBRE 2026'!D92&lt;&gt;"",'NOVIEMBRE 2026'!Z92="POR RECOGER"),'NOVIEMBRE 2026'!K92,"")</f>
        <v/>
      </c>
      <c r="G1138" s="193" t="str">
        <f aca="false">IF(AND('NOVIEMBRE 2026'!D92&lt;&gt;"",'NOVIEMBRE 2026'!Z92="POR RECOGER"),'NOVIEMBRE 2026'!M92,"")</f>
        <v/>
      </c>
      <c r="H1138" s="193" t="str">
        <f aca="false">IF(AND('NOVIEMBRE 2026'!D92&lt;&gt;"",'NOVIEMBRE 2026'!Z92="POR RECOGER"),'NOVIEMBRE 2026'!N92,"")</f>
        <v/>
      </c>
      <c r="I1138" s="192" t="str">
        <f aca="false">IF(AND('NOVIEMBRE 2026'!D92&lt;&gt;"",'NOVIEMBRE 2026'!Z92="POR RECOGER"),'NOVIEMBRE 2026'!P92,"")</f>
        <v/>
      </c>
      <c r="J1138" s="192" t="str">
        <f aca="false">IF(AND('NOVIEMBRE 2026'!D92&lt;&gt;"",'NOVIEMBRE 2026'!Z92="POR RECOGER"),'NOVIEMBRE 2026'!Q92,"")</f>
        <v/>
      </c>
      <c r="K1138" s="192" t="str">
        <f aca="false">IF(AND('NOVIEMBRE 2026'!D92&lt;&gt;"",'NOVIEMBRE 2026'!Z92="POR RECOGER"),'NOVIEMBRE 2026'!Y92,"")</f>
        <v/>
      </c>
      <c r="L1138" s="192" t="str">
        <f aca="false">IF(AND('NOVIEMBRE 2026'!D92&lt;&gt;"",'NOVIEMBRE 2026'!Z92="POR RECOGER"),'NOVIEMBRE 2026'!I92,"")</f>
        <v/>
      </c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customFormat="false" ht="15" hidden="false" customHeight="true" outlineLevel="0" collapsed="false">
      <c r="A1139" s="192" t="str">
        <f aca="false">IF(AND('NOVIEMBRE 2026'!D93&lt;&gt;"",'NOVIEMBRE 2026'!Z93="POR RECOGER"),"NOV","")</f>
        <v/>
      </c>
      <c r="B1139" s="192" t="str">
        <f aca="false">IF(AND('NOVIEMBRE 2026'!D93&lt;&gt;"",'NOVIEMBRE 2026'!Z93="POR RECOGER"),IF('NOVIEMBRE 2026'!Y93&lt;&gt;"",'NOVIEMBRE 2026'!Y93,'NOVIEMBRE 2026'!I93),"")</f>
        <v/>
      </c>
      <c r="C1139" s="192" t="str">
        <f aca="false">IF(AND('NOVIEMBRE 2026'!D93&lt;&gt;"",'NOVIEMBRE 2026'!Z93="POR RECOGER"),'NOVIEMBRE 2026'!D93,"")</f>
        <v/>
      </c>
      <c r="D1139" s="192" t="str">
        <f aca="false">IF(AND('NOVIEMBRE 2026'!D93&lt;&gt;"",'NOVIEMBRE 2026'!Z93="POR RECOGER"),'NOVIEMBRE 2026'!F93,"")</f>
        <v/>
      </c>
      <c r="E1139" s="192" t="str">
        <f aca="false">IF(AND('NOVIEMBRE 2026'!D93&lt;&gt;"",'NOVIEMBRE 2026'!Z93="POR RECOGER"),TEXT('NOVIEMBRE 2026'!G93,"DD/MM/YYYY"),"")</f>
        <v/>
      </c>
      <c r="F1139" s="192" t="str">
        <f aca="false">IF(AND('NOVIEMBRE 2026'!D93&lt;&gt;"",'NOVIEMBRE 2026'!Z93="POR RECOGER"),'NOVIEMBRE 2026'!K93,"")</f>
        <v/>
      </c>
      <c r="G1139" s="193" t="str">
        <f aca="false">IF(AND('NOVIEMBRE 2026'!D93&lt;&gt;"",'NOVIEMBRE 2026'!Z93="POR RECOGER"),'NOVIEMBRE 2026'!M93,"")</f>
        <v/>
      </c>
      <c r="H1139" s="193" t="str">
        <f aca="false">IF(AND('NOVIEMBRE 2026'!D93&lt;&gt;"",'NOVIEMBRE 2026'!Z93="POR RECOGER"),'NOVIEMBRE 2026'!N93,"")</f>
        <v/>
      </c>
      <c r="I1139" s="192" t="str">
        <f aca="false">IF(AND('NOVIEMBRE 2026'!D93&lt;&gt;"",'NOVIEMBRE 2026'!Z93="POR RECOGER"),'NOVIEMBRE 2026'!P93,"")</f>
        <v/>
      </c>
      <c r="J1139" s="192" t="str">
        <f aca="false">IF(AND('NOVIEMBRE 2026'!D93&lt;&gt;"",'NOVIEMBRE 2026'!Z93="POR RECOGER"),'NOVIEMBRE 2026'!Q93,"")</f>
        <v/>
      </c>
      <c r="K1139" s="192" t="str">
        <f aca="false">IF(AND('NOVIEMBRE 2026'!D93&lt;&gt;"",'NOVIEMBRE 2026'!Z93="POR RECOGER"),'NOVIEMBRE 2026'!Y93,"")</f>
        <v/>
      </c>
      <c r="L1139" s="192" t="str">
        <f aca="false">IF(AND('NOVIEMBRE 2026'!D93&lt;&gt;"",'NOVIEMBRE 2026'!Z93="POR RECOGER"),'NOVIEMBRE 2026'!I93,"")</f>
        <v/>
      </c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customFormat="false" ht="15" hidden="false" customHeight="true" outlineLevel="0" collapsed="false">
      <c r="A1140" s="192" t="str">
        <f aca="false">IF(AND('NOVIEMBRE 2026'!D94&lt;&gt;"",'NOVIEMBRE 2026'!Z94="POR RECOGER"),"NOV","")</f>
        <v/>
      </c>
      <c r="B1140" s="192" t="str">
        <f aca="false">IF(AND('NOVIEMBRE 2026'!D94&lt;&gt;"",'NOVIEMBRE 2026'!Z94="POR RECOGER"),IF('NOVIEMBRE 2026'!Y94&lt;&gt;"",'NOVIEMBRE 2026'!Y94,'NOVIEMBRE 2026'!I94),"")</f>
        <v/>
      </c>
      <c r="C1140" s="192" t="str">
        <f aca="false">IF(AND('NOVIEMBRE 2026'!D94&lt;&gt;"",'NOVIEMBRE 2026'!Z94="POR RECOGER"),'NOVIEMBRE 2026'!D94,"")</f>
        <v/>
      </c>
      <c r="D1140" s="192" t="str">
        <f aca="false">IF(AND('NOVIEMBRE 2026'!D94&lt;&gt;"",'NOVIEMBRE 2026'!Z94="POR RECOGER"),'NOVIEMBRE 2026'!F94,"")</f>
        <v/>
      </c>
      <c r="E1140" s="192" t="str">
        <f aca="false">IF(AND('NOVIEMBRE 2026'!D94&lt;&gt;"",'NOVIEMBRE 2026'!Z94="POR RECOGER"),TEXT('NOVIEMBRE 2026'!G94,"DD/MM/YYYY"),"")</f>
        <v/>
      </c>
      <c r="F1140" s="192" t="str">
        <f aca="false">IF(AND('NOVIEMBRE 2026'!D94&lt;&gt;"",'NOVIEMBRE 2026'!Z94="POR RECOGER"),'NOVIEMBRE 2026'!K94,"")</f>
        <v/>
      </c>
      <c r="G1140" s="193" t="str">
        <f aca="false">IF(AND('NOVIEMBRE 2026'!D94&lt;&gt;"",'NOVIEMBRE 2026'!Z94="POR RECOGER"),'NOVIEMBRE 2026'!M94,"")</f>
        <v/>
      </c>
      <c r="H1140" s="193" t="str">
        <f aca="false">IF(AND('NOVIEMBRE 2026'!D94&lt;&gt;"",'NOVIEMBRE 2026'!Z94="POR RECOGER"),'NOVIEMBRE 2026'!N94,"")</f>
        <v/>
      </c>
      <c r="I1140" s="192" t="str">
        <f aca="false">IF(AND('NOVIEMBRE 2026'!D94&lt;&gt;"",'NOVIEMBRE 2026'!Z94="POR RECOGER"),'NOVIEMBRE 2026'!P94,"")</f>
        <v/>
      </c>
      <c r="J1140" s="192" t="str">
        <f aca="false">IF(AND('NOVIEMBRE 2026'!D94&lt;&gt;"",'NOVIEMBRE 2026'!Z94="POR RECOGER"),'NOVIEMBRE 2026'!Q94,"")</f>
        <v/>
      </c>
      <c r="K1140" s="192" t="str">
        <f aca="false">IF(AND('NOVIEMBRE 2026'!D94&lt;&gt;"",'NOVIEMBRE 2026'!Z94="POR RECOGER"),'NOVIEMBRE 2026'!Y94,"")</f>
        <v/>
      </c>
      <c r="L1140" s="192" t="str">
        <f aca="false">IF(AND('NOVIEMBRE 2026'!D94&lt;&gt;"",'NOVIEMBRE 2026'!Z94="POR RECOGER"),'NOVIEMBRE 2026'!I94,"")</f>
        <v/>
      </c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customFormat="false" ht="15" hidden="false" customHeight="true" outlineLevel="0" collapsed="false">
      <c r="A1141" s="192" t="str">
        <f aca="false">IF(AND('NOVIEMBRE 2026'!D95&lt;&gt;"",'NOVIEMBRE 2026'!Z95="POR RECOGER"),"NOV","")</f>
        <v/>
      </c>
      <c r="B1141" s="192" t="str">
        <f aca="false">IF(AND('NOVIEMBRE 2026'!D95&lt;&gt;"",'NOVIEMBRE 2026'!Z95="POR RECOGER"),IF('NOVIEMBRE 2026'!Y95&lt;&gt;"",'NOVIEMBRE 2026'!Y95,'NOVIEMBRE 2026'!I95),"")</f>
        <v/>
      </c>
      <c r="C1141" s="192" t="str">
        <f aca="false">IF(AND('NOVIEMBRE 2026'!D95&lt;&gt;"",'NOVIEMBRE 2026'!Z95="POR RECOGER"),'NOVIEMBRE 2026'!D95,"")</f>
        <v/>
      </c>
      <c r="D1141" s="192" t="str">
        <f aca="false">IF(AND('NOVIEMBRE 2026'!D95&lt;&gt;"",'NOVIEMBRE 2026'!Z95="POR RECOGER"),'NOVIEMBRE 2026'!F95,"")</f>
        <v/>
      </c>
      <c r="E1141" s="192" t="str">
        <f aca="false">IF(AND('NOVIEMBRE 2026'!D95&lt;&gt;"",'NOVIEMBRE 2026'!Z95="POR RECOGER"),TEXT('NOVIEMBRE 2026'!G95,"DD/MM/YYYY"),"")</f>
        <v/>
      </c>
      <c r="F1141" s="192" t="str">
        <f aca="false">IF(AND('NOVIEMBRE 2026'!D95&lt;&gt;"",'NOVIEMBRE 2026'!Z95="POR RECOGER"),'NOVIEMBRE 2026'!K95,"")</f>
        <v/>
      </c>
      <c r="G1141" s="193" t="str">
        <f aca="false">IF(AND('NOVIEMBRE 2026'!D95&lt;&gt;"",'NOVIEMBRE 2026'!Z95="POR RECOGER"),'NOVIEMBRE 2026'!M95,"")</f>
        <v/>
      </c>
      <c r="H1141" s="193" t="str">
        <f aca="false">IF(AND('NOVIEMBRE 2026'!D95&lt;&gt;"",'NOVIEMBRE 2026'!Z95="POR RECOGER"),'NOVIEMBRE 2026'!N95,"")</f>
        <v/>
      </c>
      <c r="I1141" s="192" t="str">
        <f aca="false">IF(AND('NOVIEMBRE 2026'!D95&lt;&gt;"",'NOVIEMBRE 2026'!Z95="POR RECOGER"),'NOVIEMBRE 2026'!P95,"")</f>
        <v/>
      </c>
      <c r="J1141" s="192" t="str">
        <f aca="false">IF(AND('NOVIEMBRE 2026'!D95&lt;&gt;"",'NOVIEMBRE 2026'!Z95="POR RECOGER"),'NOVIEMBRE 2026'!Q95,"")</f>
        <v/>
      </c>
      <c r="K1141" s="192" t="str">
        <f aca="false">IF(AND('NOVIEMBRE 2026'!D95&lt;&gt;"",'NOVIEMBRE 2026'!Z95="POR RECOGER"),'NOVIEMBRE 2026'!Y95,"")</f>
        <v/>
      </c>
      <c r="L1141" s="192" t="str">
        <f aca="false">IF(AND('NOVIEMBRE 2026'!D95&lt;&gt;"",'NOVIEMBRE 2026'!Z95="POR RECOGER"),'NOVIEMBRE 2026'!I95,"")</f>
        <v/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customFormat="false" ht="15" hidden="false" customHeight="true" outlineLevel="0" collapsed="false">
      <c r="A1142" s="192" t="str">
        <f aca="false">IF(AND('NOVIEMBRE 2026'!D96&lt;&gt;"",'NOVIEMBRE 2026'!Z96="POR RECOGER"),"NOV","")</f>
        <v/>
      </c>
      <c r="B1142" s="192" t="str">
        <f aca="false">IF(AND('NOVIEMBRE 2026'!D96&lt;&gt;"",'NOVIEMBRE 2026'!Z96="POR RECOGER"),IF('NOVIEMBRE 2026'!Y96&lt;&gt;"",'NOVIEMBRE 2026'!Y96,'NOVIEMBRE 2026'!I96),"")</f>
        <v/>
      </c>
      <c r="C1142" s="192" t="str">
        <f aca="false">IF(AND('NOVIEMBRE 2026'!D96&lt;&gt;"",'NOVIEMBRE 2026'!Z96="POR RECOGER"),'NOVIEMBRE 2026'!D96,"")</f>
        <v/>
      </c>
      <c r="D1142" s="192" t="str">
        <f aca="false">IF(AND('NOVIEMBRE 2026'!D96&lt;&gt;"",'NOVIEMBRE 2026'!Z96="POR RECOGER"),'NOVIEMBRE 2026'!F96,"")</f>
        <v/>
      </c>
      <c r="E1142" s="192" t="str">
        <f aca="false">IF(AND('NOVIEMBRE 2026'!D96&lt;&gt;"",'NOVIEMBRE 2026'!Z96="POR RECOGER"),TEXT('NOVIEMBRE 2026'!G96,"DD/MM/YYYY"),"")</f>
        <v/>
      </c>
      <c r="F1142" s="192" t="str">
        <f aca="false">IF(AND('NOVIEMBRE 2026'!D96&lt;&gt;"",'NOVIEMBRE 2026'!Z96="POR RECOGER"),'NOVIEMBRE 2026'!K96,"")</f>
        <v/>
      </c>
      <c r="G1142" s="193" t="str">
        <f aca="false">IF(AND('NOVIEMBRE 2026'!D96&lt;&gt;"",'NOVIEMBRE 2026'!Z96="POR RECOGER"),'NOVIEMBRE 2026'!M96,"")</f>
        <v/>
      </c>
      <c r="H1142" s="193" t="str">
        <f aca="false">IF(AND('NOVIEMBRE 2026'!D96&lt;&gt;"",'NOVIEMBRE 2026'!Z96="POR RECOGER"),'NOVIEMBRE 2026'!N96,"")</f>
        <v/>
      </c>
      <c r="I1142" s="192" t="str">
        <f aca="false">IF(AND('NOVIEMBRE 2026'!D96&lt;&gt;"",'NOVIEMBRE 2026'!Z96="POR RECOGER"),'NOVIEMBRE 2026'!P96,"")</f>
        <v/>
      </c>
      <c r="J1142" s="192" t="str">
        <f aca="false">IF(AND('NOVIEMBRE 2026'!D96&lt;&gt;"",'NOVIEMBRE 2026'!Z96="POR RECOGER"),'NOVIEMBRE 2026'!Q96,"")</f>
        <v/>
      </c>
      <c r="K1142" s="192" t="str">
        <f aca="false">IF(AND('NOVIEMBRE 2026'!D96&lt;&gt;"",'NOVIEMBRE 2026'!Z96="POR RECOGER"),'NOVIEMBRE 2026'!Y96,"")</f>
        <v/>
      </c>
      <c r="L1142" s="192" t="str">
        <f aca="false">IF(AND('NOVIEMBRE 2026'!D96&lt;&gt;"",'NOVIEMBRE 2026'!Z96="POR RECOGER"),'NOVIEMBRE 2026'!I96,"")</f>
        <v/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customFormat="false" ht="15" hidden="false" customHeight="true" outlineLevel="0" collapsed="false">
      <c r="A1143" s="192" t="str">
        <f aca="false">IF(AND('NOVIEMBRE 2026'!D97&lt;&gt;"",'NOVIEMBRE 2026'!Z97="POR RECOGER"),"NOV","")</f>
        <v/>
      </c>
      <c r="B1143" s="192" t="str">
        <f aca="false">IF(AND('NOVIEMBRE 2026'!D97&lt;&gt;"",'NOVIEMBRE 2026'!Z97="POR RECOGER"),IF('NOVIEMBRE 2026'!Y97&lt;&gt;"",'NOVIEMBRE 2026'!Y97,'NOVIEMBRE 2026'!I97),"")</f>
        <v/>
      </c>
      <c r="C1143" s="192" t="str">
        <f aca="false">IF(AND('NOVIEMBRE 2026'!D97&lt;&gt;"",'NOVIEMBRE 2026'!Z97="POR RECOGER"),'NOVIEMBRE 2026'!D97,"")</f>
        <v/>
      </c>
      <c r="D1143" s="192" t="str">
        <f aca="false">IF(AND('NOVIEMBRE 2026'!D97&lt;&gt;"",'NOVIEMBRE 2026'!Z97="POR RECOGER"),'NOVIEMBRE 2026'!F97,"")</f>
        <v/>
      </c>
      <c r="E1143" s="192" t="str">
        <f aca="false">IF(AND('NOVIEMBRE 2026'!D97&lt;&gt;"",'NOVIEMBRE 2026'!Z97="POR RECOGER"),TEXT('NOVIEMBRE 2026'!G97,"DD/MM/YYYY"),"")</f>
        <v/>
      </c>
      <c r="F1143" s="192" t="str">
        <f aca="false">IF(AND('NOVIEMBRE 2026'!D97&lt;&gt;"",'NOVIEMBRE 2026'!Z97="POR RECOGER"),'NOVIEMBRE 2026'!K97,"")</f>
        <v/>
      </c>
      <c r="G1143" s="193" t="str">
        <f aca="false">IF(AND('NOVIEMBRE 2026'!D97&lt;&gt;"",'NOVIEMBRE 2026'!Z97="POR RECOGER"),'NOVIEMBRE 2026'!M97,"")</f>
        <v/>
      </c>
      <c r="H1143" s="193" t="str">
        <f aca="false">IF(AND('NOVIEMBRE 2026'!D97&lt;&gt;"",'NOVIEMBRE 2026'!Z97="POR RECOGER"),'NOVIEMBRE 2026'!N97,"")</f>
        <v/>
      </c>
      <c r="I1143" s="192" t="str">
        <f aca="false">IF(AND('NOVIEMBRE 2026'!D97&lt;&gt;"",'NOVIEMBRE 2026'!Z97="POR RECOGER"),'NOVIEMBRE 2026'!P97,"")</f>
        <v/>
      </c>
      <c r="J1143" s="192" t="str">
        <f aca="false">IF(AND('NOVIEMBRE 2026'!D97&lt;&gt;"",'NOVIEMBRE 2026'!Z97="POR RECOGER"),'NOVIEMBRE 2026'!Q97,"")</f>
        <v/>
      </c>
      <c r="K1143" s="192" t="str">
        <f aca="false">IF(AND('NOVIEMBRE 2026'!D97&lt;&gt;"",'NOVIEMBRE 2026'!Z97="POR RECOGER"),'NOVIEMBRE 2026'!Y97,"")</f>
        <v/>
      </c>
      <c r="L1143" s="192" t="str">
        <f aca="false">IF(AND('NOVIEMBRE 2026'!D97&lt;&gt;"",'NOVIEMBRE 2026'!Z97="POR RECOGER"),'NOVIEMBRE 2026'!I97,"")</f>
        <v/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customFormat="false" ht="15" hidden="false" customHeight="true" outlineLevel="0" collapsed="false">
      <c r="A1144" s="192" t="str">
        <f aca="false">IF(AND('NOVIEMBRE 2026'!D98&lt;&gt;"",'NOVIEMBRE 2026'!Z98="POR RECOGER"),"NOV","")</f>
        <v/>
      </c>
      <c r="B1144" s="192" t="str">
        <f aca="false">IF(AND('NOVIEMBRE 2026'!D98&lt;&gt;"",'NOVIEMBRE 2026'!Z98="POR RECOGER"),IF('NOVIEMBRE 2026'!Y98&lt;&gt;"",'NOVIEMBRE 2026'!Y98,'NOVIEMBRE 2026'!I98),"")</f>
        <v/>
      </c>
      <c r="C1144" s="192" t="str">
        <f aca="false">IF(AND('NOVIEMBRE 2026'!D98&lt;&gt;"",'NOVIEMBRE 2026'!Z98="POR RECOGER"),'NOVIEMBRE 2026'!D98,"")</f>
        <v/>
      </c>
      <c r="D1144" s="192" t="str">
        <f aca="false">IF(AND('NOVIEMBRE 2026'!D98&lt;&gt;"",'NOVIEMBRE 2026'!Z98="POR RECOGER"),'NOVIEMBRE 2026'!F98,"")</f>
        <v/>
      </c>
      <c r="E1144" s="192" t="str">
        <f aca="false">IF(AND('NOVIEMBRE 2026'!D98&lt;&gt;"",'NOVIEMBRE 2026'!Z98="POR RECOGER"),TEXT('NOVIEMBRE 2026'!G98,"DD/MM/YYYY"),"")</f>
        <v/>
      </c>
      <c r="F1144" s="192" t="str">
        <f aca="false">IF(AND('NOVIEMBRE 2026'!D98&lt;&gt;"",'NOVIEMBRE 2026'!Z98="POR RECOGER"),'NOVIEMBRE 2026'!K98,"")</f>
        <v/>
      </c>
      <c r="G1144" s="193" t="str">
        <f aca="false">IF(AND('NOVIEMBRE 2026'!D98&lt;&gt;"",'NOVIEMBRE 2026'!Z98="POR RECOGER"),'NOVIEMBRE 2026'!M98,"")</f>
        <v/>
      </c>
      <c r="H1144" s="193" t="str">
        <f aca="false">IF(AND('NOVIEMBRE 2026'!D98&lt;&gt;"",'NOVIEMBRE 2026'!Z98="POR RECOGER"),'NOVIEMBRE 2026'!N98,"")</f>
        <v/>
      </c>
      <c r="I1144" s="192" t="str">
        <f aca="false">IF(AND('NOVIEMBRE 2026'!D98&lt;&gt;"",'NOVIEMBRE 2026'!Z98="POR RECOGER"),'NOVIEMBRE 2026'!P98,"")</f>
        <v/>
      </c>
      <c r="J1144" s="192" t="str">
        <f aca="false">IF(AND('NOVIEMBRE 2026'!D98&lt;&gt;"",'NOVIEMBRE 2026'!Z98="POR RECOGER"),'NOVIEMBRE 2026'!Q98,"")</f>
        <v/>
      </c>
      <c r="K1144" s="192" t="str">
        <f aca="false">IF(AND('NOVIEMBRE 2026'!D98&lt;&gt;"",'NOVIEMBRE 2026'!Z98="POR RECOGER"),'NOVIEMBRE 2026'!Y98,"")</f>
        <v/>
      </c>
      <c r="L1144" s="192" t="str">
        <f aca="false">IF(AND('NOVIEMBRE 2026'!D98&lt;&gt;"",'NOVIEMBRE 2026'!Z98="POR RECOGER"),'NOVIEMBRE 2026'!I98,"")</f>
        <v/>
      </c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customFormat="false" ht="15" hidden="false" customHeight="true" outlineLevel="0" collapsed="false">
      <c r="A1145" s="192" t="str">
        <f aca="false">IF(AND('NOVIEMBRE 2026'!D99&lt;&gt;"",'NOVIEMBRE 2026'!Z99="POR RECOGER"),"NOV","")</f>
        <v/>
      </c>
      <c r="B1145" s="192" t="str">
        <f aca="false">IF(AND('NOVIEMBRE 2026'!D99&lt;&gt;"",'NOVIEMBRE 2026'!Z99="POR RECOGER"),IF('NOVIEMBRE 2026'!Y99&lt;&gt;"",'NOVIEMBRE 2026'!Y99,'NOVIEMBRE 2026'!I99),"")</f>
        <v/>
      </c>
      <c r="C1145" s="192" t="str">
        <f aca="false">IF(AND('NOVIEMBRE 2026'!D99&lt;&gt;"",'NOVIEMBRE 2026'!Z99="POR RECOGER"),'NOVIEMBRE 2026'!D99,"")</f>
        <v/>
      </c>
      <c r="D1145" s="192" t="str">
        <f aca="false">IF(AND('NOVIEMBRE 2026'!D99&lt;&gt;"",'NOVIEMBRE 2026'!Z99="POR RECOGER"),'NOVIEMBRE 2026'!F99,"")</f>
        <v/>
      </c>
      <c r="E1145" s="192" t="str">
        <f aca="false">IF(AND('NOVIEMBRE 2026'!D99&lt;&gt;"",'NOVIEMBRE 2026'!Z99="POR RECOGER"),TEXT('NOVIEMBRE 2026'!G99,"DD/MM/YYYY"),"")</f>
        <v/>
      </c>
      <c r="F1145" s="192" t="str">
        <f aca="false">IF(AND('NOVIEMBRE 2026'!D99&lt;&gt;"",'NOVIEMBRE 2026'!Z99="POR RECOGER"),'NOVIEMBRE 2026'!K99,"")</f>
        <v/>
      </c>
      <c r="G1145" s="193" t="str">
        <f aca="false">IF(AND('NOVIEMBRE 2026'!D99&lt;&gt;"",'NOVIEMBRE 2026'!Z99="POR RECOGER"),'NOVIEMBRE 2026'!M99,"")</f>
        <v/>
      </c>
      <c r="H1145" s="193" t="str">
        <f aca="false">IF(AND('NOVIEMBRE 2026'!D99&lt;&gt;"",'NOVIEMBRE 2026'!Z99="POR RECOGER"),'NOVIEMBRE 2026'!N99,"")</f>
        <v/>
      </c>
      <c r="I1145" s="192" t="str">
        <f aca="false">IF(AND('NOVIEMBRE 2026'!D99&lt;&gt;"",'NOVIEMBRE 2026'!Z99="POR RECOGER"),'NOVIEMBRE 2026'!P99,"")</f>
        <v/>
      </c>
      <c r="J1145" s="192" t="str">
        <f aca="false">IF(AND('NOVIEMBRE 2026'!D99&lt;&gt;"",'NOVIEMBRE 2026'!Z99="POR RECOGER"),'NOVIEMBRE 2026'!Q99,"")</f>
        <v/>
      </c>
      <c r="K1145" s="192" t="str">
        <f aca="false">IF(AND('NOVIEMBRE 2026'!D99&lt;&gt;"",'NOVIEMBRE 2026'!Z99="POR RECOGER"),'NOVIEMBRE 2026'!Y99,"")</f>
        <v/>
      </c>
      <c r="L1145" s="192" t="str">
        <f aca="false">IF(AND('NOVIEMBRE 2026'!D99&lt;&gt;"",'NOVIEMBRE 2026'!Z99="POR RECOGER"),'NOVIEMBRE 2026'!I99,"")</f>
        <v/>
      </c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customFormat="false" ht="15" hidden="false" customHeight="true" outlineLevel="0" collapsed="false">
      <c r="A1146" s="192" t="str">
        <f aca="false">IF(AND('NOVIEMBRE 2026'!D100&lt;&gt;"",'NOVIEMBRE 2026'!Z100="POR RECOGER"),"NOV","")</f>
        <v/>
      </c>
      <c r="B1146" s="192" t="str">
        <f aca="false">IF(AND('NOVIEMBRE 2026'!D100&lt;&gt;"",'NOVIEMBRE 2026'!Z100="POR RECOGER"),IF('NOVIEMBRE 2026'!Y100&lt;&gt;"",'NOVIEMBRE 2026'!Y100,'NOVIEMBRE 2026'!I100),"")</f>
        <v/>
      </c>
      <c r="C1146" s="192" t="str">
        <f aca="false">IF(AND('NOVIEMBRE 2026'!D100&lt;&gt;"",'NOVIEMBRE 2026'!Z100="POR RECOGER"),'NOVIEMBRE 2026'!D100,"")</f>
        <v/>
      </c>
      <c r="D1146" s="192" t="str">
        <f aca="false">IF(AND('NOVIEMBRE 2026'!D100&lt;&gt;"",'NOVIEMBRE 2026'!Z100="POR RECOGER"),'NOVIEMBRE 2026'!F100,"")</f>
        <v/>
      </c>
      <c r="E1146" s="192" t="str">
        <f aca="false">IF(AND('NOVIEMBRE 2026'!D100&lt;&gt;"",'NOVIEMBRE 2026'!Z100="POR RECOGER"),TEXT('NOVIEMBRE 2026'!G100,"DD/MM/YYYY"),"")</f>
        <v/>
      </c>
      <c r="F1146" s="192" t="str">
        <f aca="false">IF(AND('NOVIEMBRE 2026'!D100&lt;&gt;"",'NOVIEMBRE 2026'!Z100="POR RECOGER"),'NOVIEMBRE 2026'!K100,"")</f>
        <v/>
      </c>
      <c r="G1146" s="193" t="str">
        <f aca="false">IF(AND('NOVIEMBRE 2026'!D100&lt;&gt;"",'NOVIEMBRE 2026'!Z100="POR RECOGER"),'NOVIEMBRE 2026'!M100,"")</f>
        <v/>
      </c>
      <c r="H1146" s="193" t="str">
        <f aca="false">IF(AND('NOVIEMBRE 2026'!D100&lt;&gt;"",'NOVIEMBRE 2026'!Z100="POR RECOGER"),'NOVIEMBRE 2026'!N100,"")</f>
        <v/>
      </c>
      <c r="I1146" s="192" t="str">
        <f aca="false">IF(AND('NOVIEMBRE 2026'!D100&lt;&gt;"",'NOVIEMBRE 2026'!Z100="POR RECOGER"),'NOVIEMBRE 2026'!P100,"")</f>
        <v/>
      </c>
      <c r="J1146" s="192" t="str">
        <f aca="false">IF(AND('NOVIEMBRE 2026'!D100&lt;&gt;"",'NOVIEMBRE 2026'!Z100="POR RECOGER"),'NOVIEMBRE 2026'!Q100,"")</f>
        <v/>
      </c>
      <c r="K1146" s="192" t="str">
        <f aca="false">IF(AND('NOVIEMBRE 2026'!D100&lt;&gt;"",'NOVIEMBRE 2026'!Z100="POR RECOGER"),'NOVIEMBRE 2026'!Y100,"")</f>
        <v/>
      </c>
      <c r="L1146" s="192" t="str">
        <f aca="false">IF(AND('NOVIEMBRE 2026'!D100&lt;&gt;"",'NOVIEMBRE 2026'!Z100="POR RECOGER"),'NOVIEMBRE 2026'!I100,"")</f>
        <v/>
      </c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customFormat="false" ht="15" hidden="false" customHeight="true" outlineLevel="0" collapsed="false">
      <c r="A1147" s="192" t="str">
        <f aca="false">IF(AND('NOVIEMBRE 2026'!D101&lt;&gt;"",'NOVIEMBRE 2026'!Z101="POR RECOGER"),"NOV","")</f>
        <v/>
      </c>
      <c r="B1147" s="192" t="str">
        <f aca="false">IF(AND('NOVIEMBRE 2026'!D101&lt;&gt;"",'NOVIEMBRE 2026'!Z101="POR RECOGER"),IF('NOVIEMBRE 2026'!Y101&lt;&gt;"",'NOVIEMBRE 2026'!Y101,'NOVIEMBRE 2026'!I101),"")</f>
        <v/>
      </c>
      <c r="C1147" s="192" t="str">
        <f aca="false">IF(AND('NOVIEMBRE 2026'!D101&lt;&gt;"",'NOVIEMBRE 2026'!Z101="POR RECOGER"),'NOVIEMBRE 2026'!D101,"")</f>
        <v/>
      </c>
      <c r="D1147" s="192" t="str">
        <f aca="false">IF(AND('NOVIEMBRE 2026'!D101&lt;&gt;"",'NOVIEMBRE 2026'!Z101="POR RECOGER"),'NOVIEMBRE 2026'!F101,"")</f>
        <v/>
      </c>
      <c r="E1147" s="192" t="str">
        <f aca="false">IF(AND('NOVIEMBRE 2026'!D101&lt;&gt;"",'NOVIEMBRE 2026'!Z101="POR RECOGER"),TEXT('NOVIEMBRE 2026'!G101,"DD/MM/YYYY"),"")</f>
        <v/>
      </c>
      <c r="F1147" s="192" t="str">
        <f aca="false">IF(AND('NOVIEMBRE 2026'!D101&lt;&gt;"",'NOVIEMBRE 2026'!Z101="POR RECOGER"),'NOVIEMBRE 2026'!K101,"")</f>
        <v/>
      </c>
      <c r="G1147" s="193" t="str">
        <f aca="false">IF(AND('NOVIEMBRE 2026'!D101&lt;&gt;"",'NOVIEMBRE 2026'!Z101="POR RECOGER"),'NOVIEMBRE 2026'!M101,"")</f>
        <v/>
      </c>
      <c r="H1147" s="193" t="str">
        <f aca="false">IF(AND('NOVIEMBRE 2026'!D101&lt;&gt;"",'NOVIEMBRE 2026'!Z101="POR RECOGER"),'NOVIEMBRE 2026'!N101,"")</f>
        <v/>
      </c>
      <c r="I1147" s="192" t="str">
        <f aca="false">IF(AND('NOVIEMBRE 2026'!D101&lt;&gt;"",'NOVIEMBRE 2026'!Z101="POR RECOGER"),'NOVIEMBRE 2026'!P101,"")</f>
        <v/>
      </c>
      <c r="J1147" s="192" t="str">
        <f aca="false">IF(AND('NOVIEMBRE 2026'!D101&lt;&gt;"",'NOVIEMBRE 2026'!Z101="POR RECOGER"),'NOVIEMBRE 2026'!Q101,"")</f>
        <v/>
      </c>
      <c r="K1147" s="192" t="str">
        <f aca="false">IF(AND('NOVIEMBRE 2026'!D101&lt;&gt;"",'NOVIEMBRE 2026'!Z101="POR RECOGER"),'NOVIEMBRE 2026'!Y101,"")</f>
        <v/>
      </c>
      <c r="L1147" s="192" t="str">
        <f aca="false">IF(AND('NOVIEMBRE 2026'!D101&lt;&gt;"",'NOVIEMBRE 2026'!Z101="POR RECOGER"),'NOVIEMBRE 2026'!I101,"")</f>
        <v/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customFormat="false" ht="15" hidden="false" customHeight="true" outlineLevel="0" collapsed="false">
      <c r="A1148" s="192" t="str">
        <f aca="false">IF(AND('NOVIEMBRE 2026'!D102&lt;&gt;"",'NOVIEMBRE 2026'!Z102="POR RECOGER"),"NOV","")</f>
        <v/>
      </c>
      <c r="B1148" s="192" t="str">
        <f aca="false">IF(AND('NOVIEMBRE 2026'!D102&lt;&gt;"",'NOVIEMBRE 2026'!Z102="POR RECOGER"),IF('NOVIEMBRE 2026'!Y102&lt;&gt;"",'NOVIEMBRE 2026'!Y102,'NOVIEMBRE 2026'!I102),"")</f>
        <v/>
      </c>
      <c r="C1148" s="192" t="str">
        <f aca="false">IF(AND('NOVIEMBRE 2026'!D102&lt;&gt;"",'NOVIEMBRE 2026'!Z102="POR RECOGER"),'NOVIEMBRE 2026'!D102,"")</f>
        <v/>
      </c>
      <c r="D1148" s="192" t="str">
        <f aca="false">IF(AND('NOVIEMBRE 2026'!D102&lt;&gt;"",'NOVIEMBRE 2026'!Z102="POR RECOGER"),'NOVIEMBRE 2026'!F102,"")</f>
        <v/>
      </c>
      <c r="E1148" s="192" t="str">
        <f aca="false">IF(AND('NOVIEMBRE 2026'!D102&lt;&gt;"",'NOVIEMBRE 2026'!Z102="POR RECOGER"),TEXT('NOVIEMBRE 2026'!G102,"DD/MM/YYYY"),"")</f>
        <v/>
      </c>
      <c r="F1148" s="192" t="str">
        <f aca="false">IF(AND('NOVIEMBRE 2026'!D102&lt;&gt;"",'NOVIEMBRE 2026'!Z102="POR RECOGER"),'NOVIEMBRE 2026'!K102,"")</f>
        <v/>
      </c>
      <c r="G1148" s="193" t="str">
        <f aca="false">IF(AND('NOVIEMBRE 2026'!D102&lt;&gt;"",'NOVIEMBRE 2026'!Z102="POR RECOGER"),'NOVIEMBRE 2026'!M102,"")</f>
        <v/>
      </c>
      <c r="H1148" s="193" t="str">
        <f aca="false">IF(AND('NOVIEMBRE 2026'!D102&lt;&gt;"",'NOVIEMBRE 2026'!Z102="POR RECOGER"),'NOVIEMBRE 2026'!N102,"")</f>
        <v/>
      </c>
      <c r="I1148" s="192" t="str">
        <f aca="false">IF(AND('NOVIEMBRE 2026'!D102&lt;&gt;"",'NOVIEMBRE 2026'!Z102="POR RECOGER"),'NOVIEMBRE 2026'!P102,"")</f>
        <v/>
      </c>
      <c r="J1148" s="192" t="str">
        <f aca="false">IF(AND('NOVIEMBRE 2026'!D102&lt;&gt;"",'NOVIEMBRE 2026'!Z102="POR RECOGER"),'NOVIEMBRE 2026'!Q102,"")</f>
        <v/>
      </c>
      <c r="K1148" s="192" t="str">
        <f aca="false">IF(AND('NOVIEMBRE 2026'!D102&lt;&gt;"",'NOVIEMBRE 2026'!Z102="POR RECOGER"),'NOVIEMBRE 2026'!Y102,"")</f>
        <v/>
      </c>
      <c r="L1148" s="192" t="str">
        <f aca="false">IF(AND('NOVIEMBRE 2026'!D102&lt;&gt;"",'NOVIEMBRE 2026'!Z102="POR RECOGER"),'NOVIEMBRE 2026'!I102,"")</f>
        <v/>
      </c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customFormat="false" ht="15" hidden="false" customHeight="true" outlineLevel="0" collapsed="false">
      <c r="A1149" s="192" t="str">
        <f aca="false">IF(AND('NOVIEMBRE 2026'!D103&lt;&gt;"",'NOVIEMBRE 2026'!Z103="POR RECOGER"),"NOV","")</f>
        <v/>
      </c>
      <c r="B1149" s="192" t="str">
        <f aca="false">IF(AND('NOVIEMBRE 2026'!D103&lt;&gt;"",'NOVIEMBRE 2026'!Z103="POR RECOGER"),IF('NOVIEMBRE 2026'!Y103&lt;&gt;"",'NOVIEMBRE 2026'!Y103,'NOVIEMBRE 2026'!I103),"")</f>
        <v/>
      </c>
      <c r="C1149" s="192" t="str">
        <f aca="false">IF(AND('NOVIEMBRE 2026'!D103&lt;&gt;"",'NOVIEMBRE 2026'!Z103="POR RECOGER"),'NOVIEMBRE 2026'!D103,"")</f>
        <v/>
      </c>
      <c r="D1149" s="192" t="str">
        <f aca="false">IF(AND('NOVIEMBRE 2026'!D103&lt;&gt;"",'NOVIEMBRE 2026'!Z103="POR RECOGER"),'NOVIEMBRE 2026'!F103,"")</f>
        <v/>
      </c>
      <c r="E1149" s="192" t="str">
        <f aca="false">IF(AND('NOVIEMBRE 2026'!D103&lt;&gt;"",'NOVIEMBRE 2026'!Z103="POR RECOGER"),TEXT('NOVIEMBRE 2026'!G103,"DD/MM/YYYY"),"")</f>
        <v/>
      </c>
      <c r="F1149" s="192" t="str">
        <f aca="false">IF(AND('NOVIEMBRE 2026'!D103&lt;&gt;"",'NOVIEMBRE 2026'!Z103="POR RECOGER"),'NOVIEMBRE 2026'!K103,"")</f>
        <v/>
      </c>
      <c r="G1149" s="193" t="str">
        <f aca="false">IF(AND('NOVIEMBRE 2026'!D103&lt;&gt;"",'NOVIEMBRE 2026'!Z103="POR RECOGER"),'NOVIEMBRE 2026'!M103,"")</f>
        <v/>
      </c>
      <c r="H1149" s="193" t="str">
        <f aca="false">IF(AND('NOVIEMBRE 2026'!D103&lt;&gt;"",'NOVIEMBRE 2026'!Z103="POR RECOGER"),'NOVIEMBRE 2026'!N103,"")</f>
        <v/>
      </c>
      <c r="I1149" s="192" t="str">
        <f aca="false">IF(AND('NOVIEMBRE 2026'!D103&lt;&gt;"",'NOVIEMBRE 2026'!Z103="POR RECOGER"),'NOVIEMBRE 2026'!P103,"")</f>
        <v/>
      </c>
      <c r="J1149" s="192" t="str">
        <f aca="false">IF(AND('NOVIEMBRE 2026'!D103&lt;&gt;"",'NOVIEMBRE 2026'!Z103="POR RECOGER"),'NOVIEMBRE 2026'!Q103,"")</f>
        <v/>
      </c>
      <c r="K1149" s="192" t="str">
        <f aca="false">IF(AND('NOVIEMBRE 2026'!D103&lt;&gt;"",'NOVIEMBRE 2026'!Z103="POR RECOGER"),'NOVIEMBRE 2026'!Y103,"")</f>
        <v/>
      </c>
      <c r="L1149" s="192" t="str">
        <f aca="false">IF(AND('NOVIEMBRE 2026'!D103&lt;&gt;"",'NOVIEMBRE 2026'!Z103="POR RECOGER"),'NOVIEMBRE 2026'!I103,"")</f>
        <v/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customFormat="false" ht="15" hidden="false" customHeight="true" outlineLevel="0" collapsed="false">
      <c r="A1150" s="192" t="str">
        <f aca="false">IF(AND('NOVIEMBRE 2026'!D104&lt;&gt;"",'NOVIEMBRE 2026'!Z104="POR RECOGER"),"NOV","")</f>
        <v/>
      </c>
      <c r="B1150" s="192" t="str">
        <f aca="false">IF(AND('NOVIEMBRE 2026'!D104&lt;&gt;"",'NOVIEMBRE 2026'!Z104="POR RECOGER"),IF('NOVIEMBRE 2026'!Y104&lt;&gt;"",'NOVIEMBRE 2026'!Y104,'NOVIEMBRE 2026'!I104),"")</f>
        <v/>
      </c>
      <c r="C1150" s="192" t="str">
        <f aca="false">IF(AND('NOVIEMBRE 2026'!D104&lt;&gt;"",'NOVIEMBRE 2026'!Z104="POR RECOGER"),'NOVIEMBRE 2026'!D104,"")</f>
        <v/>
      </c>
      <c r="D1150" s="192" t="str">
        <f aca="false">IF(AND('NOVIEMBRE 2026'!D104&lt;&gt;"",'NOVIEMBRE 2026'!Z104="POR RECOGER"),'NOVIEMBRE 2026'!F104,"")</f>
        <v/>
      </c>
      <c r="E1150" s="192" t="str">
        <f aca="false">IF(AND('NOVIEMBRE 2026'!D104&lt;&gt;"",'NOVIEMBRE 2026'!Z104="POR RECOGER"),TEXT('NOVIEMBRE 2026'!G104,"DD/MM/YYYY"),"")</f>
        <v/>
      </c>
      <c r="F1150" s="192" t="str">
        <f aca="false">IF(AND('NOVIEMBRE 2026'!D104&lt;&gt;"",'NOVIEMBRE 2026'!Z104="POR RECOGER"),'NOVIEMBRE 2026'!K104,"")</f>
        <v/>
      </c>
      <c r="G1150" s="193" t="str">
        <f aca="false">IF(AND('NOVIEMBRE 2026'!D104&lt;&gt;"",'NOVIEMBRE 2026'!Z104="POR RECOGER"),'NOVIEMBRE 2026'!M104,"")</f>
        <v/>
      </c>
      <c r="H1150" s="193" t="str">
        <f aca="false">IF(AND('NOVIEMBRE 2026'!D104&lt;&gt;"",'NOVIEMBRE 2026'!Z104="POR RECOGER"),'NOVIEMBRE 2026'!N104,"")</f>
        <v/>
      </c>
      <c r="I1150" s="192" t="str">
        <f aca="false">IF(AND('NOVIEMBRE 2026'!D104&lt;&gt;"",'NOVIEMBRE 2026'!Z104="POR RECOGER"),'NOVIEMBRE 2026'!P104,"")</f>
        <v/>
      </c>
      <c r="J1150" s="192" t="str">
        <f aca="false">IF(AND('NOVIEMBRE 2026'!D104&lt;&gt;"",'NOVIEMBRE 2026'!Z104="POR RECOGER"),'NOVIEMBRE 2026'!Q104,"")</f>
        <v/>
      </c>
      <c r="K1150" s="192" t="str">
        <f aca="false">IF(AND('NOVIEMBRE 2026'!D104&lt;&gt;"",'NOVIEMBRE 2026'!Z104="POR RECOGER"),'NOVIEMBRE 2026'!Y104,"")</f>
        <v/>
      </c>
      <c r="L1150" s="192" t="str">
        <f aca="false">IF(AND('NOVIEMBRE 2026'!D104&lt;&gt;"",'NOVIEMBRE 2026'!Z104="POR RECOGER"),'NOVIEMBRE 2026'!I104,"")</f>
        <v/>
      </c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customFormat="false" ht="15" hidden="false" customHeight="true" outlineLevel="0" collapsed="false">
      <c r="A1151" s="192" t="str">
        <f aca="false">IF(AND('NOVIEMBRE 2026'!D105&lt;&gt;"",'NOVIEMBRE 2026'!Z105="POR RECOGER"),"NOV","")</f>
        <v/>
      </c>
      <c r="B1151" s="192" t="str">
        <f aca="false">IF(AND('NOVIEMBRE 2026'!D105&lt;&gt;"",'NOVIEMBRE 2026'!Z105="POR RECOGER"),IF('NOVIEMBRE 2026'!Y105&lt;&gt;"",'NOVIEMBRE 2026'!Y105,'NOVIEMBRE 2026'!I105),"")</f>
        <v/>
      </c>
      <c r="C1151" s="192" t="str">
        <f aca="false">IF(AND('NOVIEMBRE 2026'!D105&lt;&gt;"",'NOVIEMBRE 2026'!Z105="POR RECOGER"),'NOVIEMBRE 2026'!D105,"")</f>
        <v/>
      </c>
      <c r="D1151" s="192" t="str">
        <f aca="false">IF(AND('NOVIEMBRE 2026'!D105&lt;&gt;"",'NOVIEMBRE 2026'!Z105="POR RECOGER"),'NOVIEMBRE 2026'!F105,"")</f>
        <v/>
      </c>
      <c r="E1151" s="192" t="str">
        <f aca="false">IF(AND('NOVIEMBRE 2026'!D105&lt;&gt;"",'NOVIEMBRE 2026'!Z105="POR RECOGER"),TEXT('NOVIEMBRE 2026'!G105,"DD/MM/YYYY"),"")</f>
        <v/>
      </c>
      <c r="F1151" s="192" t="str">
        <f aca="false">IF(AND('NOVIEMBRE 2026'!D105&lt;&gt;"",'NOVIEMBRE 2026'!Z105="POR RECOGER"),'NOVIEMBRE 2026'!K105,"")</f>
        <v/>
      </c>
      <c r="G1151" s="193" t="str">
        <f aca="false">IF(AND('NOVIEMBRE 2026'!D105&lt;&gt;"",'NOVIEMBRE 2026'!Z105="POR RECOGER"),'NOVIEMBRE 2026'!M105,"")</f>
        <v/>
      </c>
      <c r="H1151" s="193" t="str">
        <f aca="false">IF(AND('NOVIEMBRE 2026'!D105&lt;&gt;"",'NOVIEMBRE 2026'!Z105="POR RECOGER"),'NOVIEMBRE 2026'!N105,"")</f>
        <v/>
      </c>
      <c r="I1151" s="192" t="str">
        <f aca="false">IF(AND('NOVIEMBRE 2026'!D105&lt;&gt;"",'NOVIEMBRE 2026'!Z105="POR RECOGER"),'NOVIEMBRE 2026'!P105,"")</f>
        <v/>
      </c>
      <c r="J1151" s="192" t="str">
        <f aca="false">IF(AND('NOVIEMBRE 2026'!D105&lt;&gt;"",'NOVIEMBRE 2026'!Z105="POR RECOGER"),'NOVIEMBRE 2026'!Q105,"")</f>
        <v/>
      </c>
      <c r="K1151" s="192" t="str">
        <f aca="false">IF(AND('NOVIEMBRE 2026'!D105&lt;&gt;"",'NOVIEMBRE 2026'!Z105="POR RECOGER"),'NOVIEMBRE 2026'!Y105,"")</f>
        <v/>
      </c>
      <c r="L1151" s="192" t="str">
        <f aca="false">IF(AND('NOVIEMBRE 2026'!D105&lt;&gt;"",'NOVIEMBRE 2026'!Z105="POR RECOGER"),'NOVIEMBRE 2026'!I105,"")</f>
        <v/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customFormat="false" ht="15" hidden="false" customHeight="true" outlineLevel="0" collapsed="false">
      <c r="A1152" s="192" t="str">
        <f aca="false">IF(AND('NOVIEMBRE 2026'!D106&lt;&gt;"",'NOVIEMBRE 2026'!Z106="POR RECOGER"),"NOV","")</f>
        <v/>
      </c>
      <c r="B1152" s="192" t="str">
        <f aca="false">IF(AND('NOVIEMBRE 2026'!D106&lt;&gt;"",'NOVIEMBRE 2026'!Z106="POR RECOGER"),IF('NOVIEMBRE 2026'!Y106&lt;&gt;"",'NOVIEMBRE 2026'!Y106,'NOVIEMBRE 2026'!I106),"")</f>
        <v/>
      </c>
      <c r="C1152" s="192" t="str">
        <f aca="false">IF(AND('NOVIEMBRE 2026'!D106&lt;&gt;"",'NOVIEMBRE 2026'!Z106="POR RECOGER"),'NOVIEMBRE 2026'!D106,"")</f>
        <v/>
      </c>
      <c r="D1152" s="192" t="str">
        <f aca="false">IF(AND('NOVIEMBRE 2026'!D106&lt;&gt;"",'NOVIEMBRE 2026'!Z106="POR RECOGER"),'NOVIEMBRE 2026'!F106,"")</f>
        <v/>
      </c>
      <c r="E1152" s="192" t="str">
        <f aca="false">IF(AND('NOVIEMBRE 2026'!D106&lt;&gt;"",'NOVIEMBRE 2026'!Z106="POR RECOGER"),TEXT('NOVIEMBRE 2026'!G106,"DD/MM/YYYY"),"")</f>
        <v/>
      </c>
      <c r="F1152" s="192" t="str">
        <f aca="false">IF(AND('NOVIEMBRE 2026'!D106&lt;&gt;"",'NOVIEMBRE 2026'!Z106="POR RECOGER"),'NOVIEMBRE 2026'!K106,"")</f>
        <v/>
      </c>
      <c r="G1152" s="193" t="str">
        <f aca="false">IF(AND('NOVIEMBRE 2026'!D106&lt;&gt;"",'NOVIEMBRE 2026'!Z106="POR RECOGER"),'NOVIEMBRE 2026'!M106,"")</f>
        <v/>
      </c>
      <c r="H1152" s="193" t="str">
        <f aca="false">IF(AND('NOVIEMBRE 2026'!D106&lt;&gt;"",'NOVIEMBRE 2026'!Z106="POR RECOGER"),'NOVIEMBRE 2026'!N106,"")</f>
        <v/>
      </c>
      <c r="I1152" s="192" t="str">
        <f aca="false">IF(AND('NOVIEMBRE 2026'!D106&lt;&gt;"",'NOVIEMBRE 2026'!Z106="POR RECOGER"),'NOVIEMBRE 2026'!P106,"")</f>
        <v/>
      </c>
      <c r="J1152" s="192" t="str">
        <f aca="false">IF(AND('NOVIEMBRE 2026'!D106&lt;&gt;"",'NOVIEMBRE 2026'!Z106="POR RECOGER"),'NOVIEMBRE 2026'!Q106,"")</f>
        <v/>
      </c>
      <c r="K1152" s="192" t="str">
        <f aca="false">IF(AND('NOVIEMBRE 2026'!D106&lt;&gt;"",'NOVIEMBRE 2026'!Z106="POR RECOGER"),'NOVIEMBRE 2026'!Y106,"")</f>
        <v/>
      </c>
      <c r="L1152" s="192" t="str">
        <f aca="false">IF(AND('NOVIEMBRE 2026'!D106&lt;&gt;"",'NOVIEMBRE 2026'!Z106="POR RECOGER"),'NOVIEMBRE 2026'!I106,"")</f>
        <v/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customFormat="false" ht="15" hidden="false" customHeight="true" outlineLevel="0" collapsed="false">
      <c r="A1153" s="192" t="str">
        <f aca="false">IF(AND('NOVIEMBRE 2026'!D107&lt;&gt;"",'NOVIEMBRE 2026'!Z107="POR RECOGER"),"NOV","")</f>
        <v/>
      </c>
      <c r="B1153" s="192" t="str">
        <f aca="false">IF(AND('NOVIEMBRE 2026'!D107&lt;&gt;"",'NOVIEMBRE 2026'!Z107="POR RECOGER"),IF('NOVIEMBRE 2026'!Y107&lt;&gt;"",'NOVIEMBRE 2026'!Y107,'NOVIEMBRE 2026'!I107),"")</f>
        <v/>
      </c>
      <c r="C1153" s="192" t="str">
        <f aca="false">IF(AND('NOVIEMBRE 2026'!D107&lt;&gt;"",'NOVIEMBRE 2026'!Z107="POR RECOGER"),'NOVIEMBRE 2026'!D107,"")</f>
        <v/>
      </c>
      <c r="D1153" s="192" t="str">
        <f aca="false">IF(AND('NOVIEMBRE 2026'!D107&lt;&gt;"",'NOVIEMBRE 2026'!Z107="POR RECOGER"),'NOVIEMBRE 2026'!F107,"")</f>
        <v/>
      </c>
      <c r="E1153" s="192" t="str">
        <f aca="false">IF(AND('NOVIEMBRE 2026'!D107&lt;&gt;"",'NOVIEMBRE 2026'!Z107="POR RECOGER"),TEXT('NOVIEMBRE 2026'!G107,"DD/MM/YYYY"),"")</f>
        <v/>
      </c>
      <c r="F1153" s="192" t="str">
        <f aca="false">IF(AND('NOVIEMBRE 2026'!D107&lt;&gt;"",'NOVIEMBRE 2026'!Z107="POR RECOGER"),'NOVIEMBRE 2026'!K107,"")</f>
        <v/>
      </c>
      <c r="G1153" s="193" t="str">
        <f aca="false">IF(AND('NOVIEMBRE 2026'!D107&lt;&gt;"",'NOVIEMBRE 2026'!Z107="POR RECOGER"),'NOVIEMBRE 2026'!M107,"")</f>
        <v/>
      </c>
      <c r="H1153" s="193" t="str">
        <f aca="false">IF(AND('NOVIEMBRE 2026'!D107&lt;&gt;"",'NOVIEMBRE 2026'!Z107="POR RECOGER"),'NOVIEMBRE 2026'!N107,"")</f>
        <v/>
      </c>
      <c r="I1153" s="192" t="str">
        <f aca="false">IF(AND('NOVIEMBRE 2026'!D107&lt;&gt;"",'NOVIEMBRE 2026'!Z107="POR RECOGER"),'NOVIEMBRE 2026'!P107,"")</f>
        <v/>
      </c>
      <c r="J1153" s="192" t="str">
        <f aca="false">IF(AND('NOVIEMBRE 2026'!D107&lt;&gt;"",'NOVIEMBRE 2026'!Z107="POR RECOGER"),'NOVIEMBRE 2026'!Q107,"")</f>
        <v/>
      </c>
      <c r="K1153" s="192" t="str">
        <f aca="false">IF(AND('NOVIEMBRE 2026'!D107&lt;&gt;"",'NOVIEMBRE 2026'!Z107="POR RECOGER"),'NOVIEMBRE 2026'!Y107,"")</f>
        <v/>
      </c>
      <c r="L1153" s="192" t="str">
        <f aca="false">IF(AND('NOVIEMBRE 2026'!D107&lt;&gt;"",'NOVIEMBRE 2026'!Z107="POR RECOGER"),'NOVIEMBRE 2026'!I107,"")</f>
        <v/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customFormat="false" ht="15" hidden="false" customHeight="true" outlineLevel="0" collapsed="false">
      <c r="A1154" s="192" t="str">
        <f aca="false">IF(AND('NOVIEMBRE 2026'!D108&lt;&gt;"",'NOVIEMBRE 2026'!Z108="POR RECOGER"),"NOV","")</f>
        <v/>
      </c>
      <c r="B1154" s="192" t="str">
        <f aca="false">IF(AND('NOVIEMBRE 2026'!D108&lt;&gt;"",'NOVIEMBRE 2026'!Z108="POR RECOGER"),IF('NOVIEMBRE 2026'!Y108&lt;&gt;"",'NOVIEMBRE 2026'!Y108,'NOVIEMBRE 2026'!I108),"")</f>
        <v/>
      </c>
      <c r="C1154" s="192" t="str">
        <f aca="false">IF(AND('NOVIEMBRE 2026'!D108&lt;&gt;"",'NOVIEMBRE 2026'!Z108="POR RECOGER"),'NOVIEMBRE 2026'!D108,"")</f>
        <v/>
      </c>
      <c r="D1154" s="192" t="str">
        <f aca="false">IF(AND('NOVIEMBRE 2026'!D108&lt;&gt;"",'NOVIEMBRE 2026'!Z108="POR RECOGER"),'NOVIEMBRE 2026'!F108,"")</f>
        <v/>
      </c>
      <c r="E1154" s="192" t="str">
        <f aca="false">IF(AND('NOVIEMBRE 2026'!D108&lt;&gt;"",'NOVIEMBRE 2026'!Z108="POR RECOGER"),TEXT('NOVIEMBRE 2026'!G108,"DD/MM/YYYY"),"")</f>
        <v/>
      </c>
      <c r="F1154" s="192" t="str">
        <f aca="false">IF(AND('NOVIEMBRE 2026'!D108&lt;&gt;"",'NOVIEMBRE 2026'!Z108="POR RECOGER"),'NOVIEMBRE 2026'!K108,"")</f>
        <v/>
      </c>
      <c r="G1154" s="193" t="str">
        <f aca="false">IF(AND('NOVIEMBRE 2026'!D108&lt;&gt;"",'NOVIEMBRE 2026'!Z108="POR RECOGER"),'NOVIEMBRE 2026'!M108,"")</f>
        <v/>
      </c>
      <c r="H1154" s="193" t="str">
        <f aca="false">IF(AND('NOVIEMBRE 2026'!D108&lt;&gt;"",'NOVIEMBRE 2026'!Z108="POR RECOGER"),'NOVIEMBRE 2026'!N108,"")</f>
        <v/>
      </c>
      <c r="I1154" s="192" t="str">
        <f aca="false">IF(AND('NOVIEMBRE 2026'!D108&lt;&gt;"",'NOVIEMBRE 2026'!Z108="POR RECOGER"),'NOVIEMBRE 2026'!P108,"")</f>
        <v/>
      </c>
      <c r="J1154" s="192" t="str">
        <f aca="false">IF(AND('NOVIEMBRE 2026'!D108&lt;&gt;"",'NOVIEMBRE 2026'!Z108="POR RECOGER"),'NOVIEMBRE 2026'!Q108,"")</f>
        <v/>
      </c>
      <c r="K1154" s="192" t="str">
        <f aca="false">IF(AND('NOVIEMBRE 2026'!D108&lt;&gt;"",'NOVIEMBRE 2026'!Z108="POR RECOGER"),'NOVIEMBRE 2026'!Y108,"")</f>
        <v/>
      </c>
      <c r="L1154" s="192" t="str">
        <f aca="false">IF(AND('NOVIEMBRE 2026'!D108&lt;&gt;"",'NOVIEMBRE 2026'!Z108="POR RECOGER"),'NOVIEMBRE 2026'!I108,"")</f>
        <v/>
      </c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customFormat="false" ht="15" hidden="false" customHeight="true" outlineLevel="0" collapsed="false">
      <c r="A1155" s="192" t="str">
        <f aca="false">IF(AND('NOVIEMBRE 2026'!D109&lt;&gt;"",'NOVIEMBRE 2026'!Z109="POR RECOGER"),"NOV","")</f>
        <v/>
      </c>
      <c r="B1155" s="192" t="str">
        <f aca="false">IF(AND('NOVIEMBRE 2026'!D109&lt;&gt;"",'NOVIEMBRE 2026'!Z109="POR RECOGER"),IF('NOVIEMBRE 2026'!Y109&lt;&gt;"",'NOVIEMBRE 2026'!Y109,'NOVIEMBRE 2026'!I109),"")</f>
        <v/>
      </c>
      <c r="C1155" s="192" t="str">
        <f aca="false">IF(AND('NOVIEMBRE 2026'!D109&lt;&gt;"",'NOVIEMBRE 2026'!Z109="POR RECOGER"),'NOVIEMBRE 2026'!D109,"")</f>
        <v/>
      </c>
      <c r="D1155" s="192" t="str">
        <f aca="false">IF(AND('NOVIEMBRE 2026'!D109&lt;&gt;"",'NOVIEMBRE 2026'!Z109="POR RECOGER"),'NOVIEMBRE 2026'!F109,"")</f>
        <v/>
      </c>
      <c r="E1155" s="192" t="str">
        <f aca="false">IF(AND('NOVIEMBRE 2026'!D109&lt;&gt;"",'NOVIEMBRE 2026'!Z109="POR RECOGER"),TEXT('NOVIEMBRE 2026'!G109,"DD/MM/YYYY"),"")</f>
        <v/>
      </c>
      <c r="F1155" s="192" t="str">
        <f aca="false">IF(AND('NOVIEMBRE 2026'!D109&lt;&gt;"",'NOVIEMBRE 2026'!Z109="POR RECOGER"),'NOVIEMBRE 2026'!K109,"")</f>
        <v/>
      </c>
      <c r="G1155" s="193" t="str">
        <f aca="false">IF(AND('NOVIEMBRE 2026'!D109&lt;&gt;"",'NOVIEMBRE 2026'!Z109="POR RECOGER"),'NOVIEMBRE 2026'!M109,"")</f>
        <v/>
      </c>
      <c r="H1155" s="193" t="str">
        <f aca="false">IF(AND('NOVIEMBRE 2026'!D109&lt;&gt;"",'NOVIEMBRE 2026'!Z109="POR RECOGER"),'NOVIEMBRE 2026'!N109,"")</f>
        <v/>
      </c>
      <c r="I1155" s="192" t="str">
        <f aca="false">IF(AND('NOVIEMBRE 2026'!D109&lt;&gt;"",'NOVIEMBRE 2026'!Z109="POR RECOGER"),'NOVIEMBRE 2026'!P109,"")</f>
        <v/>
      </c>
      <c r="J1155" s="192" t="str">
        <f aca="false">IF(AND('NOVIEMBRE 2026'!D109&lt;&gt;"",'NOVIEMBRE 2026'!Z109="POR RECOGER"),'NOVIEMBRE 2026'!Q109,"")</f>
        <v/>
      </c>
      <c r="K1155" s="192" t="str">
        <f aca="false">IF(AND('NOVIEMBRE 2026'!D109&lt;&gt;"",'NOVIEMBRE 2026'!Z109="POR RECOGER"),'NOVIEMBRE 2026'!Y109,"")</f>
        <v/>
      </c>
      <c r="L1155" s="192" t="str">
        <f aca="false">IF(AND('NOVIEMBRE 2026'!D109&lt;&gt;"",'NOVIEMBRE 2026'!Z109="POR RECOGER"),'NOVIEMBRE 2026'!I109,"")</f>
        <v/>
      </c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customFormat="false" ht="15" hidden="false" customHeight="true" outlineLevel="0" collapsed="false">
      <c r="A1156" s="192" t="str">
        <f aca="false">IF(AND('NOVIEMBRE 2026'!D110&lt;&gt;"",'NOVIEMBRE 2026'!Z110="POR RECOGER"),"NOV","")</f>
        <v/>
      </c>
      <c r="B1156" s="192" t="str">
        <f aca="false">IF(AND('NOVIEMBRE 2026'!D110&lt;&gt;"",'NOVIEMBRE 2026'!Z110="POR RECOGER"),IF('NOVIEMBRE 2026'!Y110&lt;&gt;"",'NOVIEMBRE 2026'!Y110,'NOVIEMBRE 2026'!I110),"")</f>
        <v/>
      </c>
      <c r="C1156" s="192" t="str">
        <f aca="false">IF(AND('NOVIEMBRE 2026'!D110&lt;&gt;"",'NOVIEMBRE 2026'!Z110="POR RECOGER"),'NOVIEMBRE 2026'!D110,"")</f>
        <v/>
      </c>
      <c r="D1156" s="192" t="str">
        <f aca="false">IF(AND('NOVIEMBRE 2026'!D110&lt;&gt;"",'NOVIEMBRE 2026'!Z110="POR RECOGER"),'NOVIEMBRE 2026'!F110,"")</f>
        <v/>
      </c>
      <c r="E1156" s="192" t="str">
        <f aca="false">IF(AND('NOVIEMBRE 2026'!D110&lt;&gt;"",'NOVIEMBRE 2026'!Z110="POR RECOGER"),TEXT('NOVIEMBRE 2026'!G110,"DD/MM/YYYY"),"")</f>
        <v/>
      </c>
      <c r="F1156" s="192" t="str">
        <f aca="false">IF(AND('NOVIEMBRE 2026'!D110&lt;&gt;"",'NOVIEMBRE 2026'!Z110="POR RECOGER"),'NOVIEMBRE 2026'!K110,"")</f>
        <v/>
      </c>
      <c r="G1156" s="193" t="str">
        <f aca="false">IF(AND('NOVIEMBRE 2026'!D110&lt;&gt;"",'NOVIEMBRE 2026'!Z110="POR RECOGER"),'NOVIEMBRE 2026'!M110,"")</f>
        <v/>
      </c>
      <c r="H1156" s="193" t="str">
        <f aca="false">IF(AND('NOVIEMBRE 2026'!D110&lt;&gt;"",'NOVIEMBRE 2026'!Z110="POR RECOGER"),'NOVIEMBRE 2026'!N110,"")</f>
        <v/>
      </c>
      <c r="I1156" s="192" t="str">
        <f aca="false">IF(AND('NOVIEMBRE 2026'!D110&lt;&gt;"",'NOVIEMBRE 2026'!Z110="POR RECOGER"),'NOVIEMBRE 2026'!P110,"")</f>
        <v/>
      </c>
      <c r="J1156" s="192" t="str">
        <f aca="false">IF(AND('NOVIEMBRE 2026'!D110&lt;&gt;"",'NOVIEMBRE 2026'!Z110="POR RECOGER"),'NOVIEMBRE 2026'!Q110,"")</f>
        <v/>
      </c>
      <c r="K1156" s="192" t="str">
        <f aca="false">IF(AND('NOVIEMBRE 2026'!D110&lt;&gt;"",'NOVIEMBRE 2026'!Z110="POR RECOGER"),'NOVIEMBRE 2026'!Y110,"")</f>
        <v/>
      </c>
      <c r="L1156" s="192" t="str">
        <f aca="false">IF(AND('NOVIEMBRE 2026'!D110&lt;&gt;"",'NOVIEMBRE 2026'!Z110="POR RECOGER"),'NOVIEMBRE 2026'!I110,"")</f>
        <v/>
      </c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customFormat="false" ht="15" hidden="false" customHeight="true" outlineLevel="0" collapsed="false">
      <c r="A1157" s="192" t="str">
        <f aca="false">IF(AND('DICIEMBRE 2026'!D6&lt;&gt;"",'DICIEMBRE 2026'!Z6="POR RECOGER"),"DIC","")</f>
        <v/>
      </c>
      <c r="B1157" s="192" t="str">
        <f aca="false">IF(AND('DICIEMBRE 2026'!D6&lt;&gt;"",'DICIEMBRE 2026'!Z6="POR RECOGER"),IF('DICIEMBRE 2026'!Y6&lt;&gt;"",'DICIEMBRE 2026'!Y6,'DICIEMBRE 2026'!I6),"")</f>
        <v/>
      </c>
      <c r="C1157" s="192" t="str">
        <f aca="false">IF(AND('DICIEMBRE 2026'!D6&lt;&gt;"",'DICIEMBRE 2026'!Z6="POR RECOGER"),'DICIEMBRE 2026'!D6,"")</f>
        <v/>
      </c>
      <c r="D1157" s="192" t="str">
        <f aca="false">IF(AND('DICIEMBRE 2026'!D6&lt;&gt;"",'DICIEMBRE 2026'!Z6="POR RECOGER"),'DICIEMBRE 2026'!F6,"")</f>
        <v/>
      </c>
      <c r="E1157" s="192" t="str">
        <f aca="false">IF(AND('DICIEMBRE 2026'!D6&lt;&gt;"",'DICIEMBRE 2026'!Z6="POR RECOGER"),TEXT('DICIEMBRE 2026'!G6,"DD/MM/YYYY"),"")</f>
        <v/>
      </c>
      <c r="F1157" s="192" t="str">
        <f aca="false">IF(AND('DICIEMBRE 2026'!D6&lt;&gt;"",'DICIEMBRE 2026'!Z6="POR RECOGER"),'DICIEMBRE 2026'!K6,"")</f>
        <v/>
      </c>
      <c r="G1157" s="193" t="str">
        <f aca="false">IF(AND('DICIEMBRE 2026'!D6&lt;&gt;"",'DICIEMBRE 2026'!Z6="POR RECOGER"),'DICIEMBRE 2026'!M6,"")</f>
        <v/>
      </c>
      <c r="H1157" s="193" t="str">
        <f aca="false">IF(AND('DICIEMBRE 2026'!D6&lt;&gt;"",'DICIEMBRE 2026'!Z6="POR RECOGER"),'DICIEMBRE 2026'!N6,"")</f>
        <v/>
      </c>
      <c r="I1157" s="192" t="str">
        <f aca="false">IF(AND('DICIEMBRE 2026'!D6&lt;&gt;"",'DICIEMBRE 2026'!Z6="POR RECOGER"),'DICIEMBRE 2026'!P6,"")</f>
        <v/>
      </c>
      <c r="J1157" s="192" t="str">
        <f aca="false">IF(AND('DICIEMBRE 2026'!D6&lt;&gt;"",'DICIEMBRE 2026'!Z6="POR RECOGER"),'DICIEMBRE 2026'!Q6,"")</f>
        <v/>
      </c>
      <c r="K1157" s="192" t="str">
        <f aca="false">IF(AND('DICIEMBRE 2026'!D6&lt;&gt;"",'DICIEMBRE 2026'!Z6="POR RECOGER"),'DICIEMBRE 2026'!Y6,"")</f>
        <v/>
      </c>
      <c r="L1157" s="192" t="str">
        <f aca="false">IF(AND('DICIEMBRE 2026'!D6&lt;&gt;"",'DICIEMBRE 2026'!Z6="POR RECOGER"),'DICIEMBRE 2026'!I6,"")</f>
        <v/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customFormat="false" ht="15" hidden="false" customHeight="true" outlineLevel="0" collapsed="false">
      <c r="A1158" s="192" t="str">
        <f aca="false">IF(AND('DICIEMBRE 2026'!D7&lt;&gt;"",'DICIEMBRE 2026'!Z7="POR RECOGER"),"DIC","")</f>
        <v/>
      </c>
      <c r="B1158" s="192" t="str">
        <f aca="false">IF(AND('DICIEMBRE 2026'!D7&lt;&gt;"",'DICIEMBRE 2026'!Z7="POR RECOGER"),IF('DICIEMBRE 2026'!Y7&lt;&gt;"",'DICIEMBRE 2026'!Y7,'DICIEMBRE 2026'!I7),"")</f>
        <v/>
      </c>
      <c r="C1158" s="192" t="str">
        <f aca="false">IF(AND('DICIEMBRE 2026'!D7&lt;&gt;"",'DICIEMBRE 2026'!Z7="POR RECOGER"),'DICIEMBRE 2026'!D7,"")</f>
        <v/>
      </c>
      <c r="D1158" s="192" t="str">
        <f aca="false">IF(AND('DICIEMBRE 2026'!D7&lt;&gt;"",'DICIEMBRE 2026'!Z7="POR RECOGER"),'DICIEMBRE 2026'!F7,"")</f>
        <v/>
      </c>
      <c r="E1158" s="192" t="str">
        <f aca="false">IF(AND('DICIEMBRE 2026'!D7&lt;&gt;"",'DICIEMBRE 2026'!Z7="POR RECOGER"),TEXT('DICIEMBRE 2026'!G7,"DD/MM/YYYY"),"")</f>
        <v/>
      </c>
      <c r="F1158" s="192" t="str">
        <f aca="false">IF(AND('DICIEMBRE 2026'!D7&lt;&gt;"",'DICIEMBRE 2026'!Z7="POR RECOGER"),'DICIEMBRE 2026'!K7,"")</f>
        <v/>
      </c>
      <c r="G1158" s="193" t="str">
        <f aca="false">IF(AND('DICIEMBRE 2026'!D7&lt;&gt;"",'DICIEMBRE 2026'!Z7="POR RECOGER"),'DICIEMBRE 2026'!M7,"")</f>
        <v/>
      </c>
      <c r="H1158" s="193" t="str">
        <f aca="false">IF(AND('DICIEMBRE 2026'!D7&lt;&gt;"",'DICIEMBRE 2026'!Z7="POR RECOGER"),'DICIEMBRE 2026'!N7,"")</f>
        <v/>
      </c>
      <c r="I1158" s="192" t="str">
        <f aca="false">IF(AND('DICIEMBRE 2026'!D7&lt;&gt;"",'DICIEMBRE 2026'!Z7="POR RECOGER"),'DICIEMBRE 2026'!P7,"")</f>
        <v/>
      </c>
      <c r="J1158" s="192" t="str">
        <f aca="false">IF(AND('DICIEMBRE 2026'!D7&lt;&gt;"",'DICIEMBRE 2026'!Z7="POR RECOGER"),'DICIEMBRE 2026'!Q7,"")</f>
        <v/>
      </c>
      <c r="K1158" s="192" t="str">
        <f aca="false">IF(AND('DICIEMBRE 2026'!D7&lt;&gt;"",'DICIEMBRE 2026'!Z7="POR RECOGER"),'DICIEMBRE 2026'!Y7,"")</f>
        <v/>
      </c>
      <c r="L1158" s="192" t="str">
        <f aca="false">IF(AND('DICIEMBRE 2026'!D7&lt;&gt;"",'DICIEMBRE 2026'!Z7="POR RECOGER"),'DICIEMBRE 2026'!I7,"")</f>
        <v/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customFormat="false" ht="15" hidden="false" customHeight="true" outlineLevel="0" collapsed="false">
      <c r="A1159" s="192" t="str">
        <f aca="false">IF(AND('DICIEMBRE 2026'!D8&lt;&gt;"",'DICIEMBRE 2026'!Z8="POR RECOGER"),"DIC","")</f>
        <v/>
      </c>
      <c r="B1159" s="192" t="str">
        <f aca="false">IF(AND('DICIEMBRE 2026'!D8&lt;&gt;"",'DICIEMBRE 2026'!Z8="POR RECOGER"),IF('DICIEMBRE 2026'!Y8&lt;&gt;"",'DICIEMBRE 2026'!Y8,'DICIEMBRE 2026'!I8),"")</f>
        <v/>
      </c>
      <c r="C1159" s="192" t="str">
        <f aca="false">IF(AND('DICIEMBRE 2026'!D8&lt;&gt;"",'DICIEMBRE 2026'!Z8="POR RECOGER"),'DICIEMBRE 2026'!D8,"")</f>
        <v/>
      </c>
      <c r="D1159" s="192" t="str">
        <f aca="false">IF(AND('DICIEMBRE 2026'!D8&lt;&gt;"",'DICIEMBRE 2026'!Z8="POR RECOGER"),'DICIEMBRE 2026'!F8,"")</f>
        <v/>
      </c>
      <c r="E1159" s="192" t="str">
        <f aca="false">IF(AND('DICIEMBRE 2026'!D8&lt;&gt;"",'DICIEMBRE 2026'!Z8="POR RECOGER"),TEXT('DICIEMBRE 2026'!G8,"DD/MM/YYYY"),"")</f>
        <v/>
      </c>
      <c r="F1159" s="192" t="str">
        <f aca="false">IF(AND('DICIEMBRE 2026'!D8&lt;&gt;"",'DICIEMBRE 2026'!Z8="POR RECOGER"),'DICIEMBRE 2026'!K8,"")</f>
        <v/>
      </c>
      <c r="G1159" s="193" t="str">
        <f aca="false">IF(AND('DICIEMBRE 2026'!D8&lt;&gt;"",'DICIEMBRE 2026'!Z8="POR RECOGER"),'DICIEMBRE 2026'!M8,"")</f>
        <v/>
      </c>
      <c r="H1159" s="193" t="str">
        <f aca="false">IF(AND('DICIEMBRE 2026'!D8&lt;&gt;"",'DICIEMBRE 2026'!Z8="POR RECOGER"),'DICIEMBRE 2026'!N8,"")</f>
        <v/>
      </c>
      <c r="I1159" s="192" t="str">
        <f aca="false">IF(AND('DICIEMBRE 2026'!D8&lt;&gt;"",'DICIEMBRE 2026'!Z8="POR RECOGER"),'DICIEMBRE 2026'!P8,"")</f>
        <v/>
      </c>
      <c r="J1159" s="192" t="str">
        <f aca="false">IF(AND('DICIEMBRE 2026'!D8&lt;&gt;"",'DICIEMBRE 2026'!Z8="POR RECOGER"),'DICIEMBRE 2026'!Q8,"")</f>
        <v/>
      </c>
      <c r="K1159" s="192" t="str">
        <f aca="false">IF(AND('DICIEMBRE 2026'!D8&lt;&gt;"",'DICIEMBRE 2026'!Z8="POR RECOGER"),'DICIEMBRE 2026'!Y8,"")</f>
        <v/>
      </c>
      <c r="L1159" s="192" t="str">
        <f aca="false">IF(AND('DICIEMBRE 2026'!D8&lt;&gt;"",'DICIEMBRE 2026'!Z8="POR RECOGER"),'DICIEMBRE 2026'!I8,"")</f>
        <v/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customFormat="false" ht="15" hidden="false" customHeight="true" outlineLevel="0" collapsed="false">
      <c r="A1160" s="192" t="str">
        <f aca="false">IF(AND('DICIEMBRE 2026'!D9&lt;&gt;"",'DICIEMBRE 2026'!Z9="POR RECOGER"),"DIC","")</f>
        <v/>
      </c>
      <c r="B1160" s="192" t="str">
        <f aca="false">IF(AND('DICIEMBRE 2026'!D9&lt;&gt;"",'DICIEMBRE 2026'!Z9="POR RECOGER"),IF('DICIEMBRE 2026'!Y9&lt;&gt;"",'DICIEMBRE 2026'!Y9,'DICIEMBRE 2026'!I9),"")</f>
        <v/>
      </c>
      <c r="C1160" s="192" t="str">
        <f aca="false">IF(AND('DICIEMBRE 2026'!D9&lt;&gt;"",'DICIEMBRE 2026'!Z9="POR RECOGER"),'DICIEMBRE 2026'!D9,"")</f>
        <v/>
      </c>
      <c r="D1160" s="192" t="str">
        <f aca="false">IF(AND('DICIEMBRE 2026'!D9&lt;&gt;"",'DICIEMBRE 2026'!Z9="POR RECOGER"),'DICIEMBRE 2026'!F9,"")</f>
        <v/>
      </c>
      <c r="E1160" s="192" t="str">
        <f aca="false">IF(AND('DICIEMBRE 2026'!D9&lt;&gt;"",'DICIEMBRE 2026'!Z9="POR RECOGER"),TEXT('DICIEMBRE 2026'!G9,"DD/MM/YYYY"),"")</f>
        <v/>
      </c>
      <c r="F1160" s="192" t="str">
        <f aca="false">IF(AND('DICIEMBRE 2026'!D9&lt;&gt;"",'DICIEMBRE 2026'!Z9="POR RECOGER"),'DICIEMBRE 2026'!K9,"")</f>
        <v/>
      </c>
      <c r="G1160" s="193" t="str">
        <f aca="false">IF(AND('DICIEMBRE 2026'!D9&lt;&gt;"",'DICIEMBRE 2026'!Z9="POR RECOGER"),'DICIEMBRE 2026'!M9,"")</f>
        <v/>
      </c>
      <c r="H1160" s="193" t="str">
        <f aca="false">IF(AND('DICIEMBRE 2026'!D9&lt;&gt;"",'DICIEMBRE 2026'!Z9="POR RECOGER"),'DICIEMBRE 2026'!N9,"")</f>
        <v/>
      </c>
      <c r="I1160" s="192" t="str">
        <f aca="false">IF(AND('DICIEMBRE 2026'!D9&lt;&gt;"",'DICIEMBRE 2026'!Z9="POR RECOGER"),'DICIEMBRE 2026'!P9,"")</f>
        <v/>
      </c>
      <c r="J1160" s="192" t="str">
        <f aca="false">IF(AND('DICIEMBRE 2026'!D9&lt;&gt;"",'DICIEMBRE 2026'!Z9="POR RECOGER"),'DICIEMBRE 2026'!Q9,"")</f>
        <v/>
      </c>
      <c r="K1160" s="192" t="str">
        <f aca="false">IF(AND('DICIEMBRE 2026'!D9&lt;&gt;"",'DICIEMBRE 2026'!Z9="POR RECOGER"),'DICIEMBRE 2026'!Y9,"")</f>
        <v/>
      </c>
      <c r="L1160" s="192" t="str">
        <f aca="false">IF(AND('DICIEMBRE 2026'!D9&lt;&gt;"",'DICIEMBRE 2026'!Z9="POR RECOGER"),'DICIEMBRE 2026'!I9,"")</f>
        <v/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customFormat="false" ht="15" hidden="false" customHeight="true" outlineLevel="0" collapsed="false">
      <c r="A1161" s="192" t="str">
        <f aca="false">IF(AND('DICIEMBRE 2026'!D10&lt;&gt;"",'DICIEMBRE 2026'!Z10="POR RECOGER"),"DIC","")</f>
        <v/>
      </c>
      <c r="B1161" s="192" t="str">
        <f aca="false">IF(AND('DICIEMBRE 2026'!D10&lt;&gt;"",'DICIEMBRE 2026'!Z10="POR RECOGER"),IF('DICIEMBRE 2026'!Y10&lt;&gt;"",'DICIEMBRE 2026'!Y10,'DICIEMBRE 2026'!I10),"")</f>
        <v/>
      </c>
      <c r="C1161" s="192" t="str">
        <f aca="false">IF(AND('DICIEMBRE 2026'!D10&lt;&gt;"",'DICIEMBRE 2026'!Z10="POR RECOGER"),'DICIEMBRE 2026'!D10,"")</f>
        <v/>
      </c>
      <c r="D1161" s="192" t="str">
        <f aca="false">IF(AND('DICIEMBRE 2026'!D10&lt;&gt;"",'DICIEMBRE 2026'!Z10="POR RECOGER"),'DICIEMBRE 2026'!F10,"")</f>
        <v/>
      </c>
      <c r="E1161" s="192" t="str">
        <f aca="false">IF(AND('DICIEMBRE 2026'!D10&lt;&gt;"",'DICIEMBRE 2026'!Z10="POR RECOGER"),TEXT('DICIEMBRE 2026'!G10,"DD/MM/YYYY"),"")</f>
        <v/>
      </c>
      <c r="F1161" s="192" t="str">
        <f aca="false">IF(AND('DICIEMBRE 2026'!D10&lt;&gt;"",'DICIEMBRE 2026'!Z10="POR RECOGER"),'DICIEMBRE 2026'!K10,"")</f>
        <v/>
      </c>
      <c r="G1161" s="193" t="str">
        <f aca="false">IF(AND('DICIEMBRE 2026'!D10&lt;&gt;"",'DICIEMBRE 2026'!Z10="POR RECOGER"),'DICIEMBRE 2026'!M10,"")</f>
        <v/>
      </c>
      <c r="H1161" s="193" t="str">
        <f aca="false">IF(AND('DICIEMBRE 2026'!D10&lt;&gt;"",'DICIEMBRE 2026'!Z10="POR RECOGER"),'DICIEMBRE 2026'!N10,"")</f>
        <v/>
      </c>
      <c r="I1161" s="192" t="str">
        <f aca="false">IF(AND('DICIEMBRE 2026'!D10&lt;&gt;"",'DICIEMBRE 2026'!Z10="POR RECOGER"),'DICIEMBRE 2026'!P10,"")</f>
        <v/>
      </c>
      <c r="J1161" s="192" t="str">
        <f aca="false">IF(AND('DICIEMBRE 2026'!D10&lt;&gt;"",'DICIEMBRE 2026'!Z10="POR RECOGER"),'DICIEMBRE 2026'!Q10,"")</f>
        <v/>
      </c>
      <c r="K1161" s="192" t="str">
        <f aca="false">IF(AND('DICIEMBRE 2026'!D10&lt;&gt;"",'DICIEMBRE 2026'!Z10="POR RECOGER"),'DICIEMBRE 2026'!Y10,"")</f>
        <v/>
      </c>
      <c r="L1161" s="192" t="str">
        <f aca="false">IF(AND('DICIEMBRE 2026'!D10&lt;&gt;"",'DICIEMBRE 2026'!Z10="POR RECOGER"),'DICIEMBRE 2026'!I10,"")</f>
        <v/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customFormat="false" ht="15" hidden="false" customHeight="true" outlineLevel="0" collapsed="false">
      <c r="A1162" s="192" t="str">
        <f aca="false">IF(AND('DICIEMBRE 2026'!D11&lt;&gt;"",'DICIEMBRE 2026'!Z11="POR RECOGER"),"DIC","")</f>
        <v/>
      </c>
      <c r="B1162" s="192" t="str">
        <f aca="false">IF(AND('DICIEMBRE 2026'!D11&lt;&gt;"",'DICIEMBRE 2026'!Z11="POR RECOGER"),IF('DICIEMBRE 2026'!Y11&lt;&gt;"",'DICIEMBRE 2026'!Y11,'DICIEMBRE 2026'!I11),"")</f>
        <v/>
      </c>
      <c r="C1162" s="192" t="str">
        <f aca="false">IF(AND('DICIEMBRE 2026'!D11&lt;&gt;"",'DICIEMBRE 2026'!Z11="POR RECOGER"),'DICIEMBRE 2026'!D11,"")</f>
        <v/>
      </c>
      <c r="D1162" s="192" t="str">
        <f aca="false">IF(AND('DICIEMBRE 2026'!D11&lt;&gt;"",'DICIEMBRE 2026'!Z11="POR RECOGER"),'DICIEMBRE 2026'!F11,"")</f>
        <v/>
      </c>
      <c r="E1162" s="192" t="str">
        <f aca="false">IF(AND('DICIEMBRE 2026'!D11&lt;&gt;"",'DICIEMBRE 2026'!Z11="POR RECOGER"),TEXT('DICIEMBRE 2026'!G11,"DD/MM/YYYY"),"")</f>
        <v/>
      </c>
      <c r="F1162" s="192" t="str">
        <f aca="false">IF(AND('DICIEMBRE 2026'!D11&lt;&gt;"",'DICIEMBRE 2026'!Z11="POR RECOGER"),'DICIEMBRE 2026'!K11,"")</f>
        <v/>
      </c>
      <c r="G1162" s="193" t="str">
        <f aca="false">IF(AND('DICIEMBRE 2026'!D11&lt;&gt;"",'DICIEMBRE 2026'!Z11="POR RECOGER"),'DICIEMBRE 2026'!M11,"")</f>
        <v/>
      </c>
      <c r="H1162" s="193" t="str">
        <f aca="false">IF(AND('DICIEMBRE 2026'!D11&lt;&gt;"",'DICIEMBRE 2026'!Z11="POR RECOGER"),'DICIEMBRE 2026'!N11,"")</f>
        <v/>
      </c>
      <c r="I1162" s="192" t="str">
        <f aca="false">IF(AND('DICIEMBRE 2026'!D11&lt;&gt;"",'DICIEMBRE 2026'!Z11="POR RECOGER"),'DICIEMBRE 2026'!P11,"")</f>
        <v/>
      </c>
      <c r="J1162" s="192" t="str">
        <f aca="false">IF(AND('DICIEMBRE 2026'!D11&lt;&gt;"",'DICIEMBRE 2026'!Z11="POR RECOGER"),'DICIEMBRE 2026'!Q11,"")</f>
        <v/>
      </c>
      <c r="K1162" s="192" t="str">
        <f aca="false">IF(AND('DICIEMBRE 2026'!D11&lt;&gt;"",'DICIEMBRE 2026'!Z11="POR RECOGER"),'DICIEMBRE 2026'!Y11,"")</f>
        <v/>
      </c>
      <c r="L1162" s="192" t="str">
        <f aca="false">IF(AND('DICIEMBRE 2026'!D11&lt;&gt;"",'DICIEMBRE 2026'!Z11="POR RECOGER"),'DICIEMBRE 2026'!I11,"")</f>
        <v/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customFormat="false" ht="15" hidden="false" customHeight="true" outlineLevel="0" collapsed="false">
      <c r="A1163" s="192" t="str">
        <f aca="false">IF(AND('DICIEMBRE 2026'!D12&lt;&gt;"",'DICIEMBRE 2026'!Z12="POR RECOGER"),"DIC","")</f>
        <v/>
      </c>
      <c r="B1163" s="192" t="str">
        <f aca="false">IF(AND('DICIEMBRE 2026'!D12&lt;&gt;"",'DICIEMBRE 2026'!Z12="POR RECOGER"),IF('DICIEMBRE 2026'!Y12&lt;&gt;"",'DICIEMBRE 2026'!Y12,'DICIEMBRE 2026'!I12),"")</f>
        <v/>
      </c>
      <c r="C1163" s="192" t="str">
        <f aca="false">IF(AND('DICIEMBRE 2026'!D12&lt;&gt;"",'DICIEMBRE 2026'!Z12="POR RECOGER"),'DICIEMBRE 2026'!D12,"")</f>
        <v/>
      </c>
      <c r="D1163" s="192" t="str">
        <f aca="false">IF(AND('DICIEMBRE 2026'!D12&lt;&gt;"",'DICIEMBRE 2026'!Z12="POR RECOGER"),'DICIEMBRE 2026'!F12,"")</f>
        <v/>
      </c>
      <c r="E1163" s="192" t="str">
        <f aca="false">IF(AND('DICIEMBRE 2026'!D12&lt;&gt;"",'DICIEMBRE 2026'!Z12="POR RECOGER"),TEXT('DICIEMBRE 2026'!G12,"DD/MM/YYYY"),"")</f>
        <v/>
      </c>
      <c r="F1163" s="192" t="str">
        <f aca="false">IF(AND('DICIEMBRE 2026'!D12&lt;&gt;"",'DICIEMBRE 2026'!Z12="POR RECOGER"),'DICIEMBRE 2026'!K12,"")</f>
        <v/>
      </c>
      <c r="G1163" s="193" t="str">
        <f aca="false">IF(AND('DICIEMBRE 2026'!D12&lt;&gt;"",'DICIEMBRE 2026'!Z12="POR RECOGER"),'DICIEMBRE 2026'!M12,"")</f>
        <v/>
      </c>
      <c r="H1163" s="193" t="str">
        <f aca="false">IF(AND('DICIEMBRE 2026'!D12&lt;&gt;"",'DICIEMBRE 2026'!Z12="POR RECOGER"),'DICIEMBRE 2026'!N12,"")</f>
        <v/>
      </c>
      <c r="I1163" s="192" t="str">
        <f aca="false">IF(AND('DICIEMBRE 2026'!D12&lt;&gt;"",'DICIEMBRE 2026'!Z12="POR RECOGER"),'DICIEMBRE 2026'!P12,"")</f>
        <v/>
      </c>
      <c r="J1163" s="192" t="str">
        <f aca="false">IF(AND('DICIEMBRE 2026'!D12&lt;&gt;"",'DICIEMBRE 2026'!Z12="POR RECOGER"),'DICIEMBRE 2026'!Q12,"")</f>
        <v/>
      </c>
      <c r="K1163" s="192" t="str">
        <f aca="false">IF(AND('DICIEMBRE 2026'!D12&lt;&gt;"",'DICIEMBRE 2026'!Z12="POR RECOGER"),'DICIEMBRE 2026'!Y12,"")</f>
        <v/>
      </c>
      <c r="L1163" s="192" t="str">
        <f aca="false">IF(AND('DICIEMBRE 2026'!D12&lt;&gt;"",'DICIEMBRE 2026'!Z12="POR RECOGER"),'DICIEMBRE 2026'!I12,"")</f>
        <v/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customFormat="false" ht="15" hidden="false" customHeight="true" outlineLevel="0" collapsed="false">
      <c r="A1164" s="192" t="str">
        <f aca="false">IF(AND('DICIEMBRE 2026'!D13&lt;&gt;"",'DICIEMBRE 2026'!Z13="POR RECOGER"),"DIC","")</f>
        <v/>
      </c>
      <c r="B1164" s="192" t="str">
        <f aca="false">IF(AND('DICIEMBRE 2026'!D13&lt;&gt;"",'DICIEMBRE 2026'!Z13="POR RECOGER"),IF('DICIEMBRE 2026'!Y13&lt;&gt;"",'DICIEMBRE 2026'!Y13,'DICIEMBRE 2026'!I13),"")</f>
        <v/>
      </c>
      <c r="C1164" s="192" t="str">
        <f aca="false">IF(AND('DICIEMBRE 2026'!D13&lt;&gt;"",'DICIEMBRE 2026'!Z13="POR RECOGER"),'DICIEMBRE 2026'!D13,"")</f>
        <v/>
      </c>
      <c r="D1164" s="192" t="str">
        <f aca="false">IF(AND('DICIEMBRE 2026'!D13&lt;&gt;"",'DICIEMBRE 2026'!Z13="POR RECOGER"),'DICIEMBRE 2026'!F13,"")</f>
        <v/>
      </c>
      <c r="E1164" s="192" t="str">
        <f aca="false">IF(AND('DICIEMBRE 2026'!D13&lt;&gt;"",'DICIEMBRE 2026'!Z13="POR RECOGER"),TEXT('DICIEMBRE 2026'!G13,"DD/MM/YYYY"),"")</f>
        <v/>
      </c>
      <c r="F1164" s="192" t="str">
        <f aca="false">IF(AND('DICIEMBRE 2026'!D13&lt;&gt;"",'DICIEMBRE 2026'!Z13="POR RECOGER"),'DICIEMBRE 2026'!K13,"")</f>
        <v/>
      </c>
      <c r="G1164" s="193" t="str">
        <f aca="false">IF(AND('DICIEMBRE 2026'!D13&lt;&gt;"",'DICIEMBRE 2026'!Z13="POR RECOGER"),'DICIEMBRE 2026'!M13,"")</f>
        <v/>
      </c>
      <c r="H1164" s="193" t="str">
        <f aca="false">IF(AND('DICIEMBRE 2026'!D13&lt;&gt;"",'DICIEMBRE 2026'!Z13="POR RECOGER"),'DICIEMBRE 2026'!N13,"")</f>
        <v/>
      </c>
      <c r="I1164" s="192" t="str">
        <f aca="false">IF(AND('DICIEMBRE 2026'!D13&lt;&gt;"",'DICIEMBRE 2026'!Z13="POR RECOGER"),'DICIEMBRE 2026'!P13,"")</f>
        <v/>
      </c>
      <c r="J1164" s="192" t="str">
        <f aca="false">IF(AND('DICIEMBRE 2026'!D13&lt;&gt;"",'DICIEMBRE 2026'!Z13="POR RECOGER"),'DICIEMBRE 2026'!Q13,"")</f>
        <v/>
      </c>
      <c r="K1164" s="192" t="str">
        <f aca="false">IF(AND('DICIEMBRE 2026'!D13&lt;&gt;"",'DICIEMBRE 2026'!Z13="POR RECOGER"),'DICIEMBRE 2026'!Y13,"")</f>
        <v/>
      </c>
      <c r="L1164" s="192" t="str">
        <f aca="false">IF(AND('DICIEMBRE 2026'!D13&lt;&gt;"",'DICIEMBRE 2026'!Z13="POR RECOGER"),'DICIEMBRE 2026'!I13,"")</f>
        <v/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customFormat="false" ht="15" hidden="false" customHeight="true" outlineLevel="0" collapsed="false">
      <c r="A1165" s="192" t="str">
        <f aca="false">IF(AND('DICIEMBRE 2026'!D14&lt;&gt;"",'DICIEMBRE 2026'!Z14="POR RECOGER"),"DIC","")</f>
        <v/>
      </c>
      <c r="B1165" s="192" t="str">
        <f aca="false">IF(AND('DICIEMBRE 2026'!D14&lt;&gt;"",'DICIEMBRE 2026'!Z14="POR RECOGER"),IF('DICIEMBRE 2026'!Y14&lt;&gt;"",'DICIEMBRE 2026'!Y14,'DICIEMBRE 2026'!I14),"")</f>
        <v/>
      </c>
      <c r="C1165" s="192" t="str">
        <f aca="false">IF(AND('DICIEMBRE 2026'!D14&lt;&gt;"",'DICIEMBRE 2026'!Z14="POR RECOGER"),'DICIEMBRE 2026'!D14,"")</f>
        <v/>
      </c>
      <c r="D1165" s="192" t="str">
        <f aca="false">IF(AND('DICIEMBRE 2026'!D14&lt;&gt;"",'DICIEMBRE 2026'!Z14="POR RECOGER"),'DICIEMBRE 2026'!F14,"")</f>
        <v/>
      </c>
      <c r="E1165" s="192" t="str">
        <f aca="false">IF(AND('DICIEMBRE 2026'!D14&lt;&gt;"",'DICIEMBRE 2026'!Z14="POR RECOGER"),TEXT('DICIEMBRE 2026'!G14,"DD/MM/YYYY"),"")</f>
        <v/>
      </c>
      <c r="F1165" s="192" t="str">
        <f aca="false">IF(AND('DICIEMBRE 2026'!D14&lt;&gt;"",'DICIEMBRE 2026'!Z14="POR RECOGER"),'DICIEMBRE 2026'!K14,"")</f>
        <v/>
      </c>
      <c r="G1165" s="193" t="str">
        <f aca="false">IF(AND('DICIEMBRE 2026'!D14&lt;&gt;"",'DICIEMBRE 2026'!Z14="POR RECOGER"),'DICIEMBRE 2026'!M14,"")</f>
        <v/>
      </c>
      <c r="H1165" s="193" t="str">
        <f aca="false">IF(AND('DICIEMBRE 2026'!D14&lt;&gt;"",'DICIEMBRE 2026'!Z14="POR RECOGER"),'DICIEMBRE 2026'!N14,"")</f>
        <v/>
      </c>
      <c r="I1165" s="192" t="str">
        <f aca="false">IF(AND('DICIEMBRE 2026'!D14&lt;&gt;"",'DICIEMBRE 2026'!Z14="POR RECOGER"),'DICIEMBRE 2026'!P14,"")</f>
        <v/>
      </c>
      <c r="J1165" s="192" t="str">
        <f aca="false">IF(AND('DICIEMBRE 2026'!D14&lt;&gt;"",'DICIEMBRE 2026'!Z14="POR RECOGER"),'DICIEMBRE 2026'!Q14,"")</f>
        <v/>
      </c>
      <c r="K1165" s="192" t="str">
        <f aca="false">IF(AND('DICIEMBRE 2026'!D14&lt;&gt;"",'DICIEMBRE 2026'!Z14="POR RECOGER"),'DICIEMBRE 2026'!Y14,"")</f>
        <v/>
      </c>
      <c r="L1165" s="192" t="str">
        <f aca="false">IF(AND('DICIEMBRE 2026'!D14&lt;&gt;"",'DICIEMBRE 2026'!Z14="POR RECOGER"),'DICIEMBRE 2026'!I14,"")</f>
        <v/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customFormat="false" ht="15" hidden="false" customHeight="true" outlineLevel="0" collapsed="false">
      <c r="A1166" s="192" t="str">
        <f aca="false">IF(AND('DICIEMBRE 2026'!D15&lt;&gt;"",'DICIEMBRE 2026'!Z15="POR RECOGER"),"DIC","")</f>
        <v/>
      </c>
      <c r="B1166" s="192" t="str">
        <f aca="false">IF(AND('DICIEMBRE 2026'!D15&lt;&gt;"",'DICIEMBRE 2026'!Z15="POR RECOGER"),IF('DICIEMBRE 2026'!Y15&lt;&gt;"",'DICIEMBRE 2026'!Y15,'DICIEMBRE 2026'!I15),"")</f>
        <v/>
      </c>
      <c r="C1166" s="192" t="str">
        <f aca="false">IF(AND('DICIEMBRE 2026'!D15&lt;&gt;"",'DICIEMBRE 2026'!Z15="POR RECOGER"),'DICIEMBRE 2026'!D15,"")</f>
        <v/>
      </c>
      <c r="D1166" s="192" t="str">
        <f aca="false">IF(AND('DICIEMBRE 2026'!D15&lt;&gt;"",'DICIEMBRE 2026'!Z15="POR RECOGER"),'DICIEMBRE 2026'!F15,"")</f>
        <v/>
      </c>
      <c r="E1166" s="192" t="str">
        <f aca="false">IF(AND('DICIEMBRE 2026'!D15&lt;&gt;"",'DICIEMBRE 2026'!Z15="POR RECOGER"),TEXT('DICIEMBRE 2026'!G15,"DD/MM/YYYY"),"")</f>
        <v/>
      </c>
      <c r="F1166" s="192" t="str">
        <f aca="false">IF(AND('DICIEMBRE 2026'!D15&lt;&gt;"",'DICIEMBRE 2026'!Z15="POR RECOGER"),'DICIEMBRE 2026'!K15,"")</f>
        <v/>
      </c>
      <c r="G1166" s="193" t="str">
        <f aca="false">IF(AND('DICIEMBRE 2026'!D15&lt;&gt;"",'DICIEMBRE 2026'!Z15="POR RECOGER"),'DICIEMBRE 2026'!M15,"")</f>
        <v/>
      </c>
      <c r="H1166" s="193" t="str">
        <f aca="false">IF(AND('DICIEMBRE 2026'!D15&lt;&gt;"",'DICIEMBRE 2026'!Z15="POR RECOGER"),'DICIEMBRE 2026'!N15,"")</f>
        <v/>
      </c>
      <c r="I1166" s="192" t="str">
        <f aca="false">IF(AND('DICIEMBRE 2026'!D15&lt;&gt;"",'DICIEMBRE 2026'!Z15="POR RECOGER"),'DICIEMBRE 2026'!P15,"")</f>
        <v/>
      </c>
      <c r="J1166" s="192" t="str">
        <f aca="false">IF(AND('DICIEMBRE 2026'!D15&lt;&gt;"",'DICIEMBRE 2026'!Z15="POR RECOGER"),'DICIEMBRE 2026'!Q15,"")</f>
        <v/>
      </c>
      <c r="K1166" s="192" t="str">
        <f aca="false">IF(AND('DICIEMBRE 2026'!D15&lt;&gt;"",'DICIEMBRE 2026'!Z15="POR RECOGER"),'DICIEMBRE 2026'!Y15,"")</f>
        <v/>
      </c>
      <c r="L1166" s="192" t="str">
        <f aca="false">IF(AND('DICIEMBRE 2026'!D15&lt;&gt;"",'DICIEMBRE 2026'!Z15="POR RECOGER"),'DICIEMBRE 2026'!I15,"")</f>
        <v/>
      </c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customFormat="false" ht="15" hidden="false" customHeight="true" outlineLevel="0" collapsed="false">
      <c r="A1167" s="192" t="str">
        <f aca="false">IF(AND('DICIEMBRE 2026'!D16&lt;&gt;"",'DICIEMBRE 2026'!Z16="POR RECOGER"),"DIC","")</f>
        <v/>
      </c>
      <c r="B1167" s="192" t="str">
        <f aca="false">IF(AND('DICIEMBRE 2026'!D16&lt;&gt;"",'DICIEMBRE 2026'!Z16="POR RECOGER"),IF('DICIEMBRE 2026'!Y16&lt;&gt;"",'DICIEMBRE 2026'!Y16,'DICIEMBRE 2026'!I16),"")</f>
        <v/>
      </c>
      <c r="C1167" s="192" t="str">
        <f aca="false">IF(AND('DICIEMBRE 2026'!D16&lt;&gt;"",'DICIEMBRE 2026'!Z16="POR RECOGER"),'DICIEMBRE 2026'!D16,"")</f>
        <v/>
      </c>
      <c r="D1167" s="192" t="str">
        <f aca="false">IF(AND('DICIEMBRE 2026'!D16&lt;&gt;"",'DICIEMBRE 2026'!Z16="POR RECOGER"),'DICIEMBRE 2026'!F16,"")</f>
        <v/>
      </c>
      <c r="E1167" s="192" t="str">
        <f aca="false">IF(AND('DICIEMBRE 2026'!D16&lt;&gt;"",'DICIEMBRE 2026'!Z16="POR RECOGER"),TEXT('DICIEMBRE 2026'!G16,"DD/MM/YYYY"),"")</f>
        <v/>
      </c>
      <c r="F1167" s="192" t="str">
        <f aca="false">IF(AND('DICIEMBRE 2026'!D16&lt;&gt;"",'DICIEMBRE 2026'!Z16="POR RECOGER"),'DICIEMBRE 2026'!K16,"")</f>
        <v/>
      </c>
      <c r="G1167" s="193" t="str">
        <f aca="false">IF(AND('DICIEMBRE 2026'!D16&lt;&gt;"",'DICIEMBRE 2026'!Z16="POR RECOGER"),'DICIEMBRE 2026'!M16,"")</f>
        <v/>
      </c>
      <c r="H1167" s="193" t="str">
        <f aca="false">IF(AND('DICIEMBRE 2026'!D16&lt;&gt;"",'DICIEMBRE 2026'!Z16="POR RECOGER"),'DICIEMBRE 2026'!N16,"")</f>
        <v/>
      </c>
      <c r="I1167" s="192" t="str">
        <f aca="false">IF(AND('DICIEMBRE 2026'!D16&lt;&gt;"",'DICIEMBRE 2026'!Z16="POR RECOGER"),'DICIEMBRE 2026'!P16,"")</f>
        <v/>
      </c>
      <c r="J1167" s="192" t="str">
        <f aca="false">IF(AND('DICIEMBRE 2026'!D16&lt;&gt;"",'DICIEMBRE 2026'!Z16="POR RECOGER"),'DICIEMBRE 2026'!Q16,"")</f>
        <v/>
      </c>
      <c r="K1167" s="192" t="str">
        <f aca="false">IF(AND('DICIEMBRE 2026'!D16&lt;&gt;"",'DICIEMBRE 2026'!Z16="POR RECOGER"),'DICIEMBRE 2026'!Y16,"")</f>
        <v/>
      </c>
      <c r="L1167" s="192" t="str">
        <f aca="false">IF(AND('DICIEMBRE 2026'!D16&lt;&gt;"",'DICIEMBRE 2026'!Z16="POR RECOGER"),'DICIEMBRE 2026'!I16,"")</f>
        <v/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customFormat="false" ht="15" hidden="false" customHeight="true" outlineLevel="0" collapsed="false">
      <c r="A1168" s="192" t="str">
        <f aca="false">IF(AND('DICIEMBRE 2026'!D17&lt;&gt;"",'DICIEMBRE 2026'!Z17="POR RECOGER"),"DIC","")</f>
        <v/>
      </c>
      <c r="B1168" s="192" t="str">
        <f aca="false">IF(AND('DICIEMBRE 2026'!D17&lt;&gt;"",'DICIEMBRE 2026'!Z17="POR RECOGER"),IF('DICIEMBRE 2026'!Y17&lt;&gt;"",'DICIEMBRE 2026'!Y17,'DICIEMBRE 2026'!I17),"")</f>
        <v/>
      </c>
      <c r="C1168" s="192" t="str">
        <f aca="false">IF(AND('DICIEMBRE 2026'!D17&lt;&gt;"",'DICIEMBRE 2026'!Z17="POR RECOGER"),'DICIEMBRE 2026'!D17,"")</f>
        <v/>
      </c>
      <c r="D1168" s="192" t="str">
        <f aca="false">IF(AND('DICIEMBRE 2026'!D17&lt;&gt;"",'DICIEMBRE 2026'!Z17="POR RECOGER"),'DICIEMBRE 2026'!F17,"")</f>
        <v/>
      </c>
      <c r="E1168" s="192" t="str">
        <f aca="false">IF(AND('DICIEMBRE 2026'!D17&lt;&gt;"",'DICIEMBRE 2026'!Z17="POR RECOGER"),TEXT('DICIEMBRE 2026'!G17,"DD/MM/YYYY"),"")</f>
        <v/>
      </c>
      <c r="F1168" s="192" t="str">
        <f aca="false">IF(AND('DICIEMBRE 2026'!D17&lt;&gt;"",'DICIEMBRE 2026'!Z17="POR RECOGER"),'DICIEMBRE 2026'!K17,"")</f>
        <v/>
      </c>
      <c r="G1168" s="193" t="str">
        <f aca="false">IF(AND('DICIEMBRE 2026'!D17&lt;&gt;"",'DICIEMBRE 2026'!Z17="POR RECOGER"),'DICIEMBRE 2026'!M17,"")</f>
        <v/>
      </c>
      <c r="H1168" s="193" t="str">
        <f aca="false">IF(AND('DICIEMBRE 2026'!D17&lt;&gt;"",'DICIEMBRE 2026'!Z17="POR RECOGER"),'DICIEMBRE 2026'!N17,"")</f>
        <v/>
      </c>
      <c r="I1168" s="192" t="str">
        <f aca="false">IF(AND('DICIEMBRE 2026'!D17&lt;&gt;"",'DICIEMBRE 2026'!Z17="POR RECOGER"),'DICIEMBRE 2026'!P17,"")</f>
        <v/>
      </c>
      <c r="J1168" s="192" t="str">
        <f aca="false">IF(AND('DICIEMBRE 2026'!D17&lt;&gt;"",'DICIEMBRE 2026'!Z17="POR RECOGER"),'DICIEMBRE 2026'!Q17,"")</f>
        <v/>
      </c>
      <c r="K1168" s="192" t="str">
        <f aca="false">IF(AND('DICIEMBRE 2026'!D17&lt;&gt;"",'DICIEMBRE 2026'!Z17="POR RECOGER"),'DICIEMBRE 2026'!Y17,"")</f>
        <v/>
      </c>
      <c r="L1168" s="192" t="str">
        <f aca="false">IF(AND('DICIEMBRE 2026'!D17&lt;&gt;"",'DICIEMBRE 2026'!Z17="POR RECOGER"),'DICIEMBRE 2026'!I17,"")</f>
        <v/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customFormat="false" ht="15" hidden="false" customHeight="true" outlineLevel="0" collapsed="false">
      <c r="A1169" s="192" t="str">
        <f aca="false">IF(AND('DICIEMBRE 2026'!D18&lt;&gt;"",'DICIEMBRE 2026'!Z18="POR RECOGER"),"DIC","")</f>
        <v/>
      </c>
      <c r="B1169" s="192" t="str">
        <f aca="false">IF(AND('DICIEMBRE 2026'!D18&lt;&gt;"",'DICIEMBRE 2026'!Z18="POR RECOGER"),IF('DICIEMBRE 2026'!Y18&lt;&gt;"",'DICIEMBRE 2026'!Y18,'DICIEMBRE 2026'!I18),"")</f>
        <v/>
      </c>
      <c r="C1169" s="192" t="str">
        <f aca="false">IF(AND('DICIEMBRE 2026'!D18&lt;&gt;"",'DICIEMBRE 2026'!Z18="POR RECOGER"),'DICIEMBRE 2026'!D18,"")</f>
        <v/>
      </c>
      <c r="D1169" s="192" t="str">
        <f aca="false">IF(AND('DICIEMBRE 2026'!D18&lt;&gt;"",'DICIEMBRE 2026'!Z18="POR RECOGER"),'DICIEMBRE 2026'!F18,"")</f>
        <v/>
      </c>
      <c r="E1169" s="192" t="str">
        <f aca="false">IF(AND('DICIEMBRE 2026'!D18&lt;&gt;"",'DICIEMBRE 2026'!Z18="POR RECOGER"),TEXT('DICIEMBRE 2026'!G18,"DD/MM/YYYY"),"")</f>
        <v/>
      </c>
      <c r="F1169" s="192" t="str">
        <f aca="false">IF(AND('DICIEMBRE 2026'!D18&lt;&gt;"",'DICIEMBRE 2026'!Z18="POR RECOGER"),'DICIEMBRE 2026'!K18,"")</f>
        <v/>
      </c>
      <c r="G1169" s="193" t="str">
        <f aca="false">IF(AND('DICIEMBRE 2026'!D18&lt;&gt;"",'DICIEMBRE 2026'!Z18="POR RECOGER"),'DICIEMBRE 2026'!M18,"")</f>
        <v/>
      </c>
      <c r="H1169" s="193" t="str">
        <f aca="false">IF(AND('DICIEMBRE 2026'!D18&lt;&gt;"",'DICIEMBRE 2026'!Z18="POR RECOGER"),'DICIEMBRE 2026'!N18,"")</f>
        <v/>
      </c>
      <c r="I1169" s="192" t="str">
        <f aca="false">IF(AND('DICIEMBRE 2026'!D18&lt;&gt;"",'DICIEMBRE 2026'!Z18="POR RECOGER"),'DICIEMBRE 2026'!P18,"")</f>
        <v/>
      </c>
      <c r="J1169" s="192" t="str">
        <f aca="false">IF(AND('DICIEMBRE 2026'!D18&lt;&gt;"",'DICIEMBRE 2026'!Z18="POR RECOGER"),'DICIEMBRE 2026'!Q18,"")</f>
        <v/>
      </c>
      <c r="K1169" s="192" t="str">
        <f aca="false">IF(AND('DICIEMBRE 2026'!D18&lt;&gt;"",'DICIEMBRE 2026'!Z18="POR RECOGER"),'DICIEMBRE 2026'!Y18,"")</f>
        <v/>
      </c>
      <c r="L1169" s="192" t="str">
        <f aca="false">IF(AND('DICIEMBRE 2026'!D18&lt;&gt;"",'DICIEMBRE 2026'!Z18="POR RECOGER"),'DICIEMBRE 2026'!I18,"")</f>
        <v/>
      </c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customFormat="false" ht="15" hidden="false" customHeight="true" outlineLevel="0" collapsed="false">
      <c r="A1170" s="192" t="str">
        <f aca="false">IF(AND('DICIEMBRE 2026'!D19&lt;&gt;"",'DICIEMBRE 2026'!Z19="POR RECOGER"),"DIC","")</f>
        <v/>
      </c>
      <c r="B1170" s="192" t="str">
        <f aca="false">IF(AND('DICIEMBRE 2026'!D19&lt;&gt;"",'DICIEMBRE 2026'!Z19="POR RECOGER"),IF('DICIEMBRE 2026'!Y19&lt;&gt;"",'DICIEMBRE 2026'!Y19,'DICIEMBRE 2026'!I19),"")</f>
        <v/>
      </c>
      <c r="C1170" s="192" t="str">
        <f aca="false">IF(AND('DICIEMBRE 2026'!D19&lt;&gt;"",'DICIEMBRE 2026'!Z19="POR RECOGER"),'DICIEMBRE 2026'!D19,"")</f>
        <v/>
      </c>
      <c r="D1170" s="192" t="str">
        <f aca="false">IF(AND('DICIEMBRE 2026'!D19&lt;&gt;"",'DICIEMBRE 2026'!Z19="POR RECOGER"),'DICIEMBRE 2026'!F19,"")</f>
        <v/>
      </c>
      <c r="E1170" s="192" t="str">
        <f aca="false">IF(AND('DICIEMBRE 2026'!D19&lt;&gt;"",'DICIEMBRE 2026'!Z19="POR RECOGER"),TEXT('DICIEMBRE 2026'!G19,"DD/MM/YYYY"),"")</f>
        <v/>
      </c>
      <c r="F1170" s="192" t="str">
        <f aca="false">IF(AND('DICIEMBRE 2026'!D19&lt;&gt;"",'DICIEMBRE 2026'!Z19="POR RECOGER"),'DICIEMBRE 2026'!K19,"")</f>
        <v/>
      </c>
      <c r="G1170" s="193" t="str">
        <f aca="false">IF(AND('DICIEMBRE 2026'!D19&lt;&gt;"",'DICIEMBRE 2026'!Z19="POR RECOGER"),'DICIEMBRE 2026'!M19,"")</f>
        <v/>
      </c>
      <c r="H1170" s="193" t="str">
        <f aca="false">IF(AND('DICIEMBRE 2026'!D19&lt;&gt;"",'DICIEMBRE 2026'!Z19="POR RECOGER"),'DICIEMBRE 2026'!N19,"")</f>
        <v/>
      </c>
      <c r="I1170" s="192" t="str">
        <f aca="false">IF(AND('DICIEMBRE 2026'!D19&lt;&gt;"",'DICIEMBRE 2026'!Z19="POR RECOGER"),'DICIEMBRE 2026'!P19,"")</f>
        <v/>
      </c>
      <c r="J1170" s="192" t="str">
        <f aca="false">IF(AND('DICIEMBRE 2026'!D19&lt;&gt;"",'DICIEMBRE 2026'!Z19="POR RECOGER"),'DICIEMBRE 2026'!Q19,"")</f>
        <v/>
      </c>
      <c r="K1170" s="192" t="str">
        <f aca="false">IF(AND('DICIEMBRE 2026'!D19&lt;&gt;"",'DICIEMBRE 2026'!Z19="POR RECOGER"),'DICIEMBRE 2026'!Y19,"")</f>
        <v/>
      </c>
      <c r="L1170" s="192" t="str">
        <f aca="false">IF(AND('DICIEMBRE 2026'!D19&lt;&gt;"",'DICIEMBRE 2026'!Z19="POR RECOGER"),'DICIEMBRE 2026'!I19,"")</f>
        <v/>
      </c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customFormat="false" ht="15" hidden="false" customHeight="true" outlineLevel="0" collapsed="false">
      <c r="A1171" s="192" t="str">
        <f aca="false">IF(AND('DICIEMBRE 2026'!D20&lt;&gt;"",'DICIEMBRE 2026'!Z20="POR RECOGER"),"DIC","")</f>
        <v/>
      </c>
      <c r="B1171" s="192" t="str">
        <f aca="false">IF(AND('DICIEMBRE 2026'!D20&lt;&gt;"",'DICIEMBRE 2026'!Z20="POR RECOGER"),IF('DICIEMBRE 2026'!Y20&lt;&gt;"",'DICIEMBRE 2026'!Y20,'DICIEMBRE 2026'!I20),"")</f>
        <v/>
      </c>
      <c r="C1171" s="192" t="str">
        <f aca="false">IF(AND('DICIEMBRE 2026'!D20&lt;&gt;"",'DICIEMBRE 2026'!Z20="POR RECOGER"),'DICIEMBRE 2026'!D20,"")</f>
        <v/>
      </c>
      <c r="D1171" s="192" t="str">
        <f aca="false">IF(AND('DICIEMBRE 2026'!D20&lt;&gt;"",'DICIEMBRE 2026'!Z20="POR RECOGER"),'DICIEMBRE 2026'!F20,"")</f>
        <v/>
      </c>
      <c r="E1171" s="192" t="str">
        <f aca="false">IF(AND('DICIEMBRE 2026'!D20&lt;&gt;"",'DICIEMBRE 2026'!Z20="POR RECOGER"),TEXT('DICIEMBRE 2026'!G20,"DD/MM/YYYY"),"")</f>
        <v/>
      </c>
      <c r="F1171" s="192" t="str">
        <f aca="false">IF(AND('DICIEMBRE 2026'!D20&lt;&gt;"",'DICIEMBRE 2026'!Z20="POR RECOGER"),'DICIEMBRE 2026'!K20,"")</f>
        <v/>
      </c>
      <c r="G1171" s="193" t="str">
        <f aca="false">IF(AND('DICIEMBRE 2026'!D20&lt;&gt;"",'DICIEMBRE 2026'!Z20="POR RECOGER"),'DICIEMBRE 2026'!M20,"")</f>
        <v/>
      </c>
      <c r="H1171" s="193" t="str">
        <f aca="false">IF(AND('DICIEMBRE 2026'!D20&lt;&gt;"",'DICIEMBRE 2026'!Z20="POR RECOGER"),'DICIEMBRE 2026'!N20,"")</f>
        <v/>
      </c>
      <c r="I1171" s="192" t="str">
        <f aca="false">IF(AND('DICIEMBRE 2026'!D20&lt;&gt;"",'DICIEMBRE 2026'!Z20="POR RECOGER"),'DICIEMBRE 2026'!P20,"")</f>
        <v/>
      </c>
      <c r="J1171" s="192" t="str">
        <f aca="false">IF(AND('DICIEMBRE 2026'!D20&lt;&gt;"",'DICIEMBRE 2026'!Z20="POR RECOGER"),'DICIEMBRE 2026'!Q20,"")</f>
        <v/>
      </c>
      <c r="K1171" s="192" t="str">
        <f aca="false">IF(AND('DICIEMBRE 2026'!D20&lt;&gt;"",'DICIEMBRE 2026'!Z20="POR RECOGER"),'DICIEMBRE 2026'!Y20,"")</f>
        <v/>
      </c>
      <c r="L1171" s="192" t="str">
        <f aca="false">IF(AND('DICIEMBRE 2026'!D20&lt;&gt;"",'DICIEMBRE 2026'!Z20="POR RECOGER"),'DICIEMBRE 2026'!I20,"")</f>
        <v/>
      </c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customFormat="false" ht="15" hidden="false" customHeight="true" outlineLevel="0" collapsed="false">
      <c r="A1172" s="192" t="str">
        <f aca="false">IF(AND('DICIEMBRE 2026'!D21&lt;&gt;"",'DICIEMBRE 2026'!Z21="POR RECOGER"),"DIC","")</f>
        <v/>
      </c>
      <c r="B1172" s="192" t="str">
        <f aca="false">IF(AND('DICIEMBRE 2026'!D21&lt;&gt;"",'DICIEMBRE 2026'!Z21="POR RECOGER"),IF('DICIEMBRE 2026'!Y21&lt;&gt;"",'DICIEMBRE 2026'!Y21,'DICIEMBRE 2026'!I21),"")</f>
        <v/>
      </c>
      <c r="C1172" s="192" t="str">
        <f aca="false">IF(AND('DICIEMBRE 2026'!D21&lt;&gt;"",'DICIEMBRE 2026'!Z21="POR RECOGER"),'DICIEMBRE 2026'!D21,"")</f>
        <v/>
      </c>
      <c r="D1172" s="192" t="str">
        <f aca="false">IF(AND('DICIEMBRE 2026'!D21&lt;&gt;"",'DICIEMBRE 2026'!Z21="POR RECOGER"),'DICIEMBRE 2026'!F21,"")</f>
        <v/>
      </c>
      <c r="E1172" s="192" t="str">
        <f aca="false">IF(AND('DICIEMBRE 2026'!D21&lt;&gt;"",'DICIEMBRE 2026'!Z21="POR RECOGER"),TEXT('DICIEMBRE 2026'!G21,"DD/MM/YYYY"),"")</f>
        <v/>
      </c>
      <c r="F1172" s="192" t="str">
        <f aca="false">IF(AND('DICIEMBRE 2026'!D21&lt;&gt;"",'DICIEMBRE 2026'!Z21="POR RECOGER"),'DICIEMBRE 2026'!K21,"")</f>
        <v/>
      </c>
      <c r="G1172" s="193" t="str">
        <f aca="false">IF(AND('DICIEMBRE 2026'!D21&lt;&gt;"",'DICIEMBRE 2026'!Z21="POR RECOGER"),'DICIEMBRE 2026'!M21,"")</f>
        <v/>
      </c>
      <c r="H1172" s="193" t="str">
        <f aca="false">IF(AND('DICIEMBRE 2026'!D21&lt;&gt;"",'DICIEMBRE 2026'!Z21="POR RECOGER"),'DICIEMBRE 2026'!N21,"")</f>
        <v/>
      </c>
      <c r="I1172" s="192" t="str">
        <f aca="false">IF(AND('DICIEMBRE 2026'!D21&lt;&gt;"",'DICIEMBRE 2026'!Z21="POR RECOGER"),'DICIEMBRE 2026'!P21,"")</f>
        <v/>
      </c>
      <c r="J1172" s="192" t="str">
        <f aca="false">IF(AND('DICIEMBRE 2026'!D21&lt;&gt;"",'DICIEMBRE 2026'!Z21="POR RECOGER"),'DICIEMBRE 2026'!Q21,"")</f>
        <v/>
      </c>
      <c r="K1172" s="192" t="str">
        <f aca="false">IF(AND('DICIEMBRE 2026'!D21&lt;&gt;"",'DICIEMBRE 2026'!Z21="POR RECOGER"),'DICIEMBRE 2026'!Y21,"")</f>
        <v/>
      </c>
      <c r="L1172" s="192" t="str">
        <f aca="false">IF(AND('DICIEMBRE 2026'!D21&lt;&gt;"",'DICIEMBRE 2026'!Z21="POR RECOGER"),'DICIEMBRE 2026'!I21,"")</f>
        <v/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customFormat="false" ht="15" hidden="false" customHeight="true" outlineLevel="0" collapsed="false">
      <c r="A1173" s="192" t="str">
        <f aca="false">IF(AND('DICIEMBRE 2026'!D22&lt;&gt;"",'DICIEMBRE 2026'!Z22="POR RECOGER"),"DIC","")</f>
        <v/>
      </c>
      <c r="B1173" s="192" t="str">
        <f aca="false">IF(AND('DICIEMBRE 2026'!D22&lt;&gt;"",'DICIEMBRE 2026'!Z22="POR RECOGER"),IF('DICIEMBRE 2026'!Y22&lt;&gt;"",'DICIEMBRE 2026'!Y22,'DICIEMBRE 2026'!I22),"")</f>
        <v/>
      </c>
      <c r="C1173" s="192" t="str">
        <f aca="false">IF(AND('DICIEMBRE 2026'!D22&lt;&gt;"",'DICIEMBRE 2026'!Z22="POR RECOGER"),'DICIEMBRE 2026'!D22,"")</f>
        <v/>
      </c>
      <c r="D1173" s="192" t="str">
        <f aca="false">IF(AND('DICIEMBRE 2026'!D22&lt;&gt;"",'DICIEMBRE 2026'!Z22="POR RECOGER"),'DICIEMBRE 2026'!F22,"")</f>
        <v/>
      </c>
      <c r="E1173" s="192" t="str">
        <f aca="false">IF(AND('DICIEMBRE 2026'!D22&lt;&gt;"",'DICIEMBRE 2026'!Z22="POR RECOGER"),TEXT('DICIEMBRE 2026'!G22,"DD/MM/YYYY"),"")</f>
        <v/>
      </c>
      <c r="F1173" s="192" t="str">
        <f aca="false">IF(AND('DICIEMBRE 2026'!D22&lt;&gt;"",'DICIEMBRE 2026'!Z22="POR RECOGER"),'DICIEMBRE 2026'!K22,"")</f>
        <v/>
      </c>
      <c r="G1173" s="193" t="str">
        <f aca="false">IF(AND('DICIEMBRE 2026'!D22&lt;&gt;"",'DICIEMBRE 2026'!Z22="POR RECOGER"),'DICIEMBRE 2026'!M22,"")</f>
        <v/>
      </c>
      <c r="H1173" s="193" t="str">
        <f aca="false">IF(AND('DICIEMBRE 2026'!D22&lt;&gt;"",'DICIEMBRE 2026'!Z22="POR RECOGER"),'DICIEMBRE 2026'!N22,"")</f>
        <v/>
      </c>
      <c r="I1173" s="192" t="str">
        <f aca="false">IF(AND('DICIEMBRE 2026'!D22&lt;&gt;"",'DICIEMBRE 2026'!Z22="POR RECOGER"),'DICIEMBRE 2026'!P22,"")</f>
        <v/>
      </c>
      <c r="J1173" s="192" t="str">
        <f aca="false">IF(AND('DICIEMBRE 2026'!D22&lt;&gt;"",'DICIEMBRE 2026'!Z22="POR RECOGER"),'DICIEMBRE 2026'!Q22,"")</f>
        <v/>
      </c>
      <c r="K1173" s="192" t="str">
        <f aca="false">IF(AND('DICIEMBRE 2026'!D22&lt;&gt;"",'DICIEMBRE 2026'!Z22="POR RECOGER"),'DICIEMBRE 2026'!Y22,"")</f>
        <v/>
      </c>
      <c r="L1173" s="192" t="str">
        <f aca="false">IF(AND('DICIEMBRE 2026'!D22&lt;&gt;"",'DICIEMBRE 2026'!Z22="POR RECOGER"),'DICIEMBRE 2026'!I22,"")</f>
        <v/>
      </c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customFormat="false" ht="15" hidden="false" customHeight="true" outlineLevel="0" collapsed="false">
      <c r="A1174" s="192" t="str">
        <f aca="false">IF(AND('DICIEMBRE 2026'!D23&lt;&gt;"",'DICIEMBRE 2026'!Z23="POR RECOGER"),"DIC","")</f>
        <v/>
      </c>
      <c r="B1174" s="192" t="str">
        <f aca="false">IF(AND('DICIEMBRE 2026'!D23&lt;&gt;"",'DICIEMBRE 2026'!Z23="POR RECOGER"),IF('DICIEMBRE 2026'!Y23&lt;&gt;"",'DICIEMBRE 2026'!Y23,'DICIEMBRE 2026'!I23),"")</f>
        <v/>
      </c>
      <c r="C1174" s="192" t="str">
        <f aca="false">IF(AND('DICIEMBRE 2026'!D23&lt;&gt;"",'DICIEMBRE 2026'!Z23="POR RECOGER"),'DICIEMBRE 2026'!D23,"")</f>
        <v/>
      </c>
      <c r="D1174" s="192" t="str">
        <f aca="false">IF(AND('DICIEMBRE 2026'!D23&lt;&gt;"",'DICIEMBRE 2026'!Z23="POR RECOGER"),'DICIEMBRE 2026'!F23,"")</f>
        <v/>
      </c>
      <c r="E1174" s="192" t="str">
        <f aca="false">IF(AND('DICIEMBRE 2026'!D23&lt;&gt;"",'DICIEMBRE 2026'!Z23="POR RECOGER"),TEXT('DICIEMBRE 2026'!G23,"DD/MM/YYYY"),"")</f>
        <v/>
      </c>
      <c r="F1174" s="192" t="str">
        <f aca="false">IF(AND('DICIEMBRE 2026'!D23&lt;&gt;"",'DICIEMBRE 2026'!Z23="POR RECOGER"),'DICIEMBRE 2026'!K23,"")</f>
        <v/>
      </c>
      <c r="G1174" s="193" t="str">
        <f aca="false">IF(AND('DICIEMBRE 2026'!D23&lt;&gt;"",'DICIEMBRE 2026'!Z23="POR RECOGER"),'DICIEMBRE 2026'!M23,"")</f>
        <v/>
      </c>
      <c r="H1174" s="193" t="str">
        <f aca="false">IF(AND('DICIEMBRE 2026'!D23&lt;&gt;"",'DICIEMBRE 2026'!Z23="POR RECOGER"),'DICIEMBRE 2026'!N23,"")</f>
        <v/>
      </c>
      <c r="I1174" s="192" t="str">
        <f aca="false">IF(AND('DICIEMBRE 2026'!D23&lt;&gt;"",'DICIEMBRE 2026'!Z23="POR RECOGER"),'DICIEMBRE 2026'!P23,"")</f>
        <v/>
      </c>
      <c r="J1174" s="192" t="str">
        <f aca="false">IF(AND('DICIEMBRE 2026'!D23&lt;&gt;"",'DICIEMBRE 2026'!Z23="POR RECOGER"),'DICIEMBRE 2026'!Q23,"")</f>
        <v/>
      </c>
      <c r="K1174" s="192" t="str">
        <f aca="false">IF(AND('DICIEMBRE 2026'!D23&lt;&gt;"",'DICIEMBRE 2026'!Z23="POR RECOGER"),'DICIEMBRE 2026'!Y23,"")</f>
        <v/>
      </c>
      <c r="L1174" s="192" t="str">
        <f aca="false">IF(AND('DICIEMBRE 2026'!D23&lt;&gt;"",'DICIEMBRE 2026'!Z23="POR RECOGER"),'DICIEMBRE 2026'!I23,"")</f>
        <v/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customFormat="false" ht="15" hidden="false" customHeight="true" outlineLevel="0" collapsed="false">
      <c r="A1175" s="192" t="str">
        <f aca="false">IF(AND('DICIEMBRE 2026'!D24&lt;&gt;"",'DICIEMBRE 2026'!Z24="POR RECOGER"),"DIC","")</f>
        <v/>
      </c>
      <c r="B1175" s="192" t="str">
        <f aca="false">IF(AND('DICIEMBRE 2026'!D24&lt;&gt;"",'DICIEMBRE 2026'!Z24="POR RECOGER"),IF('DICIEMBRE 2026'!Y24&lt;&gt;"",'DICIEMBRE 2026'!Y24,'DICIEMBRE 2026'!I24),"")</f>
        <v/>
      </c>
      <c r="C1175" s="192" t="str">
        <f aca="false">IF(AND('DICIEMBRE 2026'!D24&lt;&gt;"",'DICIEMBRE 2026'!Z24="POR RECOGER"),'DICIEMBRE 2026'!D24,"")</f>
        <v/>
      </c>
      <c r="D1175" s="192" t="str">
        <f aca="false">IF(AND('DICIEMBRE 2026'!D24&lt;&gt;"",'DICIEMBRE 2026'!Z24="POR RECOGER"),'DICIEMBRE 2026'!F24,"")</f>
        <v/>
      </c>
      <c r="E1175" s="192" t="str">
        <f aca="false">IF(AND('DICIEMBRE 2026'!D24&lt;&gt;"",'DICIEMBRE 2026'!Z24="POR RECOGER"),TEXT('DICIEMBRE 2026'!G24,"DD/MM/YYYY"),"")</f>
        <v/>
      </c>
      <c r="F1175" s="192" t="str">
        <f aca="false">IF(AND('DICIEMBRE 2026'!D24&lt;&gt;"",'DICIEMBRE 2026'!Z24="POR RECOGER"),'DICIEMBRE 2026'!K24,"")</f>
        <v/>
      </c>
      <c r="G1175" s="193" t="str">
        <f aca="false">IF(AND('DICIEMBRE 2026'!D24&lt;&gt;"",'DICIEMBRE 2026'!Z24="POR RECOGER"),'DICIEMBRE 2026'!M24,"")</f>
        <v/>
      </c>
      <c r="H1175" s="193" t="str">
        <f aca="false">IF(AND('DICIEMBRE 2026'!D24&lt;&gt;"",'DICIEMBRE 2026'!Z24="POR RECOGER"),'DICIEMBRE 2026'!N24,"")</f>
        <v/>
      </c>
      <c r="I1175" s="192" t="str">
        <f aca="false">IF(AND('DICIEMBRE 2026'!D24&lt;&gt;"",'DICIEMBRE 2026'!Z24="POR RECOGER"),'DICIEMBRE 2026'!P24,"")</f>
        <v/>
      </c>
      <c r="J1175" s="192" t="str">
        <f aca="false">IF(AND('DICIEMBRE 2026'!D24&lt;&gt;"",'DICIEMBRE 2026'!Z24="POR RECOGER"),'DICIEMBRE 2026'!Q24,"")</f>
        <v/>
      </c>
      <c r="K1175" s="192" t="str">
        <f aca="false">IF(AND('DICIEMBRE 2026'!D24&lt;&gt;"",'DICIEMBRE 2026'!Z24="POR RECOGER"),'DICIEMBRE 2026'!Y24,"")</f>
        <v/>
      </c>
      <c r="L1175" s="192" t="str">
        <f aca="false">IF(AND('DICIEMBRE 2026'!D24&lt;&gt;"",'DICIEMBRE 2026'!Z24="POR RECOGER"),'DICIEMBRE 2026'!I24,"")</f>
        <v/>
      </c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customFormat="false" ht="15" hidden="false" customHeight="true" outlineLevel="0" collapsed="false">
      <c r="A1176" s="192" t="str">
        <f aca="false">IF(AND('DICIEMBRE 2026'!D25&lt;&gt;"",'DICIEMBRE 2026'!Z25="POR RECOGER"),"DIC","")</f>
        <v/>
      </c>
      <c r="B1176" s="192" t="str">
        <f aca="false">IF(AND('DICIEMBRE 2026'!D25&lt;&gt;"",'DICIEMBRE 2026'!Z25="POR RECOGER"),IF('DICIEMBRE 2026'!Y25&lt;&gt;"",'DICIEMBRE 2026'!Y25,'DICIEMBRE 2026'!I25),"")</f>
        <v/>
      </c>
      <c r="C1176" s="192" t="str">
        <f aca="false">IF(AND('DICIEMBRE 2026'!D25&lt;&gt;"",'DICIEMBRE 2026'!Z25="POR RECOGER"),'DICIEMBRE 2026'!D25,"")</f>
        <v/>
      </c>
      <c r="D1176" s="192" t="str">
        <f aca="false">IF(AND('DICIEMBRE 2026'!D25&lt;&gt;"",'DICIEMBRE 2026'!Z25="POR RECOGER"),'DICIEMBRE 2026'!F25,"")</f>
        <v/>
      </c>
      <c r="E1176" s="192" t="str">
        <f aca="false">IF(AND('DICIEMBRE 2026'!D25&lt;&gt;"",'DICIEMBRE 2026'!Z25="POR RECOGER"),TEXT('DICIEMBRE 2026'!G25,"DD/MM/YYYY"),"")</f>
        <v/>
      </c>
      <c r="F1176" s="192" t="str">
        <f aca="false">IF(AND('DICIEMBRE 2026'!D25&lt;&gt;"",'DICIEMBRE 2026'!Z25="POR RECOGER"),'DICIEMBRE 2026'!K25,"")</f>
        <v/>
      </c>
      <c r="G1176" s="193" t="str">
        <f aca="false">IF(AND('DICIEMBRE 2026'!D25&lt;&gt;"",'DICIEMBRE 2026'!Z25="POR RECOGER"),'DICIEMBRE 2026'!M25,"")</f>
        <v/>
      </c>
      <c r="H1176" s="193" t="str">
        <f aca="false">IF(AND('DICIEMBRE 2026'!D25&lt;&gt;"",'DICIEMBRE 2026'!Z25="POR RECOGER"),'DICIEMBRE 2026'!N25,"")</f>
        <v/>
      </c>
      <c r="I1176" s="192" t="str">
        <f aca="false">IF(AND('DICIEMBRE 2026'!D25&lt;&gt;"",'DICIEMBRE 2026'!Z25="POR RECOGER"),'DICIEMBRE 2026'!P25,"")</f>
        <v/>
      </c>
      <c r="J1176" s="192" t="str">
        <f aca="false">IF(AND('DICIEMBRE 2026'!D25&lt;&gt;"",'DICIEMBRE 2026'!Z25="POR RECOGER"),'DICIEMBRE 2026'!Q25,"")</f>
        <v/>
      </c>
      <c r="K1176" s="192" t="str">
        <f aca="false">IF(AND('DICIEMBRE 2026'!D25&lt;&gt;"",'DICIEMBRE 2026'!Z25="POR RECOGER"),'DICIEMBRE 2026'!Y25,"")</f>
        <v/>
      </c>
      <c r="L1176" s="192" t="str">
        <f aca="false">IF(AND('DICIEMBRE 2026'!D25&lt;&gt;"",'DICIEMBRE 2026'!Z25="POR RECOGER"),'DICIEMBRE 2026'!I25,"")</f>
        <v/>
      </c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customFormat="false" ht="15" hidden="false" customHeight="true" outlineLevel="0" collapsed="false">
      <c r="A1177" s="192" t="str">
        <f aca="false">IF(AND('DICIEMBRE 2026'!D26&lt;&gt;"",'DICIEMBRE 2026'!Z26="POR RECOGER"),"DIC","")</f>
        <v/>
      </c>
      <c r="B1177" s="192" t="str">
        <f aca="false">IF(AND('DICIEMBRE 2026'!D26&lt;&gt;"",'DICIEMBRE 2026'!Z26="POR RECOGER"),IF('DICIEMBRE 2026'!Y26&lt;&gt;"",'DICIEMBRE 2026'!Y26,'DICIEMBRE 2026'!I26),"")</f>
        <v/>
      </c>
      <c r="C1177" s="192" t="str">
        <f aca="false">IF(AND('DICIEMBRE 2026'!D26&lt;&gt;"",'DICIEMBRE 2026'!Z26="POR RECOGER"),'DICIEMBRE 2026'!D26,"")</f>
        <v/>
      </c>
      <c r="D1177" s="192" t="str">
        <f aca="false">IF(AND('DICIEMBRE 2026'!D26&lt;&gt;"",'DICIEMBRE 2026'!Z26="POR RECOGER"),'DICIEMBRE 2026'!F26,"")</f>
        <v/>
      </c>
      <c r="E1177" s="192" t="str">
        <f aca="false">IF(AND('DICIEMBRE 2026'!D26&lt;&gt;"",'DICIEMBRE 2026'!Z26="POR RECOGER"),TEXT('DICIEMBRE 2026'!G26,"DD/MM/YYYY"),"")</f>
        <v/>
      </c>
      <c r="F1177" s="192" t="str">
        <f aca="false">IF(AND('DICIEMBRE 2026'!D26&lt;&gt;"",'DICIEMBRE 2026'!Z26="POR RECOGER"),'DICIEMBRE 2026'!K26,"")</f>
        <v/>
      </c>
      <c r="G1177" s="193" t="str">
        <f aca="false">IF(AND('DICIEMBRE 2026'!D26&lt;&gt;"",'DICIEMBRE 2026'!Z26="POR RECOGER"),'DICIEMBRE 2026'!M26,"")</f>
        <v/>
      </c>
      <c r="H1177" s="193" t="str">
        <f aca="false">IF(AND('DICIEMBRE 2026'!D26&lt;&gt;"",'DICIEMBRE 2026'!Z26="POR RECOGER"),'DICIEMBRE 2026'!N26,"")</f>
        <v/>
      </c>
      <c r="I1177" s="192" t="str">
        <f aca="false">IF(AND('DICIEMBRE 2026'!D26&lt;&gt;"",'DICIEMBRE 2026'!Z26="POR RECOGER"),'DICIEMBRE 2026'!P26,"")</f>
        <v/>
      </c>
      <c r="J1177" s="192" t="str">
        <f aca="false">IF(AND('DICIEMBRE 2026'!D26&lt;&gt;"",'DICIEMBRE 2026'!Z26="POR RECOGER"),'DICIEMBRE 2026'!Q26,"")</f>
        <v/>
      </c>
      <c r="K1177" s="192" t="str">
        <f aca="false">IF(AND('DICIEMBRE 2026'!D26&lt;&gt;"",'DICIEMBRE 2026'!Z26="POR RECOGER"),'DICIEMBRE 2026'!Y26,"")</f>
        <v/>
      </c>
      <c r="L1177" s="192" t="str">
        <f aca="false">IF(AND('DICIEMBRE 2026'!D26&lt;&gt;"",'DICIEMBRE 2026'!Z26="POR RECOGER"),'DICIEMBRE 2026'!I26,"")</f>
        <v/>
      </c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customFormat="false" ht="15" hidden="false" customHeight="true" outlineLevel="0" collapsed="false">
      <c r="A1178" s="192" t="str">
        <f aca="false">IF(AND('DICIEMBRE 2026'!D27&lt;&gt;"",'DICIEMBRE 2026'!Z27="POR RECOGER"),"DIC","")</f>
        <v/>
      </c>
      <c r="B1178" s="192" t="str">
        <f aca="false">IF(AND('DICIEMBRE 2026'!D27&lt;&gt;"",'DICIEMBRE 2026'!Z27="POR RECOGER"),IF('DICIEMBRE 2026'!Y27&lt;&gt;"",'DICIEMBRE 2026'!Y27,'DICIEMBRE 2026'!I27),"")</f>
        <v/>
      </c>
      <c r="C1178" s="192" t="str">
        <f aca="false">IF(AND('DICIEMBRE 2026'!D27&lt;&gt;"",'DICIEMBRE 2026'!Z27="POR RECOGER"),'DICIEMBRE 2026'!D27,"")</f>
        <v/>
      </c>
      <c r="D1178" s="192" t="str">
        <f aca="false">IF(AND('DICIEMBRE 2026'!D27&lt;&gt;"",'DICIEMBRE 2026'!Z27="POR RECOGER"),'DICIEMBRE 2026'!F27,"")</f>
        <v/>
      </c>
      <c r="E1178" s="192" t="str">
        <f aca="false">IF(AND('DICIEMBRE 2026'!D27&lt;&gt;"",'DICIEMBRE 2026'!Z27="POR RECOGER"),TEXT('DICIEMBRE 2026'!G27,"DD/MM/YYYY"),"")</f>
        <v/>
      </c>
      <c r="F1178" s="192" t="str">
        <f aca="false">IF(AND('DICIEMBRE 2026'!D27&lt;&gt;"",'DICIEMBRE 2026'!Z27="POR RECOGER"),'DICIEMBRE 2026'!K27,"")</f>
        <v/>
      </c>
      <c r="G1178" s="193" t="str">
        <f aca="false">IF(AND('DICIEMBRE 2026'!D27&lt;&gt;"",'DICIEMBRE 2026'!Z27="POR RECOGER"),'DICIEMBRE 2026'!M27,"")</f>
        <v/>
      </c>
      <c r="H1178" s="193" t="str">
        <f aca="false">IF(AND('DICIEMBRE 2026'!D27&lt;&gt;"",'DICIEMBRE 2026'!Z27="POR RECOGER"),'DICIEMBRE 2026'!N27,"")</f>
        <v/>
      </c>
      <c r="I1178" s="192" t="str">
        <f aca="false">IF(AND('DICIEMBRE 2026'!D27&lt;&gt;"",'DICIEMBRE 2026'!Z27="POR RECOGER"),'DICIEMBRE 2026'!P27,"")</f>
        <v/>
      </c>
      <c r="J1178" s="192" t="str">
        <f aca="false">IF(AND('DICIEMBRE 2026'!D27&lt;&gt;"",'DICIEMBRE 2026'!Z27="POR RECOGER"),'DICIEMBRE 2026'!Q27,"")</f>
        <v/>
      </c>
      <c r="K1178" s="192" t="str">
        <f aca="false">IF(AND('DICIEMBRE 2026'!D27&lt;&gt;"",'DICIEMBRE 2026'!Z27="POR RECOGER"),'DICIEMBRE 2026'!Y27,"")</f>
        <v/>
      </c>
      <c r="L1178" s="192" t="str">
        <f aca="false">IF(AND('DICIEMBRE 2026'!D27&lt;&gt;"",'DICIEMBRE 2026'!Z27="POR RECOGER"),'DICIEMBRE 2026'!I27,"")</f>
        <v/>
      </c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customFormat="false" ht="15" hidden="false" customHeight="true" outlineLevel="0" collapsed="false">
      <c r="A1179" s="192" t="str">
        <f aca="false">IF(AND('DICIEMBRE 2026'!D28&lt;&gt;"",'DICIEMBRE 2026'!Z28="POR RECOGER"),"DIC","")</f>
        <v/>
      </c>
      <c r="B1179" s="192" t="str">
        <f aca="false">IF(AND('DICIEMBRE 2026'!D28&lt;&gt;"",'DICIEMBRE 2026'!Z28="POR RECOGER"),IF('DICIEMBRE 2026'!Y28&lt;&gt;"",'DICIEMBRE 2026'!Y28,'DICIEMBRE 2026'!I28),"")</f>
        <v/>
      </c>
      <c r="C1179" s="192" t="str">
        <f aca="false">IF(AND('DICIEMBRE 2026'!D28&lt;&gt;"",'DICIEMBRE 2026'!Z28="POR RECOGER"),'DICIEMBRE 2026'!D28,"")</f>
        <v/>
      </c>
      <c r="D1179" s="192" t="str">
        <f aca="false">IF(AND('DICIEMBRE 2026'!D28&lt;&gt;"",'DICIEMBRE 2026'!Z28="POR RECOGER"),'DICIEMBRE 2026'!F28,"")</f>
        <v/>
      </c>
      <c r="E1179" s="192" t="str">
        <f aca="false">IF(AND('DICIEMBRE 2026'!D28&lt;&gt;"",'DICIEMBRE 2026'!Z28="POR RECOGER"),TEXT('DICIEMBRE 2026'!G28,"DD/MM/YYYY"),"")</f>
        <v/>
      </c>
      <c r="F1179" s="192" t="str">
        <f aca="false">IF(AND('DICIEMBRE 2026'!D28&lt;&gt;"",'DICIEMBRE 2026'!Z28="POR RECOGER"),'DICIEMBRE 2026'!K28,"")</f>
        <v/>
      </c>
      <c r="G1179" s="193" t="str">
        <f aca="false">IF(AND('DICIEMBRE 2026'!D28&lt;&gt;"",'DICIEMBRE 2026'!Z28="POR RECOGER"),'DICIEMBRE 2026'!M28,"")</f>
        <v/>
      </c>
      <c r="H1179" s="193" t="str">
        <f aca="false">IF(AND('DICIEMBRE 2026'!D28&lt;&gt;"",'DICIEMBRE 2026'!Z28="POR RECOGER"),'DICIEMBRE 2026'!N28,"")</f>
        <v/>
      </c>
      <c r="I1179" s="192" t="str">
        <f aca="false">IF(AND('DICIEMBRE 2026'!D28&lt;&gt;"",'DICIEMBRE 2026'!Z28="POR RECOGER"),'DICIEMBRE 2026'!P28,"")</f>
        <v/>
      </c>
      <c r="J1179" s="192" t="str">
        <f aca="false">IF(AND('DICIEMBRE 2026'!D28&lt;&gt;"",'DICIEMBRE 2026'!Z28="POR RECOGER"),'DICIEMBRE 2026'!Q28,"")</f>
        <v/>
      </c>
      <c r="K1179" s="192" t="str">
        <f aca="false">IF(AND('DICIEMBRE 2026'!D28&lt;&gt;"",'DICIEMBRE 2026'!Z28="POR RECOGER"),'DICIEMBRE 2026'!Y28,"")</f>
        <v/>
      </c>
      <c r="L1179" s="192" t="str">
        <f aca="false">IF(AND('DICIEMBRE 2026'!D28&lt;&gt;"",'DICIEMBRE 2026'!Z28="POR RECOGER"),'DICIEMBRE 2026'!I28,"")</f>
        <v/>
      </c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customFormat="false" ht="15" hidden="false" customHeight="true" outlineLevel="0" collapsed="false">
      <c r="A1180" s="192" t="str">
        <f aca="false">IF(AND('DICIEMBRE 2026'!D29&lt;&gt;"",'DICIEMBRE 2026'!Z29="POR RECOGER"),"DIC","")</f>
        <v/>
      </c>
      <c r="B1180" s="192" t="str">
        <f aca="false">IF(AND('DICIEMBRE 2026'!D29&lt;&gt;"",'DICIEMBRE 2026'!Z29="POR RECOGER"),IF('DICIEMBRE 2026'!Y29&lt;&gt;"",'DICIEMBRE 2026'!Y29,'DICIEMBRE 2026'!I29),"")</f>
        <v/>
      </c>
      <c r="C1180" s="192" t="str">
        <f aca="false">IF(AND('DICIEMBRE 2026'!D29&lt;&gt;"",'DICIEMBRE 2026'!Z29="POR RECOGER"),'DICIEMBRE 2026'!D29,"")</f>
        <v/>
      </c>
      <c r="D1180" s="192" t="str">
        <f aca="false">IF(AND('DICIEMBRE 2026'!D29&lt;&gt;"",'DICIEMBRE 2026'!Z29="POR RECOGER"),'DICIEMBRE 2026'!F29,"")</f>
        <v/>
      </c>
      <c r="E1180" s="192" t="str">
        <f aca="false">IF(AND('DICIEMBRE 2026'!D29&lt;&gt;"",'DICIEMBRE 2026'!Z29="POR RECOGER"),TEXT('DICIEMBRE 2026'!G29,"DD/MM/YYYY"),"")</f>
        <v/>
      </c>
      <c r="F1180" s="192" t="str">
        <f aca="false">IF(AND('DICIEMBRE 2026'!D29&lt;&gt;"",'DICIEMBRE 2026'!Z29="POR RECOGER"),'DICIEMBRE 2026'!K29,"")</f>
        <v/>
      </c>
      <c r="G1180" s="193" t="str">
        <f aca="false">IF(AND('DICIEMBRE 2026'!D29&lt;&gt;"",'DICIEMBRE 2026'!Z29="POR RECOGER"),'DICIEMBRE 2026'!M29,"")</f>
        <v/>
      </c>
      <c r="H1180" s="193" t="str">
        <f aca="false">IF(AND('DICIEMBRE 2026'!D29&lt;&gt;"",'DICIEMBRE 2026'!Z29="POR RECOGER"),'DICIEMBRE 2026'!N29,"")</f>
        <v/>
      </c>
      <c r="I1180" s="192" t="str">
        <f aca="false">IF(AND('DICIEMBRE 2026'!D29&lt;&gt;"",'DICIEMBRE 2026'!Z29="POR RECOGER"),'DICIEMBRE 2026'!P29,"")</f>
        <v/>
      </c>
      <c r="J1180" s="192" t="str">
        <f aca="false">IF(AND('DICIEMBRE 2026'!D29&lt;&gt;"",'DICIEMBRE 2026'!Z29="POR RECOGER"),'DICIEMBRE 2026'!Q29,"")</f>
        <v/>
      </c>
      <c r="K1180" s="192" t="str">
        <f aca="false">IF(AND('DICIEMBRE 2026'!D29&lt;&gt;"",'DICIEMBRE 2026'!Z29="POR RECOGER"),'DICIEMBRE 2026'!Y29,"")</f>
        <v/>
      </c>
      <c r="L1180" s="192" t="str">
        <f aca="false">IF(AND('DICIEMBRE 2026'!D29&lt;&gt;"",'DICIEMBRE 2026'!Z29="POR RECOGER"),'DICIEMBRE 2026'!I29,"")</f>
        <v/>
      </c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customFormat="false" ht="15" hidden="false" customHeight="true" outlineLevel="0" collapsed="false">
      <c r="A1181" s="192" t="str">
        <f aca="false">IF(AND('DICIEMBRE 2026'!D30&lt;&gt;"",'DICIEMBRE 2026'!Z30="POR RECOGER"),"DIC","")</f>
        <v/>
      </c>
      <c r="B1181" s="192" t="str">
        <f aca="false">IF(AND('DICIEMBRE 2026'!D30&lt;&gt;"",'DICIEMBRE 2026'!Z30="POR RECOGER"),IF('DICIEMBRE 2026'!Y30&lt;&gt;"",'DICIEMBRE 2026'!Y30,'DICIEMBRE 2026'!I30),"")</f>
        <v/>
      </c>
      <c r="C1181" s="192" t="str">
        <f aca="false">IF(AND('DICIEMBRE 2026'!D30&lt;&gt;"",'DICIEMBRE 2026'!Z30="POR RECOGER"),'DICIEMBRE 2026'!D30,"")</f>
        <v/>
      </c>
      <c r="D1181" s="192" t="str">
        <f aca="false">IF(AND('DICIEMBRE 2026'!D30&lt;&gt;"",'DICIEMBRE 2026'!Z30="POR RECOGER"),'DICIEMBRE 2026'!F30,"")</f>
        <v/>
      </c>
      <c r="E1181" s="192" t="str">
        <f aca="false">IF(AND('DICIEMBRE 2026'!D30&lt;&gt;"",'DICIEMBRE 2026'!Z30="POR RECOGER"),TEXT('DICIEMBRE 2026'!G30,"DD/MM/YYYY"),"")</f>
        <v/>
      </c>
      <c r="F1181" s="192" t="str">
        <f aca="false">IF(AND('DICIEMBRE 2026'!D30&lt;&gt;"",'DICIEMBRE 2026'!Z30="POR RECOGER"),'DICIEMBRE 2026'!K30,"")</f>
        <v/>
      </c>
      <c r="G1181" s="193" t="str">
        <f aca="false">IF(AND('DICIEMBRE 2026'!D30&lt;&gt;"",'DICIEMBRE 2026'!Z30="POR RECOGER"),'DICIEMBRE 2026'!M30,"")</f>
        <v/>
      </c>
      <c r="H1181" s="193" t="str">
        <f aca="false">IF(AND('DICIEMBRE 2026'!D30&lt;&gt;"",'DICIEMBRE 2026'!Z30="POR RECOGER"),'DICIEMBRE 2026'!N30,"")</f>
        <v/>
      </c>
      <c r="I1181" s="192" t="str">
        <f aca="false">IF(AND('DICIEMBRE 2026'!D30&lt;&gt;"",'DICIEMBRE 2026'!Z30="POR RECOGER"),'DICIEMBRE 2026'!P30,"")</f>
        <v/>
      </c>
      <c r="J1181" s="192" t="str">
        <f aca="false">IF(AND('DICIEMBRE 2026'!D30&lt;&gt;"",'DICIEMBRE 2026'!Z30="POR RECOGER"),'DICIEMBRE 2026'!Q30,"")</f>
        <v/>
      </c>
      <c r="K1181" s="192" t="str">
        <f aca="false">IF(AND('DICIEMBRE 2026'!D30&lt;&gt;"",'DICIEMBRE 2026'!Z30="POR RECOGER"),'DICIEMBRE 2026'!Y30,"")</f>
        <v/>
      </c>
      <c r="L1181" s="192" t="str">
        <f aca="false">IF(AND('DICIEMBRE 2026'!D30&lt;&gt;"",'DICIEMBRE 2026'!Z30="POR RECOGER"),'DICIEMBRE 2026'!I30,"")</f>
        <v/>
      </c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customFormat="false" ht="15" hidden="false" customHeight="true" outlineLevel="0" collapsed="false">
      <c r="A1182" s="192" t="str">
        <f aca="false">IF(AND('DICIEMBRE 2026'!D31&lt;&gt;"",'DICIEMBRE 2026'!Z31="POR RECOGER"),"DIC","")</f>
        <v/>
      </c>
      <c r="B1182" s="192" t="str">
        <f aca="false">IF(AND('DICIEMBRE 2026'!D31&lt;&gt;"",'DICIEMBRE 2026'!Z31="POR RECOGER"),IF('DICIEMBRE 2026'!Y31&lt;&gt;"",'DICIEMBRE 2026'!Y31,'DICIEMBRE 2026'!I31),"")</f>
        <v/>
      </c>
      <c r="C1182" s="192" t="str">
        <f aca="false">IF(AND('DICIEMBRE 2026'!D31&lt;&gt;"",'DICIEMBRE 2026'!Z31="POR RECOGER"),'DICIEMBRE 2026'!D31,"")</f>
        <v/>
      </c>
      <c r="D1182" s="192" t="str">
        <f aca="false">IF(AND('DICIEMBRE 2026'!D31&lt;&gt;"",'DICIEMBRE 2026'!Z31="POR RECOGER"),'DICIEMBRE 2026'!F31,"")</f>
        <v/>
      </c>
      <c r="E1182" s="192" t="str">
        <f aca="false">IF(AND('DICIEMBRE 2026'!D31&lt;&gt;"",'DICIEMBRE 2026'!Z31="POR RECOGER"),TEXT('DICIEMBRE 2026'!G31,"DD/MM/YYYY"),"")</f>
        <v/>
      </c>
      <c r="F1182" s="192" t="str">
        <f aca="false">IF(AND('DICIEMBRE 2026'!D31&lt;&gt;"",'DICIEMBRE 2026'!Z31="POR RECOGER"),'DICIEMBRE 2026'!K31,"")</f>
        <v/>
      </c>
      <c r="G1182" s="193" t="str">
        <f aca="false">IF(AND('DICIEMBRE 2026'!D31&lt;&gt;"",'DICIEMBRE 2026'!Z31="POR RECOGER"),'DICIEMBRE 2026'!M31,"")</f>
        <v/>
      </c>
      <c r="H1182" s="193" t="str">
        <f aca="false">IF(AND('DICIEMBRE 2026'!D31&lt;&gt;"",'DICIEMBRE 2026'!Z31="POR RECOGER"),'DICIEMBRE 2026'!N31,"")</f>
        <v/>
      </c>
      <c r="I1182" s="192" t="str">
        <f aca="false">IF(AND('DICIEMBRE 2026'!D31&lt;&gt;"",'DICIEMBRE 2026'!Z31="POR RECOGER"),'DICIEMBRE 2026'!P31,"")</f>
        <v/>
      </c>
      <c r="J1182" s="192" t="str">
        <f aca="false">IF(AND('DICIEMBRE 2026'!D31&lt;&gt;"",'DICIEMBRE 2026'!Z31="POR RECOGER"),'DICIEMBRE 2026'!Q31,"")</f>
        <v/>
      </c>
      <c r="K1182" s="192" t="str">
        <f aca="false">IF(AND('DICIEMBRE 2026'!D31&lt;&gt;"",'DICIEMBRE 2026'!Z31="POR RECOGER"),'DICIEMBRE 2026'!Y31,"")</f>
        <v/>
      </c>
      <c r="L1182" s="192" t="str">
        <f aca="false">IF(AND('DICIEMBRE 2026'!D31&lt;&gt;"",'DICIEMBRE 2026'!Z31="POR RECOGER"),'DICIEMBRE 2026'!I31,"")</f>
        <v/>
      </c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customFormat="false" ht="15" hidden="false" customHeight="true" outlineLevel="0" collapsed="false">
      <c r="A1183" s="192" t="str">
        <f aca="false">IF(AND('DICIEMBRE 2026'!D32&lt;&gt;"",'DICIEMBRE 2026'!Z32="POR RECOGER"),"DIC","")</f>
        <v/>
      </c>
      <c r="B1183" s="192" t="str">
        <f aca="false">IF(AND('DICIEMBRE 2026'!D32&lt;&gt;"",'DICIEMBRE 2026'!Z32="POR RECOGER"),IF('DICIEMBRE 2026'!Y32&lt;&gt;"",'DICIEMBRE 2026'!Y32,'DICIEMBRE 2026'!I32),"")</f>
        <v/>
      </c>
      <c r="C1183" s="192" t="str">
        <f aca="false">IF(AND('DICIEMBRE 2026'!D32&lt;&gt;"",'DICIEMBRE 2026'!Z32="POR RECOGER"),'DICIEMBRE 2026'!D32,"")</f>
        <v/>
      </c>
      <c r="D1183" s="192" t="str">
        <f aca="false">IF(AND('DICIEMBRE 2026'!D32&lt;&gt;"",'DICIEMBRE 2026'!Z32="POR RECOGER"),'DICIEMBRE 2026'!F32,"")</f>
        <v/>
      </c>
      <c r="E1183" s="192" t="str">
        <f aca="false">IF(AND('DICIEMBRE 2026'!D32&lt;&gt;"",'DICIEMBRE 2026'!Z32="POR RECOGER"),TEXT('DICIEMBRE 2026'!G32,"DD/MM/YYYY"),"")</f>
        <v/>
      </c>
      <c r="F1183" s="192" t="str">
        <f aca="false">IF(AND('DICIEMBRE 2026'!D32&lt;&gt;"",'DICIEMBRE 2026'!Z32="POR RECOGER"),'DICIEMBRE 2026'!K32,"")</f>
        <v/>
      </c>
      <c r="G1183" s="193" t="str">
        <f aca="false">IF(AND('DICIEMBRE 2026'!D32&lt;&gt;"",'DICIEMBRE 2026'!Z32="POR RECOGER"),'DICIEMBRE 2026'!M32,"")</f>
        <v/>
      </c>
      <c r="H1183" s="193" t="str">
        <f aca="false">IF(AND('DICIEMBRE 2026'!D32&lt;&gt;"",'DICIEMBRE 2026'!Z32="POR RECOGER"),'DICIEMBRE 2026'!N32,"")</f>
        <v/>
      </c>
      <c r="I1183" s="192" t="str">
        <f aca="false">IF(AND('DICIEMBRE 2026'!D32&lt;&gt;"",'DICIEMBRE 2026'!Z32="POR RECOGER"),'DICIEMBRE 2026'!P32,"")</f>
        <v/>
      </c>
      <c r="J1183" s="192" t="str">
        <f aca="false">IF(AND('DICIEMBRE 2026'!D32&lt;&gt;"",'DICIEMBRE 2026'!Z32="POR RECOGER"),'DICIEMBRE 2026'!Q32,"")</f>
        <v/>
      </c>
      <c r="K1183" s="192" t="str">
        <f aca="false">IF(AND('DICIEMBRE 2026'!D32&lt;&gt;"",'DICIEMBRE 2026'!Z32="POR RECOGER"),'DICIEMBRE 2026'!Y32,"")</f>
        <v/>
      </c>
      <c r="L1183" s="192" t="str">
        <f aca="false">IF(AND('DICIEMBRE 2026'!D32&lt;&gt;"",'DICIEMBRE 2026'!Z32="POR RECOGER"),'DICIEMBRE 2026'!I32,"")</f>
        <v/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customFormat="false" ht="15" hidden="false" customHeight="true" outlineLevel="0" collapsed="false">
      <c r="A1184" s="192" t="str">
        <f aca="false">IF(AND('DICIEMBRE 2026'!D33&lt;&gt;"",'DICIEMBRE 2026'!Z33="POR RECOGER"),"DIC","")</f>
        <v/>
      </c>
      <c r="B1184" s="192" t="str">
        <f aca="false">IF(AND('DICIEMBRE 2026'!D33&lt;&gt;"",'DICIEMBRE 2026'!Z33="POR RECOGER"),IF('DICIEMBRE 2026'!Y33&lt;&gt;"",'DICIEMBRE 2026'!Y33,'DICIEMBRE 2026'!I33),"")</f>
        <v/>
      </c>
      <c r="C1184" s="192" t="str">
        <f aca="false">IF(AND('DICIEMBRE 2026'!D33&lt;&gt;"",'DICIEMBRE 2026'!Z33="POR RECOGER"),'DICIEMBRE 2026'!D33,"")</f>
        <v/>
      </c>
      <c r="D1184" s="192" t="str">
        <f aca="false">IF(AND('DICIEMBRE 2026'!D33&lt;&gt;"",'DICIEMBRE 2026'!Z33="POR RECOGER"),'DICIEMBRE 2026'!F33,"")</f>
        <v/>
      </c>
      <c r="E1184" s="192" t="str">
        <f aca="false">IF(AND('DICIEMBRE 2026'!D33&lt;&gt;"",'DICIEMBRE 2026'!Z33="POR RECOGER"),TEXT('DICIEMBRE 2026'!G33,"DD/MM/YYYY"),"")</f>
        <v/>
      </c>
      <c r="F1184" s="192" t="str">
        <f aca="false">IF(AND('DICIEMBRE 2026'!D33&lt;&gt;"",'DICIEMBRE 2026'!Z33="POR RECOGER"),'DICIEMBRE 2026'!K33,"")</f>
        <v/>
      </c>
      <c r="G1184" s="193" t="str">
        <f aca="false">IF(AND('DICIEMBRE 2026'!D33&lt;&gt;"",'DICIEMBRE 2026'!Z33="POR RECOGER"),'DICIEMBRE 2026'!M33,"")</f>
        <v/>
      </c>
      <c r="H1184" s="193" t="str">
        <f aca="false">IF(AND('DICIEMBRE 2026'!D33&lt;&gt;"",'DICIEMBRE 2026'!Z33="POR RECOGER"),'DICIEMBRE 2026'!N33,"")</f>
        <v/>
      </c>
      <c r="I1184" s="192" t="str">
        <f aca="false">IF(AND('DICIEMBRE 2026'!D33&lt;&gt;"",'DICIEMBRE 2026'!Z33="POR RECOGER"),'DICIEMBRE 2026'!P33,"")</f>
        <v/>
      </c>
      <c r="J1184" s="192" t="str">
        <f aca="false">IF(AND('DICIEMBRE 2026'!D33&lt;&gt;"",'DICIEMBRE 2026'!Z33="POR RECOGER"),'DICIEMBRE 2026'!Q33,"")</f>
        <v/>
      </c>
      <c r="K1184" s="192" t="str">
        <f aca="false">IF(AND('DICIEMBRE 2026'!D33&lt;&gt;"",'DICIEMBRE 2026'!Z33="POR RECOGER"),'DICIEMBRE 2026'!Y33,"")</f>
        <v/>
      </c>
      <c r="L1184" s="192" t="str">
        <f aca="false">IF(AND('DICIEMBRE 2026'!D33&lt;&gt;"",'DICIEMBRE 2026'!Z33="POR RECOGER"),'DICIEMBRE 2026'!I33,"")</f>
        <v/>
      </c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customFormat="false" ht="15" hidden="false" customHeight="true" outlineLevel="0" collapsed="false">
      <c r="A1185" s="192" t="str">
        <f aca="false">IF(AND('DICIEMBRE 2026'!D34&lt;&gt;"",'DICIEMBRE 2026'!Z34="POR RECOGER"),"DIC","")</f>
        <v/>
      </c>
      <c r="B1185" s="192" t="str">
        <f aca="false">IF(AND('DICIEMBRE 2026'!D34&lt;&gt;"",'DICIEMBRE 2026'!Z34="POR RECOGER"),IF('DICIEMBRE 2026'!Y34&lt;&gt;"",'DICIEMBRE 2026'!Y34,'DICIEMBRE 2026'!I34),"")</f>
        <v/>
      </c>
      <c r="C1185" s="192" t="str">
        <f aca="false">IF(AND('DICIEMBRE 2026'!D34&lt;&gt;"",'DICIEMBRE 2026'!Z34="POR RECOGER"),'DICIEMBRE 2026'!D34,"")</f>
        <v/>
      </c>
      <c r="D1185" s="192" t="str">
        <f aca="false">IF(AND('DICIEMBRE 2026'!D34&lt;&gt;"",'DICIEMBRE 2026'!Z34="POR RECOGER"),'DICIEMBRE 2026'!F34,"")</f>
        <v/>
      </c>
      <c r="E1185" s="192" t="str">
        <f aca="false">IF(AND('DICIEMBRE 2026'!D34&lt;&gt;"",'DICIEMBRE 2026'!Z34="POR RECOGER"),TEXT('DICIEMBRE 2026'!G34,"DD/MM/YYYY"),"")</f>
        <v/>
      </c>
      <c r="F1185" s="192" t="str">
        <f aca="false">IF(AND('DICIEMBRE 2026'!D34&lt;&gt;"",'DICIEMBRE 2026'!Z34="POR RECOGER"),'DICIEMBRE 2026'!K34,"")</f>
        <v/>
      </c>
      <c r="G1185" s="193" t="str">
        <f aca="false">IF(AND('DICIEMBRE 2026'!D34&lt;&gt;"",'DICIEMBRE 2026'!Z34="POR RECOGER"),'DICIEMBRE 2026'!M34,"")</f>
        <v/>
      </c>
      <c r="H1185" s="193" t="str">
        <f aca="false">IF(AND('DICIEMBRE 2026'!D34&lt;&gt;"",'DICIEMBRE 2026'!Z34="POR RECOGER"),'DICIEMBRE 2026'!N34,"")</f>
        <v/>
      </c>
      <c r="I1185" s="192" t="str">
        <f aca="false">IF(AND('DICIEMBRE 2026'!D34&lt;&gt;"",'DICIEMBRE 2026'!Z34="POR RECOGER"),'DICIEMBRE 2026'!P34,"")</f>
        <v/>
      </c>
      <c r="J1185" s="192" t="str">
        <f aca="false">IF(AND('DICIEMBRE 2026'!D34&lt;&gt;"",'DICIEMBRE 2026'!Z34="POR RECOGER"),'DICIEMBRE 2026'!Q34,"")</f>
        <v/>
      </c>
      <c r="K1185" s="192" t="str">
        <f aca="false">IF(AND('DICIEMBRE 2026'!D34&lt;&gt;"",'DICIEMBRE 2026'!Z34="POR RECOGER"),'DICIEMBRE 2026'!Y34,"")</f>
        <v/>
      </c>
      <c r="L1185" s="192" t="str">
        <f aca="false">IF(AND('DICIEMBRE 2026'!D34&lt;&gt;"",'DICIEMBRE 2026'!Z34="POR RECOGER"),'DICIEMBRE 2026'!I34,"")</f>
        <v/>
      </c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customFormat="false" ht="15" hidden="false" customHeight="true" outlineLevel="0" collapsed="false">
      <c r="A1186" s="192" t="str">
        <f aca="false">IF(AND('DICIEMBRE 2026'!D35&lt;&gt;"",'DICIEMBRE 2026'!Z35="POR RECOGER"),"DIC","")</f>
        <v/>
      </c>
      <c r="B1186" s="192" t="str">
        <f aca="false">IF(AND('DICIEMBRE 2026'!D35&lt;&gt;"",'DICIEMBRE 2026'!Z35="POR RECOGER"),IF('DICIEMBRE 2026'!Y35&lt;&gt;"",'DICIEMBRE 2026'!Y35,'DICIEMBRE 2026'!I35),"")</f>
        <v/>
      </c>
      <c r="C1186" s="192" t="str">
        <f aca="false">IF(AND('DICIEMBRE 2026'!D35&lt;&gt;"",'DICIEMBRE 2026'!Z35="POR RECOGER"),'DICIEMBRE 2026'!D35,"")</f>
        <v/>
      </c>
      <c r="D1186" s="192" t="str">
        <f aca="false">IF(AND('DICIEMBRE 2026'!D35&lt;&gt;"",'DICIEMBRE 2026'!Z35="POR RECOGER"),'DICIEMBRE 2026'!F35,"")</f>
        <v/>
      </c>
      <c r="E1186" s="192" t="str">
        <f aca="false">IF(AND('DICIEMBRE 2026'!D35&lt;&gt;"",'DICIEMBRE 2026'!Z35="POR RECOGER"),TEXT('DICIEMBRE 2026'!G35,"DD/MM/YYYY"),"")</f>
        <v/>
      </c>
      <c r="F1186" s="192" t="str">
        <f aca="false">IF(AND('DICIEMBRE 2026'!D35&lt;&gt;"",'DICIEMBRE 2026'!Z35="POR RECOGER"),'DICIEMBRE 2026'!K35,"")</f>
        <v/>
      </c>
      <c r="G1186" s="193" t="str">
        <f aca="false">IF(AND('DICIEMBRE 2026'!D35&lt;&gt;"",'DICIEMBRE 2026'!Z35="POR RECOGER"),'DICIEMBRE 2026'!M35,"")</f>
        <v/>
      </c>
      <c r="H1186" s="193" t="str">
        <f aca="false">IF(AND('DICIEMBRE 2026'!D35&lt;&gt;"",'DICIEMBRE 2026'!Z35="POR RECOGER"),'DICIEMBRE 2026'!N35,"")</f>
        <v/>
      </c>
      <c r="I1186" s="192" t="str">
        <f aca="false">IF(AND('DICIEMBRE 2026'!D35&lt;&gt;"",'DICIEMBRE 2026'!Z35="POR RECOGER"),'DICIEMBRE 2026'!P35,"")</f>
        <v/>
      </c>
      <c r="J1186" s="192" t="str">
        <f aca="false">IF(AND('DICIEMBRE 2026'!D35&lt;&gt;"",'DICIEMBRE 2026'!Z35="POR RECOGER"),'DICIEMBRE 2026'!Q35,"")</f>
        <v/>
      </c>
      <c r="K1186" s="192" t="str">
        <f aca="false">IF(AND('DICIEMBRE 2026'!D35&lt;&gt;"",'DICIEMBRE 2026'!Z35="POR RECOGER"),'DICIEMBRE 2026'!Y35,"")</f>
        <v/>
      </c>
      <c r="L1186" s="192" t="str">
        <f aca="false">IF(AND('DICIEMBRE 2026'!D35&lt;&gt;"",'DICIEMBRE 2026'!Z35="POR RECOGER"),'DICIEMBRE 2026'!I35,"")</f>
        <v/>
      </c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customFormat="false" ht="15" hidden="false" customHeight="true" outlineLevel="0" collapsed="false">
      <c r="A1187" s="192" t="str">
        <f aca="false">IF(AND('DICIEMBRE 2026'!D36&lt;&gt;"",'DICIEMBRE 2026'!Z36="POR RECOGER"),"DIC","")</f>
        <v/>
      </c>
      <c r="B1187" s="192" t="str">
        <f aca="false">IF(AND('DICIEMBRE 2026'!D36&lt;&gt;"",'DICIEMBRE 2026'!Z36="POR RECOGER"),IF('DICIEMBRE 2026'!Y36&lt;&gt;"",'DICIEMBRE 2026'!Y36,'DICIEMBRE 2026'!I36),"")</f>
        <v/>
      </c>
      <c r="C1187" s="192" t="str">
        <f aca="false">IF(AND('DICIEMBRE 2026'!D36&lt;&gt;"",'DICIEMBRE 2026'!Z36="POR RECOGER"),'DICIEMBRE 2026'!D36,"")</f>
        <v/>
      </c>
      <c r="D1187" s="192" t="str">
        <f aca="false">IF(AND('DICIEMBRE 2026'!D36&lt;&gt;"",'DICIEMBRE 2026'!Z36="POR RECOGER"),'DICIEMBRE 2026'!F36,"")</f>
        <v/>
      </c>
      <c r="E1187" s="192" t="str">
        <f aca="false">IF(AND('DICIEMBRE 2026'!D36&lt;&gt;"",'DICIEMBRE 2026'!Z36="POR RECOGER"),TEXT('DICIEMBRE 2026'!G36,"DD/MM/YYYY"),"")</f>
        <v/>
      </c>
      <c r="F1187" s="192" t="str">
        <f aca="false">IF(AND('DICIEMBRE 2026'!D36&lt;&gt;"",'DICIEMBRE 2026'!Z36="POR RECOGER"),'DICIEMBRE 2026'!K36,"")</f>
        <v/>
      </c>
      <c r="G1187" s="193" t="str">
        <f aca="false">IF(AND('DICIEMBRE 2026'!D36&lt;&gt;"",'DICIEMBRE 2026'!Z36="POR RECOGER"),'DICIEMBRE 2026'!M36,"")</f>
        <v/>
      </c>
      <c r="H1187" s="193" t="str">
        <f aca="false">IF(AND('DICIEMBRE 2026'!D36&lt;&gt;"",'DICIEMBRE 2026'!Z36="POR RECOGER"),'DICIEMBRE 2026'!N36,"")</f>
        <v/>
      </c>
      <c r="I1187" s="192" t="str">
        <f aca="false">IF(AND('DICIEMBRE 2026'!D36&lt;&gt;"",'DICIEMBRE 2026'!Z36="POR RECOGER"),'DICIEMBRE 2026'!P36,"")</f>
        <v/>
      </c>
      <c r="J1187" s="192" t="str">
        <f aca="false">IF(AND('DICIEMBRE 2026'!D36&lt;&gt;"",'DICIEMBRE 2026'!Z36="POR RECOGER"),'DICIEMBRE 2026'!Q36,"")</f>
        <v/>
      </c>
      <c r="K1187" s="192" t="str">
        <f aca="false">IF(AND('DICIEMBRE 2026'!D36&lt;&gt;"",'DICIEMBRE 2026'!Z36="POR RECOGER"),'DICIEMBRE 2026'!Y36,"")</f>
        <v/>
      </c>
      <c r="L1187" s="192" t="str">
        <f aca="false">IF(AND('DICIEMBRE 2026'!D36&lt;&gt;"",'DICIEMBRE 2026'!Z36="POR RECOGER"),'DICIEMBRE 2026'!I36,"")</f>
        <v/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customFormat="false" ht="15" hidden="false" customHeight="true" outlineLevel="0" collapsed="false">
      <c r="A1188" s="192" t="str">
        <f aca="false">IF(AND('DICIEMBRE 2026'!D37&lt;&gt;"",'DICIEMBRE 2026'!Z37="POR RECOGER"),"DIC","")</f>
        <v/>
      </c>
      <c r="B1188" s="192" t="str">
        <f aca="false">IF(AND('DICIEMBRE 2026'!D37&lt;&gt;"",'DICIEMBRE 2026'!Z37="POR RECOGER"),IF('DICIEMBRE 2026'!Y37&lt;&gt;"",'DICIEMBRE 2026'!Y37,'DICIEMBRE 2026'!I37),"")</f>
        <v/>
      </c>
      <c r="C1188" s="192" t="str">
        <f aca="false">IF(AND('DICIEMBRE 2026'!D37&lt;&gt;"",'DICIEMBRE 2026'!Z37="POR RECOGER"),'DICIEMBRE 2026'!D37,"")</f>
        <v/>
      </c>
      <c r="D1188" s="192" t="str">
        <f aca="false">IF(AND('DICIEMBRE 2026'!D37&lt;&gt;"",'DICIEMBRE 2026'!Z37="POR RECOGER"),'DICIEMBRE 2026'!F37,"")</f>
        <v/>
      </c>
      <c r="E1188" s="192" t="str">
        <f aca="false">IF(AND('DICIEMBRE 2026'!D37&lt;&gt;"",'DICIEMBRE 2026'!Z37="POR RECOGER"),TEXT('DICIEMBRE 2026'!G37,"DD/MM/YYYY"),"")</f>
        <v/>
      </c>
      <c r="F1188" s="192" t="str">
        <f aca="false">IF(AND('DICIEMBRE 2026'!D37&lt;&gt;"",'DICIEMBRE 2026'!Z37="POR RECOGER"),'DICIEMBRE 2026'!K37,"")</f>
        <v/>
      </c>
      <c r="G1188" s="193" t="str">
        <f aca="false">IF(AND('DICIEMBRE 2026'!D37&lt;&gt;"",'DICIEMBRE 2026'!Z37="POR RECOGER"),'DICIEMBRE 2026'!M37,"")</f>
        <v/>
      </c>
      <c r="H1188" s="193" t="str">
        <f aca="false">IF(AND('DICIEMBRE 2026'!D37&lt;&gt;"",'DICIEMBRE 2026'!Z37="POR RECOGER"),'DICIEMBRE 2026'!N37,"")</f>
        <v/>
      </c>
      <c r="I1188" s="192" t="str">
        <f aca="false">IF(AND('DICIEMBRE 2026'!D37&lt;&gt;"",'DICIEMBRE 2026'!Z37="POR RECOGER"),'DICIEMBRE 2026'!P37,"")</f>
        <v/>
      </c>
      <c r="J1188" s="192" t="str">
        <f aca="false">IF(AND('DICIEMBRE 2026'!D37&lt;&gt;"",'DICIEMBRE 2026'!Z37="POR RECOGER"),'DICIEMBRE 2026'!Q37,"")</f>
        <v/>
      </c>
      <c r="K1188" s="192" t="str">
        <f aca="false">IF(AND('DICIEMBRE 2026'!D37&lt;&gt;"",'DICIEMBRE 2026'!Z37="POR RECOGER"),'DICIEMBRE 2026'!Y37,"")</f>
        <v/>
      </c>
      <c r="L1188" s="192" t="str">
        <f aca="false">IF(AND('DICIEMBRE 2026'!D37&lt;&gt;"",'DICIEMBRE 2026'!Z37="POR RECOGER"),'DICIEMBRE 2026'!I37,"")</f>
        <v/>
      </c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customFormat="false" ht="15" hidden="false" customHeight="true" outlineLevel="0" collapsed="false">
      <c r="A1189" s="192" t="str">
        <f aca="false">IF(AND('DICIEMBRE 2026'!D38&lt;&gt;"",'DICIEMBRE 2026'!Z38="POR RECOGER"),"DIC","")</f>
        <v/>
      </c>
      <c r="B1189" s="192" t="str">
        <f aca="false">IF(AND('DICIEMBRE 2026'!D38&lt;&gt;"",'DICIEMBRE 2026'!Z38="POR RECOGER"),IF('DICIEMBRE 2026'!Y38&lt;&gt;"",'DICIEMBRE 2026'!Y38,'DICIEMBRE 2026'!I38),"")</f>
        <v/>
      </c>
      <c r="C1189" s="192" t="str">
        <f aca="false">IF(AND('DICIEMBRE 2026'!D38&lt;&gt;"",'DICIEMBRE 2026'!Z38="POR RECOGER"),'DICIEMBRE 2026'!D38,"")</f>
        <v/>
      </c>
      <c r="D1189" s="192" t="str">
        <f aca="false">IF(AND('DICIEMBRE 2026'!D38&lt;&gt;"",'DICIEMBRE 2026'!Z38="POR RECOGER"),'DICIEMBRE 2026'!F38,"")</f>
        <v/>
      </c>
      <c r="E1189" s="192" t="str">
        <f aca="false">IF(AND('DICIEMBRE 2026'!D38&lt;&gt;"",'DICIEMBRE 2026'!Z38="POR RECOGER"),TEXT('DICIEMBRE 2026'!G38,"DD/MM/YYYY"),"")</f>
        <v/>
      </c>
      <c r="F1189" s="192" t="str">
        <f aca="false">IF(AND('DICIEMBRE 2026'!D38&lt;&gt;"",'DICIEMBRE 2026'!Z38="POR RECOGER"),'DICIEMBRE 2026'!K38,"")</f>
        <v/>
      </c>
      <c r="G1189" s="193" t="str">
        <f aca="false">IF(AND('DICIEMBRE 2026'!D38&lt;&gt;"",'DICIEMBRE 2026'!Z38="POR RECOGER"),'DICIEMBRE 2026'!M38,"")</f>
        <v/>
      </c>
      <c r="H1189" s="193" t="str">
        <f aca="false">IF(AND('DICIEMBRE 2026'!D38&lt;&gt;"",'DICIEMBRE 2026'!Z38="POR RECOGER"),'DICIEMBRE 2026'!N38,"")</f>
        <v/>
      </c>
      <c r="I1189" s="192" t="str">
        <f aca="false">IF(AND('DICIEMBRE 2026'!D38&lt;&gt;"",'DICIEMBRE 2026'!Z38="POR RECOGER"),'DICIEMBRE 2026'!P38,"")</f>
        <v/>
      </c>
      <c r="J1189" s="192" t="str">
        <f aca="false">IF(AND('DICIEMBRE 2026'!D38&lt;&gt;"",'DICIEMBRE 2026'!Z38="POR RECOGER"),'DICIEMBRE 2026'!Q38,"")</f>
        <v/>
      </c>
      <c r="K1189" s="192" t="str">
        <f aca="false">IF(AND('DICIEMBRE 2026'!D38&lt;&gt;"",'DICIEMBRE 2026'!Z38="POR RECOGER"),'DICIEMBRE 2026'!Y38,"")</f>
        <v/>
      </c>
      <c r="L1189" s="192" t="str">
        <f aca="false">IF(AND('DICIEMBRE 2026'!D38&lt;&gt;"",'DICIEMBRE 2026'!Z38="POR RECOGER"),'DICIEMBRE 2026'!I38,"")</f>
        <v/>
      </c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customFormat="false" ht="15" hidden="false" customHeight="true" outlineLevel="0" collapsed="false">
      <c r="A1190" s="192" t="str">
        <f aca="false">IF(AND('DICIEMBRE 2026'!D39&lt;&gt;"",'DICIEMBRE 2026'!Z39="POR RECOGER"),"DIC","")</f>
        <v/>
      </c>
      <c r="B1190" s="192" t="str">
        <f aca="false">IF(AND('DICIEMBRE 2026'!D39&lt;&gt;"",'DICIEMBRE 2026'!Z39="POR RECOGER"),IF('DICIEMBRE 2026'!Y39&lt;&gt;"",'DICIEMBRE 2026'!Y39,'DICIEMBRE 2026'!I39),"")</f>
        <v/>
      </c>
      <c r="C1190" s="192" t="str">
        <f aca="false">IF(AND('DICIEMBRE 2026'!D39&lt;&gt;"",'DICIEMBRE 2026'!Z39="POR RECOGER"),'DICIEMBRE 2026'!D39,"")</f>
        <v/>
      </c>
      <c r="D1190" s="192" t="str">
        <f aca="false">IF(AND('DICIEMBRE 2026'!D39&lt;&gt;"",'DICIEMBRE 2026'!Z39="POR RECOGER"),'DICIEMBRE 2026'!F39,"")</f>
        <v/>
      </c>
      <c r="E1190" s="192" t="str">
        <f aca="false">IF(AND('DICIEMBRE 2026'!D39&lt;&gt;"",'DICIEMBRE 2026'!Z39="POR RECOGER"),TEXT('DICIEMBRE 2026'!G39,"DD/MM/YYYY"),"")</f>
        <v/>
      </c>
      <c r="F1190" s="192" t="str">
        <f aca="false">IF(AND('DICIEMBRE 2026'!D39&lt;&gt;"",'DICIEMBRE 2026'!Z39="POR RECOGER"),'DICIEMBRE 2026'!K39,"")</f>
        <v/>
      </c>
      <c r="G1190" s="193" t="str">
        <f aca="false">IF(AND('DICIEMBRE 2026'!D39&lt;&gt;"",'DICIEMBRE 2026'!Z39="POR RECOGER"),'DICIEMBRE 2026'!M39,"")</f>
        <v/>
      </c>
      <c r="H1190" s="193" t="str">
        <f aca="false">IF(AND('DICIEMBRE 2026'!D39&lt;&gt;"",'DICIEMBRE 2026'!Z39="POR RECOGER"),'DICIEMBRE 2026'!N39,"")</f>
        <v/>
      </c>
      <c r="I1190" s="192" t="str">
        <f aca="false">IF(AND('DICIEMBRE 2026'!D39&lt;&gt;"",'DICIEMBRE 2026'!Z39="POR RECOGER"),'DICIEMBRE 2026'!P39,"")</f>
        <v/>
      </c>
      <c r="J1190" s="192" t="str">
        <f aca="false">IF(AND('DICIEMBRE 2026'!D39&lt;&gt;"",'DICIEMBRE 2026'!Z39="POR RECOGER"),'DICIEMBRE 2026'!Q39,"")</f>
        <v/>
      </c>
      <c r="K1190" s="192" t="str">
        <f aca="false">IF(AND('DICIEMBRE 2026'!D39&lt;&gt;"",'DICIEMBRE 2026'!Z39="POR RECOGER"),'DICIEMBRE 2026'!Y39,"")</f>
        <v/>
      </c>
      <c r="L1190" s="192" t="str">
        <f aca="false">IF(AND('DICIEMBRE 2026'!D39&lt;&gt;"",'DICIEMBRE 2026'!Z39="POR RECOGER"),'DICIEMBRE 2026'!I39,"")</f>
        <v/>
      </c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customFormat="false" ht="15" hidden="false" customHeight="true" outlineLevel="0" collapsed="false">
      <c r="A1191" s="192" t="str">
        <f aca="false">IF(AND('DICIEMBRE 2026'!D40&lt;&gt;"",'DICIEMBRE 2026'!Z40="POR RECOGER"),"DIC","")</f>
        <v/>
      </c>
      <c r="B1191" s="192" t="str">
        <f aca="false">IF(AND('DICIEMBRE 2026'!D40&lt;&gt;"",'DICIEMBRE 2026'!Z40="POR RECOGER"),IF('DICIEMBRE 2026'!Y40&lt;&gt;"",'DICIEMBRE 2026'!Y40,'DICIEMBRE 2026'!I40),"")</f>
        <v/>
      </c>
      <c r="C1191" s="192" t="str">
        <f aca="false">IF(AND('DICIEMBRE 2026'!D40&lt;&gt;"",'DICIEMBRE 2026'!Z40="POR RECOGER"),'DICIEMBRE 2026'!D40,"")</f>
        <v/>
      </c>
      <c r="D1191" s="192" t="str">
        <f aca="false">IF(AND('DICIEMBRE 2026'!D40&lt;&gt;"",'DICIEMBRE 2026'!Z40="POR RECOGER"),'DICIEMBRE 2026'!F40,"")</f>
        <v/>
      </c>
      <c r="E1191" s="192" t="str">
        <f aca="false">IF(AND('DICIEMBRE 2026'!D40&lt;&gt;"",'DICIEMBRE 2026'!Z40="POR RECOGER"),TEXT('DICIEMBRE 2026'!G40,"DD/MM/YYYY"),"")</f>
        <v/>
      </c>
      <c r="F1191" s="192" t="str">
        <f aca="false">IF(AND('DICIEMBRE 2026'!D40&lt;&gt;"",'DICIEMBRE 2026'!Z40="POR RECOGER"),'DICIEMBRE 2026'!K40,"")</f>
        <v/>
      </c>
      <c r="G1191" s="193" t="str">
        <f aca="false">IF(AND('DICIEMBRE 2026'!D40&lt;&gt;"",'DICIEMBRE 2026'!Z40="POR RECOGER"),'DICIEMBRE 2026'!M40,"")</f>
        <v/>
      </c>
      <c r="H1191" s="193" t="str">
        <f aca="false">IF(AND('DICIEMBRE 2026'!D40&lt;&gt;"",'DICIEMBRE 2026'!Z40="POR RECOGER"),'DICIEMBRE 2026'!N40,"")</f>
        <v/>
      </c>
      <c r="I1191" s="192" t="str">
        <f aca="false">IF(AND('DICIEMBRE 2026'!D40&lt;&gt;"",'DICIEMBRE 2026'!Z40="POR RECOGER"),'DICIEMBRE 2026'!P40,"")</f>
        <v/>
      </c>
      <c r="J1191" s="192" t="str">
        <f aca="false">IF(AND('DICIEMBRE 2026'!D40&lt;&gt;"",'DICIEMBRE 2026'!Z40="POR RECOGER"),'DICIEMBRE 2026'!Q40,"")</f>
        <v/>
      </c>
      <c r="K1191" s="192" t="str">
        <f aca="false">IF(AND('DICIEMBRE 2026'!D40&lt;&gt;"",'DICIEMBRE 2026'!Z40="POR RECOGER"),'DICIEMBRE 2026'!Y40,"")</f>
        <v/>
      </c>
      <c r="L1191" s="192" t="str">
        <f aca="false">IF(AND('DICIEMBRE 2026'!D40&lt;&gt;"",'DICIEMBRE 2026'!Z40="POR RECOGER"),'DICIEMBRE 2026'!I40,"")</f>
        <v/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customFormat="false" ht="15" hidden="false" customHeight="true" outlineLevel="0" collapsed="false">
      <c r="A1192" s="192" t="str">
        <f aca="false">IF(AND('DICIEMBRE 2026'!D41&lt;&gt;"",'DICIEMBRE 2026'!Z41="POR RECOGER"),"DIC","")</f>
        <v/>
      </c>
      <c r="B1192" s="192" t="str">
        <f aca="false">IF(AND('DICIEMBRE 2026'!D41&lt;&gt;"",'DICIEMBRE 2026'!Z41="POR RECOGER"),IF('DICIEMBRE 2026'!Y41&lt;&gt;"",'DICIEMBRE 2026'!Y41,'DICIEMBRE 2026'!I41),"")</f>
        <v/>
      </c>
      <c r="C1192" s="192" t="str">
        <f aca="false">IF(AND('DICIEMBRE 2026'!D41&lt;&gt;"",'DICIEMBRE 2026'!Z41="POR RECOGER"),'DICIEMBRE 2026'!D41,"")</f>
        <v/>
      </c>
      <c r="D1192" s="192" t="str">
        <f aca="false">IF(AND('DICIEMBRE 2026'!D41&lt;&gt;"",'DICIEMBRE 2026'!Z41="POR RECOGER"),'DICIEMBRE 2026'!F41,"")</f>
        <v/>
      </c>
      <c r="E1192" s="192" t="str">
        <f aca="false">IF(AND('DICIEMBRE 2026'!D41&lt;&gt;"",'DICIEMBRE 2026'!Z41="POR RECOGER"),TEXT('DICIEMBRE 2026'!G41,"DD/MM/YYYY"),"")</f>
        <v/>
      </c>
      <c r="F1192" s="192" t="str">
        <f aca="false">IF(AND('DICIEMBRE 2026'!D41&lt;&gt;"",'DICIEMBRE 2026'!Z41="POR RECOGER"),'DICIEMBRE 2026'!K41,"")</f>
        <v/>
      </c>
      <c r="G1192" s="193" t="str">
        <f aca="false">IF(AND('DICIEMBRE 2026'!D41&lt;&gt;"",'DICIEMBRE 2026'!Z41="POR RECOGER"),'DICIEMBRE 2026'!M41,"")</f>
        <v/>
      </c>
      <c r="H1192" s="193" t="str">
        <f aca="false">IF(AND('DICIEMBRE 2026'!D41&lt;&gt;"",'DICIEMBRE 2026'!Z41="POR RECOGER"),'DICIEMBRE 2026'!N41,"")</f>
        <v/>
      </c>
      <c r="I1192" s="192" t="str">
        <f aca="false">IF(AND('DICIEMBRE 2026'!D41&lt;&gt;"",'DICIEMBRE 2026'!Z41="POR RECOGER"),'DICIEMBRE 2026'!P41,"")</f>
        <v/>
      </c>
      <c r="J1192" s="192" t="str">
        <f aca="false">IF(AND('DICIEMBRE 2026'!D41&lt;&gt;"",'DICIEMBRE 2026'!Z41="POR RECOGER"),'DICIEMBRE 2026'!Q41,"")</f>
        <v/>
      </c>
      <c r="K1192" s="192" t="str">
        <f aca="false">IF(AND('DICIEMBRE 2026'!D41&lt;&gt;"",'DICIEMBRE 2026'!Z41="POR RECOGER"),'DICIEMBRE 2026'!Y41,"")</f>
        <v/>
      </c>
      <c r="L1192" s="192" t="str">
        <f aca="false">IF(AND('DICIEMBRE 2026'!D41&lt;&gt;"",'DICIEMBRE 2026'!Z41="POR RECOGER"),'DICIEMBRE 2026'!I41,"")</f>
        <v/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customFormat="false" ht="15" hidden="false" customHeight="true" outlineLevel="0" collapsed="false">
      <c r="A1193" s="192" t="str">
        <f aca="false">IF(AND('DICIEMBRE 2026'!D42&lt;&gt;"",'DICIEMBRE 2026'!Z42="POR RECOGER"),"DIC","")</f>
        <v/>
      </c>
      <c r="B1193" s="192" t="str">
        <f aca="false">IF(AND('DICIEMBRE 2026'!D42&lt;&gt;"",'DICIEMBRE 2026'!Z42="POR RECOGER"),IF('DICIEMBRE 2026'!Y42&lt;&gt;"",'DICIEMBRE 2026'!Y42,'DICIEMBRE 2026'!I42),"")</f>
        <v/>
      </c>
      <c r="C1193" s="192" t="str">
        <f aca="false">IF(AND('DICIEMBRE 2026'!D42&lt;&gt;"",'DICIEMBRE 2026'!Z42="POR RECOGER"),'DICIEMBRE 2026'!D42,"")</f>
        <v/>
      </c>
      <c r="D1193" s="192" t="str">
        <f aca="false">IF(AND('DICIEMBRE 2026'!D42&lt;&gt;"",'DICIEMBRE 2026'!Z42="POR RECOGER"),'DICIEMBRE 2026'!F42,"")</f>
        <v/>
      </c>
      <c r="E1193" s="192" t="str">
        <f aca="false">IF(AND('DICIEMBRE 2026'!D42&lt;&gt;"",'DICIEMBRE 2026'!Z42="POR RECOGER"),TEXT('DICIEMBRE 2026'!G42,"DD/MM/YYYY"),"")</f>
        <v/>
      </c>
      <c r="F1193" s="192" t="str">
        <f aca="false">IF(AND('DICIEMBRE 2026'!D42&lt;&gt;"",'DICIEMBRE 2026'!Z42="POR RECOGER"),'DICIEMBRE 2026'!K42,"")</f>
        <v/>
      </c>
      <c r="G1193" s="193" t="str">
        <f aca="false">IF(AND('DICIEMBRE 2026'!D42&lt;&gt;"",'DICIEMBRE 2026'!Z42="POR RECOGER"),'DICIEMBRE 2026'!M42,"")</f>
        <v/>
      </c>
      <c r="H1193" s="193" t="str">
        <f aca="false">IF(AND('DICIEMBRE 2026'!D42&lt;&gt;"",'DICIEMBRE 2026'!Z42="POR RECOGER"),'DICIEMBRE 2026'!N42,"")</f>
        <v/>
      </c>
      <c r="I1193" s="192" t="str">
        <f aca="false">IF(AND('DICIEMBRE 2026'!D42&lt;&gt;"",'DICIEMBRE 2026'!Z42="POR RECOGER"),'DICIEMBRE 2026'!P42,"")</f>
        <v/>
      </c>
      <c r="J1193" s="192" t="str">
        <f aca="false">IF(AND('DICIEMBRE 2026'!D42&lt;&gt;"",'DICIEMBRE 2026'!Z42="POR RECOGER"),'DICIEMBRE 2026'!Q42,"")</f>
        <v/>
      </c>
      <c r="K1193" s="192" t="str">
        <f aca="false">IF(AND('DICIEMBRE 2026'!D42&lt;&gt;"",'DICIEMBRE 2026'!Z42="POR RECOGER"),'DICIEMBRE 2026'!Y42,"")</f>
        <v/>
      </c>
      <c r="L1193" s="192" t="str">
        <f aca="false">IF(AND('DICIEMBRE 2026'!D42&lt;&gt;"",'DICIEMBRE 2026'!Z42="POR RECOGER"),'DICIEMBRE 2026'!I42,"")</f>
        <v/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customFormat="false" ht="15" hidden="false" customHeight="true" outlineLevel="0" collapsed="false">
      <c r="A1194" s="192" t="str">
        <f aca="false">IF(AND('DICIEMBRE 2026'!D43&lt;&gt;"",'DICIEMBRE 2026'!Z43="POR RECOGER"),"DIC","")</f>
        <v/>
      </c>
      <c r="B1194" s="192" t="str">
        <f aca="false">IF(AND('DICIEMBRE 2026'!D43&lt;&gt;"",'DICIEMBRE 2026'!Z43="POR RECOGER"),IF('DICIEMBRE 2026'!Y43&lt;&gt;"",'DICIEMBRE 2026'!Y43,'DICIEMBRE 2026'!I43),"")</f>
        <v/>
      </c>
      <c r="C1194" s="192" t="str">
        <f aca="false">IF(AND('DICIEMBRE 2026'!D43&lt;&gt;"",'DICIEMBRE 2026'!Z43="POR RECOGER"),'DICIEMBRE 2026'!D43,"")</f>
        <v/>
      </c>
      <c r="D1194" s="192" t="str">
        <f aca="false">IF(AND('DICIEMBRE 2026'!D43&lt;&gt;"",'DICIEMBRE 2026'!Z43="POR RECOGER"),'DICIEMBRE 2026'!F43,"")</f>
        <v/>
      </c>
      <c r="E1194" s="192" t="str">
        <f aca="false">IF(AND('DICIEMBRE 2026'!D43&lt;&gt;"",'DICIEMBRE 2026'!Z43="POR RECOGER"),TEXT('DICIEMBRE 2026'!G43,"DD/MM/YYYY"),"")</f>
        <v/>
      </c>
      <c r="F1194" s="192" t="str">
        <f aca="false">IF(AND('DICIEMBRE 2026'!D43&lt;&gt;"",'DICIEMBRE 2026'!Z43="POR RECOGER"),'DICIEMBRE 2026'!K43,"")</f>
        <v/>
      </c>
      <c r="G1194" s="193" t="str">
        <f aca="false">IF(AND('DICIEMBRE 2026'!D43&lt;&gt;"",'DICIEMBRE 2026'!Z43="POR RECOGER"),'DICIEMBRE 2026'!M43,"")</f>
        <v/>
      </c>
      <c r="H1194" s="193" t="str">
        <f aca="false">IF(AND('DICIEMBRE 2026'!D43&lt;&gt;"",'DICIEMBRE 2026'!Z43="POR RECOGER"),'DICIEMBRE 2026'!N43,"")</f>
        <v/>
      </c>
      <c r="I1194" s="192" t="str">
        <f aca="false">IF(AND('DICIEMBRE 2026'!D43&lt;&gt;"",'DICIEMBRE 2026'!Z43="POR RECOGER"),'DICIEMBRE 2026'!P43,"")</f>
        <v/>
      </c>
      <c r="J1194" s="192" t="str">
        <f aca="false">IF(AND('DICIEMBRE 2026'!D43&lt;&gt;"",'DICIEMBRE 2026'!Z43="POR RECOGER"),'DICIEMBRE 2026'!Q43,"")</f>
        <v/>
      </c>
      <c r="K1194" s="192" t="str">
        <f aca="false">IF(AND('DICIEMBRE 2026'!D43&lt;&gt;"",'DICIEMBRE 2026'!Z43="POR RECOGER"),'DICIEMBRE 2026'!Y43,"")</f>
        <v/>
      </c>
      <c r="L1194" s="192" t="str">
        <f aca="false">IF(AND('DICIEMBRE 2026'!D43&lt;&gt;"",'DICIEMBRE 2026'!Z43="POR RECOGER"),'DICIEMBRE 2026'!I43,"")</f>
        <v/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customFormat="false" ht="15" hidden="false" customHeight="true" outlineLevel="0" collapsed="false">
      <c r="A1195" s="192" t="str">
        <f aca="false">IF(AND('DICIEMBRE 2026'!D44&lt;&gt;"",'DICIEMBRE 2026'!Z44="POR RECOGER"),"DIC","")</f>
        <v/>
      </c>
      <c r="B1195" s="192" t="str">
        <f aca="false">IF(AND('DICIEMBRE 2026'!D44&lt;&gt;"",'DICIEMBRE 2026'!Z44="POR RECOGER"),IF('DICIEMBRE 2026'!Y44&lt;&gt;"",'DICIEMBRE 2026'!Y44,'DICIEMBRE 2026'!I44),"")</f>
        <v/>
      </c>
      <c r="C1195" s="192" t="str">
        <f aca="false">IF(AND('DICIEMBRE 2026'!D44&lt;&gt;"",'DICIEMBRE 2026'!Z44="POR RECOGER"),'DICIEMBRE 2026'!D44,"")</f>
        <v/>
      </c>
      <c r="D1195" s="192" t="str">
        <f aca="false">IF(AND('DICIEMBRE 2026'!D44&lt;&gt;"",'DICIEMBRE 2026'!Z44="POR RECOGER"),'DICIEMBRE 2026'!F44,"")</f>
        <v/>
      </c>
      <c r="E1195" s="192" t="str">
        <f aca="false">IF(AND('DICIEMBRE 2026'!D44&lt;&gt;"",'DICIEMBRE 2026'!Z44="POR RECOGER"),TEXT('DICIEMBRE 2026'!G44,"DD/MM/YYYY"),"")</f>
        <v/>
      </c>
      <c r="F1195" s="192" t="str">
        <f aca="false">IF(AND('DICIEMBRE 2026'!D44&lt;&gt;"",'DICIEMBRE 2026'!Z44="POR RECOGER"),'DICIEMBRE 2026'!K44,"")</f>
        <v/>
      </c>
      <c r="G1195" s="193" t="str">
        <f aca="false">IF(AND('DICIEMBRE 2026'!D44&lt;&gt;"",'DICIEMBRE 2026'!Z44="POR RECOGER"),'DICIEMBRE 2026'!M44,"")</f>
        <v/>
      </c>
      <c r="H1195" s="193" t="str">
        <f aca="false">IF(AND('DICIEMBRE 2026'!D44&lt;&gt;"",'DICIEMBRE 2026'!Z44="POR RECOGER"),'DICIEMBRE 2026'!N44,"")</f>
        <v/>
      </c>
      <c r="I1195" s="192" t="str">
        <f aca="false">IF(AND('DICIEMBRE 2026'!D44&lt;&gt;"",'DICIEMBRE 2026'!Z44="POR RECOGER"),'DICIEMBRE 2026'!P44,"")</f>
        <v/>
      </c>
      <c r="J1195" s="192" t="str">
        <f aca="false">IF(AND('DICIEMBRE 2026'!D44&lt;&gt;"",'DICIEMBRE 2026'!Z44="POR RECOGER"),'DICIEMBRE 2026'!Q44,"")</f>
        <v/>
      </c>
      <c r="K1195" s="192" t="str">
        <f aca="false">IF(AND('DICIEMBRE 2026'!D44&lt;&gt;"",'DICIEMBRE 2026'!Z44="POR RECOGER"),'DICIEMBRE 2026'!Y44,"")</f>
        <v/>
      </c>
      <c r="L1195" s="192" t="str">
        <f aca="false">IF(AND('DICIEMBRE 2026'!D44&lt;&gt;"",'DICIEMBRE 2026'!Z44="POR RECOGER"),'DICIEMBRE 2026'!I44,"")</f>
        <v/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customFormat="false" ht="15" hidden="false" customHeight="true" outlineLevel="0" collapsed="false">
      <c r="A1196" s="192" t="str">
        <f aca="false">IF(AND('DICIEMBRE 2026'!D45&lt;&gt;"",'DICIEMBRE 2026'!Z45="POR RECOGER"),"DIC","")</f>
        <v/>
      </c>
      <c r="B1196" s="192" t="str">
        <f aca="false">IF(AND('DICIEMBRE 2026'!D45&lt;&gt;"",'DICIEMBRE 2026'!Z45="POR RECOGER"),IF('DICIEMBRE 2026'!Y45&lt;&gt;"",'DICIEMBRE 2026'!Y45,'DICIEMBRE 2026'!I45),"")</f>
        <v/>
      </c>
      <c r="C1196" s="192" t="str">
        <f aca="false">IF(AND('DICIEMBRE 2026'!D45&lt;&gt;"",'DICIEMBRE 2026'!Z45="POR RECOGER"),'DICIEMBRE 2026'!D45,"")</f>
        <v/>
      </c>
      <c r="D1196" s="192" t="str">
        <f aca="false">IF(AND('DICIEMBRE 2026'!D45&lt;&gt;"",'DICIEMBRE 2026'!Z45="POR RECOGER"),'DICIEMBRE 2026'!F45,"")</f>
        <v/>
      </c>
      <c r="E1196" s="192" t="str">
        <f aca="false">IF(AND('DICIEMBRE 2026'!D45&lt;&gt;"",'DICIEMBRE 2026'!Z45="POR RECOGER"),TEXT('DICIEMBRE 2026'!G45,"DD/MM/YYYY"),"")</f>
        <v/>
      </c>
      <c r="F1196" s="192" t="str">
        <f aca="false">IF(AND('DICIEMBRE 2026'!D45&lt;&gt;"",'DICIEMBRE 2026'!Z45="POR RECOGER"),'DICIEMBRE 2026'!K45,"")</f>
        <v/>
      </c>
      <c r="G1196" s="193" t="str">
        <f aca="false">IF(AND('DICIEMBRE 2026'!D45&lt;&gt;"",'DICIEMBRE 2026'!Z45="POR RECOGER"),'DICIEMBRE 2026'!M45,"")</f>
        <v/>
      </c>
      <c r="H1196" s="193" t="str">
        <f aca="false">IF(AND('DICIEMBRE 2026'!D45&lt;&gt;"",'DICIEMBRE 2026'!Z45="POR RECOGER"),'DICIEMBRE 2026'!N45,"")</f>
        <v/>
      </c>
      <c r="I1196" s="192" t="str">
        <f aca="false">IF(AND('DICIEMBRE 2026'!D45&lt;&gt;"",'DICIEMBRE 2026'!Z45="POR RECOGER"),'DICIEMBRE 2026'!P45,"")</f>
        <v/>
      </c>
      <c r="J1196" s="192" t="str">
        <f aca="false">IF(AND('DICIEMBRE 2026'!D45&lt;&gt;"",'DICIEMBRE 2026'!Z45="POR RECOGER"),'DICIEMBRE 2026'!Q45,"")</f>
        <v/>
      </c>
      <c r="K1196" s="192" t="str">
        <f aca="false">IF(AND('DICIEMBRE 2026'!D45&lt;&gt;"",'DICIEMBRE 2026'!Z45="POR RECOGER"),'DICIEMBRE 2026'!Y45,"")</f>
        <v/>
      </c>
      <c r="L1196" s="192" t="str">
        <f aca="false">IF(AND('DICIEMBRE 2026'!D45&lt;&gt;"",'DICIEMBRE 2026'!Z45="POR RECOGER"),'DICIEMBRE 2026'!I45,"")</f>
        <v/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customFormat="false" ht="15" hidden="false" customHeight="true" outlineLevel="0" collapsed="false">
      <c r="A1197" s="192" t="str">
        <f aca="false">IF(AND('DICIEMBRE 2026'!D46&lt;&gt;"",'DICIEMBRE 2026'!Z46="POR RECOGER"),"DIC","")</f>
        <v/>
      </c>
      <c r="B1197" s="192" t="str">
        <f aca="false">IF(AND('DICIEMBRE 2026'!D46&lt;&gt;"",'DICIEMBRE 2026'!Z46="POR RECOGER"),IF('DICIEMBRE 2026'!Y46&lt;&gt;"",'DICIEMBRE 2026'!Y46,'DICIEMBRE 2026'!I46),"")</f>
        <v/>
      </c>
      <c r="C1197" s="192" t="str">
        <f aca="false">IF(AND('DICIEMBRE 2026'!D46&lt;&gt;"",'DICIEMBRE 2026'!Z46="POR RECOGER"),'DICIEMBRE 2026'!D46,"")</f>
        <v/>
      </c>
      <c r="D1197" s="192" t="str">
        <f aca="false">IF(AND('DICIEMBRE 2026'!D46&lt;&gt;"",'DICIEMBRE 2026'!Z46="POR RECOGER"),'DICIEMBRE 2026'!F46,"")</f>
        <v/>
      </c>
      <c r="E1197" s="192" t="str">
        <f aca="false">IF(AND('DICIEMBRE 2026'!D46&lt;&gt;"",'DICIEMBRE 2026'!Z46="POR RECOGER"),TEXT('DICIEMBRE 2026'!G46,"DD/MM/YYYY"),"")</f>
        <v/>
      </c>
      <c r="F1197" s="192" t="str">
        <f aca="false">IF(AND('DICIEMBRE 2026'!D46&lt;&gt;"",'DICIEMBRE 2026'!Z46="POR RECOGER"),'DICIEMBRE 2026'!K46,"")</f>
        <v/>
      </c>
      <c r="G1197" s="193" t="str">
        <f aca="false">IF(AND('DICIEMBRE 2026'!D46&lt;&gt;"",'DICIEMBRE 2026'!Z46="POR RECOGER"),'DICIEMBRE 2026'!M46,"")</f>
        <v/>
      </c>
      <c r="H1197" s="193" t="str">
        <f aca="false">IF(AND('DICIEMBRE 2026'!D46&lt;&gt;"",'DICIEMBRE 2026'!Z46="POR RECOGER"),'DICIEMBRE 2026'!N46,"")</f>
        <v/>
      </c>
      <c r="I1197" s="192" t="str">
        <f aca="false">IF(AND('DICIEMBRE 2026'!D46&lt;&gt;"",'DICIEMBRE 2026'!Z46="POR RECOGER"),'DICIEMBRE 2026'!P46,"")</f>
        <v/>
      </c>
      <c r="J1197" s="192" t="str">
        <f aca="false">IF(AND('DICIEMBRE 2026'!D46&lt;&gt;"",'DICIEMBRE 2026'!Z46="POR RECOGER"),'DICIEMBRE 2026'!Q46,"")</f>
        <v/>
      </c>
      <c r="K1197" s="192" t="str">
        <f aca="false">IF(AND('DICIEMBRE 2026'!D46&lt;&gt;"",'DICIEMBRE 2026'!Z46="POR RECOGER"),'DICIEMBRE 2026'!Y46,"")</f>
        <v/>
      </c>
      <c r="L1197" s="192" t="str">
        <f aca="false">IF(AND('DICIEMBRE 2026'!D46&lt;&gt;"",'DICIEMBRE 2026'!Z46="POR RECOGER"),'DICIEMBRE 2026'!I46,"")</f>
        <v/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customFormat="false" ht="15" hidden="false" customHeight="true" outlineLevel="0" collapsed="false">
      <c r="A1198" s="192" t="str">
        <f aca="false">IF(AND('DICIEMBRE 2026'!D47&lt;&gt;"",'DICIEMBRE 2026'!Z47="POR RECOGER"),"DIC","")</f>
        <v/>
      </c>
      <c r="B1198" s="192" t="str">
        <f aca="false">IF(AND('DICIEMBRE 2026'!D47&lt;&gt;"",'DICIEMBRE 2026'!Z47="POR RECOGER"),IF('DICIEMBRE 2026'!Y47&lt;&gt;"",'DICIEMBRE 2026'!Y47,'DICIEMBRE 2026'!I47),"")</f>
        <v/>
      </c>
      <c r="C1198" s="192" t="str">
        <f aca="false">IF(AND('DICIEMBRE 2026'!D47&lt;&gt;"",'DICIEMBRE 2026'!Z47="POR RECOGER"),'DICIEMBRE 2026'!D47,"")</f>
        <v/>
      </c>
      <c r="D1198" s="192" t="str">
        <f aca="false">IF(AND('DICIEMBRE 2026'!D47&lt;&gt;"",'DICIEMBRE 2026'!Z47="POR RECOGER"),'DICIEMBRE 2026'!F47,"")</f>
        <v/>
      </c>
      <c r="E1198" s="192" t="str">
        <f aca="false">IF(AND('DICIEMBRE 2026'!D47&lt;&gt;"",'DICIEMBRE 2026'!Z47="POR RECOGER"),TEXT('DICIEMBRE 2026'!G47,"DD/MM/YYYY"),"")</f>
        <v/>
      </c>
      <c r="F1198" s="192" t="str">
        <f aca="false">IF(AND('DICIEMBRE 2026'!D47&lt;&gt;"",'DICIEMBRE 2026'!Z47="POR RECOGER"),'DICIEMBRE 2026'!K47,"")</f>
        <v/>
      </c>
      <c r="G1198" s="193" t="str">
        <f aca="false">IF(AND('DICIEMBRE 2026'!D47&lt;&gt;"",'DICIEMBRE 2026'!Z47="POR RECOGER"),'DICIEMBRE 2026'!M47,"")</f>
        <v/>
      </c>
      <c r="H1198" s="193" t="str">
        <f aca="false">IF(AND('DICIEMBRE 2026'!D47&lt;&gt;"",'DICIEMBRE 2026'!Z47="POR RECOGER"),'DICIEMBRE 2026'!N47,"")</f>
        <v/>
      </c>
      <c r="I1198" s="192" t="str">
        <f aca="false">IF(AND('DICIEMBRE 2026'!D47&lt;&gt;"",'DICIEMBRE 2026'!Z47="POR RECOGER"),'DICIEMBRE 2026'!P47,"")</f>
        <v/>
      </c>
      <c r="J1198" s="192" t="str">
        <f aca="false">IF(AND('DICIEMBRE 2026'!D47&lt;&gt;"",'DICIEMBRE 2026'!Z47="POR RECOGER"),'DICIEMBRE 2026'!Q47,"")</f>
        <v/>
      </c>
      <c r="K1198" s="192" t="str">
        <f aca="false">IF(AND('DICIEMBRE 2026'!D47&lt;&gt;"",'DICIEMBRE 2026'!Z47="POR RECOGER"),'DICIEMBRE 2026'!Y47,"")</f>
        <v/>
      </c>
      <c r="L1198" s="192" t="str">
        <f aca="false">IF(AND('DICIEMBRE 2026'!D47&lt;&gt;"",'DICIEMBRE 2026'!Z47="POR RECOGER"),'DICIEMBRE 2026'!I47,"")</f>
        <v/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customFormat="false" ht="15" hidden="false" customHeight="true" outlineLevel="0" collapsed="false">
      <c r="A1199" s="192" t="str">
        <f aca="false">IF(AND('DICIEMBRE 2026'!D48&lt;&gt;"",'DICIEMBRE 2026'!Z48="POR RECOGER"),"DIC","")</f>
        <v/>
      </c>
      <c r="B1199" s="192" t="str">
        <f aca="false">IF(AND('DICIEMBRE 2026'!D48&lt;&gt;"",'DICIEMBRE 2026'!Z48="POR RECOGER"),IF('DICIEMBRE 2026'!Y48&lt;&gt;"",'DICIEMBRE 2026'!Y48,'DICIEMBRE 2026'!I48),"")</f>
        <v/>
      </c>
      <c r="C1199" s="192" t="str">
        <f aca="false">IF(AND('DICIEMBRE 2026'!D48&lt;&gt;"",'DICIEMBRE 2026'!Z48="POR RECOGER"),'DICIEMBRE 2026'!D48,"")</f>
        <v/>
      </c>
      <c r="D1199" s="192" t="str">
        <f aca="false">IF(AND('DICIEMBRE 2026'!D48&lt;&gt;"",'DICIEMBRE 2026'!Z48="POR RECOGER"),'DICIEMBRE 2026'!F48,"")</f>
        <v/>
      </c>
      <c r="E1199" s="192" t="str">
        <f aca="false">IF(AND('DICIEMBRE 2026'!D48&lt;&gt;"",'DICIEMBRE 2026'!Z48="POR RECOGER"),TEXT('DICIEMBRE 2026'!G48,"DD/MM/YYYY"),"")</f>
        <v/>
      </c>
      <c r="F1199" s="192" t="str">
        <f aca="false">IF(AND('DICIEMBRE 2026'!D48&lt;&gt;"",'DICIEMBRE 2026'!Z48="POR RECOGER"),'DICIEMBRE 2026'!K48,"")</f>
        <v/>
      </c>
      <c r="G1199" s="193" t="str">
        <f aca="false">IF(AND('DICIEMBRE 2026'!D48&lt;&gt;"",'DICIEMBRE 2026'!Z48="POR RECOGER"),'DICIEMBRE 2026'!M48,"")</f>
        <v/>
      </c>
      <c r="H1199" s="193" t="str">
        <f aca="false">IF(AND('DICIEMBRE 2026'!D48&lt;&gt;"",'DICIEMBRE 2026'!Z48="POR RECOGER"),'DICIEMBRE 2026'!N48,"")</f>
        <v/>
      </c>
      <c r="I1199" s="192" t="str">
        <f aca="false">IF(AND('DICIEMBRE 2026'!D48&lt;&gt;"",'DICIEMBRE 2026'!Z48="POR RECOGER"),'DICIEMBRE 2026'!P48,"")</f>
        <v/>
      </c>
      <c r="J1199" s="192" t="str">
        <f aca="false">IF(AND('DICIEMBRE 2026'!D48&lt;&gt;"",'DICIEMBRE 2026'!Z48="POR RECOGER"),'DICIEMBRE 2026'!Q48,"")</f>
        <v/>
      </c>
      <c r="K1199" s="192" t="str">
        <f aca="false">IF(AND('DICIEMBRE 2026'!D48&lt;&gt;"",'DICIEMBRE 2026'!Z48="POR RECOGER"),'DICIEMBRE 2026'!Y48,"")</f>
        <v/>
      </c>
      <c r="L1199" s="192" t="str">
        <f aca="false">IF(AND('DICIEMBRE 2026'!D48&lt;&gt;"",'DICIEMBRE 2026'!Z48="POR RECOGER"),'DICIEMBRE 2026'!I48,"")</f>
        <v/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customFormat="false" ht="15" hidden="false" customHeight="true" outlineLevel="0" collapsed="false">
      <c r="A1200" s="192" t="str">
        <f aca="false">IF(AND('DICIEMBRE 2026'!D49&lt;&gt;"",'DICIEMBRE 2026'!Z49="POR RECOGER"),"DIC","")</f>
        <v/>
      </c>
      <c r="B1200" s="192" t="str">
        <f aca="false">IF(AND('DICIEMBRE 2026'!D49&lt;&gt;"",'DICIEMBRE 2026'!Z49="POR RECOGER"),IF('DICIEMBRE 2026'!Y49&lt;&gt;"",'DICIEMBRE 2026'!Y49,'DICIEMBRE 2026'!I49),"")</f>
        <v/>
      </c>
      <c r="C1200" s="192" t="str">
        <f aca="false">IF(AND('DICIEMBRE 2026'!D49&lt;&gt;"",'DICIEMBRE 2026'!Z49="POR RECOGER"),'DICIEMBRE 2026'!D49,"")</f>
        <v/>
      </c>
      <c r="D1200" s="192" t="str">
        <f aca="false">IF(AND('DICIEMBRE 2026'!D49&lt;&gt;"",'DICIEMBRE 2026'!Z49="POR RECOGER"),'DICIEMBRE 2026'!F49,"")</f>
        <v/>
      </c>
      <c r="E1200" s="192" t="str">
        <f aca="false">IF(AND('DICIEMBRE 2026'!D49&lt;&gt;"",'DICIEMBRE 2026'!Z49="POR RECOGER"),TEXT('DICIEMBRE 2026'!G49,"DD/MM/YYYY"),"")</f>
        <v/>
      </c>
      <c r="F1200" s="192" t="str">
        <f aca="false">IF(AND('DICIEMBRE 2026'!D49&lt;&gt;"",'DICIEMBRE 2026'!Z49="POR RECOGER"),'DICIEMBRE 2026'!K49,"")</f>
        <v/>
      </c>
      <c r="G1200" s="193" t="str">
        <f aca="false">IF(AND('DICIEMBRE 2026'!D49&lt;&gt;"",'DICIEMBRE 2026'!Z49="POR RECOGER"),'DICIEMBRE 2026'!M49,"")</f>
        <v/>
      </c>
      <c r="H1200" s="193" t="str">
        <f aca="false">IF(AND('DICIEMBRE 2026'!D49&lt;&gt;"",'DICIEMBRE 2026'!Z49="POR RECOGER"),'DICIEMBRE 2026'!N49,"")</f>
        <v/>
      </c>
      <c r="I1200" s="192" t="str">
        <f aca="false">IF(AND('DICIEMBRE 2026'!D49&lt;&gt;"",'DICIEMBRE 2026'!Z49="POR RECOGER"),'DICIEMBRE 2026'!P49,"")</f>
        <v/>
      </c>
      <c r="J1200" s="192" t="str">
        <f aca="false">IF(AND('DICIEMBRE 2026'!D49&lt;&gt;"",'DICIEMBRE 2026'!Z49="POR RECOGER"),'DICIEMBRE 2026'!Q49,"")</f>
        <v/>
      </c>
      <c r="K1200" s="192" t="str">
        <f aca="false">IF(AND('DICIEMBRE 2026'!D49&lt;&gt;"",'DICIEMBRE 2026'!Z49="POR RECOGER"),'DICIEMBRE 2026'!Y49,"")</f>
        <v/>
      </c>
      <c r="L1200" s="192" t="str">
        <f aca="false">IF(AND('DICIEMBRE 2026'!D49&lt;&gt;"",'DICIEMBRE 2026'!Z49="POR RECOGER"),'DICIEMBRE 2026'!I49,"")</f>
        <v/>
      </c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customFormat="false" ht="15" hidden="false" customHeight="true" outlineLevel="0" collapsed="false">
      <c r="A1201" s="192" t="str">
        <f aca="false">IF(AND('DICIEMBRE 2026'!D50&lt;&gt;"",'DICIEMBRE 2026'!Z50="POR RECOGER"),"DIC","")</f>
        <v/>
      </c>
      <c r="B1201" s="192" t="str">
        <f aca="false">IF(AND('DICIEMBRE 2026'!D50&lt;&gt;"",'DICIEMBRE 2026'!Z50="POR RECOGER"),IF('DICIEMBRE 2026'!Y50&lt;&gt;"",'DICIEMBRE 2026'!Y50,'DICIEMBRE 2026'!I50),"")</f>
        <v/>
      </c>
      <c r="C1201" s="192" t="str">
        <f aca="false">IF(AND('DICIEMBRE 2026'!D50&lt;&gt;"",'DICIEMBRE 2026'!Z50="POR RECOGER"),'DICIEMBRE 2026'!D50,"")</f>
        <v/>
      </c>
      <c r="D1201" s="192" t="str">
        <f aca="false">IF(AND('DICIEMBRE 2026'!D50&lt;&gt;"",'DICIEMBRE 2026'!Z50="POR RECOGER"),'DICIEMBRE 2026'!F50,"")</f>
        <v/>
      </c>
      <c r="E1201" s="192" t="str">
        <f aca="false">IF(AND('DICIEMBRE 2026'!D50&lt;&gt;"",'DICIEMBRE 2026'!Z50="POR RECOGER"),TEXT('DICIEMBRE 2026'!G50,"DD/MM/YYYY"),"")</f>
        <v/>
      </c>
      <c r="F1201" s="192" t="str">
        <f aca="false">IF(AND('DICIEMBRE 2026'!D50&lt;&gt;"",'DICIEMBRE 2026'!Z50="POR RECOGER"),'DICIEMBRE 2026'!K50,"")</f>
        <v/>
      </c>
      <c r="G1201" s="193" t="str">
        <f aca="false">IF(AND('DICIEMBRE 2026'!D50&lt;&gt;"",'DICIEMBRE 2026'!Z50="POR RECOGER"),'DICIEMBRE 2026'!M50,"")</f>
        <v/>
      </c>
      <c r="H1201" s="193" t="str">
        <f aca="false">IF(AND('DICIEMBRE 2026'!D50&lt;&gt;"",'DICIEMBRE 2026'!Z50="POR RECOGER"),'DICIEMBRE 2026'!N50,"")</f>
        <v/>
      </c>
      <c r="I1201" s="192" t="str">
        <f aca="false">IF(AND('DICIEMBRE 2026'!D50&lt;&gt;"",'DICIEMBRE 2026'!Z50="POR RECOGER"),'DICIEMBRE 2026'!P50,"")</f>
        <v/>
      </c>
      <c r="J1201" s="192" t="str">
        <f aca="false">IF(AND('DICIEMBRE 2026'!D50&lt;&gt;"",'DICIEMBRE 2026'!Z50="POR RECOGER"),'DICIEMBRE 2026'!Q50,"")</f>
        <v/>
      </c>
      <c r="K1201" s="192" t="str">
        <f aca="false">IF(AND('DICIEMBRE 2026'!D50&lt;&gt;"",'DICIEMBRE 2026'!Z50="POR RECOGER"),'DICIEMBRE 2026'!Y50,"")</f>
        <v/>
      </c>
      <c r="L1201" s="192" t="str">
        <f aca="false">IF(AND('DICIEMBRE 2026'!D50&lt;&gt;"",'DICIEMBRE 2026'!Z50="POR RECOGER"),'DICIEMBRE 2026'!I50,"")</f>
        <v/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customFormat="false" ht="15" hidden="false" customHeight="true" outlineLevel="0" collapsed="false">
      <c r="A1202" s="192" t="str">
        <f aca="false">IF(AND('DICIEMBRE 2026'!D51&lt;&gt;"",'DICIEMBRE 2026'!Z51="POR RECOGER"),"DIC","")</f>
        <v/>
      </c>
      <c r="B1202" s="192" t="str">
        <f aca="false">IF(AND('DICIEMBRE 2026'!D51&lt;&gt;"",'DICIEMBRE 2026'!Z51="POR RECOGER"),IF('DICIEMBRE 2026'!Y51&lt;&gt;"",'DICIEMBRE 2026'!Y51,'DICIEMBRE 2026'!I51),"")</f>
        <v/>
      </c>
      <c r="C1202" s="192" t="str">
        <f aca="false">IF(AND('DICIEMBRE 2026'!D51&lt;&gt;"",'DICIEMBRE 2026'!Z51="POR RECOGER"),'DICIEMBRE 2026'!D51,"")</f>
        <v/>
      </c>
      <c r="D1202" s="192" t="str">
        <f aca="false">IF(AND('DICIEMBRE 2026'!D51&lt;&gt;"",'DICIEMBRE 2026'!Z51="POR RECOGER"),'DICIEMBRE 2026'!F51,"")</f>
        <v/>
      </c>
      <c r="E1202" s="192" t="str">
        <f aca="false">IF(AND('DICIEMBRE 2026'!D51&lt;&gt;"",'DICIEMBRE 2026'!Z51="POR RECOGER"),TEXT('DICIEMBRE 2026'!G51,"DD/MM/YYYY"),"")</f>
        <v/>
      </c>
      <c r="F1202" s="192" t="str">
        <f aca="false">IF(AND('DICIEMBRE 2026'!D51&lt;&gt;"",'DICIEMBRE 2026'!Z51="POR RECOGER"),'DICIEMBRE 2026'!K51,"")</f>
        <v/>
      </c>
      <c r="G1202" s="193" t="str">
        <f aca="false">IF(AND('DICIEMBRE 2026'!D51&lt;&gt;"",'DICIEMBRE 2026'!Z51="POR RECOGER"),'DICIEMBRE 2026'!M51,"")</f>
        <v/>
      </c>
      <c r="H1202" s="193" t="str">
        <f aca="false">IF(AND('DICIEMBRE 2026'!D51&lt;&gt;"",'DICIEMBRE 2026'!Z51="POR RECOGER"),'DICIEMBRE 2026'!N51,"")</f>
        <v/>
      </c>
      <c r="I1202" s="192" t="str">
        <f aca="false">IF(AND('DICIEMBRE 2026'!D51&lt;&gt;"",'DICIEMBRE 2026'!Z51="POR RECOGER"),'DICIEMBRE 2026'!P51,"")</f>
        <v/>
      </c>
      <c r="J1202" s="192" t="str">
        <f aca="false">IF(AND('DICIEMBRE 2026'!D51&lt;&gt;"",'DICIEMBRE 2026'!Z51="POR RECOGER"),'DICIEMBRE 2026'!Q51,"")</f>
        <v/>
      </c>
      <c r="K1202" s="192" t="str">
        <f aca="false">IF(AND('DICIEMBRE 2026'!D51&lt;&gt;"",'DICIEMBRE 2026'!Z51="POR RECOGER"),'DICIEMBRE 2026'!Y51,"")</f>
        <v/>
      </c>
      <c r="L1202" s="192" t="str">
        <f aca="false">IF(AND('DICIEMBRE 2026'!D51&lt;&gt;"",'DICIEMBRE 2026'!Z51="POR RECOGER"),'DICIEMBRE 2026'!I51,"")</f>
        <v/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customFormat="false" ht="15" hidden="false" customHeight="true" outlineLevel="0" collapsed="false">
      <c r="A1203" s="192" t="str">
        <f aca="false">IF(AND('DICIEMBRE 2026'!D52&lt;&gt;"",'DICIEMBRE 2026'!Z52="POR RECOGER"),"DIC","")</f>
        <v/>
      </c>
      <c r="B1203" s="192" t="str">
        <f aca="false">IF(AND('DICIEMBRE 2026'!D52&lt;&gt;"",'DICIEMBRE 2026'!Z52="POR RECOGER"),IF('DICIEMBRE 2026'!Y52&lt;&gt;"",'DICIEMBRE 2026'!Y52,'DICIEMBRE 2026'!I52),"")</f>
        <v/>
      </c>
      <c r="C1203" s="192" t="str">
        <f aca="false">IF(AND('DICIEMBRE 2026'!D52&lt;&gt;"",'DICIEMBRE 2026'!Z52="POR RECOGER"),'DICIEMBRE 2026'!D52,"")</f>
        <v/>
      </c>
      <c r="D1203" s="192" t="str">
        <f aca="false">IF(AND('DICIEMBRE 2026'!D52&lt;&gt;"",'DICIEMBRE 2026'!Z52="POR RECOGER"),'DICIEMBRE 2026'!F52,"")</f>
        <v/>
      </c>
      <c r="E1203" s="192" t="str">
        <f aca="false">IF(AND('DICIEMBRE 2026'!D52&lt;&gt;"",'DICIEMBRE 2026'!Z52="POR RECOGER"),TEXT('DICIEMBRE 2026'!G52,"DD/MM/YYYY"),"")</f>
        <v/>
      </c>
      <c r="F1203" s="192" t="str">
        <f aca="false">IF(AND('DICIEMBRE 2026'!D52&lt;&gt;"",'DICIEMBRE 2026'!Z52="POR RECOGER"),'DICIEMBRE 2026'!K52,"")</f>
        <v/>
      </c>
      <c r="G1203" s="193" t="str">
        <f aca="false">IF(AND('DICIEMBRE 2026'!D52&lt;&gt;"",'DICIEMBRE 2026'!Z52="POR RECOGER"),'DICIEMBRE 2026'!M52,"")</f>
        <v/>
      </c>
      <c r="H1203" s="193" t="str">
        <f aca="false">IF(AND('DICIEMBRE 2026'!D52&lt;&gt;"",'DICIEMBRE 2026'!Z52="POR RECOGER"),'DICIEMBRE 2026'!N52,"")</f>
        <v/>
      </c>
      <c r="I1203" s="192" t="str">
        <f aca="false">IF(AND('DICIEMBRE 2026'!D52&lt;&gt;"",'DICIEMBRE 2026'!Z52="POR RECOGER"),'DICIEMBRE 2026'!P52,"")</f>
        <v/>
      </c>
      <c r="J1203" s="192" t="str">
        <f aca="false">IF(AND('DICIEMBRE 2026'!D52&lt;&gt;"",'DICIEMBRE 2026'!Z52="POR RECOGER"),'DICIEMBRE 2026'!Q52,"")</f>
        <v/>
      </c>
      <c r="K1203" s="192" t="str">
        <f aca="false">IF(AND('DICIEMBRE 2026'!D52&lt;&gt;"",'DICIEMBRE 2026'!Z52="POR RECOGER"),'DICIEMBRE 2026'!Y52,"")</f>
        <v/>
      </c>
      <c r="L1203" s="192" t="str">
        <f aca="false">IF(AND('DICIEMBRE 2026'!D52&lt;&gt;"",'DICIEMBRE 2026'!Z52="POR RECOGER"),'DICIEMBRE 2026'!I52,"")</f>
        <v/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customFormat="false" ht="15" hidden="false" customHeight="true" outlineLevel="0" collapsed="false">
      <c r="A1204" s="192" t="str">
        <f aca="false">IF(AND('DICIEMBRE 2026'!D53&lt;&gt;"",'DICIEMBRE 2026'!Z53="POR RECOGER"),"DIC","")</f>
        <v/>
      </c>
      <c r="B1204" s="192" t="str">
        <f aca="false">IF(AND('DICIEMBRE 2026'!D53&lt;&gt;"",'DICIEMBRE 2026'!Z53="POR RECOGER"),IF('DICIEMBRE 2026'!Y53&lt;&gt;"",'DICIEMBRE 2026'!Y53,'DICIEMBRE 2026'!I53),"")</f>
        <v/>
      </c>
      <c r="C1204" s="192" t="str">
        <f aca="false">IF(AND('DICIEMBRE 2026'!D53&lt;&gt;"",'DICIEMBRE 2026'!Z53="POR RECOGER"),'DICIEMBRE 2026'!D53,"")</f>
        <v/>
      </c>
      <c r="D1204" s="192" t="str">
        <f aca="false">IF(AND('DICIEMBRE 2026'!D53&lt;&gt;"",'DICIEMBRE 2026'!Z53="POR RECOGER"),'DICIEMBRE 2026'!F53,"")</f>
        <v/>
      </c>
      <c r="E1204" s="192" t="str">
        <f aca="false">IF(AND('DICIEMBRE 2026'!D53&lt;&gt;"",'DICIEMBRE 2026'!Z53="POR RECOGER"),TEXT('DICIEMBRE 2026'!G53,"DD/MM/YYYY"),"")</f>
        <v/>
      </c>
      <c r="F1204" s="192" t="str">
        <f aca="false">IF(AND('DICIEMBRE 2026'!D53&lt;&gt;"",'DICIEMBRE 2026'!Z53="POR RECOGER"),'DICIEMBRE 2026'!K53,"")</f>
        <v/>
      </c>
      <c r="G1204" s="193" t="str">
        <f aca="false">IF(AND('DICIEMBRE 2026'!D53&lt;&gt;"",'DICIEMBRE 2026'!Z53="POR RECOGER"),'DICIEMBRE 2026'!M53,"")</f>
        <v/>
      </c>
      <c r="H1204" s="193" t="str">
        <f aca="false">IF(AND('DICIEMBRE 2026'!D53&lt;&gt;"",'DICIEMBRE 2026'!Z53="POR RECOGER"),'DICIEMBRE 2026'!N53,"")</f>
        <v/>
      </c>
      <c r="I1204" s="192" t="str">
        <f aca="false">IF(AND('DICIEMBRE 2026'!D53&lt;&gt;"",'DICIEMBRE 2026'!Z53="POR RECOGER"),'DICIEMBRE 2026'!P53,"")</f>
        <v/>
      </c>
      <c r="J1204" s="192" t="str">
        <f aca="false">IF(AND('DICIEMBRE 2026'!D53&lt;&gt;"",'DICIEMBRE 2026'!Z53="POR RECOGER"),'DICIEMBRE 2026'!Q53,"")</f>
        <v/>
      </c>
      <c r="K1204" s="192" t="str">
        <f aca="false">IF(AND('DICIEMBRE 2026'!D53&lt;&gt;"",'DICIEMBRE 2026'!Z53="POR RECOGER"),'DICIEMBRE 2026'!Y53,"")</f>
        <v/>
      </c>
      <c r="L1204" s="192" t="str">
        <f aca="false">IF(AND('DICIEMBRE 2026'!D53&lt;&gt;"",'DICIEMBRE 2026'!Z53="POR RECOGER"),'DICIEMBRE 2026'!I53,"")</f>
        <v/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customFormat="false" ht="15" hidden="false" customHeight="true" outlineLevel="0" collapsed="false">
      <c r="A1205" s="192" t="str">
        <f aca="false">IF(AND('DICIEMBRE 2026'!D54&lt;&gt;"",'DICIEMBRE 2026'!Z54="POR RECOGER"),"DIC","")</f>
        <v/>
      </c>
      <c r="B1205" s="192" t="str">
        <f aca="false">IF(AND('DICIEMBRE 2026'!D54&lt;&gt;"",'DICIEMBRE 2026'!Z54="POR RECOGER"),IF('DICIEMBRE 2026'!Y54&lt;&gt;"",'DICIEMBRE 2026'!Y54,'DICIEMBRE 2026'!I54),"")</f>
        <v/>
      </c>
      <c r="C1205" s="192" t="str">
        <f aca="false">IF(AND('DICIEMBRE 2026'!D54&lt;&gt;"",'DICIEMBRE 2026'!Z54="POR RECOGER"),'DICIEMBRE 2026'!D54,"")</f>
        <v/>
      </c>
      <c r="D1205" s="192" t="str">
        <f aca="false">IF(AND('DICIEMBRE 2026'!D54&lt;&gt;"",'DICIEMBRE 2026'!Z54="POR RECOGER"),'DICIEMBRE 2026'!F54,"")</f>
        <v/>
      </c>
      <c r="E1205" s="192" t="str">
        <f aca="false">IF(AND('DICIEMBRE 2026'!D54&lt;&gt;"",'DICIEMBRE 2026'!Z54="POR RECOGER"),TEXT('DICIEMBRE 2026'!G54,"DD/MM/YYYY"),"")</f>
        <v/>
      </c>
      <c r="F1205" s="192" t="str">
        <f aca="false">IF(AND('DICIEMBRE 2026'!D54&lt;&gt;"",'DICIEMBRE 2026'!Z54="POR RECOGER"),'DICIEMBRE 2026'!K54,"")</f>
        <v/>
      </c>
      <c r="G1205" s="193" t="str">
        <f aca="false">IF(AND('DICIEMBRE 2026'!D54&lt;&gt;"",'DICIEMBRE 2026'!Z54="POR RECOGER"),'DICIEMBRE 2026'!M54,"")</f>
        <v/>
      </c>
      <c r="H1205" s="193" t="str">
        <f aca="false">IF(AND('DICIEMBRE 2026'!D54&lt;&gt;"",'DICIEMBRE 2026'!Z54="POR RECOGER"),'DICIEMBRE 2026'!N54,"")</f>
        <v/>
      </c>
      <c r="I1205" s="192" t="str">
        <f aca="false">IF(AND('DICIEMBRE 2026'!D54&lt;&gt;"",'DICIEMBRE 2026'!Z54="POR RECOGER"),'DICIEMBRE 2026'!P54,"")</f>
        <v/>
      </c>
      <c r="J1205" s="192" t="str">
        <f aca="false">IF(AND('DICIEMBRE 2026'!D54&lt;&gt;"",'DICIEMBRE 2026'!Z54="POR RECOGER"),'DICIEMBRE 2026'!Q54,"")</f>
        <v/>
      </c>
      <c r="K1205" s="192" t="str">
        <f aca="false">IF(AND('DICIEMBRE 2026'!D54&lt;&gt;"",'DICIEMBRE 2026'!Z54="POR RECOGER"),'DICIEMBRE 2026'!Y54,"")</f>
        <v/>
      </c>
      <c r="L1205" s="192" t="str">
        <f aca="false">IF(AND('DICIEMBRE 2026'!D54&lt;&gt;"",'DICIEMBRE 2026'!Z54="POR RECOGER"),'DICIEMBRE 2026'!I54,"")</f>
        <v/>
      </c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customFormat="false" ht="15" hidden="false" customHeight="true" outlineLevel="0" collapsed="false">
      <c r="A1206" s="192" t="str">
        <f aca="false">IF(AND('DICIEMBRE 2026'!D55&lt;&gt;"",'DICIEMBRE 2026'!Z55="POR RECOGER"),"DIC","")</f>
        <v/>
      </c>
      <c r="B1206" s="192" t="str">
        <f aca="false">IF(AND('DICIEMBRE 2026'!D55&lt;&gt;"",'DICIEMBRE 2026'!Z55="POR RECOGER"),IF('DICIEMBRE 2026'!Y55&lt;&gt;"",'DICIEMBRE 2026'!Y55,'DICIEMBRE 2026'!I55),"")</f>
        <v/>
      </c>
      <c r="C1206" s="192" t="str">
        <f aca="false">IF(AND('DICIEMBRE 2026'!D55&lt;&gt;"",'DICIEMBRE 2026'!Z55="POR RECOGER"),'DICIEMBRE 2026'!D55,"")</f>
        <v/>
      </c>
      <c r="D1206" s="192" t="str">
        <f aca="false">IF(AND('DICIEMBRE 2026'!D55&lt;&gt;"",'DICIEMBRE 2026'!Z55="POR RECOGER"),'DICIEMBRE 2026'!F55,"")</f>
        <v/>
      </c>
      <c r="E1206" s="192" t="str">
        <f aca="false">IF(AND('DICIEMBRE 2026'!D55&lt;&gt;"",'DICIEMBRE 2026'!Z55="POR RECOGER"),TEXT('DICIEMBRE 2026'!G55,"DD/MM/YYYY"),"")</f>
        <v/>
      </c>
      <c r="F1206" s="192" t="str">
        <f aca="false">IF(AND('DICIEMBRE 2026'!D55&lt;&gt;"",'DICIEMBRE 2026'!Z55="POR RECOGER"),'DICIEMBRE 2026'!K55,"")</f>
        <v/>
      </c>
      <c r="G1206" s="193" t="str">
        <f aca="false">IF(AND('DICIEMBRE 2026'!D55&lt;&gt;"",'DICIEMBRE 2026'!Z55="POR RECOGER"),'DICIEMBRE 2026'!M55,"")</f>
        <v/>
      </c>
      <c r="H1206" s="193" t="str">
        <f aca="false">IF(AND('DICIEMBRE 2026'!D55&lt;&gt;"",'DICIEMBRE 2026'!Z55="POR RECOGER"),'DICIEMBRE 2026'!N55,"")</f>
        <v/>
      </c>
      <c r="I1206" s="192" t="str">
        <f aca="false">IF(AND('DICIEMBRE 2026'!D55&lt;&gt;"",'DICIEMBRE 2026'!Z55="POR RECOGER"),'DICIEMBRE 2026'!P55,"")</f>
        <v/>
      </c>
      <c r="J1206" s="192" t="str">
        <f aca="false">IF(AND('DICIEMBRE 2026'!D55&lt;&gt;"",'DICIEMBRE 2026'!Z55="POR RECOGER"),'DICIEMBRE 2026'!Q55,"")</f>
        <v/>
      </c>
      <c r="K1206" s="192" t="str">
        <f aca="false">IF(AND('DICIEMBRE 2026'!D55&lt;&gt;"",'DICIEMBRE 2026'!Z55="POR RECOGER"),'DICIEMBRE 2026'!Y55,"")</f>
        <v/>
      </c>
      <c r="L1206" s="192" t="str">
        <f aca="false">IF(AND('DICIEMBRE 2026'!D55&lt;&gt;"",'DICIEMBRE 2026'!Z55="POR RECOGER"),'DICIEMBRE 2026'!I55,"")</f>
        <v/>
      </c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customFormat="false" ht="15" hidden="false" customHeight="true" outlineLevel="0" collapsed="false">
      <c r="A1207" s="192" t="str">
        <f aca="false">IF(AND('DICIEMBRE 2026'!D56&lt;&gt;"",'DICIEMBRE 2026'!Z56="POR RECOGER"),"DIC","")</f>
        <v/>
      </c>
      <c r="B1207" s="192" t="str">
        <f aca="false">IF(AND('DICIEMBRE 2026'!D56&lt;&gt;"",'DICIEMBRE 2026'!Z56="POR RECOGER"),IF('DICIEMBRE 2026'!Y56&lt;&gt;"",'DICIEMBRE 2026'!Y56,'DICIEMBRE 2026'!I56),"")</f>
        <v/>
      </c>
      <c r="C1207" s="192" t="str">
        <f aca="false">IF(AND('DICIEMBRE 2026'!D56&lt;&gt;"",'DICIEMBRE 2026'!Z56="POR RECOGER"),'DICIEMBRE 2026'!D56,"")</f>
        <v/>
      </c>
      <c r="D1207" s="192" t="str">
        <f aca="false">IF(AND('DICIEMBRE 2026'!D56&lt;&gt;"",'DICIEMBRE 2026'!Z56="POR RECOGER"),'DICIEMBRE 2026'!F56,"")</f>
        <v/>
      </c>
      <c r="E1207" s="192" t="str">
        <f aca="false">IF(AND('DICIEMBRE 2026'!D56&lt;&gt;"",'DICIEMBRE 2026'!Z56="POR RECOGER"),TEXT('DICIEMBRE 2026'!G56,"DD/MM/YYYY"),"")</f>
        <v/>
      </c>
      <c r="F1207" s="192" t="str">
        <f aca="false">IF(AND('DICIEMBRE 2026'!D56&lt;&gt;"",'DICIEMBRE 2026'!Z56="POR RECOGER"),'DICIEMBRE 2026'!K56,"")</f>
        <v/>
      </c>
      <c r="G1207" s="193" t="str">
        <f aca="false">IF(AND('DICIEMBRE 2026'!D56&lt;&gt;"",'DICIEMBRE 2026'!Z56="POR RECOGER"),'DICIEMBRE 2026'!M56,"")</f>
        <v/>
      </c>
      <c r="H1207" s="193" t="str">
        <f aca="false">IF(AND('DICIEMBRE 2026'!D56&lt;&gt;"",'DICIEMBRE 2026'!Z56="POR RECOGER"),'DICIEMBRE 2026'!N56,"")</f>
        <v/>
      </c>
      <c r="I1207" s="192" t="str">
        <f aca="false">IF(AND('DICIEMBRE 2026'!D56&lt;&gt;"",'DICIEMBRE 2026'!Z56="POR RECOGER"),'DICIEMBRE 2026'!P56,"")</f>
        <v/>
      </c>
      <c r="J1207" s="192" t="str">
        <f aca="false">IF(AND('DICIEMBRE 2026'!D56&lt;&gt;"",'DICIEMBRE 2026'!Z56="POR RECOGER"),'DICIEMBRE 2026'!Q56,"")</f>
        <v/>
      </c>
      <c r="K1207" s="192" t="str">
        <f aca="false">IF(AND('DICIEMBRE 2026'!D56&lt;&gt;"",'DICIEMBRE 2026'!Z56="POR RECOGER"),'DICIEMBRE 2026'!Y56,"")</f>
        <v/>
      </c>
      <c r="L1207" s="192" t="str">
        <f aca="false">IF(AND('DICIEMBRE 2026'!D56&lt;&gt;"",'DICIEMBRE 2026'!Z56="POR RECOGER"),'DICIEMBRE 2026'!I56,"")</f>
        <v/>
      </c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customFormat="false" ht="15" hidden="false" customHeight="true" outlineLevel="0" collapsed="false">
      <c r="A1208" s="192" t="str">
        <f aca="false">IF(AND('DICIEMBRE 2026'!D57&lt;&gt;"",'DICIEMBRE 2026'!Z57="POR RECOGER"),"DIC","")</f>
        <v/>
      </c>
      <c r="B1208" s="192" t="str">
        <f aca="false">IF(AND('DICIEMBRE 2026'!D57&lt;&gt;"",'DICIEMBRE 2026'!Z57="POR RECOGER"),IF('DICIEMBRE 2026'!Y57&lt;&gt;"",'DICIEMBRE 2026'!Y57,'DICIEMBRE 2026'!I57),"")</f>
        <v/>
      </c>
      <c r="C1208" s="192" t="str">
        <f aca="false">IF(AND('DICIEMBRE 2026'!D57&lt;&gt;"",'DICIEMBRE 2026'!Z57="POR RECOGER"),'DICIEMBRE 2026'!D57,"")</f>
        <v/>
      </c>
      <c r="D1208" s="192" t="str">
        <f aca="false">IF(AND('DICIEMBRE 2026'!D57&lt;&gt;"",'DICIEMBRE 2026'!Z57="POR RECOGER"),'DICIEMBRE 2026'!F57,"")</f>
        <v/>
      </c>
      <c r="E1208" s="192" t="str">
        <f aca="false">IF(AND('DICIEMBRE 2026'!D57&lt;&gt;"",'DICIEMBRE 2026'!Z57="POR RECOGER"),TEXT('DICIEMBRE 2026'!G57,"DD/MM/YYYY"),"")</f>
        <v/>
      </c>
      <c r="F1208" s="192" t="str">
        <f aca="false">IF(AND('DICIEMBRE 2026'!D57&lt;&gt;"",'DICIEMBRE 2026'!Z57="POR RECOGER"),'DICIEMBRE 2026'!K57,"")</f>
        <v/>
      </c>
      <c r="G1208" s="193" t="str">
        <f aca="false">IF(AND('DICIEMBRE 2026'!D57&lt;&gt;"",'DICIEMBRE 2026'!Z57="POR RECOGER"),'DICIEMBRE 2026'!M57,"")</f>
        <v/>
      </c>
      <c r="H1208" s="193" t="str">
        <f aca="false">IF(AND('DICIEMBRE 2026'!D57&lt;&gt;"",'DICIEMBRE 2026'!Z57="POR RECOGER"),'DICIEMBRE 2026'!N57,"")</f>
        <v/>
      </c>
      <c r="I1208" s="192" t="str">
        <f aca="false">IF(AND('DICIEMBRE 2026'!D57&lt;&gt;"",'DICIEMBRE 2026'!Z57="POR RECOGER"),'DICIEMBRE 2026'!P57,"")</f>
        <v/>
      </c>
      <c r="J1208" s="192" t="str">
        <f aca="false">IF(AND('DICIEMBRE 2026'!D57&lt;&gt;"",'DICIEMBRE 2026'!Z57="POR RECOGER"),'DICIEMBRE 2026'!Q57,"")</f>
        <v/>
      </c>
      <c r="K1208" s="192" t="str">
        <f aca="false">IF(AND('DICIEMBRE 2026'!D57&lt;&gt;"",'DICIEMBRE 2026'!Z57="POR RECOGER"),'DICIEMBRE 2026'!Y57,"")</f>
        <v/>
      </c>
      <c r="L1208" s="192" t="str">
        <f aca="false">IF(AND('DICIEMBRE 2026'!D57&lt;&gt;"",'DICIEMBRE 2026'!Z57="POR RECOGER"),'DICIEMBRE 2026'!I57,"")</f>
        <v/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customFormat="false" ht="15" hidden="false" customHeight="true" outlineLevel="0" collapsed="false">
      <c r="A1209" s="192" t="str">
        <f aca="false">IF(AND('DICIEMBRE 2026'!D58&lt;&gt;"",'DICIEMBRE 2026'!Z58="POR RECOGER"),"DIC","")</f>
        <v/>
      </c>
      <c r="B1209" s="192" t="str">
        <f aca="false">IF(AND('DICIEMBRE 2026'!D58&lt;&gt;"",'DICIEMBRE 2026'!Z58="POR RECOGER"),IF('DICIEMBRE 2026'!Y58&lt;&gt;"",'DICIEMBRE 2026'!Y58,'DICIEMBRE 2026'!I58),"")</f>
        <v/>
      </c>
      <c r="C1209" s="192" t="str">
        <f aca="false">IF(AND('DICIEMBRE 2026'!D58&lt;&gt;"",'DICIEMBRE 2026'!Z58="POR RECOGER"),'DICIEMBRE 2026'!D58,"")</f>
        <v/>
      </c>
      <c r="D1209" s="192" t="str">
        <f aca="false">IF(AND('DICIEMBRE 2026'!D58&lt;&gt;"",'DICIEMBRE 2026'!Z58="POR RECOGER"),'DICIEMBRE 2026'!F58,"")</f>
        <v/>
      </c>
      <c r="E1209" s="192" t="str">
        <f aca="false">IF(AND('DICIEMBRE 2026'!D58&lt;&gt;"",'DICIEMBRE 2026'!Z58="POR RECOGER"),TEXT('DICIEMBRE 2026'!G58,"DD/MM/YYYY"),"")</f>
        <v/>
      </c>
      <c r="F1209" s="192" t="str">
        <f aca="false">IF(AND('DICIEMBRE 2026'!D58&lt;&gt;"",'DICIEMBRE 2026'!Z58="POR RECOGER"),'DICIEMBRE 2026'!K58,"")</f>
        <v/>
      </c>
      <c r="G1209" s="193" t="str">
        <f aca="false">IF(AND('DICIEMBRE 2026'!D58&lt;&gt;"",'DICIEMBRE 2026'!Z58="POR RECOGER"),'DICIEMBRE 2026'!M58,"")</f>
        <v/>
      </c>
      <c r="H1209" s="193" t="str">
        <f aca="false">IF(AND('DICIEMBRE 2026'!D58&lt;&gt;"",'DICIEMBRE 2026'!Z58="POR RECOGER"),'DICIEMBRE 2026'!N58,"")</f>
        <v/>
      </c>
      <c r="I1209" s="192" t="str">
        <f aca="false">IF(AND('DICIEMBRE 2026'!D58&lt;&gt;"",'DICIEMBRE 2026'!Z58="POR RECOGER"),'DICIEMBRE 2026'!P58,"")</f>
        <v/>
      </c>
      <c r="J1209" s="192" t="str">
        <f aca="false">IF(AND('DICIEMBRE 2026'!D58&lt;&gt;"",'DICIEMBRE 2026'!Z58="POR RECOGER"),'DICIEMBRE 2026'!Q58,"")</f>
        <v/>
      </c>
      <c r="K1209" s="192" t="str">
        <f aca="false">IF(AND('DICIEMBRE 2026'!D58&lt;&gt;"",'DICIEMBRE 2026'!Z58="POR RECOGER"),'DICIEMBRE 2026'!Y58,"")</f>
        <v/>
      </c>
      <c r="L1209" s="192" t="str">
        <f aca="false">IF(AND('DICIEMBRE 2026'!D58&lt;&gt;"",'DICIEMBRE 2026'!Z58="POR RECOGER"),'DICIEMBRE 2026'!I58,"")</f>
        <v/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customFormat="false" ht="15" hidden="false" customHeight="true" outlineLevel="0" collapsed="false">
      <c r="A1210" s="192" t="str">
        <f aca="false">IF(AND('DICIEMBRE 2026'!D59&lt;&gt;"",'DICIEMBRE 2026'!Z59="POR RECOGER"),"DIC","")</f>
        <v/>
      </c>
      <c r="B1210" s="192" t="str">
        <f aca="false">IF(AND('DICIEMBRE 2026'!D59&lt;&gt;"",'DICIEMBRE 2026'!Z59="POR RECOGER"),IF('DICIEMBRE 2026'!Y59&lt;&gt;"",'DICIEMBRE 2026'!Y59,'DICIEMBRE 2026'!I59),"")</f>
        <v/>
      </c>
      <c r="C1210" s="192" t="str">
        <f aca="false">IF(AND('DICIEMBRE 2026'!D59&lt;&gt;"",'DICIEMBRE 2026'!Z59="POR RECOGER"),'DICIEMBRE 2026'!D59,"")</f>
        <v/>
      </c>
      <c r="D1210" s="192" t="str">
        <f aca="false">IF(AND('DICIEMBRE 2026'!D59&lt;&gt;"",'DICIEMBRE 2026'!Z59="POR RECOGER"),'DICIEMBRE 2026'!F59,"")</f>
        <v/>
      </c>
      <c r="E1210" s="192" t="str">
        <f aca="false">IF(AND('DICIEMBRE 2026'!D59&lt;&gt;"",'DICIEMBRE 2026'!Z59="POR RECOGER"),TEXT('DICIEMBRE 2026'!G59,"DD/MM/YYYY"),"")</f>
        <v/>
      </c>
      <c r="F1210" s="192" t="str">
        <f aca="false">IF(AND('DICIEMBRE 2026'!D59&lt;&gt;"",'DICIEMBRE 2026'!Z59="POR RECOGER"),'DICIEMBRE 2026'!K59,"")</f>
        <v/>
      </c>
      <c r="G1210" s="193" t="str">
        <f aca="false">IF(AND('DICIEMBRE 2026'!D59&lt;&gt;"",'DICIEMBRE 2026'!Z59="POR RECOGER"),'DICIEMBRE 2026'!M59,"")</f>
        <v/>
      </c>
      <c r="H1210" s="193" t="str">
        <f aca="false">IF(AND('DICIEMBRE 2026'!D59&lt;&gt;"",'DICIEMBRE 2026'!Z59="POR RECOGER"),'DICIEMBRE 2026'!N59,"")</f>
        <v/>
      </c>
      <c r="I1210" s="192" t="str">
        <f aca="false">IF(AND('DICIEMBRE 2026'!D59&lt;&gt;"",'DICIEMBRE 2026'!Z59="POR RECOGER"),'DICIEMBRE 2026'!P59,"")</f>
        <v/>
      </c>
      <c r="J1210" s="192" t="str">
        <f aca="false">IF(AND('DICIEMBRE 2026'!D59&lt;&gt;"",'DICIEMBRE 2026'!Z59="POR RECOGER"),'DICIEMBRE 2026'!Q59,"")</f>
        <v/>
      </c>
      <c r="K1210" s="192" t="str">
        <f aca="false">IF(AND('DICIEMBRE 2026'!D59&lt;&gt;"",'DICIEMBRE 2026'!Z59="POR RECOGER"),'DICIEMBRE 2026'!Y59,"")</f>
        <v/>
      </c>
      <c r="L1210" s="192" t="str">
        <f aca="false">IF(AND('DICIEMBRE 2026'!D59&lt;&gt;"",'DICIEMBRE 2026'!Z59="POR RECOGER"),'DICIEMBRE 2026'!I59,"")</f>
        <v/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customFormat="false" ht="15" hidden="false" customHeight="true" outlineLevel="0" collapsed="false">
      <c r="A1211" s="192" t="str">
        <f aca="false">IF(AND('DICIEMBRE 2026'!D60&lt;&gt;"",'DICIEMBRE 2026'!Z60="POR RECOGER"),"DIC","")</f>
        <v/>
      </c>
      <c r="B1211" s="192" t="str">
        <f aca="false">IF(AND('DICIEMBRE 2026'!D60&lt;&gt;"",'DICIEMBRE 2026'!Z60="POR RECOGER"),IF('DICIEMBRE 2026'!Y60&lt;&gt;"",'DICIEMBRE 2026'!Y60,'DICIEMBRE 2026'!I60),"")</f>
        <v/>
      </c>
      <c r="C1211" s="192" t="str">
        <f aca="false">IF(AND('DICIEMBRE 2026'!D60&lt;&gt;"",'DICIEMBRE 2026'!Z60="POR RECOGER"),'DICIEMBRE 2026'!D60,"")</f>
        <v/>
      </c>
      <c r="D1211" s="192" t="str">
        <f aca="false">IF(AND('DICIEMBRE 2026'!D60&lt;&gt;"",'DICIEMBRE 2026'!Z60="POR RECOGER"),'DICIEMBRE 2026'!F60,"")</f>
        <v/>
      </c>
      <c r="E1211" s="192" t="str">
        <f aca="false">IF(AND('DICIEMBRE 2026'!D60&lt;&gt;"",'DICIEMBRE 2026'!Z60="POR RECOGER"),TEXT('DICIEMBRE 2026'!G60,"DD/MM/YYYY"),"")</f>
        <v/>
      </c>
      <c r="F1211" s="192" t="str">
        <f aca="false">IF(AND('DICIEMBRE 2026'!D60&lt;&gt;"",'DICIEMBRE 2026'!Z60="POR RECOGER"),'DICIEMBRE 2026'!K60,"")</f>
        <v/>
      </c>
      <c r="G1211" s="193" t="str">
        <f aca="false">IF(AND('DICIEMBRE 2026'!D60&lt;&gt;"",'DICIEMBRE 2026'!Z60="POR RECOGER"),'DICIEMBRE 2026'!M60,"")</f>
        <v/>
      </c>
      <c r="H1211" s="193" t="str">
        <f aca="false">IF(AND('DICIEMBRE 2026'!D60&lt;&gt;"",'DICIEMBRE 2026'!Z60="POR RECOGER"),'DICIEMBRE 2026'!N60,"")</f>
        <v/>
      </c>
      <c r="I1211" s="192" t="str">
        <f aca="false">IF(AND('DICIEMBRE 2026'!D60&lt;&gt;"",'DICIEMBRE 2026'!Z60="POR RECOGER"),'DICIEMBRE 2026'!P60,"")</f>
        <v/>
      </c>
      <c r="J1211" s="192" t="str">
        <f aca="false">IF(AND('DICIEMBRE 2026'!D60&lt;&gt;"",'DICIEMBRE 2026'!Z60="POR RECOGER"),'DICIEMBRE 2026'!Q60,"")</f>
        <v/>
      </c>
      <c r="K1211" s="192" t="str">
        <f aca="false">IF(AND('DICIEMBRE 2026'!D60&lt;&gt;"",'DICIEMBRE 2026'!Z60="POR RECOGER"),'DICIEMBRE 2026'!Y60,"")</f>
        <v/>
      </c>
      <c r="L1211" s="192" t="str">
        <f aca="false">IF(AND('DICIEMBRE 2026'!D60&lt;&gt;"",'DICIEMBRE 2026'!Z60="POR RECOGER"),'DICIEMBRE 2026'!I60,"")</f>
        <v/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customFormat="false" ht="15" hidden="false" customHeight="true" outlineLevel="0" collapsed="false">
      <c r="A1212" s="192" t="str">
        <f aca="false">IF(AND('DICIEMBRE 2026'!D61&lt;&gt;"",'DICIEMBRE 2026'!Z61="POR RECOGER"),"DIC","")</f>
        <v/>
      </c>
      <c r="B1212" s="192" t="str">
        <f aca="false">IF(AND('DICIEMBRE 2026'!D61&lt;&gt;"",'DICIEMBRE 2026'!Z61="POR RECOGER"),IF('DICIEMBRE 2026'!Y61&lt;&gt;"",'DICIEMBRE 2026'!Y61,'DICIEMBRE 2026'!I61),"")</f>
        <v/>
      </c>
      <c r="C1212" s="192" t="str">
        <f aca="false">IF(AND('DICIEMBRE 2026'!D61&lt;&gt;"",'DICIEMBRE 2026'!Z61="POR RECOGER"),'DICIEMBRE 2026'!D61,"")</f>
        <v/>
      </c>
      <c r="D1212" s="192" t="str">
        <f aca="false">IF(AND('DICIEMBRE 2026'!D61&lt;&gt;"",'DICIEMBRE 2026'!Z61="POR RECOGER"),'DICIEMBRE 2026'!F61,"")</f>
        <v/>
      </c>
      <c r="E1212" s="192" t="str">
        <f aca="false">IF(AND('DICIEMBRE 2026'!D61&lt;&gt;"",'DICIEMBRE 2026'!Z61="POR RECOGER"),TEXT('DICIEMBRE 2026'!G61,"DD/MM/YYYY"),"")</f>
        <v/>
      </c>
      <c r="F1212" s="192" t="str">
        <f aca="false">IF(AND('DICIEMBRE 2026'!D61&lt;&gt;"",'DICIEMBRE 2026'!Z61="POR RECOGER"),'DICIEMBRE 2026'!K61,"")</f>
        <v/>
      </c>
      <c r="G1212" s="193" t="str">
        <f aca="false">IF(AND('DICIEMBRE 2026'!D61&lt;&gt;"",'DICIEMBRE 2026'!Z61="POR RECOGER"),'DICIEMBRE 2026'!M61,"")</f>
        <v/>
      </c>
      <c r="H1212" s="193" t="str">
        <f aca="false">IF(AND('DICIEMBRE 2026'!D61&lt;&gt;"",'DICIEMBRE 2026'!Z61="POR RECOGER"),'DICIEMBRE 2026'!N61,"")</f>
        <v/>
      </c>
      <c r="I1212" s="192" t="str">
        <f aca="false">IF(AND('DICIEMBRE 2026'!D61&lt;&gt;"",'DICIEMBRE 2026'!Z61="POR RECOGER"),'DICIEMBRE 2026'!P61,"")</f>
        <v/>
      </c>
      <c r="J1212" s="192" t="str">
        <f aca="false">IF(AND('DICIEMBRE 2026'!D61&lt;&gt;"",'DICIEMBRE 2026'!Z61="POR RECOGER"),'DICIEMBRE 2026'!Q61,"")</f>
        <v/>
      </c>
      <c r="K1212" s="192" t="str">
        <f aca="false">IF(AND('DICIEMBRE 2026'!D61&lt;&gt;"",'DICIEMBRE 2026'!Z61="POR RECOGER"),'DICIEMBRE 2026'!Y61,"")</f>
        <v/>
      </c>
      <c r="L1212" s="192" t="str">
        <f aca="false">IF(AND('DICIEMBRE 2026'!D61&lt;&gt;"",'DICIEMBRE 2026'!Z61="POR RECOGER"),'DICIEMBRE 2026'!I61,"")</f>
        <v/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customFormat="false" ht="15" hidden="false" customHeight="true" outlineLevel="0" collapsed="false">
      <c r="A1213" s="192" t="str">
        <f aca="false">IF(AND('DICIEMBRE 2026'!D62&lt;&gt;"",'DICIEMBRE 2026'!Z62="POR RECOGER"),"DIC","")</f>
        <v/>
      </c>
      <c r="B1213" s="192" t="str">
        <f aca="false">IF(AND('DICIEMBRE 2026'!D62&lt;&gt;"",'DICIEMBRE 2026'!Z62="POR RECOGER"),IF('DICIEMBRE 2026'!Y62&lt;&gt;"",'DICIEMBRE 2026'!Y62,'DICIEMBRE 2026'!I62),"")</f>
        <v/>
      </c>
      <c r="C1213" s="192" t="str">
        <f aca="false">IF(AND('DICIEMBRE 2026'!D62&lt;&gt;"",'DICIEMBRE 2026'!Z62="POR RECOGER"),'DICIEMBRE 2026'!D62,"")</f>
        <v/>
      </c>
      <c r="D1213" s="192" t="str">
        <f aca="false">IF(AND('DICIEMBRE 2026'!D62&lt;&gt;"",'DICIEMBRE 2026'!Z62="POR RECOGER"),'DICIEMBRE 2026'!F62,"")</f>
        <v/>
      </c>
      <c r="E1213" s="192" t="str">
        <f aca="false">IF(AND('DICIEMBRE 2026'!D62&lt;&gt;"",'DICIEMBRE 2026'!Z62="POR RECOGER"),TEXT('DICIEMBRE 2026'!G62,"DD/MM/YYYY"),"")</f>
        <v/>
      </c>
      <c r="F1213" s="192" t="str">
        <f aca="false">IF(AND('DICIEMBRE 2026'!D62&lt;&gt;"",'DICIEMBRE 2026'!Z62="POR RECOGER"),'DICIEMBRE 2026'!K62,"")</f>
        <v/>
      </c>
      <c r="G1213" s="193" t="str">
        <f aca="false">IF(AND('DICIEMBRE 2026'!D62&lt;&gt;"",'DICIEMBRE 2026'!Z62="POR RECOGER"),'DICIEMBRE 2026'!M62,"")</f>
        <v/>
      </c>
      <c r="H1213" s="193" t="str">
        <f aca="false">IF(AND('DICIEMBRE 2026'!D62&lt;&gt;"",'DICIEMBRE 2026'!Z62="POR RECOGER"),'DICIEMBRE 2026'!N62,"")</f>
        <v/>
      </c>
      <c r="I1213" s="192" t="str">
        <f aca="false">IF(AND('DICIEMBRE 2026'!D62&lt;&gt;"",'DICIEMBRE 2026'!Z62="POR RECOGER"),'DICIEMBRE 2026'!P62,"")</f>
        <v/>
      </c>
      <c r="J1213" s="192" t="str">
        <f aca="false">IF(AND('DICIEMBRE 2026'!D62&lt;&gt;"",'DICIEMBRE 2026'!Z62="POR RECOGER"),'DICIEMBRE 2026'!Q62,"")</f>
        <v/>
      </c>
      <c r="K1213" s="192" t="str">
        <f aca="false">IF(AND('DICIEMBRE 2026'!D62&lt;&gt;"",'DICIEMBRE 2026'!Z62="POR RECOGER"),'DICIEMBRE 2026'!Y62,"")</f>
        <v/>
      </c>
      <c r="L1213" s="192" t="str">
        <f aca="false">IF(AND('DICIEMBRE 2026'!D62&lt;&gt;"",'DICIEMBRE 2026'!Z62="POR RECOGER"),'DICIEMBRE 2026'!I62,"")</f>
        <v/>
      </c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customFormat="false" ht="15" hidden="false" customHeight="true" outlineLevel="0" collapsed="false">
      <c r="A1214" s="192" t="str">
        <f aca="false">IF(AND('DICIEMBRE 2026'!D63&lt;&gt;"",'DICIEMBRE 2026'!Z63="POR RECOGER"),"DIC","")</f>
        <v/>
      </c>
      <c r="B1214" s="192" t="str">
        <f aca="false">IF(AND('DICIEMBRE 2026'!D63&lt;&gt;"",'DICIEMBRE 2026'!Z63="POR RECOGER"),IF('DICIEMBRE 2026'!Y63&lt;&gt;"",'DICIEMBRE 2026'!Y63,'DICIEMBRE 2026'!I63),"")</f>
        <v/>
      </c>
      <c r="C1214" s="192" t="str">
        <f aca="false">IF(AND('DICIEMBRE 2026'!D63&lt;&gt;"",'DICIEMBRE 2026'!Z63="POR RECOGER"),'DICIEMBRE 2026'!D63,"")</f>
        <v/>
      </c>
      <c r="D1214" s="192" t="str">
        <f aca="false">IF(AND('DICIEMBRE 2026'!D63&lt;&gt;"",'DICIEMBRE 2026'!Z63="POR RECOGER"),'DICIEMBRE 2026'!F63,"")</f>
        <v/>
      </c>
      <c r="E1214" s="192" t="str">
        <f aca="false">IF(AND('DICIEMBRE 2026'!D63&lt;&gt;"",'DICIEMBRE 2026'!Z63="POR RECOGER"),TEXT('DICIEMBRE 2026'!G63,"DD/MM/YYYY"),"")</f>
        <v/>
      </c>
      <c r="F1214" s="192" t="str">
        <f aca="false">IF(AND('DICIEMBRE 2026'!D63&lt;&gt;"",'DICIEMBRE 2026'!Z63="POR RECOGER"),'DICIEMBRE 2026'!K63,"")</f>
        <v/>
      </c>
      <c r="G1214" s="193" t="str">
        <f aca="false">IF(AND('DICIEMBRE 2026'!D63&lt;&gt;"",'DICIEMBRE 2026'!Z63="POR RECOGER"),'DICIEMBRE 2026'!M63,"")</f>
        <v/>
      </c>
      <c r="H1214" s="193" t="str">
        <f aca="false">IF(AND('DICIEMBRE 2026'!D63&lt;&gt;"",'DICIEMBRE 2026'!Z63="POR RECOGER"),'DICIEMBRE 2026'!N63,"")</f>
        <v/>
      </c>
      <c r="I1214" s="192" t="str">
        <f aca="false">IF(AND('DICIEMBRE 2026'!D63&lt;&gt;"",'DICIEMBRE 2026'!Z63="POR RECOGER"),'DICIEMBRE 2026'!P63,"")</f>
        <v/>
      </c>
      <c r="J1214" s="192" t="str">
        <f aca="false">IF(AND('DICIEMBRE 2026'!D63&lt;&gt;"",'DICIEMBRE 2026'!Z63="POR RECOGER"),'DICIEMBRE 2026'!Q63,"")</f>
        <v/>
      </c>
      <c r="K1214" s="192" t="str">
        <f aca="false">IF(AND('DICIEMBRE 2026'!D63&lt;&gt;"",'DICIEMBRE 2026'!Z63="POR RECOGER"),'DICIEMBRE 2026'!Y63,"")</f>
        <v/>
      </c>
      <c r="L1214" s="192" t="str">
        <f aca="false">IF(AND('DICIEMBRE 2026'!D63&lt;&gt;"",'DICIEMBRE 2026'!Z63="POR RECOGER"),'DICIEMBRE 2026'!I63,"")</f>
        <v/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customFormat="false" ht="15" hidden="false" customHeight="true" outlineLevel="0" collapsed="false">
      <c r="A1215" s="192" t="str">
        <f aca="false">IF(AND('DICIEMBRE 2026'!D64&lt;&gt;"",'DICIEMBRE 2026'!Z64="POR RECOGER"),"DIC","")</f>
        <v/>
      </c>
      <c r="B1215" s="192" t="str">
        <f aca="false">IF(AND('DICIEMBRE 2026'!D64&lt;&gt;"",'DICIEMBRE 2026'!Z64="POR RECOGER"),IF('DICIEMBRE 2026'!Y64&lt;&gt;"",'DICIEMBRE 2026'!Y64,'DICIEMBRE 2026'!I64),"")</f>
        <v/>
      </c>
      <c r="C1215" s="192" t="str">
        <f aca="false">IF(AND('DICIEMBRE 2026'!D64&lt;&gt;"",'DICIEMBRE 2026'!Z64="POR RECOGER"),'DICIEMBRE 2026'!D64,"")</f>
        <v/>
      </c>
      <c r="D1215" s="192" t="str">
        <f aca="false">IF(AND('DICIEMBRE 2026'!D64&lt;&gt;"",'DICIEMBRE 2026'!Z64="POR RECOGER"),'DICIEMBRE 2026'!F64,"")</f>
        <v/>
      </c>
      <c r="E1215" s="192" t="str">
        <f aca="false">IF(AND('DICIEMBRE 2026'!D64&lt;&gt;"",'DICIEMBRE 2026'!Z64="POR RECOGER"),TEXT('DICIEMBRE 2026'!G64,"DD/MM/YYYY"),"")</f>
        <v/>
      </c>
      <c r="F1215" s="192" t="str">
        <f aca="false">IF(AND('DICIEMBRE 2026'!D64&lt;&gt;"",'DICIEMBRE 2026'!Z64="POR RECOGER"),'DICIEMBRE 2026'!K64,"")</f>
        <v/>
      </c>
      <c r="G1215" s="193" t="str">
        <f aca="false">IF(AND('DICIEMBRE 2026'!D64&lt;&gt;"",'DICIEMBRE 2026'!Z64="POR RECOGER"),'DICIEMBRE 2026'!M64,"")</f>
        <v/>
      </c>
      <c r="H1215" s="193" t="str">
        <f aca="false">IF(AND('DICIEMBRE 2026'!D64&lt;&gt;"",'DICIEMBRE 2026'!Z64="POR RECOGER"),'DICIEMBRE 2026'!N64,"")</f>
        <v/>
      </c>
      <c r="I1215" s="192" t="str">
        <f aca="false">IF(AND('DICIEMBRE 2026'!D64&lt;&gt;"",'DICIEMBRE 2026'!Z64="POR RECOGER"),'DICIEMBRE 2026'!P64,"")</f>
        <v/>
      </c>
      <c r="J1215" s="192" t="str">
        <f aca="false">IF(AND('DICIEMBRE 2026'!D64&lt;&gt;"",'DICIEMBRE 2026'!Z64="POR RECOGER"),'DICIEMBRE 2026'!Q64,"")</f>
        <v/>
      </c>
      <c r="K1215" s="192" t="str">
        <f aca="false">IF(AND('DICIEMBRE 2026'!D64&lt;&gt;"",'DICIEMBRE 2026'!Z64="POR RECOGER"),'DICIEMBRE 2026'!Y64,"")</f>
        <v/>
      </c>
      <c r="L1215" s="192" t="str">
        <f aca="false">IF(AND('DICIEMBRE 2026'!D64&lt;&gt;"",'DICIEMBRE 2026'!Z64="POR RECOGER"),'DICIEMBRE 2026'!I64,"")</f>
        <v/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customFormat="false" ht="15" hidden="false" customHeight="true" outlineLevel="0" collapsed="false">
      <c r="A1216" s="192" t="str">
        <f aca="false">IF(AND('DICIEMBRE 2026'!D65&lt;&gt;"",'DICIEMBRE 2026'!Z65="POR RECOGER"),"DIC","")</f>
        <v/>
      </c>
      <c r="B1216" s="192" t="str">
        <f aca="false">IF(AND('DICIEMBRE 2026'!D65&lt;&gt;"",'DICIEMBRE 2026'!Z65="POR RECOGER"),IF('DICIEMBRE 2026'!Y65&lt;&gt;"",'DICIEMBRE 2026'!Y65,'DICIEMBRE 2026'!I65),"")</f>
        <v/>
      </c>
      <c r="C1216" s="192" t="str">
        <f aca="false">IF(AND('DICIEMBRE 2026'!D65&lt;&gt;"",'DICIEMBRE 2026'!Z65="POR RECOGER"),'DICIEMBRE 2026'!D65,"")</f>
        <v/>
      </c>
      <c r="D1216" s="192" t="str">
        <f aca="false">IF(AND('DICIEMBRE 2026'!D65&lt;&gt;"",'DICIEMBRE 2026'!Z65="POR RECOGER"),'DICIEMBRE 2026'!F65,"")</f>
        <v/>
      </c>
      <c r="E1216" s="192" t="str">
        <f aca="false">IF(AND('DICIEMBRE 2026'!D65&lt;&gt;"",'DICIEMBRE 2026'!Z65="POR RECOGER"),TEXT('DICIEMBRE 2026'!G65,"DD/MM/YYYY"),"")</f>
        <v/>
      </c>
      <c r="F1216" s="192" t="str">
        <f aca="false">IF(AND('DICIEMBRE 2026'!D65&lt;&gt;"",'DICIEMBRE 2026'!Z65="POR RECOGER"),'DICIEMBRE 2026'!K65,"")</f>
        <v/>
      </c>
      <c r="G1216" s="193" t="str">
        <f aca="false">IF(AND('DICIEMBRE 2026'!D65&lt;&gt;"",'DICIEMBRE 2026'!Z65="POR RECOGER"),'DICIEMBRE 2026'!M65,"")</f>
        <v/>
      </c>
      <c r="H1216" s="193" t="str">
        <f aca="false">IF(AND('DICIEMBRE 2026'!D65&lt;&gt;"",'DICIEMBRE 2026'!Z65="POR RECOGER"),'DICIEMBRE 2026'!N65,"")</f>
        <v/>
      </c>
      <c r="I1216" s="192" t="str">
        <f aca="false">IF(AND('DICIEMBRE 2026'!D65&lt;&gt;"",'DICIEMBRE 2026'!Z65="POR RECOGER"),'DICIEMBRE 2026'!P65,"")</f>
        <v/>
      </c>
      <c r="J1216" s="192" t="str">
        <f aca="false">IF(AND('DICIEMBRE 2026'!D65&lt;&gt;"",'DICIEMBRE 2026'!Z65="POR RECOGER"),'DICIEMBRE 2026'!Q65,"")</f>
        <v/>
      </c>
      <c r="K1216" s="192" t="str">
        <f aca="false">IF(AND('DICIEMBRE 2026'!D65&lt;&gt;"",'DICIEMBRE 2026'!Z65="POR RECOGER"),'DICIEMBRE 2026'!Y65,"")</f>
        <v/>
      </c>
      <c r="L1216" s="192" t="str">
        <f aca="false">IF(AND('DICIEMBRE 2026'!D65&lt;&gt;"",'DICIEMBRE 2026'!Z65="POR RECOGER"),'DICIEMBRE 2026'!I65,"")</f>
        <v/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customFormat="false" ht="15" hidden="false" customHeight="true" outlineLevel="0" collapsed="false">
      <c r="A1217" s="192" t="str">
        <f aca="false">IF(AND('DICIEMBRE 2026'!D66&lt;&gt;"",'DICIEMBRE 2026'!Z66="POR RECOGER"),"DIC","")</f>
        <v/>
      </c>
      <c r="B1217" s="192" t="str">
        <f aca="false">IF(AND('DICIEMBRE 2026'!D66&lt;&gt;"",'DICIEMBRE 2026'!Z66="POR RECOGER"),IF('DICIEMBRE 2026'!Y66&lt;&gt;"",'DICIEMBRE 2026'!Y66,'DICIEMBRE 2026'!I66),"")</f>
        <v/>
      </c>
      <c r="C1217" s="192" t="str">
        <f aca="false">IF(AND('DICIEMBRE 2026'!D66&lt;&gt;"",'DICIEMBRE 2026'!Z66="POR RECOGER"),'DICIEMBRE 2026'!D66,"")</f>
        <v/>
      </c>
      <c r="D1217" s="192" t="str">
        <f aca="false">IF(AND('DICIEMBRE 2026'!D66&lt;&gt;"",'DICIEMBRE 2026'!Z66="POR RECOGER"),'DICIEMBRE 2026'!F66,"")</f>
        <v/>
      </c>
      <c r="E1217" s="192" t="str">
        <f aca="false">IF(AND('DICIEMBRE 2026'!D66&lt;&gt;"",'DICIEMBRE 2026'!Z66="POR RECOGER"),TEXT('DICIEMBRE 2026'!G66,"DD/MM/YYYY"),"")</f>
        <v/>
      </c>
      <c r="F1217" s="192" t="str">
        <f aca="false">IF(AND('DICIEMBRE 2026'!D66&lt;&gt;"",'DICIEMBRE 2026'!Z66="POR RECOGER"),'DICIEMBRE 2026'!K66,"")</f>
        <v/>
      </c>
      <c r="G1217" s="193" t="str">
        <f aca="false">IF(AND('DICIEMBRE 2026'!D66&lt;&gt;"",'DICIEMBRE 2026'!Z66="POR RECOGER"),'DICIEMBRE 2026'!M66,"")</f>
        <v/>
      </c>
      <c r="H1217" s="193" t="str">
        <f aca="false">IF(AND('DICIEMBRE 2026'!D66&lt;&gt;"",'DICIEMBRE 2026'!Z66="POR RECOGER"),'DICIEMBRE 2026'!N66,"")</f>
        <v/>
      </c>
      <c r="I1217" s="192" t="str">
        <f aca="false">IF(AND('DICIEMBRE 2026'!D66&lt;&gt;"",'DICIEMBRE 2026'!Z66="POR RECOGER"),'DICIEMBRE 2026'!P66,"")</f>
        <v/>
      </c>
      <c r="J1217" s="192" t="str">
        <f aca="false">IF(AND('DICIEMBRE 2026'!D66&lt;&gt;"",'DICIEMBRE 2026'!Z66="POR RECOGER"),'DICIEMBRE 2026'!Q66,"")</f>
        <v/>
      </c>
      <c r="K1217" s="192" t="str">
        <f aca="false">IF(AND('DICIEMBRE 2026'!D66&lt;&gt;"",'DICIEMBRE 2026'!Z66="POR RECOGER"),'DICIEMBRE 2026'!Y66,"")</f>
        <v/>
      </c>
      <c r="L1217" s="192" t="str">
        <f aca="false">IF(AND('DICIEMBRE 2026'!D66&lt;&gt;"",'DICIEMBRE 2026'!Z66="POR RECOGER"),'DICIEMBRE 2026'!I66,"")</f>
        <v/>
      </c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customFormat="false" ht="15" hidden="false" customHeight="true" outlineLevel="0" collapsed="false">
      <c r="A1218" s="192" t="str">
        <f aca="false">IF(AND('DICIEMBRE 2026'!D67&lt;&gt;"",'DICIEMBRE 2026'!Z67="POR RECOGER"),"DIC","")</f>
        <v/>
      </c>
      <c r="B1218" s="192" t="str">
        <f aca="false">IF(AND('DICIEMBRE 2026'!D67&lt;&gt;"",'DICIEMBRE 2026'!Z67="POR RECOGER"),IF('DICIEMBRE 2026'!Y67&lt;&gt;"",'DICIEMBRE 2026'!Y67,'DICIEMBRE 2026'!I67),"")</f>
        <v/>
      </c>
      <c r="C1218" s="192" t="str">
        <f aca="false">IF(AND('DICIEMBRE 2026'!D67&lt;&gt;"",'DICIEMBRE 2026'!Z67="POR RECOGER"),'DICIEMBRE 2026'!D67,"")</f>
        <v/>
      </c>
      <c r="D1218" s="192" t="str">
        <f aca="false">IF(AND('DICIEMBRE 2026'!D67&lt;&gt;"",'DICIEMBRE 2026'!Z67="POR RECOGER"),'DICIEMBRE 2026'!F67,"")</f>
        <v/>
      </c>
      <c r="E1218" s="192" t="str">
        <f aca="false">IF(AND('DICIEMBRE 2026'!D67&lt;&gt;"",'DICIEMBRE 2026'!Z67="POR RECOGER"),TEXT('DICIEMBRE 2026'!G67,"DD/MM/YYYY"),"")</f>
        <v/>
      </c>
      <c r="F1218" s="192" t="str">
        <f aca="false">IF(AND('DICIEMBRE 2026'!D67&lt;&gt;"",'DICIEMBRE 2026'!Z67="POR RECOGER"),'DICIEMBRE 2026'!K67,"")</f>
        <v/>
      </c>
      <c r="G1218" s="193" t="str">
        <f aca="false">IF(AND('DICIEMBRE 2026'!D67&lt;&gt;"",'DICIEMBRE 2026'!Z67="POR RECOGER"),'DICIEMBRE 2026'!M67,"")</f>
        <v/>
      </c>
      <c r="H1218" s="193" t="str">
        <f aca="false">IF(AND('DICIEMBRE 2026'!D67&lt;&gt;"",'DICIEMBRE 2026'!Z67="POR RECOGER"),'DICIEMBRE 2026'!N67,"")</f>
        <v/>
      </c>
      <c r="I1218" s="192" t="str">
        <f aca="false">IF(AND('DICIEMBRE 2026'!D67&lt;&gt;"",'DICIEMBRE 2026'!Z67="POR RECOGER"),'DICIEMBRE 2026'!P67,"")</f>
        <v/>
      </c>
      <c r="J1218" s="192" t="str">
        <f aca="false">IF(AND('DICIEMBRE 2026'!D67&lt;&gt;"",'DICIEMBRE 2026'!Z67="POR RECOGER"),'DICIEMBRE 2026'!Q67,"")</f>
        <v/>
      </c>
      <c r="K1218" s="192" t="str">
        <f aca="false">IF(AND('DICIEMBRE 2026'!D67&lt;&gt;"",'DICIEMBRE 2026'!Z67="POR RECOGER"),'DICIEMBRE 2026'!Y67,"")</f>
        <v/>
      </c>
      <c r="L1218" s="192" t="str">
        <f aca="false">IF(AND('DICIEMBRE 2026'!D67&lt;&gt;"",'DICIEMBRE 2026'!Z67="POR RECOGER"),'DICIEMBRE 2026'!I67,"")</f>
        <v/>
      </c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customFormat="false" ht="15" hidden="false" customHeight="true" outlineLevel="0" collapsed="false">
      <c r="A1219" s="192" t="str">
        <f aca="false">IF(AND('DICIEMBRE 2026'!D68&lt;&gt;"",'DICIEMBRE 2026'!Z68="POR RECOGER"),"DIC","")</f>
        <v/>
      </c>
      <c r="B1219" s="192" t="str">
        <f aca="false">IF(AND('DICIEMBRE 2026'!D68&lt;&gt;"",'DICIEMBRE 2026'!Z68="POR RECOGER"),IF('DICIEMBRE 2026'!Y68&lt;&gt;"",'DICIEMBRE 2026'!Y68,'DICIEMBRE 2026'!I68),"")</f>
        <v/>
      </c>
      <c r="C1219" s="192" t="str">
        <f aca="false">IF(AND('DICIEMBRE 2026'!D68&lt;&gt;"",'DICIEMBRE 2026'!Z68="POR RECOGER"),'DICIEMBRE 2026'!D68,"")</f>
        <v/>
      </c>
      <c r="D1219" s="192" t="str">
        <f aca="false">IF(AND('DICIEMBRE 2026'!D68&lt;&gt;"",'DICIEMBRE 2026'!Z68="POR RECOGER"),'DICIEMBRE 2026'!F68,"")</f>
        <v/>
      </c>
      <c r="E1219" s="192" t="str">
        <f aca="false">IF(AND('DICIEMBRE 2026'!D68&lt;&gt;"",'DICIEMBRE 2026'!Z68="POR RECOGER"),TEXT('DICIEMBRE 2026'!G68,"DD/MM/YYYY"),"")</f>
        <v/>
      </c>
      <c r="F1219" s="192" t="str">
        <f aca="false">IF(AND('DICIEMBRE 2026'!D68&lt;&gt;"",'DICIEMBRE 2026'!Z68="POR RECOGER"),'DICIEMBRE 2026'!K68,"")</f>
        <v/>
      </c>
      <c r="G1219" s="193" t="str">
        <f aca="false">IF(AND('DICIEMBRE 2026'!D68&lt;&gt;"",'DICIEMBRE 2026'!Z68="POR RECOGER"),'DICIEMBRE 2026'!M68,"")</f>
        <v/>
      </c>
      <c r="H1219" s="193" t="str">
        <f aca="false">IF(AND('DICIEMBRE 2026'!D68&lt;&gt;"",'DICIEMBRE 2026'!Z68="POR RECOGER"),'DICIEMBRE 2026'!N68,"")</f>
        <v/>
      </c>
      <c r="I1219" s="192" t="str">
        <f aca="false">IF(AND('DICIEMBRE 2026'!D68&lt;&gt;"",'DICIEMBRE 2026'!Z68="POR RECOGER"),'DICIEMBRE 2026'!P68,"")</f>
        <v/>
      </c>
      <c r="J1219" s="192" t="str">
        <f aca="false">IF(AND('DICIEMBRE 2026'!D68&lt;&gt;"",'DICIEMBRE 2026'!Z68="POR RECOGER"),'DICIEMBRE 2026'!Q68,"")</f>
        <v/>
      </c>
      <c r="K1219" s="192" t="str">
        <f aca="false">IF(AND('DICIEMBRE 2026'!D68&lt;&gt;"",'DICIEMBRE 2026'!Z68="POR RECOGER"),'DICIEMBRE 2026'!Y68,"")</f>
        <v/>
      </c>
      <c r="L1219" s="192" t="str">
        <f aca="false">IF(AND('DICIEMBRE 2026'!D68&lt;&gt;"",'DICIEMBRE 2026'!Z68="POR RECOGER"),'DICIEMBRE 2026'!I68,"")</f>
        <v/>
      </c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customFormat="false" ht="15" hidden="false" customHeight="true" outlineLevel="0" collapsed="false">
      <c r="A1220" s="192" t="str">
        <f aca="false">IF(AND('DICIEMBRE 2026'!D69&lt;&gt;"",'DICIEMBRE 2026'!Z69="POR RECOGER"),"DIC","")</f>
        <v/>
      </c>
      <c r="B1220" s="192" t="str">
        <f aca="false">IF(AND('DICIEMBRE 2026'!D69&lt;&gt;"",'DICIEMBRE 2026'!Z69="POR RECOGER"),IF('DICIEMBRE 2026'!Y69&lt;&gt;"",'DICIEMBRE 2026'!Y69,'DICIEMBRE 2026'!I69),"")</f>
        <v/>
      </c>
      <c r="C1220" s="192" t="str">
        <f aca="false">IF(AND('DICIEMBRE 2026'!D69&lt;&gt;"",'DICIEMBRE 2026'!Z69="POR RECOGER"),'DICIEMBRE 2026'!D69,"")</f>
        <v/>
      </c>
      <c r="D1220" s="192" t="str">
        <f aca="false">IF(AND('DICIEMBRE 2026'!D69&lt;&gt;"",'DICIEMBRE 2026'!Z69="POR RECOGER"),'DICIEMBRE 2026'!F69,"")</f>
        <v/>
      </c>
      <c r="E1220" s="192" t="str">
        <f aca="false">IF(AND('DICIEMBRE 2026'!D69&lt;&gt;"",'DICIEMBRE 2026'!Z69="POR RECOGER"),TEXT('DICIEMBRE 2026'!G69,"DD/MM/YYYY"),"")</f>
        <v/>
      </c>
      <c r="F1220" s="192" t="str">
        <f aca="false">IF(AND('DICIEMBRE 2026'!D69&lt;&gt;"",'DICIEMBRE 2026'!Z69="POR RECOGER"),'DICIEMBRE 2026'!K69,"")</f>
        <v/>
      </c>
      <c r="G1220" s="193" t="str">
        <f aca="false">IF(AND('DICIEMBRE 2026'!D69&lt;&gt;"",'DICIEMBRE 2026'!Z69="POR RECOGER"),'DICIEMBRE 2026'!M69,"")</f>
        <v/>
      </c>
      <c r="H1220" s="193" t="str">
        <f aca="false">IF(AND('DICIEMBRE 2026'!D69&lt;&gt;"",'DICIEMBRE 2026'!Z69="POR RECOGER"),'DICIEMBRE 2026'!N69,"")</f>
        <v/>
      </c>
      <c r="I1220" s="192" t="str">
        <f aca="false">IF(AND('DICIEMBRE 2026'!D69&lt;&gt;"",'DICIEMBRE 2026'!Z69="POR RECOGER"),'DICIEMBRE 2026'!P69,"")</f>
        <v/>
      </c>
      <c r="J1220" s="192" t="str">
        <f aca="false">IF(AND('DICIEMBRE 2026'!D69&lt;&gt;"",'DICIEMBRE 2026'!Z69="POR RECOGER"),'DICIEMBRE 2026'!Q69,"")</f>
        <v/>
      </c>
      <c r="K1220" s="192" t="str">
        <f aca="false">IF(AND('DICIEMBRE 2026'!D69&lt;&gt;"",'DICIEMBRE 2026'!Z69="POR RECOGER"),'DICIEMBRE 2026'!Y69,"")</f>
        <v/>
      </c>
      <c r="L1220" s="192" t="str">
        <f aca="false">IF(AND('DICIEMBRE 2026'!D69&lt;&gt;"",'DICIEMBRE 2026'!Z69="POR RECOGER"),'DICIEMBRE 2026'!I69,"")</f>
        <v/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customFormat="false" ht="15" hidden="false" customHeight="true" outlineLevel="0" collapsed="false">
      <c r="A1221" s="192" t="str">
        <f aca="false">IF(AND('DICIEMBRE 2026'!D70&lt;&gt;"",'DICIEMBRE 2026'!Z70="POR RECOGER"),"DIC","")</f>
        <v/>
      </c>
      <c r="B1221" s="192" t="str">
        <f aca="false">IF(AND('DICIEMBRE 2026'!D70&lt;&gt;"",'DICIEMBRE 2026'!Z70="POR RECOGER"),IF('DICIEMBRE 2026'!Y70&lt;&gt;"",'DICIEMBRE 2026'!Y70,'DICIEMBRE 2026'!I70),"")</f>
        <v/>
      </c>
      <c r="C1221" s="192" t="str">
        <f aca="false">IF(AND('DICIEMBRE 2026'!D70&lt;&gt;"",'DICIEMBRE 2026'!Z70="POR RECOGER"),'DICIEMBRE 2026'!D70,"")</f>
        <v/>
      </c>
      <c r="D1221" s="192" t="str">
        <f aca="false">IF(AND('DICIEMBRE 2026'!D70&lt;&gt;"",'DICIEMBRE 2026'!Z70="POR RECOGER"),'DICIEMBRE 2026'!F70,"")</f>
        <v/>
      </c>
      <c r="E1221" s="192" t="str">
        <f aca="false">IF(AND('DICIEMBRE 2026'!D70&lt;&gt;"",'DICIEMBRE 2026'!Z70="POR RECOGER"),TEXT('DICIEMBRE 2026'!G70,"DD/MM/YYYY"),"")</f>
        <v/>
      </c>
      <c r="F1221" s="192" t="str">
        <f aca="false">IF(AND('DICIEMBRE 2026'!D70&lt;&gt;"",'DICIEMBRE 2026'!Z70="POR RECOGER"),'DICIEMBRE 2026'!K70,"")</f>
        <v/>
      </c>
      <c r="G1221" s="193" t="str">
        <f aca="false">IF(AND('DICIEMBRE 2026'!D70&lt;&gt;"",'DICIEMBRE 2026'!Z70="POR RECOGER"),'DICIEMBRE 2026'!M70,"")</f>
        <v/>
      </c>
      <c r="H1221" s="193" t="str">
        <f aca="false">IF(AND('DICIEMBRE 2026'!D70&lt;&gt;"",'DICIEMBRE 2026'!Z70="POR RECOGER"),'DICIEMBRE 2026'!N70,"")</f>
        <v/>
      </c>
      <c r="I1221" s="192" t="str">
        <f aca="false">IF(AND('DICIEMBRE 2026'!D70&lt;&gt;"",'DICIEMBRE 2026'!Z70="POR RECOGER"),'DICIEMBRE 2026'!P70,"")</f>
        <v/>
      </c>
      <c r="J1221" s="192" t="str">
        <f aca="false">IF(AND('DICIEMBRE 2026'!D70&lt;&gt;"",'DICIEMBRE 2026'!Z70="POR RECOGER"),'DICIEMBRE 2026'!Q70,"")</f>
        <v/>
      </c>
      <c r="K1221" s="192" t="str">
        <f aca="false">IF(AND('DICIEMBRE 2026'!D70&lt;&gt;"",'DICIEMBRE 2026'!Z70="POR RECOGER"),'DICIEMBRE 2026'!Y70,"")</f>
        <v/>
      </c>
      <c r="L1221" s="192" t="str">
        <f aca="false">IF(AND('DICIEMBRE 2026'!D70&lt;&gt;"",'DICIEMBRE 2026'!Z70="POR RECOGER"),'DICIEMBRE 2026'!I70,"")</f>
        <v/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customFormat="false" ht="15" hidden="false" customHeight="true" outlineLevel="0" collapsed="false">
      <c r="A1222" s="192" t="str">
        <f aca="false">IF(AND('DICIEMBRE 2026'!D71&lt;&gt;"",'DICIEMBRE 2026'!Z71="POR RECOGER"),"DIC","")</f>
        <v/>
      </c>
      <c r="B1222" s="192" t="str">
        <f aca="false">IF(AND('DICIEMBRE 2026'!D71&lt;&gt;"",'DICIEMBRE 2026'!Z71="POR RECOGER"),IF('DICIEMBRE 2026'!Y71&lt;&gt;"",'DICIEMBRE 2026'!Y71,'DICIEMBRE 2026'!I71),"")</f>
        <v/>
      </c>
      <c r="C1222" s="192" t="str">
        <f aca="false">IF(AND('DICIEMBRE 2026'!D71&lt;&gt;"",'DICIEMBRE 2026'!Z71="POR RECOGER"),'DICIEMBRE 2026'!D71,"")</f>
        <v/>
      </c>
      <c r="D1222" s="192" t="str">
        <f aca="false">IF(AND('DICIEMBRE 2026'!D71&lt;&gt;"",'DICIEMBRE 2026'!Z71="POR RECOGER"),'DICIEMBRE 2026'!F71,"")</f>
        <v/>
      </c>
      <c r="E1222" s="192" t="str">
        <f aca="false">IF(AND('DICIEMBRE 2026'!D71&lt;&gt;"",'DICIEMBRE 2026'!Z71="POR RECOGER"),TEXT('DICIEMBRE 2026'!G71,"DD/MM/YYYY"),"")</f>
        <v/>
      </c>
      <c r="F1222" s="192" t="str">
        <f aca="false">IF(AND('DICIEMBRE 2026'!D71&lt;&gt;"",'DICIEMBRE 2026'!Z71="POR RECOGER"),'DICIEMBRE 2026'!K71,"")</f>
        <v/>
      </c>
      <c r="G1222" s="193" t="str">
        <f aca="false">IF(AND('DICIEMBRE 2026'!D71&lt;&gt;"",'DICIEMBRE 2026'!Z71="POR RECOGER"),'DICIEMBRE 2026'!M71,"")</f>
        <v/>
      </c>
      <c r="H1222" s="193" t="str">
        <f aca="false">IF(AND('DICIEMBRE 2026'!D71&lt;&gt;"",'DICIEMBRE 2026'!Z71="POR RECOGER"),'DICIEMBRE 2026'!N71,"")</f>
        <v/>
      </c>
      <c r="I1222" s="192" t="str">
        <f aca="false">IF(AND('DICIEMBRE 2026'!D71&lt;&gt;"",'DICIEMBRE 2026'!Z71="POR RECOGER"),'DICIEMBRE 2026'!P71,"")</f>
        <v/>
      </c>
      <c r="J1222" s="192" t="str">
        <f aca="false">IF(AND('DICIEMBRE 2026'!D71&lt;&gt;"",'DICIEMBRE 2026'!Z71="POR RECOGER"),'DICIEMBRE 2026'!Q71,"")</f>
        <v/>
      </c>
      <c r="K1222" s="192" t="str">
        <f aca="false">IF(AND('DICIEMBRE 2026'!D71&lt;&gt;"",'DICIEMBRE 2026'!Z71="POR RECOGER"),'DICIEMBRE 2026'!Y71,"")</f>
        <v/>
      </c>
      <c r="L1222" s="192" t="str">
        <f aca="false">IF(AND('DICIEMBRE 2026'!D71&lt;&gt;"",'DICIEMBRE 2026'!Z71="POR RECOGER"),'DICIEMBRE 2026'!I71,"")</f>
        <v/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customFormat="false" ht="15" hidden="false" customHeight="true" outlineLevel="0" collapsed="false">
      <c r="A1223" s="192" t="str">
        <f aca="false">IF(AND('DICIEMBRE 2026'!D72&lt;&gt;"",'DICIEMBRE 2026'!Z72="POR RECOGER"),"DIC","")</f>
        <v/>
      </c>
      <c r="B1223" s="192" t="str">
        <f aca="false">IF(AND('DICIEMBRE 2026'!D72&lt;&gt;"",'DICIEMBRE 2026'!Z72="POR RECOGER"),IF('DICIEMBRE 2026'!Y72&lt;&gt;"",'DICIEMBRE 2026'!Y72,'DICIEMBRE 2026'!I72),"")</f>
        <v/>
      </c>
      <c r="C1223" s="192" t="str">
        <f aca="false">IF(AND('DICIEMBRE 2026'!D72&lt;&gt;"",'DICIEMBRE 2026'!Z72="POR RECOGER"),'DICIEMBRE 2026'!D72,"")</f>
        <v/>
      </c>
      <c r="D1223" s="192" t="str">
        <f aca="false">IF(AND('DICIEMBRE 2026'!D72&lt;&gt;"",'DICIEMBRE 2026'!Z72="POR RECOGER"),'DICIEMBRE 2026'!F72,"")</f>
        <v/>
      </c>
      <c r="E1223" s="192" t="str">
        <f aca="false">IF(AND('DICIEMBRE 2026'!D72&lt;&gt;"",'DICIEMBRE 2026'!Z72="POR RECOGER"),TEXT('DICIEMBRE 2026'!G72,"DD/MM/YYYY"),"")</f>
        <v/>
      </c>
      <c r="F1223" s="192" t="str">
        <f aca="false">IF(AND('DICIEMBRE 2026'!D72&lt;&gt;"",'DICIEMBRE 2026'!Z72="POR RECOGER"),'DICIEMBRE 2026'!K72,"")</f>
        <v/>
      </c>
      <c r="G1223" s="193" t="str">
        <f aca="false">IF(AND('DICIEMBRE 2026'!D72&lt;&gt;"",'DICIEMBRE 2026'!Z72="POR RECOGER"),'DICIEMBRE 2026'!M72,"")</f>
        <v/>
      </c>
      <c r="H1223" s="193" t="str">
        <f aca="false">IF(AND('DICIEMBRE 2026'!D72&lt;&gt;"",'DICIEMBRE 2026'!Z72="POR RECOGER"),'DICIEMBRE 2026'!N72,"")</f>
        <v/>
      </c>
      <c r="I1223" s="192" t="str">
        <f aca="false">IF(AND('DICIEMBRE 2026'!D72&lt;&gt;"",'DICIEMBRE 2026'!Z72="POR RECOGER"),'DICIEMBRE 2026'!P72,"")</f>
        <v/>
      </c>
      <c r="J1223" s="192" t="str">
        <f aca="false">IF(AND('DICIEMBRE 2026'!D72&lt;&gt;"",'DICIEMBRE 2026'!Z72="POR RECOGER"),'DICIEMBRE 2026'!Q72,"")</f>
        <v/>
      </c>
      <c r="K1223" s="192" t="str">
        <f aca="false">IF(AND('DICIEMBRE 2026'!D72&lt;&gt;"",'DICIEMBRE 2026'!Z72="POR RECOGER"),'DICIEMBRE 2026'!Y72,"")</f>
        <v/>
      </c>
      <c r="L1223" s="192" t="str">
        <f aca="false">IF(AND('DICIEMBRE 2026'!D72&lt;&gt;"",'DICIEMBRE 2026'!Z72="POR RECOGER"),'DICIEMBRE 2026'!I72,"")</f>
        <v/>
      </c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customFormat="false" ht="15" hidden="false" customHeight="true" outlineLevel="0" collapsed="false">
      <c r="A1224" s="192" t="str">
        <f aca="false">IF(AND('DICIEMBRE 2026'!D73&lt;&gt;"",'DICIEMBRE 2026'!Z73="POR RECOGER"),"DIC","")</f>
        <v/>
      </c>
      <c r="B1224" s="192" t="str">
        <f aca="false">IF(AND('DICIEMBRE 2026'!D73&lt;&gt;"",'DICIEMBRE 2026'!Z73="POR RECOGER"),IF('DICIEMBRE 2026'!Y73&lt;&gt;"",'DICIEMBRE 2026'!Y73,'DICIEMBRE 2026'!I73),"")</f>
        <v/>
      </c>
      <c r="C1224" s="192" t="str">
        <f aca="false">IF(AND('DICIEMBRE 2026'!D73&lt;&gt;"",'DICIEMBRE 2026'!Z73="POR RECOGER"),'DICIEMBRE 2026'!D73,"")</f>
        <v/>
      </c>
      <c r="D1224" s="192" t="str">
        <f aca="false">IF(AND('DICIEMBRE 2026'!D73&lt;&gt;"",'DICIEMBRE 2026'!Z73="POR RECOGER"),'DICIEMBRE 2026'!F73,"")</f>
        <v/>
      </c>
      <c r="E1224" s="192" t="str">
        <f aca="false">IF(AND('DICIEMBRE 2026'!D73&lt;&gt;"",'DICIEMBRE 2026'!Z73="POR RECOGER"),TEXT('DICIEMBRE 2026'!G73,"DD/MM/YYYY"),"")</f>
        <v/>
      </c>
      <c r="F1224" s="192" t="str">
        <f aca="false">IF(AND('DICIEMBRE 2026'!D73&lt;&gt;"",'DICIEMBRE 2026'!Z73="POR RECOGER"),'DICIEMBRE 2026'!K73,"")</f>
        <v/>
      </c>
      <c r="G1224" s="193" t="str">
        <f aca="false">IF(AND('DICIEMBRE 2026'!D73&lt;&gt;"",'DICIEMBRE 2026'!Z73="POR RECOGER"),'DICIEMBRE 2026'!M73,"")</f>
        <v/>
      </c>
      <c r="H1224" s="193" t="str">
        <f aca="false">IF(AND('DICIEMBRE 2026'!D73&lt;&gt;"",'DICIEMBRE 2026'!Z73="POR RECOGER"),'DICIEMBRE 2026'!N73,"")</f>
        <v/>
      </c>
      <c r="I1224" s="192" t="str">
        <f aca="false">IF(AND('DICIEMBRE 2026'!D73&lt;&gt;"",'DICIEMBRE 2026'!Z73="POR RECOGER"),'DICIEMBRE 2026'!P73,"")</f>
        <v/>
      </c>
      <c r="J1224" s="192" t="str">
        <f aca="false">IF(AND('DICIEMBRE 2026'!D73&lt;&gt;"",'DICIEMBRE 2026'!Z73="POR RECOGER"),'DICIEMBRE 2026'!Q73,"")</f>
        <v/>
      </c>
      <c r="K1224" s="192" t="str">
        <f aca="false">IF(AND('DICIEMBRE 2026'!D73&lt;&gt;"",'DICIEMBRE 2026'!Z73="POR RECOGER"),'DICIEMBRE 2026'!Y73,"")</f>
        <v/>
      </c>
      <c r="L1224" s="192" t="str">
        <f aca="false">IF(AND('DICIEMBRE 2026'!D73&lt;&gt;"",'DICIEMBRE 2026'!Z73="POR RECOGER"),'DICIEMBRE 2026'!I73,"")</f>
        <v/>
      </c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customFormat="false" ht="15" hidden="false" customHeight="true" outlineLevel="0" collapsed="false">
      <c r="A1225" s="192" t="str">
        <f aca="false">IF(AND('DICIEMBRE 2026'!D74&lt;&gt;"",'DICIEMBRE 2026'!Z74="POR RECOGER"),"DIC","")</f>
        <v/>
      </c>
      <c r="B1225" s="192" t="str">
        <f aca="false">IF(AND('DICIEMBRE 2026'!D74&lt;&gt;"",'DICIEMBRE 2026'!Z74="POR RECOGER"),IF('DICIEMBRE 2026'!Y74&lt;&gt;"",'DICIEMBRE 2026'!Y74,'DICIEMBRE 2026'!I74),"")</f>
        <v/>
      </c>
      <c r="C1225" s="192" t="str">
        <f aca="false">IF(AND('DICIEMBRE 2026'!D74&lt;&gt;"",'DICIEMBRE 2026'!Z74="POR RECOGER"),'DICIEMBRE 2026'!D74,"")</f>
        <v/>
      </c>
      <c r="D1225" s="192" t="str">
        <f aca="false">IF(AND('DICIEMBRE 2026'!D74&lt;&gt;"",'DICIEMBRE 2026'!Z74="POR RECOGER"),'DICIEMBRE 2026'!F74,"")</f>
        <v/>
      </c>
      <c r="E1225" s="192" t="str">
        <f aca="false">IF(AND('DICIEMBRE 2026'!D74&lt;&gt;"",'DICIEMBRE 2026'!Z74="POR RECOGER"),TEXT('DICIEMBRE 2026'!G74,"DD/MM/YYYY"),"")</f>
        <v/>
      </c>
      <c r="F1225" s="192" t="str">
        <f aca="false">IF(AND('DICIEMBRE 2026'!D74&lt;&gt;"",'DICIEMBRE 2026'!Z74="POR RECOGER"),'DICIEMBRE 2026'!K74,"")</f>
        <v/>
      </c>
      <c r="G1225" s="193" t="str">
        <f aca="false">IF(AND('DICIEMBRE 2026'!D74&lt;&gt;"",'DICIEMBRE 2026'!Z74="POR RECOGER"),'DICIEMBRE 2026'!M74,"")</f>
        <v/>
      </c>
      <c r="H1225" s="193" t="str">
        <f aca="false">IF(AND('DICIEMBRE 2026'!D74&lt;&gt;"",'DICIEMBRE 2026'!Z74="POR RECOGER"),'DICIEMBRE 2026'!N74,"")</f>
        <v/>
      </c>
      <c r="I1225" s="192" t="str">
        <f aca="false">IF(AND('DICIEMBRE 2026'!D74&lt;&gt;"",'DICIEMBRE 2026'!Z74="POR RECOGER"),'DICIEMBRE 2026'!P74,"")</f>
        <v/>
      </c>
      <c r="J1225" s="192" t="str">
        <f aca="false">IF(AND('DICIEMBRE 2026'!D74&lt;&gt;"",'DICIEMBRE 2026'!Z74="POR RECOGER"),'DICIEMBRE 2026'!Q74,"")</f>
        <v/>
      </c>
      <c r="K1225" s="192" t="str">
        <f aca="false">IF(AND('DICIEMBRE 2026'!D74&lt;&gt;"",'DICIEMBRE 2026'!Z74="POR RECOGER"),'DICIEMBRE 2026'!Y74,"")</f>
        <v/>
      </c>
      <c r="L1225" s="192" t="str">
        <f aca="false">IF(AND('DICIEMBRE 2026'!D74&lt;&gt;"",'DICIEMBRE 2026'!Z74="POR RECOGER"),'DICIEMBRE 2026'!I74,"")</f>
        <v/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customFormat="false" ht="15" hidden="false" customHeight="true" outlineLevel="0" collapsed="false">
      <c r="A1226" s="192" t="str">
        <f aca="false">IF(AND('DICIEMBRE 2026'!D75&lt;&gt;"",'DICIEMBRE 2026'!Z75="POR RECOGER"),"DIC","")</f>
        <v/>
      </c>
      <c r="B1226" s="192" t="str">
        <f aca="false">IF(AND('DICIEMBRE 2026'!D75&lt;&gt;"",'DICIEMBRE 2026'!Z75="POR RECOGER"),IF('DICIEMBRE 2026'!Y75&lt;&gt;"",'DICIEMBRE 2026'!Y75,'DICIEMBRE 2026'!I75),"")</f>
        <v/>
      </c>
      <c r="C1226" s="192" t="str">
        <f aca="false">IF(AND('DICIEMBRE 2026'!D75&lt;&gt;"",'DICIEMBRE 2026'!Z75="POR RECOGER"),'DICIEMBRE 2026'!D75,"")</f>
        <v/>
      </c>
      <c r="D1226" s="192" t="str">
        <f aca="false">IF(AND('DICIEMBRE 2026'!D75&lt;&gt;"",'DICIEMBRE 2026'!Z75="POR RECOGER"),'DICIEMBRE 2026'!F75,"")</f>
        <v/>
      </c>
      <c r="E1226" s="192" t="str">
        <f aca="false">IF(AND('DICIEMBRE 2026'!D75&lt;&gt;"",'DICIEMBRE 2026'!Z75="POR RECOGER"),TEXT('DICIEMBRE 2026'!G75,"DD/MM/YYYY"),"")</f>
        <v/>
      </c>
      <c r="F1226" s="192" t="str">
        <f aca="false">IF(AND('DICIEMBRE 2026'!D75&lt;&gt;"",'DICIEMBRE 2026'!Z75="POR RECOGER"),'DICIEMBRE 2026'!K75,"")</f>
        <v/>
      </c>
      <c r="G1226" s="193" t="str">
        <f aca="false">IF(AND('DICIEMBRE 2026'!D75&lt;&gt;"",'DICIEMBRE 2026'!Z75="POR RECOGER"),'DICIEMBRE 2026'!M75,"")</f>
        <v/>
      </c>
      <c r="H1226" s="193" t="str">
        <f aca="false">IF(AND('DICIEMBRE 2026'!D75&lt;&gt;"",'DICIEMBRE 2026'!Z75="POR RECOGER"),'DICIEMBRE 2026'!N75,"")</f>
        <v/>
      </c>
      <c r="I1226" s="192" t="str">
        <f aca="false">IF(AND('DICIEMBRE 2026'!D75&lt;&gt;"",'DICIEMBRE 2026'!Z75="POR RECOGER"),'DICIEMBRE 2026'!P75,"")</f>
        <v/>
      </c>
      <c r="J1226" s="192" t="str">
        <f aca="false">IF(AND('DICIEMBRE 2026'!D75&lt;&gt;"",'DICIEMBRE 2026'!Z75="POR RECOGER"),'DICIEMBRE 2026'!Q75,"")</f>
        <v/>
      </c>
      <c r="K1226" s="192" t="str">
        <f aca="false">IF(AND('DICIEMBRE 2026'!D75&lt;&gt;"",'DICIEMBRE 2026'!Z75="POR RECOGER"),'DICIEMBRE 2026'!Y75,"")</f>
        <v/>
      </c>
      <c r="L1226" s="192" t="str">
        <f aca="false">IF(AND('DICIEMBRE 2026'!D75&lt;&gt;"",'DICIEMBRE 2026'!Z75="POR RECOGER"),'DICIEMBRE 2026'!I75,"")</f>
        <v/>
      </c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customFormat="false" ht="15" hidden="false" customHeight="true" outlineLevel="0" collapsed="false">
      <c r="A1227" s="192" t="str">
        <f aca="false">IF(AND('DICIEMBRE 2026'!D76&lt;&gt;"",'DICIEMBRE 2026'!Z76="POR RECOGER"),"DIC","")</f>
        <v/>
      </c>
      <c r="B1227" s="192" t="str">
        <f aca="false">IF(AND('DICIEMBRE 2026'!D76&lt;&gt;"",'DICIEMBRE 2026'!Z76="POR RECOGER"),IF('DICIEMBRE 2026'!Y76&lt;&gt;"",'DICIEMBRE 2026'!Y76,'DICIEMBRE 2026'!I76),"")</f>
        <v/>
      </c>
      <c r="C1227" s="192" t="str">
        <f aca="false">IF(AND('DICIEMBRE 2026'!D76&lt;&gt;"",'DICIEMBRE 2026'!Z76="POR RECOGER"),'DICIEMBRE 2026'!D76,"")</f>
        <v/>
      </c>
      <c r="D1227" s="192" t="str">
        <f aca="false">IF(AND('DICIEMBRE 2026'!D76&lt;&gt;"",'DICIEMBRE 2026'!Z76="POR RECOGER"),'DICIEMBRE 2026'!F76,"")</f>
        <v/>
      </c>
      <c r="E1227" s="192" t="str">
        <f aca="false">IF(AND('DICIEMBRE 2026'!D76&lt;&gt;"",'DICIEMBRE 2026'!Z76="POR RECOGER"),TEXT('DICIEMBRE 2026'!G76,"DD/MM/YYYY"),"")</f>
        <v/>
      </c>
      <c r="F1227" s="192" t="str">
        <f aca="false">IF(AND('DICIEMBRE 2026'!D76&lt;&gt;"",'DICIEMBRE 2026'!Z76="POR RECOGER"),'DICIEMBRE 2026'!K76,"")</f>
        <v/>
      </c>
      <c r="G1227" s="193" t="str">
        <f aca="false">IF(AND('DICIEMBRE 2026'!D76&lt;&gt;"",'DICIEMBRE 2026'!Z76="POR RECOGER"),'DICIEMBRE 2026'!M76,"")</f>
        <v/>
      </c>
      <c r="H1227" s="193" t="str">
        <f aca="false">IF(AND('DICIEMBRE 2026'!D76&lt;&gt;"",'DICIEMBRE 2026'!Z76="POR RECOGER"),'DICIEMBRE 2026'!N76,"")</f>
        <v/>
      </c>
      <c r="I1227" s="192" t="str">
        <f aca="false">IF(AND('DICIEMBRE 2026'!D76&lt;&gt;"",'DICIEMBRE 2026'!Z76="POR RECOGER"),'DICIEMBRE 2026'!P76,"")</f>
        <v/>
      </c>
      <c r="J1227" s="192" t="str">
        <f aca="false">IF(AND('DICIEMBRE 2026'!D76&lt;&gt;"",'DICIEMBRE 2026'!Z76="POR RECOGER"),'DICIEMBRE 2026'!Q76,"")</f>
        <v/>
      </c>
      <c r="K1227" s="192" t="str">
        <f aca="false">IF(AND('DICIEMBRE 2026'!D76&lt;&gt;"",'DICIEMBRE 2026'!Z76="POR RECOGER"),'DICIEMBRE 2026'!Y76,"")</f>
        <v/>
      </c>
      <c r="L1227" s="192" t="str">
        <f aca="false">IF(AND('DICIEMBRE 2026'!D76&lt;&gt;"",'DICIEMBRE 2026'!Z76="POR RECOGER"),'DICIEMBRE 2026'!I76,"")</f>
        <v/>
      </c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customFormat="false" ht="15" hidden="false" customHeight="true" outlineLevel="0" collapsed="false">
      <c r="A1228" s="192" t="str">
        <f aca="false">IF(AND('DICIEMBRE 2026'!D77&lt;&gt;"",'DICIEMBRE 2026'!Z77="POR RECOGER"),"DIC","")</f>
        <v/>
      </c>
      <c r="B1228" s="192" t="str">
        <f aca="false">IF(AND('DICIEMBRE 2026'!D77&lt;&gt;"",'DICIEMBRE 2026'!Z77="POR RECOGER"),IF('DICIEMBRE 2026'!Y77&lt;&gt;"",'DICIEMBRE 2026'!Y77,'DICIEMBRE 2026'!I77),"")</f>
        <v/>
      </c>
      <c r="C1228" s="192" t="str">
        <f aca="false">IF(AND('DICIEMBRE 2026'!D77&lt;&gt;"",'DICIEMBRE 2026'!Z77="POR RECOGER"),'DICIEMBRE 2026'!D77,"")</f>
        <v/>
      </c>
      <c r="D1228" s="192" t="str">
        <f aca="false">IF(AND('DICIEMBRE 2026'!D77&lt;&gt;"",'DICIEMBRE 2026'!Z77="POR RECOGER"),'DICIEMBRE 2026'!F77,"")</f>
        <v/>
      </c>
      <c r="E1228" s="192" t="str">
        <f aca="false">IF(AND('DICIEMBRE 2026'!D77&lt;&gt;"",'DICIEMBRE 2026'!Z77="POR RECOGER"),TEXT('DICIEMBRE 2026'!G77,"DD/MM/YYYY"),"")</f>
        <v/>
      </c>
      <c r="F1228" s="192" t="str">
        <f aca="false">IF(AND('DICIEMBRE 2026'!D77&lt;&gt;"",'DICIEMBRE 2026'!Z77="POR RECOGER"),'DICIEMBRE 2026'!K77,"")</f>
        <v/>
      </c>
      <c r="G1228" s="193" t="str">
        <f aca="false">IF(AND('DICIEMBRE 2026'!D77&lt;&gt;"",'DICIEMBRE 2026'!Z77="POR RECOGER"),'DICIEMBRE 2026'!M77,"")</f>
        <v/>
      </c>
      <c r="H1228" s="193" t="str">
        <f aca="false">IF(AND('DICIEMBRE 2026'!D77&lt;&gt;"",'DICIEMBRE 2026'!Z77="POR RECOGER"),'DICIEMBRE 2026'!N77,"")</f>
        <v/>
      </c>
      <c r="I1228" s="192" t="str">
        <f aca="false">IF(AND('DICIEMBRE 2026'!D77&lt;&gt;"",'DICIEMBRE 2026'!Z77="POR RECOGER"),'DICIEMBRE 2026'!P77,"")</f>
        <v/>
      </c>
      <c r="J1228" s="192" t="str">
        <f aca="false">IF(AND('DICIEMBRE 2026'!D77&lt;&gt;"",'DICIEMBRE 2026'!Z77="POR RECOGER"),'DICIEMBRE 2026'!Q77,"")</f>
        <v/>
      </c>
      <c r="K1228" s="192" t="str">
        <f aca="false">IF(AND('DICIEMBRE 2026'!D77&lt;&gt;"",'DICIEMBRE 2026'!Z77="POR RECOGER"),'DICIEMBRE 2026'!Y77,"")</f>
        <v/>
      </c>
      <c r="L1228" s="192" t="str">
        <f aca="false">IF(AND('DICIEMBRE 2026'!D77&lt;&gt;"",'DICIEMBRE 2026'!Z77="POR RECOGER"),'DICIEMBRE 2026'!I77,"")</f>
        <v/>
      </c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customFormat="false" ht="15" hidden="false" customHeight="true" outlineLevel="0" collapsed="false">
      <c r="A1229" s="192" t="str">
        <f aca="false">IF(AND('DICIEMBRE 2026'!D78&lt;&gt;"",'DICIEMBRE 2026'!Z78="POR RECOGER"),"DIC","")</f>
        <v/>
      </c>
      <c r="B1229" s="192" t="str">
        <f aca="false">IF(AND('DICIEMBRE 2026'!D78&lt;&gt;"",'DICIEMBRE 2026'!Z78="POR RECOGER"),IF('DICIEMBRE 2026'!Y78&lt;&gt;"",'DICIEMBRE 2026'!Y78,'DICIEMBRE 2026'!I78),"")</f>
        <v/>
      </c>
      <c r="C1229" s="192" t="str">
        <f aca="false">IF(AND('DICIEMBRE 2026'!D78&lt;&gt;"",'DICIEMBRE 2026'!Z78="POR RECOGER"),'DICIEMBRE 2026'!D78,"")</f>
        <v/>
      </c>
      <c r="D1229" s="192" t="str">
        <f aca="false">IF(AND('DICIEMBRE 2026'!D78&lt;&gt;"",'DICIEMBRE 2026'!Z78="POR RECOGER"),'DICIEMBRE 2026'!F78,"")</f>
        <v/>
      </c>
      <c r="E1229" s="192" t="str">
        <f aca="false">IF(AND('DICIEMBRE 2026'!D78&lt;&gt;"",'DICIEMBRE 2026'!Z78="POR RECOGER"),TEXT('DICIEMBRE 2026'!G78,"DD/MM/YYYY"),"")</f>
        <v/>
      </c>
      <c r="F1229" s="192" t="str">
        <f aca="false">IF(AND('DICIEMBRE 2026'!D78&lt;&gt;"",'DICIEMBRE 2026'!Z78="POR RECOGER"),'DICIEMBRE 2026'!K78,"")</f>
        <v/>
      </c>
      <c r="G1229" s="193" t="str">
        <f aca="false">IF(AND('DICIEMBRE 2026'!D78&lt;&gt;"",'DICIEMBRE 2026'!Z78="POR RECOGER"),'DICIEMBRE 2026'!M78,"")</f>
        <v/>
      </c>
      <c r="H1229" s="193" t="str">
        <f aca="false">IF(AND('DICIEMBRE 2026'!D78&lt;&gt;"",'DICIEMBRE 2026'!Z78="POR RECOGER"),'DICIEMBRE 2026'!N78,"")</f>
        <v/>
      </c>
      <c r="I1229" s="192" t="str">
        <f aca="false">IF(AND('DICIEMBRE 2026'!D78&lt;&gt;"",'DICIEMBRE 2026'!Z78="POR RECOGER"),'DICIEMBRE 2026'!P78,"")</f>
        <v/>
      </c>
      <c r="J1229" s="192" t="str">
        <f aca="false">IF(AND('DICIEMBRE 2026'!D78&lt;&gt;"",'DICIEMBRE 2026'!Z78="POR RECOGER"),'DICIEMBRE 2026'!Q78,"")</f>
        <v/>
      </c>
      <c r="K1229" s="192" t="str">
        <f aca="false">IF(AND('DICIEMBRE 2026'!D78&lt;&gt;"",'DICIEMBRE 2026'!Z78="POR RECOGER"),'DICIEMBRE 2026'!Y78,"")</f>
        <v/>
      </c>
      <c r="L1229" s="192" t="str">
        <f aca="false">IF(AND('DICIEMBRE 2026'!D78&lt;&gt;"",'DICIEMBRE 2026'!Z78="POR RECOGER"),'DICIEMBRE 2026'!I78,"")</f>
        <v/>
      </c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customFormat="false" ht="15" hidden="false" customHeight="true" outlineLevel="0" collapsed="false">
      <c r="A1230" s="192" t="str">
        <f aca="false">IF(AND('DICIEMBRE 2026'!D79&lt;&gt;"",'DICIEMBRE 2026'!Z79="POR RECOGER"),"DIC","")</f>
        <v/>
      </c>
      <c r="B1230" s="192" t="str">
        <f aca="false">IF(AND('DICIEMBRE 2026'!D79&lt;&gt;"",'DICIEMBRE 2026'!Z79="POR RECOGER"),IF('DICIEMBRE 2026'!Y79&lt;&gt;"",'DICIEMBRE 2026'!Y79,'DICIEMBRE 2026'!I79),"")</f>
        <v/>
      </c>
      <c r="C1230" s="192" t="str">
        <f aca="false">IF(AND('DICIEMBRE 2026'!D79&lt;&gt;"",'DICIEMBRE 2026'!Z79="POR RECOGER"),'DICIEMBRE 2026'!D79,"")</f>
        <v/>
      </c>
      <c r="D1230" s="192" t="str">
        <f aca="false">IF(AND('DICIEMBRE 2026'!D79&lt;&gt;"",'DICIEMBRE 2026'!Z79="POR RECOGER"),'DICIEMBRE 2026'!F79,"")</f>
        <v/>
      </c>
      <c r="E1230" s="192" t="str">
        <f aca="false">IF(AND('DICIEMBRE 2026'!D79&lt;&gt;"",'DICIEMBRE 2026'!Z79="POR RECOGER"),TEXT('DICIEMBRE 2026'!G79,"DD/MM/YYYY"),"")</f>
        <v/>
      </c>
      <c r="F1230" s="192" t="str">
        <f aca="false">IF(AND('DICIEMBRE 2026'!D79&lt;&gt;"",'DICIEMBRE 2026'!Z79="POR RECOGER"),'DICIEMBRE 2026'!K79,"")</f>
        <v/>
      </c>
      <c r="G1230" s="193" t="str">
        <f aca="false">IF(AND('DICIEMBRE 2026'!D79&lt;&gt;"",'DICIEMBRE 2026'!Z79="POR RECOGER"),'DICIEMBRE 2026'!M79,"")</f>
        <v/>
      </c>
      <c r="H1230" s="193" t="str">
        <f aca="false">IF(AND('DICIEMBRE 2026'!D79&lt;&gt;"",'DICIEMBRE 2026'!Z79="POR RECOGER"),'DICIEMBRE 2026'!N79,"")</f>
        <v/>
      </c>
      <c r="I1230" s="192" t="str">
        <f aca="false">IF(AND('DICIEMBRE 2026'!D79&lt;&gt;"",'DICIEMBRE 2026'!Z79="POR RECOGER"),'DICIEMBRE 2026'!P79,"")</f>
        <v/>
      </c>
      <c r="J1230" s="192" t="str">
        <f aca="false">IF(AND('DICIEMBRE 2026'!D79&lt;&gt;"",'DICIEMBRE 2026'!Z79="POR RECOGER"),'DICIEMBRE 2026'!Q79,"")</f>
        <v/>
      </c>
      <c r="K1230" s="192" t="str">
        <f aca="false">IF(AND('DICIEMBRE 2026'!D79&lt;&gt;"",'DICIEMBRE 2026'!Z79="POR RECOGER"),'DICIEMBRE 2026'!Y79,"")</f>
        <v/>
      </c>
      <c r="L1230" s="192" t="str">
        <f aca="false">IF(AND('DICIEMBRE 2026'!D79&lt;&gt;"",'DICIEMBRE 2026'!Z79="POR RECOGER"),'DICIEMBRE 2026'!I79,"")</f>
        <v/>
      </c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customFormat="false" ht="15" hidden="false" customHeight="true" outlineLevel="0" collapsed="false">
      <c r="A1231" s="192" t="str">
        <f aca="false">IF(AND('DICIEMBRE 2026'!D80&lt;&gt;"",'DICIEMBRE 2026'!Z80="POR RECOGER"),"DIC","")</f>
        <v/>
      </c>
      <c r="B1231" s="192" t="str">
        <f aca="false">IF(AND('DICIEMBRE 2026'!D80&lt;&gt;"",'DICIEMBRE 2026'!Z80="POR RECOGER"),IF('DICIEMBRE 2026'!Y80&lt;&gt;"",'DICIEMBRE 2026'!Y80,'DICIEMBRE 2026'!I80),"")</f>
        <v/>
      </c>
      <c r="C1231" s="192" t="str">
        <f aca="false">IF(AND('DICIEMBRE 2026'!D80&lt;&gt;"",'DICIEMBRE 2026'!Z80="POR RECOGER"),'DICIEMBRE 2026'!D80,"")</f>
        <v/>
      </c>
      <c r="D1231" s="192" t="str">
        <f aca="false">IF(AND('DICIEMBRE 2026'!D80&lt;&gt;"",'DICIEMBRE 2026'!Z80="POR RECOGER"),'DICIEMBRE 2026'!F80,"")</f>
        <v/>
      </c>
      <c r="E1231" s="192" t="str">
        <f aca="false">IF(AND('DICIEMBRE 2026'!D80&lt;&gt;"",'DICIEMBRE 2026'!Z80="POR RECOGER"),TEXT('DICIEMBRE 2026'!G80,"DD/MM/YYYY"),"")</f>
        <v/>
      </c>
      <c r="F1231" s="192" t="str">
        <f aca="false">IF(AND('DICIEMBRE 2026'!D80&lt;&gt;"",'DICIEMBRE 2026'!Z80="POR RECOGER"),'DICIEMBRE 2026'!K80,"")</f>
        <v/>
      </c>
      <c r="G1231" s="193" t="str">
        <f aca="false">IF(AND('DICIEMBRE 2026'!D80&lt;&gt;"",'DICIEMBRE 2026'!Z80="POR RECOGER"),'DICIEMBRE 2026'!M80,"")</f>
        <v/>
      </c>
      <c r="H1231" s="193" t="str">
        <f aca="false">IF(AND('DICIEMBRE 2026'!D80&lt;&gt;"",'DICIEMBRE 2026'!Z80="POR RECOGER"),'DICIEMBRE 2026'!N80,"")</f>
        <v/>
      </c>
      <c r="I1231" s="192" t="str">
        <f aca="false">IF(AND('DICIEMBRE 2026'!D80&lt;&gt;"",'DICIEMBRE 2026'!Z80="POR RECOGER"),'DICIEMBRE 2026'!P80,"")</f>
        <v/>
      </c>
      <c r="J1231" s="192" t="str">
        <f aca="false">IF(AND('DICIEMBRE 2026'!D80&lt;&gt;"",'DICIEMBRE 2026'!Z80="POR RECOGER"),'DICIEMBRE 2026'!Q80,"")</f>
        <v/>
      </c>
      <c r="K1231" s="192" t="str">
        <f aca="false">IF(AND('DICIEMBRE 2026'!D80&lt;&gt;"",'DICIEMBRE 2026'!Z80="POR RECOGER"),'DICIEMBRE 2026'!Y80,"")</f>
        <v/>
      </c>
      <c r="L1231" s="192" t="str">
        <f aca="false">IF(AND('DICIEMBRE 2026'!D80&lt;&gt;"",'DICIEMBRE 2026'!Z80="POR RECOGER"),'DICIEMBRE 2026'!I80,"")</f>
        <v/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customFormat="false" ht="15" hidden="false" customHeight="true" outlineLevel="0" collapsed="false">
      <c r="A1232" s="192" t="str">
        <f aca="false">IF(AND('DICIEMBRE 2026'!D81&lt;&gt;"",'DICIEMBRE 2026'!Z81="POR RECOGER"),"DIC","")</f>
        <v/>
      </c>
      <c r="B1232" s="192" t="str">
        <f aca="false">IF(AND('DICIEMBRE 2026'!D81&lt;&gt;"",'DICIEMBRE 2026'!Z81="POR RECOGER"),IF('DICIEMBRE 2026'!Y81&lt;&gt;"",'DICIEMBRE 2026'!Y81,'DICIEMBRE 2026'!I81),"")</f>
        <v/>
      </c>
      <c r="C1232" s="192" t="str">
        <f aca="false">IF(AND('DICIEMBRE 2026'!D81&lt;&gt;"",'DICIEMBRE 2026'!Z81="POR RECOGER"),'DICIEMBRE 2026'!D81,"")</f>
        <v/>
      </c>
      <c r="D1232" s="192" t="str">
        <f aca="false">IF(AND('DICIEMBRE 2026'!D81&lt;&gt;"",'DICIEMBRE 2026'!Z81="POR RECOGER"),'DICIEMBRE 2026'!F81,"")</f>
        <v/>
      </c>
      <c r="E1232" s="192" t="str">
        <f aca="false">IF(AND('DICIEMBRE 2026'!D81&lt;&gt;"",'DICIEMBRE 2026'!Z81="POR RECOGER"),TEXT('DICIEMBRE 2026'!G81,"DD/MM/YYYY"),"")</f>
        <v/>
      </c>
      <c r="F1232" s="192" t="str">
        <f aca="false">IF(AND('DICIEMBRE 2026'!D81&lt;&gt;"",'DICIEMBRE 2026'!Z81="POR RECOGER"),'DICIEMBRE 2026'!K81,"")</f>
        <v/>
      </c>
      <c r="G1232" s="193" t="str">
        <f aca="false">IF(AND('DICIEMBRE 2026'!D81&lt;&gt;"",'DICIEMBRE 2026'!Z81="POR RECOGER"),'DICIEMBRE 2026'!M81,"")</f>
        <v/>
      </c>
      <c r="H1232" s="193" t="str">
        <f aca="false">IF(AND('DICIEMBRE 2026'!D81&lt;&gt;"",'DICIEMBRE 2026'!Z81="POR RECOGER"),'DICIEMBRE 2026'!N81,"")</f>
        <v/>
      </c>
      <c r="I1232" s="192" t="str">
        <f aca="false">IF(AND('DICIEMBRE 2026'!D81&lt;&gt;"",'DICIEMBRE 2026'!Z81="POR RECOGER"),'DICIEMBRE 2026'!P81,"")</f>
        <v/>
      </c>
      <c r="J1232" s="192" t="str">
        <f aca="false">IF(AND('DICIEMBRE 2026'!D81&lt;&gt;"",'DICIEMBRE 2026'!Z81="POR RECOGER"),'DICIEMBRE 2026'!Q81,"")</f>
        <v/>
      </c>
      <c r="K1232" s="192" t="str">
        <f aca="false">IF(AND('DICIEMBRE 2026'!D81&lt;&gt;"",'DICIEMBRE 2026'!Z81="POR RECOGER"),'DICIEMBRE 2026'!Y81,"")</f>
        <v/>
      </c>
      <c r="L1232" s="192" t="str">
        <f aca="false">IF(AND('DICIEMBRE 2026'!D81&lt;&gt;"",'DICIEMBRE 2026'!Z81="POR RECOGER"),'DICIEMBRE 2026'!I81,"")</f>
        <v/>
      </c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customFormat="false" ht="15" hidden="false" customHeight="true" outlineLevel="0" collapsed="false">
      <c r="A1233" s="192" t="str">
        <f aca="false">IF(AND('DICIEMBRE 2026'!D82&lt;&gt;"",'DICIEMBRE 2026'!Z82="POR RECOGER"),"DIC","")</f>
        <v/>
      </c>
      <c r="B1233" s="192" t="str">
        <f aca="false">IF(AND('DICIEMBRE 2026'!D82&lt;&gt;"",'DICIEMBRE 2026'!Z82="POR RECOGER"),IF('DICIEMBRE 2026'!Y82&lt;&gt;"",'DICIEMBRE 2026'!Y82,'DICIEMBRE 2026'!I82),"")</f>
        <v/>
      </c>
      <c r="C1233" s="192" t="str">
        <f aca="false">IF(AND('DICIEMBRE 2026'!D82&lt;&gt;"",'DICIEMBRE 2026'!Z82="POR RECOGER"),'DICIEMBRE 2026'!D82,"")</f>
        <v/>
      </c>
      <c r="D1233" s="192" t="str">
        <f aca="false">IF(AND('DICIEMBRE 2026'!D82&lt;&gt;"",'DICIEMBRE 2026'!Z82="POR RECOGER"),'DICIEMBRE 2026'!F82,"")</f>
        <v/>
      </c>
      <c r="E1233" s="192" t="str">
        <f aca="false">IF(AND('DICIEMBRE 2026'!D82&lt;&gt;"",'DICIEMBRE 2026'!Z82="POR RECOGER"),TEXT('DICIEMBRE 2026'!G82,"DD/MM/YYYY"),"")</f>
        <v/>
      </c>
      <c r="F1233" s="192" t="str">
        <f aca="false">IF(AND('DICIEMBRE 2026'!D82&lt;&gt;"",'DICIEMBRE 2026'!Z82="POR RECOGER"),'DICIEMBRE 2026'!K82,"")</f>
        <v/>
      </c>
      <c r="G1233" s="193" t="str">
        <f aca="false">IF(AND('DICIEMBRE 2026'!D82&lt;&gt;"",'DICIEMBRE 2026'!Z82="POR RECOGER"),'DICIEMBRE 2026'!M82,"")</f>
        <v/>
      </c>
      <c r="H1233" s="193" t="str">
        <f aca="false">IF(AND('DICIEMBRE 2026'!D82&lt;&gt;"",'DICIEMBRE 2026'!Z82="POR RECOGER"),'DICIEMBRE 2026'!N82,"")</f>
        <v/>
      </c>
      <c r="I1233" s="192" t="str">
        <f aca="false">IF(AND('DICIEMBRE 2026'!D82&lt;&gt;"",'DICIEMBRE 2026'!Z82="POR RECOGER"),'DICIEMBRE 2026'!P82,"")</f>
        <v/>
      </c>
      <c r="J1233" s="192" t="str">
        <f aca="false">IF(AND('DICIEMBRE 2026'!D82&lt;&gt;"",'DICIEMBRE 2026'!Z82="POR RECOGER"),'DICIEMBRE 2026'!Q82,"")</f>
        <v/>
      </c>
      <c r="K1233" s="192" t="str">
        <f aca="false">IF(AND('DICIEMBRE 2026'!D82&lt;&gt;"",'DICIEMBRE 2026'!Z82="POR RECOGER"),'DICIEMBRE 2026'!Y82,"")</f>
        <v/>
      </c>
      <c r="L1233" s="192" t="str">
        <f aca="false">IF(AND('DICIEMBRE 2026'!D82&lt;&gt;"",'DICIEMBRE 2026'!Z82="POR RECOGER"),'DICIEMBRE 2026'!I82,"")</f>
        <v/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customFormat="false" ht="15" hidden="false" customHeight="true" outlineLevel="0" collapsed="false">
      <c r="A1234" s="192" t="str">
        <f aca="false">IF(AND('DICIEMBRE 2026'!D83&lt;&gt;"",'DICIEMBRE 2026'!Z83="POR RECOGER"),"DIC","")</f>
        <v/>
      </c>
      <c r="B1234" s="192" t="str">
        <f aca="false">IF(AND('DICIEMBRE 2026'!D83&lt;&gt;"",'DICIEMBRE 2026'!Z83="POR RECOGER"),IF('DICIEMBRE 2026'!Y83&lt;&gt;"",'DICIEMBRE 2026'!Y83,'DICIEMBRE 2026'!I83),"")</f>
        <v/>
      </c>
      <c r="C1234" s="192" t="str">
        <f aca="false">IF(AND('DICIEMBRE 2026'!D83&lt;&gt;"",'DICIEMBRE 2026'!Z83="POR RECOGER"),'DICIEMBRE 2026'!D83,"")</f>
        <v/>
      </c>
      <c r="D1234" s="192" t="str">
        <f aca="false">IF(AND('DICIEMBRE 2026'!D83&lt;&gt;"",'DICIEMBRE 2026'!Z83="POR RECOGER"),'DICIEMBRE 2026'!F83,"")</f>
        <v/>
      </c>
      <c r="E1234" s="192" t="str">
        <f aca="false">IF(AND('DICIEMBRE 2026'!D83&lt;&gt;"",'DICIEMBRE 2026'!Z83="POR RECOGER"),TEXT('DICIEMBRE 2026'!G83,"DD/MM/YYYY"),"")</f>
        <v/>
      </c>
      <c r="F1234" s="192" t="str">
        <f aca="false">IF(AND('DICIEMBRE 2026'!D83&lt;&gt;"",'DICIEMBRE 2026'!Z83="POR RECOGER"),'DICIEMBRE 2026'!K83,"")</f>
        <v/>
      </c>
      <c r="G1234" s="193" t="str">
        <f aca="false">IF(AND('DICIEMBRE 2026'!D83&lt;&gt;"",'DICIEMBRE 2026'!Z83="POR RECOGER"),'DICIEMBRE 2026'!M83,"")</f>
        <v/>
      </c>
      <c r="H1234" s="193" t="str">
        <f aca="false">IF(AND('DICIEMBRE 2026'!D83&lt;&gt;"",'DICIEMBRE 2026'!Z83="POR RECOGER"),'DICIEMBRE 2026'!N83,"")</f>
        <v/>
      </c>
      <c r="I1234" s="192" t="str">
        <f aca="false">IF(AND('DICIEMBRE 2026'!D83&lt;&gt;"",'DICIEMBRE 2026'!Z83="POR RECOGER"),'DICIEMBRE 2026'!P83,"")</f>
        <v/>
      </c>
      <c r="J1234" s="192" t="str">
        <f aca="false">IF(AND('DICIEMBRE 2026'!D83&lt;&gt;"",'DICIEMBRE 2026'!Z83="POR RECOGER"),'DICIEMBRE 2026'!Q83,"")</f>
        <v/>
      </c>
      <c r="K1234" s="192" t="str">
        <f aca="false">IF(AND('DICIEMBRE 2026'!D83&lt;&gt;"",'DICIEMBRE 2026'!Z83="POR RECOGER"),'DICIEMBRE 2026'!Y83,"")</f>
        <v/>
      </c>
      <c r="L1234" s="192" t="str">
        <f aca="false">IF(AND('DICIEMBRE 2026'!D83&lt;&gt;"",'DICIEMBRE 2026'!Z83="POR RECOGER"),'DICIEMBRE 2026'!I83,"")</f>
        <v/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customFormat="false" ht="15" hidden="false" customHeight="true" outlineLevel="0" collapsed="false">
      <c r="A1235" s="192" t="str">
        <f aca="false">IF(AND('DICIEMBRE 2026'!D84&lt;&gt;"",'DICIEMBRE 2026'!Z84="POR RECOGER"),"DIC","")</f>
        <v/>
      </c>
      <c r="B1235" s="192" t="str">
        <f aca="false">IF(AND('DICIEMBRE 2026'!D84&lt;&gt;"",'DICIEMBRE 2026'!Z84="POR RECOGER"),IF('DICIEMBRE 2026'!Y84&lt;&gt;"",'DICIEMBRE 2026'!Y84,'DICIEMBRE 2026'!I84),"")</f>
        <v/>
      </c>
      <c r="C1235" s="192" t="str">
        <f aca="false">IF(AND('DICIEMBRE 2026'!D84&lt;&gt;"",'DICIEMBRE 2026'!Z84="POR RECOGER"),'DICIEMBRE 2026'!D84,"")</f>
        <v/>
      </c>
      <c r="D1235" s="192" t="str">
        <f aca="false">IF(AND('DICIEMBRE 2026'!D84&lt;&gt;"",'DICIEMBRE 2026'!Z84="POR RECOGER"),'DICIEMBRE 2026'!F84,"")</f>
        <v/>
      </c>
      <c r="E1235" s="192" t="str">
        <f aca="false">IF(AND('DICIEMBRE 2026'!D84&lt;&gt;"",'DICIEMBRE 2026'!Z84="POR RECOGER"),TEXT('DICIEMBRE 2026'!G84,"DD/MM/YYYY"),"")</f>
        <v/>
      </c>
      <c r="F1235" s="192" t="str">
        <f aca="false">IF(AND('DICIEMBRE 2026'!D84&lt;&gt;"",'DICIEMBRE 2026'!Z84="POR RECOGER"),'DICIEMBRE 2026'!K84,"")</f>
        <v/>
      </c>
      <c r="G1235" s="193" t="str">
        <f aca="false">IF(AND('DICIEMBRE 2026'!D84&lt;&gt;"",'DICIEMBRE 2026'!Z84="POR RECOGER"),'DICIEMBRE 2026'!M84,"")</f>
        <v/>
      </c>
      <c r="H1235" s="193" t="str">
        <f aca="false">IF(AND('DICIEMBRE 2026'!D84&lt;&gt;"",'DICIEMBRE 2026'!Z84="POR RECOGER"),'DICIEMBRE 2026'!N84,"")</f>
        <v/>
      </c>
      <c r="I1235" s="192" t="str">
        <f aca="false">IF(AND('DICIEMBRE 2026'!D84&lt;&gt;"",'DICIEMBRE 2026'!Z84="POR RECOGER"),'DICIEMBRE 2026'!P84,"")</f>
        <v/>
      </c>
      <c r="J1235" s="192" t="str">
        <f aca="false">IF(AND('DICIEMBRE 2026'!D84&lt;&gt;"",'DICIEMBRE 2026'!Z84="POR RECOGER"),'DICIEMBRE 2026'!Q84,"")</f>
        <v/>
      </c>
      <c r="K1235" s="192" t="str">
        <f aca="false">IF(AND('DICIEMBRE 2026'!D84&lt;&gt;"",'DICIEMBRE 2026'!Z84="POR RECOGER"),'DICIEMBRE 2026'!Y84,"")</f>
        <v/>
      </c>
      <c r="L1235" s="192" t="str">
        <f aca="false">IF(AND('DICIEMBRE 2026'!D84&lt;&gt;"",'DICIEMBRE 2026'!Z84="POR RECOGER"),'DICIEMBRE 2026'!I84,"")</f>
        <v/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customFormat="false" ht="15" hidden="false" customHeight="true" outlineLevel="0" collapsed="false">
      <c r="A1236" s="192" t="str">
        <f aca="false">IF(AND('DICIEMBRE 2026'!D85&lt;&gt;"",'DICIEMBRE 2026'!Z85="POR RECOGER"),"DIC","")</f>
        <v/>
      </c>
      <c r="B1236" s="192" t="str">
        <f aca="false">IF(AND('DICIEMBRE 2026'!D85&lt;&gt;"",'DICIEMBRE 2026'!Z85="POR RECOGER"),IF('DICIEMBRE 2026'!Y85&lt;&gt;"",'DICIEMBRE 2026'!Y85,'DICIEMBRE 2026'!I85),"")</f>
        <v/>
      </c>
      <c r="C1236" s="192" t="str">
        <f aca="false">IF(AND('DICIEMBRE 2026'!D85&lt;&gt;"",'DICIEMBRE 2026'!Z85="POR RECOGER"),'DICIEMBRE 2026'!D85,"")</f>
        <v/>
      </c>
      <c r="D1236" s="192" t="str">
        <f aca="false">IF(AND('DICIEMBRE 2026'!D85&lt;&gt;"",'DICIEMBRE 2026'!Z85="POR RECOGER"),'DICIEMBRE 2026'!F85,"")</f>
        <v/>
      </c>
      <c r="E1236" s="192" t="str">
        <f aca="false">IF(AND('DICIEMBRE 2026'!D85&lt;&gt;"",'DICIEMBRE 2026'!Z85="POR RECOGER"),TEXT('DICIEMBRE 2026'!G85,"DD/MM/YYYY"),"")</f>
        <v/>
      </c>
      <c r="F1236" s="192" t="str">
        <f aca="false">IF(AND('DICIEMBRE 2026'!D85&lt;&gt;"",'DICIEMBRE 2026'!Z85="POR RECOGER"),'DICIEMBRE 2026'!K85,"")</f>
        <v/>
      </c>
      <c r="G1236" s="193" t="str">
        <f aca="false">IF(AND('DICIEMBRE 2026'!D85&lt;&gt;"",'DICIEMBRE 2026'!Z85="POR RECOGER"),'DICIEMBRE 2026'!M85,"")</f>
        <v/>
      </c>
      <c r="H1236" s="193" t="str">
        <f aca="false">IF(AND('DICIEMBRE 2026'!D85&lt;&gt;"",'DICIEMBRE 2026'!Z85="POR RECOGER"),'DICIEMBRE 2026'!N85,"")</f>
        <v/>
      </c>
      <c r="I1236" s="192" t="str">
        <f aca="false">IF(AND('DICIEMBRE 2026'!D85&lt;&gt;"",'DICIEMBRE 2026'!Z85="POR RECOGER"),'DICIEMBRE 2026'!P85,"")</f>
        <v/>
      </c>
      <c r="J1236" s="192" t="str">
        <f aca="false">IF(AND('DICIEMBRE 2026'!D85&lt;&gt;"",'DICIEMBRE 2026'!Z85="POR RECOGER"),'DICIEMBRE 2026'!Q85,"")</f>
        <v/>
      </c>
      <c r="K1236" s="192" t="str">
        <f aca="false">IF(AND('DICIEMBRE 2026'!D85&lt;&gt;"",'DICIEMBRE 2026'!Z85="POR RECOGER"),'DICIEMBRE 2026'!Y85,"")</f>
        <v/>
      </c>
      <c r="L1236" s="192" t="str">
        <f aca="false">IF(AND('DICIEMBRE 2026'!D85&lt;&gt;"",'DICIEMBRE 2026'!Z85="POR RECOGER"),'DICIEMBRE 2026'!I85,"")</f>
        <v/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customFormat="false" ht="15" hidden="false" customHeight="true" outlineLevel="0" collapsed="false">
      <c r="A1237" s="192" t="str">
        <f aca="false">IF(AND('DICIEMBRE 2026'!D86&lt;&gt;"",'DICIEMBRE 2026'!Z86="POR RECOGER"),"DIC","")</f>
        <v/>
      </c>
      <c r="B1237" s="192" t="str">
        <f aca="false">IF(AND('DICIEMBRE 2026'!D86&lt;&gt;"",'DICIEMBRE 2026'!Z86="POR RECOGER"),IF('DICIEMBRE 2026'!Y86&lt;&gt;"",'DICIEMBRE 2026'!Y86,'DICIEMBRE 2026'!I86),"")</f>
        <v/>
      </c>
      <c r="C1237" s="192" t="str">
        <f aca="false">IF(AND('DICIEMBRE 2026'!D86&lt;&gt;"",'DICIEMBRE 2026'!Z86="POR RECOGER"),'DICIEMBRE 2026'!D86,"")</f>
        <v/>
      </c>
      <c r="D1237" s="192" t="str">
        <f aca="false">IF(AND('DICIEMBRE 2026'!D86&lt;&gt;"",'DICIEMBRE 2026'!Z86="POR RECOGER"),'DICIEMBRE 2026'!F86,"")</f>
        <v/>
      </c>
      <c r="E1237" s="192" t="str">
        <f aca="false">IF(AND('DICIEMBRE 2026'!D86&lt;&gt;"",'DICIEMBRE 2026'!Z86="POR RECOGER"),TEXT('DICIEMBRE 2026'!G86,"DD/MM/YYYY"),"")</f>
        <v/>
      </c>
      <c r="F1237" s="192" t="str">
        <f aca="false">IF(AND('DICIEMBRE 2026'!D86&lt;&gt;"",'DICIEMBRE 2026'!Z86="POR RECOGER"),'DICIEMBRE 2026'!K86,"")</f>
        <v/>
      </c>
      <c r="G1237" s="193" t="str">
        <f aca="false">IF(AND('DICIEMBRE 2026'!D86&lt;&gt;"",'DICIEMBRE 2026'!Z86="POR RECOGER"),'DICIEMBRE 2026'!M86,"")</f>
        <v/>
      </c>
      <c r="H1237" s="193" t="str">
        <f aca="false">IF(AND('DICIEMBRE 2026'!D86&lt;&gt;"",'DICIEMBRE 2026'!Z86="POR RECOGER"),'DICIEMBRE 2026'!N86,"")</f>
        <v/>
      </c>
      <c r="I1237" s="192" t="str">
        <f aca="false">IF(AND('DICIEMBRE 2026'!D86&lt;&gt;"",'DICIEMBRE 2026'!Z86="POR RECOGER"),'DICIEMBRE 2026'!P86,"")</f>
        <v/>
      </c>
      <c r="J1237" s="192" t="str">
        <f aca="false">IF(AND('DICIEMBRE 2026'!D86&lt;&gt;"",'DICIEMBRE 2026'!Z86="POR RECOGER"),'DICIEMBRE 2026'!Q86,"")</f>
        <v/>
      </c>
      <c r="K1237" s="192" t="str">
        <f aca="false">IF(AND('DICIEMBRE 2026'!D86&lt;&gt;"",'DICIEMBRE 2026'!Z86="POR RECOGER"),'DICIEMBRE 2026'!Y86,"")</f>
        <v/>
      </c>
      <c r="L1237" s="192" t="str">
        <f aca="false">IF(AND('DICIEMBRE 2026'!D86&lt;&gt;"",'DICIEMBRE 2026'!Z86="POR RECOGER"),'DICIEMBRE 2026'!I86,"")</f>
        <v/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customFormat="false" ht="15" hidden="false" customHeight="true" outlineLevel="0" collapsed="false">
      <c r="A1238" s="192" t="str">
        <f aca="false">IF(AND('DICIEMBRE 2026'!D87&lt;&gt;"",'DICIEMBRE 2026'!Z87="POR RECOGER"),"DIC","")</f>
        <v/>
      </c>
      <c r="B1238" s="192" t="str">
        <f aca="false">IF(AND('DICIEMBRE 2026'!D87&lt;&gt;"",'DICIEMBRE 2026'!Z87="POR RECOGER"),IF('DICIEMBRE 2026'!Y87&lt;&gt;"",'DICIEMBRE 2026'!Y87,'DICIEMBRE 2026'!I87),"")</f>
        <v/>
      </c>
      <c r="C1238" s="192" t="str">
        <f aca="false">IF(AND('DICIEMBRE 2026'!D87&lt;&gt;"",'DICIEMBRE 2026'!Z87="POR RECOGER"),'DICIEMBRE 2026'!D87,"")</f>
        <v/>
      </c>
      <c r="D1238" s="192" t="str">
        <f aca="false">IF(AND('DICIEMBRE 2026'!D87&lt;&gt;"",'DICIEMBRE 2026'!Z87="POR RECOGER"),'DICIEMBRE 2026'!F87,"")</f>
        <v/>
      </c>
      <c r="E1238" s="192" t="str">
        <f aca="false">IF(AND('DICIEMBRE 2026'!D87&lt;&gt;"",'DICIEMBRE 2026'!Z87="POR RECOGER"),TEXT('DICIEMBRE 2026'!G87,"DD/MM/YYYY"),"")</f>
        <v/>
      </c>
      <c r="F1238" s="192" t="str">
        <f aca="false">IF(AND('DICIEMBRE 2026'!D87&lt;&gt;"",'DICIEMBRE 2026'!Z87="POR RECOGER"),'DICIEMBRE 2026'!K87,"")</f>
        <v/>
      </c>
      <c r="G1238" s="193" t="str">
        <f aca="false">IF(AND('DICIEMBRE 2026'!D87&lt;&gt;"",'DICIEMBRE 2026'!Z87="POR RECOGER"),'DICIEMBRE 2026'!M87,"")</f>
        <v/>
      </c>
      <c r="H1238" s="193" t="str">
        <f aca="false">IF(AND('DICIEMBRE 2026'!D87&lt;&gt;"",'DICIEMBRE 2026'!Z87="POR RECOGER"),'DICIEMBRE 2026'!N87,"")</f>
        <v/>
      </c>
      <c r="I1238" s="192" t="str">
        <f aca="false">IF(AND('DICIEMBRE 2026'!D87&lt;&gt;"",'DICIEMBRE 2026'!Z87="POR RECOGER"),'DICIEMBRE 2026'!P87,"")</f>
        <v/>
      </c>
      <c r="J1238" s="192" t="str">
        <f aca="false">IF(AND('DICIEMBRE 2026'!D87&lt;&gt;"",'DICIEMBRE 2026'!Z87="POR RECOGER"),'DICIEMBRE 2026'!Q87,"")</f>
        <v/>
      </c>
      <c r="K1238" s="192" t="str">
        <f aca="false">IF(AND('DICIEMBRE 2026'!D87&lt;&gt;"",'DICIEMBRE 2026'!Z87="POR RECOGER"),'DICIEMBRE 2026'!Y87,"")</f>
        <v/>
      </c>
      <c r="L1238" s="192" t="str">
        <f aca="false">IF(AND('DICIEMBRE 2026'!D87&lt;&gt;"",'DICIEMBRE 2026'!Z87="POR RECOGER"),'DICIEMBRE 2026'!I87,"")</f>
        <v/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customFormat="false" ht="15" hidden="false" customHeight="true" outlineLevel="0" collapsed="false">
      <c r="A1239" s="192" t="str">
        <f aca="false">IF(AND('DICIEMBRE 2026'!D88&lt;&gt;"",'DICIEMBRE 2026'!Z88="POR RECOGER"),"DIC","")</f>
        <v/>
      </c>
      <c r="B1239" s="192" t="str">
        <f aca="false">IF(AND('DICIEMBRE 2026'!D88&lt;&gt;"",'DICIEMBRE 2026'!Z88="POR RECOGER"),IF('DICIEMBRE 2026'!Y88&lt;&gt;"",'DICIEMBRE 2026'!Y88,'DICIEMBRE 2026'!I88),"")</f>
        <v/>
      </c>
      <c r="C1239" s="192" t="str">
        <f aca="false">IF(AND('DICIEMBRE 2026'!D88&lt;&gt;"",'DICIEMBRE 2026'!Z88="POR RECOGER"),'DICIEMBRE 2026'!D88,"")</f>
        <v/>
      </c>
      <c r="D1239" s="192" t="str">
        <f aca="false">IF(AND('DICIEMBRE 2026'!D88&lt;&gt;"",'DICIEMBRE 2026'!Z88="POR RECOGER"),'DICIEMBRE 2026'!F88,"")</f>
        <v/>
      </c>
      <c r="E1239" s="192" t="str">
        <f aca="false">IF(AND('DICIEMBRE 2026'!D88&lt;&gt;"",'DICIEMBRE 2026'!Z88="POR RECOGER"),TEXT('DICIEMBRE 2026'!G88,"DD/MM/YYYY"),"")</f>
        <v/>
      </c>
      <c r="F1239" s="192" t="str">
        <f aca="false">IF(AND('DICIEMBRE 2026'!D88&lt;&gt;"",'DICIEMBRE 2026'!Z88="POR RECOGER"),'DICIEMBRE 2026'!K88,"")</f>
        <v/>
      </c>
      <c r="G1239" s="193" t="str">
        <f aca="false">IF(AND('DICIEMBRE 2026'!D88&lt;&gt;"",'DICIEMBRE 2026'!Z88="POR RECOGER"),'DICIEMBRE 2026'!M88,"")</f>
        <v/>
      </c>
      <c r="H1239" s="193" t="str">
        <f aca="false">IF(AND('DICIEMBRE 2026'!D88&lt;&gt;"",'DICIEMBRE 2026'!Z88="POR RECOGER"),'DICIEMBRE 2026'!N88,"")</f>
        <v/>
      </c>
      <c r="I1239" s="192" t="str">
        <f aca="false">IF(AND('DICIEMBRE 2026'!D88&lt;&gt;"",'DICIEMBRE 2026'!Z88="POR RECOGER"),'DICIEMBRE 2026'!P88,"")</f>
        <v/>
      </c>
      <c r="J1239" s="192" t="str">
        <f aca="false">IF(AND('DICIEMBRE 2026'!D88&lt;&gt;"",'DICIEMBRE 2026'!Z88="POR RECOGER"),'DICIEMBRE 2026'!Q88,"")</f>
        <v/>
      </c>
      <c r="K1239" s="192" t="str">
        <f aca="false">IF(AND('DICIEMBRE 2026'!D88&lt;&gt;"",'DICIEMBRE 2026'!Z88="POR RECOGER"),'DICIEMBRE 2026'!Y88,"")</f>
        <v/>
      </c>
      <c r="L1239" s="192" t="str">
        <f aca="false">IF(AND('DICIEMBRE 2026'!D88&lt;&gt;"",'DICIEMBRE 2026'!Z88="POR RECOGER"),'DICIEMBRE 2026'!I88,"")</f>
        <v/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customFormat="false" ht="15" hidden="false" customHeight="true" outlineLevel="0" collapsed="false">
      <c r="A1240" s="192" t="str">
        <f aca="false">IF(AND('DICIEMBRE 2026'!D89&lt;&gt;"",'DICIEMBRE 2026'!Z89="POR RECOGER"),"DIC","")</f>
        <v/>
      </c>
      <c r="B1240" s="192" t="str">
        <f aca="false">IF(AND('DICIEMBRE 2026'!D89&lt;&gt;"",'DICIEMBRE 2026'!Z89="POR RECOGER"),IF('DICIEMBRE 2026'!Y89&lt;&gt;"",'DICIEMBRE 2026'!Y89,'DICIEMBRE 2026'!I89),"")</f>
        <v/>
      </c>
      <c r="C1240" s="192" t="str">
        <f aca="false">IF(AND('DICIEMBRE 2026'!D89&lt;&gt;"",'DICIEMBRE 2026'!Z89="POR RECOGER"),'DICIEMBRE 2026'!D89,"")</f>
        <v/>
      </c>
      <c r="D1240" s="192" t="str">
        <f aca="false">IF(AND('DICIEMBRE 2026'!D89&lt;&gt;"",'DICIEMBRE 2026'!Z89="POR RECOGER"),'DICIEMBRE 2026'!F89,"")</f>
        <v/>
      </c>
      <c r="E1240" s="192" t="str">
        <f aca="false">IF(AND('DICIEMBRE 2026'!D89&lt;&gt;"",'DICIEMBRE 2026'!Z89="POR RECOGER"),TEXT('DICIEMBRE 2026'!G89,"DD/MM/YYYY"),"")</f>
        <v/>
      </c>
      <c r="F1240" s="192" t="str">
        <f aca="false">IF(AND('DICIEMBRE 2026'!D89&lt;&gt;"",'DICIEMBRE 2026'!Z89="POR RECOGER"),'DICIEMBRE 2026'!K89,"")</f>
        <v/>
      </c>
      <c r="G1240" s="193" t="str">
        <f aca="false">IF(AND('DICIEMBRE 2026'!D89&lt;&gt;"",'DICIEMBRE 2026'!Z89="POR RECOGER"),'DICIEMBRE 2026'!M89,"")</f>
        <v/>
      </c>
      <c r="H1240" s="193" t="str">
        <f aca="false">IF(AND('DICIEMBRE 2026'!D89&lt;&gt;"",'DICIEMBRE 2026'!Z89="POR RECOGER"),'DICIEMBRE 2026'!N89,"")</f>
        <v/>
      </c>
      <c r="I1240" s="192" t="str">
        <f aca="false">IF(AND('DICIEMBRE 2026'!D89&lt;&gt;"",'DICIEMBRE 2026'!Z89="POR RECOGER"),'DICIEMBRE 2026'!P89,"")</f>
        <v/>
      </c>
      <c r="J1240" s="192" t="str">
        <f aca="false">IF(AND('DICIEMBRE 2026'!D89&lt;&gt;"",'DICIEMBRE 2026'!Z89="POR RECOGER"),'DICIEMBRE 2026'!Q89,"")</f>
        <v/>
      </c>
      <c r="K1240" s="192" t="str">
        <f aca="false">IF(AND('DICIEMBRE 2026'!D89&lt;&gt;"",'DICIEMBRE 2026'!Z89="POR RECOGER"),'DICIEMBRE 2026'!Y89,"")</f>
        <v/>
      </c>
      <c r="L1240" s="192" t="str">
        <f aca="false">IF(AND('DICIEMBRE 2026'!D89&lt;&gt;"",'DICIEMBRE 2026'!Z89="POR RECOGER"),'DICIEMBRE 2026'!I89,"")</f>
        <v/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customFormat="false" ht="15" hidden="false" customHeight="true" outlineLevel="0" collapsed="false">
      <c r="A1241" s="192" t="str">
        <f aca="false">IF(AND('DICIEMBRE 2026'!D90&lt;&gt;"",'DICIEMBRE 2026'!Z90="POR RECOGER"),"DIC","")</f>
        <v/>
      </c>
      <c r="B1241" s="192" t="str">
        <f aca="false">IF(AND('DICIEMBRE 2026'!D90&lt;&gt;"",'DICIEMBRE 2026'!Z90="POR RECOGER"),IF('DICIEMBRE 2026'!Y90&lt;&gt;"",'DICIEMBRE 2026'!Y90,'DICIEMBRE 2026'!I90),"")</f>
        <v/>
      </c>
      <c r="C1241" s="192" t="str">
        <f aca="false">IF(AND('DICIEMBRE 2026'!D90&lt;&gt;"",'DICIEMBRE 2026'!Z90="POR RECOGER"),'DICIEMBRE 2026'!D90,"")</f>
        <v/>
      </c>
      <c r="D1241" s="192" t="str">
        <f aca="false">IF(AND('DICIEMBRE 2026'!D90&lt;&gt;"",'DICIEMBRE 2026'!Z90="POR RECOGER"),'DICIEMBRE 2026'!F90,"")</f>
        <v/>
      </c>
      <c r="E1241" s="192" t="str">
        <f aca="false">IF(AND('DICIEMBRE 2026'!D90&lt;&gt;"",'DICIEMBRE 2026'!Z90="POR RECOGER"),TEXT('DICIEMBRE 2026'!G90,"DD/MM/YYYY"),"")</f>
        <v/>
      </c>
      <c r="F1241" s="192" t="str">
        <f aca="false">IF(AND('DICIEMBRE 2026'!D90&lt;&gt;"",'DICIEMBRE 2026'!Z90="POR RECOGER"),'DICIEMBRE 2026'!K90,"")</f>
        <v/>
      </c>
      <c r="G1241" s="193" t="str">
        <f aca="false">IF(AND('DICIEMBRE 2026'!D90&lt;&gt;"",'DICIEMBRE 2026'!Z90="POR RECOGER"),'DICIEMBRE 2026'!M90,"")</f>
        <v/>
      </c>
      <c r="H1241" s="193" t="str">
        <f aca="false">IF(AND('DICIEMBRE 2026'!D90&lt;&gt;"",'DICIEMBRE 2026'!Z90="POR RECOGER"),'DICIEMBRE 2026'!N90,"")</f>
        <v/>
      </c>
      <c r="I1241" s="192" t="str">
        <f aca="false">IF(AND('DICIEMBRE 2026'!D90&lt;&gt;"",'DICIEMBRE 2026'!Z90="POR RECOGER"),'DICIEMBRE 2026'!P90,"")</f>
        <v/>
      </c>
      <c r="J1241" s="192" t="str">
        <f aca="false">IF(AND('DICIEMBRE 2026'!D90&lt;&gt;"",'DICIEMBRE 2026'!Z90="POR RECOGER"),'DICIEMBRE 2026'!Q90,"")</f>
        <v/>
      </c>
      <c r="K1241" s="192" t="str">
        <f aca="false">IF(AND('DICIEMBRE 2026'!D90&lt;&gt;"",'DICIEMBRE 2026'!Z90="POR RECOGER"),'DICIEMBRE 2026'!Y90,"")</f>
        <v/>
      </c>
      <c r="L1241" s="192" t="str">
        <f aca="false">IF(AND('DICIEMBRE 2026'!D90&lt;&gt;"",'DICIEMBRE 2026'!Z90="POR RECOGER"),'DICIEMBRE 2026'!I90,"")</f>
        <v/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customFormat="false" ht="15" hidden="false" customHeight="true" outlineLevel="0" collapsed="false">
      <c r="A1242" s="192" t="str">
        <f aca="false">IF(AND('DICIEMBRE 2026'!D91&lt;&gt;"",'DICIEMBRE 2026'!Z91="POR RECOGER"),"DIC","")</f>
        <v/>
      </c>
      <c r="B1242" s="192" t="str">
        <f aca="false">IF(AND('DICIEMBRE 2026'!D91&lt;&gt;"",'DICIEMBRE 2026'!Z91="POR RECOGER"),IF('DICIEMBRE 2026'!Y91&lt;&gt;"",'DICIEMBRE 2026'!Y91,'DICIEMBRE 2026'!I91),"")</f>
        <v/>
      </c>
      <c r="C1242" s="192" t="str">
        <f aca="false">IF(AND('DICIEMBRE 2026'!D91&lt;&gt;"",'DICIEMBRE 2026'!Z91="POR RECOGER"),'DICIEMBRE 2026'!D91,"")</f>
        <v/>
      </c>
      <c r="D1242" s="192" t="str">
        <f aca="false">IF(AND('DICIEMBRE 2026'!D91&lt;&gt;"",'DICIEMBRE 2026'!Z91="POR RECOGER"),'DICIEMBRE 2026'!F91,"")</f>
        <v/>
      </c>
      <c r="E1242" s="192" t="str">
        <f aca="false">IF(AND('DICIEMBRE 2026'!D91&lt;&gt;"",'DICIEMBRE 2026'!Z91="POR RECOGER"),TEXT('DICIEMBRE 2026'!G91,"DD/MM/YYYY"),"")</f>
        <v/>
      </c>
      <c r="F1242" s="192" t="str">
        <f aca="false">IF(AND('DICIEMBRE 2026'!D91&lt;&gt;"",'DICIEMBRE 2026'!Z91="POR RECOGER"),'DICIEMBRE 2026'!K91,"")</f>
        <v/>
      </c>
      <c r="G1242" s="193" t="str">
        <f aca="false">IF(AND('DICIEMBRE 2026'!D91&lt;&gt;"",'DICIEMBRE 2026'!Z91="POR RECOGER"),'DICIEMBRE 2026'!M91,"")</f>
        <v/>
      </c>
      <c r="H1242" s="193" t="str">
        <f aca="false">IF(AND('DICIEMBRE 2026'!D91&lt;&gt;"",'DICIEMBRE 2026'!Z91="POR RECOGER"),'DICIEMBRE 2026'!N91,"")</f>
        <v/>
      </c>
      <c r="I1242" s="192" t="str">
        <f aca="false">IF(AND('DICIEMBRE 2026'!D91&lt;&gt;"",'DICIEMBRE 2026'!Z91="POR RECOGER"),'DICIEMBRE 2026'!P91,"")</f>
        <v/>
      </c>
      <c r="J1242" s="192" t="str">
        <f aca="false">IF(AND('DICIEMBRE 2026'!D91&lt;&gt;"",'DICIEMBRE 2026'!Z91="POR RECOGER"),'DICIEMBRE 2026'!Q91,"")</f>
        <v/>
      </c>
      <c r="K1242" s="192" t="str">
        <f aca="false">IF(AND('DICIEMBRE 2026'!D91&lt;&gt;"",'DICIEMBRE 2026'!Z91="POR RECOGER"),'DICIEMBRE 2026'!Y91,"")</f>
        <v/>
      </c>
      <c r="L1242" s="192" t="str">
        <f aca="false">IF(AND('DICIEMBRE 2026'!D91&lt;&gt;"",'DICIEMBRE 2026'!Z91="POR RECOGER"),'DICIEMBRE 2026'!I91,"")</f>
        <v/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customFormat="false" ht="15" hidden="false" customHeight="true" outlineLevel="0" collapsed="false">
      <c r="A1243" s="192" t="str">
        <f aca="false">IF(AND('DICIEMBRE 2026'!D92&lt;&gt;"",'DICIEMBRE 2026'!Z92="POR RECOGER"),"DIC","")</f>
        <v/>
      </c>
      <c r="B1243" s="192" t="str">
        <f aca="false">IF(AND('DICIEMBRE 2026'!D92&lt;&gt;"",'DICIEMBRE 2026'!Z92="POR RECOGER"),IF('DICIEMBRE 2026'!Y92&lt;&gt;"",'DICIEMBRE 2026'!Y92,'DICIEMBRE 2026'!I92),"")</f>
        <v/>
      </c>
      <c r="C1243" s="192" t="str">
        <f aca="false">IF(AND('DICIEMBRE 2026'!D92&lt;&gt;"",'DICIEMBRE 2026'!Z92="POR RECOGER"),'DICIEMBRE 2026'!D92,"")</f>
        <v/>
      </c>
      <c r="D1243" s="192" t="str">
        <f aca="false">IF(AND('DICIEMBRE 2026'!D92&lt;&gt;"",'DICIEMBRE 2026'!Z92="POR RECOGER"),'DICIEMBRE 2026'!F92,"")</f>
        <v/>
      </c>
      <c r="E1243" s="192" t="str">
        <f aca="false">IF(AND('DICIEMBRE 2026'!D92&lt;&gt;"",'DICIEMBRE 2026'!Z92="POR RECOGER"),TEXT('DICIEMBRE 2026'!G92,"DD/MM/YYYY"),"")</f>
        <v/>
      </c>
      <c r="F1243" s="192" t="str">
        <f aca="false">IF(AND('DICIEMBRE 2026'!D92&lt;&gt;"",'DICIEMBRE 2026'!Z92="POR RECOGER"),'DICIEMBRE 2026'!K92,"")</f>
        <v/>
      </c>
      <c r="G1243" s="193" t="str">
        <f aca="false">IF(AND('DICIEMBRE 2026'!D92&lt;&gt;"",'DICIEMBRE 2026'!Z92="POR RECOGER"),'DICIEMBRE 2026'!M92,"")</f>
        <v/>
      </c>
      <c r="H1243" s="193" t="str">
        <f aca="false">IF(AND('DICIEMBRE 2026'!D92&lt;&gt;"",'DICIEMBRE 2026'!Z92="POR RECOGER"),'DICIEMBRE 2026'!N92,"")</f>
        <v/>
      </c>
      <c r="I1243" s="192" t="str">
        <f aca="false">IF(AND('DICIEMBRE 2026'!D92&lt;&gt;"",'DICIEMBRE 2026'!Z92="POR RECOGER"),'DICIEMBRE 2026'!P92,"")</f>
        <v/>
      </c>
      <c r="J1243" s="192" t="str">
        <f aca="false">IF(AND('DICIEMBRE 2026'!D92&lt;&gt;"",'DICIEMBRE 2026'!Z92="POR RECOGER"),'DICIEMBRE 2026'!Q92,"")</f>
        <v/>
      </c>
      <c r="K1243" s="192" t="str">
        <f aca="false">IF(AND('DICIEMBRE 2026'!D92&lt;&gt;"",'DICIEMBRE 2026'!Z92="POR RECOGER"),'DICIEMBRE 2026'!Y92,"")</f>
        <v/>
      </c>
      <c r="L1243" s="192" t="str">
        <f aca="false">IF(AND('DICIEMBRE 2026'!D92&lt;&gt;"",'DICIEMBRE 2026'!Z92="POR RECOGER"),'DICIEMBRE 2026'!I92,"")</f>
        <v/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customFormat="false" ht="15" hidden="false" customHeight="true" outlineLevel="0" collapsed="false">
      <c r="A1244" s="192" t="str">
        <f aca="false">IF(AND('DICIEMBRE 2026'!D93&lt;&gt;"",'DICIEMBRE 2026'!Z93="POR RECOGER"),"DIC","")</f>
        <v/>
      </c>
      <c r="B1244" s="192" t="str">
        <f aca="false">IF(AND('DICIEMBRE 2026'!D93&lt;&gt;"",'DICIEMBRE 2026'!Z93="POR RECOGER"),IF('DICIEMBRE 2026'!Y93&lt;&gt;"",'DICIEMBRE 2026'!Y93,'DICIEMBRE 2026'!I93),"")</f>
        <v/>
      </c>
      <c r="C1244" s="192" t="str">
        <f aca="false">IF(AND('DICIEMBRE 2026'!D93&lt;&gt;"",'DICIEMBRE 2026'!Z93="POR RECOGER"),'DICIEMBRE 2026'!D93,"")</f>
        <v/>
      </c>
      <c r="D1244" s="192" t="str">
        <f aca="false">IF(AND('DICIEMBRE 2026'!D93&lt;&gt;"",'DICIEMBRE 2026'!Z93="POR RECOGER"),'DICIEMBRE 2026'!F93,"")</f>
        <v/>
      </c>
      <c r="E1244" s="192" t="str">
        <f aca="false">IF(AND('DICIEMBRE 2026'!D93&lt;&gt;"",'DICIEMBRE 2026'!Z93="POR RECOGER"),TEXT('DICIEMBRE 2026'!G93,"DD/MM/YYYY"),"")</f>
        <v/>
      </c>
      <c r="F1244" s="192" t="str">
        <f aca="false">IF(AND('DICIEMBRE 2026'!D93&lt;&gt;"",'DICIEMBRE 2026'!Z93="POR RECOGER"),'DICIEMBRE 2026'!K93,"")</f>
        <v/>
      </c>
      <c r="G1244" s="193" t="str">
        <f aca="false">IF(AND('DICIEMBRE 2026'!D93&lt;&gt;"",'DICIEMBRE 2026'!Z93="POR RECOGER"),'DICIEMBRE 2026'!M93,"")</f>
        <v/>
      </c>
      <c r="H1244" s="193" t="str">
        <f aca="false">IF(AND('DICIEMBRE 2026'!D93&lt;&gt;"",'DICIEMBRE 2026'!Z93="POR RECOGER"),'DICIEMBRE 2026'!N93,"")</f>
        <v/>
      </c>
      <c r="I1244" s="192" t="str">
        <f aca="false">IF(AND('DICIEMBRE 2026'!D93&lt;&gt;"",'DICIEMBRE 2026'!Z93="POR RECOGER"),'DICIEMBRE 2026'!P93,"")</f>
        <v/>
      </c>
      <c r="J1244" s="192" t="str">
        <f aca="false">IF(AND('DICIEMBRE 2026'!D93&lt;&gt;"",'DICIEMBRE 2026'!Z93="POR RECOGER"),'DICIEMBRE 2026'!Q93,"")</f>
        <v/>
      </c>
      <c r="K1244" s="192" t="str">
        <f aca="false">IF(AND('DICIEMBRE 2026'!D93&lt;&gt;"",'DICIEMBRE 2026'!Z93="POR RECOGER"),'DICIEMBRE 2026'!Y93,"")</f>
        <v/>
      </c>
      <c r="L1244" s="192" t="str">
        <f aca="false">IF(AND('DICIEMBRE 2026'!D93&lt;&gt;"",'DICIEMBRE 2026'!Z93="POR RECOGER"),'DICIEMBRE 2026'!I93,"")</f>
        <v/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customFormat="false" ht="15" hidden="false" customHeight="true" outlineLevel="0" collapsed="false">
      <c r="A1245" s="192" t="str">
        <f aca="false">IF(AND('DICIEMBRE 2026'!D94&lt;&gt;"",'DICIEMBRE 2026'!Z94="POR RECOGER"),"DIC","")</f>
        <v/>
      </c>
      <c r="B1245" s="192" t="str">
        <f aca="false">IF(AND('DICIEMBRE 2026'!D94&lt;&gt;"",'DICIEMBRE 2026'!Z94="POR RECOGER"),IF('DICIEMBRE 2026'!Y94&lt;&gt;"",'DICIEMBRE 2026'!Y94,'DICIEMBRE 2026'!I94),"")</f>
        <v/>
      </c>
      <c r="C1245" s="192" t="str">
        <f aca="false">IF(AND('DICIEMBRE 2026'!D94&lt;&gt;"",'DICIEMBRE 2026'!Z94="POR RECOGER"),'DICIEMBRE 2026'!D94,"")</f>
        <v/>
      </c>
      <c r="D1245" s="192" t="str">
        <f aca="false">IF(AND('DICIEMBRE 2026'!D94&lt;&gt;"",'DICIEMBRE 2026'!Z94="POR RECOGER"),'DICIEMBRE 2026'!F94,"")</f>
        <v/>
      </c>
      <c r="E1245" s="192" t="str">
        <f aca="false">IF(AND('DICIEMBRE 2026'!D94&lt;&gt;"",'DICIEMBRE 2026'!Z94="POR RECOGER"),TEXT('DICIEMBRE 2026'!G94,"DD/MM/YYYY"),"")</f>
        <v/>
      </c>
      <c r="F1245" s="192" t="str">
        <f aca="false">IF(AND('DICIEMBRE 2026'!D94&lt;&gt;"",'DICIEMBRE 2026'!Z94="POR RECOGER"),'DICIEMBRE 2026'!K94,"")</f>
        <v/>
      </c>
      <c r="G1245" s="193" t="str">
        <f aca="false">IF(AND('DICIEMBRE 2026'!D94&lt;&gt;"",'DICIEMBRE 2026'!Z94="POR RECOGER"),'DICIEMBRE 2026'!M94,"")</f>
        <v/>
      </c>
      <c r="H1245" s="193" t="str">
        <f aca="false">IF(AND('DICIEMBRE 2026'!D94&lt;&gt;"",'DICIEMBRE 2026'!Z94="POR RECOGER"),'DICIEMBRE 2026'!N94,"")</f>
        <v/>
      </c>
      <c r="I1245" s="192" t="str">
        <f aca="false">IF(AND('DICIEMBRE 2026'!D94&lt;&gt;"",'DICIEMBRE 2026'!Z94="POR RECOGER"),'DICIEMBRE 2026'!P94,"")</f>
        <v/>
      </c>
      <c r="J1245" s="192" t="str">
        <f aca="false">IF(AND('DICIEMBRE 2026'!D94&lt;&gt;"",'DICIEMBRE 2026'!Z94="POR RECOGER"),'DICIEMBRE 2026'!Q94,"")</f>
        <v/>
      </c>
      <c r="K1245" s="192" t="str">
        <f aca="false">IF(AND('DICIEMBRE 2026'!D94&lt;&gt;"",'DICIEMBRE 2026'!Z94="POR RECOGER"),'DICIEMBRE 2026'!Y94,"")</f>
        <v/>
      </c>
      <c r="L1245" s="192" t="str">
        <f aca="false">IF(AND('DICIEMBRE 2026'!D94&lt;&gt;"",'DICIEMBRE 2026'!Z94="POR RECOGER"),'DICIEMBRE 2026'!I94,"")</f>
        <v/>
      </c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customFormat="false" ht="15" hidden="false" customHeight="true" outlineLevel="0" collapsed="false">
      <c r="A1246" s="192" t="str">
        <f aca="false">IF(AND('DICIEMBRE 2026'!D95&lt;&gt;"",'DICIEMBRE 2026'!Z95="POR RECOGER"),"DIC","")</f>
        <v/>
      </c>
      <c r="B1246" s="192" t="str">
        <f aca="false">IF(AND('DICIEMBRE 2026'!D95&lt;&gt;"",'DICIEMBRE 2026'!Z95="POR RECOGER"),IF('DICIEMBRE 2026'!Y95&lt;&gt;"",'DICIEMBRE 2026'!Y95,'DICIEMBRE 2026'!I95),"")</f>
        <v/>
      </c>
      <c r="C1246" s="192" t="str">
        <f aca="false">IF(AND('DICIEMBRE 2026'!D95&lt;&gt;"",'DICIEMBRE 2026'!Z95="POR RECOGER"),'DICIEMBRE 2026'!D95,"")</f>
        <v/>
      </c>
      <c r="D1246" s="192" t="str">
        <f aca="false">IF(AND('DICIEMBRE 2026'!D95&lt;&gt;"",'DICIEMBRE 2026'!Z95="POR RECOGER"),'DICIEMBRE 2026'!F95,"")</f>
        <v/>
      </c>
      <c r="E1246" s="192" t="str">
        <f aca="false">IF(AND('DICIEMBRE 2026'!D95&lt;&gt;"",'DICIEMBRE 2026'!Z95="POR RECOGER"),TEXT('DICIEMBRE 2026'!G95,"DD/MM/YYYY"),"")</f>
        <v/>
      </c>
      <c r="F1246" s="192" t="str">
        <f aca="false">IF(AND('DICIEMBRE 2026'!D95&lt;&gt;"",'DICIEMBRE 2026'!Z95="POR RECOGER"),'DICIEMBRE 2026'!K95,"")</f>
        <v/>
      </c>
      <c r="G1246" s="193" t="str">
        <f aca="false">IF(AND('DICIEMBRE 2026'!D95&lt;&gt;"",'DICIEMBRE 2026'!Z95="POR RECOGER"),'DICIEMBRE 2026'!M95,"")</f>
        <v/>
      </c>
      <c r="H1246" s="193" t="str">
        <f aca="false">IF(AND('DICIEMBRE 2026'!D95&lt;&gt;"",'DICIEMBRE 2026'!Z95="POR RECOGER"),'DICIEMBRE 2026'!N95,"")</f>
        <v/>
      </c>
      <c r="I1246" s="192" t="str">
        <f aca="false">IF(AND('DICIEMBRE 2026'!D95&lt;&gt;"",'DICIEMBRE 2026'!Z95="POR RECOGER"),'DICIEMBRE 2026'!P95,"")</f>
        <v/>
      </c>
      <c r="J1246" s="192" t="str">
        <f aca="false">IF(AND('DICIEMBRE 2026'!D95&lt;&gt;"",'DICIEMBRE 2026'!Z95="POR RECOGER"),'DICIEMBRE 2026'!Q95,"")</f>
        <v/>
      </c>
      <c r="K1246" s="192" t="str">
        <f aca="false">IF(AND('DICIEMBRE 2026'!D95&lt;&gt;"",'DICIEMBRE 2026'!Z95="POR RECOGER"),'DICIEMBRE 2026'!Y95,"")</f>
        <v/>
      </c>
      <c r="L1246" s="192" t="str">
        <f aca="false">IF(AND('DICIEMBRE 2026'!D95&lt;&gt;"",'DICIEMBRE 2026'!Z95="POR RECOGER"),'DICIEMBRE 2026'!I95,"")</f>
        <v/>
      </c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customFormat="false" ht="15" hidden="false" customHeight="true" outlineLevel="0" collapsed="false">
      <c r="A1247" s="192" t="str">
        <f aca="false">IF(AND('DICIEMBRE 2026'!D96&lt;&gt;"",'DICIEMBRE 2026'!Z96="POR RECOGER"),"DIC","")</f>
        <v/>
      </c>
      <c r="B1247" s="192" t="str">
        <f aca="false">IF(AND('DICIEMBRE 2026'!D96&lt;&gt;"",'DICIEMBRE 2026'!Z96="POR RECOGER"),IF('DICIEMBRE 2026'!Y96&lt;&gt;"",'DICIEMBRE 2026'!Y96,'DICIEMBRE 2026'!I96),"")</f>
        <v/>
      </c>
      <c r="C1247" s="192" t="str">
        <f aca="false">IF(AND('DICIEMBRE 2026'!D96&lt;&gt;"",'DICIEMBRE 2026'!Z96="POR RECOGER"),'DICIEMBRE 2026'!D96,"")</f>
        <v/>
      </c>
      <c r="D1247" s="192" t="str">
        <f aca="false">IF(AND('DICIEMBRE 2026'!D96&lt;&gt;"",'DICIEMBRE 2026'!Z96="POR RECOGER"),'DICIEMBRE 2026'!F96,"")</f>
        <v/>
      </c>
      <c r="E1247" s="192" t="str">
        <f aca="false">IF(AND('DICIEMBRE 2026'!D96&lt;&gt;"",'DICIEMBRE 2026'!Z96="POR RECOGER"),TEXT('DICIEMBRE 2026'!G96,"DD/MM/YYYY"),"")</f>
        <v/>
      </c>
      <c r="F1247" s="192" t="str">
        <f aca="false">IF(AND('DICIEMBRE 2026'!D96&lt;&gt;"",'DICIEMBRE 2026'!Z96="POR RECOGER"),'DICIEMBRE 2026'!K96,"")</f>
        <v/>
      </c>
      <c r="G1247" s="193" t="str">
        <f aca="false">IF(AND('DICIEMBRE 2026'!D96&lt;&gt;"",'DICIEMBRE 2026'!Z96="POR RECOGER"),'DICIEMBRE 2026'!M96,"")</f>
        <v/>
      </c>
      <c r="H1247" s="193" t="str">
        <f aca="false">IF(AND('DICIEMBRE 2026'!D96&lt;&gt;"",'DICIEMBRE 2026'!Z96="POR RECOGER"),'DICIEMBRE 2026'!N96,"")</f>
        <v/>
      </c>
      <c r="I1247" s="192" t="str">
        <f aca="false">IF(AND('DICIEMBRE 2026'!D96&lt;&gt;"",'DICIEMBRE 2026'!Z96="POR RECOGER"),'DICIEMBRE 2026'!P96,"")</f>
        <v/>
      </c>
      <c r="J1247" s="192" t="str">
        <f aca="false">IF(AND('DICIEMBRE 2026'!D96&lt;&gt;"",'DICIEMBRE 2026'!Z96="POR RECOGER"),'DICIEMBRE 2026'!Q96,"")</f>
        <v/>
      </c>
      <c r="K1247" s="192" t="str">
        <f aca="false">IF(AND('DICIEMBRE 2026'!D96&lt;&gt;"",'DICIEMBRE 2026'!Z96="POR RECOGER"),'DICIEMBRE 2026'!Y96,"")</f>
        <v/>
      </c>
      <c r="L1247" s="192" t="str">
        <f aca="false">IF(AND('DICIEMBRE 2026'!D96&lt;&gt;"",'DICIEMBRE 2026'!Z96="POR RECOGER"),'DICIEMBRE 2026'!I96,"")</f>
        <v/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customFormat="false" ht="15" hidden="false" customHeight="true" outlineLevel="0" collapsed="false">
      <c r="A1248" s="192" t="str">
        <f aca="false">IF(AND('DICIEMBRE 2026'!D97&lt;&gt;"",'DICIEMBRE 2026'!Z97="POR RECOGER"),"DIC","")</f>
        <v/>
      </c>
      <c r="B1248" s="192" t="str">
        <f aca="false">IF(AND('DICIEMBRE 2026'!D97&lt;&gt;"",'DICIEMBRE 2026'!Z97="POR RECOGER"),IF('DICIEMBRE 2026'!Y97&lt;&gt;"",'DICIEMBRE 2026'!Y97,'DICIEMBRE 2026'!I97),"")</f>
        <v/>
      </c>
      <c r="C1248" s="192" t="str">
        <f aca="false">IF(AND('DICIEMBRE 2026'!D97&lt;&gt;"",'DICIEMBRE 2026'!Z97="POR RECOGER"),'DICIEMBRE 2026'!D97,"")</f>
        <v/>
      </c>
      <c r="D1248" s="192" t="str">
        <f aca="false">IF(AND('DICIEMBRE 2026'!D97&lt;&gt;"",'DICIEMBRE 2026'!Z97="POR RECOGER"),'DICIEMBRE 2026'!F97,"")</f>
        <v/>
      </c>
      <c r="E1248" s="192" t="str">
        <f aca="false">IF(AND('DICIEMBRE 2026'!D97&lt;&gt;"",'DICIEMBRE 2026'!Z97="POR RECOGER"),TEXT('DICIEMBRE 2026'!G97,"DD/MM/YYYY"),"")</f>
        <v/>
      </c>
      <c r="F1248" s="192" t="str">
        <f aca="false">IF(AND('DICIEMBRE 2026'!D97&lt;&gt;"",'DICIEMBRE 2026'!Z97="POR RECOGER"),'DICIEMBRE 2026'!K97,"")</f>
        <v/>
      </c>
      <c r="G1248" s="193" t="str">
        <f aca="false">IF(AND('DICIEMBRE 2026'!D97&lt;&gt;"",'DICIEMBRE 2026'!Z97="POR RECOGER"),'DICIEMBRE 2026'!M97,"")</f>
        <v/>
      </c>
      <c r="H1248" s="193" t="str">
        <f aca="false">IF(AND('DICIEMBRE 2026'!D97&lt;&gt;"",'DICIEMBRE 2026'!Z97="POR RECOGER"),'DICIEMBRE 2026'!N97,"")</f>
        <v/>
      </c>
      <c r="I1248" s="192" t="str">
        <f aca="false">IF(AND('DICIEMBRE 2026'!D97&lt;&gt;"",'DICIEMBRE 2026'!Z97="POR RECOGER"),'DICIEMBRE 2026'!P97,"")</f>
        <v/>
      </c>
      <c r="J1248" s="192" t="str">
        <f aca="false">IF(AND('DICIEMBRE 2026'!D97&lt;&gt;"",'DICIEMBRE 2026'!Z97="POR RECOGER"),'DICIEMBRE 2026'!Q97,"")</f>
        <v/>
      </c>
      <c r="K1248" s="192" t="str">
        <f aca="false">IF(AND('DICIEMBRE 2026'!D97&lt;&gt;"",'DICIEMBRE 2026'!Z97="POR RECOGER"),'DICIEMBRE 2026'!Y97,"")</f>
        <v/>
      </c>
      <c r="L1248" s="192" t="str">
        <f aca="false">IF(AND('DICIEMBRE 2026'!D97&lt;&gt;"",'DICIEMBRE 2026'!Z97="POR RECOGER"),'DICIEMBRE 2026'!I97,"")</f>
        <v/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customFormat="false" ht="15" hidden="false" customHeight="true" outlineLevel="0" collapsed="false">
      <c r="A1249" s="192" t="str">
        <f aca="false">IF(AND('DICIEMBRE 2026'!D98&lt;&gt;"",'DICIEMBRE 2026'!Z98="POR RECOGER"),"DIC","")</f>
        <v/>
      </c>
      <c r="B1249" s="192" t="str">
        <f aca="false">IF(AND('DICIEMBRE 2026'!D98&lt;&gt;"",'DICIEMBRE 2026'!Z98="POR RECOGER"),IF('DICIEMBRE 2026'!Y98&lt;&gt;"",'DICIEMBRE 2026'!Y98,'DICIEMBRE 2026'!I98),"")</f>
        <v/>
      </c>
      <c r="C1249" s="192" t="str">
        <f aca="false">IF(AND('DICIEMBRE 2026'!D98&lt;&gt;"",'DICIEMBRE 2026'!Z98="POR RECOGER"),'DICIEMBRE 2026'!D98,"")</f>
        <v/>
      </c>
      <c r="D1249" s="192" t="str">
        <f aca="false">IF(AND('DICIEMBRE 2026'!D98&lt;&gt;"",'DICIEMBRE 2026'!Z98="POR RECOGER"),'DICIEMBRE 2026'!F98,"")</f>
        <v/>
      </c>
      <c r="E1249" s="192" t="str">
        <f aca="false">IF(AND('DICIEMBRE 2026'!D98&lt;&gt;"",'DICIEMBRE 2026'!Z98="POR RECOGER"),TEXT('DICIEMBRE 2026'!G98,"DD/MM/YYYY"),"")</f>
        <v/>
      </c>
      <c r="F1249" s="192" t="str">
        <f aca="false">IF(AND('DICIEMBRE 2026'!D98&lt;&gt;"",'DICIEMBRE 2026'!Z98="POR RECOGER"),'DICIEMBRE 2026'!K98,"")</f>
        <v/>
      </c>
      <c r="G1249" s="193" t="str">
        <f aca="false">IF(AND('DICIEMBRE 2026'!D98&lt;&gt;"",'DICIEMBRE 2026'!Z98="POR RECOGER"),'DICIEMBRE 2026'!M98,"")</f>
        <v/>
      </c>
      <c r="H1249" s="193" t="str">
        <f aca="false">IF(AND('DICIEMBRE 2026'!D98&lt;&gt;"",'DICIEMBRE 2026'!Z98="POR RECOGER"),'DICIEMBRE 2026'!N98,"")</f>
        <v/>
      </c>
      <c r="I1249" s="192" t="str">
        <f aca="false">IF(AND('DICIEMBRE 2026'!D98&lt;&gt;"",'DICIEMBRE 2026'!Z98="POR RECOGER"),'DICIEMBRE 2026'!P98,"")</f>
        <v/>
      </c>
      <c r="J1249" s="192" t="str">
        <f aca="false">IF(AND('DICIEMBRE 2026'!D98&lt;&gt;"",'DICIEMBRE 2026'!Z98="POR RECOGER"),'DICIEMBRE 2026'!Q98,"")</f>
        <v/>
      </c>
      <c r="K1249" s="192" t="str">
        <f aca="false">IF(AND('DICIEMBRE 2026'!D98&lt;&gt;"",'DICIEMBRE 2026'!Z98="POR RECOGER"),'DICIEMBRE 2026'!Y98,"")</f>
        <v/>
      </c>
      <c r="L1249" s="192" t="str">
        <f aca="false">IF(AND('DICIEMBRE 2026'!D98&lt;&gt;"",'DICIEMBRE 2026'!Z98="POR RECOGER"),'DICIEMBRE 2026'!I98,"")</f>
        <v/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customFormat="false" ht="15" hidden="false" customHeight="true" outlineLevel="0" collapsed="false">
      <c r="A1250" s="192" t="str">
        <f aca="false">IF(AND('DICIEMBRE 2026'!D99&lt;&gt;"",'DICIEMBRE 2026'!Z99="POR RECOGER"),"DIC","")</f>
        <v/>
      </c>
      <c r="B1250" s="192" t="str">
        <f aca="false">IF(AND('DICIEMBRE 2026'!D99&lt;&gt;"",'DICIEMBRE 2026'!Z99="POR RECOGER"),IF('DICIEMBRE 2026'!Y99&lt;&gt;"",'DICIEMBRE 2026'!Y99,'DICIEMBRE 2026'!I99),"")</f>
        <v/>
      </c>
      <c r="C1250" s="192" t="str">
        <f aca="false">IF(AND('DICIEMBRE 2026'!D99&lt;&gt;"",'DICIEMBRE 2026'!Z99="POR RECOGER"),'DICIEMBRE 2026'!D99,"")</f>
        <v/>
      </c>
      <c r="D1250" s="192" t="str">
        <f aca="false">IF(AND('DICIEMBRE 2026'!D99&lt;&gt;"",'DICIEMBRE 2026'!Z99="POR RECOGER"),'DICIEMBRE 2026'!F99,"")</f>
        <v/>
      </c>
      <c r="E1250" s="192" t="str">
        <f aca="false">IF(AND('DICIEMBRE 2026'!D99&lt;&gt;"",'DICIEMBRE 2026'!Z99="POR RECOGER"),TEXT('DICIEMBRE 2026'!G99,"DD/MM/YYYY"),"")</f>
        <v/>
      </c>
      <c r="F1250" s="192" t="str">
        <f aca="false">IF(AND('DICIEMBRE 2026'!D99&lt;&gt;"",'DICIEMBRE 2026'!Z99="POR RECOGER"),'DICIEMBRE 2026'!K99,"")</f>
        <v/>
      </c>
      <c r="G1250" s="193" t="str">
        <f aca="false">IF(AND('DICIEMBRE 2026'!D99&lt;&gt;"",'DICIEMBRE 2026'!Z99="POR RECOGER"),'DICIEMBRE 2026'!M99,"")</f>
        <v/>
      </c>
      <c r="H1250" s="193" t="str">
        <f aca="false">IF(AND('DICIEMBRE 2026'!D99&lt;&gt;"",'DICIEMBRE 2026'!Z99="POR RECOGER"),'DICIEMBRE 2026'!N99,"")</f>
        <v/>
      </c>
      <c r="I1250" s="192" t="str">
        <f aca="false">IF(AND('DICIEMBRE 2026'!D99&lt;&gt;"",'DICIEMBRE 2026'!Z99="POR RECOGER"),'DICIEMBRE 2026'!P99,"")</f>
        <v/>
      </c>
      <c r="J1250" s="192" t="str">
        <f aca="false">IF(AND('DICIEMBRE 2026'!D99&lt;&gt;"",'DICIEMBRE 2026'!Z99="POR RECOGER"),'DICIEMBRE 2026'!Q99,"")</f>
        <v/>
      </c>
      <c r="K1250" s="192" t="str">
        <f aca="false">IF(AND('DICIEMBRE 2026'!D99&lt;&gt;"",'DICIEMBRE 2026'!Z99="POR RECOGER"),'DICIEMBRE 2026'!Y99,"")</f>
        <v/>
      </c>
      <c r="L1250" s="192" t="str">
        <f aca="false">IF(AND('DICIEMBRE 2026'!D99&lt;&gt;"",'DICIEMBRE 2026'!Z99="POR RECOGER"),'DICIEMBRE 2026'!I99,"")</f>
        <v/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customFormat="false" ht="15" hidden="false" customHeight="true" outlineLevel="0" collapsed="false">
      <c r="A1251" s="192" t="str">
        <f aca="false">IF(AND('DICIEMBRE 2026'!D100&lt;&gt;"",'DICIEMBRE 2026'!Z100="POR RECOGER"),"DIC","")</f>
        <v/>
      </c>
      <c r="B1251" s="192" t="str">
        <f aca="false">IF(AND('DICIEMBRE 2026'!D100&lt;&gt;"",'DICIEMBRE 2026'!Z100="POR RECOGER"),IF('DICIEMBRE 2026'!Y100&lt;&gt;"",'DICIEMBRE 2026'!Y100,'DICIEMBRE 2026'!I100),"")</f>
        <v/>
      </c>
      <c r="C1251" s="192" t="str">
        <f aca="false">IF(AND('DICIEMBRE 2026'!D100&lt;&gt;"",'DICIEMBRE 2026'!Z100="POR RECOGER"),'DICIEMBRE 2026'!D100,"")</f>
        <v/>
      </c>
      <c r="D1251" s="192" t="str">
        <f aca="false">IF(AND('DICIEMBRE 2026'!D100&lt;&gt;"",'DICIEMBRE 2026'!Z100="POR RECOGER"),'DICIEMBRE 2026'!F100,"")</f>
        <v/>
      </c>
      <c r="E1251" s="192" t="str">
        <f aca="false">IF(AND('DICIEMBRE 2026'!D100&lt;&gt;"",'DICIEMBRE 2026'!Z100="POR RECOGER"),TEXT('DICIEMBRE 2026'!G100,"DD/MM/YYYY"),"")</f>
        <v/>
      </c>
      <c r="F1251" s="192" t="str">
        <f aca="false">IF(AND('DICIEMBRE 2026'!D100&lt;&gt;"",'DICIEMBRE 2026'!Z100="POR RECOGER"),'DICIEMBRE 2026'!K100,"")</f>
        <v/>
      </c>
      <c r="G1251" s="193" t="str">
        <f aca="false">IF(AND('DICIEMBRE 2026'!D100&lt;&gt;"",'DICIEMBRE 2026'!Z100="POR RECOGER"),'DICIEMBRE 2026'!M100,"")</f>
        <v/>
      </c>
      <c r="H1251" s="193" t="str">
        <f aca="false">IF(AND('DICIEMBRE 2026'!D100&lt;&gt;"",'DICIEMBRE 2026'!Z100="POR RECOGER"),'DICIEMBRE 2026'!N100,"")</f>
        <v/>
      </c>
      <c r="I1251" s="192" t="str">
        <f aca="false">IF(AND('DICIEMBRE 2026'!D100&lt;&gt;"",'DICIEMBRE 2026'!Z100="POR RECOGER"),'DICIEMBRE 2026'!P100,"")</f>
        <v/>
      </c>
      <c r="J1251" s="192" t="str">
        <f aca="false">IF(AND('DICIEMBRE 2026'!D100&lt;&gt;"",'DICIEMBRE 2026'!Z100="POR RECOGER"),'DICIEMBRE 2026'!Q100,"")</f>
        <v/>
      </c>
      <c r="K1251" s="192" t="str">
        <f aca="false">IF(AND('DICIEMBRE 2026'!D100&lt;&gt;"",'DICIEMBRE 2026'!Z100="POR RECOGER"),'DICIEMBRE 2026'!Y100,"")</f>
        <v/>
      </c>
      <c r="L1251" s="192" t="str">
        <f aca="false">IF(AND('DICIEMBRE 2026'!D100&lt;&gt;"",'DICIEMBRE 2026'!Z100="POR RECOGER"),'DICIEMBRE 2026'!I100,"")</f>
        <v/>
      </c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customFormat="false" ht="15" hidden="false" customHeight="true" outlineLevel="0" collapsed="false">
      <c r="A1252" s="192" t="str">
        <f aca="false">IF(AND('DICIEMBRE 2026'!D101&lt;&gt;"",'DICIEMBRE 2026'!Z101="POR RECOGER"),"DIC","")</f>
        <v/>
      </c>
      <c r="B1252" s="192" t="str">
        <f aca="false">IF(AND('DICIEMBRE 2026'!D101&lt;&gt;"",'DICIEMBRE 2026'!Z101="POR RECOGER"),IF('DICIEMBRE 2026'!Y101&lt;&gt;"",'DICIEMBRE 2026'!Y101,'DICIEMBRE 2026'!I101),"")</f>
        <v/>
      </c>
      <c r="C1252" s="192" t="str">
        <f aca="false">IF(AND('DICIEMBRE 2026'!D101&lt;&gt;"",'DICIEMBRE 2026'!Z101="POR RECOGER"),'DICIEMBRE 2026'!D101,"")</f>
        <v/>
      </c>
      <c r="D1252" s="192" t="str">
        <f aca="false">IF(AND('DICIEMBRE 2026'!D101&lt;&gt;"",'DICIEMBRE 2026'!Z101="POR RECOGER"),'DICIEMBRE 2026'!F101,"")</f>
        <v/>
      </c>
      <c r="E1252" s="192" t="str">
        <f aca="false">IF(AND('DICIEMBRE 2026'!D101&lt;&gt;"",'DICIEMBRE 2026'!Z101="POR RECOGER"),TEXT('DICIEMBRE 2026'!G101,"DD/MM/YYYY"),"")</f>
        <v/>
      </c>
      <c r="F1252" s="192" t="str">
        <f aca="false">IF(AND('DICIEMBRE 2026'!D101&lt;&gt;"",'DICIEMBRE 2026'!Z101="POR RECOGER"),'DICIEMBRE 2026'!K101,"")</f>
        <v/>
      </c>
      <c r="G1252" s="193" t="str">
        <f aca="false">IF(AND('DICIEMBRE 2026'!D101&lt;&gt;"",'DICIEMBRE 2026'!Z101="POR RECOGER"),'DICIEMBRE 2026'!M101,"")</f>
        <v/>
      </c>
      <c r="H1252" s="193" t="str">
        <f aca="false">IF(AND('DICIEMBRE 2026'!D101&lt;&gt;"",'DICIEMBRE 2026'!Z101="POR RECOGER"),'DICIEMBRE 2026'!N101,"")</f>
        <v/>
      </c>
      <c r="I1252" s="192" t="str">
        <f aca="false">IF(AND('DICIEMBRE 2026'!D101&lt;&gt;"",'DICIEMBRE 2026'!Z101="POR RECOGER"),'DICIEMBRE 2026'!P101,"")</f>
        <v/>
      </c>
      <c r="J1252" s="192" t="str">
        <f aca="false">IF(AND('DICIEMBRE 2026'!D101&lt;&gt;"",'DICIEMBRE 2026'!Z101="POR RECOGER"),'DICIEMBRE 2026'!Q101,"")</f>
        <v/>
      </c>
      <c r="K1252" s="192" t="str">
        <f aca="false">IF(AND('DICIEMBRE 2026'!D101&lt;&gt;"",'DICIEMBRE 2026'!Z101="POR RECOGER"),'DICIEMBRE 2026'!Y101,"")</f>
        <v/>
      </c>
      <c r="L1252" s="192" t="str">
        <f aca="false">IF(AND('DICIEMBRE 2026'!D101&lt;&gt;"",'DICIEMBRE 2026'!Z101="POR RECOGER"),'DICIEMBRE 2026'!I101,"")</f>
        <v/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customFormat="false" ht="15" hidden="false" customHeight="true" outlineLevel="0" collapsed="false">
      <c r="A1253" s="192" t="str">
        <f aca="false">IF(AND('DICIEMBRE 2026'!D102&lt;&gt;"",'DICIEMBRE 2026'!Z102="POR RECOGER"),"DIC","")</f>
        <v/>
      </c>
      <c r="B1253" s="192" t="str">
        <f aca="false">IF(AND('DICIEMBRE 2026'!D102&lt;&gt;"",'DICIEMBRE 2026'!Z102="POR RECOGER"),IF('DICIEMBRE 2026'!Y102&lt;&gt;"",'DICIEMBRE 2026'!Y102,'DICIEMBRE 2026'!I102),"")</f>
        <v/>
      </c>
      <c r="C1253" s="192" t="str">
        <f aca="false">IF(AND('DICIEMBRE 2026'!D102&lt;&gt;"",'DICIEMBRE 2026'!Z102="POR RECOGER"),'DICIEMBRE 2026'!D102,"")</f>
        <v/>
      </c>
      <c r="D1253" s="192" t="str">
        <f aca="false">IF(AND('DICIEMBRE 2026'!D102&lt;&gt;"",'DICIEMBRE 2026'!Z102="POR RECOGER"),'DICIEMBRE 2026'!F102,"")</f>
        <v/>
      </c>
      <c r="E1253" s="192" t="str">
        <f aca="false">IF(AND('DICIEMBRE 2026'!D102&lt;&gt;"",'DICIEMBRE 2026'!Z102="POR RECOGER"),TEXT('DICIEMBRE 2026'!G102,"DD/MM/YYYY"),"")</f>
        <v/>
      </c>
      <c r="F1253" s="192" t="str">
        <f aca="false">IF(AND('DICIEMBRE 2026'!D102&lt;&gt;"",'DICIEMBRE 2026'!Z102="POR RECOGER"),'DICIEMBRE 2026'!K102,"")</f>
        <v/>
      </c>
      <c r="G1253" s="193" t="str">
        <f aca="false">IF(AND('DICIEMBRE 2026'!D102&lt;&gt;"",'DICIEMBRE 2026'!Z102="POR RECOGER"),'DICIEMBRE 2026'!M102,"")</f>
        <v/>
      </c>
      <c r="H1253" s="193" t="str">
        <f aca="false">IF(AND('DICIEMBRE 2026'!D102&lt;&gt;"",'DICIEMBRE 2026'!Z102="POR RECOGER"),'DICIEMBRE 2026'!N102,"")</f>
        <v/>
      </c>
      <c r="I1253" s="192" t="str">
        <f aca="false">IF(AND('DICIEMBRE 2026'!D102&lt;&gt;"",'DICIEMBRE 2026'!Z102="POR RECOGER"),'DICIEMBRE 2026'!P102,"")</f>
        <v/>
      </c>
      <c r="J1253" s="192" t="str">
        <f aca="false">IF(AND('DICIEMBRE 2026'!D102&lt;&gt;"",'DICIEMBRE 2026'!Z102="POR RECOGER"),'DICIEMBRE 2026'!Q102,"")</f>
        <v/>
      </c>
      <c r="K1253" s="192" t="str">
        <f aca="false">IF(AND('DICIEMBRE 2026'!D102&lt;&gt;"",'DICIEMBRE 2026'!Z102="POR RECOGER"),'DICIEMBRE 2026'!Y102,"")</f>
        <v/>
      </c>
      <c r="L1253" s="192" t="str">
        <f aca="false">IF(AND('DICIEMBRE 2026'!D102&lt;&gt;"",'DICIEMBRE 2026'!Z102="POR RECOGER"),'DICIEMBRE 2026'!I102,"")</f>
        <v/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customFormat="false" ht="15" hidden="false" customHeight="true" outlineLevel="0" collapsed="false">
      <c r="A1254" s="192" t="str">
        <f aca="false">IF(AND('DICIEMBRE 2026'!D103&lt;&gt;"",'DICIEMBRE 2026'!Z103="POR RECOGER"),"DIC","")</f>
        <v/>
      </c>
      <c r="B1254" s="192" t="str">
        <f aca="false">IF(AND('DICIEMBRE 2026'!D103&lt;&gt;"",'DICIEMBRE 2026'!Z103="POR RECOGER"),IF('DICIEMBRE 2026'!Y103&lt;&gt;"",'DICIEMBRE 2026'!Y103,'DICIEMBRE 2026'!I103),"")</f>
        <v/>
      </c>
      <c r="C1254" s="192" t="str">
        <f aca="false">IF(AND('DICIEMBRE 2026'!D103&lt;&gt;"",'DICIEMBRE 2026'!Z103="POR RECOGER"),'DICIEMBRE 2026'!D103,"")</f>
        <v/>
      </c>
      <c r="D1254" s="192" t="str">
        <f aca="false">IF(AND('DICIEMBRE 2026'!D103&lt;&gt;"",'DICIEMBRE 2026'!Z103="POR RECOGER"),'DICIEMBRE 2026'!F103,"")</f>
        <v/>
      </c>
      <c r="E1254" s="192" t="str">
        <f aca="false">IF(AND('DICIEMBRE 2026'!D103&lt;&gt;"",'DICIEMBRE 2026'!Z103="POR RECOGER"),TEXT('DICIEMBRE 2026'!G103,"DD/MM/YYYY"),"")</f>
        <v/>
      </c>
      <c r="F1254" s="192" t="str">
        <f aca="false">IF(AND('DICIEMBRE 2026'!D103&lt;&gt;"",'DICIEMBRE 2026'!Z103="POR RECOGER"),'DICIEMBRE 2026'!K103,"")</f>
        <v/>
      </c>
      <c r="G1254" s="193" t="str">
        <f aca="false">IF(AND('DICIEMBRE 2026'!D103&lt;&gt;"",'DICIEMBRE 2026'!Z103="POR RECOGER"),'DICIEMBRE 2026'!M103,"")</f>
        <v/>
      </c>
      <c r="H1254" s="193" t="str">
        <f aca="false">IF(AND('DICIEMBRE 2026'!D103&lt;&gt;"",'DICIEMBRE 2026'!Z103="POR RECOGER"),'DICIEMBRE 2026'!N103,"")</f>
        <v/>
      </c>
      <c r="I1254" s="192" t="str">
        <f aca="false">IF(AND('DICIEMBRE 2026'!D103&lt;&gt;"",'DICIEMBRE 2026'!Z103="POR RECOGER"),'DICIEMBRE 2026'!P103,"")</f>
        <v/>
      </c>
      <c r="J1254" s="192" t="str">
        <f aca="false">IF(AND('DICIEMBRE 2026'!D103&lt;&gt;"",'DICIEMBRE 2026'!Z103="POR RECOGER"),'DICIEMBRE 2026'!Q103,"")</f>
        <v/>
      </c>
      <c r="K1254" s="192" t="str">
        <f aca="false">IF(AND('DICIEMBRE 2026'!D103&lt;&gt;"",'DICIEMBRE 2026'!Z103="POR RECOGER"),'DICIEMBRE 2026'!Y103,"")</f>
        <v/>
      </c>
      <c r="L1254" s="192" t="str">
        <f aca="false">IF(AND('DICIEMBRE 2026'!D103&lt;&gt;"",'DICIEMBRE 2026'!Z103="POR RECOGER"),'DICIEMBRE 2026'!I103,"")</f>
        <v/>
      </c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customFormat="false" ht="15" hidden="false" customHeight="true" outlineLevel="0" collapsed="false">
      <c r="A1255" s="192" t="str">
        <f aca="false">IF(AND('DICIEMBRE 2026'!D104&lt;&gt;"",'DICIEMBRE 2026'!Z104="POR RECOGER"),"DIC","")</f>
        <v/>
      </c>
      <c r="B1255" s="192" t="str">
        <f aca="false">IF(AND('DICIEMBRE 2026'!D104&lt;&gt;"",'DICIEMBRE 2026'!Z104="POR RECOGER"),IF('DICIEMBRE 2026'!Y104&lt;&gt;"",'DICIEMBRE 2026'!Y104,'DICIEMBRE 2026'!I104),"")</f>
        <v/>
      </c>
      <c r="C1255" s="192" t="str">
        <f aca="false">IF(AND('DICIEMBRE 2026'!D104&lt;&gt;"",'DICIEMBRE 2026'!Z104="POR RECOGER"),'DICIEMBRE 2026'!D104,"")</f>
        <v/>
      </c>
      <c r="D1255" s="192" t="str">
        <f aca="false">IF(AND('DICIEMBRE 2026'!D104&lt;&gt;"",'DICIEMBRE 2026'!Z104="POR RECOGER"),'DICIEMBRE 2026'!F104,"")</f>
        <v/>
      </c>
      <c r="E1255" s="192" t="str">
        <f aca="false">IF(AND('DICIEMBRE 2026'!D104&lt;&gt;"",'DICIEMBRE 2026'!Z104="POR RECOGER"),TEXT('DICIEMBRE 2026'!G104,"DD/MM/YYYY"),"")</f>
        <v/>
      </c>
      <c r="F1255" s="192" t="str">
        <f aca="false">IF(AND('DICIEMBRE 2026'!D104&lt;&gt;"",'DICIEMBRE 2026'!Z104="POR RECOGER"),'DICIEMBRE 2026'!K104,"")</f>
        <v/>
      </c>
      <c r="G1255" s="193" t="str">
        <f aca="false">IF(AND('DICIEMBRE 2026'!D104&lt;&gt;"",'DICIEMBRE 2026'!Z104="POR RECOGER"),'DICIEMBRE 2026'!M104,"")</f>
        <v/>
      </c>
      <c r="H1255" s="193" t="str">
        <f aca="false">IF(AND('DICIEMBRE 2026'!D104&lt;&gt;"",'DICIEMBRE 2026'!Z104="POR RECOGER"),'DICIEMBRE 2026'!N104,"")</f>
        <v/>
      </c>
      <c r="I1255" s="192" t="str">
        <f aca="false">IF(AND('DICIEMBRE 2026'!D104&lt;&gt;"",'DICIEMBRE 2026'!Z104="POR RECOGER"),'DICIEMBRE 2026'!P104,"")</f>
        <v/>
      </c>
      <c r="J1255" s="192" t="str">
        <f aca="false">IF(AND('DICIEMBRE 2026'!D104&lt;&gt;"",'DICIEMBRE 2026'!Z104="POR RECOGER"),'DICIEMBRE 2026'!Q104,"")</f>
        <v/>
      </c>
      <c r="K1255" s="192" t="str">
        <f aca="false">IF(AND('DICIEMBRE 2026'!D104&lt;&gt;"",'DICIEMBRE 2026'!Z104="POR RECOGER"),'DICIEMBRE 2026'!Y104,"")</f>
        <v/>
      </c>
      <c r="L1255" s="192" t="str">
        <f aca="false">IF(AND('DICIEMBRE 2026'!D104&lt;&gt;"",'DICIEMBRE 2026'!Z104="POR RECOGER"),'DICIEMBRE 2026'!I104,"")</f>
        <v/>
      </c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customFormat="false" ht="15" hidden="false" customHeight="true" outlineLevel="0" collapsed="false">
      <c r="A1256" s="192" t="str">
        <f aca="false">IF(AND('DICIEMBRE 2026'!D105&lt;&gt;"",'DICIEMBRE 2026'!Z105="POR RECOGER"),"DIC","")</f>
        <v/>
      </c>
      <c r="B1256" s="192" t="str">
        <f aca="false">IF(AND('DICIEMBRE 2026'!D105&lt;&gt;"",'DICIEMBRE 2026'!Z105="POR RECOGER"),IF('DICIEMBRE 2026'!Y105&lt;&gt;"",'DICIEMBRE 2026'!Y105,'DICIEMBRE 2026'!I105),"")</f>
        <v/>
      </c>
      <c r="C1256" s="192" t="str">
        <f aca="false">IF(AND('DICIEMBRE 2026'!D105&lt;&gt;"",'DICIEMBRE 2026'!Z105="POR RECOGER"),'DICIEMBRE 2026'!D105,"")</f>
        <v/>
      </c>
      <c r="D1256" s="192" t="str">
        <f aca="false">IF(AND('DICIEMBRE 2026'!D105&lt;&gt;"",'DICIEMBRE 2026'!Z105="POR RECOGER"),'DICIEMBRE 2026'!F105,"")</f>
        <v/>
      </c>
      <c r="E1256" s="192" t="str">
        <f aca="false">IF(AND('DICIEMBRE 2026'!D105&lt;&gt;"",'DICIEMBRE 2026'!Z105="POR RECOGER"),TEXT('DICIEMBRE 2026'!G105,"DD/MM/YYYY"),"")</f>
        <v/>
      </c>
      <c r="F1256" s="192" t="str">
        <f aca="false">IF(AND('DICIEMBRE 2026'!D105&lt;&gt;"",'DICIEMBRE 2026'!Z105="POR RECOGER"),'DICIEMBRE 2026'!K105,"")</f>
        <v/>
      </c>
      <c r="G1256" s="193" t="str">
        <f aca="false">IF(AND('DICIEMBRE 2026'!D105&lt;&gt;"",'DICIEMBRE 2026'!Z105="POR RECOGER"),'DICIEMBRE 2026'!M105,"")</f>
        <v/>
      </c>
      <c r="H1256" s="193" t="str">
        <f aca="false">IF(AND('DICIEMBRE 2026'!D105&lt;&gt;"",'DICIEMBRE 2026'!Z105="POR RECOGER"),'DICIEMBRE 2026'!N105,"")</f>
        <v/>
      </c>
      <c r="I1256" s="192" t="str">
        <f aca="false">IF(AND('DICIEMBRE 2026'!D105&lt;&gt;"",'DICIEMBRE 2026'!Z105="POR RECOGER"),'DICIEMBRE 2026'!P105,"")</f>
        <v/>
      </c>
      <c r="J1256" s="192" t="str">
        <f aca="false">IF(AND('DICIEMBRE 2026'!D105&lt;&gt;"",'DICIEMBRE 2026'!Z105="POR RECOGER"),'DICIEMBRE 2026'!Q105,"")</f>
        <v/>
      </c>
      <c r="K1256" s="192" t="str">
        <f aca="false">IF(AND('DICIEMBRE 2026'!D105&lt;&gt;"",'DICIEMBRE 2026'!Z105="POR RECOGER"),'DICIEMBRE 2026'!Y105,"")</f>
        <v/>
      </c>
      <c r="L1256" s="192" t="str">
        <f aca="false">IF(AND('DICIEMBRE 2026'!D105&lt;&gt;"",'DICIEMBRE 2026'!Z105="POR RECOGER"),'DICIEMBRE 2026'!I105,"")</f>
        <v/>
      </c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customFormat="false" ht="15" hidden="false" customHeight="true" outlineLevel="0" collapsed="false">
      <c r="A1257" s="192" t="str">
        <f aca="false">IF(AND('DICIEMBRE 2026'!D106&lt;&gt;"",'DICIEMBRE 2026'!Z106="POR RECOGER"),"DIC","")</f>
        <v/>
      </c>
      <c r="B1257" s="192" t="str">
        <f aca="false">IF(AND('DICIEMBRE 2026'!D106&lt;&gt;"",'DICIEMBRE 2026'!Z106="POR RECOGER"),IF('DICIEMBRE 2026'!Y106&lt;&gt;"",'DICIEMBRE 2026'!Y106,'DICIEMBRE 2026'!I106),"")</f>
        <v/>
      </c>
      <c r="C1257" s="192" t="str">
        <f aca="false">IF(AND('DICIEMBRE 2026'!D106&lt;&gt;"",'DICIEMBRE 2026'!Z106="POR RECOGER"),'DICIEMBRE 2026'!D106,"")</f>
        <v/>
      </c>
      <c r="D1257" s="192" t="str">
        <f aca="false">IF(AND('DICIEMBRE 2026'!D106&lt;&gt;"",'DICIEMBRE 2026'!Z106="POR RECOGER"),'DICIEMBRE 2026'!F106,"")</f>
        <v/>
      </c>
      <c r="E1257" s="192" t="str">
        <f aca="false">IF(AND('DICIEMBRE 2026'!D106&lt;&gt;"",'DICIEMBRE 2026'!Z106="POR RECOGER"),TEXT('DICIEMBRE 2026'!G106,"DD/MM/YYYY"),"")</f>
        <v/>
      </c>
      <c r="F1257" s="192" t="str">
        <f aca="false">IF(AND('DICIEMBRE 2026'!D106&lt;&gt;"",'DICIEMBRE 2026'!Z106="POR RECOGER"),'DICIEMBRE 2026'!K106,"")</f>
        <v/>
      </c>
      <c r="G1257" s="193" t="str">
        <f aca="false">IF(AND('DICIEMBRE 2026'!D106&lt;&gt;"",'DICIEMBRE 2026'!Z106="POR RECOGER"),'DICIEMBRE 2026'!M106,"")</f>
        <v/>
      </c>
      <c r="H1257" s="193" t="str">
        <f aca="false">IF(AND('DICIEMBRE 2026'!D106&lt;&gt;"",'DICIEMBRE 2026'!Z106="POR RECOGER"),'DICIEMBRE 2026'!N106,"")</f>
        <v/>
      </c>
      <c r="I1257" s="192" t="str">
        <f aca="false">IF(AND('DICIEMBRE 2026'!D106&lt;&gt;"",'DICIEMBRE 2026'!Z106="POR RECOGER"),'DICIEMBRE 2026'!P106,"")</f>
        <v/>
      </c>
      <c r="J1257" s="192" t="str">
        <f aca="false">IF(AND('DICIEMBRE 2026'!D106&lt;&gt;"",'DICIEMBRE 2026'!Z106="POR RECOGER"),'DICIEMBRE 2026'!Q106,"")</f>
        <v/>
      </c>
      <c r="K1257" s="192" t="str">
        <f aca="false">IF(AND('DICIEMBRE 2026'!D106&lt;&gt;"",'DICIEMBRE 2026'!Z106="POR RECOGER"),'DICIEMBRE 2026'!Y106,"")</f>
        <v/>
      </c>
      <c r="L1257" s="192" t="str">
        <f aca="false">IF(AND('DICIEMBRE 2026'!D106&lt;&gt;"",'DICIEMBRE 2026'!Z106="POR RECOGER"),'DICIEMBRE 2026'!I106,"")</f>
        <v/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customFormat="false" ht="15" hidden="false" customHeight="true" outlineLevel="0" collapsed="false">
      <c r="A1258" s="192" t="str">
        <f aca="false">IF(AND('DICIEMBRE 2026'!D107&lt;&gt;"",'DICIEMBRE 2026'!Z107="POR RECOGER"),"DIC","")</f>
        <v/>
      </c>
      <c r="B1258" s="192" t="str">
        <f aca="false">IF(AND('DICIEMBRE 2026'!D107&lt;&gt;"",'DICIEMBRE 2026'!Z107="POR RECOGER"),IF('DICIEMBRE 2026'!Y107&lt;&gt;"",'DICIEMBRE 2026'!Y107,'DICIEMBRE 2026'!I107),"")</f>
        <v/>
      </c>
      <c r="C1258" s="192" t="str">
        <f aca="false">IF(AND('DICIEMBRE 2026'!D107&lt;&gt;"",'DICIEMBRE 2026'!Z107="POR RECOGER"),'DICIEMBRE 2026'!D107,"")</f>
        <v/>
      </c>
      <c r="D1258" s="192" t="str">
        <f aca="false">IF(AND('DICIEMBRE 2026'!D107&lt;&gt;"",'DICIEMBRE 2026'!Z107="POR RECOGER"),'DICIEMBRE 2026'!F107,"")</f>
        <v/>
      </c>
      <c r="E1258" s="192" t="str">
        <f aca="false">IF(AND('DICIEMBRE 2026'!D107&lt;&gt;"",'DICIEMBRE 2026'!Z107="POR RECOGER"),TEXT('DICIEMBRE 2026'!G107,"DD/MM/YYYY"),"")</f>
        <v/>
      </c>
      <c r="F1258" s="192" t="str">
        <f aca="false">IF(AND('DICIEMBRE 2026'!D107&lt;&gt;"",'DICIEMBRE 2026'!Z107="POR RECOGER"),'DICIEMBRE 2026'!K107,"")</f>
        <v/>
      </c>
      <c r="G1258" s="193" t="str">
        <f aca="false">IF(AND('DICIEMBRE 2026'!D107&lt;&gt;"",'DICIEMBRE 2026'!Z107="POR RECOGER"),'DICIEMBRE 2026'!M107,"")</f>
        <v/>
      </c>
      <c r="H1258" s="193" t="str">
        <f aca="false">IF(AND('DICIEMBRE 2026'!D107&lt;&gt;"",'DICIEMBRE 2026'!Z107="POR RECOGER"),'DICIEMBRE 2026'!N107,"")</f>
        <v/>
      </c>
      <c r="I1258" s="192" t="str">
        <f aca="false">IF(AND('DICIEMBRE 2026'!D107&lt;&gt;"",'DICIEMBRE 2026'!Z107="POR RECOGER"),'DICIEMBRE 2026'!P107,"")</f>
        <v/>
      </c>
      <c r="J1258" s="192" t="str">
        <f aca="false">IF(AND('DICIEMBRE 2026'!D107&lt;&gt;"",'DICIEMBRE 2026'!Z107="POR RECOGER"),'DICIEMBRE 2026'!Q107,"")</f>
        <v/>
      </c>
      <c r="K1258" s="192" t="str">
        <f aca="false">IF(AND('DICIEMBRE 2026'!D107&lt;&gt;"",'DICIEMBRE 2026'!Z107="POR RECOGER"),'DICIEMBRE 2026'!Y107,"")</f>
        <v/>
      </c>
      <c r="L1258" s="192" t="str">
        <f aca="false">IF(AND('DICIEMBRE 2026'!D107&lt;&gt;"",'DICIEMBRE 2026'!Z107="POR RECOGER"),'DICIEMBRE 2026'!I107,"")</f>
        <v/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customFormat="false" ht="15" hidden="false" customHeight="true" outlineLevel="0" collapsed="false">
      <c r="A1259" s="192" t="str">
        <f aca="false">IF(AND('DICIEMBRE 2026'!D108&lt;&gt;"",'DICIEMBRE 2026'!Z108="POR RECOGER"),"DIC","")</f>
        <v/>
      </c>
      <c r="B1259" s="192" t="str">
        <f aca="false">IF(AND('DICIEMBRE 2026'!D108&lt;&gt;"",'DICIEMBRE 2026'!Z108="POR RECOGER"),IF('DICIEMBRE 2026'!Y108&lt;&gt;"",'DICIEMBRE 2026'!Y108,'DICIEMBRE 2026'!I108),"")</f>
        <v/>
      </c>
      <c r="C1259" s="192" t="str">
        <f aca="false">IF(AND('DICIEMBRE 2026'!D108&lt;&gt;"",'DICIEMBRE 2026'!Z108="POR RECOGER"),'DICIEMBRE 2026'!D108,"")</f>
        <v/>
      </c>
      <c r="D1259" s="192" t="str">
        <f aca="false">IF(AND('DICIEMBRE 2026'!D108&lt;&gt;"",'DICIEMBRE 2026'!Z108="POR RECOGER"),'DICIEMBRE 2026'!F108,"")</f>
        <v/>
      </c>
      <c r="E1259" s="192" t="str">
        <f aca="false">IF(AND('DICIEMBRE 2026'!D108&lt;&gt;"",'DICIEMBRE 2026'!Z108="POR RECOGER"),TEXT('DICIEMBRE 2026'!G108,"DD/MM/YYYY"),"")</f>
        <v/>
      </c>
      <c r="F1259" s="192" t="str">
        <f aca="false">IF(AND('DICIEMBRE 2026'!D108&lt;&gt;"",'DICIEMBRE 2026'!Z108="POR RECOGER"),'DICIEMBRE 2026'!K108,"")</f>
        <v/>
      </c>
      <c r="G1259" s="193" t="str">
        <f aca="false">IF(AND('DICIEMBRE 2026'!D108&lt;&gt;"",'DICIEMBRE 2026'!Z108="POR RECOGER"),'DICIEMBRE 2026'!M108,"")</f>
        <v/>
      </c>
      <c r="H1259" s="193" t="str">
        <f aca="false">IF(AND('DICIEMBRE 2026'!D108&lt;&gt;"",'DICIEMBRE 2026'!Z108="POR RECOGER"),'DICIEMBRE 2026'!N108,"")</f>
        <v/>
      </c>
      <c r="I1259" s="192" t="str">
        <f aca="false">IF(AND('DICIEMBRE 2026'!D108&lt;&gt;"",'DICIEMBRE 2026'!Z108="POR RECOGER"),'DICIEMBRE 2026'!P108,"")</f>
        <v/>
      </c>
      <c r="J1259" s="192" t="str">
        <f aca="false">IF(AND('DICIEMBRE 2026'!D108&lt;&gt;"",'DICIEMBRE 2026'!Z108="POR RECOGER"),'DICIEMBRE 2026'!Q108,"")</f>
        <v/>
      </c>
      <c r="K1259" s="192" t="str">
        <f aca="false">IF(AND('DICIEMBRE 2026'!D108&lt;&gt;"",'DICIEMBRE 2026'!Z108="POR RECOGER"),'DICIEMBRE 2026'!Y108,"")</f>
        <v/>
      </c>
      <c r="L1259" s="192" t="str">
        <f aca="false">IF(AND('DICIEMBRE 2026'!D108&lt;&gt;"",'DICIEMBRE 2026'!Z108="POR RECOGER"),'DICIEMBRE 2026'!I108,"")</f>
        <v/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customFormat="false" ht="15" hidden="false" customHeight="true" outlineLevel="0" collapsed="false">
      <c r="A1260" s="192" t="str">
        <f aca="false">IF(AND('DICIEMBRE 2026'!D109&lt;&gt;"",'DICIEMBRE 2026'!Z109="POR RECOGER"),"DIC","")</f>
        <v/>
      </c>
      <c r="B1260" s="192" t="str">
        <f aca="false">IF(AND('DICIEMBRE 2026'!D109&lt;&gt;"",'DICIEMBRE 2026'!Z109="POR RECOGER"),IF('DICIEMBRE 2026'!Y109&lt;&gt;"",'DICIEMBRE 2026'!Y109,'DICIEMBRE 2026'!I109),"")</f>
        <v/>
      </c>
      <c r="C1260" s="192" t="str">
        <f aca="false">IF(AND('DICIEMBRE 2026'!D109&lt;&gt;"",'DICIEMBRE 2026'!Z109="POR RECOGER"),'DICIEMBRE 2026'!D109,"")</f>
        <v/>
      </c>
      <c r="D1260" s="192" t="str">
        <f aca="false">IF(AND('DICIEMBRE 2026'!D109&lt;&gt;"",'DICIEMBRE 2026'!Z109="POR RECOGER"),'DICIEMBRE 2026'!F109,"")</f>
        <v/>
      </c>
      <c r="E1260" s="192" t="str">
        <f aca="false">IF(AND('DICIEMBRE 2026'!D109&lt;&gt;"",'DICIEMBRE 2026'!Z109="POR RECOGER"),TEXT('DICIEMBRE 2026'!G109,"DD/MM/YYYY"),"")</f>
        <v/>
      </c>
      <c r="F1260" s="192" t="str">
        <f aca="false">IF(AND('DICIEMBRE 2026'!D109&lt;&gt;"",'DICIEMBRE 2026'!Z109="POR RECOGER"),'DICIEMBRE 2026'!K109,"")</f>
        <v/>
      </c>
      <c r="G1260" s="193" t="str">
        <f aca="false">IF(AND('DICIEMBRE 2026'!D109&lt;&gt;"",'DICIEMBRE 2026'!Z109="POR RECOGER"),'DICIEMBRE 2026'!M109,"")</f>
        <v/>
      </c>
      <c r="H1260" s="193" t="str">
        <f aca="false">IF(AND('DICIEMBRE 2026'!D109&lt;&gt;"",'DICIEMBRE 2026'!Z109="POR RECOGER"),'DICIEMBRE 2026'!N109,"")</f>
        <v/>
      </c>
      <c r="I1260" s="192" t="str">
        <f aca="false">IF(AND('DICIEMBRE 2026'!D109&lt;&gt;"",'DICIEMBRE 2026'!Z109="POR RECOGER"),'DICIEMBRE 2026'!P109,"")</f>
        <v/>
      </c>
      <c r="J1260" s="192" t="str">
        <f aca="false">IF(AND('DICIEMBRE 2026'!D109&lt;&gt;"",'DICIEMBRE 2026'!Z109="POR RECOGER"),'DICIEMBRE 2026'!Q109,"")</f>
        <v/>
      </c>
      <c r="K1260" s="192" t="str">
        <f aca="false">IF(AND('DICIEMBRE 2026'!D109&lt;&gt;"",'DICIEMBRE 2026'!Z109="POR RECOGER"),'DICIEMBRE 2026'!Y109,"")</f>
        <v/>
      </c>
      <c r="L1260" s="192" t="str">
        <f aca="false">IF(AND('DICIEMBRE 2026'!D109&lt;&gt;"",'DICIEMBRE 2026'!Z109="POR RECOGER"),'DICIEMBRE 2026'!I109,"")</f>
        <v/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customFormat="false" ht="15" hidden="false" customHeight="true" outlineLevel="0" collapsed="false">
      <c r="A1261" s="192" t="str">
        <f aca="false">IF(AND('DICIEMBRE 2026'!D110&lt;&gt;"",'DICIEMBRE 2026'!Z110="POR RECOGER"),"DIC","")</f>
        <v/>
      </c>
      <c r="B1261" s="192" t="str">
        <f aca="false">IF(AND('DICIEMBRE 2026'!D110&lt;&gt;"",'DICIEMBRE 2026'!Z110="POR RECOGER"),IF('DICIEMBRE 2026'!Y110&lt;&gt;"",'DICIEMBRE 2026'!Y110,'DICIEMBRE 2026'!I110),"")</f>
        <v/>
      </c>
      <c r="C1261" s="192" t="str">
        <f aca="false">IF(AND('DICIEMBRE 2026'!D110&lt;&gt;"",'DICIEMBRE 2026'!Z110="POR RECOGER"),'DICIEMBRE 2026'!D110,"")</f>
        <v/>
      </c>
      <c r="D1261" s="192" t="str">
        <f aca="false">IF(AND('DICIEMBRE 2026'!D110&lt;&gt;"",'DICIEMBRE 2026'!Z110="POR RECOGER"),'DICIEMBRE 2026'!F110,"")</f>
        <v/>
      </c>
      <c r="E1261" s="192" t="str">
        <f aca="false">IF(AND('DICIEMBRE 2026'!D110&lt;&gt;"",'DICIEMBRE 2026'!Z110="POR RECOGER"),TEXT('DICIEMBRE 2026'!G110,"DD/MM/YYYY"),"")</f>
        <v/>
      </c>
      <c r="F1261" s="192" t="str">
        <f aca="false">IF(AND('DICIEMBRE 2026'!D110&lt;&gt;"",'DICIEMBRE 2026'!Z110="POR RECOGER"),'DICIEMBRE 2026'!K110,"")</f>
        <v/>
      </c>
      <c r="G1261" s="193" t="str">
        <f aca="false">IF(AND('DICIEMBRE 2026'!D110&lt;&gt;"",'DICIEMBRE 2026'!Z110="POR RECOGER"),'DICIEMBRE 2026'!M110,"")</f>
        <v/>
      </c>
      <c r="H1261" s="193" t="str">
        <f aca="false">IF(AND('DICIEMBRE 2026'!D110&lt;&gt;"",'DICIEMBRE 2026'!Z110="POR RECOGER"),'DICIEMBRE 2026'!N110,"")</f>
        <v/>
      </c>
      <c r="I1261" s="192" t="str">
        <f aca="false">IF(AND('DICIEMBRE 2026'!D110&lt;&gt;"",'DICIEMBRE 2026'!Z110="POR RECOGER"),'DICIEMBRE 2026'!P110,"")</f>
        <v/>
      </c>
      <c r="J1261" s="192" t="str">
        <f aca="false">IF(AND('DICIEMBRE 2026'!D110&lt;&gt;"",'DICIEMBRE 2026'!Z110="POR RECOGER"),'DICIEMBRE 2026'!Q110,"")</f>
        <v/>
      </c>
      <c r="K1261" s="192" t="str">
        <f aca="false">IF(AND('DICIEMBRE 2026'!D110&lt;&gt;"",'DICIEMBRE 2026'!Z110="POR RECOGER"),'DICIEMBRE 2026'!Y110,"")</f>
        <v/>
      </c>
      <c r="L1261" s="192" t="str">
        <f aca="false">IF(AND('DICIEMBRE 2026'!D110&lt;&gt;"",'DICIEMBRE 2026'!Z110="POR RECOGER"),'DICIEMBRE 2026'!I110,"")</f>
        <v/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2026-03-31T17:49:29Z</dcterms:created>
  <dc:creator>openpyxl</dc:creator>
  <dc:description/>
  <dc:language>en-US</dc:language>
  <cp:lastModifiedBy/>
  <dcterms:modified xsi:type="dcterms:W3CDTF">2026-04-01T03:26:40Z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